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slicerCaches/slicerCache39.xml" ContentType="application/vnd.ms-excel.slicerCache+xml"/>
  <Override PartName="/xl/slicerCaches/slicerCache40.xml" ContentType="application/vnd.ms-excel.slicerCache+xml"/>
  <Override PartName="/xl/slicerCaches/slicerCache41.xml" ContentType="application/vnd.ms-excel.slicerCache+xml"/>
  <Override PartName="/xl/slicerCaches/slicerCache42.xml" ContentType="application/vnd.ms-excel.slicerCache+xml"/>
  <Override PartName="/xl/slicerCaches/slicerCache43.xml" ContentType="application/vnd.ms-excel.slicerCache+xml"/>
  <Override PartName="/xl/slicerCaches/slicerCache44.xml" ContentType="application/vnd.ms-excel.slicerCache+xml"/>
  <Override PartName="/xl/slicerCaches/slicerCache45.xml" ContentType="application/vnd.ms-excel.slicerCache+xml"/>
  <Override PartName="/xl/slicerCaches/slicerCache46.xml" ContentType="application/vnd.ms-excel.slicerCache+xml"/>
  <Override PartName="/xl/slicerCaches/slicerCache47.xml" ContentType="application/vnd.ms-excel.slicerCache+xml"/>
  <Override PartName="/xl/slicerCaches/slicerCache48.xml" ContentType="application/vnd.ms-excel.slicerCache+xml"/>
  <Override PartName="/xl/slicerCaches/slicerCache49.xml" ContentType="application/vnd.ms-excel.slicerCache+xml"/>
  <Override PartName="/xl/slicerCaches/slicerCache50.xml" ContentType="application/vnd.ms-excel.slicerCache+xml"/>
  <Override PartName="/xl/slicerCaches/slicerCache5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ctrlProps/ctrlProp1.xml" ContentType="application/vnd.ms-excel.controlproperties+xml"/>
  <Override PartName="/xl/pivotTables/pivotTable1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7.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8.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Ex5.xml" ContentType="application/vnd.ms-office.chartex+xml"/>
  <Override PartName="/xl/charts/style11.xml" ContentType="application/vnd.ms-office.chartstyle+xml"/>
  <Override PartName="/xl/charts/colors11.xml" ContentType="application/vnd.ms-office.chartcolorstyle+xml"/>
  <Override PartName="/xl/charts/chartEx6.xml" ContentType="application/vnd.ms-office.chartex+xml"/>
  <Override PartName="/xl/charts/style12.xml" ContentType="application/vnd.ms-office.chartstyle+xml"/>
  <Override PartName="/xl/charts/colors12.xml" ContentType="application/vnd.ms-office.chartcolorstyle+xml"/>
  <Override PartName="/xl/charts/chart7.xml" ContentType="application/vnd.openxmlformats-officedocument.drawingml.chart+xml"/>
  <Override PartName="/xl/charts/style13.xml" ContentType="application/vnd.ms-office.chartstyle+xml"/>
  <Override PartName="/xl/charts/colors13.xml" ContentType="application/vnd.ms-office.chartcolorstyle+xml"/>
  <Override PartName="/xl/charts/chart8.xml" ContentType="application/vnd.openxmlformats-officedocument.drawingml.chart+xml"/>
  <Override PartName="/xl/charts/style14.xml" ContentType="application/vnd.ms-office.chartstyle+xml"/>
  <Override PartName="/xl/charts/colors14.xml" ContentType="application/vnd.ms-office.chartcolorstyle+xml"/>
  <Override PartName="/xl/charts/chartEx7.xml" ContentType="application/vnd.ms-office.chartex+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16.xml" ContentType="application/vnd.ms-office.chartstyle+xml"/>
  <Override PartName="/xl/charts/colors16.xml" ContentType="application/vnd.ms-office.chartcolorstyle+xml"/>
  <Override PartName="/xl/charts/chart10.xml" ContentType="application/vnd.openxmlformats-officedocument.drawingml.chart+xml"/>
  <Override PartName="/xl/charts/style17.xml" ContentType="application/vnd.ms-office.chartstyle+xml"/>
  <Override PartName="/xl/charts/colors17.xml" ContentType="application/vnd.ms-office.chartcolorstyle+xml"/>
  <Override PartName="/xl/charts/chart11.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1.xml" ContentType="application/vnd.openxmlformats-officedocument.drawing+xml"/>
  <Override PartName="/xl/tables/table2.xml" ContentType="application/vnd.openxmlformats-officedocument.spreadsheetml.table+xml"/>
  <Override PartName="/xl/pivotTables/pivotTable26.xml" ContentType="application/vnd.openxmlformats-officedocument.spreadsheetml.pivotTable+xml"/>
  <Override PartName="/xl/drawings/drawing12.xml" ContentType="application/vnd.openxmlformats-officedocument.drawing+xml"/>
  <Override PartName="/xl/slicers/slicer1.xml" ContentType="application/vnd.ms-excel.slicer+xml"/>
  <Override PartName="/xl/pivotTables/pivotTable27.xml" ContentType="application/vnd.openxmlformats-officedocument.spreadsheetml.pivotTable+xml"/>
  <Override PartName="/xl/drawings/drawing13.xml" ContentType="application/vnd.openxmlformats-officedocument.drawing+xml"/>
  <Override PartName="/xl/slicers/slicer2.xml" ContentType="application/vnd.ms-excel.slicer+xml"/>
  <Override PartName="/xl/pivotTables/pivotTable28.xml" ContentType="application/vnd.openxmlformats-officedocument.spreadsheetml.pivotTable+xml"/>
  <Override PartName="/xl/drawings/drawing14.xml" ContentType="application/vnd.openxmlformats-officedocument.drawing+xml"/>
  <Override PartName="/xl/slicers/slicer3.xml" ContentType="application/vnd.ms-excel.slicer+xml"/>
  <Override PartName="/xl/pivotTables/pivotTable29.xml" ContentType="application/vnd.openxmlformats-officedocument.spreadsheetml.pivotTable+xml"/>
  <Override PartName="/xl/drawings/drawing15.xml" ContentType="application/vnd.openxmlformats-officedocument.drawing+xml"/>
  <Override PartName="/xl/slicers/slicer4.xml" ContentType="application/vnd.ms-excel.slicer+xml"/>
  <Override PartName="/xl/pivotTables/pivotTable30.xml" ContentType="application/vnd.openxmlformats-officedocument.spreadsheetml.pivotTable+xml"/>
  <Override PartName="/xl/drawings/drawing16.xml" ContentType="application/vnd.openxmlformats-officedocument.drawing+xml"/>
  <Override PartName="/xl/slicers/slicer5.xml" ContentType="application/vnd.ms-excel.slicer+xml"/>
  <Override PartName="/xl/pivotTables/pivotTable31.xml" ContentType="application/vnd.openxmlformats-officedocument.spreadsheetml.pivotTable+xml"/>
  <Override PartName="/xl/drawings/drawing17.xml" ContentType="application/vnd.openxmlformats-officedocument.drawing+xml"/>
  <Override PartName="/xl/slicers/slicer6.xml" ContentType="application/vnd.ms-excel.slicer+xml"/>
  <Override PartName="/xl/pivotTables/pivotTable32.xml" ContentType="application/vnd.openxmlformats-officedocument.spreadsheetml.pivotTable+xml"/>
  <Override PartName="/xl/drawings/drawing18.xml" ContentType="application/vnd.openxmlformats-officedocument.drawing+xml"/>
  <Override PartName="/xl/slicers/slicer7.xml" ContentType="application/vnd.ms-excel.slicer+xml"/>
  <Override PartName="/xl/pivotTables/pivotTable33.xml" ContentType="application/vnd.openxmlformats-officedocument.spreadsheetml.pivotTable+xml"/>
  <Override PartName="/xl/drawings/drawing19.xml" ContentType="application/vnd.openxmlformats-officedocument.drawing+xml"/>
  <Override PartName="/xl/slicers/slicer8.xml" ContentType="application/vnd.ms-excel.slicer+xml"/>
  <Override PartName="/xl/pivotTables/pivotTable34.xml" ContentType="application/vnd.openxmlformats-officedocument.spreadsheetml.pivotTable+xml"/>
  <Override PartName="/xl/drawings/drawing20.xml" ContentType="application/vnd.openxmlformats-officedocument.drawing+xml"/>
  <Override PartName="/xl/slicers/slicer9.xml" ContentType="application/vnd.ms-excel.slicer+xml"/>
  <Override PartName="/xl/pivotTables/pivotTable35.xml" ContentType="application/vnd.openxmlformats-officedocument.spreadsheetml.pivotTable+xml"/>
  <Override PartName="/xl/drawings/drawing21.xml" ContentType="application/vnd.openxmlformats-officedocument.drawing+xml"/>
  <Override PartName="/xl/slicers/slicer10.xml" ContentType="application/vnd.ms-excel.slicer+xml"/>
  <Override PartName="/xl/pivotTables/pivotTable36.xml" ContentType="application/vnd.openxmlformats-officedocument.spreadsheetml.pivotTable+xml"/>
  <Override PartName="/xl/drawings/drawing22.xml" ContentType="application/vnd.openxmlformats-officedocument.drawing+xml"/>
  <Override PartName="/xl/slicers/slicer11.xml" ContentType="application/vnd.ms-excel.slicer+xml"/>
  <Override PartName="/xl/pivotTables/pivotTable37.xml" ContentType="application/vnd.openxmlformats-officedocument.spreadsheetml.pivotTable+xml"/>
  <Override PartName="/xl/drawings/drawing23.xml" ContentType="application/vnd.openxmlformats-officedocument.drawing+xml"/>
  <Override PartName="/xl/slicers/slicer12.xml" ContentType="application/vnd.ms-excel.slicer+xml"/>
  <Override PartName="/xl/pivotTables/pivotTable38.xml" ContentType="application/vnd.openxmlformats-officedocument.spreadsheetml.pivotTable+xml"/>
  <Override PartName="/xl/drawings/drawing24.xml" ContentType="application/vnd.openxmlformats-officedocument.drawing+xml"/>
  <Override PartName="/xl/slicers/slicer13.xml" ContentType="application/vnd.ms-excel.slicer+xml"/>
  <Override PartName="/xl/pivotTables/pivotTable39.xml" ContentType="application/vnd.openxmlformats-officedocument.spreadsheetml.pivotTable+xml"/>
  <Override PartName="/xl/drawings/drawing25.xml" ContentType="application/vnd.openxmlformats-officedocument.drawing+xml"/>
  <Override PartName="/xl/slicers/slicer14.xml" ContentType="application/vnd.ms-excel.slicer+xml"/>
  <Override PartName="/xl/pivotTables/pivotTable40.xml" ContentType="application/vnd.openxmlformats-officedocument.spreadsheetml.pivotTable+xml"/>
  <Override PartName="/xl/drawings/drawing26.xml" ContentType="application/vnd.openxmlformats-officedocument.drawing+xml"/>
  <Override PartName="/xl/slicers/slicer15.xml" ContentType="application/vnd.ms-excel.slicer+xml"/>
  <Override PartName="/xl/pivotTables/pivotTable41.xml" ContentType="application/vnd.openxmlformats-officedocument.spreadsheetml.pivotTable+xml"/>
  <Override PartName="/xl/drawings/drawing27.xml" ContentType="application/vnd.openxmlformats-officedocument.drawing+xml"/>
  <Override PartName="/xl/slicers/slicer16.xml" ContentType="application/vnd.ms-excel.slicer+xml"/>
  <Override PartName="/xl/pivotTables/pivotTable42.xml" ContentType="application/vnd.openxmlformats-officedocument.spreadsheetml.pivotTable+xml"/>
  <Override PartName="/xl/drawings/drawing28.xml" ContentType="application/vnd.openxmlformats-officedocument.drawing+xml"/>
  <Override PartName="/xl/charts/chart12.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hidePivotFieldList="1" defaultThemeVersion="166925"/>
  <mc:AlternateContent xmlns:mc="http://schemas.openxmlformats.org/markup-compatibility/2006">
    <mc:Choice Requires="x15">
      <x15ac:absPath xmlns:x15ac="http://schemas.microsoft.com/office/spreadsheetml/2010/11/ac" url="F:\Local Disk (E)\AL-DAWLIA REAL STATE\BUSINESS DEVELOPMENT\25 fd from hay2a New Cairo Golden square\COMPANIES\ERP\"/>
    </mc:Choice>
  </mc:AlternateContent>
  <xr:revisionPtr revIDLastSave="0" documentId="8_{C19A2966-57E5-4338-A200-1D61F310E98A}" xr6:coauthVersionLast="47" xr6:coauthVersionMax="47" xr10:uidLastSave="{00000000-0000-0000-0000-000000000000}"/>
  <bookViews>
    <workbookView xWindow="-120" yWindow="-120" windowWidth="20730" windowHeight="11160" tabRatio="806" firstSheet="21" activeTab="36" xr2:uid="{2898F146-3978-4EBF-A43A-08B856350128}"/>
  </bookViews>
  <sheets>
    <sheet name="PHASES PREM RANGE" sheetId="48" r:id="rId1"/>
    <sheet name="DASHBOARD (7)" sheetId="46" r:id="rId2"/>
    <sheet name="product mix dash" sheetId="45" r:id="rId3"/>
    <sheet name="premium cat. per phase dash" sheetId="43" r:id="rId4"/>
    <sheet name="PV calculation" sheetId="44" r:id="rId5"/>
    <sheet name="FINISH" sheetId="47" r:id="rId6"/>
    <sheet name="DASHBOARD (4)" sheetId="42" r:id="rId7"/>
    <sheet name="prem cat. total dash" sheetId="41" r:id="rId8"/>
    <sheet name="DASHBOARD (2)" sheetId="40" r:id="rId9"/>
    <sheet name="A" sheetId="4" r:id="rId10"/>
    <sheet name="Regent's Square" sheetId="5" r:id="rId11"/>
    <sheet name="FACTS" sheetId="8" r:id="rId12"/>
    <sheet name="PREMIUM TABLES" sheetId="7" r:id="rId13"/>
    <sheet name="C PHASES" sheetId="13" r:id="rId14"/>
    <sheet name="PIVOT" sheetId="10" r:id="rId15"/>
    <sheet name="GANNT CHART" sheetId="12" r:id="rId16"/>
    <sheet name="DATA FOR PIVOT" sheetId="9" r:id="rId17"/>
    <sheet name="DATA FOR DUPLEX" sheetId="26" r:id="rId18"/>
    <sheet name="SELLING PHASES (C)" sheetId="11" r:id="rId19"/>
    <sheet name="SELLING PHASES (A)" sheetId="14" r:id="rId20"/>
    <sheet name="SELLING PHASES (B)" sheetId="20" r:id="rId21"/>
    <sheet name="ALL (R)" sheetId="21" r:id="rId22"/>
    <sheet name="R1" sheetId="24" r:id="rId23"/>
    <sheet name="R2" sheetId="49" r:id="rId24"/>
    <sheet name="R3" sheetId="50" r:id="rId25"/>
    <sheet name="R4" sheetId="51" r:id="rId26"/>
    <sheet name="R5" sheetId="52" r:id="rId27"/>
    <sheet name="R6" sheetId="53" r:id="rId28"/>
    <sheet name="R7" sheetId="54" r:id="rId29"/>
    <sheet name="R8" sheetId="55" r:id="rId30"/>
    <sheet name="R9" sheetId="56" r:id="rId31"/>
    <sheet name="R10" sheetId="57" r:id="rId32"/>
    <sheet name="R11" sheetId="58" r:id="rId33"/>
    <sheet name="R12" sheetId="59" r:id="rId34"/>
    <sheet name="RH" sheetId="60" r:id="rId35"/>
    <sheet name="PROJECT SUMMARY DASH" sheetId="25" r:id="rId36"/>
    <sheet name="pv calculator" sheetId="39" r:id="rId37"/>
  </sheets>
  <externalReferences>
    <externalReference r:id="rId38"/>
    <externalReference r:id="rId39"/>
    <externalReference r:id="rId40"/>
    <externalReference r:id="rId41"/>
    <externalReference r:id="rId42"/>
    <externalReference r:id="rId43"/>
    <externalReference r:id="rId44"/>
  </externalReferences>
  <definedNames>
    <definedName name="_xlchart.v2.0" hidden="1">'PREMIUM TABLES'!$G$175:$G$195</definedName>
    <definedName name="_xlchart.v2.1" hidden="1">'PREMIUM TABLES'!$H$174</definedName>
    <definedName name="_xlchart.v2.10" hidden="1">'[1]PREMIUM TABLES'!$H$5:$H$9</definedName>
    <definedName name="_xlchart.v2.11" hidden="1">'PREMIUM TABLES'!$G$208:$G$209</definedName>
    <definedName name="_xlchart.v2.12" hidden="1">'PREMIUM TABLES'!$H$207</definedName>
    <definedName name="_xlchart.v2.13" hidden="1">'PREMIUM TABLES'!$H$208:$H$209</definedName>
    <definedName name="_xlchart.v2.14" hidden="1">'PREMIUM TABLES'!$G$214:$G$219</definedName>
    <definedName name="_xlchart.v2.15" hidden="1">'PREMIUM TABLES'!$H$213</definedName>
    <definedName name="_xlchart.v2.16" hidden="1">'PREMIUM TABLES'!$H$214:$H$219</definedName>
    <definedName name="_xlchart.v2.2" hidden="1">'PREMIUM TABLES'!$H$175:$H$195</definedName>
    <definedName name="_xlchart.v2.3" hidden="1">'PREMIUM TABLES'!$G$165:$G$172</definedName>
    <definedName name="_xlchart.v2.4" hidden="1">'PREMIUM TABLES'!$H$165:$H$172</definedName>
    <definedName name="_xlchart.v2.5" hidden="1">'PREMIUM TABLES'!$F$199:$F$205</definedName>
    <definedName name="_xlchart.v2.6" hidden="1">'PREMIUM TABLES'!$H$198</definedName>
    <definedName name="_xlchart.v2.7" hidden="1">'PREMIUM TABLES'!$H$199:$H$205</definedName>
    <definedName name="_xlchart.v2.8" hidden="1">'[1]PREMIUM TABLES'!$G$5:$G$9</definedName>
    <definedName name="_xlchart.v2.9" hidden="1">'[1]PREMIUM TABLES'!$H$4</definedName>
    <definedName name="beed">Table1[[#All],[Unit Number]:[NO. OF BEDROOMS]]</definedName>
    <definedName name="_xlnm.Print_Area" localSheetId="8">'DASHBOARD (2)'!$A$1:$I$70</definedName>
    <definedName name="_xlnm.Print_Area" localSheetId="6">'DASHBOARD (4)'!$A$1:$I$70</definedName>
    <definedName name="_xlnm.Print_Area" localSheetId="1">'DASHBOARD (7)'!$A$1:$C$23</definedName>
    <definedName name="_xlnm.Print_Area" localSheetId="16">'DATA FOR PIVOT'!$A$1:$AV$862</definedName>
    <definedName name="_xlnm.Print_Area" localSheetId="11">FACTS!$A$1:$T$28</definedName>
    <definedName name="_xlnm.Print_Area" localSheetId="5">FINISH!$B$1:$J$161</definedName>
    <definedName name="_xlnm.Print_Area" localSheetId="15">'GANNT CHART'!$A$1:$BA$46</definedName>
    <definedName name="_xlnm.Print_Area" localSheetId="0">'PHASES PREM RANGE'!$A$1:$J$39</definedName>
    <definedName name="_xlnm.Print_Area" localSheetId="7">'prem cat. total dash'!$A$1:$D$24</definedName>
    <definedName name="_xlnm.Print_Area" localSheetId="3">'premium cat. per phase dash'!$A$1:$E$47</definedName>
    <definedName name="_xlnm.Print_Area" localSheetId="12">'PREMIUM TABLES'!$F$151:$P$220</definedName>
    <definedName name="_xlnm.Print_Area" localSheetId="2">'product mix dash'!$A$1:$F$28</definedName>
    <definedName name="_xlnm.Print_Area" localSheetId="35">'PROJECT SUMMARY DASH'!$A$1:$L$39</definedName>
    <definedName name="_xlnm.Print_Area" localSheetId="22">'R1'!$A$1:$K$163</definedName>
    <definedName name="_xlnm.Print_Area" localSheetId="31">'R10'!$A$1:$J$43</definedName>
    <definedName name="_xlnm.Print_Area" localSheetId="32">'R11'!$A$1:$J$40</definedName>
    <definedName name="_xlnm.Print_Area" localSheetId="33">'R12'!$A$1:$J$91</definedName>
    <definedName name="_xlnm.Print_Area" localSheetId="23">'R2'!$A$1:$J$74</definedName>
    <definedName name="_xlnm.Print_Area" localSheetId="24">'R3'!$A$1:$J$81</definedName>
    <definedName name="_xlnm.Print_Area" localSheetId="25">'R4'!$A$1:$J$107</definedName>
    <definedName name="_xlnm.Print_Area" localSheetId="26">'R5'!$A$1:$J$80</definedName>
    <definedName name="_xlnm.Print_Area" localSheetId="27">'R6'!$A$1:$J$73</definedName>
    <definedName name="_xlnm.Print_Area" localSheetId="28">'R7'!$A$1:$J$85</definedName>
    <definedName name="_xlnm.Print_Area" localSheetId="29">'R8'!$A$1:$J$111</definedName>
    <definedName name="_xlnm.Print_Area" localSheetId="30">'R9'!$A$1:$J$83</definedName>
    <definedName name="_xlnm.Print_Area" localSheetId="34">RH!$A$1:$I$75</definedName>
    <definedName name="_xlnm.Print_Titles" localSheetId="16">'DATA FOR PIVOT'!$G:$G,'DATA FOR PIVOT'!$4:$4</definedName>
    <definedName name="_xlnm.Print_Titles" localSheetId="11">FACTS!$B:$B</definedName>
    <definedName name="_xlnm.Print_Titles" localSheetId="22">'R1'!$18:$18</definedName>
    <definedName name="_xlnm.Print_Titles" localSheetId="31">'R10'!$18:$18</definedName>
    <definedName name="_xlnm.Print_Titles" localSheetId="32">'R11'!$18:$18</definedName>
    <definedName name="_xlnm.Print_Titles" localSheetId="33">'R12'!$18:$18</definedName>
    <definedName name="_xlnm.Print_Titles" localSheetId="23">'R2'!$18:$18</definedName>
    <definedName name="_xlnm.Print_Titles" localSheetId="24">'R3'!$18:$18</definedName>
    <definedName name="_xlnm.Print_Titles" localSheetId="25">'R4'!$18:$18</definedName>
    <definedName name="_xlnm.Print_Titles" localSheetId="26">'R5'!$18:$18</definedName>
    <definedName name="_xlnm.Print_Titles" localSheetId="27">'R6'!$18:$18</definedName>
    <definedName name="_xlnm.Print_Titles" localSheetId="28">'R7'!$18:$18</definedName>
    <definedName name="_xlnm.Print_Titles" localSheetId="29">'R8'!$18:$18</definedName>
    <definedName name="_xlnm.Print_Titles" localSheetId="30">'R9'!$18:$18</definedName>
    <definedName name="_xlnm.Print_Titles" localSheetId="34">RH!$18:$18</definedName>
    <definedName name="Slicer_AREA_CATEGORY">#N/A</definedName>
    <definedName name="Slicer_AREA_CATEGORY1">#N/A</definedName>
    <definedName name="Slicer_AREA_CATEGORY11">#N/A</definedName>
    <definedName name="Slicer_AREA_CATEGORY111">#N/A</definedName>
    <definedName name="Slicer_AREA_CATEGORY1111">#N/A</definedName>
    <definedName name="Slicer_AREA_CATEGORY11111">#N/A</definedName>
    <definedName name="Slicer_AREA_CATEGORY111111">#N/A</definedName>
    <definedName name="Slicer_AREA_CATEGORY1111111">#N/A</definedName>
    <definedName name="Slicer_AREA_CATEGORY11111111">#N/A</definedName>
    <definedName name="Slicer_AREA_CATEGORY111111111">#N/A</definedName>
    <definedName name="Slicer_AREA_CATEGORY1111111111">#N/A</definedName>
    <definedName name="Slicer_AREA_CATEGORY11111111111">#N/A</definedName>
    <definedName name="Slicer_AREA_CATEGORY111111111111">#N/A</definedName>
    <definedName name="Slicer_BLD._TYPE">#N/A</definedName>
    <definedName name="Slicer_BLD._TYPE1">#N/A</definedName>
    <definedName name="Slicer_BLD._TYPE11">#N/A</definedName>
    <definedName name="Slicer_BLD_No.">#N/A</definedName>
    <definedName name="Slicer_BLD_No.1">#N/A</definedName>
    <definedName name="Slicer_BLD_No.11">#N/A</definedName>
    <definedName name="Slicer_CONSTRUCTION_PHASE">#N/A</definedName>
    <definedName name="Slicer_CONSTRUCTION_PHASE1">#N/A</definedName>
    <definedName name="Slicer_CONSTRUCTION_PHASE11">#N/A</definedName>
    <definedName name="Slicer_PREMIUM_CATEGORY">#N/A</definedName>
    <definedName name="Slicer_PREMIUM_CATEGORY1">#N/A</definedName>
    <definedName name="Slicer_PREMIUM_CATEGORY11">#N/A</definedName>
    <definedName name="Slicer_PREMIUM_CATEGORY2">#N/A</definedName>
    <definedName name="Slicer_PREMIUM_CATEGORY21">#N/A</definedName>
    <definedName name="Slicer_PREMIUM_CATEGORY211">#N/A</definedName>
    <definedName name="Slicer_PREMIUM_CATEGORY2111">#N/A</definedName>
    <definedName name="Slicer_PREMIUM_CATEGORY21111">#N/A</definedName>
    <definedName name="Slicer_PREMIUM_CATEGORY211111">#N/A</definedName>
    <definedName name="Slicer_PREMIUM_CATEGORY2111111">#N/A</definedName>
    <definedName name="Slicer_PREMIUM_CATEGORY21111111">#N/A</definedName>
    <definedName name="Slicer_PREMIUM_CATEGORY211111111">#N/A</definedName>
    <definedName name="Slicer_PREMIUM_CATEGORY2111111111">#N/A</definedName>
    <definedName name="Slicer_PREMIUM_CATEGORY21111111111">#N/A</definedName>
    <definedName name="Slicer_PREMIUM_CATEGORY211111111111">#N/A</definedName>
    <definedName name="Slicer_PREMIUM_CATEGORY2111111111111">#N/A</definedName>
    <definedName name="Slicer_SELLING_PHASE_NAME">#N/A</definedName>
    <definedName name="Slicer_SELLING_PHASE_NAME1">#N/A</definedName>
    <definedName name="Slicer_SELLING_PHASE_NAME11">#N/A</definedName>
    <definedName name="Slicer_SELLING_PHASE_NAME111">#N/A</definedName>
    <definedName name="Slicer_SELLING_PHASE_NAME1111">#N/A</definedName>
    <definedName name="Slicer_SELLING_PHASE_NAME11111">#N/A</definedName>
    <definedName name="Slicer_SELLING_PHASE_NAME111111">#N/A</definedName>
    <definedName name="Slicer_SELLING_PHASE_NAME1111111">#N/A</definedName>
    <definedName name="Slicer_SELLING_PHASE_NAME11111111">#N/A</definedName>
    <definedName name="Slicer_SELLING_PHASE_NAME111111111">#N/A</definedName>
    <definedName name="Slicer_SELLING_PHASE_NAME1111111111">#N/A</definedName>
    <definedName name="Slicer_SELLING_PHASE_NAME11111111111">#N/A</definedName>
    <definedName name="Slicer_SELLING_PHASE_NAME111111111111">#N/A</definedName>
  </definedNames>
  <calcPr calcId="191029"/>
  <pivotCaches>
    <pivotCache cacheId="0" r:id="rId45"/>
    <pivotCache cacheId="1" r:id="rId46"/>
    <pivotCache cacheId="2" r:id="rId47"/>
  </pivotCaches>
  <fileRecoveryPr repairLoad="1"/>
  <extLst>
    <ext xmlns:x14="http://schemas.microsoft.com/office/spreadsheetml/2009/9/main" uri="{BBE1A952-AA13-448e-AADC-164F8A28A991}">
      <x14:slicerCaches>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 r:id="rId60"/>
        <x14:slicerCache r:id="rId61"/>
        <x14:slicerCache r:id="rId62"/>
        <x14:slicerCache r:id="rId63"/>
        <x14:slicerCache r:id="rId64"/>
        <x14:slicerCache r:id="rId65"/>
        <x14:slicerCache r:id="rId66"/>
        <x14:slicerCache r:id="rId67"/>
        <x14:slicerCache r:id="rId68"/>
        <x14:slicerCache r:id="rId69"/>
        <x14:slicerCache r:id="rId70"/>
        <x14:slicerCache r:id="rId71"/>
        <x14:slicerCache r:id="rId72"/>
        <x14:slicerCache r:id="rId73"/>
        <x14:slicerCache r:id="rId74"/>
        <x14:slicerCache r:id="rId75"/>
        <x14:slicerCache r:id="rId76"/>
        <x14:slicerCache r:id="rId77"/>
        <x14:slicerCache r:id="rId78"/>
        <x14:slicerCache r:id="rId79"/>
        <x14:slicerCache r:id="rId80"/>
        <x14:slicerCache r:id="rId81"/>
        <x14:slicerCache r:id="rId82"/>
        <x14:slicerCache r:id="rId83"/>
        <x14:slicerCache r:id="rId84"/>
        <x14:slicerCache r:id="rId85"/>
        <x14:slicerCache r:id="rId86"/>
        <x14:slicerCache r:id="rId87"/>
        <x14:slicerCache r:id="rId88"/>
        <x14:slicerCache r:id="rId89"/>
        <x14:slicerCache r:id="rId90"/>
        <x14:slicerCache r:id="rId91"/>
        <x14:slicerCache r:id="rId92"/>
        <x14:slicerCache r:id="rId93"/>
        <x14:slicerCache r:id="rId94"/>
        <x14:slicerCache r:id="rId95"/>
        <x14:slicerCache r:id="rId96"/>
        <x14:slicerCache r:id="rId97"/>
        <x14:slicerCache r:id="rId9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 i="44" l="1"/>
  <c r="C73" i="47"/>
  <c r="C72" i="47"/>
  <c r="I151" i="47" l="1"/>
  <c r="I150" i="47"/>
  <c r="I149" i="47"/>
  <c r="I148" i="47"/>
  <c r="I147" i="47"/>
  <c r="I146" i="47"/>
  <c r="I145" i="47"/>
  <c r="I144" i="47"/>
  <c r="I143" i="47"/>
  <c r="I142" i="47"/>
  <c r="I141" i="47"/>
  <c r="I140" i="47"/>
  <c r="I139" i="47"/>
  <c r="I138" i="47"/>
  <c r="I137" i="47"/>
  <c r="I136" i="47"/>
  <c r="I135" i="47"/>
  <c r="I134" i="47"/>
  <c r="I133" i="47"/>
  <c r="I132" i="47"/>
  <c r="I131" i="47"/>
  <c r="I130" i="47"/>
  <c r="I152" i="47" s="1"/>
  <c r="I127" i="47"/>
  <c r="I126" i="47"/>
  <c r="I125" i="47"/>
  <c r="I124" i="47"/>
  <c r="I123" i="47"/>
  <c r="I122" i="47"/>
  <c r="I121" i="47"/>
  <c r="I120" i="47"/>
  <c r="I119" i="47"/>
  <c r="I118" i="47"/>
  <c r="I117" i="47"/>
  <c r="I116" i="47"/>
  <c r="I115" i="47"/>
  <c r="I114" i="47"/>
  <c r="I113" i="47"/>
  <c r="I112" i="47"/>
  <c r="I111" i="47"/>
  <c r="I110" i="47"/>
  <c r="I109" i="47"/>
  <c r="I108" i="47"/>
  <c r="I107" i="47"/>
  <c r="I106" i="47"/>
  <c r="I105" i="47"/>
  <c r="AD875" i="39" l="1"/>
  <c r="T875" i="39"/>
  <c r="R888" i="39" s="1"/>
  <c r="K875" i="39"/>
  <c r="K931" i="39"/>
  <c r="K933" i="39" s="1"/>
  <c r="G933" i="39"/>
  <c r="K936" i="39"/>
  <c r="K937" i="39"/>
  <c r="H923" i="39" s="1"/>
  <c r="K938" i="39"/>
  <c r="I941" i="39"/>
  <c r="H941" i="39" s="1"/>
  <c r="K966" i="39"/>
  <c r="L966" i="39"/>
  <c r="AD880" i="39"/>
  <c r="Z878" i="39"/>
  <c r="P878" i="39"/>
  <c r="R915" i="39" l="1"/>
  <c r="R914" i="39"/>
  <c r="R913" i="39"/>
  <c r="R912" i="39"/>
  <c r="R911" i="39"/>
  <c r="R910" i="39"/>
  <c r="R909" i="39"/>
  <c r="R908" i="39"/>
  <c r="R907" i="39"/>
  <c r="R906" i="39"/>
  <c r="R905" i="39"/>
  <c r="R904" i="39"/>
  <c r="R903" i="39"/>
  <c r="R902" i="39"/>
  <c r="R900" i="39"/>
  <c r="R901" i="39"/>
  <c r="R899" i="39"/>
  <c r="R898" i="39"/>
  <c r="R897" i="39"/>
  <c r="R896" i="39"/>
  <c r="R895" i="39"/>
  <c r="R894" i="39"/>
  <c r="R893" i="39"/>
  <c r="R892" i="39"/>
  <c r="R891" i="39"/>
  <c r="R890" i="39"/>
  <c r="Q890" i="39" s="1"/>
  <c r="R889" i="39"/>
  <c r="G941" i="39"/>
  <c r="K948" i="39"/>
  <c r="K956" i="39"/>
  <c r="K964" i="39"/>
  <c r="K947" i="39"/>
  <c r="K955" i="39"/>
  <c r="K963" i="39"/>
  <c r="K946" i="39"/>
  <c r="K954" i="39"/>
  <c r="K962" i="39"/>
  <c r="K952" i="39"/>
  <c r="K945" i="39"/>
  <c r="K953" i="39"/>
  <c r="K961" i="39"/>
  <c r="K944" i="39"/>
  <c r="K960" i="39"/>
  <c r="K943" i="39"/>
  <c r="K951" i="39"/>
  <c r="K959" i="39"/>
  <c r="K941" i="39"/>
  <c r="K957" i="39"/>
  <c r="K942" i="39"/>
  <c r="K950" i="39"/>
  <c r="K958" i="39"/>
  <c r="K949" i="39"/>
  <c r="I942" i="39"/>
  <c r="AD889" i="39"/>
  <c r="AD890" i="39"/>
  <c r="AD891" i="39"/>
  <c r="AD892" i="39"/>
  <c r="AD893" i="39"/>
  <c r="AD894" i="39"/>
  <c r="AD895" i="39"/>
  <c r="AD896" i="39"/>
  <c r="AD897" i="39"/>
  <c r="AD898" i="39"/>
  <c r="AD899" i="39"/>
  <c r="AD900" i="39"/>
  <c r="AD901" i="39"/>
  <c r="AD902" i="39"/>
  <c r="AD903" i="39"/>
  <c r="AD904" i="39"/>
  <c r="AD905" i="39"/>
  <c r="AD906" i="39"/>
  <c r="AD907" i="39"/>
  <c r="AD908" i="39"/>
  <c r="AD909" i="39"/>
  <c r="AD910" i="39"/>
  <c r="AD911" i="39"/>
  <c r="AD912" i="39"/>
  <c r="AD913" i="39"/>
  <c r="AD914" i="39"/>
  <c r="AD915" i="39"/>
  <c r="AD888" i="39"/>
  <c r="AD878" i="39"/>
  <c r="AB888" i="39"/>
  <c r="AA888" i="39" s="1"/>
  <c r="AD882" i="39"/>
  <c r="AA870" i="39" s="1"/>
  <c r="T880" i="39"/>
  <c r="T882" i="39"/>
  <c r="Q870" i="39" s="1"/>
  <c r="G880" i="39"/>
  <c r="N888" i="39"/>
  <c r="K884" i="39"/>
  <c r="H870" i="39" s="1"/>
  <c r="I888" i="39"/>
  <c r="H888" i="39" s="1"/>
  <c r="H942" i="39" l="1"/>
  <c r="G942" i="39" s="1"/>
  <c r="I943" i="39"/>
  <c r="L942" i="39"/>
  <c r="L941" i="39"/>
  <c r="E941" i="39"/>
  <c r="K965" i="39"/>
  <c r="K967" i="39" s="1"/>
  <c r="K968" i="39" s="1"/>
  <c r="P890" i="39"/>
  <c r="U890" i="39" s="1"/>
  <c r="AD917" i="39"/>
  <c r="AE917" i="39"/>
  <c r="Z888" i="39"/>
  <c r="AE888" i="39" s="1"/>
  <c r="AD916" i="39"/>
  <c r="X888" i="39"/>
  <c r="AB889" i="39"/>
  <c r="Q888" i="39"/>
  <c r="P888" i="39" s="1"/>
  <c r="Q889" i="39"/>
  <c r="P889" i="39" s="1"/>
  <c r="Q891" i="39"/>
  <c r="P891" i="39" s="1"/>
  <c r="G888" i="39"/>
  <c r="I889" i="39"/>
  <c r="F941" i="39" l="1"/>
  <c r="H943" i="39"/>
  <c r="G943" i="39" s="1"/>
  <c r="L943" i="39" s="1"/>
  <c r="I944" i="39"/>
  <c r="E942" i="39"/>
  <c r="AD918" i="39"/>
  <c r="AD877" i="39"/>
  <c r="X889" i="39"/>
  <c r="AB890" i="39"/>
  <c r="AA889" i="39"/>
  <c r="U889" i="39"/>
  <c r="Q892" i="39"/>
  <c r="P892" i="39" s="1"/>
  <c r="H889" i="39"/>
  <c r="G889" i="39" s="1"/>
  <c r="I890" i="39"/>
  <c r="AD883" i="39" l="1"/>
  <c r="AD885" i="39"/>
  <c r="F942" i="39"/>
  <c r="E943" i="39"/>
  <c r="H944" i="39"/>
  <c r="G944" i="39" s="1"/>
  <c r="L944" i="39" s="1"/>
  <c r="I945" i="39"/>
  <c r="Z889" i="39"/>
  <c r="AE889" i="39" s="1"/>
  <c r="Y888" i="39"/>
  <c r="AD919" i="39"/>
  <c r="Y889" i="39"/>
  <c r="X890" i="39"/>
  <c r="AA890" i="39"/>
  <c r="AB891" i="39"/>
  <c r="U891" i="39"/>
  <c r="U888" i="39"/>
  <c r="T916" i="39"/>
  <c r="T877" i="39" s="1"/>
  <c r="Q893" i="39"/>
  <c r="P893" i="39" s="1"/>
  <c r="U892" i="39"/>
  <c r="I891" i="39"/>
  <c r="H890" i="39"/>
  <c r="G890" i="39" s="1"/>
  <c r="T883" i="39" l="1"/>
  <c r="T884" i="39"/>
  <c r="F943" i="39"/>
  <c r="E944" i="39"/>
  <c r="H945" i="39"/>
  <c r="G945" i="39" s="1"/>
  <c r="L945" i="39" s="1"/>
  <c r="I946" i="39"/>
  <c r="Z890" i="39"/>
  <c r="AE890" i="39" s="1"/>
  <c r="Y890" i="39"/>
  <c r="X891" i="39"/>
  <c r="AA891" i="39"/>
  <c r="AB892" i="39"/>
  <c r="T876" i="39"/>
  <c r="O888" i="39"/>
  <c r="N889" i="39"/>
  <c r="O889" i="39" s="1"/>
  <c r="Q894" i="39"/>
  <c r="P894" i="39" s="1"/>
  <c r="U893" i="39"/>
  <c r="I892" i="39"/>
  <c r="H891" i="39"/>
  <c r="G891" i="39" s="1"/>
  <c r="F944" i="39" l="1"/>
  <c r="E945" i="39"/>
  <c r="H946" i="39"/>
  <c r="G946" i="39" s="1"/>
  <c r="L946" i="39" s="1"/>
  <c r="I947" i="39"/>
  <c r="Z891" i="39"/>
  <c r="AE891" i="39" s="1"/>
  <c r="Y891" i="39"/>
  <c r="X892" i="39"/>
  <c r="AA892" i="39"/>
  <c r="AB893" i="39"/>
  <c r="N890" i="39"/>
  <c r="O890" i="39" s="1"/>
  <c r="U894" i="39"/>
  <c r="Q895" i="39"/>
  <c r="P895" i="39" s="1"/>
  <c r="I893" i="39"/>
  <c r="H892" i="39"/>
  <c r="G892" i="39" s="1"/>
  <c r="I948" i="39" l="1"/>
  <c r="H947" i="39"/>
  <c r="G947" i="39" s="1"/>
  <c r="L947" i="39" s="1"/>
  <c r="F945" i="39"/>
  <c r="E946" i="39"/>
  <c r="Z892" i="39"/>
  <c r="AE892" i="39" s="1"/>
  <c r="Y892" i="39"/>
  <c r="X893" i="39"/>
  <c r="AB894" i="39"/>
  <c r="AA893" i="39"/>
  <c r="N891" i="39"/>
  <c r="O891" i="39" s="1"/>
  <c r="Q896" i="39"/>
  <c r="P896" i="39" s="1"/>
  <c r="U895" i="39"/>
  <c r="I894" i="39"/>
  <c r="H893" i="39"/>
  <c r="G893" i="39" s="1"/>
  <c r="H948" i="39" l="1"/>
  <c r="G948" i="39" s="1"/>
  <c r="L948" i="39" s="1"/>
  <c r="I949" i="39"/>
  <c r="F946" i="39"/>
  <c r="E947" i="39"/>
  <c r="Z893" i="39"/>
  <c r="AE893" i="39" s="1"/>
  <c r="Y893" i="39"/>
  <c r="X894" i="39"/>
  <c r="AA894" i="39"/>
  <c r="AB895" i="39"/>
  <c r="N892" i="39"/>
  <c r="O892" i="39" s="1"/>
  <c r="Q897" i="39"/>
  <c r="P897" i="39" s="1"/>
  <c r="U896" i="39"/>
  <c r="I895" i="39"/>
  <c r="H894" i="39"/>
  <c r="G894" i="39" s="1"/>
  <c r="H949" i="39" l="1"/>
  <c r="G949" i="39" s="1"/>
  <c r="L949" i="39" s="1"/>
  <c r="I950" i="39"/>
  <c r="F947" i="39"/>
  <c r="E948" i="39"/>
  <c r="Z894" i="39"/>
  <c r="AE894" i="39" s="1"/>
  <c r="Y894" i="39"/>
  <c r="X895" i="39"/>
  <c r="AA895" i="39"/>
  <c r="AB896" i="39"/>
  <c r="N893" i="39"/>
  <c r="O893" i="39" s="1"/>
  <c r="Q898" i="39"/>
  <c r="P898" i="39" s="1"/>
  <c r="U897" i="39"/>
  <c r="I896" i="39"/>
  <c r="H895" i="39"/>
  <c r="G895" i="39" s="1"/>
  <c r="F948" i="39" l="1"/>
  <c r="E949" i="39"/>
  <c r="H950" i="39"/>
  <c r="G950" i="39" s="1"/>
  <c r="L950" i="39" s="1"/>
  <c r="I951" i="39"/>
  <c r="Z895" i="39"/>
  <c r="AE895" i="39" s="1"/>
  <c r="Y895" i="39"/>
  <c r="X896" i="39"/>
  <c r="AA896" i="39"/>
  <c r="AB897" i="39"/>
  <c r="N894" i="39"/>
  <c r="O894" i="39" s="1"/>
  <c r="U898" i="39"/>
  <c r="Q899" i="39"/>
  <c r="P899" i="39" s="1"/>
  <c r="I897" i="39"/>
  <c r="H896" i="39"/>
  <c r="G896" i="39" s="1"/>
  <c r="F949" i="39" l="1"/>
  <c r="E950" i="39"/>
  <c r="H951" i="39"/>
  <c r="G951" i="39" s="1"/>
  <c r="L951" i="39" s="1"/>
  <c r="I952" i="39"/>
  <c r="Z896" i="39"/>
  <c r="AE896" i="39" s="1"/>
  <c r="Y896" i="39"/>
  <c r="X897" i="39"/>
  <c r="AA897" i="39"/>
  <c r="AB898" i="39"/>
  <c r="N895" i="39"/>
  <c r="O895" i="39" s="1"/>
  <c r="Q900" i="39"/>
  <c r="P900" i="39" s="1"/>
  <c r="U899" i="39"/>
  <c r="I898" i="39"/>
  <c r="H897" i="39"/>
  <c r="G897" i="39" s="1"/>
  <c r="F950" i="39" l="1"/>
  <c r="E951" i="39"/>
  <c r="H952" i="39"/>
  <c r="G952" i="39" s="1"/>
  <c r="L952" i="39" s="1"/>
  <c r="I953" i="39"/>
  <c r="Z897" i="39"/>
  <c r="AE897" i="39" s="1"/>
  <c r="Y897" i="39"/>
  <c r="X898" i="39"/>
  <c r="AA898" i="39"/>
  <c r="AB899" i="39"/>
  <c r="N896" i="39"/>
  <c r="O896" i="39" s="1"/>
  <c r="Q901" i="39"/>
  <c r="P901" i="39" s="1"/>
  <c r="U900" i="39"/>
  <c r="I899" i="39"/>
  <c r="H898" i="39"/>
  <c r="G898" i="39" s="1"/>
  <c r="F951" i="39" l="1"/>
  <c r="E952" i="39"/>
  <c r="H953" i="39"/>
  <c r="G953" i="39" s="1"/>
  <c r="L953" i="39" s="1"/>
  <c r="I954" i="39"/>
  <c r="Z898" i="39"/>
  <c r="AE898" i="39" s="1"/>
  <c r="Y898" i="39"/>
  <c r="X899" i="39"/>
  <c r="AA899" i="39"/>
  <c r="AB900" i="39"/>
  <c r="N897" i="39"/>
  <c r="O897" i="39" s="1"/>
  <c r="Q902" i="39"/>
  <c r="P902" i="39" s="1"/>
  <c r="U901" i="39"/>
  <c r="I900" i="39"/>
  <c r="H899" i="39"/>
  <c r="G899" i="39" s="1"/>
  <c r="H954" i="39" l="1"/>
  <c r="G954" i="39" s="1"/>
  <c r="L954" i="39" s="1"/>
  <c r="I955" i="39"/>
  <c r="F952" i="39"/>
  <c r="E953" i="39"/>
  <c r="Z899" i="39"/>
  <c r="AE899" i="39" s="1"/>
  <c r="Y899" i="39"/>
  <c r="X900" i="39"/>
  <c r="AA900" i="39"/>
  <c r="AB901" i="39"/>
  <c r="N898" i="39"/>
  <c r="O898" i="39" s="1"/>
  <c r="Q903" i="39"/>
  <c r="P903" i="39" s="1"/>
  <c r="U902" i="39"/>
  <c r="I901" i="39"/>
  <c r="H900" i="39"/>
  <c r="G900" i="39" s="1"/>
  <c r="H955" i="39" l="1"/>
  <c r="G955" i="39" s="1"/>
  <c r="L955" i="39" s="1"/>
  <c r="I956" i="39"/>
  <c r="F953" i="39"/>
  <c r="E954" i="39"/>
  <c r="Z900" i="39"/>
  <c r="AE900" i="39" s="1"/>
  <c r="Y900" i="39"/>
  <c r="X901" i="39"/>
  <c r="AA901" i="39"/>
  <c r="AB902" i="39"/>
  <c r="N899" i="39"/>
  <c r="O899" i="39" s="1"/>
  <c r="Q904" i="39"/>
  <c r="P904" i="39" s="1"/>
  <c r="U903" i="39"/>
  <c r="I902" i="39"/>
  <c r="H901" i="39"/>
  <c r="G901" i="39" s="1"/>
  <c r="H956" i="39" l="1"/>
  <c r="G956" i="39" s="1"/>
  <c r="L956" i="39" s="1"/>
  <c r="I957" i="39"/>
  <c r="F954" i="39"/>
  <c r="E955" i="39"/>
  <c r="Z901" i="39"/>
  <c r="AE901" i="39" s="1"/>
  <c r="Y901" i="39"/>
  <c r="X902" i="39"/>
  <c r="AA902" i="39"/>
  <c r="AB903" i="39"/>
  <c r="N900" i="39"/>
  <c r="O900" i="39" s="1"/>
  <c r="Q905" i="39"/>
  <c r="P905" i="39" s="1"/>
  <c r="U904" i="39"/>
  <c r="I903" i="39"/>
  <c r="H902" i="39"/>
  <c r="G902" i="39" s="1"/>
  <c r="F955" i="39" l="1"/>
  <c r="E956" i="39"/>
  <c r="H957" i="39"/>
  <c r="G957" i="39" s="1"/>
  <c r="L957" i="39" s="1"/>
  <c r="I958" i="39"/>
  <c r="Z902" i="39"/>
  <c r="AE902" i="39" s="1"/>
  <c r="Y902" i="39"/>
  <c r="X903" i="39"/>
  <c r="AA903" i="39"/>
  <c r="AB904" i="39"/>
  <c r="N901" i="39"/>
  <c r="O901" i="39" s="1"/>
  <c r="Q906" i="39"/>
  <c r="P906" i="39" s="1"/>
  <c r="U905" i="39"/>
  <c r="I904" i="39"/>
  <c r="H903" i="39"/>
  <c r="G903" i="39" s="1"/>
  <c r="H958" i="39" l="1"/>
  <c r="G958" i="39" s="1"/>
  <c r="L958" i="39" s="1"/>
  <c r="I959" i="39"/>
  <c r="F956" i="39"/>
  <c r="E957" i="39"/>
  <c r="Z903" i="39"/>
  <c r="AE903" i="39" s="1"/>
  <c r="Y903" i="39"/>
  <c r="X904" i="39"/>
  <c r="AA904" i="39"/>
  <c r="AB905" i="39"/>
  <c r="N902" i="39"/>
  <c r="O902" i="39" s="1"/>
  <c r="Q907" i="39"/>
  <c r="P907" i="39" s="1"/>
  <c r="U906" i="39"/>
  <c r="I905" i="39"/>
  <c r="H904" i="39"/>
  <c r="G904" i="39" s="1"/>
  <c r="F957" i="39" l="1"/>
  <c r="E958" i="39"/>
  <c r="H959" i="39"/>
  <c r="G959" i="39" s="1"/>
  <c r="L959" i="39" s="1"/>
  <c r="I960" i="39"/>
  <c r="Z904" i="39"/>
  <c r="AE904" i="39" s="1"/>
  <c r="Y904" i="39"/>
  <c r="X905" i="39"/>
  <c r="AA905" i="39"/>
  <c r="AB906" i="39"/>
  <c r="N903" i="39"/>
  <c r="O903" i="39" s="1"/>
  <c r="Q908" i="39"/>
  <c r="P908" i="39" s="1"/>
  <c r="U907" i="39"/>
  <c r="I906" i="39"/>
  <c r="H905" i="39"/>
  <c r="G905" i="39" s="1"/>
  <c r="H960" i="39" l="1"/>
  <c r="G960" i="39" s="1"/>
  <c r="L960" i="39" s="1"/>
  <c r="I961" i="39"/>
  <c r="F958" i="39"/>
  <c r="E959" i="39"/>
  <c r="Z905" i="39"/>
  <c r="AE905" i="39" s="1"/>
  <c r="Y905" i="39"/>
  <c r="X906" i="39"/>
  <c r="AA906" i="39"/>
  <c r="AB907" i="39"/>
  <c r="N904" i="39"/>
  <c r="O904" i="39" s="1"/>
  <c r="Q909" i="39"/>
  <c r="P909" i="39" s="1"/>
  <c r="U908" i="39"/>
  <c r="I907" i="39"/>
  <c r="H906" i="39"/>
  <c r="G906" i="39" s="1"/>
  <c r="F959" i="39" l="1"/>
  <c r="E960" i="39"/>
  <c r="H961" i="39"/>
  <c r="G961" i="39" s="1"/>
  <c r="L961" i="39" s="1"/>
  <c r="I962" i="39"/>
  <c r="Z906" i="39"/>
  <c r="AE906" i="39" s="1"/>
  <c r="Y906" i="39"/>
  <c r="X907" i="39"/>
  <c r="AA907" i="39"/>
  <c r="AB908" i="39"/>
  <c r="N905" i="39"/>
  <c r="O905" i="39" s="1"/>
  <c r="Q910" i="39"/>
  <c r="P910" i="39" s="1"/>
  <c r="U909" i="39"/>
  <c r="I908" i="39"/>
  <c r="H907" i="39"/>
  <c r="G907" i="39" s="1"/>
  <c r="H962" i="39" l="1"/>
  <c r="G962" i="39" s="1"/>
  <c r="L962" i="39" s="1"/>
  <c r="I963" i="39"/>
  <c r="F960" i="39"/>
  <c r="E961" i="39"/>
  <c r="Z907" i="39"/>
  <c r="AE907" i="39" s="1"/>
  <c r="Y907" i="39"/>
  <c r="X908" i="39"/>
  <c r="AA908" i="39"/>
  <c r="AB909" i="39"/>
  <c r="N906" i="39"/>
  <c r="O906" i="39" s="1"/>
  <c r="U910" i="39"/>
  <c r="Q911" i="39"/>
  <c r="P911" i="39" s="1"/>
  <c r="I909" i="39"/>
  <c r="H908" i="39"/>
  <c r="G908" i="39" s="1"/>
  <c r="F961" i="39" l="1"/>
  <c r="E962" i="39"/>
  <c r="H963" i="39"/>
  <c r="G963" i="39" s="1"/>
  <c r="L963" i="39" s="1"/>
  <c r="I964" i="39"/>
  <c r="H964" i="39" s="1"/>
  <c r="G964" i="39" s="1"/>
  <c r="L964" i="39" s="1"/>
  <c r="L965" i="39" s="1"/>
  <c r="L967" i="39" s="1"/>
  <c r="M967" i="39" s="1"/>
  <c r="K939" i="39" s="1"/>
  <c r="Z908" i="39"/>
  <c r="AE908" i="39" s="1"/>
  <c r="Y908" i="39"/>
  <c r="X909" i="39"/>
  <c r="AA909" i="39"/>
  <c r="AB910" i="39"/>
  <c r="N907" i="39"/>
  <c r="O907" i="39" s="1"/>
  <c r="Q912" i="39"/>
  <c r="P912" i="39" s="1"/>
  <c r="U911" i="39"/>
  <c r="I910" i="39"/>
  <c r="H909" i="39"/>
  <c r="G909" i="39" s="1"/>
  <c r="F962" i="39" l="1"/>
  <c r="E963" i="39"/>
  <c r="Z909" i="39"/>
  <c r="AE909" i="39" s="1"/>
  <c r="Y909" i="39"/>
  <c r="X910" i="39"/>
  <c r="AA910" i="39"/>
  <c r="AB911" i="39"/>
  <c r="N908" i="39"/>
  <c r="O908" i="39" s="1"/>
  <c r="Q913" i="39"/>
  <c r="P913" i="39" s="1"/>
  <c r="U912" i="39"/>
  <c r="I911" i="39"/>
  <c r="H910" i="39"/>
  <c r="G910" i="39" s="1"/>
  <c r="F963" i="39" l="1"/>
  <c r="E964" i="39"/>
  <c r="F964" i="39" s="1"/>
  <c r="Z910" i="39"/>
  <c r="AE910" i="39" s="1"/>
  <c r="Y910" i="39"/>
  <c r="X911" i="39"/>
  <c r="AA911" i="39"/>
  <c r="AB912" i="39"/>
  <c r="N909" i="39"/>
  <c r="O909" i="39" s="1"/>
  <c r="Q914" i="39"/>
  <c r="P914" i="39" s="1"/>
  <c r="U913" i="39"/>
  <c r="I912" i="39"/>
  <c r="H911" i="39"/>
  <c r="G911" i="39" s="1"/>
  <c r="Z911" i="39" l="1"/>
  <c r="AE911" i="39" s="1"/>
  <c r="Y911" i="39"/>
  <c r="X912" i="39"/>
  <c r="AA912" i="39"/>
  <c r="AB913" i="39"/>
  <c r="N910" i="39"/>
  <c r="O910" i="39" s="1"/>
  <c r="U914" i="39"/>
  <c r="I913" i="39"/>
  <c r="H912" i="39"/>
  <c r="G912" i="39" s="1"/>
  <c r="Z912" i="39" l="1"/>
  <c r="AE912" i="39" s="1"/>
  <c r="Y912" i="39"/>
  <c r="X913" i="39"/>
  <c r="AA913" i="39"/>
  <c r="AB914" i="39"/>
  <c r="Q915" i="39"/>
  <c r="N911" i="39"/>
  <c r="O911" i="39" s="1"/>
  <c r="I914" i="39"/>
  <c r="H913" i="39"/>
  <c r="G913" i="39" s="1"/>
  <c r="Z913" i="39" l="1"/>
  <c r="AE913" i="39" s="1"/>
  <c r="P915" i="39"/>
  <c r="U915" i="39" s="1"/>
  <c r="U916" i="39" s="1"/>
  <c r="Y913" i="39"/>
  <c r="X914" i="39"/>
  <c r="AA914" i="39"/>
  <c r="AB915" i="39"/>
  <c r="AA915" i="39" s="1"/>
  <c r="N912" i="39"/>
  <c r="O912" i="39" s="1"/>
  <c r="I915" i="39"/>
  <c r="H915" i="39" s="1"/>
  <c r="G915" i="39" s="1"/>
  <c r="H914" i="39"/>
  <c r="G914" i="39" s="1"/>
  <c r="Z914" i="39" l="1"/>
  <c r="AE914" i="39" s="1"/>
  <c r="Z915" i="39"/>
  <c r="AE915" i="39" s="1"/>
  <c r="Y914" i="39"/>
  <c r="X915" i="39"/>
  <c r="Y915" i="39" s="1"/>
  <c r="N913" i="39"/>
  <c r="O913" i="39" s="1"/>
  <c r="AE916" i="39" l="1"/>
  <c r="AE918" i="39" s="1"/>
  <c r="N914" i="39"/>
  <c r="O914" i="39" s="1"/>
  <c r="N915" i="39" l="1"/>
  <c r="O915" i="39" s="1"/>
  <c r="K885" i="39" l="1"/>
  <c r="K883" i="39"/>
  <c r="G126" i="44"/>
  <c r="G125" i="44"/>
  <c r="J18" i="59"/>
  <c r="J18" i="58"/>
  <c r="J18" i="57"/>
  <c r="J18" i="56"/>
  <c r="J18" i="55"/>
  <c r="J18" i="54"/>
  <c r="J18" i="53"/>
  <c r="J18" i="52"/>
  <c r="J18" i="51"/>
  <c r="J18" i="50"/>
  <c r="J18" i="49"/>
  <c r="K18" i="24"/>
  <c r="C86" i="47"/>
  <c r="C88" i="47" s="1"/>
  <c r="M11" i="60"/>
  <c r="N11" i="59"/>
  <c r="N11" i="58"/>
  <c r="N11" i="57"/>
  <c r="N11" i="56"/>
  <c r="N11" i="55"/>
  <c r="N11" i="54"/>
  <c r="N11" i="53"/>
  <c r="N11" i="52"/>
  <c r="N11" i="51"/>
  <c r="N11" i="50"/>
  <c r="N11" i="49"/>
  <c r="S5" i="9" a="1"/>
  <c r="S5" i="9" s="1"/>
  <c r="S6" i="9" a="1"/>
  <c r="S6" i="9" s="1"/>
  <c r="S7" i="9" a="1"/>
  <c r="S7" i="9" s="1"/>
  <c r="S8" i="9" a="1"/>
  <c r="S8" i="9" s="1"/>
  <c r="S9" i="9" a="1"/>
  <c r="S9" i="9" s="1"/>
  <c r="S10" i="9" a="1"/>
  <c r="S10" i="9" s="1"/>
  <c r="S11" i="9" a="1"/>
  <c r="S11" i="9" s="1"/>
  <c r="S12" i="9" a="1"/>
  <c r="S12" i="9" s="1"/>
  <c r="S13" i="9" a="1"/>
  <c r="S13" i="9" s="1"/>
  <c r="S14" i="9" a="1"/>
  <c r="S14" i="9" s="1"/>
  <c r="S15" i="9" a="1"/>
  <c r="S15" i="9" s="1"/>
  <c r="S16" i="9" a="1"/>
  <c r="S16" i="9" s="1"/>
  <c r="S17" i="9" a="1"/>
  <c r="S17" i="9" s="1"/>
  <c r="S18" i="9" a="1"/>
  <c r="S18" i="9" s="1"/>
  <c r="S19" i="9" a="1"/>
  <c r="S19" i="9" s="1"/>
  <c r="S20" i="9" a="1"/>
  <c r="S20" i="9" s="1"/>
  <c r="S21" i="9" a="1"/>
  <c r="S21" i="9" s="1"/>
  <c r="S22" i="9" a="1"/>
  <c r="S22" i="9" s="1"/>
  <c r="S23" i="9" a="1"/>
  <c r="S23" i="9" s="1"/>
  <c r="S24" i="9" a="1"/>
  <c r="S24" i="9" s="1"/>
  <c r="S25" i="9" a="1"/>
  <c r="S25" i="9" s="1"/>
  <c r="S26" i="9" a="1"/>
  <c r="S26" i="9" s="1"/>
  <c r="S27" i="9" a="1"/>
  <c r="S27" i="9" s="1"/>
  <c r="S28" i="9" a="1"/>
  <c r="S28" i="9" s="1"/>
  <c r="S29" i="9" a="1"/>
  <c r="S29" i="9" s="1"/>
  <c r="S30" i="9" a="1"/>
  <c r="S30" i="9" s="1"/>
  <c r="S31" i="9" a="1"/>
  <c r="S31" i="9" s="1"/>
  <c r="S32" i="9" a="1"/>
  <c r="S32" i="9" s="1"/>
  <c r="S33" i="9" a="1"/>
  <c r="S33" i="9" s="1"/>
  <c r="S34" i="9" a="1"/>
  <c r="S34" i="9" s="1"/>
  <c r="S35" i="9" a="1"/>
  <c r="S35" i="9" s="1"/>
  <c r="S36" i="9" a="1"/>
  <c r="S36" i="9" s="1"/>
  <c r="S37" i="9" a="1"/>
  <c r="S37" i="9" s="1"/>
  <c r="S38" i="9" a="1"/>
  <c r="S38" i="9" s="1"/>
  <c r="S39" i="9" a="1"/>
  <c r="S39" i="9" s="1"/>
  <c r="S40" i="9" a="1"/>
  <c r="S40" i="9" s="1"/>
  <c r="S41" i="9" a="1"/>
  <c r="S41" i="9" s="1"/>
  <c r="S42" i="9" a="1"/>
  <c r="S42" i="9" s="1"/>
  <c r="S43" i="9" a="1"/>
  <c r="S43" i="9" s="1"/>
  <c r="S44" i="9" a="1"/>
  <c r="S44" i="9" s="1"/>
  <c r="S45" i="9" a="1"/>
  <c r="S45" i="9" s="1"/>
  <c r="S46" i="9" a="1"/>
  <c r="S46" i="9" s="1"/>
  <c r="S47" i="9" a="1"/>
  <c r="S47" i="9" s="1"/>
  <c r="S48" i="9" a="1"/>
  <c r="S48" i="9" s="1"/>
  <c r="S49" i="9" a="1"/>
  <c r="S49" i="9" s="1"/>
  <c r="S50" i="9" a="1"/>
  <c r="S50" i="9" s="1"/>
  <c r="S51" i="9" a="1"/>
  <c r="S51" i="9" s="1"/>
  <c r="S52" i="9" a="1"/>
  <c r="S52" i="9" s="1"/>
  <c r="S53" i="9" a="1"/>
  <c r="S53" i="9" s="1"/>
  <c r="S54" i="9" a="1"/>
  <c r="S54" i="9" s="1"/>
  <c r="S55" i="9" a="1"/>
  <c r="S55" i="9" s="1"/>
  <c r="S56" i="9" a="1"/>
  <c r="S56" i="9" s="1"/>
  <c r="S57" i="9" a="1"/>
  <c r="S57" i="9" s="1"/>
  <c r="S58" i="9" a="1"/>
  <c r="S58" i="9" s="1"/>
  <c r="S59" i="9" a="1"/>
  <c r="S59" i="9" s="1"/>
  <c r="S60" i="9" a="1"/>
  <c r="S60" i="9" s="1"/>
  <c r="S61" i="9" a="1"/>
  <c r="S61" i="9" s="1"/>
  <c r="S62" i="9" a="1"/>
  <c r="S62" i="9" s="1"/>
  <c r="S63" i="9" a="1"/>
  <c r="S63" i="9" s="1"/>
  <c r="S64" i="9" a="1"/>
  <c r="S64" i="9" s="1"/>
  <c r="S65" i="9" a="1"/>
  <c r="S65" i="9" s="1"/>
  <c r="S66" i="9" a="1"/>
  <c r="S66" i="9" s="1"/>
  <c r="S67" i="9" a="1"/>
  <c r="S67" i="9" s="1"/>
  <c r="S68" i="9" a="1"/>
  <c r="S68" i="9" s="1"/>
  <c r="S69" i="9" a="1"/>
  <c r="S69" i="9" s="1"/>
  <c r="S70" i="9" a="1"/>
  <c r="S70" i="9" s="1"/>
  <c r="S71" i="9" a="1"/>
  <c r="S71" i="9" s="1"/>
  <c r="S72" i="9" a="1"/>
  <c r="S72" i="9" s="1"/>
  <c r="S73" i="9" a="1"/>
  <c r="S73" i="9" s="1"/>
  <c r="S74" i="9" a="1"/>
  <c r="S74" i="9" s="1"/>
  <c r="S75" i="9" a="1"/>
  <c r="S75" i="9" s="1"/>
  <c r="S76" i="9" a="1"/>
  <c r="S76" i="9" s="1"/>
  <c r="S77" i="9" a="1"/>
  <c r="S77" i="9" s="1"/>
  <c r="S78" i="9" a="1"/>
  <c r="S78" i="9" s="1"/>
  <c r="S79" i="9" a="1"/>
  <c r="S79" i="9" s="1"/>
  <c r="S80" i="9" a="1"/>
  <c r="S80" i="9" s="1"/>
  <c r="S81" i="9" a="1"/>
  <c r="S81" i="9" s="1"/>
  <c r="S82" i="9" a="1"/>
  <c r="S82" i="9" s="1"/>
  <c r="S83" i="9" a="1"/>
  <c r="S83" i="9" s="1"/>
  <c r="S84" i="9" a="1"/>
  <c r="S84" i="9" s="1"/>
  <c r="S85" i="9" a="1"/>
  <c r="S85" i="9" s="1"/>
  <c r="S86" i="9" a="1"/>
  <c r="S86" i="9" s="1"/>
  <c r="S87" i="9" a="1"/>
  <c r="S87" i="9" s="1"/>
  <c r="S88" i="9" a="1"/>
  <c r="S88" i="9" s="1"/>
  <c r="S89" i="9" a="1"/>
  <c r="S89" i="9" s="1"/>
  <c r="S90" i="9" a="1"/>
  <c r="S90" i="9" s="1"/>
  <c r="S91" i="9" a="1"/>
  <c r="S91" i="9" s="1"/>
  <c r="S92" i="9" a="1"/>
  <c r="S92" i="9" s="1"/>
  <c r="S93" i="9" a="1"/>
  <c r="S93" i="9" s="1"/>
  <c r="S94" i="9" a="1"/>
  <c r="S94" i="9" s="1"/>
  <c r="S95" i="9" a="1"/>
  <c r="S95" i="9" s="1"/>
  <c r="S96" i="9" a="1"/>
  <c r="S96" i="9" s="1"/>
  <c r="S97" i="9" a="1"/>
  <c r="S97" i="9" s="1"/>
  <c r="S98" i="9" a="1"/>
  <c r="S98" i="9" s="1"/>
  <c r="S99" i="9" a="1"/>
  <c r="S99" i="9" s="1"/>
  <c r="S100" i="9" a="1"/>
  <c r="S100" i="9" s="1"/>
  <c r="S101" i="9" a="1"/>
  <c r="S101" i="9" s="1"/>
  <c r="S102" i="9" a="1"/>
  <c r="S102" i="9" s="1"/>
  <c r="S103" i="9" a="1"/>
  <c r="S103" i="9" s="1"/>
  <c r="S104" i="9" a="1"/>
  <c r="S104" i="9" s="1"/>
  <c r="S105" i="9" a="1"/>
  <c r="S105" i="9" s="1"/>
  <c r="S106" i="9" a="1"/>
  <c r="S106" i="9" s="1"/>
  <c r="S107" i="9" a="1"/>
  <c r="S107" i="9" s="1"/>
  <c r="S108" i="9" a="1"/>
  <c r="S108" i="9" s="1"/>
  <c r="S109" i="9" a="1"/>
  <c r="S109" i="9" s="1"/>
  <c r="S110" i="9" a="1"/>
  <c r="S110" i="9" s="1"/>
  <c r="S111" i="9" a="1"/>
  <c r="S111" i="9" s="1"/>
  <c r="S112" i="9" a="1"/>
  <c r="S112" i="9" s="1"/>
  <c r="S113" i="9" a="1"/>
  <c r="S113" i="9" s="1"/>
  <c r="S114" i="9" a="1"/>
  <c r="S114" i="9" s="1"/>
  <c r="S115" i="9" a="1"/>
  <c r="S115" i="9" s="1"/>
  <c r="S116" i="9" a="1"/>
  <c r="S116" i="9" s="1"/>
  <c r="S117" i="9" a="1"/>
  <c r="S117" i="9" s="1"/>
  <c r="S118" i="9" a="1"/>
  <c r="S118" i="9" s="1"/>
  <c r="S119" i="9" a="1"/>
  <c r="S119" i="9" s="1"/>
  <c r="S120" i="9" a="1"/>
  <c r="S120" i="9" s="1"/>
  <c r="S121" i="9" a="1"/>
  <c r="S121" i="9" s="1"/>
  <c r="S122" i="9" a="1"/>
  <c r="S122" i="9" s="1"/>
  <c r="S123" i="9" a="1"/>
  <c r="S123" i="9" s="1"/>
  <c r="S124" i="9" a="1"/>
  <c r="S124" i="9" s="1"/>
  <c r="S125" i="9" a="1"/>
  <c r="S125" i="9" s="1"/>
  <c r="S126" i="9" a="1"/>
  <c r="S126" i="9" s="1"/>
  <c r="S127" i="9" a="1"/>
  <c r="S127" i="9" s="1"/>
  <c r="S128" i="9" a="1"/>
  <c r="S128" i="9" s="1"/>
  <c r="S129" i="9" a="1"/>
  <c r="S129" i="9" s="1"/>
  <c r="S130" i="9" a="1"/>
  <c r="S130" i="9" s="1"/>
  <c r="S131" i="9" a="1"/>
  <c r="S131" i="9" s="1"/>
  <c r="S132" i="9" a="1"/>
  <c r="S132" i="9" s="1"/>
  <c r="S133" i="9" a="1"/>
  <c r="S133" i="9" s="1"/>
  <c r="S134" i="9" a="1"/>
  <c r="S134" i="9" s="1"/>
  <c r="S135" i="9" a="1"/>
  <c r="S135" i="9" s="1"/>
  <c r="S136" i="9" a="1"/>
  <c r="S136" i="9" s="1"/>
  <c r="S137" i="9" a="1"/>
  <c r="S137" i="9" s="1"/>
  <c r="S138" i="9" a="1"/>
  <c r="S138" i="9" s="1"/>
  <c r="S139" i="9" a="1"/>
  <c r="S139" i="9" s="1"/>
  <c r="S140" i="9" a="1"/>
  <c r="S140" i="9" s="1"/>
  <c r="S141" i="9" a="1"/>
  <c r="S141" i="9" s="1"/>
  <c r="S142" i="9" a="1"/>
  <c r="S142" i="9" s="1"/>
  <c r="S143" i="9" a="1"/>
  <c r="S143" i="9" s="1"/>
  <c r="S144" i="9" a="1"/>
  <c r="S144" i="9" s="1"/>
  <c r="S145" i="9" a="1"/>
  <c r="S145" i="9" s="1"/>
  <c r="S146" i="9" a="1"/>
  <c r="S146" i="9" s="1"/>
  <c r="S147" i="9" a="1"/>
  <c r="S147" i="9" s="1"/>
  <c r="S148" i="9" a="1"/>
  <c r="S148" i="9" s="1"/>
  <c r="S149" i="9" a="1"/>
  <c r="S149" i="9" s="1"/>
  <c r="S150" i="9" a="1"/>
  <c r="S150" i="9" s="1"/>
  <c r="S151" i="9" a="1"/>
  <c r="S151" i="9" s="1"/>
  <c r="S152" i="9" a="1"/>
  <c r="S152" i="9" s="1"/>
  <c r="S153" i="9" a="1"/>
  <c r="S153" i="9" s="1"/>
  <c r="S154" i="9" a="1"/>
  <c r="S154" i="9" s="1"/>
  <c r="S155" i="9" a="1"/>
  <c r="S155" i="9" s="1"/>
  <c r="S156" i="9" a="1"/>
  <c r="S156" i="9" s="1"/>
  <c r="S157" i="9" a="1"/>
  <c r="S157" i="9" s="1"/>
  <c r="S158" i="9" a="1"/>
  <c r="S158" i="9" s="1"/>
  <c r="S159" i="9" a="1"/>
  <c r="S159" i="9" s="1"/>
  <c r="S160" i="9" a="1"/>
  <c r="S160" i="9" s="1"/>
  <c r="S161" i="9" a="1"/>
  <c r="S161" i="9" s="1"/>
  <c r="S162" i="9" a="1"/>
  <c r="S162" i="9" s="1"/>
  <c r="S163" i="9" a="1"/>
  <c r="S163" i="9" s="1"/>
  <c r="S164" i="9" a="1"/>
  <c r="S164" i="9" s="1"/>
  <c r="S165" i="9" a="1"/>
  <c r="S165" i="9" s="1"/>
  <c r="S166" i="9" a="1"/>
  <c r="S166" i="9" s="1"/>
  <c r="S167" i="9" a="1"/>
  <c r="S167" i="9" s="1"/>
  <c r="S168" i="9" a="1"/>
  <c r="S168" i="9" s="1"/>
  <c r="S169" i="9" a="1"/>
  <c r="S169" i="9" s="1"/>
  <c r="S170" i="9" a="1"/>
  <c r="S170" i="9" s="1"/>
  <c r="S171" i="9" a="1"/>
  <c r="S171" i="9" s="1"/>
  <c r="S172" i="9" a="1"/>
  <c r="S172" i="9" s="1"/>
  <c r="S173" i="9" a="1"/>
  <c r="S173" i="9" s="1"/>
  <c r="S174" i="9" a="1"/>
  <c r="S174" i="9" s="1"/>
  <c r="S175" i="9" a="1"/>
  <c r="S175" i="9" s="1"/>
  <c r="S176" i="9" a="1"/>
  <c r="S176" i="9" s="1"/>
  <c r="S177" i="9" a="1"/>
  <c r="S177" i="9" s="1"/>
  <c r="S178" i="9" a="1"/>
  <c r="S178" i="9" s="1"/>
  <c r="S179" i="9" a="1"/>
  <c r="S179" i="9" s="1"/>
  <c r="S180" i="9" a="1"/>
  <c r="S180" i="9" s="1"/>
  <c r="S181" i="9" a="1"/>
  <c r="S181" i="9" s="1"/>
  <c r="S182" i="9" a="1"/>
  <c r="S182" i="9" s="1"/>
  <c r="S183" i="9" a="1"/>
  <c r="S183" i="9" s="1"/>
  <c r="S184" i="9" a="1"/>
  <c r="S184" i="9" s="1"/>
  <c r="S185" i="9" a="1"/>
  <c r="S185" i="9" s="1"/>
  <c r="S186" i="9" a="1"/>
  <c r="S186" i="9" s="1"/>
  <c r="S187" i="9" a="1"/>
  <c r="S187" i="9" s="1"/>
  <c r="S188" i="9" a="1"/>
  <c r="S188" i="9" s="1"/>
  <c r="S189" i="9" a="1"/>
  <c r="S189" i="9" s="1"/>
  <c r="S190" i="9" a="1"/>
  <c r="S190" i="9" s="1"/>
  <c r="S191" i="9" a="1"/>
  <c r="S191" i="9" s="1"/>
  <c r="S192" i="9" a="1"/>
  <c r="S192" i="9" s="1"/>
  <c r="S193" i="9" a="1"/>
  <c r="S193" i="9" s="1"/>
  <c r="S194" i="9" a="1"/>
  <c r="S194" i="9" s="1"/>
  <c r="S195" i="9" a="1"/>
  <c r="S195" i="9" s="1"/>
  <c r="S196" i="9" a="1"/>
  <c r="S196" i="9" s="1"/>
  <c r="S197" i="9" a="1"/>
  <c r="S197" i="9" s="1"/>
  <c r="S198" i="9" a="1"/>
  <c r="S198" i="9" s="1"/>
  <c r="S199" i="9" a="1"/>
  <c r="S199" i="9" s="1"/>
  <c r="S200" i="9" a="1"/>
  <c r="S200" i="9" s="1"/>
  <c r="S201" i="9" a="1"/>
  <c r="S201" i="9" s="1"/>
  <c r="S202" i="9" a="1"/>
  <c r="S202" i="9" s="1"/>
  <c r="S203" i="9" a="1"/>
  <c r="S203" i="9" s="1"/>
  <c r="S204" i="9" a="1"/>
  <c r="S204" i="9" s="1"/>
  <c r="S205" i="9" a="1"/>
  <c r="S205" i="9" s="1"/>
  <c r="S206" i="9" a="1"/>
  <c r="S206" i="9" s="1"/>
  <c r="S207" i="9" a="1"/>
  <c r="S207" i="9" s="1"/>
  <c r="S208" i="9" a="1"/>
  <c r="S208" i="9" s="1"/>
  <c r="S209" i="9" a="1"/>
  <c r="S209" i="9" s="1"/>
  <c r="S210" i="9" a="1"/>
  <c r="S210" i="9" s="1"/>
  <c r="S211" i="9" a="1"/>
  <c r="S211" i="9" s="1"/>
  <c r="S212" i="9" a="1"/>
  <c r="S212" i="9" s="1"/>
  <c r="S213" i="9" a="1"/>
  <c r="S213" i="9" s="1"/>
  <c r="S214" i="9" a="1"/>
  <c r="S214" i="9" s="1"/>
  <c r="S215" i="9" a="1"/>
  <c r="S215" i="9" s="1"/>
  <c r="S216" i="9" a="1"/>
  <c r="S216" i="9" s="1"/>
  <c r="S217" i="9" a="1"/>
  <c r="S217" i="9" s="1"/>
  <c r="S218" i="9" a="1"/>
  <c r="S218" i="9" s="1"/>
  <c r="S219" i="9" a="1"/>
  <c r="S219" i="9" s="1"/>
  <c r="S220" i="9" a="1"/>
  <c r="S220" i="9" s="1"/>
  <c r="S221" i="9" a="1"/>
  <c r="S221" i="9" s="1"/>
  <c r="S222" i="9" a="1"/>
  <c r="S222" i="9" s="1"/>
  <c r="S223" i="9" a="1"/>
  <c r="S223" i="9" s="1"/>
  <c r="S224" i="9" a="1"/>
  <c r="S224" i="9" s="1"/>
  <c r="S225" i="9" a="1"/>
  <c r="S225" i="9" s="1"/>
  <c r="S226" i="9" a="1"/>
  <c r="S226" i="9" s="1"/>
  <c r="S227" i="9" a="1"/>
  <c r="S227" i="9" s="1"/>
  <c r="S228" i="9" a="1"/>
  <c r="S228" i="9" s="1"/>
  <c r="S229" i="9" a="1"/>
  <c r="S229" i="9" s="1"/>
  <c r="S230" i="9" a="1"/>
  <c r="S230" i="9" s="1"/>
  <c r="S231" i="9" a="1"/>
  <c r="S231" i="9" s="1"/>
  <c r="S232" i="9" a="1"/>
  <c r="S232" i="9" s="1"/>
  <c r="S233" i="9" a="1"/>
  <c r="S233" i="9" s="1"/>
  <c r="S234" i="9" a="1"/>
  <c r="S234" i="9" s="1"/>
  <c r="S235" i="9" a="1"/>
  <c r="S235" i="9" s="1"/>
  <c r="S236" i="9" a="1"/>
  <c r="S236" i="9" s="1"/>
  <c r="S237" i="9" a="1"/>
  <c r="S237" i="9" s="1"/>
  <c r="S238" i="9" a="1"/>
  <c r="S238" i="9" s="1"/>
  <c r="S239" i="9" a="1"/>
  <c r="S239" i="9" s="1"/>
  <c r="S240" i="9" a="1"/>
  <c r="S240" i="9" s="1"/>
  <c r="S241" i="9" a="1"/>
  <c r="S241" i="9" s="1"/>
  <c r="S242" i="9" a="1"/>
  <c r="S242" i="9" s="1"/>
  <c r="S243" i="9" a="1"/>
  <c r="S243" i="9" s="1"/>
  <c r="S244" i="9" a="1"/>
  <c r="S244" i="9" s="1"/>
  <c r="S245" i="9" a="1"/>
  <c r="S245" i="9" s="1"/>
  <c r="S246" i="9" a="1"/>
  <c r="S246" i="9" s="1"/>
  <c r="S247" i="9" a="1"/>
  <c r="S247" i="9" s="1"/>
  <c r="S248" i="9" a="1"/>
  <c r="S248" i="9" s="1"/>
  <c r="S249" i="9" a="1"/>
  <c r="S249" i="9" s="1"/>
  <c r="S250" i="9" a="1"/>
  <c r="S250" i="9" s="1"/>
  <c r="S251" i="9" a="1"/>
  <c r="S251" i="9" s="1"/>
  <c r="S252" i="9" a="1"/>
  <c r="S252" i="9" s="1"/>
  <c r="S253" i="9" a="1"/>
  <c r="S253" i="9" s="1"/>
  <c r="S254" i="9" a="1"/>
  <c r="S254" i="9" s="1"/>
  <c r="S255" i="9" a="1"/>
  <c r="S255" i="9" s="1"/>
  <c r="S256" i="9" a="1"/>
  <c r="S256" i="9" s="1"/>
  <c r="S257" i="9" a="1"/>
  <c r="S257" i="9" s="1"/>
  <c r="S258" i="9" a="1"/>
  <c r="S258" i="9" s="1"/>
  <c r="S259" i="9" a="1"/>
  <c r="S259" i="9" s="1"/>
  <c r="S260" i="9" a="1"/>
  <c r="S260" i="9" s="1"/>
  <c r="S261" i="9" a="1"/>
  <c r="S261" i="9" s="1"/>
  <c r="S262" i="9" a="1"/>
  <c r="S262" i="9" s="1"/>
  <c r="S263" i="9" a="1"/>
  <c r="S263" i="9" s="1"/>
  <c r="S264" i="9" a="1"/>
  <c r="S264" i="9" s="1"/>
  <c r="S265" i="9" a="1"/>
  <c r="S265" i="9" s="1"/>
  <c r="S266" i="9" a="1"/>
  <c r="S266" i="9" s="1"/>
  <c r="S267" i="9" a="1"/>
  <c r="S267" i="9" s="1"/>
  <c r="S268" i="9" a="1"/>
  <c r="S268" i="9" s="1"/>
  <c r="S269" i="9" a="1"/>
  <c r="S269" i="9" s="1"/>
  <c r="S270" i="9" a="1"/>
  <c r="S270" i="9" s="1"/>
  <c r="S271" i="9" a="1"/>
  <c r="S271" i="9" s="1"/>
  <c r="S272" i="9" a="1"/>
  <c r="S272" i="9" s="1"/>
  <c r="S273" i="9" a="1"/>
  <c r="S273" i="9" s="1"/>
  <c r="S274" i="9" a="1"/>
  <c r="S274" i="9" s="1"/>
  <c r="S275" i="9" a="1"/>
  <c r="S275" i="9" s="1"/>
  <c r="S276" i="9" a="1"/>
  <c r="S276" i="9" s="1"/>
  <c r="S277" i="9" a="1"/>
  <c r="S277" i="9" s="1"/>
  <c r="S278" i="9" a="1"/>
  <c r="S278" i="9" s="1"/>
  <c r="S279" i="9" a="1"/>
  <c r="S279" i="9" s="1"/>
  <c r="S280" i="9" a="1"/>
  <c r="S280" i="9" s="1"/>
  <c r="S281" i="9" a="1"/>
  <c r="S281" i="9" s="1"/>
  <c r="S282" i="9" a="1"/>
  <c r="S282" i="9" s="1"/>
  <c r="S283" i="9" a="1"/>
  <c r="S283" i="9" s="1"/>
  <c r="S284" i="9" a="1"/>
  <c r="S284" i="9" s="1"/>
  <c r="S285" i="9" a="1"/>
  <c r="S285" i="9" s="1"/>
  <c r="S286" i="9" a="1"/>
  <c r="S286" i="9" s="1"/>
  <c r="S287" i="9" a="1"/>
  <c r="S287" i="9" s="1"/>
  <c r="S288" i="9" a="1"/>
  <c r="S288" i="9" s="1"/>
  <c r="S289" i="9" a="1"/>
  <c r="S289" i="9" s="1"/>
  <c r="S290" i="9" a="1"/>
  <c r="S290" i="9" s="1"/>
  <c r="S291" i="9" a="1"/>
  <c r="S291" i="9" s="1"/>
  <c r="S292" i="9" a="1"/>
  <c r="S292" i="9" s="1"/>
  <c r="S293" i="9" a="1"/>
  <c r="S293" i="9" s="1"/>
  <c r="S294" i="9" a="1"/>
  <c r="S294" i="9" s="1"/>
  <c r="S295" i="9" a="1"/>
  <c r="S295" i="9" s="1"/>
  <c r="S296" i="9" a="1"/>
  <c r="S296" i="9" s="1"/>
  <c r="S297" i="9" a="1"/>
  <c r="S297" i="9" s="1"/>
  <c r="S298" i="9" a="1"/>
  <c r="S298" i="9" s="1"/>
  <c r="S299" i="9" a="1"/>
  <c r="S299" i="9" s="1"/>
  <c r="S300" i="9" a="1"/>
  <c r="S300" i="9" s="1"/>
  <c r="S301" i="9" a="1"/>
  <c r="S301" i="9" s="1"/>
  <c r="S302" i="9" a="1"/>
  <c r="S302" i="9" s="1"/>
  <c r="S303" i="9" a="1"/>
  <c r="S303" i="9" s="1"/>
  <c r="S304" i="9" a="1"/>
  <c r="S304" i="9" s="1"/>
  <c r="S305" i="9" a="1"/>
  <c r="S305" i="9" s="1"/>
  <c r="S306" i="9" a="1"/>
  <c r="S306" i="9" s="1"/>
  <c r="S307" i="9" a="1"/>
  <c r="S307" i="9" s="1"/>
  <c r="S308" i="9" a="1"/>
  <c r="S308" i="9" s="1"/>
  <c r="S309" i="9" a="1"/>
  <c r="S309" i="9" s="1"/>
  <c r="S310" i="9" a="1"/>
  <c r="S310" i="9" s="1"/>
  <c r="S311" i="9" a="1"/>
  <c r="S311" i="9" s="1"/>
  <c r="S312" i="9" a="1"/>
  <c r="S312" i="9" s="1"/>
  <c r="S313" i="9" a="1"/>
  <c r="S313" i="9" s="1"/>
  <c r="S314" i="9" a="1"/>
  <c r="S314" i="9" s="1"/>
  <c r="S315" i="9" a="1"/>
  <c r="S315" i="9" s="1"/>
  <c r="S316" i="9" a="1"/>
  <c r="S316" i="9" s="1"/>
  <c r="S317" i="9" a="1"/>
  <c r="S317" i="9" s="1"/>
  <c r="S318" i="9" a="1"/>
  <c r="S318" i="9" s="1"/>
  <c r="S319" i="9" a="1"/>
  <c r="S319" i="9" s="1"/>
  <c r="S320" i="9" a="1"/>
  <c r="S320" i="9" s="1"/>
  <c r="S321" i="9" a="1"/>
  <c r="S321" i="9" s="1"/>
  <c r="S322" i="9" a="1"/>
  <c r="S322" i="9" s="1"/>
  <c r="S323" i="9" a="1"/>
  <c r="S323" i="9" s="1"/>
  <c r="S324" i="9" a="1"/>
  <c r="S324" i="9" s="1"/>
  <c r="S325" i="9" a="1"/>
  <c r="S325" i="9" s="1"/>
  <c r="S326" i="9" a="1"/>
  <c r="S326" i="9" s="1"/>
  <c r="S327" i="9" a="1"/>
  <c r="S327" i="9" s="1"/>
  <c r="S328" i="9" a="1"/>
  <c r="S328" i="9" s="1"/>
  <c r="S329" i="9" a="1"/>
  <c r="S329" i="9" s="1"/>
  <c r="S330" i="9" a="1"/>
  <c r="S330" i="9" s="1"/>
  <c r="S331" i="9" a="1"/>
  <c r="S331" i="9" s="1"/>
  <c r="S332" i="9" a="1"/>
  <c r="S332" i="9" s="1"/>
  <c r="S333" i="9" a="1"/>
  <c r="S333" i="9" s="1"/>
  <c r="S334" i="9" a="1"/>
  <c r="S334" i="9" s="1"/>
  <c r="S335" i="9" a="1"/>
  <c r="S335" i="9" s="1"/>
  <c r="S336" i="9" a="1"/>
  <c r="S336" i="9" s="1"/>
  <c r="S337" i="9" a="1"/>
  <c r="S337" i="9" s="1"/>
  <c r="S338" i="9" a="1"/>
  <c r="S338" i="9" s="1"/>
  <c r="S339" i="9" a="1"/>
  <c r="S339" i="9" s="1"/>
  <c r="S340" i="9" a="1"/>
  <c r="S340" i="9" s="1"/>
  <c r="S341" i="9" a="1"/>
  <c r="S341" i="9" s="1"/>
  <c r="S342" i="9" a="1"/>
  <c r="S342" i="9" s="1"/>
  <c r="S343" i="9" a="1"/>
  <c r="S343" i="9" s="1"/>
  <c r="S344" i="9" a="1"/>
  <c r="S344" i="9" s="1"/>
  <c r="S345" i="9" a="1"/>
  <c r="S345" i="9" s="1"/>
  <c r="S346" i="9" a="1"/>
  <c r="S346" i="9" s="1"/>
  <c r="S347" i="9" a="1"/>
  <c r="S347" i="9" s="1"/>
  <c r="S348" i="9" a="1"/>
  <c r="S348" i="9" s="1"/>
  <c r="S349" i="9" a="1"/>
  <c r="S349" i="9" s="1"/>
  <c r="S350" i="9" a="1"/>
  <c r="S350" i="9" s="1"/>
  <c r="S351" i="9" a="1"/>
  <c r="S351" i="9" s="1"/>
  <c r="S352" i="9" a="1"/>
  <c r="S352" i="9" s="1"/>
  <c r="S353" i="9" a="1"/>
  <c r="S353" i="9" s="1"/>
  <c r="S354" i="9" a="1"/>
  <c r="S354" i="9" s="1"/>
  <c r="S355" i="9" a="1"/>
  <c r="S355" i="9" s="1"/>
  <c r="S356" i="9" a="1"/>
  <c r="S356" i="9" s="1"/>
  <c r="S357" i="9" a="1"/>
  <c r="S357" i="9" s="1"/>
  <c r="S358" i="9" a="1"/>
  <c r="S358" i="9" s="1"/>
  <c r="S359" i="9" a="1"/>
  <c r="S359" i="9" s="1"/>
  <c r="S360" i="9" a="1"/>
  <c r="S360" i="9" s="1"/>
  <c r="S361" i="9" a="1"/>
  <c r="S361" i="9" s="1"/>
  <c r="S362" i="9" a="1"/>
  <c r="S362" i="9" s="1"/>
  <c r="S363" i="9" a="1"/>
  <c r="S363" i="9" s="1"/>
  <c r="S364" i="9" a="1"/>
  <c r="S364" i="9" s="1"/>
  <c r="S365" i="9" a="1"/>
  <c r="S365" i="9" s="1"/>
  <c r="S366" i="9" a="1"/>
  <c r="S366" i="9" s="1"/>
  <c r="S367" i="9" a="1"/>
  <c r="S367" i="9" s="1"/>
  <c r="S368" i="9" a="1"/>
  <c r="S368" i="9" s="1"/>
  <c r="S369" i="9" a="1"/>
  <c r="S369" i="9" s="1"/>
  <c r="S370" i="9" a="1"/>
  <c r="S370" i="9" s="1"/>
  <c r="S371" i="9" a="1"/>
  <c r="S371" i="9" s="1"/>
  <c r="S372" i="9" a="1"/>
  <c r="S372" i="9" s="1"/>
  <c r="S373" i="9" a="1"/>
  <c r="S373" i="9" s="1"/>
  <c r="S374" i="9" a="1"/>
  <c r="S374" i="9" s="1"/>
  <c r="S375" i="9" a="1"/>
  <c r="S375" i="9" s="1"/>
  <c r="S376" i="9" a="1"/>
  <c r="S376" i="9" s="1"/>
  <c r="S377" i="9" a="1"/>
  <c r="S377" i="9" s="1"/>
  <c r="S378" i="9" a="1"/>
  <c r="S378" i="9" s="1"/>
  <c r="S379" i="9" a="1"/>
  <c r="S379" i="9" s="1"/>
  <c r="S380" i="9" a="1"/>
  <c r="S380" i="9" s="1"/>
  <c r="S381" i="9" a="1"/>
  <c r="S381" i="9" s="1"/>
  <c r="S382" i="9" a="1"/>
  <c r="S382" i="9" s="1"/>
  <c r="S383" i="9" a="1"/>
  <c r="S383" i="9" s="1"/>
  <c r="S384" i="9" a="1"/>
  <c r="S384" i="9" s="1"/>
  <c r="S385" i="9" a="1"/>
  <c r="S385" i="9" s="1"/>
  <c r="S386" i="9" a="1"/>
  <c r="S386" i="9" s="1"/>
  <c r="S387" i="9" a="1"/>
  <c r="S387" i="9" s="1"/>
  <c r="S388" i="9" a="1"/>
  <c r="S388" i="9" s="1"/>
  <c r="S389" i="9" a="1"/>
  <c r="S389" i="9" s="1"/>
  <c r="S390" i="9" a="1"/>
  <c r="S390" i="9" s="1"/>
  <c r="S391" i="9" a="1"/>
  <c r="S391" i="9" s="1"/>
  <c r="S392" i="9" a="1"/>
  <c r="S392" i="9" s="1"/>
  <c r="S393" i="9" a="1"/>
  <c r="S393" i="9" s="1"/>
  <c r="S394" i="9" a="1"/>
  <c r="S394" i="9" s="1"/>
  <c r="S395" i="9" a="1"/>
  <c r="S395" i="9" s="1"/>
  <c r="S396" i="9" a="1"/>
  <c r="S396" i="9" s="1"/>
  <c r="S397" i="9" a="1"/>
  <c r="S397" i="9" s="1"/>
  <c r="S398" i="9" a="1"/>
  <c r="S398" i="9" s="1"/>
  <c r="S399" i="9" a="1"/>
  <c r="S399" i="9" s="1"/>
  <c r="S400" i="9" a="1"/>
  <c r="S400" i="9" s="1"/>
  <c r="S401" i="9" a="1"/>
  <c r="S401" i="9" s="1"/>
  <c r="S402" i="9" a="1"/>
  <c r="S402" i="9" s="1"/>
  <c r="S403" i="9" a="1"/>
  <c r="S403" i="9" s="1"/>
  <c r="S404" i="9" a="1"/>
  <c r="S404" i="9" s="1"/>
  <c r="S405" i="9" a="1"/>
  <c r="S405" i="9" s="1"/>
  <c r="S406" i="9" a="1"/>
  <c r="S406" i="9" s="1"/>
  <c r="S407" i="9" a="1"/>
  <c r="S407" i="9" s="1"/>
  <c r="S408" i="9" a="1"/>
  <c r="S408" i="9" s="1"/>
  <c r="S409" i="9" a="1"/>
  <c r="S409" i="9" s="1"/>
  <c r="S410" i="9" a="1"/>
  <c r="S410" i="9" s="1"/>
  <c r="S411" i="9" a="1"/>
  <c r="S411" i="9" s="1"/>
  <c r="S412" i="9" a="1"/>
  <c r="S412" i="9" s="1"/>
  <c r="S413" i="9" a="1"/>
  <c r="S413" i="9" s="1"/>
  <c r="S414" i="9" a="1"/>
  <c r="S414" i="9" s="1"/>
  <c r="S415" i="9" a="1"/>
  <c r="S415" i="9" s="1"/>
  <c r="S416" i="9" a="1"/>
  <c r="S416" i="9" s="1"/>
  <c r="S417" i="9" a="1"/>
  <c r="S417" i="9" s="1"/>
  <c r="S418" i="9" a="1"/>
  <c r="S418" i="9" s="1"/>
  <c r="S419" i="9" a="1"/>
  <c r="S419" i="9" s="1"/>
  <c r="S420" i="9" a="1"/>
  <c r="S420" i="9" s="1"/>
  <c r="S421" i="9" a="1"/>
  <c r="S421" i="9" s="1"/>
  <c r="S422" i="9" a="1"/>
  <c r="S422" i="9" s="1"/>
  <c r="S423" i="9" a="1"/>
  <c r="S423" i="9" s="1"/>
  <c r="S424" i="9" a="1"/>
  <c r="S424" i="9" s="1"/>
  <c r="S425" i="9" a="1"/>
  <c r="S425" i="9" s="1"/>
  <c r="S426" i="9" a="1"/>
  <c r="S426" i="9" s="1"/>
  <c r="S427" i="9" a="1"/>
  <c r="S427" i="9" s="1"/>
  <c r="S428" i="9" a="1"/>
  <c r="S428" i="9" s="1"/>
  <c r="S429" i="9" a="1"/>
  <c r="S429" i="9" s="1"/>
  <c r="S430" i="9" a="1"/>
  <c r="S430" i="9" s="1"/>
  <c r="S431" i="9" a="1"/>
  <c r="S431" i="9" s="1"/>
  <c r="S432" i="9" a="1"/>
  <c r="S432" i="9" s="1"/>
  <c r="S433" i="9" a="1"/>
  <c r="S433" i="9" s="1"/>
  <c r="S434" i="9" a="1"/>
  <c r="S434" i="9" s="1"/>
  <c r="S435" i="9" a="1"/>
  <c r="S435" i="9" s="1"/>
  <c r="S436" i="9" a="1"/>
  <c r="S436" i="9" s="1"/>
  <c r="S437" i="9" a="1"/>
  <c r="S437" i="9" s="1"/>
  <c r="S438" i="9" a="1"/>
  <c r="S438" i="9" s="1"/>
  <c r="S439" i="9" a="1"/>
  <c r="S439" i="9" s="1"/>
  <c r="S440" i="9" a="1"/>
  <c r="S440" i="9" s="1"/>
  <c r="S441" i="9" a="1"/>
  <c r="S441" i="9" s="1"/>
  <c r="S442" i="9" a="1"/>
  <c r="S442" i="9" s="1"/>
  <c r="S443" i="9" a="1"/>
  <c r="S443" i="9" s="1"/>
  <c r="S444" i="9" a="1"/>
  <c r="S444" i="9" s="1"/>
  <c r="S445" i="9" a="1"/>
  <c r="S445" i="9" s="1"/>
  <c r="S446" i="9" a="1"/>
  <c r="S446" i="9" s="1"/>
  <c r="S447" i="9" a="1"/>
  <c r="S447" i="9" s="1"/>
  <c r="S448" i="9" a="1"/>
  <c r="S448" i="9" s="1"/>
  <c r="S449" i="9" a="1"/>
  <c r="S449" i="9" s="1"/>
  <c r="S450" i="9" a="1"/>
  <c r="S450" i="9" s="1"/>
  <c r="S451" i="9" a="1"/>
  <c r="S451" i="9" s="1"/>
  <c r="S452" i="9" a="1"/>
  <c r="S452" i="9" s="1"/>
  <c r="S453" i="9" a="1"/>
  <c r="S453" i="9" s="1"/>
  <c r="S454" i="9" a="1"/>
  <c r="S454" i="9" s="1"/>
  <c r="S455" i="9" a="1"/>
  <c r="S455" i="9" s="1"/>
  <c r="S456" i="9" a="1"/>
  <c r="S456" i="9" s="1"/>
  <c r="S457" i="9" a="1"/>
  <c r="S457" i="9" s="1"/>
  <c r="S458" i="9" a="1"/>
  <c r="S458" i="9" s="1"/>
  <c r="S459" i="9" a="1"/>
  <c r="S459" i="9" s="1"/>
  <c r="S460" i="9" a="1"/>
  <c r="S460" i="9" s="1"/>
  <c r="S461" i="9" a="1"/>
  <c r="S461" i="9" s="1"/>
  <c r="S462" i="9" a="1"/>
  <c r="S462" i="9" s="1"/>
  <c r="S463" i="9" a="1"/>
  <c r="S463" i="9" s="1"/>
  <c r="S464" i="9" a="1"/>
  <c r="S464" i="9" s="1"/>
  <c r="S465" i="9" a="1"/>
  <c r="S465" i="9" s="1"/>
  <c r="S466" i="9" a="1"/>
  <c r="S466" i="9" s="1"/>
  <c r="S467" i="9" a="1"/>
  <c r="S467" i="9" s="1"/>
  <c r="S468" i="9" a="1"/>
  <c r="S468" i="9" s="1"/>
  <c r="S469" i="9" a="1"/>
  <c r="S469" i="9" s="1"/>
  <c r="S470" i="9" a="1"/>
  <c r="S470" i="9" s="1"/>
  <c r="S471" i="9" a="1"/>
  <c r="S471" i="9" s="1"/>
  <c r="S472" i="9" a="1"/>
  <c r="S472" i="9" s="1"/>
  <c r="S473" i="9" a="1"/>
  <c r="S473" i="9" s="1"/>
  <c r="S474" i="9" a="1"/>
  <c r="S474" i="9" s="1"/>
  <c r="S475" i="9" a="1"/>
  <c r="S475" i="9" s="1"/>
  <c r="S476" i="9" a="1"/>
  <c r="S476" i="9" s="1"/>
  <c r="S477" i="9" a="1"/>
  <c r="S477" i="9" s="1"/>
  <c r="S478" i="9" a="1"/>
  <c r="S478" i="9" s="1"/>
  <c r="S479" i="9" a="1"/>
  <c r="S479" i="9" s="1"/>
  <c r="S480" i="9" a="1"/>
  <c r="S480" i="9" s="1"/>
  <c r="S481" i="9" a="1"/>
  <c r="S481" i="9" s="1"/>
  <c r="S482" i="9" a="1"/>
  <c r="S482" i="9" s="1"/>
  <c r="S483" i="9" a="1"/>
  <c r="S483" i="9" s="1"/>
  <c r="S484" i="9" a="1"/>
  <c r="S484" i="9" s="1"/>
  <c r="S485" i="9" a="1"/>
  <c r="S485" i="9" s="1"/>
  <c r="S486" i="9" a="1"/>
  <c r="S486" i="9" s="1"/>
  <c r="S487" i="9" a="1"/>
  <c r="S487" i="9" s="1"/>
  <c r="S488" i="9" a="1"/>
  <c r="S488" i="9" s="1"/>
  <c r="S489" i="9" a="1"/>
  <c r="S489" i="9" s="1"/>
  <c r="S490" i="9" a="1"/>
  <c r="S490" i="9" s="1"/>
  <c r="S491" i="9" a="1"/>
  <c r="S491" i="9" s="1"/>
  <c r="S492" i="9" a="1"/>
  <c r="S492" i="9" s="1"/>
  <c r="S493" i="9" a="1"/>
  <c r="S493" i="9" s="1"/>
  <c r="S494" i="9" a="1"/>
  <c r="S494" i="9" s="1"/>
  <c r="S495" i="9" a="1"/>
  <c r="S495" i="9" s="1"/>
  <c r="S496" i="9" a="1"/>
  <c r="S496" i="9" s="1"/>
  <c r="S497" i="9" a="1"/>
  <c r="S497" i="9" s="1"/>
  <c r="S498" i="9" a="1"/>
  <c r="S498" i="9" s="1"/>
  <c r="S499" i="9" a="1"/>
  <c r="S499" i="9" s="1"/>
  <c r="S500" i="9" a="1"/>
  <c r="S500" i="9" s="1"/>
  <c r="S501" i="9" a="1"/>
  <c r="S501" i="9" s="1"/>
  <c r="S502" i="9" a="1"/>
  <c r="S502" i="9" s="1"/>
  <c r="S503" i="9" a="1"/>
  <c r="S503" i="9" s="1"/>
  <c r="S504" i="9" a="1"/>
  <c r="S504" i="9" s="1"/>
  <c r="S505" i="9" a="1"/>
  <c r="S505" i="9" s="1"/>
  <c r="S506" i="9" a="1"/>
  <c r="S506" i="9" s="1"/>
  <c r="S507" i="9" a="1"/>
  <c r="S507" i="9" s="1"/>
  <c r="S508" i="9" a="1"/>
  <c r="S508" i="9" s="1"/>
  <c r="S509" i="9" a="1"/>
  <c r="S509" i="9" s="1"/>
  <c r="S510" i="9" a="1"/>
  <c r="S510" i="9" s="1"/>
  <c r="S511" i="9" a="1"/>
  <c r="S511" i="9" s="1"/>
  <c r="S512" i="9" a="1"/>
  <c r="S512" i="9" s="1"/>
  <c r="S513" i="9" a="1"/>
  <c r="S513" i="9" s="1"/>
  <c r="S514" i="9" a="1"/>
  <c r="S514" i="9" s="1"/>
  <c r="S515" i="9" a="1"/>
  <c r="S515" i="9" s="1"/>
  <c r="S516" i="9" a="1"/>
  <c r="S516" i="9" s="1"/>
  <c r="S517" i="9" a="1"/>
  <c r="S517" i="9" s="1"/>
  <c r="S518" i="9" a="1"/>
  <c r="S518" i="9" s="1"/>
  <c r="S519" i="9" a="1"/>
  <c r="S519" i="9" s="1"/>
  <c r="S520" i="9" a="1"/>
  <c r="S520" i="9" s="1"/>
  <c r="S521" i="9" a="1"/>
  <c r="S521" i="9" s="1"/>
  <c r="S522" i="9" a="1"/>
  <c r="S522" i="9" s="1"/>
  <c r="S523" i="9" a="1"/>
  <c r="S523" i="9" s="1"/>
  <c r="S524" i="9" a="1"/>
  <c r="S524" i="9" s="1"/>
  <c r="S525" i="9" a="1"/>
  <c r="S525" i="9" s="1"/>
  <c r="S526" i="9" a="1"/>
  <c r="S526" i="9" s="1"/>
  <c r="S527" i="9" a="1"/>
  <c r="S527" i="9" s="1"/>
  <c r="S528" i="9" a="1"/>
  <c r="S528" i="9" s="1"/>
  <c r="S529" i="9" a="1"/>
  <c r="S529" i="9" s="1"/>
  <c r="S530" i="9" a="1"/>
  <c r="S530" i="9" s="1"/>
  <c r="S531" i="9" a="1"/>
  <c r="S531" i="9" s="1"/>
  <c r="S532" i="9" a="1"/>
  <c r="S532" i="9" s="1"/>
  <c r="S533" i="9" a="1"/>
  <c r="S533" i="9" s="1"/>
  <c r="S534" i="9" a="1"/>
  <c r="S534" i="9" s="1"/>
  <c r="S535" i="9" a="1"/>
  <c r="S535" i="9" s="1"/>
  <c r="S536" i="9" a="1"/>
  <c r="S536" i="9" s="1"/>
  <c r="S537" i="9" a="1"/>
  <c r="S537" i="9" s="1"/>
  <c r="S538" i="9" a="1"/>
  <c r="S538" i="9" s="1"/>
  <c r="S539" i="9" a="1"/>
  <c r="S539" i="9" s="1"/>
  <c r="S540" i="9" a="1"/>
  <c r="S540" i="9" s="1"/>
  <c r="S541" i="9" a="1"/>
  <c r="S541" i="9" s="1"/>
  <c r="S542" i="9" a="1"/>
  <c r="S542" i="9" s="1"/>
  <c r="S543" i="9" a="1"/>
  <c r="S543" i="9" s="1"/>
  <c r="S544" i="9" a="1"/>
  <c r="S544" i="9" s="1"/>
  <c r="S545" i="9" a="1"/>
  <c r="S545" i="9" s="1"/>
  <c r="S546" i="9" a="1"/>
  <c r="S546" i="9" s="1"/>
  <c r="S547" i="9" a="1"/>
  <c r="S547" i="9" s="1"/>
  <c r="S548" i="9" a="1"/>
  <c r="S548" i="9" s="1"/>
  <c r="S549" i="9" a="1"/>
  <c r="S549" i="9" s="1"/>
  <c r="S550" i="9" a="1"/>
  <c r="S550" i="9" s="1"/>
  <c r="S551" i="9" a="1"/>
  <c r="S551" i="9" s="1"/>
  <c r="S552" i="9" a="1"/>
  <c r="S552" i="9" s="1"/>
  <c r="S553" i="9" a="1"/>
  <c r="S553" i="9" s="1"/>
  <c r="S554" i="9" a="1"/>
  <c r="S554" i="9" s="1"/>
  <c r="S555" i="9" a="1"/>
  <c r="S555" i="9" s="1"/>
  <c r="S556" i="9" a="1"/>
  <c r="S556" i="9" s="1"/>
  <c r="S557" i="9" a="1"/>
  <c r="S557" i="9" s="1"/>
  <c r="S558" i="9" a="1"/>
  <c r="S558" i="9" s="1"/>
  <c r="S559" i="9" a="1"/>
  <c r="S559" i="9" s="1"/>
  <c r="S560" i="9" a="1"/>
  <c r="S560" i="9" s="1"/>
  <c r="S561" i="9" a="1"/>
  <c r="S561" i="9" s="1"/>
  <c r="S562" i="9" a="1"/>
  <c r="S562" i="9" s="1"/>
  <c r="S563" i="9" a="1"/>
  <c r="S563" i="9" s="1"/>
  <c r="S564" i="9" a="1"/>
  <c r="S564" i="9" s="1"/>
  <c r="S565" i="9" a="1"/>
  <c r="S565" i="9" s="1"/>
  <c r="S566" i="9" a="1"/>
  <c r="S566" i="9" s="1"/>
  <c r="S567" i="9" a="1"/>
  <c r="S567" i="9" s="1"/>
  <c r="S568" i="9" a="1"/>
  <c r="S568" i="9" s="1"/>
  <c r="S569" i="9" a="1"/>
  <c r="S569" i="9" s="1"/>
  <c r="S570" i="9" a="1"/>
  <c r="S570" i="9" s="1"/>
  <c r="S571" i="9" a="1"/>
  <c r="S571" i="9" s="1"/>
  <c r="S572" i="9" a="1"/>
  <c r="S572" i="9" s="1"/>
  <c r="S573" i="9" a="1"/>
  <c r="S573" i="9" s="1"/>
  <c r="S574" i="9" a="1"/>
  <c r="S574" i="9" s="1"/>
  <c r="S575" i="9" a="1"/>
  <c r="S575" i="9" s="1"/>
  <c r="S576" i="9" a="1"/>
  <c r="S576" i="9" s="1"/>
  <c r="S577" i="9" a="1"/>
  <c r="S577" i="9" s="1"/>
  <c r="S578" i="9" a="1"/>
  <c r="S578" i="9" s="1"/>
  <c r="S579" i="9" a="1"/>
  <c r="S579" i="9" s="1"/>
  <c r="S580" i="9" a="1"/>
  <c r="S580" i="9" s="1"/>
  <c r="S581" i="9" a="1"/>
  <c r="S581" i="9" s="1"/>
  <c r="S582" i="9" a="1"/>
  <c r="S582" i="9" s="1"/>
  <c r="S583" i="9" a="1"/>
  <c r="S583" i="9" s="1"/>
  <c r="S584" i="9" a="1"/>
  <c r="S584" i="9" s="1"/>
  <c r="S585" i="9" a="1"/>
  <c r="S585" i="9" s="1"/>
  <c r="S586" i="9" a="1"/>
  <c r="S586" i="9" s="1"/>
  <c r="S587" i="9" a="1"/>
  <c r="S587" i="9" s="1"/>
  <c r="S588" i="9" a="1"/>
  <c r="S588" i="9" s="1"/>
  <c r="S589" i="9" a="1"/>
  <c r="S589" i="9" s="1"/>
  <c r="S590" i="9" a="1"/>
  <c r="S590" i="9" s="1"/>
  <c r="S591" i="9" a="1"/>
  <c r="S591" i="9" s="1"/>
  <c r="S592" i="9" a="1"/>
  <c r="S592" i="9" s="1"/>
  <c r="S593" i="9" a="1"/>
  <c r="S593" i="9" s="1"/>
  <c r="S594" i="9" a="1"/>
  <c r="S594" i="9" s="1"/>
  <c r="S595" i="9" a="1"/>
  <c r="S595" i="9" s="1"/>
  <c r="S596" i="9" a="1"/>
  <c r="S596" i="9" s="1"/>
  <c r="S597" i="9" a="1"/>
  <c r="S597" i="9" s="1"/>
  <c r="S598" i="9" a="1"/>
  <c r="S598" i="9" s="1"/>
  <c r="S599" i="9" a="1"/>
  <c r="S599" i="9" s="1"/>
  <c r="S600" i="9" a="1"/>
  <c r="S600" i="9" s="1"/>
  <c r="S601" i="9" a="1"/>
  <c r="S601" i="9" s="1"/>
  <c r="S602" i="9" a="1"/>
  <c r="S602" i="9" s="1"/>
  <c r="S603" i="9" a="1"/>
  <c r="S603" i="9" s="1"/>
  <c r="S604" i="9" a="1"/>
  <c r="S604" i="9" s="1"/>
  <c r="S605" i="9" a="1"/>
  <c r="S605" i="9" s="1"/>
  <c r="S606" i="9" a="1"/>
  <c r="S606" i="9" s="1"/>
  <c r="S607" i="9" a="1"/>
  <c r="S607" i="9" s="1"/>
  <c r="S608" i="9" a="1"/>
  <c r="S608" i="9" s="1"/>
  <c r="S609" i="9" a="1"/>
  <c r="S609" i="9" s="1"/>
  <c r="S610" i="9" a="1"/>
  <c r="S610" i="9" s="1"/>
  <c r="S611" i="9" a="1"/>
  <c r="S611" i="9" s="1"/>
  <c r="S612" i="9" a="1"/>
  <c r="S612" i="9" s="1"/>
  <c r="S613" i="9" a="1"/>
  <c r="S613" i="9" s="1"/>
  <c r="S614" i="9" a="1"/>
  <c r="S614" i="9" s="1"/>
  <c r="S615" i="9" a="1"/>
  <c r="S615" i="9" s="1"/>
  <c r="S616" i="9" a="1"/>
  <c r="S616" i="9" s="1"/>
  <c r="S617" i="9" a="1"/>
  <c r="S617" i="9" s="1"/>
  <c r="S618" i="9" a="1"/>
  <c r="S618" i="9" s="1"/>
  <c r="S619" i="9" a="1"/>
  <c r="S619" i="9" s="1"/>
  <c r="S620" i="9" a="1"/>
  <c r="S620" i="9" s="1"/>
  <c r="S621" i="9" a="1"/>
  <c r="S621" i="9" s="1"/>
  <c r="S622" i="9" a="1"/>
  <c r="S622" i="9" s="1"/>
  <c r="S623" i="9" a="1"/>
  <c r="S623" i="9" s="1"/>
  <c r="S624" i="9" a="1"/>
  <c r="S624" i="9" s="1"/>
  <c r="S625" i="9" a="1"/>
  <c r="S625" i="9" s="1"/>
  <c r="S626" i="9" a="1"/>
  <c r="S626" i="9" s="1"/>
  <c r="S627" i="9" a="1"/>
  <c r="S627" i="9" s="1"/>
  <c r="S628" i="9" a="1"/>
  <c r="S628" i="9" s="1"/>
  <c r="S629" i="9" a="1"/>
  <c r="S629" i="9" s="1"/>
  <c r="S630" i="9" a="1"/>
  <c r="S630" i="9" s="1"/>
  <c r="S631" i="9" a="1"/>
  <c r="S631" i="9" s="1"/>
  <c r="S632" i="9" a="1"/>
  <c r="S632" i="9" s="1"/>
  <c r="S633" i="9" a="1"/>
  <c r="S633" i="9" s="1"/>
  <c r="S634" i="9" a="1"/>
  <c r="S634" i="9" s="1"/>
  <c r="S635" i="9" a="1"/>
  <c r="S635" i="9" s="1"/>
  <c r="S636" i="9" a="1"/>
  <c r="S636" i="9" s="1"/>
  <c r="S637" i="9" a="1"/>
  <c r="S637" i="9" s="1"/>
  <c r="S638" i="9" a="1"/>
  <c r="S638" i="9" s="1"/>
  <c r="S639" i="9" a="1"/>
  <c r="S639" i="9" s="1"/>
  <c r="S640" i="9" a="1"/>
  <c r="S640" i="9" s="1"/>
  <c r="S641" i="9" a="1"/>
  <c r="S641" i="9" s="1"/>
  <c r="S642" i="9" a="1"/>
  <c r="S642" i="9" s="1"/>
  <c r="S643" i="9" a="1"/>
  <c r="S643" i="9" s="1"/>
  <c r="S644" i="9" a="1"/>
  <c r="S644" i="9" s="1"/>
  <c r="S645" i="9" a="1"/>
  <c r="S645" i="9" s="1"/>
  <c r="S646" i="9" a="1"/>
  <c r="S646" i="9" s="1"/>
  <c r="S647" i="9" a="1"/>
  <c r="S647" i="9" s="1"/>
  <c r="S648" i="9" a="1"/>
  <c r="S648" i="9" s="1"/>
  <c r="S649" i="9" a="1"/>
  <c r="S649" i="9" s="1"/>
  <c r="S650" i="9" a="1"/>
  <c r="S650" i="9" s="1"/>
  <c r="S651" i="9" a="1"/>
  <c r="S651" i="9" s="1"/>
  <c r="S652" i="9" a="1"/>
  <c r="S652" i="9" s="1"/>
  <c r="S653" i="9" a="1"/>
  <c r="S653" i="9" s="1"/>
  <c r="S654" i="9" a="1"/>
  <c r="S654" i="9" s="1"/>
  <c r="S655" i="9" a="1"/>
  <c r="S655" i="9" s="1"/>
  <c r="S656" i="9" a="1"/>
  <c r="S656" i="9" s="1"/>
  <c r="S657" i="9" a="1"/>
  <c r="S657" i="9" s="1"/>
  <c r="S658" i="9" a="1"/>
  <c r="S658" i="9" s="1"/>
  <c r="S659" i="9" a="1"/>
  <c r="S659" i="9" s="1"/>
  <c r="S660" i="9" a="1"/>
  <c r="S660" i="9" s="1"/>
  <c r="S661" i="9" a="1"/>
  <c r="S661" i="9" s="1"/>
  <c r="S662" i="9" a="1"/>
  <c r="S662" i="9" s="1"/>
  <c r="S663" i="9" a="1"/>
  <c r="S663" i="9" s="1"/>
  <c r="S664" i="9" a="1"/>
  <c r="S664" i="9" s="1"/>
  <c r="S665" i="9" a="1"/>
  <c r="S665" i="9" s="1"/>
  <c r="S666" i="9" a="1"/>
  <c r="S666" i="9" s="1"/>
  <c r="S667" i="9" a="1"/>
  <c r="S667" i="9" s="1"/>
  <c r="S668" i="9" a="1"/>
  <c r="S668" i="9" s="1"/>
  <c r="S669" i="9" a="1"/>
  <c r="S669" i="9" s="1"/>
  <c r="S670" i="9" a="1"/>
  <c r="S670" i="9" s="1"/>
  <c r="S671" i="9" a="1"/>
  <c r="S671" i="9" s="1"/>
  <c r="S672" i="9" a="1"/>
  <c r="S672" i="9" s="1"/>
  <c r="S673" i="9" a="1"/>
  <c r="S673" i="9" s="1"/>
  <c r="S674" i="9" a="1"/>
  <c r="S674" i="9" s="1"/>
  <c r="S675" i="9" a="1"/>
  <c r="S675" i="9" s="1"/>
  <c r="S676" i="9" a="1"/>
  <c r="S676" i="9" s="1"/>
  <c r="S677" i="9" a="1"/>
  <c r="S677" i="9" s="1"/>
  <c r="S678" i="9" a="1"/>
  <c r="S678" i="9" s="1"/>
  <c r="S679" i="9" a="1"/>
  <c r="S679" i="9" s="1"/>
  <c r="S680" i="9" a="1"/>
  <c r="S680" i="9" s="1"/>
  <c r="S681" i="9" a="1"/>
  <c r="S681" i="9" s="1"/>
  <c r="S682" i="9" a="1"/>
  <c r="S682" i="9" s="1"/>
  <c r="S683" i="9" a="1"/>
  <c r="S683" i="9" s="1"/>
  <c r="S684" i="9" a="1"/>
  <c r="S684" i="9" s="1"/>
  <c r="S685" i="9" a="1"/>
  <c r="S685" i="9" s="1"/>
  <c r="S686" i="9" a="1"/>
  <c r="S686" i="9" s="1"/>
  <c r="S687" i="9" a="1"/>
  <c r="S687" i="9" s="1"/>
  <c r="S688" i="9" a="1"/>
  <c r="S688" i="9" s="1"/>
  <c r="S689" i="9" a="1"/>
  <c r="S689" i="9" s="1"/>
  <c r="S690" i="9" a="1"/>
  <c r="S690" i="9" s="1"/>
  <c r="S691" i="9" a="1"/>
  <c r="S691" i="9" s="1"/>
  <c r="S692" i="9" a="1"/>
  <c r="S692" i="9" s="1"/>
  <c r="S693" i="9" a="1"/>
  <c r="S693" i="9" s="1"/>
  <c r="S694" i="9" a="1"/>
  <c r="S694" i="9" s="1"/>
  <c r="S695" i="9" a="1"/>
  <c r="S695" i="9" s="1"/>
  <c r="S696" i="9" a="1"/>
  <c r="S696" i="9" s="1"/>
  <c r="S697" i="9" a="1"/>
  <c r="S697" i="9" s="1"/>
  <c r="S698" i="9" a="1"/>
  <c r="S698" i="9" s="1"/>
  <c r="S699" i="9" a="1"/>
  <c r="S699" i="9" s="1"/>
  <c r="S700" i="9" a="1"/>
  <c r="S700" i="9" s="1"/>
  <c r="S701" i="9" a="1"/>
  <c r="S701" i="9" s="1"/>
  <c r="S702" i="9" a="1"/>
  <c r="S702" i="9" s="1"/>
  <c r="S703" i="9" a="1"/>
  <c r="S703" i="9" s="1"/>
  <c r="S704" i="9" a="1"/>
  <c r="S704" i="9" s="1"/>
  <c r="S705" i="9" a="1"/>
  <c r="S705" i="9" s="1"/>
  <c r="S706" i="9" a="1"/>
  <c r="S706" i="9" s="1"/>
  <c r="S707" i="9" a="1"/>
  <c r="S707" i="9" s="1"/>
  <c r="S708" i="9" a="1"/>
  <c r="S708" i="9" s="1"/>
  <c r="S709" i="9" a="1"/>
  <c r="S709" i="9" s="1"/>
  <c r="S710" i="9" a="1"/>
  <c r="S710" i="9" s="1"/>
  <c r="S711" i="9" a="1"/>
  <c r="S711" i="9" s="1"/>
  <c r="S712" i="9" a="1"/>
  <c r="S712" i="9" s="1"/>
  <c r="S713" i="9" a="1"/>
  <c r="S713" i="9" s="1"/>
  <c r="S714" i="9" a="1"/>
  <c r="S714" i="9" s="1"/>
  <c r="S715" i="9" a="1"/>
  <c r="S715" i="9" s="1"/>
  <c r="S716" i="9" a="1"/>
  <c r="S716" i="9" s="1"/>
  <c r="S717" i="9" a="1"/>
  <c r="S717" i="9" s="1"/>
  <c r="S718" i="9" a="1"/>
  <c r="S718" i="9" s="1"/>
  <c r="S719" i="9" a="1"/>
  <c r="S719" i="9" s="1"/>
  <c r="S720" i="9" a="1"/>
  <c r="S720" i="9" s="1"/>
  <c r="S721" i="9" a="1"/>
  <c r="S721" i="9" s="1"/>
  <c r="S722" i="9" a="1"/>
  <c r="S722" i="9" s="1"/>
  <c r="S723" i="9" a="1"/>
  <c r="S723" i="9" s="1"/>
  <c r="S724" i="9" a="1"/>
  <c r="S724" i="9" s="1"/>
  <c r="S725" i="9" a="1"/>
  <c r="S725" i="9" s="1"/>
  <c r="S726" i="9" a="1"/>
  <c r="S726" i="9" s="1"/>
  <c r="S727" i="9" a="1"/>
  <c r="S727" i="9" s="1"/>
  <c r="S728" i="9" a="1"/>
  <c r="S728" i="9" s="1"/>
  <c r="S729" i="9" a="1"/>
  <c r="S729" i="9" s="1"/>
  <c r="S730" i="9" a="1"/>
  <c r="S730" i="9" s="1"/>
  <c r="S731" i="9" a="1"/>
  <c r="S731" i="9" s="1"/>
  <c r="S732" i="9" a="1"/>
  <c r="S732" i="9" s="1"/>
  <c r="S733" i="9" a="1"/>
  <c r="S733" i="9" s="1"/>
  <c r="S734" i="9" a="1"/>
  <c r="S734" i="9" s="1"/>
  <c r="S735" i="9" a="1"/>
  <c r="S735" i="9" s="1"/>
  <c r="S736" i="9" a="1"/>
  <c r="S736" i="9" s="1"/>
  <c r="S737" i="9" a="1"/>
  <c r="S737" i="9" s="1"/>
  <c r="S738" i="9" a="1"/>
  <c r="S738" i="9" s="1"/>
  <c r="S739" i="9" a="1"/>
  <c r="S739" i="9" s="1"/>
  <c r="S740" i="9" a="1"/>
  <c r="S740" i="9" s="1"/>
  <c r="S741" i="9" a="1"/>
  <c r="S741" i="9" s="1"/>
  <c r="S742" i="9" a="1"/>
  <c r="S742" i="9" s="1"/>
  <c r="S743" i="9" a="1"/>
  <c r="S743" i="9" s="1"/>
  <c r="S744" i="9" a="1"/>
  <c r="S744" i="9" s="1"/>
  <c r="S745" i="9" a="1"/>
  <c r="S745" i="9" s="1"/>
  <c r="S746" i="9" a="1"/>
  <c r="S746" i="9" s="1"/>
  <c r="S747" i="9" a="1"/>
  <c r="S747" i="9" s="1"/>
  <c r="S748" i="9" a="1"/>
  <c r="S748" i="9" s="1"/>
  <c r="S749" i="9" a="1"/>
  <c r="S749" i="9" s="1"/>
  <c r="S750" i="9" a="1"/>
  <c r="S750" i="9" s="1"/>
  <c r="S751" i="9" a="1"/>
  <c r="S751" i="9" s="1"/>
  <c r="S752" i="9" a="1"/>
  <c r="S752" i="9" s="1"/>
  <c r="S753" i="9" a="1"/>
  <c r="S753" i="9" s="1"/>
  <c r="S754" i="9" a="1"/>
  <c r="S754" i="9" s="1"/>
  <c r="S755" i="9" a="1"/>
  <c r="S755" i="9" s="1"/>
  <c r="S756" i="9" a="1"/>
  <c r="S756" i="9" s="1"/>
  <c r="S757" i="9" a="1"/>
  <c r="S757" i="9" s="1"/>
  <c r="S758" i="9" a="1"/>
  <c r="S758" i="9" s="1"/>
  <c r="S759" i="9" a="1"/>
  <c r="S759" i="9" s="1"/>
  <c r="S760" i="9" a="1"/>
  <c r="S760" i="9" s="1"/>
  <c r="S761" i="9" a="1"/>
  <c r="S761" i="9" s="1"/>
  <c r="S762" i="9" a="1"/>
  <c r="S762" i="9" s="1"/>
  <c r="S763" i="9" a="1"/>
  <c r="S763" i="9" s="1"/>
  <c r="S764" i="9" a="1"/>
  <c r="S764" i="9" s="1"/>
  <c r="S765" i="9" a="1"/>
  <c r="S765" i="9" s="1"/>
  <c r="S766" i="9" a="1"/>
  <c r="S766" i="9" s="1"/>
  <c r="S767" i="9" a="1"/>
  <c r="S767" i="9" s="1"/>
  <c r="S768" i="9" a="1"/>
  <c r="S768" i="9" s="1"/>
  <c r="S769" i="9" a="1"/>
  <c r="S769" i="9" s="1"/>
  <c r="S770" i="9" a="1"/>
  <c r="S770" i="9" s="1"/>
  <c r="S771" i="9" a="1"/>
  <c r="S771" i="9" s="1"/>
  <c r="S772" i="9" a="1"/>
  <c r="S772" i="9" s="1"/>
  <c r="S773" i="9" a="1"/>
  <c r="S773" i="9" s="1"/>
  <c r="S774" i="9" a="1"/>
  <c r="S774" i="9" s="1"/>
  <c r="S775" i="9" a="1"/>
  <c r="S775" i="9" s="1"/>
  <c r="S776" i="9" a="1"/>
  <c r="S776" i="9" s="1"/>
  <c r="S777" i="9" a="1"/>
  <c r="S777" i="9" s="1"/>
  <c r="S778" i="9" a="1"/>
  <c r="S778" i="9" s="1"/>
  <c r="S779" i="9" a="1"/>
  <c r="S779" i="9" s="1"/>
  <c r="S780" i="9" a="1"/>
  <c r="S780" i="9" s="1"/>
  <c r="S781" i="9" a="1"/>
  <c r="S781" i="9" s="1"/>
  <c r="S782" i="9" a="1"/>
  <c r="S782" i="9" s="1"/>
  <c r="S783" i="9" a="1"/>
  <c r="S783" i="9" s="1"/>
  <c r="S784" i="9" a="1"/>
  <c r="S784" i="9" s="1"/>
  <c r="S785" i="9" a="1"/>
  <c r="S785" i="9" s="1"/>
  <c r="S786" i="9" a="1"/>
  <c r="S786" i="9" s="1"/>
  <c r="S787" i="9" a="1"/>
  <c r="S787" i="9" s="1"/>
  <c r="S788" i="9" a="1"/>
  <c r="S788" i="9" s="1"/>
  <c r="S789" i="9" a="1"/>
  <c r="S789" i="9" s="1"/>
  <c r="S790" i="9" a="1"/>
  <c r="S790" i="9" s="1"/>
  <c r="S791" i="9" a="1"/>
  <c r="S791" i="9" s="1"/>
  <c r="S792" i="9" a="1"/>
  <c r="S792" i="9" s="1"/>
  <c r="S793" i="9" a="1"/>
  <c r="S793" i="9" s="1"/>
  <c r="S794" i="9" a="1"/>
  <c r="S794" i="9" s="1"/>
  <c r="S795" i="9" a="1"/>
  <c r="S795" i="9" s="1"/>
  <c r="S796" i="9" a="1"/>
  <c r="S796" i="9" s="1"/>
  <c r="S797" i="9" a="1"/>
  <c r="S797" i="9" s="1"/>
  <c r="S798" i="9" a="1"/>
  <c r="S798" i="9" s="1"/>
  <c r="S799" i="9" a="1"/>
  <c r="S799" i="9" s="1"/>
  <c r="S800" i="9" a="1"/>
  <c r="S800" i="9" s="1"/>
  <c r="S801" i="9" a="1"/>
  <c r="S801" i="9" s="1"/>
  <c r="S802" i="9" a="1"/>
  <c r="S802" i="9" s="1"/>
  <c r="S803" i="9" a="1"/>
  <c r="S803" i="9" s="1"/>
  <c r="S804" i="9" a="1"/>
  <c r="S804" i="9" s="1"/>
  <c r="S805" i="9" a="1"/>
  <c r="S805" i="9" s="1"/>
  <c r="S806" i="9" a="1"/>
  <c r="S806" i="9" s="1"/>
  <c r="S807" i="9" a="1"/>
  <c r="S807" i="9" s="1"/>
  <c r="S808" i="9" a="1"/>
  <c r="S808" i="9" s="1"/>
  <c r="S809" i="9" a="1"/>
  <c r="S809" i="9" s="1"/>
  <c r="S810" i="9" a="1"/>
  <c r="S810" i="9" s="1"/>
  <c r="S811" i="9" a="1"/>
  <c r="S811" i="9" s="1"/>
  <c r="S812" i="9" a="1"/>
  <c r="S812" i="9" s="1"/>
  <c r="S813" i="9" a="1"/>
  <c r="S813" i="9" s="1"/>
  <c r="S814" i="9" a="1"/>
  <c r="S814" i="9" s="1"/>
  <c r="S815" i="9" a="1"/>
  <c r="S815" i="9" s="1"/>
  <c r="S816" i="9" a="1"/>
  <c r="S816" i="9" s="1"/>
  <c r="S817" i="9" a="1"/>
  <c r="S817" i="9" s="1"/>
  <c r="S818" i="9" a="1"/>
  <c r="S818" i="9" s="1"/>
  <c r="S819" i="9" a="1"/>
  <c r="S819" i="9" s="1"/>
  <c r="S820" i="9" a="1"/>
  <c r="S820" i="9" s="1"/>
  <c r="S821" i="9" a="1"/>
  <c r="S821" i="9" s="1"/>
  <c r="S822" i="9" a="1"/>
  <c r="S822" i="9" s="1"/>
  <c r="S823" i="9" a="1"/>
  <c r="S823" i="9" s="1"/>
  <c r="S824" i="9" a="1"/>
  <c r="S824" i="9" s="1"/>
  <c r="S825" i="9" a="1"/>
  <c r="S825" i="9" s="1"/>
  <c r="S826" i="9" a="1"/>
  <c r="S826" i="9" s="1"/>
  <c r="S827" i="9" a="1"/>
  <c r="S827" i="9" s="1"/>
  <c r="S828" i="9" a="1"/>
  <c r="S828" i="9" s="1"/>
  <c r="S829" i="9" a="1"/>
  <c r="S829" i="9" s="1"/>
  <c r="S830" i="9" a="1"/>
  <c r="S830" i="9" s="1"/>
  <c r="S831" i="9" a="1"/>
  <c r="S831" i="9" s="1"/>
  <c r="S832" i="9" a="1"/>
  <c r="S832" i="9" s="1"/>
  <c r="S833" i="9" a="1"/>
  <c r="S833" i="9" s="1"/>
  <c r="S834" i="9" a="1"/>
  <c r="S834" i="9" s="1"/>
  <c r="S835" i="9" a="1"/>
  <c r="S835" i="9" s="1"/>
  <c r="S836" i="9" a="1"/>
  <c r="S836" i="9" s="1"/>
  <c r="S837" i="9" a="1"/>
  <c r="S837" i="9" s="1"/>
  <c r="S838" i="9" a="1"/>
  <c r="S838" i="9" s="1"/>
  <c r="S839" i="9" a="1"/>
  <c r="S839" i="9" s="1"/>
  <c r="S840" i="9" a="1"/>
  <c r="S840" i="9" s="1"/>
  <c r="S841" i="9" a="1"/>
  <c r="S841" i="9" s="1"/>
  <c r="S842" i="9" a="1"/>
  <c r="S842" i="9" s="1"/>
  <c r="S843" i="9" a="1"/>
  <c r="S843" i="9" s="1"/>
  <c r="S844" i="9" a="1"/>
  <c r="S844" i="9" s="1"/>
  <c r="S845" i="9" a="1"/>
  <c r="S845" i="9" s="1"/>
  <c r="S846" i="9" a="1"/>
  <c r="S846" i="9" s="1"/>
  <c r="S847" i="9" a="1"/>
  <c r="S847" i="9" s="1"/>
  <c r="S848" i="9" a="1"/>
  <c r="S848" i="9" s="1"/>
  <c r="S849" i="9" a="1"/>
  <c r="S849" i="9" s="1"/>
  <c r="S850" i="9" a="1"/>
  <c r="S850" i="9" s="1"/>
  <c r="S851" i="9" a="1"/>
  <c r="S851" i="9" s="1"/>
  <c r="S852" i="9" a="1"/>
  <c r="S852" i="9" s="1"/>
  <c r="S853" i="9" a="1"/>
  <c r="S853" i="9" s="1"/>
  <c r="S854" i="9" a="1"/>
  <c r="S854" i="9" s="1"/>
  <c r="S855" i="9" a="1"/>
  <c r="S855" i="9" s="1"/>
  <c r="S856" i="9" a="1"/>
  <c r="S856" i="9" s="1"/>
  <c r="S857" i="9" a="1"/>
  <c r="S857" i="9" s="1"/>
  <c r="S858" i="9" a="1"/>
  <c r="S858" i="9" s="1"/>
  <c r="S859" i="9" a="1"/>
  <c r="S859" i="9" s="1"/>
  <c r="S860" i="9" a="1"/>
  <c r="S860" i="9" s="1"/>
  <c r="S861" i="9" a="1"/>
  <c r="S861" i="9" s="1"/>
  <c r="S862" i="9" a="1"/>
  <c r="S862" i="9" s="1"/>
  <c r="I87" i="47"/>
  <c r="H87" i="47"/>
  <c r="I86" i="47"/>
  <c r="H86" i="47"/>
  <c r="I80" i="47"/>
  <c r="H80" i="47"/>
  <c r="N14" i="57"/>
  <c r="N14" i="49"/>
  <c r="M14" i="60"/>
  <c r="N14" i="58"/>
  <c r="C78" i="47"/>
  <c r="N14" i="51"/>
  <c r="N14" i="50"/>
  <c r="N14" i="53"/>
  <c r="C80" i="47"/>
  <c r="N14" i="54"/>
  <c r="C79" i="47"/>
  <c r="N14" i="59"/>
  <c r="N14" i="52"/>
  <c r="C81" i="47"/>
  <c r="N14" i="55"/>
  <c r="N14" i="56"/>
  <c r="L14" i="24"/>
  <c r="K878" i="39" l="1"/>
  <c r="C87" i="47"/>
  <c r="H81" i="47"/>
  <c r="H83" i="47" s="1"/>
  <c r="H88" i="47" s="1"/>
  <c r="H89" i="47" s="1"/>
  <c r="I81" i="47"/>
  <c r="I83" i="47" s="1"/>
  <c r="I88" i="47" s="1"/>
  <c r="I89" i="47" s="1"/>
  <c r="K880" i="39" l="1"/>
  <c r="AF883" i="39" s="1"/>
  <c r="K917" i="39"/>
  <c r="L917" i="39"/>
  <c r="C92" i="47"/>
  <c r="C93" i="47"/>
  <c r="C91" i="47"/>
  <c r="C83" i="47"/>
  <c r="C85" i="47" s="1"/>
  <c r="H112" i="44"/>
  <c r="G112" i="44"/>
  <c r="H95" i="44"/>
  <c r="H96" i="44" s="1"/>
  <c r="G95" i="44"/>
  <c r="G96" i="44" s="1"/>
  <c r="H120" i="44"/>
  <c r="G120" i="44"/>
  <c r="H119" i="44"/>
  <c r="G119" i="44"/>
  <c r="H103" i="44"/>
  <c r="G103" i="44"/>
  <c r="H102" i="44"/>
  <c r="G102" i="44"/>
  <c r="K91" i="44"/>
  <c r="K57" i="44"/>
  <c r="K56" i="44"/>
  <c r="D71" i="47"/>
  <c r="C71" i="47"/>
  <c r="D70" i="47"/>
  <c r="C70" i="47"/>
  <c r="D64" i="47"/>
  <c r="D65" i="47" s="1"/>
  <c r="D67" i="47" s="1"/>
  <c r="C64" i="47"/>
  <c r="C65" i="47" s="1"/>
  <c r="C67" i="47" s="1"/>
  <c r="I71" i="47"/>
  <c r="H71" i="47"/>
  <c r="I70" i="47"/>
  <c r="H70" i="47"/>
  <c r="I64" i="47"/>
  <c r="I65" i="47" s="1"/>
  <c r="I67" i="47" s="1"/>
  <c r="H64" i="47"/>
  <c r="H65" i="47" s="1"/>
  <c r="H67" i="47" s="1"/>
  <c r="K913" i="39" l="1"/>
  <c r="L913" i="39" s="1"/>
  <c r="K898" i="39"/>
  <c r="L898" i="39" s="1"/>
  <c r="K891" i="39"/>
  <c r="L891" i="39" s="1"/>
  <c r="K899" i="39"/>
  <c r="L899" i="39" s="1"/>
  <c r="K907" i="39"/>
  <c r="L907" i="39" s="1"/>
  <c r="K915" i="39"/>
  <c r="L915" i="39" s="1"/>
  <c r="K893" i="39"/>
  <c r="L893" i="39" s="1"/>
  <c r="K901" i="39"/>
  <c r="L901" i="39" s="1"/>
  <c r="K909" i="39"/>
  <c r="L909" i="39" s="1"/>
  <c r="K894" i="39"/>
  <c r="L894" i="39" s="1"/>
  <c r="K910" i="39"/>
  <c r="L910" i="39" s="1"/>
  <c r="K895" i="39"/>
  <c r="L895" i="39" s="1"/>
  <c r="K911" i="39"/>
  <c r="L911" i="39" s="1"/>
  <c r="K896" i="39"/>
  <c r="L896" i="39" s="1"/>
  <c r="K912" i="39"/>
  <c r="L912" i="39" s="1"/>
  <c r="K906" i="39"/>
  <c r="L906" i="39" s="1"/>
  <c r="K892" i="39"/>
  <c r="L892" i="39" s="1"/>
  <c r="K900" i="39"/>
  <c r="L900" i="39" s="1"/>
  <c r="K908" i="39"/>
  <c r="L908" i="39" s="1"/>
  <c r="K888" i="39"/>
  <c r="E888" i="39" s="1"/>
  <c r="K903" i="39"/>
  <c r="L903" i="39" s="1"/>
  <c r="K897" i="39"/>
  <c r="L897" i="39" s="1"/>
  <c r="K902" i="39"/>
  <c r="L902" i="39" s="1"/>
  <c r="K904" i="39"/>
  <c r="L904" i="39" s="1"/>
  <c r="K889" i="39"/>
  <c r="K914" i="39"/>
  <c r="L914" i="39" s="1"/>
  <c r="K905" i="39"/>
  <c r="L905" i="39" s="1"/>
  <c r="K890" i="39"/>
  <c r="I72" i="47"/>
  <c r="I73" i="47" s="1"/>
  <c r="H72" i="47"/>
  <c r="H73" i="47" s="1"/>
  <c r="H113" i="44"/>
  <c r="H114" i="44" s="1"/>
  <c r="H116" i="44" s="1"/>
  <c r="H121" i="44" s="1"/>
  <c r="H122" i="44" s="1"/>
  <c r="H123" i="44" s="1"/>
  <c r="H99" i="44"/>
  <c r="H104" i="44" s="1"/>
  <c r="H105" i="44" s="1"/>
  <c r="H106" i="44" s="1"/>
  <c r="H97" i="44"/>
  <c r="G97" i="44"/>
  <c r="G99" i="44" s="1"/>
  <c r="G104" i="44" s="1"/>
  <c r="G105" i="44" s="1"/>
  <c r="G106" i="44" s="1"/>
  <c r="G113" i="44"/>
  <c r="D72" i="47"/>
  <c r="D73" i="47" s="1"/>
  <c r="L889" i="39" l="1"/>
  <c r="E889" i="39"/>
  <c r="L890" i="39"/>
  <c r="L888" i="39"/>
  <c r="K916" i="39"/>
  <c r="K918" i="39" s="1"/>
  <c r="F888" i="39" s="1"/>
  <c r="G114" i="44"/>
  <c r="G116" i="44" s="1"/>
  <c r="G121" i="44" s="1"/>
  <c r="G122" i="44" s="1"/>
  <c r="G123" i="44" s="1"/>
  <c r="F889" i="39" l="1"/>
  <c r="E890" i="39"/>
  <c r="F890" i="39" s="1"/>
  <c r="L916" i="39"/>
  <c r="L918" i="39" s="1"/>
  <c r="AF918" i="39" s="1"/>
  <c r="K919" i="39"/>
  <c r="P9" i="44"/>
  <c r="N9" i="44"/>
  <c r="M7" i="44"/>
  <c r="K8" i="44"/>
  <c r="G16" i="44"/>
  <c r="H61" i="44"/>
  <c r="H62" i="44" s="1"/>
  <c r="H63" i="44" s="1"/>
  <c r="H65" i="44" s="1"/>
  <c r="H70" i="44" s="1"/>
  <c r="H71" i="44" s="1"/>
  <c r="H72" i="44" s="1"/>
  <c r="G78" i="44"/>
  <c r="G79" i="44" s="1"/>
  <c r="G62" i="44"/>
  <c r="G63" i="44" s="1"/>
  <c r="G65" i="44" s="1"/>
  <c r="H86" i="44"/>
  <c r="G86" i="44"/>
  <c r="H85" i="44"/>
  <c r="G85" i="44"/>
  <c r="H69" i="44"/>
  <c r="G69" i="44"/>
  <c r="H68" i="44"/>
  <c r="G68" i="44"/>
  <c r="H51" i="44"/>
  <c r="G51" i="44"/>
  <c r="H50" i="44"/>
  <c r="G50" i="44"/>
  <c r="H44" i="44"/>
  <c r="G44" i="44"/>
  <c r="J52" i="47"/>
  <c r="J51" i="47"/>
  <c r="J50" i="47"/>
  <c r="J49" i="47"/>
  <c r="J48" i="47"/>
  <c r="J47" i="47"/>
  <c r="J46" i="47"/>
  <c r="J45" i="47"/>
  <c r="J43" i="47"/>
  <c r="J42" i="47"/>
  <c r="I40" i="47"/>
  <c r="J40" i="47" s="1"/>
  <c r="I39" i="47"/>
  <c r="J39" i="47" s="1"/>
  <c r="J38" i="47"/>
  <c r="J36" i="47"/>
  <c r="J35" i="47"/>
  <c r="J33" i="47"/>
  <c r="J32" i="47"/>
  <c r="J31" i="47"/>
  <c r="J29" i="47"/>
  <c r="J28" i="47"/>
  <c r="J27" i="47"/>
  <c r="J25" i="47"/>
  <c r="J24" i="47"/>
  <c r="J23" i="47"/>
  <c r="J21" i="47"/>
  <c r="J20" i="47"/>
  <c r="J19" i="47"/>
  <c r="J18" i="47"/>
  <c r="J17" i="47"/>
  <c r="J16" i="47"/>
  <c r="J15" i="47"/>
  <c r="J13" i="47"/>
  <c r="J12" i="47"/>
  <c r="J11" i="47"/>
  <c r="J10" i="47"/>
  <c r="J8" i="47"/>
  <c r="J7" i="47"/>
  <c r="J6" i="47"/>
  <c r="D39" i="47"/>
  <c r="E39" i="47" s="1"/>
  <c r="D40" i="47"/>
  <c r="E40" i="47" s="1"/>
  <c r="H34" i="44"/>
  <c r="H33" i="44"/>
  <c r="H27" i="44"/>
  <c r="H28" i="44" s="1"/>
  <c r="H30" i="44" s="1"/>
  <c r="E10" i="47"/>
  <c r="E11" i="47"/>
  <c r="E12" i="47"/>
  <c r="E13" i="47"/>
  <c r="E15" i="47"/>
  <c r="E16" i="47"/>
  <c r="E17" i="47"/>
  <c r="E18" i="47"/>
  <c r="E19" i="47"/>
  <c r="E20" i="47"/>
  <c r="E21" i="47"/>
  <c r="E23" i="47"/>
  <c r="E24" i="47"/>
  <c r="E25" i="47"/>
  <c r="E27" i="47"/>
  <c r="E28" i="47"/>
  <c r="E29" i="47"/>
  <c r="E31" i="47"/>
  <c r="E32" i="47"/>
  <c r="E33" i="47"/>
  <c r="E35" i="47"/>
  <c r="E36" i="47"/>
  <c r="E38" i="47"/>
  <c r="E42" i="47"/>
  <c r="E43" i="47"/>
  <c r="E45" i="47"/>
  <c r="E46" i="47"/>
  <c r="E47" i="47"/>
  <c r="E48" i="47"/>
  <c r="E49" i="47"/>
  <c r="E50" i="47"/>
  <c r="E51" i="47"/>
  <c r="E52" i="47"/>
  <c r="E7" i="47"/>
  <c r="E8" i="47"/>
  <c r="E6" i="47"/>
  <c r="G34" i="44"/>
  <c r="G33" i="44"/>
  <c r="G27" i="44"/>
  <c r="AA878" i="39" l="1"/>
  <c r="AE919" i="39" s="1"/>
  <c r="V918" i="39"/>
  <c r="M918" i="39"/>
  <c r="K886" i="39" s="1"/>
  <c r="Q878" i="39"/>
  <c r="E891" i="39"/>
  <c r="F891" i="39" s="1"/>
  <c r="H78" i="44"/>
  <c r="H79" i="44" s="1"/>
  <c r="H80" i="44" s="1"/>
  <c r="H82" i="44" s="1"/>
  <c r="H87" i="44" s="1"/>
  <c r="H88" i="44" s="1"/>
  <c r="H89" i="44" s="1"/>
  <c r="G70" i="44"/>
  <c r="G71" i="44" s="1"/>
  <c r="G72" i="44" s="1"/>
  <c r="G80" i="44"/>
  <c r="G82" i="44" s="1"/>
  <c r="G87" i="44" s="1"/>
  <c r="G88" i="44" s="1"/>
  <c r="G89" i="44" s="1"/>
  <c r="H45" i="44"/>
  <c r="H47" i="44" s="1"/>
  <c r="H52" i="44" s="1"/>
  <c r="H53" i="44" s="1"/>
  <c r="G45" i="44"/>
  <c r="G47" i="44" s="1"/>
  <c r="G52" i="44" s="1"/>
  <c r="G53" i="44" s="1"/>
  <c r="J53" i="47"/>
  <c r="J55" i="47" s="1"/>
  <c r="J57" i="47" s="1"/>
  <c r="E53" i="47"/>
  <c r="E55" i="47" s="1"/>
  <c r="E57" i="47" s="1"/>
  <c r="H35" i="44"/>
  <c r="H36" i="44" s="1"/>
  <c r="G28" i="44"/>
  <c r="G30" i="44" s="1"/>
  <c r="G35" i="44" s="1"/>
  <c r="G36" i="44" s="1"/>
  <c r="E892" i="39" l="1"/>
  <c r="F892" i="39" s="1"/>
  <c r="H17" i="44"/>
  <c r="H16" i="44"/>
  <c r="J7" i="44" s="1"/>
  <c r="H10" i="44"/>
  <c r="H11" i="44" s="1"/>
  <c r="G17" i="44"/>
  <c r="G10" i="44"/>
  <c r="G11" i="44" s="1"/>
  <c r="J6" i="39"/>
  <c r="J7"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60" i="39"/>
  <c r="J61" i="39"/>
  <c r="J62" i="39"/>
  <c r="J63" i="39"/>
  <c r="J64" i="39"/>
  <c r="J65" i="39"/>
  <c r="J66" i="39"/>
  <c r="J67" i="39"/>
  <c r="J68" i="39"/>
  <c r="J69" i="39"/>
  <c r="J70" i="39"/>
  <c r="J71" i="39"/>
  <c r="J72" i="39"/>
  <c r="J73" i="39"/>
  <c r="J74" i="39"/>
  <c r="J75" i="39"/>
  <c r="J76" i="39"/>
  <c r="J77" i="39"/>
  <c r="J78" i="39"/>
  <c r="J79" i="39"/>
  <c r="J80" i="39"/>
  <c r="J81" i="39"/>
  <c r="J82" i="39"/>
  <c r="J83" i="39"/>
  <c r="J84" i="39"/>
  <c r="J85" i="39"/>
  <c r="J86" i="39"/>
  <c r="J87" i="39"/>
  <c r="J88" i="39"/>
  <c r="J89" i="39"/>
  <c r="J90" i="39"/>
  <c r="J91" i="39"/>
  <c r="J92" i="39"/>
  <c r="J93" i="39"/>
  <c r="J94" i="39"/>
  <c r="J95" i="39"/>
  <c r="J96" i="39"/>
  <c r="J97" i="39"/>
  <c r="J98" i="39"/>
  <c r="J99" i="39"/>
  <c r="J100" i="39"/>
  <c r="J101" i="39"/>
  <c r="J102" i="39"/>
  <c r="J103" i="39"/>
  <c r="J104" i="39"/>
  <c r="J105" i="39"/>
  <c r="J106" i="39"/>
  <c r="J107" i="39"/>
  <c r="J108" i="39"/>
  <c r="J109" i="39"/>
  <c r="J110" i="39"/>
  <c r="J111" i="39"/>
  <c r="J112" i="39"/>
  <c r="J113" i="39"/>
  <c r="J114" i="39"/>
  <c r="J115" i="39"/>
  <c r="J116" i="39"/>
  <c r="J117" i="39"/>
  <c r="J118" i="39"/>
  <c r="J119" i="39"/>
  <c r="J120" i="39"/>
  <c r="J121" i="39"/>
  <c r="J122" i="39"/>
  <c r="J123" i="39"/>
  <c r="J124" i="39"/>
  <c r="J125" i="39"/>
  <c r="J126" i="39"/>
  <c r="J127" i="39"/>
  <c r="J128" i="39"/>
  <c r="J129" i="39"/>
  <c r="J130" i="39"/>
  <c r="J131" i="39"/>
  <c r="J132" i="39"/>
  <c r="J133" i="39"/>
  <c r="J134" i="39"/>
  <c r="J135" i="39"/>
  <c r="J136" i="39"/>
  <c r="J137" i="39"/>
  <c r="J138" i="39"/>
  <c r="J139" i="39"/>
  <c r="J140" i="39"/>
  <c r="J141" i="39"/>
  <c r="J142" i="39"/>
  <c r="J143" i="39"/>
  <c r="J144" i="39"/>
  <c r="J145" i="39"/>
  <c r="J146" i="39"/>
  <c r="J147" i="39"/>
  <c r="J148" i="39"/>
  <c r="J149" i="39"/>
  <c r="J150" i="39"/>
  <c r="J151" i="39"/>
  <c r="J152" i="39"/>
  <c r="J153" i="39"/>
  <c r="J154" i="39"/>
  <c r="J155" i="39"/>
  <c r="J156" i="39"/>
  <c r="J157" i="39"/>
  <c r="J158" i="39"/>
  <c r="J159" i="39"/>
  <c r="J160" i="39"/>
  <c r="J161" i="39"/>
  <c r="J162" i="39"/>
  <c r="J163" i="39"/>
  <c r="J164" i="39"/>
  <c r="J165" i="39"/>
  <c r="J166" i="39"/>
  <c r="J167" i="39"/>
  <c r="J168" i="39"/>
  <c r="J169" i="39"/>
  <c r="J170" i="39"/>
  <c r="J171" i="39"/>
  <c r="J172" i="39"/>
  <c r="J173" i="39"/>
  <c r="J174" i="39"/>
  <c r="J175" i="39"/>
  <c r="J176" i="39"/>
  <c r="J177" i="39"/>
  <c r="J178" i="39"/>
  <c r="J179" i="39"/>
  <c r="J180" i="39"/>
  <c r="J181" i="39"/>
  <c r="J182" i="39"/>
  <c r="J183" i="39"/>
  <c r="J184" i="39"/>
  <c r="J185" i="39"/>
  <c r="J186" i="39"/>
  <c r="J187" i="39"/>
  <c r="J188" i="39"/>
  <c r="J189" i="39"/>
  <c r="J190" i="39"/>
  <c r="J191" i="39"/>
  <c r="J192" i="39"/>
  <c r="J193" i="39"/>
  <c r="J194" i="39"/>
  <c r="J195" i="39"/>
  <c r="J196" i="39"/>
  <c r="J197" i="39"/>
  <c r="J198" i="39"/>
  <c r="J199" i="39"/>
  <c r="J200" i="39"/>
  <c r="J201" i="39"/>
  <c r="J202" i="39"/>
  <c r="J203" i="39"/>
  <c r="J204" i="39"/>
  <c r="J205" i="39"/>
  <c r="J206" i="39"/>
  <c r="J207" i="39"/>
  <c r="J208" i="39"/>
  <c r="J209" i="39"/>
  <c r="J210" i="39"/>
  <c r="J211" i="39"/>
  <c r="J212" i="39"/>
  <c r="J213" i="39"/>
  <c r="J214" i="39"/>
  <c r="J215" i="39"/>
  <c r="J216" i="39"/>
  <c r="J217" i="39"/>
  <c r="J218" i="39"/>
  <c r="J219" i="39"/>
  <c r="J220" i="39"/>
  <c r="J221" i="39"/>
  <c r="J222" i="39"/>
  <c r="J223" i="39"/>
  <c r="J224" i="39"/>
  <c r="J225" i="39"/>
  <c r="J226" i="39"/>
  <c r="J227" i="39"/>
  <c r="J228" i="39"/>
  <c r="J229" i="39"/>
  <c r="J230" i="39"/>
  <c r="J231" i="39"/>
  <c r="J232" i="39"/>
  <c r="J233" i="39"/>
  <c r="J234" i="39"/>
  <c r="J235" i="39"/>
  <c r="J236" i="39"/>
  <c r="J237" i="39"/>
  <c r="J238" i="39"/>
  <c r="J239" i="39"/>
  <c r="J240" i="39"/>
  <c r="J241" i="39"/>
  <c r="J242" i="39"/>
  <c r="J243" i="39"/>
  <c r="J244" i="39"/>
  <c r="J245" i="39"/>
  <c r="J246" i="39"/>
  <c r="J247" i="39"/>
  <c r="J248" i="39"/>
  <c r="J249" i="39"/>
  <c r="J250" i="39"/>
  <c r="J251" i="39"/>
  <c r="J252" i="39"/>
  <c r="J253" i="39"/>
  <c r="J254" i="39"/>
  <c r="J255" i="39"/>
  <c r="J256" i="39"/>
  <c r="J257" i="39"/>
  <c r="J258" i="39"/>
  <c r="J259" i="39"/>
  <c r="J260" i="39"/>
  <c r="J261" i="39"/>
  <c r="J262" i="39"/>
  <c r="J263" i="39"/>
  <c r="J264" i="39"/>
  <c r="J265" i="39"/>
  <c r="J266" i="39"/>
  <c r="J267" i="39"/>
  <c r="J268" i="39"/>
  <c r="J269" i="39"/>
  <c r="J270" i="39"/>
  <c r="J271" i="39"/>
  <c r="J272" i="39"/>
  <c r="J273" i="39"/>
  <c r="J274" i="39"/>
  <c r="J275" i="39"/>
  <c r="J276" i="39"/>
  <c r="J277" i="39"/>
  <c r="J278" i="39"/>
  <c r="J279" i="39"/>
  <c r="J280" i="39"/>
  <c r="J281" i="39"/>
  <c r="J282" i="39"/>
  <c r="J283" i="39"/>
  <c r="J284" i="39"/>
  <c r="J285" i="39"/>
  <c r="J286" i="39"/>
  <c r="J287" i="39"/>
  <c r="J288" i="39"/>
  <c r="J289" i="39"/>
  <c r="J290" i="39"/>
  <c r="J291" i="39"/>
  <c r="J292" i="39"/>
  <c r="J293" i="39"/>
  <c r="J294" i="39"/>
  <c r="J295" i="39"/>
  <c r="J296" i="39"/>
  <c r="J297" i="39"/>
  <c r="J298" i="39"/>
  <c r="J299" i="39"/>
  <c r="J300" i="39"/>
  <c r="J301" i="39"/>
  <c r="J302" i="39"/>
  <c r="J303" i="39"/>
  <c r="J304" i="39"/>
  <c r="J305" i="39"/>
  <c r="J306" i="39"/>
  <c r="J307" i="39"/>
  <c r="J308" i="39"/>
  <c r="J309" i="39"/>
  <c r="J310" i="39"/>
  <c r="J311" i="39"/>
  <c r="J312" i="39"/>
  <c r="J313" i="39"/>
  <c r="J314" i="39"/>
  <c r="J315" i="39"/>
  <c r="J316" i="39"/>
  <c r="J317" i="39"/>
  <c r="J318" i="39"/>
  <c r="J319" i="39"/>
  <c r="J320" i="39"/>
  <c r="J321" i="39"/>
  <c r="J322" i="39"/>
  <c r="J323" i="39"/>
  <c r="J324" i="39"/>
  <c r="J325" i="39"/>
  <c r="J326" i="39"/>
  <c r="J327" i="39"/>
  <c r="J328" i="39"/>
  <c r="J329" i="39"/>
  <c r="J330" i="39"/>
  <c r="J331" i="39"/>
  <c r="J332" i="39"/>
  <c r="J333" i="39"/>
  <c r="J334" i="39"/>
  <c r="J335" i="39"/>
  <c r="J336" i="39"/>
  <c r="J337" i="39"/>
  <c r="J338" i="39"/>
  <c r="J339" i="39"/>
  <c r="J340" i="39"/>
  <c r="J341" i="39"/>
  <c r="J342" i="39"/>
  <c r="J343" i="39"/>
  <c r="J344" i="39"/>
  <c r="J345" i="39"/>
  <c r="J346" i="39"/>
  <c r="J347" i="39"/>
  <c r="J348" i="39"/>
  <c r="J349" i="39"/>
  <c r="J350" i="39"/>
  <c r="J351" i="39"/>
  <c r="J352" i="39"/>
  <c r="J353" i="39"/>
  <c r="J354" i="39"/>
  <c r="J355" i="39"/>
  <c r="J356" i="39"/>
  <c r="J357" i="39"/>
  <c r="J358" i="39"/>
  <c r="J359" i="39"/>
  <c r="J360" i="39"/>
  <c r="J361" i="39"/>
  <c r="J362" i="39"/>
  <c r="J363" i="39"/>
  <c r="J364" i="39"/>
  <c r="J365" i="39"/>
  <c r="J366" i="39"/>
  <c r="J367" i="39"/>
  <c r="J368" i="39"/>
  <c r="J369" i="39"/>
  <c r="J370" i="39"/>
  <c r="J371" i="39"/>
  <c r="J372" i="39"/>
  <c r="J373" i="39"/>
  <c r="J374" i="39"/>
  <c r="J375" i="39"/>
  <c r="J376" i="39"/>
  <c r="J377" i="39"/>
  <c r="J378" i="39"/>
  <c r="J379" i="39"/>
  <c r="J380" i="39"/>
  <c r="J381" i="39"/>
  <c r="J382" i="39"/>
  <c r="J383" i="39"/>
  <c r="J384" i="39"/>
  <c r="J385" i="39"/>
  <c r="J386" i="39"/>
  <c r="J387" i="39"/>
  <c r="J388" i="39"/>
  <c r="J389" i="39"/>
  <c r="J390" i="39"/>
  <c r="J391" i="39"/>
  <c r="J392" i="39"/>
  <c r="J393" i="39"/>
  <c r="J394" i="39"/>
  <c r="J395" i="39"/>
  <c r="J396" i="39"/>
  <c r="J397" i="39"/>
  <c r="J398" i="39"/>
  <c r="J399" i="39"/>
  <c r="J400" i="39"/>
  <c r="J401" i="39"/>
  <c r="J402" i="39"/>
  <c r="J403" i="39"/>
  <c r="J404" i="39"/>
  <c r="J405" i="39"/>
  <c r="J406" i="39"/>
  <c r="J407" i="39"/>
  <c r="J408" i="39"/>
  <c r="J409" i="39"/>
  <c r="J410" i="39"/>
  <c r="J411" i="39"/>
  <c r="J412" i="39"/>
  <c r="J413" i="39"/>
  <c r="J414" i="39"/>
  <c r="J415" i="39"/>
  <c r="J416" i="39"/>
  <c r="J417" i="39"/>
  <c r="J418" i="39"/>
  <c r="J419" i="39"/>
  <c r="J420" i="39"/>
  <c r="J421" i="39"/>
  <c r="J422" i="39"/>
  <c r="J423" i="39"/>
  <c r="J424" i="39"/>
  <c r="J425" i="39"/>
  <c r="J426" i="39"/>
  <c r="J427" i="39"/>
  <c r="J428" i="39"/>
  <c r="J429" i="39"/>
  <c r="J430" i="39"/>
  <c r="J431" i="39"/>
  <c r="J432" i="39"/>
  <c r="J433" i="39"/>
  <c r="J434" i="39"/>
  <c r="J435" i="39"/>
  <c r="J436" i="39"/>
  <c r="J437" i="39"/>
  <c r="J438" i="39"/>
  <c r="J439" i="39"/>
  <c r="J440" i="39"/>
  <c r="J441" i="39"/>
  <c r="J442" i="39"/>
  <c r="J443" i="39"/>
  <c r="J444" i="39"/>
  <c r="J445" i="39"/>
  <c r="J446" i="39"/>
  <c r="J447" i="39"/>
  <c r="J448" i="39"/>
  <c r="J449" i="39"/>
  <c r="J450" i="39"/>
  <c r="J451" i="39"/>
  <c r="J452" i="39"/>
  <c r="J453" i="39"/>
  <c r="J454" i="39"/>
  <c r="J455" i="39"/>
  <c r="J456" i="39"/>
  <c r="J457" i="39"/>
  <c r="J458" i="39"/>
  <c r="J459" i="39"/>
  <c r="J460" i="39"/>
  <c r="J461" i="39"/>
  <c r="J462" i="39"/>
  <c r="J463" i="39"/>
  <c r="J464" i="39"/>
  <c r="J465" i="39"/>
  <c r="J466" i="39"/>
  <c r="J467" i="39"/>
  <c r="J468" i="39"/>
  <c r="J469" i="39"/>
  <c r="J470" i="39"/>
  <c r="J471" i="39"/>
  <c r="J472" i="39"/>
  <c r="J473" i="39"/>
  <c r="J474" i="39"/>
  <c r="J475" i="39"/>
  <c r="J476" i="39"/>
  <c r="J477" i="39"/>
  <c r="J478" i="39"/>
  <c r="J479" i="39"/>
  <c r="J480" i="39"/>
  <c r="J481" i="39"/>
  <c r="J482" i="39"/>
  <c r="J483" i="39"/>
  <c r="J484" i="39"/>
  <c r="J485" i="39"/>
  <c r="J486" i="39"/>
  <c r="J487" i="39"/>
  <c r="J488" i="39"/>
  <c r="J489" i="39"/>
  <c r="J490" i="39"/>
  <c r="J491" i="39"/>
  <c r="J492" i="39"/>
  <c r="J493" i="39"/>
  <c r="J494" i="39"/>
  <c r="J495" i="39"/>
  <c r="J496" i="39"/>
  <c r="J497" i="39"/>
  <c r="J498" i="39"/>
  <c r="J499" i="39"/>
  <c r="J500" i="39"/>
  <c r="J501" i="39"/>
  <c r="J502" i="39"/>
  <c r="J503" i="39"/>
  <c r="J504" i="39"/>
  <c r="J505" i="39"/>
  <c r="J506" i="39"/>
  <c r="J507" i="39"/>
  <c r="J508" i="39"/>
  <c r="J509" i="39"/>
  <c r="J510" i="39"/>
  <c r="J511" i="39"/>
  <c r="J512" i="39"/>
  <c r="J513" i="39"/>
  <c r="J514" i="39"/>
  <c r="J515" i="39"/>
  <c r="J516" i="39"/>
  <c r="J517" i="39"/>
  <c r="J518" i="39"/>
  <c r="J519" i="39"/>
  <c r="J520" i="39"/>
  <c r="J521" i="39"/>
  <c r="J522" i="39"/>
  <c r="J523" i="39"/>
  <c r="J524" i="39"/>
  <c r="J525" i="39"/>
  <c r="J526" i="39"/>
  <c r="J527" i="39"/>
  <c r="J528" i="39"/>
  <c r="J529" i="39"/>
  <c r="J530" i="39"/>
  <c r="J531" i="39"/>
  <c r="J532" i="39"/>
  <c r="J533" i="39"/>
  <c r="J534" i="39"/>
  <c r="J535" i="39"/>
  <c r="J536" i="39"/>
  <c r="J537" i="39"/>
  <c r="J538" i="39"/>
  <c r="J539" i="39"/>
  <c r="J540" i="39"/>
  <c r="J541" i="39"/>
  <c r="J542" i="39"/>
  <c r="J543" i="39"/>
  <c r="J544" i="39"/>
  <c r="J545" i="39"/>
  <c r="J546" i="39"/>
  <c r="J547" i="39"/>
  <c r="J548" i="39"/>
  <c r="J549" i="39"/>
  <c r="J550" i="39"/>
  <c r="J551" i="39"/>
  <c r="J552" i="39"/>
  <c r="J553" i="39"/>
  <c r="J554" i="39"/>
  <c r="J555" i="39"/>
  <c r="J556" i="39"/>
  <c r="J557" i="39"/>
  <c r="J558" i="39"/>
  <c r="J559" i="39"/>
  <c r="J560" i="39"/>
  <c r="J561" i="39"/>
  <c r="J562" i="39"/>
  <c r="J563" i="39"/>
  <c r="J564" i="39"/>
  <c r="J565" i="39"/>
  <c r="J566" i="39"/>
  <c r="J567" i="39"/>
  <c r="J568" i="39"/>
  <c r="J569" i="39"/>
  <c r="J570" i="39"/>
  <c r="J571" i="39"/>
  <c r="J572" i="39"/>
  <c r="J573" i="39"/>
  <c r="J574" i="39"/>
  <c r="J575" i="39"/>
  <c r="J576" i="39"/>
  <c r="J577" i="39"/>
  <c r="J578" i="39"/>
  <c r="J579" i="39"/>
  <c r="J580" i="39"/>
  <c r="J581" i="39"/>
  <c r="J582" i="39"/>
  <c r="J583" i="39"/>
  <c r="J584" i="39"/>
  <c r="J585" i="39"/>
  <c r="J586" i="39"/>
  <c r="J587" i="39"/>
  <c r="J588" i="39"/>
  <c r="J589" i="39"/>
  <c r="J590" i="39"/>
  <c r="J591" i="39"/>
  <c r="J592" i="39"/>
  <c r="J593" i="39"/>
  <c r="J594" i="39"/>
  <c r="J595" i="39"/>
  <c r="J596" i="39"/>
  <c r="J597" i="39"/>
  <c r="J598" i="39"/>
  <c r="J599" i="39"/>
  <c r="J600" i="39"/>
  <c r="J601" i="39"/>
  <c r="J602" i="39"/>
  <c r="J603" i="39"/>
  <c r="J604" i="39"/>
  <c r="J605" i="39"/>
  <c r="J606" i="39"/>
  <c r="J607" i="39"/>
  <c r="J608" i="39"/>
  <c r="J609" i="39"/>
  <c r="J610" i="39"/>
  <c r="J611" i="39"/>
  <c r="J612" i="39"/>
  <c r="J613" i="39"/>
  <c r="J614" i="39"/>
  <c r="J615" i="39"/>
  <c r="J616" i="39"/>
  <c r="J617" i="39"/>
  <c r="J618" i="39"/>
  <c r="J619" i="39"/>
  <c r="J620" i="39"/>
  <c r="J621" i="39"/>
  <c r="J622" i="39"/>
  <c r="J623" i="39"/>
  <c r="J624" i="39"/>
  <c r="J625" i="39"/>
  <c r="J626" i="39"/>
  <c r="J627" i="39"/>
  <c r="J628" i="39"/>
  <c r="J629" i="39"/>
  <c r="J630" i="39"/>
  <c r="J631" i="39"/>
  <c r="J632" i="39"/>
  <c r="J633" i="39"/>
  <c r="J634" i="39"/>
  <c r="J635" i="39"/>
  <c r="J636" i="39"/>
  <c r="J637" i="39"/>
  <c r="J638" i="39"/>
  <c r="J639" i="39"/>
  <c r="J640" i="39"/>
  <c r="J641" i="39"/>
  <c r="J642" i="39"/>
  <c r="J643" i="39"/>
  <c r="J644" i="39"/>
  <c r="J645" i="39"/>
  <c r="J646" i="39"/>
  <c r="J647" i="39"/>
  <c r="J648" i="39"/>
  <c r="J649" i="39"/>
  <c r="J650" i="39"/>
  <c r="J651" i="39"/>
  <c r="J652" i="39"/>
  <c r="J653" i="39"/>
  <c r="J654" i="39"/>
  <c r="J655" i="39"/>
  <c r="J656" i="39"/>
  <c r="J657" i="39"/>
  <c r="J658" i="39"/>
  <c r="J659" i="39"/>
  <c r="J660" i="39"/>
  <c r="J661" i="39"/>
  <c r="J662" i="39"/>
  <c r="J663" i="39"/>
  <c r="J664" i="39"/>
  <c r="J665" i="39"/>
  <c r="J666" i="39"/>
  <c r="J667" i="39"/>
  <c r="J668" i="39"/>
  <c r="J669" i="39"/>
  <c r="J670" i="39"/>
  <c r="J671" i="39"/>
  <c r="J672" i="39"/>
  <c r="J673" i="39"/>
  <c r="J674" i="39"/>
  <c r="J675" i="39"/>
  <c r="J676" i="39"/>
  <c r="J677" i="39"/>
  <c r="J678" i="39"/>
  <c r="J679" i="39"/>
  <c r="J680" i="39"/>
  <c r="J681" i="39"/>
  <c r="J682" i="39"/>
  <c r="J683" i="39"/>
  <c r="J684" i="39"/>
  <c r="J685" i="39"/>
  <c r="J686" i="39"/>
  <c r="J687" i="39"/>
  <c r="J688" i="39"/>
  <c r="J689" i="39"/>
  <c r="J690" i="39"/>
  <c r="J691" i="39"/>
  <c r="J692" i="39"/>
  <c r="J693" i="39"/>
  <c r="J694" i="39"/>
  <c r="J695" i="39"/>
  <c r="J696" i="39"/>
  <c r="J697" i="39"/>
  <c r="J698" i="39"/>
  <c r="J699" i="39"/>
  <c r="J700" i="39"/>
  <c r="J701" i="39"/>
  <c r="J702" i="39"/>
  <c r="J703" i="39"/>
  <c r="J704" i="39"/>
  <c r="J705" i="39"/>
  <c r="J706" i="39"/>
  <c r="J707" i="39"/>
  <c r="J708" i="39"/>
  <c r="J709" i="39"/>
  <c r="J710" i="39"/>
  <c r="J711" i="39"/>
  <c r="J712" i="39"/>
  <c r="J713" i="39"/>
  <c r="J714" i="39"/>
  <c r="J715" i="39"/>
  <c r="J716" i="39"/>
  <c r="J717" i="39"/>
  <c r="J718" i="39"/>
  <c r="J719" i="39"/>
  <c r="J720" i="39"/>
  <c r="J721" i="39"/>
  <c r="J722" i="39"/>
  <c r="J723" i="39"/>
  <c r="J724" i="39"/>
  <c r="J725" i="39"/>
  <c r="J726" i="39"/>
  <c r="J727" i="39"/>
  <c r="J728" i="39"/>
  <c r="J729" i="39"/>
  <c r="J730" i="39"/>
  <c r="J731" i="39"/>
  <c r="J732" i="39"/>
  <c r="J733" i="39"/>
  <c r="J734" i="39"/>
  <c r="J735" i="39"/>
  <c r="J736" i="39"/>
  <c r="J737" i="39"/>
  <c r="J738" i="39"/>
  <c r="J739" i="39"/>
  <c r="J740" i="39"/>
  <c r="J741" i="39"/>
  <c r="J742" i="39"/>
  <c r="J743" i="39"/>
  <c r="J744" i="39"/>
  <c r="J745" i="39"/>
  <c r="J746" i="39"/>
  <c r="J747" i="39"/>
  <c r="J748" i="39"/>
  <c r="J749" i="39"/>
  <c r="J750" i="39"/>
  <c r="J751" i="39"/>
  <c r="J752" i="39"/>
  <c r="J753" i="39"/>
  <c r="J754" i="39"/>
  <c r="J755" i="39"/>
  <c r="J756" i="39"/>
  <c r="J757" i="39"/>
  <c r="J758" i="39"/>
  <c r="J759" i="39"/>
  <c r="J760" i="39"/>
  <c r="J761" i="39"/>
  <c r="J762" i="39"/>
  <c r="J763" i="39"/>
  <c r="J764" i="39"/>
  <c r="J765" i="39"/>
  <c r="J766" i="39"/>
  <c r="J767" i="39"/>
  <c r="J768" i="39"/>
  <c r="J769" i="39"/>
  <c r="J770" i="39"/>
  <c r="J771" i="39"/>
  <c r="J772" i="39"/>
  <c r="J773" i="39"/>
  <c r="J774" i="39"/>
  <c r="J775" i="39"/>
  <c r="J776" i="39"/>
  <c r="J777" i="39"/>
  <c r="J778" i="39"/>
  <c r="J779" i="39"/>
  <c r="J780" i="39"/>
  <c r="J781" i="39"/>
  <c r="J782" i="39"/>
  <c r="J783" i="39"/>
  <c r="J784" i="39"/>
  <c r="J785" i="39"/>
  <c r="J786" i="39"/>
  <c r="J787" i="39"/>
  <c r="J788" i="39"/>
  <c r="J789" i="39"/>
  <c r="J790" i="39"/>
  <c r="J791" i="39"/>
  <c r="J792" i="39"/>
  <c r="J793" i="39"/>
  <c r="J794" i="39"/>
  <c r="J795" i="39"/>
  <c r="J796" i="39"/>
  <c r="J797" i="39"/>
  <c r="J798" i="39"/>
  <c r="J799" i="39"/>
  <c r="J800" i="39"/>
  <c r="J801" i="39"/>
  <c r="J802" i="39"/>
  <c r="J803" i="39"/>
  <c r="J804" i="39"/>
  <c r="J805" i="39"/>
  <c r="J806" i="39"/>
  <c r="J807" i="39"/>
  <c r="J808" i="39"/>
  <c r="J809" i="39"/>
  <c r="J810" i="39"/>
  <c r="J811" i="39"/>
  <c r="J812" i="39"/>
  <c r="J813" i="39"/>
  <c r="J814" i="39"/>
  <c r="J815" i="39"/>
  <c r="J816" i="39"/>
  <c r="J817" i="39"/>
  <c r="J818" i="39"/>
  <c r="J819" i="39"/>
  <c r="J820" i="39"/>
  <c r="J821" i="39"/>
  <c r="J822" i="39"/>
  <c r="J823" i="39"/>
  <c r="J824" i="39"/>
  <c r="J825" i="39"/>
  <c r="J826" i="39"/>
  <c r="J827" i="39"/>
  <c r="J828" i="39"/>
  <c r="J829" i="39"/>
  <c r="J830" i="39"/>
  <c r="J831" i="39"/>
  <c r="J832" i="39"/>
  <c r="J833" i="39"/>
  <c r="J834" i="39"/>
  <c r="J835" i="39"/>
  <c r="J836" i="39"/>
  <c r="J837" i="39"/>
  <c r="J838" i="39"/>
  <c r="J839" i="39"/>
  <c r="J840" i="39"/>
  <c r="J841" i="39"/>
  <c r="J842" i="39"/>
  <c r="J843" i="39"/>
  <c r="J844" i="39"/>
  <c r="J845" i="39"/>
  <c r="J846" i="39"/>
  <c r="J847" i="39"/>
  <c r="J848" i="39"/>
  <c r="J849" i="39"/>
  <c r="J850" i="39"/>
  <c r="J851" i="39"/>
  <c r="J852" i="39"/>
  <c r="J853" i="39"/>
  <c r="J854" i="39"/>
  <c r="J855" i="39"/>
  <c r="J856" i="39"/>
  <c r="J857" i="39"/>
  <c r="J858" i="39"/>
  <c r="J859" i="39"/>
  <c r="J860" i="39"/>
  <c r="J861" i="39"/>
  <c r="J862" i="39"/>
  <c r="J5" i="3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U101" i="9"/>
  <c r="U102" i="9"/>
  <c r="U103" i="9"/>
  <c r="U104" i="9"/>
  <c r="U105" i="9"/>
  <c r="U106" i="9"/>
  <c r="U107" i="9"/>
  <c r="U108" i="9"/>
  <c r="U109" i="9"/>
  <c r="U110" i="9"/>
  <c r="U111" i="9"/>
  <c r="U112" i="9"/>
  <c r="U113" i="9"/>
  <c r="U114" i="9"/>
  <c r="U115" i="9"/>
  <c r="U116" i="9"/>
  <c r="U117" i="9"/>
  <c r="U118" i="9"/>
  <c r="U119" i="9"/>
  <c r="U120" i="9"/>
  <c r="U121" i="9"/>
  <c r="U122" i="9"/>
  <c r="U123" i="9"/>
  <c r="U124" i="9"/>
  <c r="U125" i="9"/>
  <c r="U126" i="9"/>
  <c r="U127" i="9"/>
  <c r="U128" i="9"/>
  <c r="U129" i="9"/>
  <c r="U130" i="9"/>
  <c r="U131" i="9"/>
  <c r="U132" i="9"/>
  <c r="U133" i="9"/>
  <c r="U134" i="9"/>
  <c r="U135" i="9"/>
  <c r="U136" i="9"/>
  <c r="U137" i="9"/>
  <c r="U138" i="9"/>
  <c r="U139" i="9"/>
  <c r="U140" i="9"/>
  <c r="U141" i="9"/>
  <c r="U142" i="9"/>
  <c r="U143" i="9"/>
  <c r="U144" i="9"/>
  <c r="U145" i="9"/>
  <c r="U146" i="9"/>
  <c r="U147" i="9"/>
  <c r="U148" i="9"/>
  <c r="U149" i="9"/>
  <c r="U150" i="9"/>
  <c r="U151"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U201" i="9"/>
  <c r="U202" i="9"/>
  <c r="U203" i="9"/>
  <c r="U204" i="9"/>
  <c r="U205" i="9"/>
  <c r="U206" i="9"/>
  <c r="U207" i="9"/>
  <c r="U208" i="9"/>
  <c r="U209"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74" i="9"/>
  <c r="U275" i="9"/>
  <c r="U276" i="9"/>
  <c r="U277" i="9"/>
  <c r="U278" i="9"/>
  <c r="U279" i="9"/>
  <c r="U280" i="9"/>
  <c r="U281" i="9"/>
  <c r="U282" i="9"/>
  <c r="U283" i="9"/>
  <c r="U284" i="9"/>
  <c r="U285" i="9"/>
  <c r="U286" i="9"/>
  <c r="U287" i="9"/>
  <c r="U288" i="9"/>
  <c r="U289" i="9"/>
  <c r="U290" i="9"/>
  <c r="U291" i="9"/>
  <c r="U292" i="9"/>
  <c r="U293" i="9"/>
  <c r="U294" i="9"/>
  <c r="U295" i="9"/>
  <c r="U296" i="9"/>
  <c r="U297" i="9"/>
  <c r="U298" i="9"/>
  <c r="U299" i="9"/>
  <c r="U300" i="9"/>
  <c r="U301" i="9"/>
  <c r="U302" i="9"/>
  <c r="U303" i="9"/>
  <c r="U304" i="9"/>
  <c r="U305" i="9"/>
  <c r="U306" i="9"/>
  <c r="U307" i="9"/>
  <c r="U308" i="9"/>
  <c r="U309" i="9"/>
  <c r="U310" i="9"/>
  <c r="U311" i="9"/>
  <c r="U312" i="9"/>
  <c r="U313" i="9"/>
  <c r="U314" i="9"/>
  <c r="U315" i="9"/>
  <c r="U316" i="9"/>
  <c r="U317" i="9"/>
  <c r="U318" i="9"/>
  <c r="U319" i="9"/>
  <c r="U320" i="9"/>
  <c r="U321" i="9"/>
  <c r="U322" i="9"/>
  <c r="U323" i="9"/>
  <c r="U324" i="9"/>
  <c r="U325" i="9"/>
  <c r="U326" i="9"/>
  <c r="U327" i="9"/>
  <c r="U328" i="9"/>
  <c r="U329" i="9"/>
  <c r="U330" i="9"/>
  <c r="U331" i="9"/>
  <c r="U332" i="9"/>
  <c r="U333" i="9"/>
  <c r="U334" i="9"/>
  <c r="U335" i="9"/>
  <c r="U336" i="9"/>
  <c r="U337" i="9"/>
  <c r="U338" i="9"/>
  <c r="U339" i="9"/>
  <c r="U340" i="9"/>
  <c r="U341" i="9"/>
  <c r="U342" i="9"/>
  <c r="U343" i="9"/>
  <c r="U344" i="9"/>
  <c r="U345" i="9"/>
  <c r="U346" i="9"/>
  <c r="U347" i="9"/>
  <c r="U348" i="9"/>
  <c r="U349" i="9"/>
  <c r="U350" i="9"/>
  <c r="U351" i="9"/>
  <c r="U352" i="9"/>
  <c r="U353" i="9"/>
  <c r="U354" i="9"/>
  <c r="U355" i="9"/>
  <c r="U356" i="9"/>
  <c r="U357" i="9"/>
  <c r="U358" i="9"/>
  <c r="U359" i="9"/>
  <c r="U360" i="9"/>
  <c r="U361" i="9"/>
  <c r="U362" i="9"/>
  <c r="U363" i="9"/>
  <c r="U364" i="9"/>
  <c r="U365" i="9"/>
  <c r="U366" i="9"/>
  <c r="U367" i="9"/>
  <c r="U368" i="9"/>
  <c r="U369" i="9"/>
  <c r="U370" i="9"/>
  <c r="U371" i="9"/>
  <c r="U372" i="9"/>
  <c r="U373" i="9"/>
  <c r="U374" i="9"/>
  <c r="U375" i="9"/>
  <c r="U376" i="9"/>
  <c r="U377" i="9"/>
  <c r="U378" i="9"/>
  <c r="U379" i="9"/>
  <c r="U380" i="9"/>
  <c r="U381" i="9"/>
  <c r="U382" i="9"/>
  <c r="U383" i="9"/>
  <c r="U384" i="9"/>
  <c r="U385" i="9"/>
  <c r="U386" i="9"/>
  <c r="U387" i="9"/>
  <c r="U388" i="9"/>
  <c r="U389" i="9"/>
  <c r="U390" i="9"/>
  <c r="U391" i="9"/>
  <c r="U392" i="9"/>
  <c r="U393" i="9"/>
  <c r="U394" i="9"/>
  <c r="U395" i="9"/>
  <c r="U396" i="9"/>
  <c r="U397" i="9"/>
  <c r="U398" i="9"/>
  <c r="U399" i="9"/>
  <c r="U400" i="9"/>
  <c r="U401" i="9"/>
  <c r="U402" i="9"/>
  <c r="U403" i="9"/>
  <c r="U404" i="9"/>
  <c r="U405" i="9"/>
  <c r="U406" i="9"/>
  <c r="U407" i="9"/>
  <c r="U408" i="9"/>
  <c r="U409" i="9"/>
  <c r="U410" i="9"/>
  <c r="U411" i="9"/>
  <c r="U412" i="9"/>
  <c r="U413" i="9"/>
  <c r="U414" i="9"/>
  <c r="U415" i="9"/>
  <c r="U416" i="9"/>
  <c r="U417" i="9"/>
  <c r="U418" i="9"/>
  <c r="U419" i="9"/>
  <c r="U420" i="9"/>
  <c r="U421" i="9"/>
  <c r="U422" i="9"/>
  <c r="U423" i="9"/>
  <c r="U424" i="9"/>
  <c r="U425" i="9"/>
  <c r="U426" i="9"/>
  <c r="U427" i="9"/>
  <c r="U428" i="9"/>
  <c r="U429" i="9"/>
  <c r="U430" i="9"/>
  <c r="U431" i="9"/>
  <c r="U432" i="9"/>
  <c r="U433" i="9"/>
  <c r="U434" i="9"/>
  <c r="U435" i="9"/>
  <c r="U436" i="9"/>
  <c r="U437" i="9"/>
  <c r="U438" i="9"/>
  <c r="U439" i="9"/>
  <c r="U440" i="9"/>
  <c r="U441" i="9"/>
  <c r="U442" i="9"/>
  <c r="U443" i="9"/>
  <c r="U444" i="9"/>
  <c r="U445" i="9"/>
  <c r="U446" i="9"/>
  <c r="U447" i="9"/>
  <c r="U448" i="9"/>
  <c r="U449" i="9"/>
  <c r="U450" i="9"/>
  <c r="U451" i="9"/>
  <c r="U452" i="9"/>
  <c r="U453" i="9"/>
  <c r="U454" i="9"/>
  <c r="U455" i="9"/>
  <c r="U456" i="9"/>
  <c r="U457" i="9"/>
  <c r="U458" i="9"/>
  <c r="U459" i="9"/>
  <c r="U460" i="9"/>
  <c r="U461" i="9"/>
  <c r="U462" i="9"/>
  <c r="U463" i="9"/>
  <c r="U464" i="9"/>
  <c r="U465" i="9"/>
  <c r="U466" i="9"/>
  <c r="U467" i="9"/>
  <c r="U468" i="9"/>
  <c r="U469" i="9"/>
  <c r="U470" i="9"/>
  <c r="U471" i="9"/>
  <c r="U472" i="9"/>
  <c r="U473" i="9"/>
  <c r="U474" i="9"/>
  <c r="U475" i="9"/>
  <c r="U476" i="9"/>
  <c r="U477" i="9"/>
  <c r="U478" i="9"/>
  <c r="U479" i="9"/>
  <c r="U480" i="9"/>
  <c r="U481" i="9"/>
  <c r="U482" i="9"/>
  <c r="U483" i="9"/>
  <c r="U484" i="9"/>
  <c r="U485" i="9"/>
  <c r="U486" i="9"/>
  <c r="U487" i="9"/>
  <c r="U488" i="9"/>
  <c r="U489" i="9"/>
  <c r="U490" i="9"/>
  <c r="U491" i="9"/>
  <c r="U492" i="9"/>
  <c r="U493" i="9"/>
  <c r="U494" i="9"/>
  <c r="U495" i="9"/>
  <c r="U496" i="9"/>
  <c r="U497" i="9"/>
  <c r="U498" i="9"/>
  <c r="U499" i="9"/>
  <c r="U500" i="9"/>
  <c r="U501" i="9"/>
  <c r="U502" i="9"/>
  <c r="U503" i="9"/>
  <c r="U504" i="9"/>
  <c r="U505" i="9"/>
  <c r="U506" i="9"/>
  <c r="U507" i="9"/>
  <c r="U508" i="9"/>
  <c r="U509" i="9"/>
  <c r="U510" i="9"/>
  <c r="U511" i="9"/>
  <c r="U512" i="9"/>
  <c r="U513" i="9"/>
  <c r="U514" i="9"/>
  <c r="U515" i="9"/>
  <c r="U516" i="9"/>
  <c r="U517" i="9"/>
  <c r="U518" i="9"/>
  <c r="U519" i="9"/>
  <c r="U520" i="9"/>
  <c r="U521" i="9"/>
  <c r="U522" i="9"/>
  <c r="U523" i="9"/>
  <c r="U524" i="9"/>
  <c r="U525" i="9"/>
  <c r="U526" i="9"/>
  <c r="U527" i="9"/>
  <c r="U528" i="9"/>
  <c r="U529" i="9"/>
  <c r="U530" i="9"/>
  <c r="U531" i="9"/>
  <c r="U532" i="9"/>
  <c r="U533" i="9"/>
  <c r="U534" i="9"/>
  <c r="U535" i="9"/>
  <c r="U536" i="9"/>
  <c r="U537" i="9"/>
  <c r="U538" i="9"/>
  <c r="U539" i="9"/>
  <c r="U540" i="9"/>
  <c r="U541" i="9"/>
  <c r="U542" i="9"/>
  <c r="U543" i="9"/>
  <c r="U544" i="9"/>
  <c r="U545" i="9"/>
  <c r="U546" i="9"/>
  <c r="U547" i="9"/>
  <c r="U548" i="9"/>
  <c r="U549" i="9"/>
  <c r="U550" i="9"/>
  <c r="U551" i="9"/>
  <c r="U552" i="9"/>
  <c r="U553" i="9"/>
  <c r="U554" i="9"/>
  <c r="U555" i="9"/>
  <c r="U556" i="9"/>
  <c r="U557" i="9"/>
  <c r="U558" i="9"/>
  <c r="U559" i="9"/>
  <c r="U560" i="9"/>
  <c r="U561" i="9"/>
  <c r="U562" i="9"/>
  <c r="U563" i="9"/>
  <c r="U564" i="9"/>
  <c r="U565" i="9"/>
  <c r="U566" i="9"/>
  <c r="U567" i="9"/>
  <c r="U568" i="9"/>
  <c r="U569" i="9"/>
  <c r="U570" i="9"/>
  <c r="U571" i="9"/>
  <c r="U572" i="9"/>
  <c r="U573" i="9"/>
  <c r="U574" i="9"/>
  <c r="U575" i="9"/>
  <c r="U576" i="9"/>
  <c r="U577" i="9"/>
  <c r="U578" i="9"/>
  <c r="U579" i="9"/>
  <c r="U580" i="9"/>
  <c r="U581" i="9"/>
  <c r="U582" i="9"/>
  <c r="U583" i="9"/>
  <c r="U584" i="9"/>
  <c r="U585" i="9"/>
  <c r="U586" i="9"/>
  <c r="U587" i="9"/>
  <c r="U588" i="9"/>
  <c r="U589" i="9"/>
  <c r="U590" i="9"/>
  <c r="U591" i="9"/>
  <c r="U592" i="9"/>
  <c r="U593" i="9"/>
  <c r="U594" i="9"/>
  <c r="U595" i="9"/>
  <c r="U596" i="9"/>
  <c r="U597" i="9"/>
  <c r="U598" i="9"/>
  <c r="U599" i="9"/>
  <c r="U600" i="9"/>
  <c r="U601" i="9"/>
  <c r="U602" i="9"/>
  <c r="U603" i="9"/>
  <c r="U604" i="9"/>
  <c r="U605" i="9"/>
  <c r="U606" i="9"/>
  <c r="U607" i="9"/>
  <c r="U608" i="9"/>
  <c r="U609" i="9"/>
  <c r="U610" i="9"/>
  <c r="U611" i="9"/>
  <c r="U612" i="9"/>
  <c r="U613" i="9"/>
  <c r="U614" i="9"/>
  <c r="U615" i="9"/>
  <c r="U616" i="9"/>
  <c r="U617" i="9"/>
  <c r="U618" i="9"/>
  <c r="U619" i="9"/>
  <c r="U620" i="9"/>
  <c r="U621" i="9"/>
  <c r="U622" i="9"/>
  <c r="U623" i="9"/>
  <c r="U624" i="9"/>
  <c r="U625" i="9"/>
  <c r="U626" i="9"/>
  <c r="U627" i="9"/>
  <c r="U628" i="9"/>
  <c r="U629" i="9"/>
  <c r="U630" i="9"/>
  <c r="U631" i="9"/>
  <c r="U632" i="9"/>
  <c r="U633" i="9"/>
  <c r="U634" i="9"/>
  <c r="U635" i="9"/>
  <c r="U636" i="9"/>
  <c r="U637" i="9"/>
  <c r="U638" i="9"/>
  <c r="U639" i="9"/>
  <c r="U640" i="9"/>
  <c r="U641" i="9"/>
  <c r="U642" i="9"/>
  <c r="U643" i="9"/>
  <c r="U644" i="9"/>
  <c r="U645" i="9"/>
  <c r="U646" i="9"/>
  <c r="U647" i="9"/>
  <c r="U648" i="9"/>
  <c r="U649" i="9"/>
  <c r="U650" i="9"/>
  <c r="U651" i="9"/>
  <c r="U652" i="9"/>
  <c r="U653" i="9"/>
  <c r="U654" i="9"/>
  <c r="U655" i="9"/>
  <c r="U656" i="9"/>
  <c r="U657" i="9"/>
  <c r="U658" i="9"/>
  <c r="U659" i="9"/>
  <c r="U660" i="9"/>
  <c r="U661" i="9"/>
  <c r="U662" i="9"/>
  <c r="U663" i="9"/>
  <c r="U664" i="9"/>
  <c r="U665" i="9"/>
  <c r="U666" i="9"/>
  <c r="U667" i="9"/>
  <c r="U668" i="9"/>
  <c r="U669" i="9"/>
  <c r="U670" i="9"/>
  <c r="U671" i="9"/>
  <c r="U672" i="9"/>
  <c r="U673" i="9"/>
  <c r="U674" i="9"/>
  <c r="U675" i="9"/>
  <c r="U676" i="9"/>
  <c r="U677" i="9"/>
  <c r="U678" i="9"/>
  <c r="U679" i="9"/>
  <c r="U680" i="9"/>
  <c r="U681" i="9"/>
  <c r="U682" i="9"/>
  <c r="U683" i="9"/>
  <c r="U684" i="9"/>
  <c r="U685" i="9"/>
  <c r="U686" i="9"/>
  <c r="U687" i="9"/>
  <c r="U688" i="9"/>
  <c r="U689" i="9"/>
  <c r="U690" i="9"/>
  <c r="U691" i="9"/>
  <c r="U692" i="9"/>
  <c r="U693" i="9"/>
  <c r="U694" i="9"/>
  <c r="U695" i="9"/>
  <c r="U696" i="9"/>
  <c r="U697" i="9"/>
  <c r="U698" i="9"/>
  <c r="U699" i="9"/>
  <c r="U700" i="9"/>
  <c r="U701" i="9"/>
  <c r="U702" i="9"/>
  <c r="U703" i="9"/>
  <c r="U704" i="9"/>
  <c r="U705" i="9"/>
  <c r="U706" i="9"/>
  <c r="U707" i="9"/>
  <c r="U708" i="9"/>
  <c r="U709" i="9"/>
  <c r="U710" i="9"/>
  <c r="U711" i="9"/>
  <c r="U712" i="9"/>
  <c r="U713" i="9"/>
  <c r="U714" i="9"/>
  <c r="U715" i="9"/>
  <c r="U716" i="9"/>
  <c r="U717" i="9"/>
  <c r="U718" i="9"/>
  <c r="U719" i="9"/>
  <c r="U720" i="9"/>
  <c r="U721" i="9"/>
  <c r="U722" i="9"/>
  <c r="U723" i="9"/>
  <c r="U724" i="9"/>
  <c r="U725" i="9"/>
  <c r="U726" i="9"/>
  <c r="U727" i="9"/>
  <c r="U728" i="9"/>
  <c r="U729" i="9"/>
  <c r="U730" i="9"/>
  <c r="U731" i="9"/>
  <c r="U732" i="9"/>
  <c r="U733" i="9"/>
  <c r="U734" i="9"/>
  <c r="U735" i="9"/>
  <c r="U736" i="9"/>
  <c r="U737" i="9"/>
  <c r="U738" i="9"/>
  <c r="U739" i="9"/>
  <c r="U740" i="9"/>
  <c r="U741" i="9"/>
  <c r="U742" i="9"/>
  <c r="U743" i="9"/>
  <c r="U744" i="9"/>
  <c r="U745" i="9"/>
  <c r="U746" i="9"/>
  <c r="U747" i="9"/>
  <c r="U748" i="9"/>
  <c r="U749" i="9"/>
  <c r="U750" i="9"/>
  <c r="U751" i="9"/>
  <c r="U752" i="9"/>
  <c r="U753" i="9"/>
  <c r="U754" i="9"/>
  <c r="U755" i="9"/>
  <c r="U756" i="9"/>
  <c r="U757" i="9"/>
  <c r="U758" i="9"/>
  <c r="U759" i="9"/>
  <c r="U760" i="9"/>
  <c r="U761" i="9"/>
  <c r="U762" i="9"/>
  <c r="U763" i="9"/>
  <c r="U764" i="9"/>
  <c r="U765" i="9"/>
  <c r="U766" i="9"/>
  <c r="U767" i="9"/>
  <c r="U768" i="9"/>
  <c r="U769" i="9"/>
  <c r="U770" i="9"/>
  <c r="U771" i="9"/>
  <c r="U772" i="9"/>
  <c r="U773" i="9"/>
  <c r="U774" i="9"/>
  <c r="U775" i="9"/>
  <c r="U776" i="9"/>
  <c r="U777" i="9"/>
  <c r="U778" i="9"/>
  <c r="U779" i="9"/>
  <c r="U780" i="9"/>
  <c r="U781" i="9"/>
  <c r="U782" i="9"/>
  <c r="U783" i="9"/>
  <c r="U784" i="9"/>
  <c r="U785" i="9"/>
  <c r="U786" i="9"/>
  <c r="U787" i="9"/>
  <c r="U788" i="9"/>
  <c r="U789" i="9"/>
  <c r="U790" i="9"/>
  <c r="U791" i="9"/>
  <c r="U792" i="9"/>
  <c r="U793" i="9"/>
  <c r="U794" i="9"/>
  <c r="U795" i="9"/>
  <c r="U796" i="9"/>
  <c r="U797" i="9"/>
  <c r="U798" i="9"/>
  <c r="U799" i="9"/>
  <c r="U800" i="9"/>
  <c r="U801" i="9"/>
  <c r="U802" i="9"/>
  <c r="U803" i="9"/>
  <c r="U804" i="9"/>
  <c r="U805" i="9"/>
  <c r="U806" i="9"/>
  <c r="U807" i="9"/>
  <c r="U808" i="9"/>
  <c r="U809" i="9"/>
  <c r="U810" i="9"/>
  <c r="U811" i="9"/>
  <c r="U812" i="9"/>
  <c r="U813" i="9"/>
  <c r="U814" i="9"/>
  <c r="U815" i="9"/>
  <c r="U816" i="9"/>
  <c r="U817" i="9"/>
  <c r="U818" i="9"/>
  <c r="U819" i="9"/>
  <c r="U820" i="9"/>
  <c r="U821" i="9"/>
  <c r="U822" i="9"/>
  <c r="U823" i="9"/>
  <c r="U824" i="9"/>
  <c r="U825" i="9"/>
  <c r="U826" i="9"/>
  <c r="U827" i="9"/>
  <c r="U828" i="9"/>
  <c r="U829" i="9"/>
  <c r="U830" i="9"/>
  <c r="U831" i="9"/>
  <c r="U832" i="9"/>
  <c r="U833" i="9"/>
  <c r="U834" i="9"/>
  <c r="U835" i="9"/>
  <c r="U836" i="9"/>
  <c r="U837" i="9"/>
  <c r="U838" i="9"/>
  <c r="U839" i="9"/>
  <c r="U840" i="9"/>
  <c r="U841" i="9"/>
  <c r="U842" i="9"/>
  <c r="U843" i="9"/>
  <c r="U844" i="9"/>
  <c r="U845" i="9"/>
  <c r="U846" i="9"/>
  <c r="U847" i="9"/>
  <c r="U848" i="9"/>
  <c r="U849" i="9"/>
  <c r="U850" i="9"/>
  <c r="U851" i="9"/>
  <c r="U852" i="9"/>
  <c r="U853" i="9"/>
  <c r="U854" i="9"/>
  <c r="U855" i="9"/>
  <c r="U856" i="9"/>
  <c r="U857" i="9"/>
  <c r="U858" i="9"/>
  <c r="U859" i="9"/>
  <c r="U860" i="9"/>
  <c r="U861" i="9"/>
  <c r="U862" i="9"/>
  <c r="U5" i="9"/>
  <c r="L278" i="20"/>
  <c r="L279" i="20"/>
  <c r="L280" i="20"/>
  <c r="L281" i="20"/>
  <c r="L282" i="20"/>
  <c r="L283" i="20"/>
  <c r="L284" i="20"/>
  <c r="L285" i="20"/>
  <c r="L286" i="20"/>
  <c r="L287" i="20"/>
  <c r="L288" i="20"/>
  <c r="L289" i="20"/>
  <c r="L290" i="20"/>
  <c r="L291" i="20"/>
  <c r="L292" i="20"/>
  <c r="L293" i="20"/>
  <c r="L294" i="20"/>
  <c r="L295" i="20"/>
  <c r="L296" i="20"/>
  <c r="L297" i="20"/>
  <c r="L298" i="20"/>
  <c r="L299" i="20"/>
  <c r="L300" i="20"/>
  <c r="L301" i="20"/>
  <c r="L302" i="20"/>
  <c r="L303" i="20"/>
  <c r="L304" i="20"/>
  <c r="L305" i="20"/>
  <c r="L306" i="20"/>
  <c r="L307" i="20"/>
  <c r="L308" i="20"/>
  <c r="L309" i="20"/>
  <c r="L310" i="20"/>
  <c r="L311" i="20"/>
  <c r="L312" i="20"/>
  <c r="L313" i="20"/>
  <c r="L314" i="20"/>
  <c r="L315" i="20"/>
  <c r="L316" i="20"/>
  <c r="L317" i="20"/>
  <c r="L318" i="20"/>
  <c r="L319" i="20"/>
  <c r="L320" i="20"/>
  <c r="L321" i="20"/>
  <c r="L322" i="20"/>
  <c r="L323" i="20"/>
  <c r="L324" i="20"/>
  <c r="L325" i="20"/>
  <c r="L326" i="20"/>
  <c r="L327" i="20"/>
  <c r="L328" i="20"/>
  <c r="L329" i="20"/>
  <c r="L330" i="20"/>
  <c r="L331" i="20"/>
  <c r="L332" i="20"/>
  <c r="L333" i="20"/>
  <c r="L334" i="20"/>
  <c r="L335" i="20"/>
  <c r="L336" i="20"/>
  <c r="L337" i="20"/>
  <c r="L338" i="20"/>
  <c r="L339" i="20"/>
  <c r="L340" i="20"/>
  <c r="L341" i="20"/>
  <c r="L342" i="20"/>
  <c r="L343" i="20"/>
  <c r="L344" i="20"/>
  <c r="L345" i="20"/>
  <c r="L346" i="20"/>
  <c r="L347" i="20"/>
  <c r="L348" i="20"/>
  <c r="L349" i="20"/>
  <c r="L350" i="20"/>
  <c r="L351" i="20"/>
  <c r="L352" i="20"/>
  <c r="L353" i="20"/>
  <c r="L354" i="20"/>
  <c r="L355" i="20"/>
  <c r="L356" i="20"/>
  <c r="L357" i="20"/>
  <c r="L358" i="20"/>
  <c r="L359" i="20"/>
  <c r="L360" i="20"/>
  <c r="L361" i="20"/>
  <c r="L362" i="20"/>
  <c r="L363" i="20"/>
  <c r="L364" i="20"/>
  <c r="L365" i="20"/>
  <c r="L366" i="20"/>
  <c r="L367" i="20"/>
  <c r="L368" i="20"/>
  <c r="L369" i="20"/>
  <c r="L370" i="20"/>
  <c r="L371" i="20"/>
  <c r="L372" i="20"/>
  <c r="L373" i="20"/>
  <c r="L374" i="20"/>
  <c r="L375" i="20"/>
  <c r="L376" i="20"/>
  <c r="L377" i="20"/>
  <c r="L378" i="20"/>
  <c r="L379" i="20"/>
  <c r="L380" i="20"/>
  <c r="L381" i="20"/>
  <c r="L382" i="20"/>
  <c r="L383" i="20"/>
  <c r="L384" i="20"/>
  <c r="L385" i="20"/>
  <c r="L386" i="20"/>
  <c r="L387" i="20"/>
  <c r="L388" i="20"/>
  <c r="L389" i="20"/>
  <c r="L390" i="20"/>
  <c r="L391" i="20"/>
  <c r="L392" i="20"/>
  <c r="L393" i="20"/>
  <c r="L394" i="20"/>
  <c r="L395" i="20"/>
  <c r="L396" i="20"/>
  <c r="L397" i="20"/>
  <c r="L398" i="20"/>
  <c r="L399" i="20"/>
  <c r="L400" i="20"/>
  <c r="L401" i="20"/>
  <c r="L402" i="20"/>
  <c r="L403" i="20"/>
  <c r="L404" i="20"/>
  <c r="L405" i="20"/>
  <c r="L406" i="20"/>
  <c r="L407" i="20"/>
  <c r="L408" i="20"/>
  <c r="L409" i="20"/>
  <c r="L410" i="20"/>
  <c r="L411" i="20"/>
  <c r="L412" i="20"/>
  <c r="L413" i="20"/>
  <c r="L414" i="20"/>
  <c r="L415" i="20"/>
  <c r="L416" i="20"/>
  <c r="L417" i="20"/>
  <c r="L418" i="20"/>
  <c r="L419" i="20"/>
  <c r="L420" i="20"/>
  <c r="L421" i="20"/>
  <c r="L422" i="20"/>
  <c r="L423" i="20"/>
  <c r="L424" i="20"/>
  <c r="L425" i="20"/>
  <c r="L426" i="20"/>
  <c r="L427" i="20"/>
  <c r="L428" i="20"/>
  <c r="L429" i="20"/>
  <c r="L430" i="20"/>
  <c r="L431" i="20"/>
  <c r="L432" i="20"/>
  <c r="L433" i="20"/>
  <c r="L434" i="20"/>
  <c r="L435" i="20"/>
  <c r="L436" i="20"/>
  <c r="L437" i="20"/>
  <c r="L438" i="20"/>
  <c r="L439" i="20"/>
  <c r="L440" i="20"/>
  <c r="L441" i="20"/>
  <c r="L442" i="20"/>
  <c r="L443" i="20"/>
  <c r="L444" i="20"/>
  <c r="L445" i="20"/>
  <c r="L446" i="20"/>
  <c r="L447" i="20"/>
  <c r="L448" i="20"/>
  <c r="L449" i="20"/>
  <c r="L450" i="20"/>
  <c r="L451" i="20"/>
  <c r="L452" i="20"/>
  <c r="L453" i="20"/>
  <c r="L454" i="20"/>
  <c r="L455" i="20"/>
  <c r="L456" i="20"/>
  <c r="L457" i="20"/>
  <c r="L458" i="20"/>
  <c r="L459" i="20"/>
  <c r="L460" i="20"/>
  <c r="L461" i="20"/>
  <c r="L462" i="20"/>
  <c r="L463" i="20"/>
  <c r="L464" i="20"/>
  <c r="L465" i="20"/>
  <c r="L466" i="20"/>
  <c r="L467" i="20"/>
  <c r="L468" i="20"/>
  <c r="L469" i="20"/>
  <c r="L470" i="20"/>
  <c r="L471" i="20"/>
  <c r="L472" i="20"/>
  <c r="L473" i="20"/>
  <c r="L474" i="20"/>
  <c r="L475" i="20"/>
  <c r="L476" i="20"/>
  <c r="L477" i="20"/>
  <c r="L478" i="20"/>
  <c r="L479" i="20"/>
  <c r="L480" i="20"/>
  <c r="L481" i="20"/>
  <c r="L482" i="20"/>
  <c r="L483" i="20"/>
  <c r="L484" i="20"/>
  <c r="L485" i="20"/>
  <c r="L486" i="20"/>
  <c r="L487" i="20"/>
  <c r="L488" i="20"/>
  <c r="L489" i="20"/>
  <c r="L490" i="20"/>
  <c r="L491" i="20"/>
  <c r="L492" i="20"/>
  <c r="L493" i="20"/>
  <c r="L494" i="20"/>
  <c r="L495" i="20"/>
  <c r="L496" i="20"/>
  <c r="L497" i="20"/>
  <c r="L498" i="20"/>
  <c r="L499" i="20"/>
  <c r="L500" i="20"/>
  <c r="L501" i="20"/>
  <c r="L502" i="20"/>
  <c r="L503" i="20"/>
  <c r="L504" i="20"/>
  <c r="L505" i="20"/>
  <c r="L506" i="20"/>
  <c r="L507" i="20"/>
  <c r="L508" i="20"/>
  <c r="L509" i="20"/>
  <c r="L510" i="20"/>
  <c r="L511" i="20"/>
  <c r="L512" i="20"/>
  <c r="L513" i="20"/>
  <c r="L514" i="20"/>
  <c r="L515" i="20"/>
  <c r="L516" i="20"/>
  <c r="L517" i="20"/>
  <c r="L518" i="20"/>
  <c r="L519" i="20"/>
  <c r="L520" i="20"/>
  <c r="L521" i="20"/>
  <c r="L522" i="20"/>
  <c r="L523" i="20"/>
  <c r="L524" i="20"/>
  <c r="L525" i="20"/>
  <c r="L526" i="20"/>
  <c r="L527" i="20"/>
  <c r="L528" i="20"/>
  <c r="L529" i="20"/>
  <c r="L530" i="20"/>
  <c r="L531" i="20"/>
  <c r="L277" i="20"/>
  <c r="L357" i="11"/>
  <c r="L358" i="11"/>
  <c r="L359" i="11"/>
  <c r="L360" i="11"/>
  <c r="L361" i="11"/>
  <c r="L362" i="11"/>
  <c r="L363" i="11"/>
  <c r="L364" i="11"/>
  <c r="L365" i="11"/>
  <c r="L366" i="11"/>
  <c r="L367" i="11"/>
  <c r="L368" i="11"/>
  <c r="L369" i="11"/>
  <c r="L370" i="11"/>
  <c r="L371" i="11"/>
  <c r="L372" i="11"/>
  <c r="L373" i="11"/>
  <c r="L374" i="11"/>
  <c r="L375" i="11"/>
  <c r="L376" i="11"/>
  <c r="L377" i="11"/>
  <c r="L378" i="11"/>
  <c r="L379" i="11"/>
  <c r="L380" i="11"/>
  <c r="L381" i="11"/>
  <c r="L382" i="11"/>
  <c r="L383" i="11"/>
  <c r="L384" i="11"/>
  <c r="L385" i="11"/>
  <c r="L386" i="11"/>
  <c r="L387" i="11"/>
  <c r="L388" i="11"/>
  <c r="L389" i="11"/>
  <c r="L390" i="11"/>
  <c r="L391" i="11"/>
  <c r="L392" i="11"/>
  <c r="L393" i="11"/>
  <c r="L394" i="11"/>
  <c r="L395" i="11"/>
  <c r="L396" i="11"/>
  <c r="L397" i="11"/>
  <c r="L398" i="11"/>
  <c r="L399" i="11"/>
  <c r="L400" i="11"/>
  <c r="L401" i="11"/>
  <c r="L402" i="11"/>
  <c r="L403" i="11"/>
  <c r="L404" i="11"/>
  <c r="L405" i="11"/>
  <c r="L406" i="11"/>
  <c r="L407" i="11"/>
  <c r="L408" i="11"/>
  <c r="L409" i="11"/>
  <c r="L410" i="11"/>
  <c r="L411" i="11"/>
  <c r="L412" i="11"/>
  <c r="L413" i="11"/>
  <c r="L414" i="11"/>
  <c r="L415" i="11"/>
  <c r="L416" i="11"/>
  <c r="L417" i="11"/>
  <c r="L418" i="11"/>
  <c r="L419" i="11"/>
  <c r="L420" i="11"/>
  <c r="L421" i="11"/>
  <c r="L422" i="11"/>
  <c r="L423" i="11"/>
  <c r="L424" i="11"/>
  <c r="L425" i="11"/>
  <c r="L426" i="11"/>
  <c r="L427" i="11"/>
  <c r="L428" i="11"/>
  <c r="L429" i="11"/>
  <c r="L430" i="11"/>
  <c r="L431" i="11"/>
  <c r="L432" i="11"/>
  <c r="L433" i="11"/>
  <c r="L434" i="11"/>
  <c r="L435" i="11"/>
  <c r="L436" i="11"/>
  <c r="L437" i="11"/>
  <c r="L438" i="11"/>
  <c r="L439" i="11"/>
  <c r="L440" i="11"/>
  <c r="L441" i="11"/>
  <c r="L442" i="11"/>
  <c r="L443" i="11"/>
  <c r="L444" i="11"/>
  <c r="L445" i="11"/>
  <c r="L446" i="11"/>
  <c r="L447" i="11"/>
  <c r="L448" i="11"/>
  <c r="L449" i="11"/>
  <c r="L450" i="11"/>
  <c r="L451" i="11"/>
  <c r="L452" i="11"/>
  <c r="L453" i="11"/>
  <c r="L454" i="11"/>
  <c r="L455" i="11"/>
  <c r="L456" i="11"/>
  <c r="L457" i="11"/>
  <c r="L458" i="11"/>
  <c r="L459" i="11"/>
  <c r="L460" i="11"/>
  <c r="L461" i="11"/>
  <c r="L462" i="11"/>
  <c r="L463" i="11"/>
  <c r="L464" i="11"/>
  <c r="L465" i="11"/>
  <c r="L466" i="11"/>
  <c r="L467" i="11"/>
  <c r="L468" i="11"/>
  <c r="L469" i="11"/>
  <c r="L470" i="11"/>
  <c r="L471" i="11"/>
  <c r="L472" i="11"/>
  <c r="L473" i="11"/>
  <c r="L474" i="11"/>
  <c r="L475" i="11"/>
  <c r="L476" i="11"/>
  <c r="L477" i="11"/>
  <c r="L478" i="11"/>
  <c r="L479" i="11"/>
  <c r="L480" i="11"/>
  <c r="L481" i="11"/>
  <c r="L482" i="11"/>
  <c r="L483" i="11"/>
  <c r="L484" i="11"/>
  <c r="L485" i="11"/>
  <c r="L486" i="11"/>
  <c r="L487" i="11"/>
  <c r="L488" i="11"/>
  <c r="L489" i="11"/>
  <c r="L490" i="11"/>
  <c r="L491" i="11"/>
  <c r="L492" i="11"/>
  <c r="L493" i="11"/>
  <c r="L494" i="11"/>
  <c r="L495" i="11"/>
  <c r="L496" i="11"/>
  <c r="L497" i="11"/>
  <c r="L498" i="11"/>
  <c r="L499" i="11"/>
  <c r="L500" i="11"/>
  <c r="L501" i="11"/>
  <c r="L502" i="11"/>
  <c r="L503" i="11"/>
  <c r="L504" i="11"/>
  <c r="L505" i="11"/>
  <c r="L506" i="11"/>
  <c r="L507" i="11"/>
  <c r="L508" i="11"/>
  <c r="L509" i="11"/>
  <c r="L510" i="11"/>
  <c r="L511" i="11"/>
  <c r="L512" i="11"/>
  <c r="L513" i="11"/>
  <c r="L514" i="11"/>
  <c r="L515" i="11"/>
  <c r="L516" i="11"/>
  <c r="L517" i="11"/>
  <c r="L518" i="11"/>
  <c r="L519" i="11"/>
  <c r="L520" i="11"/>
  <c r="L521" i="11"/>
  <c r="L522" i="11"/>
  <c r="L523" i="11"/>
  <c r="L524" i="11"/>
  <c r="L525" i="11"/>
  <c r="L526" i="11"/>
  <c r="L527" i="11"/>
  <c r="L528" i="11"/>
  <c r="L529" i="11"/>
  <c r="L530" i="11"/>
  <c r="L531" i="11"/>
  <c r="L532" i="11"/>
  <c r="L533" i="11"/>
  <c r="L534" i="11"/>
  <c r="L535" i="11"/>
  <c r="L536" i="11"/>
  <c r="L537" i="11"/>
  <c r="L538" i="11"/>
  <c r="L539" i="11"/>
  <c r="L540" i="11"/>
  <c r="L541" i="11"/>
  <c r="L542" i="11"/>
  <c r="L543" i="11"/>
  <c r="L544" i="11"/>
  <c r="L545" i="11"/>
  <c r="L546" i="11"/>
  <c r="L547" i="11"/>
  <c r="L548" i="11"/>
  <c r="L549" i="11"/>
  <c r="L550" i="11"/>
  <c r="L551" i="11"/>
  <c r="L552" i="11"/>
  <c r="L553" i="11"/>
  <c r="L554" i="11"/>
  <c r="L555" i="11"/>
  <c r="L556" i="11"/>
  <c r="L557" i="11"/>
  <c r="L558" i="11"/>
  <c r="L559" i="11"/>
  <c r="L560" i="11"/>
  <c r="L561" i="11"/>
  <c r="L562" i="11"/>
  <c r="L563" i="11"/>
  <c r="L564" i="11"/>
  <c r="L565" i="11"/>
  <c r="L566" i="11"/>
  <c r="L567" i="11"/>
  <c r="L568" i="11"/>
  <c r="L569" i="11"/>
  <c r="L570" i="11"/>
  <c r="L571" i="11"/>
  <c r="L572" i="11"/>
  <c r="L573" i="11"/>
  <c r="L574" i="11"/>
  <c r="L575" i="11"/>
  <c r="L576" i="11"/>
  <c r="L577" i="11"/>
  <c r="L578" i="11"/>
  <c r="L579" i="11"/>
  <c r="L580" i="11"/>
  <c r="L581" i="11"/>
  <c r="L582" i="11"/>
  <c r="L583" i="11"/>
  <c r="L584" i="11"/>
  <c r="L585" i="11"/>
  <c r="L586" i="11"/>
  <c r="L587" i="11"/>
  <c r="L588" i="11"/>
  <c r="L589" i="11"/>
  <c r="L590" i="11"/>
  <c r="L591" i="11"/>
  <c r="L592" i="11"/>
  <c r="L593" i="11"/>
  <c r="L594" i="11"/>
  <c r="L595" i="11"/>
  <c r="L596" i="11"/>
  <c r="L597" i="11"/>
  <c r="L598" i="11"/>
  <c r="L599" i="11"/>
  <c r="L600" i="11"/>
  <c r="L601" i="11"/>
  <c r="L602" i="11"/>
  <c r="L603" i="11"/>
  <c r="L604" i="11"/>
  <c r="L605" i="11"/>
  <c r="L606" i="11"/>
  <c r="L607" i="11"/>
  <c r="L608" i="11"/>
  <c r="L609" i="11"/>
  <c r="L610" i="11"/>
  <c r="L611" i="11"/>
  <c r="L612" i="11"/>
  <c r="L613" i="11"/>
  <c r="L614" i="11"/>
  <c r="L615" i="11"/>
  <c r="L616" i="11"/>
  <c r="L617" i="11"/>
  <c r="L618" i="11"/>
  <c r="L619" i="11"/>
  <c r="L620" i="11"/>
  <c r="L621" i="11"/>
  <c r="L622" i="11"/>
  <c r="L623" i="11"/>
  <c r="L624" i="11"/>
  <c r="L625" i="11"/>
  <c r="L626" i="11"/>
  <c r="L627" i="11"/>
  <c r="L628" i="11"/>
  <c r="L629" i="11"/>
  <c r="L630" i="11"/>
  <c r="L631" i="11"/>
  <c r="L632" i="11"/>
  <c r="L633" i="11"/>
  <c r="L634" i="11"/>
  <c r="L635" i="11"/>
  <c r="L636" i="11"/>
  <c r="L637" i="11"/>
  <c r="L638" i="11"/>
  <c r="L639" i="11"/>
  <c r="L640" i="11"/>
  <c r="L641" i="11"/>
  <c r="L642" i="11"/>
  <c r="L643" i="11"/>
  <c r="L644" i="11"/>
  <c r="L645" i="11"/>
  <c r="L646" i="11"/>
  <c r="L647" i="11"/>
  <c r="L648" i="11"/>
  <c r="L649" i="11"/>
  <c r="L650" i="11"/>
  <c r="L651" i="11"/>
  <c r="L652" i="11"/>
  <c r="L653" i="11"/>
  <c r="L654" i="11"/>
  <c r="L655" i="11"/>
  <c r="L656" i="11"/>
  <c r="L657" i="11"/>
  <c r="L658" i="11"/>
  <c r="L659" i="11"/>
  <c r="L660" i="11"/>
  <c r="L661" i="11"/>
  <c r="L662" i="11"/>
  <c r="L663" i="11"/>
  <c r="L664" i="11"/>
  <c r="L665" i="11"/>
  <c r="L666" i="11"/>
  <c r="L667" i="11"/>
  <c r="L668" i="11"/>
  <c r="L669" i="11"/>
  <c r="L670" i="11"/>
  <c r="L671" i="11"/>
  <c r="L672" i="11"/>
  <c r="L673" i="11"/>
  <c r="L674" i="11"/>
  <c r="L675" i="11"/>
  <c r="L676" i="11"/>
  <c r="L677" i="11"/>
  <c r="L678" i="11"/>
  <c r="L679" i="11"/>
  <c r="L680" i="11"/>
  <c r="L681" i="11"/>
  <c r="L682" i="11"/>
  <c r="L683" i="11"/>
  <c r="L684" i="11"/>
  <c r="L685" i="11"/>
  <c r="L686" i="11"/>
  <c r="L687" i="11"/>
  <c r="L688" i="11"/>
  <c r="L689" i="11"/>
  <c r="L690" i="11"/>
  <c r="L691" i="11"/>
  <c r="L692" i="11"/>
  <c r="L693" i="11"/>
  <c r="L694" i="11"/>
  <c r="L695" i="11"/>
  <c r="L696" i="11"/>
  <c r="L697" i="11"/>
  <c r="L698" i="11"/>
  <c r="L699" i="11"/>
  <c r="L356" i="11"/>
  <c r="L278" i="14"/>
  <c r="L279" i="14"/>
  <c r="L280" i="14"/>
  <c r="L281" i="14"/>
  <c r="L282" i="14"/>
  <c r="L283" i="14"/>
  <c r="L284" i="14"/>
  <c r="L285" i="14"/>
  <c r="L286" i="14"/>
  <c r="L287" i="14"/>
  <c r="L288" i="14"/>
  <c r="L289" i="14"/>
  <c r="L290" i="14"/>
  <c r="L291" i="14"/>
  <c r="L292" i="14"/>
  <c r="L293" i="14"/>
  <c r="L294" i="14"/>
  <c r="L295" i="14"/>
  <c r="L296" i="14"/>
  <c r="L297" i="14"/>
  <c r="L298" i="14"/>
  <c r="L299" i="14"/>
  <c r="L300" i="14"/>
  <c r="L301" i="14"/>
  <c r="L302" i="14"/>
  <c r="L303" i="14"/>
  <c r="L304" i="14"/>
  <c r="L305" i="14"/>
  <c r="L306" i="14"/>
  <c r="L307" i="14"/>
  <c r="L308" i="14"/>
  <c r="L309" i="14"/>
  <c r="L310" i="14"/>
  <c r="L311" i="14"/>
  <c r="L312" i="14"/>
  <c r="L313" i="14"/>
  <c r="L314" i="14"/>
  <c r="L315" i="14"/>
  <c r="L316" i="14"/>
  <c r="L317" i="14"/>
  <c r="L318" i="14"/>
  <c r="L319" i="14"/>
  <c r="L320" i="14"/>
  <c r="L321" i="14"/>
  <c r="L322" i="14"/>
  <c r="L323" i="14"/>
  <c r="L324" i="14"/>
  <c r="L325" i="14"/>
  <c r="L326" i="14"/>
  <c r="L327" i="14"/>
  <c r="L328" i="14"/>
  <c r="L329" i="14"/>
  <c r="L330" i="14"/>
  <c r="L331" i="14"/>
  <c r="L332" i="14"/>
  <c r="L333" i="14"/>
  <c r="L334" i="14"/>
  <c r="L335" i="14"/>
  <c r="L336" i="14"/>
  <c r="L337" i="14"/>
  <c r="L338" i="14"/>
  <c r="L339" i="14"/>
  <c r="L340" i="14"/>
  <c r="L341" i="14"/>
  <c r="L342" i="14"/>
  <c r="L343" i="14"/>
  <c r="L344" i="14"/>
  <c r="L345" i="14"/>
  <c r="L346" i="14"/>
  <c r="L347" i="14"/>
  <c r="L348" i="14"/>
  <c r="L349" i="14"/>
  <c r="L350" i="14"/>
  <c r="L351" i="14"/>
  <c r="L352" i="14"/>
  <c r="L353" i="14"/>
  <c r="L354" i="14"/>
  <c r="L355" i="14"/>
  <c r="L356" i="14"/>
  <c r="L357" i="14"/>
  <c r="L358" i="14"/>
  <c r="L359" i="14"/>
  <c r="L360" i="14"/>
  <c r="L361" i="14"/>
  <c r="L362" i="14"/>
  <c r="L363" i="14"/>
  <c r="L364" i="14"/>
  <c r="L365" i="14"/>
  <c r="L366" i="14"/>
  <c r="L367" i="14"/>
  <c r="L368" i="14"/>
  <c r="L369" i="14"/>
  <c r="L370" i="14"/>
  <c r="L371" i="14"/>
  <c r="L372" i="14"/>
  <c r="L373" i="14"/>
  <c r="L374" i="14"/>
  <c r="L375" i="14"/>
  <c r="L376" i="14"/>
  <c r="L377" i="14"/>
  <c r="L378" i="14"/>
  <c r="L379" i="14"/>
  <c r="L380" i="14"/>
  <c r="L381" i="14"/>
  <c r="L382" i="14"/>
  <c r="L383" i="14"/>
  <c r="L384" i="14"/>
  <c r="L385" i="14"/>
  <c r="L386" i="14"/>
  <c r="L387" i="14"/>
  <c r="L388" i="14"/>
  <c r="L389" i="14"/>
  <c r="L390" i="14"/>
  <c r="L391" i="14"/>
  <c r="L392" i="14"/>
  <c r="L393" i="14"/>
  <c r="L394" i="14"/>
  <c r="L395" i="14"/>
  <c r="L396" i="14"/>
  <c r="L397" i="14"/>
  <c r="L398" i="14"/>
  <c r="L399" i="14"/>
  <c r="L400" i="14"/>
  <c r="L401" i="14"/>
  <c r="L402" i="14"/>
  <c r="L403" i="14"/>
  <c r="L404" i="14"/>
  <c r="L405" i="14"/>
  <c r="L406" i="14"/>
  <c r="L407" i="14"/>
  <c r="L408" i="14"/>
  <c r="L409" i="14"/>
  <c r="L410" i="14"/>
  <c r="L411" i="14"/>
  <c r="L412" i="14"/>
  <c r="L413" i="14"/>
  <c r="L414" i="14"/>
  <c r="L415" i="14"/>
  <c r="L416" i="14"/>
  <c r="L417" i="14"/>
  <c r="L418" i="14"/>
  <c r="L419" i="14"/>
  <c r="L420" i="14"/>
  <c r="L421" i="14"/>
  <c r="L422" i="14"/>
  <c r="L423" i="14"/>
  <c r="L424" i="14"/>
  <c r="L425" i="14"/>
  <c r="L426" i="14"/>
  <c r="L427" i="14"/>
  <c r="L428" i="14"/>
  <c r="L429" i="14"/>
  <c r="L430" i="14"/>
  <c r="L431" i="14"/>
  <c r="L432" i="14"/>
  <c r="L433" i="14"/>
  <c r="L434" i="14"/>
  <c r="L435" i="14"/>
  <c r="L436" i="14"/>
  <c r="L437" i="14"/>
  <c r="L438" i="14"/>
  <c r="L439" i="14"/>
  <c r="L440" i="14"/>
  <c r="L441" i="14"/>
  <c r="L442" i="14"/>
  <c r="L443" i="14"/>
  <c r="L444" i="14"/>
  <c r="L445" i="14"/>
  <c r="L446" i="14"/>
  <c r="L447" i="14"/>
  <c r="L448" i="14"/>
  <c r="L449" i="14"/>
  <c r="L450" i="14"/>
  <c r="L451" i="14"/>
  <c r="L452" i="14"/>
  <c r="L453" i="14"/>
  <c r="L454" i="14"/>
  <c r="L455" i="14"/>
  <c r="L456" i="14"/>
  <c r="L457" i="14"/>
  <c r="L458" i="14"/>
  <c r="L459" i="14"/>
  <c r="L460" i="14"/>
  <c r="L461" i="14"/>
  <c r="L462" i="14"/>
  <c r="L463" i="14"/>
  <c r="L464" i="14"/>
  <c r="L465" i="14"/>
  <c r="L466" i="14"/>
  <c r="L467" i="14"/>
  <c r="L468" i="14"/>
  <c r="L469" i="14"/>
  <c r="L470" i="14"/>
  <c r="L471" i="14"/>
  <c r="L472" i="14"/>
  <c r="L473" i="14"/>
  <c r="L474" i="14"/>
  <c r="L475" i="14"/>
  <c r="L476" i="14"/>
  <c r="L477" i="14"/>
  <c r="L478" i="14"/>
  <c r="L479" i="14"/>
  <c r="L277" i="14"/>
  <c r="L11" i="24"/>
  <c r="E893" i="39" l="1"/>
  <c r="F893" i="39" s="1"/>
  <c r="E894" i="39"/>
  <c r="F894" i="39" s="1"/>
  <c r="K7" i="44"/>
  <c r="P6" i="44"/>
  <c r="P7" i="44" s="1"/>
  <c r="G13" i="44"/>
  <c r="G18" i="44" s="1"/>
  <c r="H13" i="44"/>
  <c r="H18" i="44" s="1"/>
  <c r="AA300" i="9"/>
  <c r="AA301" i="9"/>
  <c r="AA358" i="9"/>
  <c r="AV358" i="9" s="1"/>
  <c r="AA359" i="9"/>
  <c r="AV359" i="9" s="1"/>
  <c r="AA416" i="9"/>
  <c r="AV416" i="9" s="1"/>
  <c r="AA417" i="9"/>
  <c r="AV417" i="9" s="1"/>
  <c r="AA474" i="9"/>
  <c r="AV474" i="9" s="1"/>
  <c r="AA475" i="9"/>
  <c r="AV475" i="9" s="1"/>
  <c r="AA572" i="9"/>
  <c r="AA573" i="9"/>
  <c r="AV573" i="9" s="1"/>
  <c r="AA630" i="9"/>
  <c r="AV630" i="9" s="1"/>
  <c r="AA631" i="9"/>
  <c r="AA688" i="9"/>
  <c r="AA689" i="9"/>
  <c r="AA826" i="9"/>
  <c r="AA827" i="9"/>
  <c r="AV827" i="9" s="1"/>
  <c r="L274" i="20"/>
  <c r="L275" i="20"/>
  <c r="L276" i="20"/>
  <c r="K277" i="14"/>
  <c r="K278" i="14" s="1"/>
  <c r="L274" i="14"/>
  <c r="L275" i="14"/>
  <c r="L276" i="14"/>
  <c r="L353" i="11"/>
  <c r="L354" i="11"/>
  <c r="L355" i="11"/>
  <c r="E3" i="8"/>
  <c r="E4" i="8"/>
  <c r="E5" i="8"/>
  <c r="E6" i="8"/>
  <c r="E7" i="8"/>
  <c r="E8" i="8"/>
  <c r="E9" i="8"/>
  <c r="E10" i="8"/>
  <c r="E11" i="8"/>
  <c r="E12" i="8"/>
  <c r="E13" i="8"/>
  <c r="E2" i="8"/>
  <c r="J14" i="8"/>
  <c r="C14" i="8"/>
  <c r="A14" i="8"/>
  <c r="AU300" i="9"/>
  <c r="AU301" i="9"/>
  <c r="AU358" i="9"/>
  <c r="AU359" i="9"/>
  <c r="AU416" i="9"/>
  <c r="AU417" i="9"/>
  <c r="AU474" i="9"/>
  <c r="AU475" i="9"/>
  <c r="AU572" i="9"/>
  <c r="AU573" i="9"/>
  <c r="AU630" i="9"/>
  <c r="AU631" i="9"/>
  <c r="AU688" i="9"/>
  <c r="AU689" i="9"/>
  <c r="AU826" i="9"/>
  <c r="AU827" i="9"/>
  <c r="R6" i="9"/>
  <c r="W6" i="9" s="1"/>
  <c r="AO6" i="9"/>
  <c r="T6" i="9"/>
  <c r="V6" i="9"/>
  <c r="R7" i="9"/>
  <c r="W7" i="9" s="1"/>
  <c r="T7" i="9"/>
  <c r="V7" i="9"/>
  <c r="R8" i="9"/>
  <c r="W8" i="9" s="1"/>
  <c r="T8" i="9"/>
  <c r="V8" i="9"/>
  <c r="R9" i="9"/>
  <c r="W9" i="9" s="1"/>
  <c r="T9" i="9"/>
  <c r="V9" i="9"/>
  <c r="R10" i="9"/>
  <c r="W10" i="9" s="1"/>
  <c r="T10" i="9"/>
  <c r="V10" i="9"/>
  <c r="R11" i="9"/>
  <c r="W11" i="9" s="1"/>
  <c r="T11" i="9"/>
  <c r="V11" i="9"/>
  <c r="R12" i="9"/>
  <c r="W12" i="9" s="1"/>
  <c r="T12" i="9"/>
  <c r="V12" i="9"/>
  <c r="R13" i="9"/>
  <c r="W13" i="9" s="1"/>
  <c r="T13" i="9"/>
  <c r="V13" i="9"/>
  <c r="R14" i="9"/>
  <c r="W14" i="9" s="1"/>
  <c r="AO14" i="9"/>
  <c r="T14" i="9"/>
  <c r="V14" i="9"/>
  <c r="R15" i="9"/>
  <c r="W15" i="9" s="1"/>
  <c r="AO15" i="9"/>
  <c r="T15" i="9"/>
  <c r="V15" i="9"/>
  <c r="R16" i="9"/>
  <c r="W16" i="9" s="1"/>
  <c r="T16" i="9"/>
  <c r="V16" i="9"/>
  <c r="R17" i="9"/>
  <c r="W17" i="9" s="1"/>
  <c r="T17" i="9"/>
  <c r="V17" i="9"/>
  <c r="R18" i="9"/>
  <c r="W18" i="9" s="1"/>
  <c r="T18" i="9"/>
  <c r="V18" i="9"/>
  <c r="R19" i="9"/>
  <c r="W19" i="9" s="1"/>
  <c r="T19" i="9"/>
  <c r="V19" i="9"/>
  <c r="R20" i="9"/>
  <c r="W20" i="9" s="1"/>
  <c r="T20" i="9"/>
  <c r="V20" i="9"/>
  <c r="R21" i="9"/>
  <c r="W21" i="9" s="1"/>
  <c r="T21" i="9"/>
  <c r="V21" i="9"/>
  <c r="R22" i="9"/>
  <c r="W22" i="9" s="1"/>
  <c r="T22" i="9"/>
  <c r="V22" i="9"/>
  <c r="R23" i="9"/>
  <c r="W23" i="9" s="1"/>
  <c r="AO23" i="9"/>
  <c r="T23" i="9"/>
  <c r="V23" i="9"/>
  <c r="R24" i="9"/>
  <c r="W24" i="9" s="1"/>
  <c r="T24" i="9"/>
  <c r="V24" i="9"/>
  <c r="R25" i="9"/>
  <c r="W25" i="9" s="1"/>
  <c r="T25" i="9"/>
  <c r="V25" i="9"/>
  <c r="R26" i="9"/>
  <c r="W26" i="9" s="1"/>
  <c r="T26" i="9"/>
  <c r="V26" i="9"/>
  <c r="R27" i="9"/>
  <c r="W27" i="9" s="1"/>
  <c r="T27" i="9"/>
  <c r="V27" i="9"/>
  <c r="R28" i="9"/>
  <c r="W28" i="9" s="1"/>
  <c r="T28" i="9"/>
  <c r="V28" i="9"/>
  <c r="R29" i="9"/>
  <c r="W29" i="9" s="1"/>
  <c r="T29" i="9"/>
  <c r="V29" i="9"/>
  <c r="R30" i="9"/>
  <c r="W30" i="9" s="1"/>
  <c r="AO30" i="9"/>
  <c r="T30" i="9"/>
  <c r="V30" i="9"/>
  <c r="R31" i="9"/>
  <c r="W31" i="9" s="1"/>
  <c r="T31" i="9"/>
  <c r="V31" i="9"/>
  <c r="R32" i="9"/>
  <c r="W32" i="9" s="1"/>
  <c r="T32" i="9"/>
  <c r="V32" i="9"/>
  <c r="R33" i="9"/>
  <c r="W33" i="9" s="1"/>
  <c r="T33" i="9"/>
  <c r="V33" i="9"/>
  <c r="R34" i="9"/>
  <c r="W34" i="9" s="1"/>
  <c r="T34" i="9"/>
  <c r="V34" i="9"/>
  <c r="R35" i="9"/>
  <c r="W35" i="9" s="1"/>
  <c r="T35" i="9"/>
  <c r="V35" i="9"/>
  <c r="R36" i="9"/>
  <c r="W36" i="9" s="1"/>
  <c r="T36" i="9"/>
  <c r="V36" i="9"/>
  <c r="R37" i="9"/>
  <c r="W37" i="9" s="1"/>
  <c r="T37" i="9"/>
  <c r="V37" i="9"/>
  <c r="R38" i="9"/>
  <c r="W38" i="9" s="1"/>
  <c r="AO38" i="9"/>
  <c r="T38" i="9"/>
  <c r="V38" i="9"/>
  <c r="R39" i="9"/>
  <c r="W39" i="9" s="1"/>
  <c r="T39" i="9"/>
  <c r="V39" i="9"/>
  <c r="R40" i="9"/>
  <c r="W40" i="9" s="1"/>
  <c r="T40" i="9"/>
  <c r="V40" i="9"/>
  <c r="R41" i="9"/>
  <c r="W41" i="9" s="1"/>
  <c r="T41" i="9"/>
  <c r="V41" i="9"/>
  <c r="R42" i="9"/>
  <c r="W42" i="9" s="1"/>
  <c r="T42" i="9"/>
  <c r="V42" i="9"/>
  <c r="R43" i="9"/>
  <c r="W43" i="9" s="1"/>
  <c r="T43" i="9"/>
  <c r="V43" i="9"/>
  <c r="R44" i="9"/>
  <c r="W44" i="9" s="1"/>
  <c r="T44" i="9"/>
  <c r="V44" i="9"/>
  <c r="R45" i="9"/>
  <c r="W45" i="9" s="1"/>
  <c r="T45" i="9"/>
  <c r="V45" i="9"/>
  <c r="R46" i="9"/>
  <c r="W46" i="9" s="1"/>
  <c r="T46" i="9"/>
  <c r="V46" i="9"/>
  <c r="R47" i="9"/>
  <c r="W47" i="9" s="1"/>
  <c r="AO47" i="9"/>
  <c r="T47" i="9"/>
  <c r="V47" i="9"/>
  <c r="R48" i="9"/>
  <c r="W48" i="9" s="1"/>
  <c r="T48" i="9"/>
  <c r="V48" i="9"/>
  <c r="R49" i="9"/>
  <c r="W49" i="9" s="1"/>
  <c r="T49" i="9"/>
  <c r="V49" i="9"/>
  <c r="R50" i="9"/>
  <c r="W50" i="9" s="1"/>
  <c r="T50" i="9"/>
  <c r="V50" i="9"/>
  <c r="R51" i="9"/>
  <c r="W51" i="9" s="1"/>
  <c r="T51" i="9"/>
  <c r="V51" i="9"/>
  <c r="R52" i="9"/>
  <c r="W52" i="9" s="1"/>
  <c r="T52" i="9"/>
  <c r="V52" i="9"/>
  <c r="R53" i="9"/>
  <c r="W53" i="9" s="1"/>
  <c r="T53" i="9"/>
  <c r="V53" i="9"/>
  <c r="R54" i="9"/>
  <c r="W54" i="9" s="1"/>
  <c r="AO54" i="9"/>
  <c r="T54" i="9"/>
  <c r="V54" i="9"/>
  <c r="R55" i="9"/>
  <c r="W55" i="9" s="1"/>
  <c r="T55" i="9"/>
  <c r="V55" i="9"/>
  <c r="R56" i="9"/>
  <c r="W56" i="9" s="1"/>
  <c r="T56" i="9"/>
  <c r="V56" i="9"/>
  <c r="R57" i="9"/>
  <c r="W57" i="9" s="1"/>
  <c r="T57" i="9"/>
  <c r="V57" i="9"/>
  <c r="R58" i="9"/>
  <c r="W58" i="9" s="1"/>
  <c r="T58" i="9"/>
  <c r="V58" i="9"/>
  <c r="R59" i="9"/>
  <c r="W59" i="9" s="1"/>
  <c r="T59" i="9"/>
  <c r="V59" i="9"/>
  <c r="R60" i="9"/>
  <c r="W60" i="9" s="1"/>
  <c r="T60" i="9"/>
  <c r="V60" i="9"/>
  <c r="R61" i="9"/>
  <c r="W61" i="9" s="1"/>
  <c r="T61" i="9"/>
  <c r="V61" i="9"/>
  <c r="R62" i="9"/>
  <c r="W62" i="9" s="1"/>
  <c r="T62" i="9"/>
  <c r="V62" i="9"/>
  <c r="R63" i="9"/>
  <c r="W63" i="9" s="1"/>
  <c r="AO63" i="9"/>
  <c r="T63" i="9"/>
  <c r="V63" i="9"/>
  <c r="R64" i="9"/>
  <c r="W64" i="9" s="1"/>
  <c r="T64" i="9"/>
  <c r="V64" i="9"/>
  <c r="R65" i="9"/>
  <c r="W65" i="9" s="1"/>
  <c r="T65" i="9"/>
  <c r="V65" i="9"/>
  <c r="R66" i="9"/>
  <c r="W66" i="9" s="1"/>
  <c r="T66" i="9"/>
  <c r="V66" i="9"/>
  <c r="R67" i="9"/>
  <c r="W67" i="9" s="1"/>
  <c r="T67" i="9"/>
  <c r="V67" i="9"/>
  <c r="R68" i="9"/>
  <c r="W68" i="9" s="1"/>
  <c r="T68" i="9"/>
  <c r="V68" i="9"/>
  <c r="R69" i="9"/>
  <c r="W69" i="9" s="1"/>
  <c r="T69" i="9"/>
  <c r="V69" i="9"/>
  <c r="R70" i="9"/>
  <c r="W70" i="9" s="1"/>
  <c r="T70" i="9"/>
  <c r="V70" i="9"/>
  <c r="R71" i="9"/>
  <c r="W71" i="9" s="1"/>
  <c r="AO71" i="9"/>
  <c r="T71" i="9"/>
  <c r="V71" i="9"/>
  <c r="R72" i="9"/>
  <c r="W72" i="9" s="1"/>
  <c r="T72" i="9"/>
  <c r="V72" i="9"/>
  <c r="R73" i="9"/>
  <c r="W73" i="9" s="1"/>
  <c r="T73" i="9"/>
  <c r="V73" i="9"/>
  <c r="R74" i="9"/>
  <c r="W74" i="9" s="1"/>
  <c r="T74" i="9"/>
  <c r="V74" i="9"/>
  <c r="R75" i="9"/>
  <c r="W75" i="9" s="1"/>
  <c r="T75" i="9"/>
  <c r="V75" i="9"/>
  <c r="R76" i="9"/>
  <c r="W76" i="9" s="1"/>
  <c r="T76" i="9"/>
  <c r="V76" i="9"/>
  <c r="R77" i="9"/>
  <c r="W77" i="9" s="1"/>
  <c r="T77" i="9"/>
  <c r="V77" i="9"/>
  <c r="R78" i="9"/>
  <c r="W78" i="9" s="1"/>
  <c r="T78" i="9"/>
  <c r="V78" i="9"/>
  <c r="R79" i="9"/>
  <c r="W79" i="9" s="1"/>
  <c r="T79" i="9"/>
  <c r="V79" i="9"/>
  <c r="R80" i="9"/>
  <c r="W80" i="9" s="1"/>
  <c r="T80" i="9"/>
  <c r="V80" i="9"/>
  <c r="R81" i="9"/>
  <c r="W81" i="9" s="1"/>
  <c r="T81" i="9"/>
  <c r="V81" i="9"/>
  <c r="R82" i="9"/>
  <c r="W82" i="9" s="1"/>
  <c r="T82" i="9"/>
  <c r="V82" i="9"/>
  <c r="R83" i="9"/>
  <c r="W83" i="9" s="1"/>
  <c r="T83" i="9"/>
  <c r="V83" i="9"/>
  <c r="R84" i="9"/>
  <c r="W84" i="9" s="1"/>
  <c r="T84" i="9"/>
  <c r="V84" i="9"/>
  <c r="R85" i="9"/>
  <c r="W85" i="9" s="1"/>
  <c r="T85" i="9"/>
  <c r="V85" i="9"/>
  <c r="R86" i="9"/>
  <c r="W86" i="9" s="1"/>
  <c r="T86" i="9"/>
  <c r="V86" i="9"/>
  <c r="R87" i="9"/>
  <c r="W87" i="9" s="1"/>
  <c r="AO87" i="9"/>
  <c r="T87" i="9"/>
  <c r="V87" i="9"/>
  <c r="R88" i="9"/>
  <c r="W88" i="9" s="1"/>
  <c r="T88" i="9"/>
  <c r="V88" i="9"/>
  <c r="R89" i="9"/>
  <c r="W89" i="9" s="1"/>
  <c r="T89" i="9"/>
  <c r="V89" i="9"/>
  <c r="R90" i="9"/>
  <c r="W90" i="9" s="1"/>
  <c r="T90" i="9"/>
  <c r="V90" i="9"/>
  <c r="R91" i="9"/>
  <c r="W91" i="9" s="1"/>
  <c r="T91" i="9"/>
  <c r="V91" i="9"/>
  <c r="R92" i="9"/>
  <c r="W92" i="9" s="1"/>
  <c r="T92" i="9"/>
  <c r="V92" i="9"/>
  <c r="R93" i="9"/>
  <c r="W93" i="9" s="1"/>
  <c r="T93" i="9"/>
  <c r="V93" i="9"/>
  <c r="R94" i="9"/>
  <c r="W94" i="9" s="1"/>
  <c r="AO94" i="9"/>
  <c r="T94" i="9"/>
  <c r="V94" i="9"/>
  <c r="R95" i="9"/>
  <c r="W95" i="9" s="1"/>
  <c r="AO95" i="9"/>
  <c r="T95" i="9"/>
  <c r="V95" i="9"/>
  <c r="R96" i="9"/>
  <c r="W96" i="9" s="1"/>
  <c r="T96" i="9"/>
  <c r="V96" i="9"/>
  <c r="R97" i="9"/>
  <c r="W97" i="9" s="1"/>
  <c r="T97" i="9"/>
  <c r="V97" i="9"/>
  <c r="R98" i="9"/>
  <c r="W98" i="9" s="1"/>
  <c r="T98" i="9"/>
  <c r="V98" i="9"/>
  <c r="R99" i="9"/>
  <c r="W99" i="9" s="1"/>
  <c r="T99" i="9"/>
  <c r="V99" i="9"/>
  <c r="R100" i="9"/>
  <c r="W100" i="9" s="1"/>
  <c r="T100" i="9"/>
  <c r="V100" i="9"/>
  <c r="R101" i="9"/>
  <c r="W101" i="9" s="1"/>
  <c r="T101" i="9"/>
  <c r="V101" i="9"/>
  <c r="R102" i="9"/>
  <c r="W102" i="9" s="1"/>
  <c r="AO102" i="9"/>
  <c r="T102" i="9"/>
  <c r="V102" i="9"/>
  <c r="R103" i="9"/>
  <c r="W103" i="9" s="1"/>
  <c r="AO103" i="9"/>
  <c r="T103" i="9"/>
  <c r="V103" i="9"/>
  <c r="R104" i="9"/>
  <c r="W104" i="9" s="1"/>
  <c r="T104" i="9"/>
  <c r="V104" i="9"/>
  <c r="R105" i="9"/>
  <c r="W105" i="9" s="1"/>
  <c r="T105" i="9"/>
  <c r="V105" i="9"/>
  <c r="R106" i="9"/>
  <c r="W106" i="9" s="1"/>
  <c r="T106" i="9"/>
  <c r="V106" i="9"/>
  <c r="R107" i="9"/>
  <c r="W107" i="9" s="1"/>
  <c r="T107" i="9"/>
  <c r="V107" i="9"/>
  <c r="R108" i="9"/>
  <c r="W108" i="9" s="1"/>
  <c r="T108" i="9"/>
  <c r="V108" i="9"/>
  <c r="R109" i="9"/>
  <c r="W109" i="9" s="1"/>
  <c r="T109" i="9"/>
  <c r="V109" i="9"/>
  <c r="R110" i="9"/>
  <c r="W110" i="9" s="1"/>
  <c r="AO110" i="9"/>
  <c r="T110" i="9"/>
  <c r="V110" i="9"/>
  <c r="R111" i="9"/>
  <c r="W111" i="9" s="1"/>
  <c r="AO111" i="9"/>
  <c r="T111" i="9"/>
  <c r="V111" i="9"/>
  <c r="R112" i="9"/>
  <c r="W112" i="9" s="1"/>
  <c r="T112" i="9"/>
  <c r="V112" i="9"/>
  <c r="R113" i="9"/>
  <c r="W113" i="9" s="1"/>
  <c r="T113" i="9"/>
  <c r="V113" i="9"/>
  <c r="R114" i="9"/>
  <c r="W114" i="9" s="1"/>
  <c r="T114" i="9"/>
  <c r="V114" i="9"/>
  <c r="R115" i="9"/>
  <c r="W115" i="9" s="1"/>
  <c r="T115" i="9"/>
  <c r="V115" i="9"/>
  <c r="R116" i="9"/>
  <c r="W116" i="9" s="1"/>
  <c r="T116" i="9"/>
  <c r="V116" i="9"/>
  <c r="R117" i="9"/>
  <c r="W117" i="9" s="1"/>
  <c r="T117" i="9"/>
  <c r="V117" i="9"/>
  <c r="R118" i="9"/>
  <c r="W118" i="9" s="1"/>
  <c r="AO118" i="9"/>
  <c r="T118" i="9"/>
  <c r="V118" i="9"/>
  <c r="R119" i="9"/>
  <c r="W119" i="9" s="1"/>
  <c r="T119" i="9"/>
  <c r="V119" i="9"/>
  <c r="R120" i="9"/>
  <c r="W120" i="9" s="1"/>
  <c r="T120" i="9"/>
  <c r="V120" i="9"/>
  <c r="R121" i="9"/>
  <c r="W121" i="9" s="1"/>
  <c r="T121" i="9"/>
  <c r="V121" i="9"/>
  <c r="R122" i="9"/>
  <c r="W122" i="9" s="1"/>
  <c r="T122" i="9"/>
  <c r="V122" i="9"/>
  <c r="R123" i="9"/>
  <c r="W123" i="9" s="1"/>
  <c r="T123" i="9"/>
  <c r="V123" i="9"/>
  <c r="R124" i="9"/>
  <c r="W124" i="9" s="1"/>
  <c r="T124" i="9"/>
  <c r="V124" i="9"/>
  <c r="R125" i="9"/>
  <c r="W125" i="9" s="1"/>
  <c r="T125" i="9"/>
  <c r="V125" i="9"/>
  <c r="R126" i="9"/>
  <c r="W126" i="9" s="1"/>
  <c r="T126" i="9"/>
  <c r="V126" i="9"/>
  <c r="R127" i="9"/>
  <c r="W127" i="9" s="1"/>
  <c r="AO127" i="9"/>
  <c r="T127" i="9"/>
  <c r="V127" i="9"/>
  <c r="R128" i="9"/>
  <c r="W128" i="9" s="1"/>
  <c r="T128" i="9"/>
  <c r="V128" i="9"/>
  <c r="R129" i="9"/>
  <c r="W129" i="9" s="1"/>
  <c r="T129" i="9"/>
  <c r="V129" i="9"/>
  <c r="R130" i="9"/>
  <c r="W130" i="9" s="1"/>
  <c r="T130" i="9"/>
  <c r="V130" i="9"/>
  <c r="R131" i="9"/>
  <c r="W131" i="9" s="1"/>
  <c r="T131" i="9"/>
  <c r="V131" i="9"/>
  <c r="R132" i="9"/>
  <c r="W132" i="9" s="1"/>
  <c r="T132" i="9"/>
  <c r="V132" i="9"/>
  <c r="R133" i="9"/>
  <c r="W133" i="9" s="1"/>
  <c r="T133" i="9"/>
  <c r="V133" i="9"/>
  <c r="R134" i="9"/>
  <c r="W134" i="9" s="1"/>
  <c r="AO134" i="9"/>
  <c r="T134" i="9"/>
  <c r="V134" i="9"/>
  <c r="R135" i="9"/>
  <c r="W135" i="9" s="1"/>
  <c r="AO135" i="9"/>
  <c r="T135" i="9"/>
  <c r="V135" i="9"/>
  <c r="R136" i="9"/>
  <c r="W136" i="9" s="1"/>
  <c r="T136" i="9"/>
  <c r="V136" i="9"/>
  <c r="R137" i="9"/>
  <c r="W137" i="9" s="1"/>
  <c r="T137" i="9"/>
  <c r="V137" i="9"/>
  <c r="R138" i="9"/>
  <c r="W138" i="9" s="1"/>
  <c r="T138" i="9"/>
  <c r="V138" i="9"/>
  <c r="R139" i="9"/>
  <c r="W139" i="9" s="1"/>
  <c r="T139" i="9"/>
  <c r="V139" i="9"/>
  <c r="R140" i="9"/>
  <c r="W140" i="9" s="1"/>
  <c r="T140" i="9"/>
  <c r="V140" i="9"/>
  <c r="R141" i="9"/>
  <c r="W141" i="9" s="1"/>
  <c r="T141" i="9"/>
  <c r="V141" i="9"/>
  <c r="R142" i="9"/>
  <c r="W142" i="9" s="1"/>
  <c r="AO142" i="9"/>
  <c r="T142" i="9"/>
  <c r="V142" i="9"/>
  <c r="R143" i="9"/>
  <c r="W143" i="9" s="1"/>
  <c r="T143" i="9"/>
  <c r="V143" i="9"/>
  <c r="R144" i="9"/>
  <c r="W144" i="9" s="1"/>
  <c r="T144" i="9"/>
  <c r="V144" i="9"/>
  <c r="R145" i="9"/>
  <c r="W145" i="9" s="1"/>
  <c r="T145" i="9"/>
  <c r="V145" i="9"/>
  <c r="R146" i="9"/>
  <c r="W146" i="9" s="1"/>
  <c r="T146" i="9"/>
  <c r="V146" i="9"/>
  <c r="R147" i="9"/>
  <c r="W147" i="9" s="1"/>
  <c r="T147" i="9"/>
  <c r="V147" i="9"/>
  <c r="R148" i="9"/>
  <c r="W148" i="9" s="1"/>
  <c r="T148" i="9"/>
  <c r="V148" i="9"/>
  <c r="R149" i="9"/>
  <c r="W149" i="9" s="1"/>
  <c r="T149" i="9"/>
  <c r="V149" i="9"/>
  <c r="R150" i="9"/>
  <c r="W150" i="9" s="1"/>
  <c r="T150" i="9"/>
  <c r="V150" i="9"/>
  <c r="R151" i="9"/>
  <c r="W151" i="9" s="1"/>
  <c r="T151" i="9"/>
  <c r="V151" i="9"/>
  <c r="R152" i="9"/>
  <c r="W152" i="9" s="1"/>
  <c r="T152" i="9"/>
  <c r="V152" i="9"/>
  <c r="R153" i="9"/>
  <c r="W153" i="9" s="1"/>
  <c r="T153" i="9"/>
  <c r="V153" i="9"/>
  <c r="R154" i="9"/>
  <c r="W154" i="9" s="1"/>
  <c r="AO154" i="9"/>
  <c r="T154" i="9"/>
  <c r="V154" i="9"/>
  <c r="R155" i="9"/>
  <c r="W155" i="9" s="1"/>
  <c r="AO155" i="9"/>
  <c r="T155" i="9"/>
  <c r="V155" i="9"/>
  <c r="R156" i="9"/>
  <c r="W156" i="9" s="1"/>
  <c r="T156" i="9"/>
  <c r="V156" i="9"/>
  <c r="R157" i="9"/>
  <c r="W157" i="9" s="1"/>
  <c r="T157" i="9"/>
  <c r="V157" i="9"/>
  <c r="R158" i="9"/>
  <c r="W158" i="9" s="1"/>
  <c r="AO158" i="9"/>
  <c r="T158" i="9"/>
  <c r="V158" i="9"/>
  <c r="R159" i="9"/>
  <c r="W159" i="9" s="1"/>
  <c r="AO159" i="9"/>
  <c r="T159" i="9"/>
  <c r="V159" i="9"/>
  <c r="R160" i="9"/>
  <c r="W160" i="9" s="1"/>
  <c r="T160" i="9"/>
  <c r="V160" i="9"/>
  <c r="R161" i="9"/>
  <c r="W161" i="9" s="1"/>
  <c r="T161" i="9"/>
  <c r="V161" i="9"/>
  <c r="R162" i="9"/>
  <c r="W162" i="9" s="1"/>
  <c r="T162" i="9"/>
  <c r="V162" i="9"/>
  <c r="R163" i="9"/>
  <c r="W163" i="9" s="1"/>
  <c r="T163" i="9"/>
  <c r="V163" i="9"/>
  <c r="R164" i="9"/>
  <c r="W164" i="9" s="1"/>
  <c r="T164" i="9"/>
  <c r="V164" i="9"/>
  <c r="R165" i="9"/>
  <c r="W165" i="9" s="1"/>
  <c r="T165" i="9"/>
  <c r="V165" i="9"/>
  <c r="R166" i="9"/>
  <c r="W166" i="9" s="1"/>
  <c r="T166" i="9"/>
  <c r="V166" i="9"/>
  <c r="R167" i="9"/>
  <c r="W167" i="9" s="1"/>
  <c r="T167" i="9"/>
  <c r="V167" i="9"/>
  <c r="R168" i="9"/>
  <c r="W168" i="9" s="1"/>
  <c r="T168" i="9"/>
  <c r="V168" i="9"/>
  <c r="R169" i="9"/>
  <c r="W169" i="9" s="1"/>
  <c r="T169" i="9"/>
  <c r="V169" i="9"/>
  <c r="R170" i="9"/>
  <c r="W170" i="9" s="1"/>
  <c r="AO170" i="9"/>
  <c r="T170" i="9"/>
  <c r="V170" i="9"/>
  <c r="R171" i="9"/>
  <c r="W171" i="9" s="1"/>
  <c r="AO171" i="9"/>
  <c r="T171" i="9"/>
  <c r="V171" i="9"/>
  <c r="R172" i="9"/>
  <c r="W172" i="9" s="1"/>
  <c r="T172" i="9"/>
  <c r="V172" i="9"/>
  <c r="R173" i="9"/>
  <c r="W173" i="9" s="1"/>
  <c r="T173" i="9"/>
  <c r="V173" i="9"/>
  <c r="R174" i="9"/>
  <c r="W174" i="9" s="1"/>
  <c r="AO174" i="9"/>
  <c r="T174" i="9"/>
  <c r="V174" i="9"/>
  <c r="R175" i="9"/>
  <c r="W175" i="9" s="1"/>
  <c r="T175" i="9"/>
  <c r="V175" i="9"/>
  <c r="R176" i="9"/>
  <c r="W176" i="9" s="1"/>
  <c r="T176" i="9"/>
  <c r="V176" i="9"/>
  <c r="R177" i="9"/>
  <c r="W177" i="9" s="1"/>
  <c r="T177" i="9"/>
  <c r="V177" i="9"/>
  <c r="R178" i="9"/>
  <c r="W178" i="9" s="1"/>
  <c r="T178" i="9"/>
  <c r="V178" i="9"/>
  <c r="R179" i="9"/>
  <c r="W179" i="9" s="1"/>
  <c r="T179" i="9"/>
  <c r="V179" i="9"/>
  <c r="R180" i="9"/>
  <c r="W180" i="9" s="1"/>
  <c r="T180" i="9"/>
  <c r="V180" i="9"/>
  <c r="R181" i="9"/>
  <c r="W181" i="9" s="1"/>
  <c r="T181" i="9"/>
  <c r="V181" i="9"/>
  <c r="R182" i="9"/>
  <c r="W182" i="9" s="1"/>
  <c r="AO182" i="9"/>
  <c r="T182" i="9"/>
  <c r="V182" i="9"/>
  <c r="R183" i="9"/>
  <c r="W183" i="9" s="1"/>
  <c r="T183" i="9"/>
  <c r="V183" i="9"/>
  <c r="R184" i="9"/>
  <c r="W184" i="9" s="1"/>
  <c r="T184" i="9"/>
  <c r="V184" i="9"/>
  <c r="R185" i="9"/>
  <c r="W185" i="9" s="1"/>
  <c r="T185" i="9"/>
  <c r="V185" i="9"/>
  <c r="R186" i="9"/>
  <c r="W186" i="9" s="1"/>
  <c r="T186" i="9"/>
  <c r="V186" i="9"/>
  <c r="R187" i="9"/>
  <c r="W187" i="9" s="1"/>
  <c r="T187" i="9"/>
  <c r="V187" i="9"/>
  <c r="R188" i="9"/>
  <c r="W188" i="9" s="1"/>
  <c r="T188" i="9"/>
  <c r="V188" i="9"/>
  <c r="R189" i="9"/>
  <c r="W189" i="9" s="1"/>
  <c r="T189" i="9"/>
  <c r="V189" i="9"/>
  <c r="R190" i="9"/>
  <c r="W190" i="9" s="1"/>
  <c r="AO190" i="9"/>
  <c r="T190" i="9"/>
  <c r="V190" i="9"/>
  <c r="R191" i="9"/>
  <c r="W191" i="9" s="1"/>
  <c r="T191" i="9"/>
  <c r="V191" i="9"/>
  <c r="R192" i="9"/>
  <c r="W192" i="9" s="1"/>
  <c r="T192" i="9"/>
  <c r="V192" i="9"/>
  <c r="R193" i="9"/>
  <c r="W193" i="9" s="1"/>
  <c r="T193" i="9"/>
  <c r="V193" i="9"/>
  <c r="R194" i="9"/>
  <c r="W194" i="9" s="1"/>
  <c r="T194" i="9"/>
  <c r="V194" i="9"/>
  <c r="R195" i="9"/>
  <c r="W195" i="9" s="1"/>
  <c r="T195" i="9"/>
  <c r="V195" i="9"/>
  <c r="R196" i="9"/>
  <c r="W196" i="9" s="1"/>
  <c r="T196" i="9"/>
  <c r="V196" i="9"/>
  <c r="R197" i="9"/>
  <c r="W197" i="9" s="1"/>
  <c r="T197" i="9"/>
  <c r="V197" i="9"/>
  <c r="R198" i="9"/>
  <c r="W198" i="9" s="1"/>
  <c r="T198" i="9"/>
  <c r="V198" i="9"/>
  <c r="R199" i="9"/>
  <c r="W199" i="9" s="1"/>
  <c r="T199" i="9"/>
  <c r="V199" i="9"/>
  <c r="R200" i="9"/>
  <c r="W200" i="9" s="1"/>
  <c r="T200" i="9"/>
  <c r="V200" i="9"/>
  <c r="R201" i="9"/>
  <c r="W201" i="9" s="1"/>
  <c r="T201" i="9"/>
  <c r="V201" i="9"/>
  <c r="R202" i="9"/>
  <c r="W202" i="9" s="1"/>
  <c r="T202" i="9"/>
  <c r="V202" i="9"/>
  <c r="R203" i="9"/>
  <c r="W203" i="9" s="1"/>
  <c r="T203" i="9"/>
  <c r="V203" i="9"/>
  <c r="R204" i="9"/>
  <c r="W204" i="9" s="1"/>
  <c r="T204" i="9"/>
  <c r="V204" i="9"/>
  <c r="R205" i="9"/>
  <c r="W205" i="9" s="1"/>
  <c r="T205" i="9"/>
  <c r="V205" i="9"/>
  <c r="R206" i="9"/>
  <c r="W206" i="9" s="1"/>
  <c r="T206" i="9"/>
  <c r="V206" i="9"/>
  <c r="R207" i="9"/>
  <c r="W207" i="9" s="1"/>
  <c r="T207" i="9"/>
  <c r="V207" i="9"/>
  <c r="R208" i="9"/>
  <c r="W208" i="9" s="1"/>
  <c r="T208" i="9"/>
  <c r="V208" i="9"/>
  <c r="R209" i="9"/>
  <c r="W209" i="9" s="1"/>
  <c r="T209" i="9"/>
  <c r="V209" i="9"/>
  <c r="R210" i="9"/>
  <c r="W210" i="9" s="1"/>
  <c r="T210" i="9"/>
  <c r="V210" i="9"/>
  <c r="R211" i="9"/>
  <c r="W211" i="9" s="1"/>
  <c r="T211" i="9"/>
  <c r="V211" i="9"/>
  <c r="R212" i="9"/>
  <c r="W212" i="9" s="1"/>
  <c r="T212" i="9"/>
  <c r="V212" i="9"/>
  <c r="R213" i="9"/>
  <c r="W213" i="9" s="1"/>
  <c r="T213" i="9"/>
  <c r="V213" i="9"/>
  <c r="R214" i="9"/>
  <c r="W214" i="9" s="1"/>
  <c r="T214" i="9"/>
  <c r="V214" i="9"/>
  <c r="R215" i="9"/>
  <c r="W215" i="9" s="1"/>
  <c r="T215" i="9"/>
  <c r="V215" i="9"/>
  <c r="R216" i="9"/>
  <c r="W216" i="9" s="1"/>
  <c r="T216" i="9"/>
  <c r="V216" i="9"/>
  <c r="R217" i="9"/>
  <c r="W217" i="9" s="1"/>
  <c r="T217" i="9"/>
  <c r="V217" i="9"/>
  <c r="R218" i="9"/>
  <c r="W218" i="9" s="1"/>
  <c r="T218" i="9"/>
  <c r="V218" i="9"/>
  <c r="R219" i="9"/>
  <c r="W219" i="9" s="1"/>
  <c r="T219" i="9"/>
  <c r="V219" i="9"/>
  <c r="R220" i="9"/>
  <c r="W220" i="9" s="1"/>
  <c r="T220" i="9"/>
  <c r="V220" i="9"/>
  <c r="R221" i="9"/>
  <c r="W221" i="9" s="1"/>
  <c r="T221" i="9"/>
  <c r="V221" i="9"/>
  <c r="R222" i="9"/>
  <c r="W222" i="9" s="1"/>
  <c r="T222" i="9"/>
  <c r="V222" i="9"/>
  <c r="R223" i="9"/>
  <c r="W223" i="9" s="1"/>
  <c r="T223" i="9"/>
  <c r="V223" i="9"/>
  <c r="R224" i="9"/>
  <c r="W224" i="9" s="1"/>
  <c r="T224" i="9"/>
  <c r="V224" i="9"/>
  <c r="R225" i="9"/>
  <c r="W225" i="9" s="1"/>
  <c r="T225" i="9"/>
  <c r="V225" i="9"/>
  <c r="R226" i="9"/>
  <c r="W226" i="9" s="1"/>
  <c r="AO226" i="9"/>
  <c r="T226" i="9"/>
  <c r="V226" i="9"/>
  <c r="R227" i="9"/>
  <c r="W227" i="9" s="1"/>
  <c r="AO227" i="9"/>
  <c r="T227" i="9"/>
  <c r="V227" i="9"/>
  <c r="R228" i="9"/>
  <c r="W228" i="9" s="1"/>
  <c r="T228" i="9"/>
  <c r="V228" i="9"/>
  <c r="R229" i="9"/>
  <c r="W229" i="9" s="1"/>
  <c r="T229" i="9"/>
  <c r="V229" i="9"/>
  <c r="R230" i="9"/>
  <c r="W230" i="9" s="1"/>
  <c r="AO230" i="9"/>
  <c r="T230" i="9"/>
  <c r="V230" i="9"/>
  <c r="R231" i="9"/>
  <c r="W231" i="9" s="1"/>
  <c r="AO231" i="9"/>
  <c r="T231" i="9"/>
  <c r="V231" i="9"/>
  <c r="R232" i="9"/>
  <c r="W232" i="9" s="1"/>
  <c r="T232" i="9"/>
  <c r="V232" i="9"/>
  <c r="R233" i="9"/>
  <c r="W233" i="9" s="1"/>
  <c r="T233" i="9"/>
  <c r="V233" i="9"/>
  <c r="R234" i="9"/>
  <c r="W234" i="9" s="1"/>
  <c r="T234" i="9"/>
  <c r="V234" i="9"/>
  <c r="R235" i="9"/>
  <c r="W235" i="9" s="1"/>
  <c r="AO235" i="9"/>
  <c r="T235" i="9"/>
  <c r="V235" i="9"/>
  <c r="R236" i="9"/>
  <c r="W236" i="9" s="1"/>
  <c r="T236" i="9"/>
  <c r="V236" i="9"/>
  <c r="R237" i="9"/>
  <c r="W237" i="9" s="1"/>
  <c r="T237" i="9"/>
  <c r="V237" i="9"/>
  <c r="R238" i="9"/>
  <c r="W238" i="9" s="1"/>
  <c r="T238" i="9"/>
  <c r="V238" i="9"/>
  <c r="R239" i="9"/>
  <c r="W239" i="9" s="1"/>
  <c r="T239" i="9"/>
  <c r="V239" i="9"/>
  <c r="R240" i="9"/>
  <c r="W240" i="9" s="1"/>
  <c r="T240" i="9"/>
  <c r="V240" i="9"/>
  <c r="R241" i="9"/>
  <c r="W241" i="9" s="1"/>
  <c r="T241" i="9"/>
  <c r="V241" i="9"/>
  <c r="R242" i="9"/>
  <c r="W242" i="9" s="1"/>
  <c r="T242" i="9"/>
  <c r="V242" i="9"/>
  <c r="R243" i="9"/>
  <c r="W243" i="9" s="1"/>
  <c r="T243" i="9"/>
  <c r="V243" i="9"/>
  <c r="R244" i="9"/>
  <c r="W244" i="9" s="1"/>
  <c r="T244" i="9"/>
  <c r="V244" i="9"/>
  <c r="R245" i="9"/>
  <c r="W245" i="9" s="1"/>
  <c r="T245" i="9"/>
  <c r="V245" i="9"/>
  <c r="R246" i="9"/>
  <c r="W246" i="9" s="1"/>
  <c r="T246" i="9"/>
  <c r="V246" i="9"/>
  <c r="R247" i="9"/>
  <c r="W247" i="9" s="1"/>
  <c r="T247" i="9"/>
  <c r="V247" i="9"/>
  <c r="R248" i="9"/>
  <c r="W248" i="9" s="1"/>
  <c r="T248" i="9"/>
  <c r="V248" i="9"/>
  <c r="R249" i="9"/>
  <c r="W249" i="9" s="1"/>
  <c r="T249" i="9"/>
  <c r="V249" i="9"/>
  <c r="R250" i="9"/>
  <c r="W250" i="9" s="1"/>
  <c r="AO250" i="9"/>
  <c r="T250" i="9"/>
  <c r="V250" i="9"/>
  <c r="R251" i="9"/>
  <c r="W251" i="9" s="1"/>
  <c r="T251" i="9"/>
  <c r="V251" i="9"/>
  <c r="R252" i="9"/>
  <c r="W252" i="9" s="1"/>
  <c r="T252" i="9"/>
  <c r="V252" i="9"/>
  <c r="R253" i="9"/>
  <c r="W253" i="9" s="1"/>
  <c r="T253" i="9"/>
  <c r="V253" i="9"/>
  <c r="R254" i="9"/>
  <c r="W254" i="9" s="1"/>
  <c r="AO254" i="9"/>
  <c r="T254" i="9"/>
  <c r="V254" i="9"/>
  <c r="R255" i="9"/>
  <c r="W255" i="9" s="1"/>
  <c r="AO255" i="9"/>
  <c r="T255" i="9"/>
  <c r="V255" i="9"/>
  <c r="R256" i="9"/>
  <c r="W256" i="9" s="1"/>
  <c r="T256" i="9"/>
  <c r="V256" i="9"/>
  <c r="R257" i="9"/>
  <c r="W257" i="9" s="1"/>
  <c r="T257" i="9"/>
  <c r="V257" i="9"/>
  <c r="R258" i="9"/>
  <c r="W258" i="9" s="1"/>
  <c r="T258" i="9"/>
  <c r="V258" i="9"/>
  <c r="R259" i="9"/>
  <c r="W259" i="9" s="1"/>
  <c r="T259" i="9"/>
  <c r="V259" i="9"/>
  <c r="R260" i="9"/>
  <c r="W260" i="9" s="1"/>
  <c r="T260" i="9"/>
  <c r="R261" i="9"/>
  <c r="W261" i="9" s="1"/>
  <c r="T261" i="9"/>
  <c r="V261" i="9"/>
  <c r="R262" i="9"/>
  <c r="W262" i="9" s="1"/>
  <c r="T262" i="9"/>
  <c r="V262" i="9"/>
  <c r="R263" i="9"/>
  <c r="W263" i="9" s="1"/>
  <c r="T263" i="9"/>
  <c r="V263" i="9"/>
  <c r="R264" i="9"/>
  <c r="W264" i="9" s="1"/>
  <c r="T264" i="9"/>
  <c r="R265" i="9"/>
  <c r="W265" i="9" s="1"/>
  <c r="T265" i="9"/>
  <c r="V265" i="9"/>
  <c r="R266" i="9"/>
  <c r="W266" i="9" s="1"/>
  <c r="T266" i="9"/>
  <c r="V266" i="9"/>
  <c r="R267" i="9"/>
  <c r="W267" i="9" s="1"/>
  <c r="T267" i="9"/>
  <c r="V267" i="9"/>
  <c r="R268" i="9"/>
  <c r="W268" i="9" s="1"/>
  <c r="AO268" i="9"/>
  <c r="T268" i="9"/>
  <c r="R269" i="9"/>
  <c r="W269" i="9" s="1"/>
  <c r="T269" i="9"/>
  <c r="V269" i="9"/>
  <c r="R270" i="9"/>
  <c r="W270" i="9" s="1"/>
  <c r="T270" i="9"/>
  <c r="V270" i="9"/>
  <c r="R271" i="9"/>
  <c r="W271" i="9" s="1"/>
  <c r="T271" i="9"/>
  <c r="V271" i="9"/>
  <c r="R272" i="9"/>
  <c r="W272" i="9" s="1"/>
  <c r="T272" i="9"/>
  <c r="R273" i="9"/>
  <c r="W273" i="9" s="1"/>
  <c r="T273" i="9"/>
  <c r="V273" i="9"/>
  <c r="R274" i="9"/>
  <c r="W274" i="9" s="1"/>
  <c r="T274" i="9"/>
  <c r="V274" i="9"/>
  <c r="R275" i="9"/>
  <c r="W275" i="9" s="1"/>
  <c r="T275" i="9"/>
  <c r="V275" i="9"/>
  <c r="R276" i="9"/>
  <c r="W276" i="9" s="1"/>
  <c r="AO276" i="9"/>
  <c r="T276" i="9"/>
  <c r="R277" i="9"/>
  <c r="W277" i="9" s="1"/>
  <c r="T277" i="9"/>
  <c r="V277" i="9"/>
  <c r="R278" i="9"/>
  <c r="W278" i="9" s="1"/>
  <c r="T278" i="9"/>
  <c r="V278" i="9"/>
  <c r="R279" i="9"/>
  <c r="W279" i="9" s="1"/>
  <c r="T279" i="9"/>
  <c r="V279" i="9"/>
  <c r="R280" i="9"/>
  <c r="W280" i="9" s="1"/>
  <c r="T280" i="9"/>
  <c r="V280" i="9"/>
  <c r="R281" i="9"/>
  <c r="W281" i="9" s="1"/>
  <c r="T281" i="9"/>
  <c r="R282" i="9"/>
  <c r="W282" i="9" s="1"/>
  <c r="T282" i="9"/>
  <c r="V282" i="9"/>
  <c r="R283" i="9"/>
  <c r="W283" i="9" s="1"/>
  <c r="T283" i="9"/>
  <c r="V283" i="9"/>
  <c r="R284" i="9"/>
  <c r="W284" i="9" s="1"/>
  <c r="AO284" i="9"/>
  <c r="T284" i="9"/>
  <c r="V284" i="9"/>
  <c r="R285" i="9"/>
  <c r="W285" i="9" s="1"/>
  <c r="T285" i="9"/>
  <c r="R286" i="9"/>
  <c r="W286" i="9" s="1"/>
  <c r="T286" i="9"/>
  <c r="V286" i="9"/>
  <c r="R287" i="9"/>
  <c r="W287" i="9" s="1"/>
  <c r="T287" i="9"/>
  <c r="V287" i="9"/>
  <c r="R288" i="9"/>
  <c r="W288" i="9" s="1"/>
  <c r="AO288" i="9"/>
  <c r="T288" i="9"/>
  <c r="V288" i="9"/>
  <c r="R289" i="9"/>
  <c r="W289" i="9" s="1"/>
  <c r="T289" i="9"/>
  <c r="R290" i="9"/>
  <c r="W290" i="9" s="1"/>
  <c r="T290" i="9"/>
  <c r="V290" i="9"/>
  <c r="R291" i="9"/>
  <c r="W291" i="9" s="1"/>
  <c r="T291" i="9"/>
  <c r="V291" i="9"/>
  <c r="R292" i="9"/>
  <c r="W292" i="9" s="1"/>
  <c r="T292" i="9"/>
  <c r="V292" i="9"/>
  <c r="R293" i="9"/>
  <c r="W293" i="9" s="1"/>
  <c r="T293" i="9"/>
  <c r="R294" i="9"/>
  <c r="W294" i="9" s="1"/>
  <c r="T294" i="9"/>
  <c r="V294" i="9"/>
  <c r="R295" i="9"/>
  <c r="W295" i="9" s="1"/>
  <c r="T295" i="9"/>
  <c r="V295" i="9"/>
  <c r="R296" i="9"/>
  <c r="W296" i="9" s="1"/>
  <c r="T296" i="9"/>
  <c r="V296" i="9"/>
  <c r="R297" i="9"/>
  <c r="W297" i="9" s="1"/>
  <c r="T297" i="9"/>
  <c r="R298" i="9"/>
  <c r="W298" i="9" s="1"/>
  <c r="T298" i="9"/>
  <c r="V298" i="9"/>
  <c r="R299" i="9"/>
  <c r="W299" i="9" s="1"/>
  <c r="T299" i="9"/>
  <c r="V299" i="9"/>
  <c r="R300" i="9"/>
  <c r="W300" i="9" s="1"/>
  <c r="T300" i="9"/>
  <c r="V300" i="9"/>
  <c r="R301" i="9"/>
  <c r="W301" i="9" s="1"/>
  <c r="T301" i="9"/>
  <c r="V301" i="9"/>
  <c r="R302" i="9"/>
  <c r="W302" i="9" s="1"/>
  <c r="T302" i="9"/>
  <c r="V302" i="9"/>
  <c r="R303" i="9"/>
  <c r="W303" i="9" s="1"/>
  <c r="T303" i="9"/>
  <c r="V303" i="9"/>
  <c r="R304" i="9"/>
  <c r="W304" i="9" s="1"/>
  <c r="T304" i="9"/>
  <c r="V304" i="9"/>
  <c r="R305" i="9"/>
  <c r="W305" i="9" s="1"/>
  <c r="T305" i="9"/>
  <c r="V305" i="9"/>
  <c r="R306" i="9"/>
  <c r="W306" i="9" s="1"/>
  <c r="T306" i="9"/>
  <c r="V306" i="9"/>
  <c r="R307" i="9"/>
  <c r="W307" i="9" s="1"/>
  <c r="T307" i="9"/>
  <c r="V307" i="9"/>
  <c r="R308" i="9"/>
  <c r="W308" i="9" s="1"/>
  <c r="T308" i="9"/>
  <c r="V308" i="9"/>
  <c r="R309" i="9"/>
  <c r="W309" i="9" s="1"/>
  <c r="T309" i="9"/>
  <c r="V309" i="9"/>
  <c r="R310" i="9"/>
  <c r="W310" i="9" s="1"/>
  <c r="T310" i="9"/>
  <c r="V310" i="9"/>
  <c r="R311" i="9"/>
  <c r="W311" i="9" s="1"/>
  <c r="T311" i="9"/>
  <c r="V311" i="9"/>
  <c r="R312" i="9"/>
  <c r="W312" i="9" s="1"/>
  <c r="AO312" i="9"/>
  <c r="T312" i="9"/>
  <c r="V312" i="9"/>
  <c r="R313" i="9"/>
  <c r="W313" i="9" s="1"/>
  <c r="T313" i="9"/>
  <c r="V313" i="9"/>
  <c r="R314" i="9"/>
  <c r="W314" i="9" s="1"/>
  <c r="AO314" i="9"/>
  <c r="T314" i="9"/>
  <c r="V314" i="9"/>
  <c r="R315" i="9"/>
  <c r="W315" i="9" s="1"/>
  <c r="T315" i="9"/>
  <c r="V315" i="9"/>
  <c r="R316" i="9"/>
  <c r="W316" i="9" s="1"/>
  <c r="AO316" i="9"/>
  <c r="T316" i="9"/>
  <c r="V316" i="9"/>
  <c r="R317" i="9"/>
  <c r="W317" i="9" s="1"/>
  <c r="T317" i="9"/>
  <c r="V317" i="9"/>
  <c r="R318" i="9"/>
  <c r="W318" i="9" s="1"/>
  <c r="T318" i="9"/>
  <c r="V318" i="9"/>
  <c r="R319" i="9"/>
  <c r="W319" i="9" s="1"/>
  <c r="T319" i="9"/>
  <c r="V319" i="9"/>
  <c r="R320" i="9"/>
  <c r="W320" i="9" s="1"/>
  <c r="AO320" i="9"/>
  <c r="T320" i="9"/>
  <c r="V320" i="9"/>
  <c r="R321" i="9"/>
  <c r="W321" i="9" s="1"/>
  <c r="T321" i="9"/>
  <c r="V321" i="9"/>
  <c r="R322" i="9"/>
  <c r="W322" i="9" s="1"/>
  <c r="AO322" i="9"/>
  <c r="T322" i="9"/>
  <c r="V322" i="9"/>
  <c r="R323" i="9"/>
  <c r="W323" i="9" s="1"/>
  <c r="T323" i="9"/>
  <c r="V323" i="9"/>
  <c r="R324" i="9"/>
  <c r="W324" i="9" s="1"/>
  <c r="T324" i="9"/>
  <c r="V324" i="9"/>
  <c r="R325" i="9"/>
  <c r="W325" i="9" s="1"/>
  <c r="T325" i="9"/>
  <c r="V325" i="9"/>
  <c r="R326" i="9"/>
  <c r="W326" i="9" s="1"/>
  <c r="T326" i="9"/>
  <c r="V326" i="9"/>
  <c r="R327" i="9"/>
  <c r="W327" i="9" s="1"/>
  <c r="T327" i="9"/>
  <c r="V327" i="9"/>
  <c r="R328" i="9"/>
  <c r="W328" i="9" s="1"/>
  <c r="T328" i="9"/>
  <c r="V328" i="9"/>
  <c r="R329" i="9"/>
  <c r="W329" i="9" s="1"/>
  <c r="T329" i="9"/>
  <c r="V329" i="9"/>
  <c r="R330" i="9"/>
  <c r="W330" i="9" s="1"/>
  <c r="T330" i="9"/>
  <c r="V330" i="9"/>
  <c r="R331" i="9"/>
  <c r="W331" i="9" s="1"/>
  <c r="T331" i="9"/>
  <c r="V331" i="9"/>
  <c r="R332" i="9"/>
  <c r="W332" i="9" s="1"/>
  <c r="AO332" i="9"/>
  <c r="T332" i="9"/>
  <c r="V332" i="9"/>
  <c r="R333" i="9"/>
  <c r="W333" i="9" s="1"/>
  <c r="T333" i="9"/>
  <c r="V333" i="9"/>
  <c r="R334" i="9"/>
  <c r="W334" i="9" s="1"/>
  <c r="T334" i="9"/>
  <c r="V334" i="9"/>
  <c r="R335" i="9"/>
  <c r="W335" i="9" s="1"/>
  <c r="T335" i="9"/>
  <c r="V335" i="9"/>
  <c r="R336" i="9"/>
  <c r="W336" i="9" s="1"/>
  <c r="T336" i="9"/>
  <c r="V336" i="9"/>
  <c r="R337" i="9"/>
  <c r="W337" i="9" s="1"/>
  <c r="T337" i="9"/>
  <c r="R338" i="9"/>
  <c r="W338" i="9" s="1"/>
  <c r="T338" i="9"/>
  <c r="V338" i="9"/>
  <c r="R339" i="9"/>
  <c r="W339" i="9" s="1"/>
  <c r="T339" i="9"/>
  <c r="V339" i="9"/>
  <c r="R340" i="9"/>
  <c r="W340" i="9" s="1"/>
  <c r="AO340" i="9"/>
  <c r="T340" i="9"/>
  <c r="V340" i="9"/>
  <c r="R341" i="9"/>
  <c r="W341" i="9" s="1"/>
  <c r="T341" i="9"/>
  <c r="R342" i="9"/>
  <c r="W342" i="9" s="1"/>
  <c r="T342" i="9"/>
  <c r="V342" i="9"/>
  <c r="R343" i="9"/>
  <c r="W343" i="9" s="1"/>
  <c r="T343" i="9"/>
  <c r="V343" i="9"/>
  <c r="R344" i="9"/>
  <c r="W344" i="9" s="1"/>
  <c r="T344" i="9"/>
  <c r="V344" i="9"/>
  <c r="R345" i="9"/>
  <c r="W345" i="9" s="1"/>
  <c r="T345" i="9"/>
  <c r="R346" i="9"/>
  <c r="W346" i="9" s="1"/>
  <c r="T346" i="9"/>
  <c r="V346" i="9"/>
  <c r="R347" i="9"/>
  <c r="W347" i="9" s="1"/>
  <c r="T347" i="9"/>
  <c r="V347" i="9"/>
  <c r="R348" i="9"/>
  <c r="W348" i="9" s="1"/>
  <c r="AO348" i="9"/>
  <c r="T348" i="9"/>
  <c r="V348" i="9"/>
  <c r="R349" i="9"/>
  <c r="W349" i="9" s="1"/>
  <c r="T349" i="9"/>
  <c r="R350" i="9"/>
  <c r="W350" i="9" s="1"/>
  <c r="T350" i="9"/>
  <c r="V350" i="9"/>
  <c r="R351" i="9"/>
  <c r="W351" i="9" s="1"/>
  <c r="T351" i="9"/>
  <c r="V351" i="9"/>
  <c r="R352" i="9"/>
  <c r="W352" i="9" s="1"/>
  <c r="AO352" i="9"/>
  <c r="T352" i="9"/>
  <c r="V352" i="9"/>
  <c r="R353" i="9"/>
  <c r="W353" i="9" s="1"/>
  <c r="T353" i="9"/>
  <c r="R354" i="9"/>
  <c r="W354" i="9" s="1"/>
  <c r="T354" i="9"/>
  <c r="V354" i="9"/>
  <c r="R355" i="9"/>
  <c r="W355" i="9" s="1"/>
  <c r="T355" i="9"/>
  <c r="V355" i="9"/>
  <c r="R356" i="9"/>
  <c r="W356" i="9" s="1"/>
  <c r="T356" i="9"/>
  <c r="V356" i="9"/>
  <c r="R357" i="9"/>
  <c r="W357" i="9" s="1"/>
  <c r="T357" i="9"/>
  <c r="V357" i="9"/>
  <c r="R358" i="9"/>
  <c r="W358" i="9" s="1"/>
  <c r="T358" i="9"/>
  <c r="V358" i="9"/>
  <c r="R359" i="9"/>
  <c r="W359" i="9" s="1"/>
  <c r="T359" i="9"/>
  <c r="V359" i="9"/>
  <c r="R360" i="9"/>
  <c r="W360" i="9" s="1"/>
  <c r="T360" i="9"/>
  <c r="V360" i="9"/>
  <c r="R361" i="9"/>
  <c r="W361" i="9" s="1"/>
  <c r="T361" i="9"/>
  <c r="V361" i="9"/>
  <c r="R362" i="9"/>
  <c r="W362" i="9" s="1"/>
  <c r="T362" i="9"/>
  <c r="V362" i="9"/>
  <c r="R363" i="9"/>
  <c r="W363" i="9" s="1"/>
  <c r="T363" i="9"/>
  <c r="V363" i="9"/>
  <c r="R364" i="9"/>
  <c r="W364" i="9" s="1"/>
  <c r="T364" i="9"/>
  <c r="V364" i="9"/>
  <c r="R365" i="9"/>
  <c r="W365" i="9" s="1"/>
  <c r="AO365" i="9"/>
  <c r="T365" i="9"/>
  <c r="V365" i="9"/>
  <c r="R366" i="9"/>
  <c r="W366" i="9" s="1"/>
  <c r="T366" i="9"/>
  <c r="V366" i="9"/>
  <c r="R367" i="9"/>
  <c r="W367" i="9" s="1"/>
  <c r="T367" i="9"/>
  <c r="V367" i="9"/>
  <c r="R368" i="9"/>
  <c r="W368" i="9" s="1"/>
  <c r="AO368" i="9"/>
  <c r="T368" i="9"/>
  <c r="V368" i="9"/>
  <c r="R369" i="9"/>
  <c r="W369" i="9" s="1"/>
  <c r="T369" i="9"/>
  <c r="V369" i="9"/>
  <c r="R370" i="9"/>
  <c r="W370" i="9" s="1"/>
  <c r="T370" i="9"/>
  <c r="V370" i="9"/>
  <c r="R371" i="9"/>
  <c r="W371" i="9" s="1"/>
  <c r="T371" i="9"/>
  <c r="V371" i="9"/>
  <c r="R372" i="9"/>
  <c r="W372" i="9" s="1"/>
  <c r="T372" i="9"/>
  <c r="V372" i="9"/>
  <c r="R373" i="9"/>
  <c r="W373" i="9" s="1"/>
  <c r="AO373" i="9"/>
  <c r="T373" i="9"/>
  <c r="V373" i="9"/>
  <c r="R374" i="9"/>
  <c r="W374" i="9" s="1"/>
  <c r="T374" i="9"/>
  <c r="V374" i="9"/>
  <c r="R375" i="9"/>
  <c r="W375" i="9" s="1"/>
  <c r="T375" i="9"/>
  <c r="V375" i="9"/>
  <c r="R376" i="9"/>
  <c r="W376" i="9" s="1"/>
  <c r="AO376" i="9"/>
  <c r="T376" i="9"/>
  <c r="V376" i="9"/>
  <c r="R377" i="9"/>
  <c r="W377" i="9" s="1"/>
  <c r="T377" i="9"/>
  <c r="V377" i="9"/>
  <c r="R378" i="9"/>
  <c r="W378" i="9" s="1"/>
  <c r="T378" i="9"/>
  <c r="R379" i="9"/>
  <c r="W379" i="9" s="1"/>
  <c r="T379" i="9"/>
  <c r="V379" i="9"/>
  <c r="R380" i="9"/>
  <c r="W380" i="9" s="1"/>
  <c r="T380" i="9"/>
  <c r="V380" i="9"/>
  <c r="R381" i="9"/>
  <c r="W381" i="9" s="1"/>
  <c r="T381" i="9"/>
  <c r="V381" i="9"/>
  <c r="R382" i="9"/>
  <c r="W382" i="9" s="1"/>
  <c r="T382" i="9"/>
  <c r="R383" i="9"/>
  <c r="W383" i="9" s="1"/>
  <c r="T383" i="9"/>
  <c r="V383" i="9"/>
  <c r="R384" i="9"/>
  <c r="W384" i="9" s="1"/>
  <c r="T384" i="9"/>
  <c r="V384" i="9"/>
  <c r="R385" i="9"/>
  <c r="W385" i="9" s="1"/>
  <c r="T385" i="9"/>
  <c r="V385" i="9"/>
  <c r="R386" i="9"/>
  <c r="W386" i="9" s="1"/>
  <c r="T386" i="9"/>
  <c r="R387" i="9"/>
  <c r="W387" i="9" s="1"/>
  <c r="T387" i="9"/>
  <c r="V387" i="9"/>
  <c r="R388" i="9"/>
  <c r="W388" i="9" s="1"/>
  <c r="AO388" i="9"/>
  <c r="T388" i="9"/>
  <c r="V388" i="9"/>
  <c r="R389" i="9"/>
  <c r="W389" i="9" s="1"/>
  <c r="AO389" i="9"/>
  <c r="T389" i="9"/>
  <c r="V389" i="9"/>
  <c r="R390" i="9"/>
  <c r="W390" i="9" s="1"/>
  <c r="T390" i="9"/>
  <c r="R391" i="9"/>
  <c r="W391" i="9" s="1"/>
  <c r="T391" i="9"/>
  <c r="V391" i="9"/>
  <c r="R392" i="9"/>
  <c r="W392" i="9" s="1"/>
  <c r="T392" i="9"/>
  <c r="V392" i="9"/>
  <c r="R393" i="9"/>
  <c r="W393" i="9" s="1"/>
  <c r="T393" i="9"/>
  <c r="V393" i="9"/>
  <c r="R394" i="9"/>
  <c r="W394" i="9" s="1"/>
  <c r="T394" i="9"/>
  <c r="R395" i="9"/>
  <c r="W395" i="9" s="1"/>
  <c r="T395" i="9"/>
  <c r="V395" i="9"/>
  <c r="R396" i="9"/>
  <c r="W396" i="9" s="1"/>
  <c r="T396" i="9"/>
  <c r="V396" i="9"/>
  <c r="R397" i="9"/>
  <c r="W397" i="9" s="1"/>
  <c r="AO397" i="9"/>
  <c r="T397" i="9"/>
  <c r="V397" i="9"/>
  <c r="R398" i="9"/>
  <c r="W398" i="9" s="1"/>
  <c r="T398" i="9"/>
  <c r="V398" i="9"/>
  <c r="R399" i="9"/>
  <c r="W399" i="9" s="1"/>
  <c r="T399" i="9"/>
  <c r="V399" i="9"/>
  <c r="R400" i="9"/>
  <c r="W400" i="9" s="1"/>
  <c r="T400" i="9"/>
  <c r="V400" i="9"/>
  <c r="R401" i="9"/>
  <c r="W401" i="9" s="1"/>
  <c r="T401" i="9"/>
  <c r="V401" i="9"/>
  <c r="R402" i="9"/>
  <c r="W402" i="9" s="1"/>
  <c r="AO402" i="9"/>
  <c r="T402" i="9"/>
  <c r="V402" i="9"/>
  <c r="R403" i="9"/>
  <c r="W403" i="9" s="1"/>
  <c r="T403" i="9"/>
  <c r="V403" i="9"/>
  <c r="R404" i="9"/>
  <c r="W404" i="9" s="1"/>
  <c r="T404" i="9"/>
  <c r="V404" i="9"/>
  <c r="R405" i="9"/>
  <c r="W405" i="9" s="1"/>
  <c r="T405" i="9"/>
  <c r="V405" i="9"/>
  <c r="R406" i="9"/>
  <c r="W406" i="9" s="1"/>
  <c r="T406" i="9"/>
  <c r="V406" i="9"/>
  <c r="R407" i="9"/>
  <c r="W407" i="9" s="1"/>
  <c r="T407" i="9"/>
  <c r="V407" i="9"/>
  <c r="R408" i="9"/>
  <c r="W408" i="9" s="1"/>
  <c r="T408" i="9"/>
  <c r="V408" i="9"/>
  <c r="R409" i="9"/>
  <c r="W409" i="9" s="1"/>
  <c r="T409" i="9"/>
  <c r="V409" i="9"/>
  <c r="R410" i="9"/>
  <c r="W410" i="9" s="1"/>
  <c r="AO410" i="9"/>
  <c r="T410" i="9"/>
  <c r="V410" i="9"/>
  <c r="R411" i="9"/>
  <c r="W411" i="9" s="1"/>
  <c r="T411" i="9"/>
  <c r="V411" i="9"/>
  <c r="R412" i="9"/>
  <c r="W412" i="9" s="1"/>
  <c r="T412" i="9"/>
  <c r="V412" i="9"/>
  <c r="R413" i="9"/>
  <c r="W413" i="9" s="1"/>
  <c r="T413" i="9"/>
  <c r="V413" i="9"/>
  <c r="R414" i="9"/>
  <c r="W414" i="9" s="1"/>
  <c r="T414" i="9"/>
  <c r="V414" i="9"/>
  <c r="R415" i="9"/>
  <c r="W415" i="9" s="1"/>
  <c r="T415" i="9"/>
  <c r="V415" i="9"/>
  <c r="R416" i="9"/>
  <c r="W416" i="9" s="1"/>
  <c r="T416" i="9"/>
  <c r="V416" i="9"/>
  <c r="R417" i="9"/>
  <c r="W417" i="9" s="1"/>
  <c r="T417" i="9"/>
  <c r="V417" i="9"/>
  <c r="R418" i="9"/>
  <c r="W418" i="9" s="1"/>
  <c r="AO418" i="9"/>
  <c r="T418" i="9"/>
  <c r="V418" i="9"/>
  <c r="R419" i="9"/>
  <c r="W419" i="9" s="1"/>
  <c r="T419" i="9"/>
  <c r="V419" i="9"/>
  <c r="R420" i="9"/>
  <c r="W420" i="9" s="1"/>
  <c r="T420" i="9"/>
  <c r="V420" i="9"/>
  <c r="R421" i="9"/>
  <c r="W421" i="9" s="1"/>
  <c r="T421" i="9"/>
  <c r="V421" i="9"/>
  <c r="R422" i="9"/>
  <c r="W422" i="9" s="1"/>
  <c r="T422" i="9"/>
  <c r="V422" i="9"/>
  <c r="R423" i="9"/>
  <c r="W423" i="9" s="1"/>
  <c r="T423" i="9"/>
  <c r="V423" i="9"/>
  <c r="R424" i="9"/>
  <c r="W424" i="9" s="1"/>
  <c r="T424" i="9"/>
  <c r="V424" i="9"/>
  <c r="R425" i="9"/>
  <c r="W425" i="9" s="1"/>
  <c r="T425" i="9"/>
  <c r="V425" i="9"/>
  <c r="R426" i="9"/>
  <c r="W426" i="9" s="1"/>
  <c r="T426" i="9"/>
  <c r="V426" i="9"/>
  <c r="R427" i="9"/>
  <c r="W427" i="9" s="1"/>
  <c r="T427" i="9"/>
  <c r="V427" i="9"/>
  <c r="R428" i="9"/>
  <c r="W428" i="9" s="1"/>
  <c r="T428" i="9"/>
  <c r="V428" i="9"/>
  <c r="R429" i="9"/>
  <c r="W429" i="9" s="1"/>
  <c r="T429" i="9"/>
  <c r="V429" i="9"/>
  <c r="R430" i="9"/>
  <c r="W430" i="9" s="1"/>
  <c r="T430" i="9"/>
  <c r="V430" i="9"/>
  <c r="R431" i="9"/>
  <c r="W431" i="9" s="1"/>
  <c r="T431" i="9"/>
  <c r="V431" i="9"/>
  <c r="R432" i="9"/>
  <c r="W432" i="9" s="1"/>
  <c r="T432" i="9"/>
  <c r="V432" i="9"/>
  <c r="R433" i="9"/>
  <c r="W433" i="9" s="1"/>
  <c r="T433" i="9"/>
  <c r="V433" i="9"/>
  <c r="R434" i="9"/>
  <c r="W434" i="9" s="1"/>
  <c r="T434" i="9"/>
  <c r="R435" i="9"/>
  <c r="W435" i="9" s="1"/>
  <c r="T435" i="9"/>
  <c r="V435" i="9"/>
  <c r="R436" i="9"/>
  <c r="W436" i="9" s="1"/>
  <c r="T436" i="9"/>
  <c r="V436" i="9"/>
  <c r="R437" i="9"/>
  <c r="W437" i="9" s="1"/>
  <c r="T437" i="9"/>
  <c r="V437" i="9"/>
  <c r="R438" i="9"/>
  <c r="W438" i="9" s="1"/>
  <c r="T438" i="9"/>
  <c r="R439" i="9"/>
  <c r="W439" i="9" s="1"/>
  <c r="T439" i="9"/>
  <c r="V439" i="9"/>
  <c r="R440" i="9"/>
  <c r="W440" i="9" s="1"/>
  <c r="T440" i="9"/>
  <c r="V440" i="9"/>
  <c r="R441" i="9"/>
  <c r="W441" i="9" s="1"/>
  <c r="T441" i="9"/>
  <c r="V441" i="9"/>
  <c r="R442" i="9"/>
  <c r="W442" i="9" s="1"/>
  <c r="T442" i="9"/>
  <c r="R443" i="9"/>
  <c r="W443" i="9" s="1"/>
  <c r="T443" i="9"/>
  <c r="V443" i="9"/>
  <c r="R444" i="9"/>
  <c r="W444" i="9" s="1"/>
  <c r="T444" i="9"/>
  <c r="V444" i="9"/>
  <c r="R445" i="9"/>
  <c r="W445" i="9" s="1"/>
  <c r="T445" i="9"/>
  <c r="V445" i="9"/>
  <c r="R446" i="9"/>
  <c r="W446" i="9" s="1"/>
  <c r="T446" i="9"/>
  <c r="R447" i="9"/>
  <c r="W447" i="9" s="1"/>
  <c r="T447" i="9"/>
  <c r="V447" i="9"/>
  <c r="R448" i="9"/>
  <c r="W448" i="9" s="1"/>
  <c r="T448" i="9"/>
  <c r="V448" i="9"/>
  <c r="R449" i="9"/>
  <c r="W449" i="9" s="1"/>
  <c r="T449" i="9"/>
  <c r="V449" i="9"/>
  <c r="R450" i="9"/>
  <c r="W450" i="9" s="1"/>
  <c r="T450" i="9"/>
  <c r="R451" i="9"/>
  <c r="W451" i="9" s="1"/>
  <c r="T451" i="9"/>
  <c r="V451" i="9"/>
  <c r="R452" i="9"/>
  <c r="W452" i="9" s="1"/>
  <c r="T452" i="9"/>
  <c r="V452" i="9"/>
  <c r="R453" i="9"/>
  <c r="W453" i="9" s="1"/>
  <c r="AO453" i="9"/>
  <c r="T453" i="9"/>
  <c r="V453" i="9"/>
  <c r="R454" i="9"/>
  <c r="W454" i="9" s="1"/>
  <c r="T454" i="9"/>
  <c r="V454" i="9"/>
  <c r="R455" i="9"/>
  <c r="W455" i="9" s="1"/>
  <c r="T455" i="9"/>
  <c r="R456" i="9"/>
  <c r="W456" i="9" s="1"/>
  <c r="T456" i="9"/>
  <c r="V456" i="9"/>
  <c r="R457" i="9"/>
  <c r="W457" i="9" s="1"/>
  <c r="T457" i="9"/>
  <c r="V457" i="9"/>
  <c r="R458" i="9"/>
  <c r="W458" i="9" s="1"/>
  <c r="AO458" i="9"/>
  <c r="T458" i="9"/>
  <c r="V458" i="9"/>
  <c r="R459" i="9"/>
  <c r="W459" i="9" s="1"/>
  <c r="T459" i="9"/>
  <c r="R460" i="9"/>
  <c r="W460" i="9" s="1"/>
  <c r="T460" i="9"/>
  <c r="V460" i="9"/>
  <c r="R461" i="9"/>
  <c r="W461" i="9" s="1"/>
  <c r="T461" i="9"/>
  <c r="V461" i="9"/>
  <c r="R462" i="9"/>
  <c r="W462" i="9" s="1"/>
  <c r="T462" i="9"/>
  <c r="V462" i="9"/>
  <c r="R463" i="9"/>
  <c r="W463" i="9" s="1"/>
  <c r="T463" i="9"/>
  <c r="R464" i="9"/>
  <c r="W464" i="9" s="1"/>
  <c r="T464" i="9"/>
  <c r="V464" i="9"/>
  <c r="R465" i="9"/>
  <c r="W465" i="9" s="1"/>
  <c r="T465" i="9"/>
  <c r="V465" i="9"/>
  <c r="R466" i="9"/>
  <c r="W466" i="9" s="1"/>
  <c r="T466" i="9"/>
  <c r="V466" i="9"/>
  <c r="R467" i="9"/>
  <c r="W467" i="9" s="1"/>
  <c r="T467" i="9"/>
  <c r="R468" i="9"/>
  <c r="W468" i="9" s="1"/>
  <c r="T468" i="9"/>
  <c r="V468" i="9"/>
  <c r="R469" i="9"/>
  <c r="W469" i="9" s="1"/>
  <c r="T469" i="9"/>
  <c r="V469" i="9"/>
  <c r="R470" i="9"/>
  <c r="W470" i="9" s="1"/>
  <c r="T470" i="9"/>
  <c r="V470" i="9"/>
  <c r="R471" i="9"/>
  <c r="W471" i="9" s="1"/>
  <c r="T471" i="9"/>
  <c r="R472" i="9"/>
  <c r="W472" i="9" s="1"/>
  <c r="T472" i="9"/>
  <c r="V472" i="9"/>
  <c r="R473" i="9"/>
  <c r="W473" i="9" s="1"/>
  <c r="T473" i="9"/>
  <c r="V473" i="9"/>
  <c r="R474" i="9"/>
  <c r="W474" i="9" s="1"/>
  <c r="T474" i="9"/>
  <c r="V474" i="9"/>
  <c r="R475" i="9"/>
  <c r="W475" i="9" s="1"/>
  <c r="T475" i="9"/>
  <c r="V475" i="9"/>
  <c r="R476" i="9"/>
  <c r="W476" i="9" s="1"/>
  <c r="T476" i="9"/>
  <c r="V476" i="9"/>
  <c r="R477" i="9"/>
  <c r="W477" i="9" s="1"/>
  <c r="T477" i="9"/>
  <c r="V477" i="9"/>
  <c r="R478" i="9"/>
  <c r="W478" i="9" s="1"/>
  <c r="T478" i="9"/>
  <c r="V478" i="9"/>
  <c r="R479" i="9"/>
  <c r="W479" i="9" s="1"/>
  <c r="T479" i="9"/>
  <c r="V479" i="9"/>
  <c r="R480" i="9"/>
  <c r="W480" i="9" s="1"/>
  <c r="T480" i="9"/>
  <c r="V480" i="9"/>
  <c r="R481" i="9"/>
  <c r="W481" i="9" s="1"/>
  <c r="T481" i="9"/>
  <c r="V481" i="9"/>
  <c r="R482" i="9"/>
  <c r="W482" i="9" s="1"/>
  <c r="T482" i="9"/>
  <c r="V482" i="9"/>
  <c r="R483" i="9"/>
  <c r="W483" i="9" s="1"/>
  <c r="T483" i="9"/>
  <c r="V483" i="9"/>
  <c r="R484" i="9"/>
  <c r="W484" i="9" s="1"/>
  <c r="T484" i="9"/>
  <c r="V484" i="9"/>
  <c r="R485" i="9"/>
  <c r="W485" i="9" s="1"/>
  <c r="AO485" i="9"/>
  <c r="T485" i="9"/>
  <c r="V485" i="9"/>
  <c r="R486" i="9"/>
  <c r="W486" i="9" s="1"/>
  <c r="T486" i="9"/>
  <c r="V486" i="9"/>
  <c r="R487" i="9"/>
  <c r="W487" i="9" s="1"/>
  <c r="T487" i="9"/>
  <c r="V487" i="9"/>
  <c r="R488" i="9"/>
  <c r="W488" i="9" s="1"/>
  <c r="T488" i="9"/>
  <c r="V488" i="9"/>
  <c r="R489" i="9"/>
  <c r="W489" i="9" s="1"/>
  <c r="T489" i="9"/>
  <c r="V489" i="9"/>
  <c r="R490" i="9"/>
  <c r="W490" i="9" s="1"/>
  <c r="T490" i="9"/>
  <c r="V490" i="9"/>
  <c r="R491" i="9"/>
  <c r="W491" i="9" s="1"/>
  <c r="T491" i="9"/>
  <c r="V491" i="9"/>
  <c r="R492" i="9"/>
  <c r="W492" i="9" s="1"/>
  <c r="T492" i="9"/>
  <c r="V492" i="9"/>
  <c r="R493" i="9"/>
  <c r="W493" i="9" s="1"/>
  <c r="AO493" i="9"/>
  <c r="T493" i="9"/>
  <c r="V493" i="9"/>
  <c r="R494" i="9"/>
  <c r="W494" i="9" s="1"/>
  <c r="T494" i="9"/>
  <c r="V494" i="9"/>
  <c r="R495" i="9"/>
  <c r="W495" i="9" s="1"/>
  <c r="T495" i="9"/>
  <c r="V495" i="9"/>
  <c r="R496" i="9"/>
  <c r="W496" i="9" s="1"/>
  <c r="T496" i="9"/>
  <c r="V496" i="9"/>
  <c r="R497" i="9"/>
  <c r="W497" i="9" s="1"/>
  <c r="T497" i="9"/>
  <c r="V497" i="9"/>
  <c r="R498" i="9"/>
  <c r="W498" i="9" s="1"/>
  <c r="AO498" i="9"/>
  <c r="T498" i="9"/>
  <c r="V498" i="9"/>
  <c r="R499" i="9"/>
  <c r="W499" i="9" s="1"/>
  <c r="T499" i="9"/>
  <c r="V499" i="9"/>
  <c r="R500" i="9"/>
  <c r="W500" i="9" s="1"/>
  <c r="T500" i="9"/>
  <c r="V500" i="9"/>
  <c r="R501" i="9"/>
  <c r="W501" i="9" s="1"/>
  <c r="AO501" i="9"/>
  <c r="T501" i="9"/>
  <c r="V501" i="9"/>
  <c r="R502" i="9"/>
  <c r="W502" i="9" s="1"/>
  <c r="T502" i="9"/>
  <c r="V502" i="9"/>
  <c r="R503" i="9"/>
  <c r="W503" i="9" s="1"/>
  <c r="T503" i="9"/>
  <c r="V503" i="9"/>
  <c r="R504" i="9"/>
  <c r="W504" i="9" s="1"/>
  <c r="T504" i="9"/>
  <c r="V504" i="9"/>
  <c r="R505" i="9"/>
  <c r="W505" i="9" s="1"/>
  <c r="T505" i="9"/>
  <c r="V505" i="9"/>
  <c r="R506" i="9"/>
  <c r="W506" i="9" s="1"/>
  <c r="AO506" i="9"/>
  <c r="T506" i="9"/>
  <c r="V506" i="9"/>
  <c r="R507" i="9"/>
  <c r="W507" i="9" s="1"/>
  <c r="T507" i="9"/>
  <c r="V507" i="9"/>
  <c r="R508" i="9"/>
  <c r="W508" i="9" s="1"/>
  <c r="T508" i="9"/>
  <c r="V508" i="9"/>
  <c r="R509" i="9"/>
  <c r="W509" i="9" s="1"/>
  <c r="T509" i="9"/>
  <c r="V509" i="9"/>
  <c r="R510" i="9"/>
  <c r="W510" i="9" s="1"/>
  <c r="T510" i="9"/>
  <c r="V510" i="9"/>
  <c r="R511" i="9"/>
  <c r="W511" i="9" s="1"/>
  <c r="T511" i="9"/>
  <c r="V511" i="9"/>
  <c r="R512" i="9"/>
  <c r="W512" i="9" s="1"/>
  <c r="T512" i="9"/>
  <c r="V512" i="9"/>
  <c r="R513" i="9"/>
  <c r="W513" i="9" s="1"/>
  <c r="T513" i="9"/>
  <c r="V513" i="9"/>
  <c r="R514" i="9"/>
  <c r="W514" i="9" s="1"/>
  <c r="T514" i="9"/>
  <c r="V514" i="9"/>
  <c r="R515" i="9"/>
  <c r="W515" i="9" s="1"/>
  <c r="T515" i="9"/>
  <c r="V515" i="9"/>
  <c r="R516" i="9"/>
  <c r="W516" i="9" s="1"/>
  <c r="T516" i="9"/>
  <c r="V516" i="9"/>
  <c r="R517" i="9"/>
  <c r="W517" i="9" s="1"/>
  <c r="AO517" i="9"/>
  <c r="T517" i="9"/>
  <c r="V517" i="9"/>
  <c r="R518" i="9"/>
  <c r="W518" i="9" s="1"/>
  <c r="T518" i="9"/>
  <c r="V518" i="9"/>
  <c r="R519" i="9"/>
  <c r="W519" i="9" s="1"/>
  <c r="T519" i="9"/>
  <c r="V519" i="9"/>
  <c r="R520" i="9"/>
  <c r="W520" i="9" s="1"/>
  <c r="T520" i="9"/>
  <c r="V520" i="9"/>
  <c r="R521" i="9"/>
  <c r="W521" i="9" s="1"/>
  <c r="T521" i="9"/>
  <c r="V521" i="9"/>
  <c r="R522" i="9"/>
  <c r="W522" i="9" s="1"/>
  <c r="T522" i="9"/>
  <c r="V522" i="9"/>
  <c r="R523" i="9"/>
  <c r="W523" i="9" s="1"/>
  <c r="T523" i="9"/>
  <c r="V523" i="9"/>
  <c r="R524" i="9"/>
  <c r="W524" i="9" s="1"/>
  <c r="T524" i="9"/>
  <c r="V524" i="9"/>
  <c r="R525" i="9"/>
  <c r="W525" i="9" s="1"/>
  <c r="T525" i="9"/>
  <c r="V525" i="9"/>
  <c r="R526" i="9"/>
  <c r="W526" i="9" s="1"/>
  <c r="T526" i="9"/>
  <c r="V526" i="9"/>
  <c r="R527" i="9"/>
  <c r="W527" i="9" s="1"/>
  <c r="T527" i="9"/>
  <c r="V527" i="9"/>
  <c r="R528" i="9"/>
  <c r="W528" i="9" s="1"/>
  <c r="T528" i="9"/>
  <c r="V528" i="9"/>
  <c r="R529" i="9"/>
  <c r="W529" i="9" s="1"/>
  <c r="T529" i="9"/>
  <c r="V529" i="9"/>
  <c r="R530" i="9"/>
  <c r="W530" i="9" s="1"/>
  <c r="AO530" i="9"/>
  <c r="T530" i="9"/>
  <c r="V530" i="9"/>
  <c r="R531" i="9"/>
  <c r="W531" i="9" s="1"/>
  <c r="T531" i="9"/>
  <c r="V531" i="9"/>
  <c r="R532" i="9"/>
  <c r="W532" i="9" s="1"/>
  <c r="T532" i="9"/>
  <c r="V532" i="9"/>
  <c r="R533" i="9"/>
  <c r="W533" i="9" s="1"/>
  <c r="T533" i="9"/>
  <c r="V533" i="9"/>
  <c r="R534" i="9"/>
  <c r="W534" i="9" s="1"/>
  <c r="T534" i="9"/>
  <c r="V534" i="9"/>
  <c r="R535" i="9"/>
  <c r="W535" i="9" s="1"/>
  <c r="T535" i="9"/>
  <c r="V535" i="9"/>
  <c r="R536" i="9"/>
  <c r="W536" i="9" s="1"/>
  <c r="T536" i="9"/>
  <c r="V536" i="9"/>
  <c r="R537" i="9"/>
  <c r="W537" i="9" s="1"/>
  <c r="T537" i="9"/>
  <c r="V537" i="9"/>
  <c r="R538" i="9"/>
  <c r="W538" i="9" s="1"/>
  <c r="AO538" i="9"/>
  <c r="T538" i="9"/>
  <c r="V538" i="9"/>
  <c r="R539" i="9"/>
  <c r="W539" i="9" s="1"/>
  <c r="T539" i="9"/>
  <c r="V539" i="9"/>
  <c r="R540" i="9"/>
  <c r="W540" i="9" s="1"/>
  <c r="T540" i="9"/>
  <c r="V540" i="9"/>
  <c r="R541" i="9"/>
  <c r="W541" i="9" s="1"/>
  <c r="T541" i="9"/>
  <c r="V541" i="9"/>
  <c r="R542" i="9"/>
  <c r="W542" i="9" s="1"/>
  <c r="T542" i="9"/>
  <c r="V542" i="9"/>
  <c r="R543" i="9"/>
  <c r="W543" i="9" s="1"/>
  <c r="T543" i="9"/>
  <c r="V543" i="9"/>
  <c r="R544" i="9"/>
  <c r="W544" i="9" s="1"/>
  <c r="T544" i="9"/>
  <c r="V544" i="9"/>
  <c r="R545" i="9"/>
  <c r="W545" i="9" s="1"/>
  <c r="T545" i="9"/>
  <c r="V545" i="9"/>
  <c r="R546" i="9"/>
  <c r="W546" i="9" s="1"/>
  <c r="T546" i="9"/>
  <c r="V546" i="9"/>
  <c r="R547" i="9"/>
  <c r="W547" i="9" s="1"/>
  <c r="T547" i="9"/>
  <c r="V547" i="9"/>
  <c r="R548" i="9"/>
  <c r="W548" i="9" s="1"/>
  <c r="T548" i="9"/>
  <c r="V548" i="9"/>
  <c r="R549" i="9"/>
  <c r="W549" i="9" s="1"/>
  <c r="T549" i="9"/>
  <c r="V549" i="9"/>
  <c r="R550" i="9"/>
  <c r="W550" i="9" s="1"/>
  <c r="T550" i="9"/>
  <c r="V550" i="9"/>
  <c r="R551" i="9"/>
  <c r="W551" i="9" s="1"/>
  <c r="T551" i="9"/>
  <c r="V551" i="9"/>
  <c r="R552" i="9"/>
  <c r="W552" i="9" s="1"/>
  <c r="T552" i="9"/>
  <c r="V552" i="9"/>
  <c r="R553" i="9"/>
  <c r="W553" i="9" s="1"/>
  <c r="T553" i="9"/>
  <c r="V553" i="9"/>
  <c r="R554" i="9"/>
  <c r="W554" i="9" s="1"/>
  <c r="T554" i="9"/>
  <c r="R555" i="9"/>
  <c r="W555" i="9" s="1"/>
  <c r="T555" i="9"/>
  <c r="V555" i="9"/>
  <c r="R556" i="9"/>
  <c r="W556" i="9" s="1"/>
  <c r="T556" i="9"/>
  <c r="V556" i="9"/>
  <c r="R557" i="9"/>
  <c r="W557" i="9" s="1"/>
  <c r="AO557" i="9"/>
  <c r="T557" i="9"/>
  <c r="V557" i="9"/>
  <c r="R558" i="9"/>
  <c r="W558" i="9" s="1"/>
  <c r="AO558" i="9"/>
  <c r="T558" i="9"/>
  <c r="X558" i="9"/>
  <c r="R559" i="9"/>
  <c r="W559" i="9" s="1"/>
  <c r="T559" i="9"/>
  <c r="V559" i="9"/>
  <c r="R560" i="9"/>
  <c r="W560" i="9" s="1"/>
  <c r="T560" i="9"/>
  <c r="V560" i="9"/>
  <c r="R561" i="9"/>
  <c r="W561" i="9" s="1"/>
  <c r="T561" i="9"/>
  <c r="V561" i="9"/>
  <c r="R562" i="9"/>
  <c r="W562" i="9" s="1"/>
  <c r="T562" i="9"/>
  <c r="R563" i="9"/>
  <c r="W563" i="9" s="1"/>
  <c r="T563" i="9"/>
  <c r="V563" i="9"/>
  <c r="R564" i="9"/>
  <c r="W564" i="9" s="1"/>
  <c r="T564" i="9"/>
  <c r="V564" i="9"/>
  <c r="R565" i="9"/>
  <c r="W565" i="9" s="1"/>
  <c r="AO565" i="9"/>
  <c r="T565" i="9"/>
  <c r="V565" i="9"/>
  <c r="R566" i="9"/>
  <c r="W566" i="9" s="1"/>
  <c r="T566" i="9"/>
  <c r="R567" i="9"/>
  <c r="W567" i="9" s="1"/>
  <c r="T567" i="9"/>
  <c r="V567" i="9"/>
  <c r="R568" i="9"/>
  <c r="W568" i="9" s="1"/>
  <c r="T568" i="9"/>
  <c r="V568" i="9"/>
  <c r="R569" i="9"/>
  <c r="W569" i="9" s="1"/>
  <c r="T569" i="9"/>
  <c r="V569" i="9"/>
  <c r="R570" i="9"/>
  <c r="W570" i="9" s="1"/>
  <c r="AO570" i="9"/>
  <c r="T570" i="9"/>
  <c r="R571" i="9"/>
  <c r="W571" i="9" s="1"/>
  <c r="T571" i="9"/>
  <c r="V571" i="9"/>
  <c r="R572" i="9"/>
  <c r="W572" i="9" s="1"/>
  <c r="T572" i="9"/>
  <c r="V572" i="9"/>
  <c r="R573" i="9"/>
  <c r="W573" i="9" s="1"/>
  <c r="T573" i="9"/>
  <c r="V573" i="9"/>
  <c r="R574" i="9"/>
  <c r="W574" i="9" s="1"/>
  <c r="T574" i="9"/>
  <c r="V574" i="9"/>
  <c r="R575" i="9"/>
  <c r="W575" i="9" s="1"/>
  <c r="T575" i="9"/>
  <c r="V575" i="9"/>
  <c r="R576" i="9"/>
  <c r="W576" i="9" s="1"/>
  <c r="T576" i="9"/>
  <c r="V576" i="9"/>
  <c r="R577" i="9"/>
  <c r="W577" i="9" s="1"/>
  <c r="T577" i="9"/>
  <c r="V577" i="9"/>
  <c r="R578" i="9"/>
  <c r="W578" i="9" s="1"/>
  <c r="T578" i="9"/>
  <c r="V578" i="9"/>
  <c r="R579" i="9"/>
  <c r="W579" i="9" s="1"/>
  <c r="AO579" i="9"/>
  <c r="T579" i="9"/>
  <c r="V579" i="9"/>
  <c r="R580" i="9"/>
  <c r="W580" i="9" s="1"/>
  <c r="T580" i="9"/>
  <c r="V580" i="9"/>
  <c r="R581" i="9"/>
  <c r="W581" i="9" s="1"/>
  <c r="T581" i="9"/>
  <c r="V581" i="9"/>
  <c r="R582" i="9"/>
  <c r="W582" i="9" s="1"/>
  <c r="T582" i="9"/>
  <c r="V582" i="9"/>
  <c r="R583" i="9"/>
  <c r="W583" i="9" s="1"/>
  <c r="T583" i="9"/>
  <c r="V583" i="9"/>
  <c r="R584" i="9"/>
  <c r="W584" i="9" s="1"/>
  <c r="T584" i="9"/>
  <c r="V584" i="9"/>
  <c r="R585" i="9"/>
  <c r="W585" i="9" s="1"/>
  <c r="T585" i="9"/>
  <c r="V585" i="9"/>
  <c r="R586" i="9"/>
  <c r="W586" i="9" s="1"/>
  <c r="T586" i="9"/>
  <c r="V586" i="9"/>
  <c r="R587" i="9"/>
  <c r="W587" i="9" s="1"/>
  <c r="T587" i="9"/>
  <c r="V587" i="9"/>
  <c r="R588" i="9"/>
  <c r="W588" i="9" s="1"/>
  <c r="T588" i="9"/>
  <c r="V588" i="9"/>
  <c r="R589" i="9"/>
  <c r="W589" i="9" s="1"/>
  <c r="AO589" i="9"/>
  <c r="T589" i="9"/>
  <c r="R590" i="9"/>
  <c r="W590" i="9" s="1"/>
  <c r="T590" i="9"/>
  <c r="V590" i="9"/>
  <c r="R591" i="9"/>
  <c r="W591" i="9" s="1"/>
  <c r="T591" i="9"/>
  <c r="V591" i="9"/>
  <c r="R592" i="9"/>
  <c r="W592" i="9" s="1"/>
  <c r="T592" i="9"/>
  <c r="V592" i="9"/>
  <c r="R593" i="9"/>
  <c r="W593" i="9" s="1"/>
  <c r="T593" i="9"/>
  <c r="R594" i="9"/>
  <c r="W594" i="9" s="1"/>
  <c r="T594" i="9"/>
  <c r="V594" i="9"/>
  <c r="R595" i="9"/>
  <c r="W595" i="9" s="1"/>
  <c r="T595" i="9"/>
  <c r="V595" i="9"/>
  <c r="R596" i="9"/>
  <c r="W596" i="9" s="1"/>
  <c r="T596" i="9"/>
  <c r="V596" i="9"/>
  <c r="R597" i="9"/>
  <c r="W597" i="9" s="1"/>
  <c r="T597" i="9"/>
  <c r="R598" i="9"/>
  <c r="W598" i="9" s="1"/>
  <c r="T598" i="9"/>
  <c r="V598" i="9"/>
  <c r="R599" i="9"/>
  <c r="W599" i="9" s="1"/>
  <c r="T599" i="9"/>
  <c r="V599" i="9"/>
  <c r="R600" i="9"/>
  <c r="W600" i="9" s="1"/>
  <c r="T600" i="9"/>
  <c r="V600" i="9"/>
  <c r="R601" i="9"/>
  <c r="W601" i="9" s="1"/>
  <c r="T601" i="9"/>
  <c r="R602" i="9"/>
  <c r="W602" i="9" s="1"/>
  <c r="T602" i="9"/>
  <c r="V602" i="9"/>
  <c r="R603" i="9"/>
  <c r="W603" i="9" s="1"/>
  <c r="AO603" i="9"/>
  <c r="T603" i="9"/>
  <c r="V603" i="9"/>
  <c r="R604" i="9"/>
  <c r="W604" i="9" s="1"/>
  <c r="AO604" i="9"/>
  <c r="T604" i="9"/>
  <c r="V604" i="9"/>
  <c r="R605" i="9"/>
  <c r="W605" i="9" s="1"/>
  <c r="T605" i="9"/>
  <c r="R606" i="9"/>
  <c r="W606" i="9" s="1"/>
  <c r="T606" i="9"/>
  <c r="V606" i="9"/>
  <c r="R607" i="9"/>
  <c r="W607" i="9" s="1"/>
  <c r="T607" i="9"/>
  <c r="V607" i="9"/>
  <c r="R608" i="9"/>
  <c r="W608" i="9" s="1"/>
  <c r="T608" i="9"/>
  <c r="V608" i="9"/>
  <c r="R609" i="9"/>
  <c r="W609" i="9" s="1"/>
  <c r="T609" i="9"/>
  <c r="V609" i="9"/>
  <c r="R610" i="9"/>
  <c r="W610" i="9" s="1"/>
  <c r="T610" i="9"/>
  <c r="V610" i="9"/>
  <c r="R611" i="9"/>
  <c r="W611" i="9" s="1"/>
  <c r="T611" i="9"/>
  <c r="V611" i="9"/>
  <c r="R612" i="9"/>
  <c r="W612" i="9" s="1"/>
  <c r="T612" i="9"/>
  <c r="R613" i="9"/>
  <c r="W613" i="9" s="1"/>
  <c r="T613" i="9"/>
  <c r="V613" i="9"/>
  <c r="R614" i="9"/>
  <c r="W614" i="9" s="1"/>
  <c r="T614" i="9"/>
  <c r="V614" i="9"/>
  <c r="R615" i="9"/>
  <c r="W615" i="9" s="1"/>
  <c r="AO615" i="9"/>
  <c r="T615" i="9"/>
  <c r="V615" i="9"/>
  <c r="R616" i="9"/>
  <c r="W616" i="9" s="1"/>
  <c r="T616" i="9"/>
  <c r="R617" i="9"/>
  <c r="W617" i="9" s="1"/>
  <c r="T617" i="9"/>
  <c r="V617" i="9"/>
  <c r="R618" i="9"/>
  <c r="W618" i="9" s="1"/>
  <c r="T618" i="9"/>
  <c r="V618" i="9"/>
  <c r="R619" i="9"/>
  <c r="W619" i="9" s="1"/>
  <c r="T619" i="9"/>
  <c r="V619" i="9"/>
  <c r="R620" i="9"/>
  <c r="W620" i="9" s="1"/>
  <c r="T620" i="9"/>
  <c r="R621" i="9"/>
  <c r="W621" i="9" s="1"/>
  <c r="T621" i="9"/>
  <c r="V621" i="9"/>
  <c r="R622" i="9"/>
  <c r="W622" i="9" s="1"/>
  <c r="T622" i="9"/>
  <c r="V622" i="9"/>
  <c r="R623" i="9"/>
  <c r="W623" i="9" s="1"/>
  <c r="AO623" i="9"/>
  <c r="T623" i="9"/>
  <c r="V623" i="9"/>
  <c r="R624" i="9"/>
  <c r="W624" i="9" s="1"/>
  <c r="T624" i="9"/>
  <c r="R625" i="9"/>
  <c r="W625" i="9" s="1"/>
  <c r="T625" i="9"/>
  <c r="V625" i="9"/>
  <c r="R626" i="9"/>
  <c r="W626" i="9" s="1"/>
  <c r="T626" i="9"/>
  <c r="V626" i="9"/>
  <c r="R627" i="9"/>
  <c r="W627" i="9" s="1"/>
  <c r="T627" i="9"/>
  <c r="V627" i="9"/>
  <c r="R628" i="9"/>
  <c r="W628" i="9" s="1"/>
  <c r="T628" i="9"/>
  <c r="R629" i="9"/>
  <c r="W629" i="9" s="1"/>
  <c r="T629" i="9"/>
  <c r="V629" i="9"/>
  <c r="R630" i="9"/>
  <c r="W630" i="9" s="1"/>
  <c r="T630" i="9"/>
  <c r="V630" i="9"/>
  <c r="R631" i="9"/>
  <c r="W631" i="9" s="1"/>
  <c r="T631" i="9"/>
  <c r="V631" i="9"/>
  <c r="R632" i="9"/>
  <c r="W632" i="9" s="1"/>
  <c r="T632" i="9"/>
  <c r="V632" i="9"/>
  <c r="R633" i="9"/>
  <c r="W633" i="9" s="1"/>
  <c r="T633" i="9"/>
  <c r="V633" i="9"/>
  <c r="R634" i="9"/>
  <c r="W634" i="9" s="1"/>
  <c r="T634" i="9"/>
  <c r="V634" i="9"/>
  <c r="R635" i="9"/>
  <c r="W635" i="9" s="1"/>
  <c r="T635" i="9"/>
  <c r="V635" i="9"/>
  <c r="R636" i="9"/>
  <c r="W636" i="9" s="1"/>
  <c r="T636" i="9"/>
  <c r="V636" i="9"/>
  <c r="R637" i="9"/>
  <c r="W637" i="9" s="1"/>
  <c r="T637" i="9"/>
  <c r="V637" i="9"/>
  <c r="R638" i="9"/>
  <c r="W638" i="9" s="1"/>
  <c r="T638" i="9"/>
  <c r="V638" i="9"/>
  <c r="R639" i="9"/>
  <c r="W639" i="9" s="1"/>
  <c r="AO639" i="9"/>
  <c r="T639" i="9"/>
  <c r="V639" i="9"/>
  <c r="R640" i="9"/>
  <c r="W640" i="9" s="1"/>
  <c r="T640" i="9"/>
  <c r="V640" i="9"/>
  <c r="R641" i="9"/>
  <c r="W641" i="9" s="1"/>
  <c r="T641" i="9"/>
  <c r="V641" i="9"/>
  <c r="R642" i="9"/>
  <c r="W642" i="9" s="1"/>
  <c r="T642" i="9"/>
  <c r="V642" i="9"/>
  <c r="R643" i="9"/>
  <c r="W643" i="9" s="1"/>
  <c r="T643" i="9"/>
  <c r="V643" i="9"/>
  <c r="R644" i="9"/>
  <c r="W644" i="9" s="1"/>
  <c r="T644" i="9"/>
  <c r="V644" i="9"/>
  <c r="R645" i="9"/>
  <c r="W645" i="9" s="1"/>
  <c r="T645" i="9"/>
  <c r="V645" i="9"/>
  <c r="R646" i="9"/>
  <c r="W646" i="9" s="1"/>
  <c r="T646" i="9"/>
  <c r="V646" i="9"/>
  <c r="R647" i="9"/>
  <c r="W647" i="9" s="1"/>
  <c r="AO647" i="9"/>
  <c r="T647" i="9"/>
  <c r="R648" i="9"/>
  <c r="W648" i="9" s="1"/>
  <c r="T648" i="9"/>
  <c r="R649" i="9"/>
  <c r="W649" i="9" s="1"/>
  <c r="T649" i="9"/>
  <c r="V649" i="9"/>
  <c r="R650" i="9"/>
  <c r="W650" i="9" s="1"/>
  <c r="T650" i="9"/>
  <c r="V650" i="9"/>
  <c r="R651" i="9"/>
  <c r="W651" i="9" s="1"/>
  <c r="T651" i="9"/>
  <c r="R652" i="9"/>
  <c r="W652" i="9" s="1"/>
  <c r="T652" i="9"/>
  <c r="R653" i="9"/>
  <c r="W653" i="9" s="1"/>
  <c r="T653" i="9"/>
  <c r="V653" i="9"/>
  <c r="R654" i="9"/>
  <c r="W654" i="9" s="1"/>
  <c r="T654" i="9"/>
  <c r="V654" i="9"/>
  <c r="R655" i="9"/>
  <c r="W655" i="9" s="1"/>
  <c r="AO655" i="9"/>
  <c r="T655" i="9"/>
  <c r="R656" i="9"/>
  <c r="W656" i="9" s="1"/>
  <c r="T656" i="9"/>
  <c r="R657" i="9"/>
  <c r="W657" i="9" s="1"/>
  <c r="T657" i="9"/>
  <c r="V657" i="9"/>
  <c r="R658" i="9"/>
  <c r="W658" i="9" s="1"/>
  <c r="T658" i="9"/>
  <c r="V658" i="9"/>
  <c r="R659" i="9"/>
  <c r="W659" i="9" s="1"/>
  <c r="T659" i="9"/>
  <c r="R660" i="9"/>
  <c r="W660" i="9" s="1"/>
  <c r="T660" i="9"/>
  <c r="R661" i="9"/>
  <c r="W661" i="9" s="1"/>
  <c r="T661" i="9"/>
  <c r="V661" i="9"/>
  <c r="R662" i="9"/>
  <c r="W662" i="9" s="1"/>
  <c r="T662" i="9"/>
  <c r="V662" i="9"/>
  <c r="R663" i="9"/>
  <c r="W663" i="9" s="1"/>
  <c r="T663" i="9"/>
  <c r="R664" i="9"/>
  <c r="W664" i="9" s="1"/>
  <c r="T664" i="9"/>
  <c r="R665" i="9"/>
  <c r="W665" i="9" s="1"/>
  <c r="T665" i="9"/>
  <c r="V665" i="9"/>
  <c r="R666" i="9"/>
  <c r="W666" i="9" s="1"/>
  <c r="T666" i="9"/>
  <c r="V666" i="9"/>
  <c r="R667" i="9"/>
  <c r="W667" i="9" s="1"/>
  <c r="T667" i="9"/>
  <c r="V667" i="9"/>
  <c r="R668" i="9"/>
  <c r="W668" i="9" s="1"/>
  <c r="T668" i="9"/>
  <c r="V668" i="9"/>
  <c r="R669" i="9"/>
  <c r="W669" i="9" s="1"/>
  <c r="T669" i="9"/>
  <c r="V669" i="9"/>
  <c r="R670" i="9"/>
  <c r="W670" i="9" s="1"/>
  <c r="T670" i="9"/>
  <c r="V670" i="9"/>
  <c r="R671" i="9"/>
  <c r="W671" i="9" s="1"/>
  <c r="T671" i="9"/>
  <c r="V671" i="9"/>
  <c r="R672" i="9"/>
  <c r="W672" i="9" s="1"/>
  <c r="T672" i="9"/>
  <c r="V672" i="9"/>
  <c r="R673" i="9"/>
  <c r="W673" i="9" s="1"/>
  <c r="T673" i="9"/>
  <c r="V673" i="9"/>
  <c r="R674" i="9"/>
  <c r="W674" i="9" s="1"/>
  <c r="T674" i="9"/>
  <c r="V674" i="9"/>
  <c r="R675" i="9"/>
  <c r="W675" i="9" s="1"/>
  <c r="T675" i="9"/>
  <c r="V675" i="9"/>
  <c r="R676" i="9"/>
  <c r="W676" i="9" s="1"/>
  <c r="T676" i="9"/>
  <c r="V676" i="9"/>
  <c r="R677" i="9"/>
  <c r="W677" i="9" s="1"/>
  <c r="T677" i="9"/>
  <c r="V677" i="9"/>
  <c r="R678" i="9"/>
  <c r="W678" i="9" s="1"/>
  <c r="T678" i="9"/>
  <c r="V678" i="9"/>
  <c r="R679" i="9"/>
  <c r="W679" i="9" s="1"/>
  <c r="AO679" i="9"/>
  <c r="T679" i="9"/>
  <c r="V679" i="9"/>
  <c r="R680" i="9"/>
  <c r="W680" i="9" s="1"/>
  <c r="T680" i="9"/>
  <c r="V680" i="9"/>
  <c r="R681" i="9"/>
  <c r="W681" i="9" s="1"/>
  <c r="T681" i="9"/>
  <c r="V681" i="9"/>
  <c r="R682" i="9"/>
  <c r="W682" i="9" s="1"/>
  <c r="T682" i="9"/>
  <c r="V682" i="9"/>
  <c r="R683" i="9"/>
  <c r="W683" i="9" s="1"/>
  <c r="T683" i="9"/>
  <c r="V683" i="9"/>
  <c r="R684" i="9"/>
  <c r="W684" i="9" s="1"/>
  <c r="T684" i="9"/>
  <c r="V684" i="9"/>
  <c r="R685" i="9"/>
  <c r="W685" i="9" s="1"/>
  <c r="T685" i="9"/>
  <c r="V685" i="9"/>
  <c r="R686" i="9"/>
  <c r="W686" i="9" s="1"/>
  <c r="T686" i="9"/>
  <c r="V686" i="9"/>
  <c r="R687" i="9"/>
  <c r="W687" i="9" s="1"/>
  <c r="AO687" i="9"/>
  <c r="T687" i="9"/>
  <c r="V687" i="9"/>
  <c r="R688" i="9"/>
  <c r="W688" i="9" s="1"/>
  <c r="T688" i="9"/>
  <c r="V688" i="9"/>
  <c r="R689" i="9"/>
  <c r="W689" i="9" s="1"/>
  <c r="T689" i="9"/>
  <c r="V689" i="9"/>
  <c r="R690" i="9"/>
  <c r="W690" i="9" s="1"/>
  <c r="T690" i="9"/>
  <c r="V690" i="9"/>
  <c r="R691" i="9"/>
  <c r="W691" i="9" s="1"/>
  <c r="T691" i="9"/>
  <c r="V691" i="9"/>
  <c r="R692" i="9"/>
  <c r="W692" i="9" s="1"/>
  <c r="T692" i="9"/>
  <c r="V692" i="9"/>
  <c r="R693" i="9"/>
  <c r="W693" i="9" s="1"/>
  <c r="T693" i="9"/>
  <c r="V693" i="9"/>
  <c r="R694" i="9"/>
  <c r="W694" i="9" s="1"/>
  <c r="T694" i="9"/>
  <c r="V694" i="9"/>
  <c r="R695" i="9"/>
  <c r="W695" i="9" s="1"/>
  <c r="AO695" i="9"/>
  <c r="T695" i="9"/>
  <c r="V695" i="9"/>
  <c r="R696" i="9"/>
  <c r="W696" i="9" s="1"/>
  <c r="T696" i="9"/>
  <c r="V696" i="9"/>
  <c r="R697" i="9"/>
  <c r="W697" i="9" s="1"/>
  <c r="T697" i="9"/>
  <c r="V697" i="9"/>
  <c r="R698" i="9"/>
  <c r="W698" i="9" s="1"/>
  <c r="T698" i="9"/>
  <c r="V698" i="9"/>
  <c r="R699" i="9"/>
  <c r="W699" i="9" s="1"/>
  <c r="T699" i="9"/>
  <c r="V699" i="9"/>
  <c r="R700" i="9"/>
  <c r="W700" i="9" s="1"/>
  <c r="T700" i="9"/>
  <c r="V700" i="9"/>
  <c r="R701" i="9"/>
  <c r="W701" i="9" s="1"/>
  <c r="T701" i="9"/>
  <c r="V701" i="9"/>
  <c r="R702" i="9"/>
  <c r="W702" i="9" s="1"/>
  <c r="T702" i="9"/>
  <c r="V702" i="9"/>
  <c r="R703" i="9"/>
  <c r="W703" i="9" s="1"/>
  <c r="AO703" i="9"/>
  <c r="T703" i="9"/>
  <c r="V703" i="9"/>
  <c r="R704" i="9"/>
  <c r="W704" i="9" s="1"/>
  <c r="T704" i="9"/>
  <c r="V704" i="9"/>
  <c r="R705" i="9"/>
  <c r="W705" i="9" s="1"/>
  <c r="T705" i="9"/>
  <c r="V705" i="9"/>
  <c r="R706" i="9"/>
  <c r="W706" i="9" s="1"/>
  <c r="T706" i="9"/>
  <c r="V706" i="9"/>
  <c r="R707" i="9"/>
  <c r="W707" i="9" s="1"/>
  <c r="T707" i="9"/>
  <c r="V707" i="9"/>
  <c r="R708" i="9"/>
  <c r="W708" i="9" s="1"/>
  <c r="T708" i="9"/>
  <c r="V708" i="9"/>
  <c r="R709" i="9"/>
  <c r="W709" i="9" s="1"/>
  <c r="T709" i="9"/>
  <c r="V709" i="9"/>
  <c r="R710" i="9"/>
  <c r="W710" i="9" s="1"/>
  <c r="T710" i="9"/>
  <c r="V710" i="9"/>
  <c r="R711" i="9"/>
  <c r="W711" i="9" s="1"/>
  <c r="T711" i="9"/>
  <c r="V711" i="9"/>
  <c r="R712" i="9"/>
  <c r="W712" i="9" s="1"/>
  <c r="T712" i="9"/>
  <c r="V712" i="9"/>
  <c r="R713" i="9"/>
  <c r="W713" i="9" s="1"/>
  <c r="T713" i="9"/>
  <c r="V713" i="9"/>
  <c r="R714" i="9"/>
  <c r="W714" i="9" s="1"/>
  <c r="T714" i="9"/>
  <c r="V714" i="9"/>
  <c r="R715" i="9"/>
  <c r="W715" i="9" s="1"/>
  <c r="AO715" i="9"/>
  <c r="T715" i="9"/>
  <c r="V715" i="9"/>
  <c r="R716" i="9"/>
  <c r="W716" i="9" s="1"/>
  <c r="T716" i="9"/>
  <c r="V716" i="9"/>
  <c r="R717" i="9"/>
  <c r="W717" i="9" s="1"/>
  <c r="T717" i="9"/>
  <c r="V717" i="9"/>
  <c r="R718" i="9"/>
  <c r="W718" i="9" s="1"/>
  <c r="T718" i="9"/>
  <c r="V718" i="9"/>
  <c r="R719" i="9"/>
  <c r="W719" i="9" s="1"/>
  <c r="T719" i="9"/>
  <c r="V719" i="9"/>
  <c r="R720" i="9"/>
  <c r="W720" i="9" s="1"/>
  <c r="T720" i="9"/>
  <c r="V720" i="9"/>
  <c r="R721" i="9"/>
  <c r="W721" i="9" s="1"/>
  <c r="T721" i="9"/>
  <c r="V721" i="9"/>
  <c r="R722" i="9"/>
  <c r="W722" i="9" s="1"/>
  <c r="T722" i="9"/>
  <c r="V722" i="9"/>
  <c r="R723" i="9"/>
  <c r="W723" i="9" s="1"/>
  <c r="T723" i="9"/>
  <c r="V723" i="9"/>
  <c r="R724" i="9"/>
  <c r="W724" i="9" s="1"/>
  <c r="T724" i="9"/>
  <c r="V724" i="9"/>
  <c r="R725" i="9"/>
  <c r="W725" i="9" s="1"/>
  <c r="T725" i="9"/>
  <c r="V725" i="9"/>
  <c r="R726" i="9"/>
  <c r="W726" i="9" s="1"/>
  <c r="T726" i="9"/>
  <c r="V726" i="9"/>
  <c r="R727" i="9"/>
  <c r="W727" i="9" s="1"/>
  <c r="T727" i="9"/>
  <c r="V727" i="9"/>
  <c r="R728" i="9"/>
  <c r="W728" i="9" s="1"/>
  <c r="T728" i="9"/>
  <c r="V728" i="9"/>
  <c r="R729" i="9"/>
  <c r="W729" i="9" s="1"/>
  <c r="T729" i="9"/>
  <c r="V729" i="9"/>
  <c r="R730" i="9"/>
  <c r="W730" i="9" s="1"/>
  <c r="T730" i="9"/>
  <c r="V730" i="9"/>
  <c r="R731" i="9"/>
  <c r="W731" i="9" s="1"/>
  <c r="T731" i="9"/>
  <c r="V731" i="9"/>
  <c r="R732" i="9"/>
  <c r="W732" i="9" s="1"/>
  <c r="T732" i="9"/>
  <c r="V732" i="9"/>
  <c r="R733" i="9"/>
  <c r="W733" i="9" s="1"/>
  <c r="T733" i="9"/>
  <c r="V733" i="9"/>
  <c r="R734" i="9"/>
  <c r="W734" i="9" s="1"/>
  <c r="T734" i="9"/>
  <c r="V734" i="9"/>
  <c r="R735" i="9"/>
  <c r="W735" i="9" s="1"/>
  <c r="T735" i="9"/>
  <c r="V735" i="9"/>
  <c r="R736" i="9"/>
  <c r="W736" i="9" s="1"/>
  <c r="T736" i="9"/>
  <c r="V736" i="9"/>
  <c r="R737" i="9"/>
  <c r="W737" i="9" s="1"/>
  <c r="T737" i="9"/>
  <c r="V737" i="9"/>
  <c r="R738" i="9"/>
  <c r="W738" i="9" s="1"/>
  <c r="T738" i="9"/>
  <c r="V738" i="9"/>
  <c r="R739" i="9"/>
  <c r="W739" i="9" s="1"/>
  <c r="T739" i="9"/>
  <c r="V739" i="9"/>
  <c r="R740" i="9"/>
  <c r="W740" i="9" s="1"/>
  <c r="T740" i="9"/>
  <c r="V740" i="9"/>
  <c r="R741" i="9"/>
  <c r="W741" i="9" s="1"/>
  <c r="T741" i="9"/>
  <c r="V741" i="9"/>
  <c r="R742" i="9"/>
  <c r="W742" i="9" s="1"/>
  <c r="T742" i="9"/>
  <c r="V742" i="9"/>
  <c r="R743" i="9"/>
  <c r="W743" i="9" s="1"/>
  <c r="T743" i="9"/>
  <c r="V743" i="9"/>
  <c r="R744" i="9"/>
  <c r="W744" i="9" s="1"/>
  <c r="T744" i="9"/>
  <c r="V744" i="9"/>
  <c r="R745" i="9"/>
  <c r="W745" i="9" s="1"/>
  <c r="T745" i="9"/>
  <c r="V745" i="9"/>
  <c r="R746" i="9"/>
  <c r="W746" i="9" s="1"/>
  <c r="T746" i="9"/>
  <c r="V746" i="9"/>
  <c r="R747" i="9"/>
  <c r="W747" i="9" s="1"/>
  <c r="T747" i="9"/>
  <c r="V747" i="9"/>
  <c r="R748" i="9"/>
  <c r="W748" i="9" s="1"/>
  <c r="AO748" i="9"/>
  <c r="T748" i="9"/>
  <c r="V748" i="9"/>
  <c r="R749" i="9"/>
  <c r="W749" i="9" s="1"/>
  <c r="T749" i="9"/>
  <c r="V749" i="9"/>
  <c r="R750" i="9"/>
  <c r="W750" i="9" s="1"/>
  <c r="T750" i="9"/>
  <c r="V750" i="9"/>
  <c r="R751" i="9"/>
  <c r="W751" i="9" s="1"/>
  <c r="T751" i="9"/>
  <c r="V751" i="9"/>
  <c r="R752" i="9"/>
  <c r="W752" i="9" s="1"/>
  <c r="T752" i="9"/>
  <c r="V752" i="9"/>
  <c r="R753" i="9"/>
  <c r="W753" i="9" s="1"/>
  <c r="T753" i="9"/>
  <c r="V753" i="9"/>
  <c r="R754" i="9"/>
  <c r="W754" i="9" s="1"/>
  <c r="T754" i="9"/>
  <c r="V754" i="9"/>
  <c r="R755" i="9"/>
  <c r="W755" i="9" s="1"/>
  <c r="T755" i="9"/>
  <c r="V755" i="9"/>
  <c r="R756" i="9"/>
  <c r="W756" i="9" s="1"/>
  <c r="T756" i="9"/>
  <c r="V756" i="9"/>
  <c r="R757" i="9"/>
  <c r="W757" i="9" s="1"/>
  <c r="T757" i="9"/>
  <c r="V757" i="9"/>
  <c r="R758" i="9"/>
  <c r="W758" i="9" s="1"/>
  <c r="T758" i="9"/>
  <c r="V758" i="9"/>
  <c r="R759" i="9"/>
  <c r="W759" i="9" s="1"/>
  <c r="T759" i="9"/>
  <c r="V759" i="9"/>
  <c r="R760" i="9"/>
  <c r="W760" i="9" s="1"/>
  <c r="T760" i="9"/>
  <c r="V760" i="9"/>
  <c r="R761" i="9"/>
  <c r="W761" i="9" s="1"/>
  <c r="T761" i="9"/>
  <c r="V761" i="9"/>
  <c r="R762" i="9"/>
  <c r="W762" i="9" s="1"/>
  <c r="T762" i="9"/>
  <c r="V762" i="9"/>
  <c r="R763" i="9"/>
  <c r="W763" i="9" s="1"/>
  <c r="T763" i="9"/>
  <c r="V763" i="9"/>
  <c r="R764" i="9"/>
  <c r="W764" i="9" s="1"/>
  <c r="T764" i="9"/>
  <c r="V764" i="9"/>
  <c r="R765" i="9"/>
  <c r="W765" i="9" s="1"/>
  <c r="T765" i="9"/>
  <c r="V765" i="9"/>
  <c r="R766" i="9"/>
  <c r="W766" i="9" s="1"/>
  <c r="T766" i="9"/>
  <c r="V766" i="9"/>
  <c r="R767" i="9"/>
  <c r="W767" i="9" s="1"/>
  <c r="AO767" i="9"/>
  <c r="T767" i="9"/>
  <c r="V767" i="9"/>
  <c r="R768" i="9"/>
  <c r="W768" i="9" s="1"/>
  <c r="T768" i="9"/>
  <c r="V768" i="9"/>
  <c r="R769" i="9"/>
  <c r="W769" i="9" s="1"/>
  <c r="T769" i="9"/>
  <c r="V769" i="9"/>
  <c r="R770" i="9"/>
  <c r="W770" i="9" s="1"/>
  <c r="T770" i="9"/>
  <c r="V770" i="9"/>
  <c r="R771" i="9"/>
  <c r="W771" i="9" s="1"/>
  <c r="T771" i="9"/>
  <c r="V771" i="9"/>
  <c r="R772" i="9"/>
  <c r="W772" i="9" s="1"/>
  <c r="T772" i="9"/>
  <c r="V772" i="9"/>
  <c r="R773" i="9"/>
  <c r="W773" i="9" s="1"/>
  <c r="T773" i="9"/>
  <c r="V773" i="9"/>
  <c r="R774" i="9"/>
  <c r="W774" i="9" s="1"/>
  <c r="T774" i="9"/>
  <c r="V774" i="9"/>
  <c r="R775" i="9"/>
  <c r="W775" i="9" s="1"/>
  <c r="T775" i="9"/>
  <c r="V775" i="9"/>
  <c r="R776" i="9"/>
  <c r="W776" i="9" s="1"/>
  <c r="T776" i="9"/>
  <c r="V776" i="9"/>
  <c r="R777" i="9"/>
  <c r="W777" i="9" s="1"/>
  <c r="T777" i="9"/>
  <c r="V777" i="9"/>
  <c r="R778" i="9"/>
  <c r="W778" i="9" s="1"/>
  <c r="T778" i="9"/>
  <c r="V778" i="9"/>
  <c r="R779" i="9"/>
  <c r="W779" i="9" s="1"/>
  <c r="T779" i="9"/>
  <c r="V779" i="9"/>
  <c r="R780" i="9"/>
  <c r="W780" i="9" s="1"/>
  <c r="T780" i="9"/>
  <c r="V780" i="9"/>
  <c r="R781" i="9"/>
  <c r="W781" i="9" s="1"/>
  <c r="T781" i="9"/>
  <c r="V781" i="9"/>
  <c r="R782" i="9"/>
  <c r="W782" i="9" s="1"/>
  <c r="T782" i="9"/>
  <c r="V782" i="9"/>
  <c r="R783" i="9"/>
  <c r="W783" i="9" s="1"/>
  <c r="AO783" i="9"/>
  <c r="T783" i="9"/>
  <c r="V783" i="9"/>
  <c r="R784" i="9"/>
  <c r="W784" i="9" s="1"/>
  <c r="T784" i="9"/>
  <c r="V784" i="9"/>
  <c r="R785" i="9"/>
  <c r="W785" i="9" s="1"/>
  <c r="T785" i="9"/>
  <c r="V785" i="9"/>
  <c r="R786" i="9"/>
  <c r="W786" i="9" s="1"/>
  <c r="T786" i="9"/>
  <c r="V786" i="9"/>
  <c r="R787" i="9"/>
  <c r="W787" i="9" s="1"/>
  <c r="T787" i="9"/>
  <c r="V787" i="9"/>
  <c r="R788" i="9"/>
  <c r="W788" i="9" s="1"/>
  <c r="T788" i="9"/>
  <c r="V788" i="9"/>
  <c r="R789" i="9"/>
  <c r="W789" i="9" s="1"/>
  <c r="T789" i="9"/>
  <c r="V789" i="9"/>
  <c r="R790" i="9"/>
  <c r="W790" i="9" s="1"/>
  <c r="T790" i="9"/>
  <c r="V790" i="9"/>
  <c r="R791" i="9"/>
  <c r="W791" i="9" s="1"/>
  <c r="AO791" i="9"/>
  <c r="T791" i="9"/>
  <c r="V791" i="9"/>
  <c r="R792" i="9"/>
  <c r="W792" i="9" s="1"/>
  <c r="T792" i="9"/>
  <c r="V792" i="9"/>
  <c r="R793" i="9"/>
  <c r="W793" i="9" s="1"/>
  <c r="T793" i="9"/>
  <c r="V793" i="9"/>
  <c r="R794" i="9"/>
  <c r="W794" i="9" s="1"/>
  <c r="T794" i="9"/>
  <c r="V794" i="9"/>
  <c r="R795" i="9"/>
  <c r="W795" i="9" s="1"/>
  <c r="T795" i="9"/>
  <c r="V795" i="9"/>
  <c r="R796" i="9"/>
  <c r="W796" i="9" s="1"/>
  <c r="T796" i="9"/>
  <c r="V796" i="9"/>
  <c r="R797" i="9"/>
  <c r="W797" i="9" s="1"/>
  <c r="T797" i="9"/>
  <c r="V797" i="9"/>
  <c r="R798" i="9"/>
  <c r="W798" i="9" s="1"/>
  <c r="T798" i="9"/>
  <c r="V798" i="9"/>
  <c r="R799" i="9"/>
  <c r="W799" i="9" s="1"/>
  <c r="AO799" i="9"/>
  <c r="T799" i="9"/>
  <c r="V799" i="9"/>
  <c r="R800" i="9"/>
  <c r="W800" i="9" s="1"/>
  <c r="T800" i="9"/>
  <c r="V800" i="9"/>
  <c r="R801" i="9"/>
  <c r="W801" i="9" s="1"/>
  <c r="T801" i="9"/>
  <c r="V801" i="9"/>
  <c r="R802" i="9"/>
  <c r="W802" i="9" s="1"/>
  <c r="T802" i="9"/>
  <c r="V802" i="9"/>
  <c r="R803" i="9"/>
  <c r="W803" i="9" s="1"/>
  <c r="T803" i="9"/>
  <c r="V803" i="9"/>
  <c r="R804" i="9"/>
  <c r="W804" i="9" s="1"/>
  <c r="T804" i="9"/>
  <c r="V804" i="9"/>
  <c r="R805" i="9"/>
  <c r="W805" i="9" s="1"/>
  <c r="T805" i="9"/>
  <c r="V805" i="9"/>
  <c r="R806" i="9"/>
  <c r="W806" i="9" s="1"/>
  <c r="T806" i="9"/>
  <c r="V806" i="9"/>
  <c r="R807" i="9"/>
  <c r="W807" i="9" s="1"/>
  <c r="T807" i="9"/>
  <c r="V807" i="9"/>
  <c r="R808" i="9"/>
  <c r="W808" i="9" s="1"/>
  <c r="T808" i="9"/>
  <c r="V808" i="9"/>
  <c r="R809" i="9"/>
  <c r="W809" i="9" s="1"/>
  <c r="T809" i="9"/>
  <c r="V809" i="9"/>
  <c r="R810" i="9"/>
  <c r="W810" i="9" s="1"/>
  <c r="T810" i="9"/>
  <c r="V810" i="9"/>
  <c r="R811" i="9"/>
  <c r="W811" i="9" s="1"/>
  <c r="T811" i="9"/>
  <c r="V811" i="9"/>
  <c r="R812" i="9"/>
  <c r="W812" i="9" s="1"/>
  <c r="T812" i="9"/>
  <c r="V812" i="9"/>
  <c r="R813" i="9"/>
  <c r="W813" i="9" s="1"/>
  <c r="T813" i="9"/>
  <c r="V813" i="9"/>
  <c r="R814" i="9"/>
  <c r="W814" i="9" s="1"/>
  <c r="T814" i="9"/>
  <c r="V814" i="9"/>
  <c r="R815" i="9"/>
  <c r="W815" i="9" s="1"/>
  <c r="AO815" i="9"/>
  <c r="T815" i="9"/>
  <c r="V815" i="9"/>
  <c r="R816" i="9"/>
  <c r="W816" i="9" s="1"/>
  <c r="T816" i="9"/>
  <c r="V816" i="9"/>
  <c r="R817" i="9"/>
  <c r="W817" i="9" s="1"/>
  <c r="T817" i="9"/>
  <c r="V817" i="9"/>
  <c r="R818" i="9"/>
  <c r="W818" i="9" s="1"/>
  <c r="T818" i="9"/>
  <c r="V818" i="9"/>
  <c r="R819" i="9"/>
  <c r="W819" i="9" s="1"/>
  <c r="T819" i="9"/>
  <c r="V819" i="9"/>
  <c r="R820" i="9"/>
  <c r="W820" i="9" s="1"/>
  <c r="T820" i="9"/>
  <c r="V820" i="9"/>
  <c r="R821" i="9"/>
  <c r="W821" i="9" s="1"/>
  <c r="T821" i="9"/>
  <c r="V821" i="9"/>
  <c r="R822" i="9"/>
  <c r="W822" i="9" s="1"/>
  <c r="T822" i="9"/>
  <c r="V822" i="9"/>
  <c r="R823" i="9"/>
  <c r="W823" i="9" s="1"/>
  <c r="AO823" i="9"/>
  <c r="T823" i="9"/>
  <c r="V823" i="9"/>
  <c r="R824" i="9"/>
  <c r="W824" i="9" s="1"/>
  <c r="T824" i="9"/>
  <c r="V824" i="9"/>
  <c r="R825" i="9"/>
  <c r="W825" i="9" s="1"/>
  <c r="T825" i="9"/>
  <c r="V825" i="9"/>
  <c r="R826" i="9"/>
  <c r="W826" i="9" s="1"/>
  <c r="T826" i="9"/>
  <c r="V826" i="9"/>
  <c r="R827" i="9"/>
  <c r="W827" i="9" s="1"/>
  <c r="AO827" i="9"/>
  <c r="T827" i="9"/>
  <c r="V827" i="9"/>
  <c r="R828" i="9"/>
  <c r="W828" i="9" s="1"/>
  <c r="T828" i="9"/>
  <c r="V828" i="9"/>
  <c r="R829" i="9"/>
  <c r="W829" i="9" s="1"/>
  <c r="T829" i="9"/>
  <c r="V829" i="9"/>
  <c r="R830" i="9"/>
  <c r="W830" i="9" s="1"/>
  <c r="T830" i="9"/>
  <c r="V830" i="9"/>
  <c r="R831" i="9"/>
  <c r="W831" i="9" s="1"/>
  <c r="T831" i="9"/>
  <c r="V831" i="9"/>
  <c r="R832" i="9"/>
  <c r="W832" i="9" s="1"/>
  <c r="T832" i="9"/>
  <c r="V832" i="9"/>
  <c r="R833" i="9"/>
  <c r="W833" i="9" s="1"/>
  <c r="T833" i="9"/>
  <c r="V833" i="9"/>
  <c r="R834" i="9"/>
  <c r="W834" i="9" s="1"/>
  <c r="T834" i="9"/>
  <c r="V834" i="9"/>
  <c r="R835" i="9"/>
  <c r="W835" i="9" s="1"/>
  <c r="AO835" i="9"/>
  <c r="T835" i="9"/>
  <c r="V835" i="9"/>
  <c r="R836" i="9"/>
  <c r="W836" i="9" s="1"/>
  <c r="T836" i="9"/>
  <c r="V836" i="9"/>
  <c r="R837" i="9"/>
  <c r="W837" i="9" s="1"/>
  <c r="T837" i="9"/>
  <c r="V837" i="9"/>
  <c r="R838" i="9"/>
  <c r="W838" i="9" s="1"/>
  <c r="T838" i="9"/>
  <c r="V838" i="9"/>
  <c r="R839" i="9"/>
  <c r="W839" i="9" s="1"/>
  <c r="T839" i="9"/>
  <c r="V839" i="9"/>
  <c r="R840" i="9"/>
  <c r="W840" i="9" s="1"/>
  <c r="T840" i="9"/>
  <c r="V840" i="9"/>
  <c r="R841" i="9"/>
  <c r="W841" i="9" s="1"/>
  <c r="T841" i="9"/>
  <c r="V841" i="9"/>
  <c r="R842" i="9"/>
  <c r="W842" i="9" s="1"/>
  <c r="T842" i="9"/>
  <c r="V842" i="9"/>
  <c r="R843" i="9"/>
  <c r="W843" i="9" s="1"/>
  <c r="T843" i="9"/>
  <c r="V843" i="9"/>
  <c r="R844" i="9"/>
  <c r="W844" i="9" s="1"/>
  <c r="T844" i="9"/>
  <c r="V844" i="9"/>
  <c r="R845" i="9"/>
  <c r="W845" i="9" s="1"/>
  <c r="T845" i="9"/>
  <c r="V845" i="9"/>
  <c r="R846" i="9"/>
  <c r="W846" i="9" s="1"/>
  <c r="T846" i="9"/>
  <c r="V846" i="9"/>
  <c r="R847" i="9"/>
  <c r="W847" i="9" s="1"/>
  <c r="T847" i="9"/>
  <c r="V847" i="9"/>
  <c r="R848" i="9"/>
  <c r="W848" i="9" s="1"/>
  <c r="T848" i="9"/>
  <c r="V848" i="9"/>
  <c r="R849" i="9"/>
  <c r="W849" i="9" s="1"/>
  <c r="T849" i="9"/>
  <c r="V849" i="9"/>
  <c r="R850" i="9"/>
  <c r="W850" i="9" s="1"/>
  <c r="T850" i="9"/>
  <c r="V850" i="9"/>
  <c r="R851" i="9"/>
  <c r="W851" i="9" s="1"/>
  <c r="AO851" i="9"/>
  <c r="T851" i="9"/>
  <c r="V851" i="9"/>
  <c r="R852" i="9"/>
  <c r="W852" i="9" s="1"/>
  <c r="T852" i="9"/>
  <c r="V852" i="9"/>
  <c r="R853" i="9"/>
  <c r="W853" i="9" s="1"/>
  <c r="T853" i="9"/>
  <c r="V853" i="9"/>
  <c r="R854" i="9"/>
  <c r="W854" i="9" s="1"/>
  <c r="T854" i="9"/>
  <c r="V854" i="9"/>
  <c r="R855" i="9"/>
  <c r="W855" i="9" s="1"/>
  <c r="T855" i="9"/>
  <c r="V855" i="9"/>
  <c r="R856" i="9"/>
  <c r="W856" i="9" s="1"/>
  <c r="T856" i="9"/>
  <c r="V856" i="9"/>
  <c r="R857" i="9"/>
  <c r="W857" i="9" s="1"/>
  <c r="T857" i="9"/>
  <c r="V857" i="9"/>
  <c r="R858" i="9"/>
  <c r="W858" i="9" s="1"/>
  <c r="T858" i="9"/>
  <c r="V858" i="9"/>
  <c r="R859" i="9"/>
  <c r="W859" i="9" s="1"/>
  <c r="AO859" i="9"/>
  <c r="T859" i="9"/>
  <c r="V859" i="9"/>
  <c r="R860" i="9"/>
  <c r="W860" i="9" s="1"/>
  <c r="T860" i="9"/>
  <c r="V860" i="9"/>
  <c r="R861" i="9"/>
  <c r="W861" i="9" s="1"/>
  <c r="T861" i="9"/>
  <c r="V861" i="9"/>
  <c r="R862" i="9"/>
  <c r="W862" i="9" s="1"/>
  <c r="T862" i="9"/>
  <c r="V862" i="9"/>
  <c r="K826" i="9"/>
  <c r="M826" i="9"/>
  <c r="K827" i="9"/>
  <c r="M827" i="9"/>
  <c r="J827" i="9"/>
  <c r="J826" i="9"/>
  <c r="K688" i="9"/>
  <c r="M688" i="9"/>
  <c r="K689" i="9"/>
  <c r="M689" i="9"/>
  <c r="J689" i="9"/>
  <c r="J688" i="9"/>
  <c r="K630" i="9"/>
  <c r="M630" i="9"/>
  <c r="K631" i="9"/>
  <c r="M631" i="9"/>
  <c r="J631" i="9"/>
  <c r="J630" i="9"/>
  <c r="K572" i="9"/>
  <c r="M572" i="9"/>
  <c r="K573" i="9"/>
  <c r="M573" i="9"/>
  <c r="J573" i="9"/>
  <c r="J572" i="9"/>
  <c r="K474" i="9"/>
  <c r="M474" i="9"/>
  <c r="K475" i="9"/>
  <c r="M475" i="9"/>
  <c r="J475" i="9"/>
  <c r="J474" i="9"/>
  <c r="K417" i="9"/>
  <c r="M417" i="9"/>
  <c r="J417" i="9"/>
  <c r="K416" i="9"/>
  <c r="M416" i="9"/>
  <c r="J416" i="9"/>
  <c r="K359" i="9"/>
  <c r="M359" i="9"/>
  <c r="J359" i="9"/>
  <c r="K358" i="9"/>
  <c r="M358" i="9"/>
  <c r="J358" i="9"/>
  <c r="K301" i="9"/>
  <c r="M301" i="9"/>
  <c r="J301" i="9"/>
  <c r="K300" i="9"/>
  <c r="M300" i="9"/>
  <c r="J300" i="9"/>
  <c r="M243" i="9"/>
  <c r="K243" i="9"/>
  <c r="J243" i="9"/>
  <c r="I243" i="9"/>
  <c r="AU243" i="9" s="1"/>
  <c r="G243" i="9"/>
  <c r="AA243" i="9" s="1"/>
  <c r="B243" i="9"/>
  <c r="K242" i="9"/>
  <c r="M242" i="9"/>
  <c r="J242" i="9"/>
  <c r="I242" i="9"/>
  <c r="AU242" i="9" s="1"/>
  <c r="G242" i="9"/>
  <c r="AA242" i="9" s="1"/>
  <c r="B242" i="9"/>
  <c r="Q7" i="26" a="1"/>
  <c r="Q7" i="26" s="1"/>
  <c r="AI7" i="26" s="1"/>
  <c r="Q8" i="26" a="1"/>
  <c r="Q8" i="26" s="1"/>
  <c r="V8" i="26" s="1"/>
  <c r="Q11" i="26" a="1"/>
  <c r="Q11" i="26" s="1"/>
  <c r="V11" i="26" s="1"/>
  <c r="Q12" i="26" a="1"/>
  <c r="Q12" i="26" s="1"/>
  <c r="V12" i="26" s="1"/>
  <c r="Q15" i="26" a="1"/>
  <c r="Q15" i="26" s="1"/>
  <c r="V15" i="26" s="1"/>
  <c r="Q16" i="26" a="1"/>
  <c r="Q16" i="26" s="1"/>
  <c r="V16" i="26" s="1"/>
  <c r="Q19" i="26" a="1"/>
  <c r="Q19" i="26" s="1"/>
  <c r="AI19" i="26" s="1"/>
  <c r="Q20" i="26" a="1"/>
  <c r="Q20" i="26" s="1"/>
  <c r="V20" i="26" s="1"/>
  <c r="Q23" i="26" a="1"/>
  <c r="Q23" i="26" s="1"/>
  <c r="V23" i="26" s="1"/>
  <c r="Q24" i="26" a="1"/>
  <c r="Q24" i="26" s="1"/>
  <c r="V24" i="26" s="1"/>
  <c r="Q28" i="26" a="1"/>
  <c r="Q28" i="26" s="1"/>
  <c r="V28" i="26" s="1"/>
  <c r="Q32" i="26" a="1"/>
  <c r="Q32" i="26" s="1"/>
  <c r="V32" i="26" s="1"/>
  <c r="Q36" i="26" a="1"/>
  <c r="Q36" i="26" s="1"/>
  <c r="V36" i="26" s="1"/>
  <c r="Q39" i="26" a="1"/>
  <c r="Q39" i="26" s="1"/>
  <c r="AI39" i="26" s="1"/>
  <c r="Q40" i="26" a="1"/>
  <c r="Q40" i="26" s="1"/>
  <c r="V40" i="26" s="1"/>
  <c r="J39" i="26"/>
  <c r="J35" i="26"/>
  <c r="Q35" i="26" s="1" a="1"/>
  <c r="Q35" i="26" s="1"/>
  <c r="J31" i="26"/>
  <c r="Q31" i="26" s="1" a="1"/>
  <c r="Q31" i="26" s="1"/>
  <c r="J27" i="26"/>
  <c r="Q27" i="26" s="1" a="1"/>
  <c r="Q27" i="26" s="1"/>
  <c r="AI27" i="26" s="1"/>
  <c r="J23" i="26"/>
  <c r="J19" i="26"/>
  <c r="J15" i="26"/>
  <c r="J11" i="26"/>
  <c r="J7" i="26"/>
  <c r="T40" i="26"/>
  <c r="S40" i="26"/>
  <c r="R40" i="26"/>
  <c r="P40" i="26"/>
  <c r="U40" i="26" s="1"/>
  <c r="J40" i="26"/>
  <c r="G40" i="26"/>
  <c r="AM40" i="26" s="1"/>
  <c r="F40" i="26"/>
  <c r="Y40" i="26" s="1"/>
  <c r="A40" i="26"/>
  <c r="T38" i="26"/>
  <c r="S38" i="26"/>
  <c r="R38" i="26"/>
  <c r="P38" i="26"/>
  <c r="U38" i="26" s="1"/>
  <c r="J38" i="26"/>
  <c r="J37" i="26" s="1"/>
  <c r="Q37" i="26" s="1" a="1"/>
  <c r="Q37" i="26" s="1"/>
  <c r="AI37" i="26" s="1"/>
  <c r="G38" i="26"/>
  <c r="AM38" i="26" s="1"/>
  <c r="F38" i="26"/>
  <c r="Y38" i="26" s="1"/>
  <c r="A38" i="26"/>
  <c r="T39" i="26"/>
  <c r="S39" i="26"/>
  <c r="R39" i="26"/>
  <c r="P39" i="26"/>
  <c r="U39" i="26" s="1"/>
  <c r="G39" i="26"/>
  <c r="AM39" i="26" s="1"/>
  <c r="F39" i="26"/>
  <c r="Y39" i="26" s="1"/>
  <c r="AN39" i="26" s="1"/>
  <c r="A39" i="26"/>
  <c r="T37" i="26"/>
  <c r="S37" i="26"/>
  <c r="R37" i="26"/>
  <c r="P37" i="26"/>
  <c r="U37" i="26" s="1"/>
  <c r="G37" i="26"/>
  <c r="AM37" i="26" s="1"/>
  <c r="F37" i="26"/>
  <c r="Y37" i="26" s="1"/>
  <c r="AN37" i="26" s="1"/>
  <c r="A37" i="26"/>
  <c r="T36" i="26"/>
  <c r="S36" i="26"/>
  <c r="R36" i="26"/>
  <c r="P36" i="26"/>
  <c r="U36" i="26" s="1"/>
  <c r="J36" i="26"/>
  <c r="G36" i="26"/>
  <c r="AM36" i="26" s="1"/>
  <c r="F36" i="26"/>
  <c r="Y36" i="26" s="1"/>
  <c r="AN36" i="26" s="1"/>
  <c r="A36" i="26"/>
  <c r="T34" i="26"/>
  <c r="S34" i="26"/>
  <c r="R34" i="26"/>
  <c r="P34" i="26"/>
  <c r="U34" i="26" s="1"/>
  <c r="J34" i="26"/>
  <c r="J33" i="26" s="1"/>
  <c r="Q33" i="26" s="1" a="1"/>
  <c r="Q33" i="26" s="1"/>
  <c r="AI33" i="26" s="1"/>
  <c r="G34" i="26"/>
  <c r="AM34" i="26" s="1"/>
  <c r="F34" i="26"/>
  <c r="Y34" i="26" s="1"/>
  <c r="A34" i="26"/>
  <c r="T35" i="26"/>
  <c r="S35" i="26"/>
  <c r="R35" i="26"/>
  <c r="P35" i="26"/>
  <c r="U35" i="26" s="1"/>
  <c r="G35" i="26"/>
  <c r="AM35" i="26" s="1"/>
  <c r="F35" i="26"/>
  <c r="Y35" i="26" s="1"/>
  <c r="A35" i="26"/>
  <c r="T33" i="26"/>
  <c r="S33" i="26"/>
  <c r="R33" i="26"/>
  <c r="P33" i="26"/>
  <c r="U33" i="26" s="1"/>
  <c r="G33" i="26"/>
  <c r="AM33" i="26" s="1"/>
  <c r="F33" i="26"/>
  <c r="Y33" i="26" s="1"/>
  <c r="AN33" i="26" s="1"/>
  <c r="A33" i="26"/>
  <c r="T32" i="26"/>
  <c r="S32" i="26"/>
  <c r="R32" i="26"/>
  <c r="P32" i="26"/>
  <c r="U32" i="26" s="1"/>
  <c r="J32" i="26"/>
  <c r="G32" i="26"/>
  <c r="AM32" i="26" s="1"/>
  <c r="F32" i="26"/>
  <c r="Y32" i="26" s="1"/>
  <c r="A32" i="26"/>
  <c r="T30" i="26"/>
  <c r="S30" i="26"/>
  <c r="R30" i="26"/>
  <c r="P30" i="26"/>
  <c r="U30" i="26" s="1"/>
  <c r="J30" i="26"/>
  <c r="Q30" i="26" s="1" a="1"/>
  <c r="Q30" i="26" s="1"/>
  <c r="AI30" i="26" s="1"/>
  <c r="G30" i="26"/>
  <c r="AM30" i="26" s="1"/>
  <c r="F30" i="26"/>
  <c r="Y30" i="26" s="1"/>
  <c r="A30" i="26"/>
  <c r="T31" i="26"/>
  <c r="S31" i="26"/>
  <c r="R31" i="26"/>
  <c r="P31" i="26"/>
  <c r="U31" i="26" s="1"/>
  <c r="G31" i="26"/>
  <c r="AM31" i="26" s="1"/>
  <c r="F31" i="26"/>
  <c r="Y31" i="26" s="1"/>
  <c r="A31" i="26"/>
  <c r="T29" i="26"/>
  <c r="S29" i="26"/>
  <c r="R29" i="26"/>
  <c r="P29" i="26"/>
  <c r="U29" i="26" s="1"/>
  <c r="G29" i="26"/>
  <c r="AM29" i="26" s="1"/>
  <c r="F29" i="26"/>
  <c r="Y29" i="26" s="1"/>
  <c r="AN29" i="26" s="1"/>
  <c r="A29" i="26"/>
  <c r="T28" i="26"/>
  <c r="S28" i="26"/>
  <c r="R28" i="26"/>
  <c r="P28" i="26"/>
  <c r="U28" i="26" s="1"/>
  <c r="J28" i="26"/>
  <c r="G28" i="26"/>
  <c r="AM28" i="26" s="1"/>
  <c r="F28" i="26"/>
  <c r="Y28" i="26" s="1"/>
  <c r="AN28" i="26" s="1"/>
  <c r="A28" i="26"/>
  <c r="T26" i="26"/>
  <c r="S26" i="26"/>
  <c r="R26" i="26"/>
  <c r="P26" i="26"/>
  <c r="U26" i="26" s="1"/>
  <c r="J26" i="26"/>
  <c r="Q26" i="26" s="1" a="1"/>
  <c r="Q26" i="26" s="1"/>
  <c r="AI26" i="26" s="1"/>
  <c r="G26" i="26"/>
  <c r="AM26" i="26" s="1"/>
  <c r="F26" i="26"/>
  <c r="Y26" i="26" s="1"/>
  <c r="A26" i="26"/>
  <c r="T27" i="26"/>
  <c r="S27" i="26"/>
  <c r="R27" i="26"/>
  <c r="P27" i="26"/>
  <c r="U27" i="26" s="1"/>
  <c r="G27" i="26"/>
  <c r="AM27" i="26" s="1"/>
  <c r="F27" i="26"/>
  <c r="Y27" i="26" s="1"/>
  <c r="A27" i="26"/>
  <c r="T25" i="26"/>
  <c r="S25" i="26"/>
  <c r="R25" i="26"/>
  <c r="P25" i="26"/>
  <c r="U25" i="26" s="1"/>
  <c r="G25" i="26"/>
  <c r="AM25" i="26" s="1"/>
  <c r="F25" i="26"/>
  <c r="Y25" i="26" s="1"/>
  <c r="A25" i="26"/>
  <c r="T24" i="26"/>
  <c r="S24" i="26"/>
  <c r="R24" i="26"/>
  <c r="P24" i="26"/>
  <c r="U24" i="26" s="1"/>
  <c r="J24" i="26"/>
  <c r="G24" i="26"/>
  <c r="AM24" i="26" s="1"/>
  <c r="F24" i="26"/>
  <c r="Y24" i="26" s="1"/>
  <c r="A24" i="26"/>
  <c r="T22" i="26"/>
  <c r="S22" i="26"/>
  <c r="R22" i="26"/>
  <c r="P22" i="26"/>
  <c r="U22" i="26" s="1"/>
  <c r="J22" i="26"/>
  <c r="J21" i="26" s="1"/>
  <c r="AO474" i="9" s="1"/>
  <c r="G22" i="26"/>
  <c r="AM22" i="26" s="1"/>
  <c r="F22" i="26"/>
  <c r="Y22" i="26" s="1"/>
  <c r="A22" i="26"/>
  <c r="T23" i="26"/>
  <c r="S23" i="26"/>
  <c r="R23" i="26"/>
  <c r="P23" i="26"/>
  <c r="U23" i="26" s="1"/>
  <c r="G23" i="26"/>
  <c r="AM23" i="26" s="1"/>
  <c r="F23" i="26"/>
  <c r="Y23" i="26" s="1"/>
  <c r="A23" i="26"/>
  <c r="T21" i="26"/>
  <c r="S21" i="26"/>
  <c r="R21" i="26"/>
  <c r="P21" i="26"/>
  <c r="U21" i="26" s="1"/>
  <c r="G21" i="26"/>
  <c r="AM21" i="26" s="1"/>
  <c r="F21" i="26"/>
  <c r="Y21" i="26" s="1"/>
  <c r="A21" i="26"/>
  <c r="T20" i="26"/>
  <c r="S20" i="26"/>
  <c r="R20" i="26"/>
  <c r="P20" i="26"/>
  <c r="U20" i="26" s="1"/>
  <c r="J20" i="26"/>
  <c r="G20" i="26"/>
  <c r="AM20" i="26" s="1"/>
  <c r="F20" i="26"/>
  <c r="Y20" i="26" s="1"/>
  <c r="A20" i="26"/>
  <c r="T18" i="26"/>
  <c r="S18" i="26"/>
  <c r="R18" i="26"/>
  <c r="P18" i="26"/>
  <c r="U18" i="26" s="1"/>
  <c r="J18" i="26"/>
  <c r="Q18" i="26" s="1" a="1"/>
  <c r="Q18" i="26" s="1"/>
  <c r="AI18" i="26" s="1"/>
  <c r="G18" i="26"/>
  <c r="AM18" i="26" s="1"/>
  <c r="F18" i="26"/>
  <c r="Y18" i="26" s="1"/>
  <c r="A18" i="26"/>
  <c r="T19" i="26"/>
  <c r="S19" i="26"/>
  <c r="R19" i="26"/>
  <c r="P19" i="26"/>
  <c r="U19" i="26" s="1"/>
  <c r="G19" i="26"/>
  <c r="AM19" i="26" s="1"/>
  <c r="F19" i="26"/>
  <c r="Y19" i="26" s="1"/>
  <c r="A19" i="26"/>
  <c r="T17" i="26"/>
  <c r="S17" i="26"/>
  <c r="R17" i="26"/>
  <c r="P17" i="26"/>
  <c r="U17" i="26" s="1"/>
  <c r="G17" i="26"/>
  <c r="AM17" i="26" s="1"/>
  <c r="F17" i="26"/>
  <c r="Y17" i="26" s="1"/>
  <c r="A17" i="26"/>
  <c r="T16" i="26"/>
  <c r="S16" i="26"/>
  <c r="R16" i="26"/>
  <c r="P16" i="26"/>
  <c r="U16" i="26" s="1"/>
  <c r="J16" i="26"/>
  <c r="G16" i="26"/>
  <c r="AM16" i="26" s="1"/>
  <c r="F16" i="26"/>
  <c r="Y16" i="26" s="1"/>
  <c r="A16" i="26"/>
  <c r="T14" i="26"/>
  <c r="S14" i="26"/>
  <c r="R14" i="26"/>
  <c r="P14" i="26"/>
  <c r="U14" i="26" s="1"/>
  <c r="J14" i="26"/>
  <c r="Q14" i="26" s="1" a="1"/>
  <c r="Q14" i="26" s="1"/>
  <c r="AI14" i="26" s="1"/>
  <c r="G14" i="26"/>
  <c r="AM14" i="26" s="1"/>
  <c r="F14" i="26"/>
  <c r="Y14" i="26" s="1"/>
  <c r="A14" i="26"/>
  <c r="T15" i="26"/>
  <c r="S15" i="26"/>
  <c r="R15" i="26"/>
  <c r="P15" i="26"/>
  <c r="U15" i="26" s="1"/>
  <c r="G15" i="26"/>
  <c r="AM15" i="26" s="1"/>
  <c r="F15" i="26"/>
  <c r="Y15" i="26" s="1"/>
  <c r="A15" i="26"/>
  <c r="T13" i="26"/>
  <c r="S13" i="26"/>
  <c r="R13" i="26"/>
  <c r="P13" i="26"/>
  <c r="U13" i="26" s="1"/>
  <c r="G13" i="26"/>
  <c r="AM13" i="26" s="1"/>
  <c r="F13" i="26"/>
  <c r="Y13" i="26" s="1"/>
  <c r="A13" i="26"/>
  <c r="T12" i="26"/>
  <c r="S12" i="26"/>
  <c r="R12" i="26"/>
  <c r="P12" i="26"/>
  <c r="U12" i="26" s="1"/>
  <c r="J12" i="26"/>
  <c r="G12" i="26"/>
  <c r="AM12" i="26" s="1"/>
  <c r="F12" i="26"/>
  <c r="Y12" i="26" s="1"/>
  <c r="A12" i="26"/>
  <c r="T10" i="26"/>
  <c r="S10" i="26"/>
  <c r="R10" i="26"/>
  <c r="P10" i="26"/>
  <c r="U10" i="26" s="1"/>
  <c r="J10" i="26"/>
  <c r="Q10" i="26" s="1" a="1"/>
  <c r="Q10" i="26" s="1"/>
  <c r="AI10" i="26" s="1"/>
  <c r="G10" i="26"/>
  <c r="AM10" i="26" s="1"/>
  <c r="F10" i="26"/>
  <c r="Y10" i="26" s="1"/>
  <c r="A10" i="26"/>
  <c r="T11" i="26"/>
  <c r="S11" i="26"/>
  <c r="R11" i="26"/>
  <c r="P11" i="26"/>
  <c r="U11" i="26" s="1"/>
  <c r="G11" i="26"/>
  <c r="AM11" i="26" s="1"/>
  <c r="F11" i="26"/>
  <c r="Y11" i="26" s="1"/>
  <c r="A11" i="26"/>
  <c r="T9" i="26"/>
  <c r="S9" i="26"/>
  <c r="R9" i="26"/>
  <c r="P9" i="26"/>
  <c r="U9" i="26" s="1"/>
  <c r="G9" i="26"/>
  <c r="AM9" i="26" s="1"/>
  <c r="F9" i="26"/>
  <c r="Y9" i="26" s="1"/>
  <c r="A9" i="26"/>
  <c r="T8" i="26"/>
  <c r="S8" i="26"/>
  <c r="R8" i="26"/>
  <c r="P8" i="26"/>
  <c r="U8" i="26" s="1"/>
  <c r="J8" i="26"/>
  <c r="G8" i="26"/>
  <c r="AM8" i="26" s="1"/>
  <c r="F8" i="26"/>
  <c r="Y8" i="26" s="1"/>
  <c r="A8" i="26"/>
  <c r="T6" i="26"/>
  <c r="S6" i="26"/>
  <c r="R6" i="26"/>
  <c r="P6" i="26"/>
  <c r="U6" i="26" s="1"/>
  <c r="J6" i="26"/>
  <c r="Q6" i="26" s="1" a="1"/>
  <c r="Q6" i="26" s="1"/>
  <c r="AI6" i="26" s="1"/>
  <c r="G6" i="26"/>
  <c r="AM6" i="26" s="1"/>
  <c r="F6" i="26"/>
  <c r="Y6" i="26" s="1"/>
  <c r="A6" i="26"/>
  <c r="T7" i="26"/>
  <c r="S7" i="26"/>
  <c r="R7" i="26"/>
  <c r="P7" i="26"/>
  <c r="U7" i="26" s="1"/>
  <c r="G7" i="26"/>
  <c r="AM7" i="26" s="1"/>
  <c r="F7" i="26"/>
  <c r="Y7" i="26" s="1"/>
  <c r="A7" i="26"/>
  <c r="T5" i="26"/>
  <c r="S5" i="26"/>
  <c r="R5" i="26"/>
  <c r="P5" i="26"/>
  <c r="U5" i="26" s="1"/>
  <c r="G5" i="26"/>
  <c r="AM5" i="26" s="1"/>
  <c r="F5" i="26"/>
  <c r="Y5" i="26" s="1"/>
  <c r="A5" i="26"/>
  <c r="J123" i="13"/>
  <c r="J124" i="13" s="1"/>
  <c r="J125" i="13" s="1"/>
  <c r="J122" i="13"/>
  <c r="J121" i="13"/>
  <c r="J116" i="13"/>
  <c r="J117" i="13" s="1"/>
  <c r="J118" i="13" s="1"/>
  <c r="J119" i="13" s="1"/>
  <c r="J120" i="13" s="1"/>
  <c r="J115" i="13"/>
  <c r="K277" i="20"/>
  <c r="K278" i="20" s="1"/>
  <c r="K356" i="11"/>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5" i="9"/>
  <c r="I862" i="9"/>
  <c r="AU862" i="9" s="1"/>
  <c r="G862" i="9"/>
  <c r="AA862" i="9" s="1"/>
  <c r="I861" i="9"/>
  <c r="AU861" i="9" s="1"/>
  <c r="G861" i="9"/>
  <c r="AA861" i="9" s="1"/>
  <c r="I860" i="9"/>
  <c r="AU860" i="9" s="1"/>
  <c r="G860" i="9"/>
  <c r="AA860" i="9" s="1"/>
  <c r="I859" i="9"/>
  <c r="AU859" i="9" s="1"/>
  <c r="G859" i="9"/>
  <c r="AA859" i="9" s="1"/>
  <c r="AV859" i="9" s="1"/>
  <c r="I858" i="9"/>
  <c r="AU858" i="9" s="1"/>
  <c r="G858" i="9"/>
  <c r="AA858" i="9" s="1"/>
  <c r="I857" i="9"/>
  <c r="AU857" i="9" s="1"/>
  <c r="G857" i="9"/>
  <c r="AA857" i="9" s="1"/>
  <c r="I856" i="9"/>
  <c r="AU856" i="9" s="1"/>
  <c r="G856" i="9"/>
  <c r="AA856" i="9" s="1"/>
  <c r="I855" i="9"/>
  <c r="AU855" i="9" s="1"/>
  <c r="G855" i="9"/>
  <c r="AA855" i="9" s="1"/>
  <c r="I854" i="9"/>
  <c r="AU854" i="9" s="1"/>
  <c r="G854" i="9"/>
  <c r="AA854" i="9" s="1"/>
  <c r="I853" i="9"/>
  <c r="AU853" i="9" s="1"/>
  <c r="G853" i="9"/>
  <c r="AA853" i="9" s="1"/>
  <c r="I852" i="9"/>
  <c r="AU852" i="9" s="1"/>
  <c r="G852" i="9"/>
  <c r="AA852" i="9" s="1"/>
  <c r="I851" i="9"/>
  <c r="AU851" i="9" s="1"/>
  <c r="G851" i="9"/>
  <c r="AA851" i="9" s="1"/>
  <c r="AV851" i="9" s="1"/>
  <c r="I850" i="9"/>
  <c r="AU850" i="9" s="1"/>
  <c r="G850" i="9"/>
  <c r="AA850" i="9" s="1"/>
  <c r="I849" i="9"/>
  <c r="AU849" i="9" s="1"/>
  <c r="G849" i="9"/>
  <c r="AA849" i="9" s="1"/>
  <c r="I848" i="9"/>
  <c r="AU848" i="9" s="1"/>
  <c r="G848" i="9"/>
  <c r="AA848" i="9" s="1"/>
  <c r="I847" i="9"/>
  <c r="AU847" i="9" s="1"/>
  <c r="G847" i="9"/>
  <c r="AA847" i="9" s="1"/>
  <c r="AV847" i="9" s="1"/>
  <c r="I846" i="9"/>
  <c r="AU846" i="9" s="1"/>
  <c r="G846" i="9"/>
  <c r="AA846" i="9" s="1"/>
  <c r="I845" i="9"/>
  <c r="AU845" i="9" s="1"/>
  <c r="G845" i="9"/>
  <c r="AA845" i="9" s="1"/>
  <c r="I844" i="9"/>
  <c r="AU844" i="9" s="1"/>
  <c r="G844" i="9"/>
  <c r="AA844" i="9" s="1"/>
  <c r="I843" i="9"/>
  <c r="AU843" i="9" s="1"/>
  <c r="G843" i="9"/>
  <c r="AA843" i="9" s="1"/>
  <c r="I842" i="9"/>
  <c r="AU842" i="9" s="1"/>
  <c r="G842" i="9"/>
  <c r="AA842" i="9" s="1"/>
  <c r="I841" i="9"/>
  <c r="AU841" i="9" s="1"/>
  <c r="G841" i="9"/>
  <c r="AA841" i="9" s="1"/>
  <c r="I840" i="9"/>
  <c r="AU840" i="9" s="1"/>
  <c r="G840" i="9"/>
  <c r="AA840" i="9" s="1"/>
  <c r="I839" i="9"/>
  <c r="AU839" i="9" s="1"/>
  <c r="G839" i="9"/>
  <c r="AA839" i="9" s="1"/>
  <c r="I838" i="9"/>
  <c r="AU838" i="9" s="1"/>
  <c r="G838" i="9"/>
  <c r="AA838" i="9" s="1"/>
  <c r="I837" i="9"/>
  <c r="AU837" i="9" s="1"/>
  <c r="G837" i="9"/>
  <c r="AA837" i="9" s="1"/>
  <c r="I836" i="9"/>
  <c r="AU836" i="9" s="1"/>
  <c r="G836" i="9"/>
  <c r="AA836" i="9" s="1"/>
  <c r="I835" i="9"/>
  <c r="AU835" i="9" s="1"/>
  <c r="G835" i="9"/>
  <c r="AA835" i="9" s="1"/>
  <c r="AV835" i="9" s="1"/>
  <c r="I834" i="9"/>
  <c r="AU834" i="9" s="1"/>
  <c r="G834" i="9"/>
  <c r="AA834" i="9" s="1"/>
  <c r="I833" i="9"/>
  <c r="AU833" i="9" s="1"/>
  <c r="G833" i="9"/>
  <c r="AA833" i="9" s="1"/>
  <c r="I832" i="9"/>
  <c r="AU832" i="9" s="1"/>
  <c r="G832" i="9"/>
  <c r="AA832" i="9" s="1"/>
  <c r="I831" i="9"/>
  <c r="AU831" i="9" s="1"/>
  <c r="G831" i="9"/>
  <c r="AA831" i="9" s="1"/>
  <c r="AV831" i="9" s="1"/>
  <c r="I830" i="9"/>
  <c r="AU830" i="9" s="1"/>
  <c r="G830" i="9"/>
  <c r="AA830" i="9" s="1"/>
  <c r="I829" i="9"/>
  <c r="AU829" i="9" s="1"/>
  <c r="G829" i="9"/>
  <c r="AA829" i="9" s="1"/>
  <c r="I828" i="9"/>
  <c r="AU828" i="9" s="1"/>
  <c r="G828" i="9"/>
  <c r="AA828" i="9" s="1"/>
  <c r="I825" i="9"/>
  <c r="AU825" i="9" s="1"/>
  <c r="G825" i="9"/>
  <c r="AA825" i="9" s="1"/>
  <c r="I824" i="9"/>
  <c r="AU824" i="9" s="1"/>
  <c r="G824" i="9"/>
  <c r="AA824" i="9" s="1"/>
  <c r="I823" i="9"/>
  <c r="AU823" i="9" s="1"/>
  <c r="G823" i="9"/>
  <c r="AA823" i="9" s="1"/>
  <c r="I822" i="9"/>
  <c r="AU822" i="9" s="1"/>
  <c r="G822" i="9"/>
  <c r="AA822" i="9" s="1"/>
  <c r="I821" i="9"/>
  <c r="AU821" i="9" s="1"/>
  <c r="G821" i="9"/>
  <c r="AA821" i="9" s="1"/>
  <c r="I820" i="9"/>
  <c r="AU820" i="9" s="1"/>
  <c r="G820" i="9"/>
  <c r="AA820" i="9" s="1"/>
  <c r="I819" i="9"/>
  <c r="AU819" i="9" s="1"/>
  <c r="G819" i="9"/>
  <c r="AA819" i="9" s="1"/>
  <c r="AV819" i="9" s="1"/>
  <c r="I818" i="9"/>
  <c r="AU818" i="9" s="1"/>
  <c r="G818" i="9"/>
  <c r="AA818" i="9" s="1"/>
  <c r="I817" i="9"/>
  <c r="AU817" i="9" s="1"/>
  <c r="G817" i="9"/>
  <c r="AA817" i="9" s="1"/>
  <c r="AV817" i="9" s="1"/>
  <c r="I816" i="9"/>
  <c r="AU816" i="9" s="1"/>
  <c r="G816" i="9"/>
  <c r="AA816" i="9" s="1"/>
  <c r="I815" i="9"/>
  <c r="AU815" i="9" s="1"/>
  <c r="G815" i="9"/>
  <c r="AA815" i="9" s="1"/>
  <c r="AV815" i="9" s="1"/>
  <c r="I814" i="9"/>
  <c r="AU814" i="9" s="1"/>
  <c r="G814" i="9"/>
  <c r="AA814" i="9" s="1"/>
  <c r="I813" i="9"/>
  <c r="AU813" i="9" s="1"/>
  <c r="G813" i="9"/>
  <c r="AA813" i="9" s="1"/>
  <c r="I812" i="9"/>
  <c r="AU812" i="9" s="1"/>
  <c r="G812" i="9"/>
  <c r="AA812" i="9" s="1"/>
  <c r="AV812" i="9" s="1"/>
  <c r="I811" i="9"/>
  <c r="AU811" i="9" s="1"/>
  <c r="G811" i="9"/>
  <c r="AA811" i="9" s="1"/>
  <c r="I810" i="9"/>
  <c r="AU810" i="9" s="1"/>
  <c r="G810" i="9"/>
  <c r="AA810" i="9" s="1"/>
  <c r="I809" i="9"/>
  <c r="AU809" i="9" s="1"/>
  <c r="G809" i="9"/>
  <c r="AA809" i="9" s="1"/>
  <c r="I808" i="9"/>
  <c r="AU808" i="9" s="1"/>
  <c r="G808" i="9"/>
  <c r="AA808" i="9" s="1"/>
  <c r="I807" i="9"/>
  <c r="AU807" i="9" s="1"/>
  <c r="G807" i="9"/>
  <c r="AA807" i="9" s="1"/>
  <c r="AV807" i="9" s="1"/>
  <c r="I806" i="9"/>
  <c r="AU806" i="9" s="1"/>
  <c r="G806" i="9"/>
  <c r="AA806" i="9" s="1"/>
  <c r="I805" i="9"/>
  <c r="AU805" i="9" s="1"/>
  <c r="G805" i="9"/>
  <c r="AA805" i="9" s="1"/>
  <c r="AV805" i="9" s="1"/>
  <c r="I804" i="9"/>
  <c r="AU804" i="9" s="1"/>
  <c r="G804" i="9"/>
  <c r="AA804" i="9" s="1"/>
  <c r="I803" i="9"/>
  <c r="AU803" i="9" s="1"/>
  <c r="G803" i="9"/>
  <c r="AA803" i="9" s="1"/>
  <c r="AV803" i="9" s="1"/>
  <c r="I802" i="9"/>
  <c r="AU802" i="9" s="1"/>
  <c r="G802" i="9"/>
  <c r="AA802" i="9" s="1"/>
  <c r="I801" i="9"/>
  <c r="AU801" i="9" s="1"/>
  <c r="G801" i="9"/>
  <c r="AA801" i="9" s="1"/>
  <c r="AV801" i="9" s="1"/>
  <c r="I800" i="9"/>
  <c r="AU800" i="9" s="1"/>
  <c r="G800" i="9"/>
  <c r="AA800" i="9" s="1"/>
  <c r="I799" i="9"/>
  <c r="AU799" i="9" s="1"/>
  <c r="G799" i="9"/>
  <c r="AA799" i="9" s="1"/>
  <c r="AV799" i="9" s="1"/>
  <c r="I798" i="9"/>
  <c r="AU798" i="9" s="1"/>
  <c r="G798" i="9"/>
  <c r="AA798" i="9" s="1"/>
  <c r="I797" i="9"/>
  <c r="AU797" i="9" s="1"/>
  <c r="G797" i="9"/>
  <c r="AA797" i="9" s="1"/>
  <c r="I796" i="9"/>
  <c r="AU796" i="9" s="1"/>
  <c r="G796" i="9"/>
  <c r="AA796" i="9" s="1"/>
  <c r="AV796" i="9" s="1"/>
  <c r="I795" i="9"/>
  <c r="AU795" i="9" s="1"/>
  <c r="G795" i="9"/>
  <c r="AA795" i="9" s="1"/>
  <c r="I794" i="9"/>
  <c r="AU794" i="9" s="1"/>
  <c r="G794" i="9"/>
  <c r="AA794" i="9" s="1"/>
  <c r="I793" i="9"/>
  <c r="AU793" i="9" s="1"/>
  <c r="G793" i="9"/>
  <c r="AA793" i="9" s="1"/>
  <c r="I792" i="9"/>
  <c r="AU792" i="9" s="1"/>
  <c r="G792" i="9"/>
  <c r="AA792" i="9" s="1"/>
  <c r="AV792" i="9" s="1"/>
  <c r="I791" i="9"/>
  <c r="AU791" i="9" s="1"/>
  <c r="G791" i="9"/>
  <c r="AA791" i="9" s="1"/>
  <c r="AV791" i="9" s="1"/>
  <c r="I790" i="9"/>
  <c r="AU790" i="9" s="1"/>
  <c r="G790" i="9"/>
  <c r="AA790" i="9" s="1"/>
  <c r="I789" i="9"/>
  <c r="AU789" i="9" s="1"/>
  <c r="G789" i="9"/>
  <c r="AA789" i="9" s="1"/>
  <c r="I788" i="9"/>
  <c r="AU788" i="9" s="1"/>
  <c r="G788" i="9"/>
  <c r="AA788" i="9" s="1"/>
  <c r="I787" i="9"/>
  <c r="AU787" i="9" s="1"/>
  <c r="G787" i="9"/>
  <c r="AA787" i="9" s="1"/>
  <c r="AV787" i="9" s="1"/>
  <c r="I786" i="9"/>
  <c r="AU786" i="9" s="1"/>
  <c r="G786" i="9"/>
  <c r="AA786" i="9" s="1"/>
  <c r="I785" i="9"/>
  <c r="AU785" i="9" s="1"/>
  <c r="G785" i="9"/>
  <c r="AA785" i="9" s="1"/>
  <c r="AV785" i="9" s="1"/>
  <c r="I784" i="9"/>
  <c r="AU784" i="9" s="1"/>
  <c r="G784" i="9"/>
  <c r="AA784" i="9" s="1"/>
  <c r="I783" i="9"/>
  <c r="AU783" i="9" s="1"/>
  <c r="G783" i="9"/>
  <c r="AA783" i="9" s="1"/>
  <c r="AV783" i="9" s="1"/>
  <c r="I782" i="9"/>
  <c r="AU782" i="9" s="1"/>
  <c r="G782" i="9"/>
  <c r="AA782" i="9" s="1"/>
  <c r="I781" i="9"/>
  <c r="AU781" i="9" s="1"/>
  <c r="G781" i="9"/>
  <c r="AA781" i="9" s="1"/>
  <c r="AV781" i="9" s="1"/>
  <c r="I780" i="9"/>
  <c r="AU780" i="9" s="1"/>
  <c r="G780" i="9"/>
  <c r="AA780" i="9" s="1"/>
  <c r="AV780" i="9" s="1"/>
  <c r="I779" i="9"/>
  <c r="AU779" i="9" s="1"/>
  <c r="G779" i="9"/>
  <c r="AA779" i="9" s="1"/>
  <c r="AV779" i="9" s="1"/>
  <c r="I778" i="9"/>
  <c r="AU778" i="9" s="1"/>
  <c r="G778" i="9"/>
  <c r="AA778" i="9" s="1"/>
  <c r="I777" i="9"/>
  <c r="AU777" i="9" s="1"/>
  <c r="G777" i="9"/>
  <c r="AA777" i="9" s="1"/>
  <c r="AV777" i="9" s="1"/>
  <c r="I776" i="9"/>
  <c r="AU776" i="9" s="1"/>
  <c r="G776" i="9"/>
  <c r="AA776" i="9" s="1"/>
  <c r="AV776" i="9" s="1"/>
  <c r="I775" i="9"/>
  <c r="AU775" i="9" s="1"/>
  <c r="G775" i="9"/>
  <c r="AA775" i="9" s="1"/>
  <c r="AV775" i="9" s="1"/>
  <c r="I774" i="9"/>
  <c r="AU774" i="9" s="1"/>
  <c r="G774" i="9"/>
  <c r="AA774" i="9" s="1"/>
  <c r="I773" i="9"/>
  <c r="AU773" i="9" s="1"/>
  <c r="G773" i="9"/>
  <c r="AA773" i="9" s="1"/>
  <c r="I772" i="9"/>
  <c r="AU772" i="9" s="1"/>
  <c r="G772" i="9"/>
  <c r="AA772" i="9" s="1"/>
  <c r="I771" i="9"/>
  <c r="AU771" i="9" s="1"/>
  <c r="G771" i="9"/>
  <c r="AA771" i="9" s="1"/>
  <c r="I770" i="9"/>
  <c r="AU770" i="9" s="1"/>
  <c r="G770" i="9"/>
  <c r="AA770" i="9" s="1"/>
  <c r="I769" i="9"/>
  <c r="AU769" i="9" s="1"/>
  <c r="G769" i="9"/>
  <c r="AA769" i="9" s="1"/>
  <c r="I768" i="9"/>
  <c r="AU768" i="9" s="1"/>
  <c r="G768" i="9"/>
  <c r="AA768" i="9" s="1"/>
  <c r="AV768" i="9" s="1"/>
  <c r="I767" i="9"/>
  <c r="AU767" i="9" s="1"/>
  <c r="G767" i="9"/>
  <c r="AA767" i="9" s="1"/>
  <c r="AV767" i="9" s="1"/>
  <c r="I766" i="9"/>
  <c r="AU766" i="9" s="1"/>
  <c r="G766" i="9"/>
  <c r="AA766" i="9" s="1"/>
  <c r="I765" i="9"/>
  <c r="AU765" i="9" s="1"/>
  <c r="G765" i="9"/>
  <c r="AA765" i="9" s="1"/>
  <c r="I764" i="9"/>
  <c r="AU764" i="9" s="1"/>
  <c r="G764" i="9"/>
  <c r="AA764" i="9" s="1"/>
  <c r="I763" i="9"/>
  <c r="AU763" i="9" s="1"/>
  <c r="G763" i="9"/>
  <c r="AA763" i="9" s="1"/>
  <c r="AV763" i="9" s="1"/>
  <c r="I762" i="9"/>
  <c r="AU762" i="9" s="1"/>
  <c r="G762" i="9"/>
  <c r="AA762" i="9" s="1"/>
  <c r="I761" i="9"/>
  <c r="AU761" i="9" s="1"/>
  <c r="G761" i="9"/>
  <c r="AA761" i="9" s="1"/>
  <c r="I760" i="9"/>
  <c r="AU760" i="9" s="1"/>
  <c r="G760" i="9"/>
  <c r="AA760" i="9" s="1"/>
  <c r="AV760" i="9" s="1"/>
  <c r="I759" i="9"/>
  <c r="AU759" i="9" s="1"/>
  <c r="G759" i="9"/>
  <c r="AA759" i="9" s="1"/>
  <c r="AV759" i="9" s="1"/>
  <c r="I758" i="9"/>
  <c r="AU758" i="9" s="1"/>
  <c r="G758" i="9"/>
  <c r="AA758" i="9" s="1"/>
  <c r="I757" i="9"/>
  <c r="AU757" i="9" s="1"/>
  <c r="G757" i="9"/>
  <c r="AA757" i="9" s="1"/>
  <c r="I756" i="9"/>
  <c r="AU756" i="9" s="1"/>
  <c r="G756" i="9"/>
  <c r="AA756" i="9" s="1"/>
  <c r="AV756" i="9" s="1"/>
  <c r="I755" i="9"/>
  <c r="AU755" i="9" s="1"/>
  <c r="G755" i="9"/>
  <c r="AA755" i="9" s="1"/>
  <c r="I754" i="9"/>
  <c r="AU754" i="9" s="1"/>
  <c r="G754" i="9"/>
  <c r="AA754" i="9" s="1"/>
  <c r="I753" i="9"/>
  <c r="AU753" i="9" s="1"/>
  <c r="G753" i="9"/>
  <c r="AA753" i="9" s="1"/>
  <c r="I752" i="9"/>
  <c r="AU752" i="9" s="1"/>
  <c r="G752" i="9"/>
  <c r="AA752" i="9" s="1"/>
  <c r="AV752" i="9" s="1"/>
  <c r="I751" i="9"/>
  <c r="AU751" i="9" s="1"/>
  <c r="G751" i="9"/>
  <c r="AA751" i="9" s="1"/>
  <c r="AV751" i="9" s="1"/>
  <c r="I750" i="9"/>
  <c r="AU750" i="9" s="1"/>
  <c r="G750" i="9"/>
  <c r="AA750" i="9" s="1"/>
  <c r="I749" i="9"/>
  <c r="AU749" i="9" s="1"/>
  <c r="G749" i="9"/>
  <c r="AA749" i="9" s="1"/>
  <c r="I748" i="9"/>
  <c r="AU748" i="9" s="1"/>
  <c r="G748" i="9"/>
  <c r="AA748" i="9" s="1"/>
  <c r="I747" i="9"/>
  <c r="AU747" i="9" s="1"/>
  <c r="G747" i="9"/>
  <c r="AA747" i="9" s="1"/>
  <c r="AV747" i="9" s="1"/>
  <c r="I746" i="9"/>
  <c r="AU746" i="9" s="1"/>
  <c r="G746" i="9"/>
  <c r="AA746" i="9" s="1"/>
  <c r="I745" i="9"/>
  <c r="AU745" i="9" s="1"/>
  <c r="G745" i="9"/>
  <c r="AA745" i="9" s="1"/>
  <c r="I744" i="9"/>
  <c r="AU744" i="9" s="1"/>
  <c r="G744" i="9"/>
  <c r="AA744" i="9" s="1"/>
  <c r="AV744" i="9" s="1"/>
  <c r="I743" i="9"/>
  <c r="AU743" i="9" s="1"/>
  <c r="G743" i="9"/>
  <c r="AA743" i="9" s="1"/>
  <c r="AV743" i="9" s="1"/>
  <c r="I742" i="9"/>
  <c r="AU742" i="9" s="1"/>
  <c r="G742" i="9"/>
  <c r="AA742" i="9" s="1"/>
  <c r="I741" i="9"/>
  <c r="AU741" i="9" s="1"/>
  <c r="G741" i="9"/>
  <c r="AA741" i="9" s="1"/>
  <c r="I740" i="9"/>
  <c r="AU740" i="9" s="1"/>
  <c r="G740" i="9"/>
  <c r="AA740" i="9" s="1"/>
  <c r="AV740" i="9" s="1"/>
  <c r="I739" i="9"/>
  <c r="AU739" i="9" s="1"/>
  <c r="G739" i="9"/>
  <c r="AA739" i="9" s="1"/>
  <c r="I738" i="9"/>
  <c r="AU738" i="9" s="1"/>
  <c r="G738" i="9"/>
  <c r="AA738" i="9" s="1"/>
  <c r="I737" i="9"/>
  <c r="AU737" i="9" s="1"/>
  <c r="G737" i="9"/>
  <c r="AA737" i="9" s="1"/>
  <c r="I736" i="9"/>
  <c r="AU736" i="9" s="1"/>
  <c r="G736" i="9"/>
  <c r="AA736" i="9" s="1"/>
  <c r="AV736" i="9" s="1"/>
  <c r="I735" i="9"/>
  <c r="AU735" i="9" s="1"/>
  <c r="G735" i="9"/>
  <c r="AA735" i="9" s="1"/>
  <c r="AV735" i="9" s="1"/>
  <c r="I734" i="9"/>
  <c r="AU734" i="9" s="1"/>
  <c r="G734" i="9"/>
  <c r="AA734" i="9" s="1"/>
  <c r="I733" i="9"/>
  <c r="AU733" i="9" s="1"/>
  <c r="G733" i="9"/>
  <c r="AA733" i="9" s="1"/>
  <c r="I732" i="9"/>
  <c r="AU732" i="9" s="1"/>
  <c r="G732" i="9"/>
  <c r="AA732" i="9" s="1"/>
  <c r="I731" i="9"/>
  <c r="AU731" i="9" s="1"/>
  <c r="G731" i="9"/>
  <c r="AA731" i="9" s="1"/>
  <c r="AV731" i="9" s="1"/>
  <c r="I730" i="9"/>
  <c r="AU730" i="9" s="1"/>
  <c r="G730" i="9"/>
  <c r="AA730" i="9" s="1"/>
  <c r="I729" i="9"/>
  <c r="AU729" i="9" s="1"/>
  <c r="G729" i="9"/>
  <c r="AA729" i="9" s="1"/>
  <c r="I728" i="9"/>
  <c r="AU728" i="9" s="1"/>
  <c r="G728" i="9"/>
  <c r="AA728" i="9" s="1"/>
  <c r="AV728" i="9" s="1"/>
  <c r="I727" i="9"/>
  <c r="AU727" i="9" s="1"/>
  <c r="G727" i="9"/>
  <c r="AA727" i="9" s="1"/>
  <c r="AV727" i="9" s="1"/>
  <c r="I726" i="9"/>
  <c r="AU726" i="9" s="1"/>
  <c r="G726" i="9"/>
  <c r="AA726" i="9" s="1"/>
  <c r="I725" i="9"/>
  <c r="AU725" i="9" s="1"/>
  <c r="G725" i="9"/>
  <c r="AA725" i="9" s="1"/>
  <c r="I724" i="9"/>
  <c r="AU724" i="9" s="1"/>
  <c r="G724" i="9"/>
  <c r="AA724" i="9" s="1"/>
  <c r="AV724" i="9" s="1"/>
  <c r="I723" i="9"/>
  <c r="AU723" i="9" s="1"/>
  <c r="G723" i="9"/>
  <c r="AA723" i="9" s="1"/>
  <c r="I722" i="9"/>
  <c r="AU722" i="9" s="1"/>
  <c r="G722" i="9"/>
  <c r="AA722" i="9" s="1"/>
  <c r="I721" i="9"/>
  <c r="AU721" i="9" s="1"/>
  <c r="G721" i="9"/>
  <c r="AA721" i="9" s="1"/>
  <c r="I720" i="9"/>
  <c r="AU720" i="9" s="1"/>
  <c r="G720" i="9"/>
  <c r="AA720" i="9" s="1"/>
  <c r="I719" i="9"/>
  <c r="AU719" i="9" s="1"/>
  <c r="G719" i="9"/>
  <c r="AA719" i="9" s="1"/>
  <c r="AV719" i="9" s="1"/>
  <c r="I718" i="9"/>
  <c r="AU718" i="9" s="1"/>
  <c r="G718" i="9"/>
  <c r="AA718" i="9" s="1"/>
  <c r="I717" i="9"/>
  <c r="AU717" i="9" s="1"/>
  <c r="G717" i="9"/>
  <c r="AA717" i="9" s="1"/>
  <c r="I716" i="9"/>
  <c r="AU716" i="9" s="1"/>
  <c r="G716" i="9"/>
  <c r="AA716" i="9" s="1"/>
  <c r="I715" i="9"/>
  <c r="AU715" i="9" s="1"/>
  <c r="G715" i="9"/>
  <c r="AA715" i="9" s="1"/>
  <c r="AV715" i="9" s="1"/>
  <c r="I714" i="9"/>
  <c r="AU714" i="9" s="1"/>
  <c r="G714" i="9"/>
  <c r="AA714" i="9" s="1"/>
  <c r="I713" i="9"/>
  <c r="AU713" i="9" s="1"/>
  <c r="G713" i="9"/>
  <c r="AA713" i="9" s="1"/>
  <c r="I712" i="9"/>
  <c r="AU712" i="9" s="1"/>
  <c r="G712" i="9"/>
  <c r="AA712" i="9" s="1"/>
  <c r="AV712" i="9" s="1"/>
  <c r="I711" i="9"/>
  <c r="AU711" i="9" s="1"/>
  <c r="G711" i="9"/>
  <c r="AA711" i="9" s="1"/>
  <c r="AV711" i="9" s="1"/>
  <c r="I710" i="9"/>
  <c r="AU710" i="9" s="1"/>
  <c r="G710" i="9"/>
  <c r="AA710" i="9" s="1"/>
  <c r="I709" i="9"/>
  <c r="AU709" i="9" s="1"/>
  <c r="G709" i="9"/>
  <c r="AA709" i="9" s="1"/>
  <c r="I708" i="9"/>
  <c r="AU708" i="9" s="1"/>
  <c r="G708" i="9"/>
  <c r="AA708" i="9" s="1"/>
  <c r="AB708" i="9" s="1"/>
  <c r="I707" i="9"/>
  <c r="AU707" i="9" s="1"/>
  <c r="G707" i="9"/>
  <c r="AA707" i="9" s="1"/>
  <c r="I706" i="9"/>
  <c r="AU706" i="9" s="1"/>
  <c r="G706" i="9"/>
  <c r="AA706" i="9" s="1"/>
  <c r="I705" i="9"/>
  <c r="AU705" i="9" s="1"/>
  <c r="G705" i="9"/>
  <c r="AA705" i="9" s="1"/>
  <c r="I704" i="9"/>
  <c r="AU704" i="9" s="1"/>
  <c r="G704" i="9"/>
  <c r="AA704" i="9" s="1"/>
  <c r="AV704" i="9" s="1"/>
  <c r="I703" i="9"/>
  <c r="AU703" i="9" s="1"/>
  <c r="G703" i="9"/>
  <c r="AA703" i="9" s="1"/>
  <c r="I702" i="9"/>
  <c r="AU702" i="9" s="1"/>
  <c r="G702" i="9"/>
  <c r="AA702" i="9" s="1"/>
  <c r="I701" i="9"/>
  <c r="AU701" i="9" s="1"/>
  <c r="G701" i="9"/>
  <c r="AA701" i="9" s="1"/>
  <c r="I700" i="9"/>
  <c r="AU700" i="9" s="1"/>
  <c r="G700" i="9"/>
  <c r="AA700" i="9" s="1"/>
  <c r="I699" i="9"/>
  <c r="AU699" i="9" s="1"/>
  <c r="G699" i="9"/>
  <c r="AA699" i="9" s="1"/>
  <c r="AV699" i="9" s="1"/>
  <c r="I698" i="9"/>
  <c r="AU698" i="9" s="1"/>
  <c r="G698" i="9"/>
  <c r="AA698" i="9" s="1"/>
  <c r="I697" i="9"/>
  <c r="AU697" i="9" s="1"/>
  <c r="G697" i="9"/>
  <c r="AA697" i="9" s="1"/>
  <c r="I696" i="9"/>
  <c r="AU696" i="9" s="1"/>
  <c r="G696" i="9"/>
  <c r="AA696" i="9" s="1"/>
  <c r="AV696" i="9" s="1"/>
  <c r="I695" i="9"/>
  <c r="AU695" i="9" s="1"/>
  <c r="G695" i="9"/>
  <c r="AA695" i="9" s="1"/>
  <c r="I694" i="9"/>
  <c r="AU694" i="9" s="1"/>
  <c r="G694" i="9"/>
  <c r="AA694" i="9" s="1"/>
  <c r="I693" i="9"/>
  <c r="AU693" i="9" s="1"/>
  <c r="G693" i="9"/>
  <c r="AA693" i="9" s="1"/>
  <c r="I692" i="9"/>
  <c r="AU692" i="9" s="1"/>
  <c r="G692" i="9"/>
  <c r="AA692" i="9" s="1"/>
  <c r="AV692" i="9" s="1"/>
  <c r="I691" i="9"/>
  <c r="AU691" i="9" s="1"/>
  <c r="G691" i="9"/>
  <c r="AA691" i="9" s="1"/>
  <c r="AV691" i="9" s="1"/>
  <c r="I690" i="9"/>
  <c r="AU690" i="9" s="1"/>
  <c r="G690" i="9"/>
  <c r="AA690" i="9" s="1"/>
  <c r="I687" i="9"/>
  <c r="AU687" i="9" s="1"/>
  <c r="G687" i="9"/>
  <c r="AA687" i="9" s="1"/>
  <c r="I686" i="9"/>
  <c r="AU686" i="9" s="1"/>
  <c r="G686" i="9"/>
  <c r="AA686" i="9" s="1"/>
  <c r="I685" i="9"/>
  <c r="AU685" i="9" s="1"/>
  <c r="G685" i="9"/>
  <c r="AA685" i="9" s="1"/>
  <c r="I684" i="9"/>
  <c r="AU684" i="9" s="1"/>
  <c r="G684" i="9"/>
  <c r="AA684" i="9" s="1"/>
  <c r="I683" i="9"/>
  <c r="AU683" i="9" s="1"/>
  <c r="G683" i="9"/>
  <c r="AA683" i="9" s="1"/>
  <c r="I682" i="9"/>
  <c r="AU682" i="9" s="1"/>
  <c r="G682" i="9"/>
  <c r="AA682" i="9" s="1"/>
  <c r="AV682" i="9" s="1"/>
  <c r="I681" i="9"/>
  <c r="AU681" i="9" s="1"/>
  <c r="G681" i="9"/>
  <c r="AA681" i="9" s="1"/>
  <c r="AV681" i="9" s="1"/>
  <c r="I680" i="9"/>
  <c r="AU680" i="9" s="1"/>
  <c r="G680" i="9"/>
  <c r="AA680" i="9" s="1"/>
  <c r="I679" i="9"/>
  <c r="AU679" i="9" s="1"/>
  <c r="G679" i="9"/>
  <c r="AA679" i="9" s="1"/>
  <c r="I678" i="9"/>
  <c r="AU678" i="9" s="1"/>
  <c r="G678" i="9"/>
  <c r="AA678" i="9" s="1"/>
  <c r="I677" i="9"/>
  <c r="AU677" i="9" s="1"/>
  <c r="G677" i="9"/>
  <c r="AA677" i="9" s="1"/>
  <c r="AV677" i="9" s="1"/>
  <c r="I676" i="9"/>
  <c r="AU676" i="9" s="1"/>
  <c r="G676" i="9"/>
  <c r="AA676" i="9" s="1"/>
  <c r="I675" i="9"/>
  <c r="AU675" i="9" s="1"/>
  <c r="G675" i="9"/>
  <c r="AA675" i="9" s="1"/>
  <c r="AV675" i="9" s="1"/>
  <c r="I674" i="9"/>
  <c r="AU674" i="9" s="1"/>
  <c r="G674" i="9"/>
  <c r="AA674" i="9" s="1"/>
  <c r="I673" i="9"/>
  <c r="AU673" i="9" s="1"/>
  <c r="G673" i="9"/>
  <c r="AA673" i="9" s="1"/>
  <c r="AV673" i="9" s="1"/>
  <c r="I672" i="9"/>
  <c r="AU672" i="9" s="1"/>
  <c r="G672" i="9"/>
  <c r="AA672" i="9" s="1"/>
  <c r="I671" i="9"/>
  <c r="AU671" i="9" s="1"/>
  <c r="G671" i="9"/>
  <c r="AA671" i="9" s="1"/>
  <c r="AV671" i="9" s="1"/>
  <c r="I670" i="9"/>
  <c r="AU670" i="9" s="1"/>
  <c r="G670" i="9"/>
  <c r="AA670" i="9" s="1"/>
  <c r="AV670" i="9" s="1"/>
  <c r="I669" i="9"/>
  <c r="AU669" i="9" s="1"/>
  <c r="G669" i="9"/>
  <c r="AA669" i="9" s="1"/>
  <c r="AV669" i="9" s="1"/>
  <c r="I668" i="9"/>
  <c r="AU668" i="9" s="1"/>
  <c r="G668" i="9"/>
  <c r="AA668" i="9" s="1"/>
  <c r="I667" i="9"/>
  <c r="AU667" i="9" s="1"/>
  <c r="G667" i="9"/>
  <c r="AA667" i="9" s="1"/>
  <c r="I666" i="9"/>
  <c r="AU666" i="9" s="1"/>
  <c r="G666" i="9"/>
  <c r="AA666" i="9" s="1"/>
  <c r="I665" i="9"/>
  <c r="AU665" i="9" s="1"/>
  <c r="G665" i="9"/>
  <c r="AA665" i="9" s="1"/>
  <c r="I664" i="9"/>
  <c r="AU664" i="9" s="1"/>
  <c r="G664" i="9"/>
  <c r="AA664" i="9" s="1"/>
  <c r="I663" i="9"/>
  <c r="AU663" i="9" s="1"/>
  <c r="G663" i="9"/>
  <c r="AA663" i="9" s="1"/>
  <c r="AV663" i="9" s="1"/>
  <c r="I662" i="9"/>
  <c r="AU662" i="9" s="1"/>
  <c r="G662" i="9"/>
  <c r="AA662" i="9" s="1"/>
  <c r="AV662" i="9" s="1"/>
  <c r="I661" i="9"/>
  <c r="AU661" i="9" s="1"/>
  <c r="G661" i="9"/>
  <c r="AA661" i="9" s="1"/>
  <c r="AV661" i="9" s="1"/>
  <c r="I660" i="9"/>
  <c r="AU660" i="9" s="1"/>
  <c r="G660" i="9"/>
  <c r="AA660" i="9" s="1"/>
  <c r="I659" i="9"/>
  <c r="AU659" i="9" s="1"/>
  <c r="G659" i="9"/>
  <c r="AA659" i="9" s="1"/>
  <c r="AV659" i="9" s="1"/>
  <c r="I658" i="9"/>
  <c r="AU658" i="9" s="1"/>
  <c r="G658" i="9"/>
  <c r="AA658" i="9" s="1"/>
  <c r="I657" i="9"/>
  <c r="AU657" i="9" s="1"/>
  <c r="G657" i="9"/>
  <c r="AA657" i="9" s="1"/>
  <c r="AV657" i="9" s="1"/>
  <c r="I656" i="9"/>
  <c r="AU656" i="9" s="1"/>
  <c r="G656" i="9"/>
  <c r="AA656" i="9" s="1"/>
  <c r="I655" i="9"/>
  <c r="AU655" i="9" s="1"/>
  <c r="G655" i="9"/>
  <c r="AA655" i="9" s="1"/>
  <c r="AV655" i="9" s="1"/>
  <c r="I654" i="9"/>
  <c r="AU654" i="9" s="1"/>
  <c r="G654" i="9"/>
  <c r="AA654" i="9" s="1"/>
  <c r="I653" i="9"/>
  <c r="AU653" i="9" s="1"/>
  <c r="G653" i="9"/>
  <c r="AA653" i="9" s="1"/>
  <c r="AV653" i="9" s="1"/>
  <c r="I652" i="9"/>
  <c r="AU652" i="9" s="1"/>
  <c r="G652" i="9"/>
  <c r="AA652" i="9" s="1"/>
  <c r="I651" i="9"/>
  <c r="AU651" i="9" s="1"/>
  <c r="G651" i="9"/>
  <c r="AA651" i="9" s="1"/>
  <c r="AV651" i="9" s="1"/>
  <c r="I650" i="9"/>
  <c r="AU650" i="9" s="1"/>
  <c r="G650" i="9"/>
  <c r="AA650" i="9" s="1"/>
  <c r="I649" i="9"/>
  <c r="AU649" i="9" s="1"/>
  <c r="G649" i="9"/>
  <c r="AA649" i="9" s="1"/>
  <c r="AV649" i="9" s="1"/>
  <c r="I648" i="9"/>
  <c r="AU648" i="9" s="1"/>
  <c r="G648" i="9"/>
  <c r="AA648" i="9" s="1"/>
  <c r="I647" i="9"/>
  <c r="AU647" i="9" s="1"/>
  <c r="G647" i="9"/>
  <c r="AA647" i="9" s="1"/>
  <c r="I646" i="9"/>
  <c r="AU646" i="9" s="1"/>
  <c r="G646" i="9"/>
  <c r="AA646" i="9" s="1"/>
  <c r="AV646" i="9" s="1"/>
  <c r="I645" i="9"/>
  <c r="AU645" i="9" s="1"/>
  <c r="G645" i="9"/>
  <c r="AA645" i="9" s="1"/>
  <c r="I644" i="9"/>
  <c r="AU644" i="9" s="1"/>
  <c r="G644" i="9"/>
  <c r="AA644" i="9" s="1"/>
  <c r="I643" i="9"/>
  <c r="AU643" i="9" s="1"/>
  <c r="G643" i="9"/>
  <c r="AA643" i="9" s="1"/>
  <c r="I642" i="9"/>
  <c r="AU642" i="9" s="1"/>
  <c r="G642" i="9"/>
  <c r="AA642" i="9" s="1"/>
  <c r="I641" i="9"/>
  <c r="AU641" i="9" s="1"/>
  <c r="G641" i="9"/>
  <c r="AA641" i="9" s="1"/>
  <c r="I640" i="9"/>
  <c r="AU640" i="9" s="1"/>
  <c r="G640" i="9"/>
  <c r="AA640" i="9" s="1"/>
  <c r="I639" i="9"/>
  <c r="AU639" i="9" s="1"/>
  <c r="G639" i="9"/>
  <c r="AA639" i="9" s="1"/>
  <c r="AV639" i="9" s="1"/>
  <c r="I638" i="9"/>
  <c r="AU638" i="9" s="1"/>
  <c r="G638" i="9"/>
  <c r="AA638" i="9" s="1"/>
  <c r="I637" i="9"/>
  <c r="AU637" i="9" s="1"/>
  <c r="G637" i="9"/>
  <c r="AA637" i="9" s="1"/>
  <c r="AV637" i="9" s="1"/>
  <c r="I636" i="9"/>
  <c r="AU636" i="9" s="1"/>
  <c r="G636" i="9"/>
  <c r="AA636" i="9" s="1"/>
  <c r="I635" i="9"/>
  <c r="AU635" i="9" s="1"/>
  <c r="G635" i="9"/>
  <c r="AA635" i="9" s="1"/>
  <c r="AV635" i="9" s="1"/>
  <c r="I634" i="9"/>
  <c r="AU634" i="9" s="1"/>
  <c r="G634" i="9"/>
  <c r="AA634" i="9" s="1"/>
  <c r="I633" i="9"/>
  <c r="AU633" i="9" s="1"/>
  <c r="G633" i="9"/>
  <c r="AA633" i="9" s="1"/>
  <c r="I632" i="9"/>
  <c r="AU632" i="9" s="1"/>
  <c r="G632" i="9"/>
  <c r="AA632" i="9" s="1"/>
  <c r="I629" i="9"/>
  <c r="AU629" i="9" s="1"/>
  <c r="G629" i="9"/>
  <c r="AA629" i="9" s="1"/>
  <c r="AV629" i="9" s="1"/>
  <c r="I628" i="9"/>
  <c r="AU628" i="9" s="1"/>
  <c r="G628" i="9"/>
  <c r="AA628" i="9" s="1"/>
  <c r="I627" i="9"/>
  <c r="AU627" i="9" s="1"/>
  <c r="G627" i="9"/>
  <c r="AA627" i="9" s="1"/>
  <c r="AC627" i="9" s="1"/>
  <c r="I626" i="9"/>
  <c r="AU626" i="9" s="1"/>
  <c r="G626" i="9"/>
  <c r="AA626" i="9" s="1"/>
  <c r="I625" i="9"/>
  <c r="AU625" i="9" s="1"/>
  <c r="G625" i="9"/>
  <c r="AA625" i="9" s="1"/>
  <c r="AV625" i="9" s="1"/>
  <c r="I624" i="9"/>
  <c r="AU624" i="9" s="1"/>
  <c r="G624" i="9"/>
  <c r="AA624" i="9" s="1"/>
  <c r="I623" i="9"/>
  <c r="AU623" i="9" s="1"/>
  <c r="G623" i="9"/>
  <c r="AA623" i="9" s="1"/>
  <c r="AV623" i="9" s="1"/>
  <c r="I622" i="9"/>
  <c r="AU622" i="9" s="1"/>
  <c r="G622" i="9"/>
  <c r="AA622" i="9" s="1"/>
  <c r="I621" i="9"/>
  <c r="AU621" i="9" s="1"/>
  <c r="G621" i="9"/>
  <c r="AA621" i="9" s="1"/>
  <c r="AV621" i="9" s="1"/>
  <c r="I620" i="9"/>
  <c r="AU620" i="9" s="1"/>
  <c r="G620" i="9"/>
  <c r="AA620" i="9" s="1"/>
  <c r="I619" i="9"/>
  <c r="AU619" i="9" s="1"/>
  <c r="G619" i="9"/>
  <c r="AA619" i="9" s="1"/>
  <c r="AV619" i="9" s="1"/>
  <c r="I618" i="9"/>
  <c r="AU618" i="9" s="1"/>
  <c r="G618" i="9"/>
  <c r="AA618" i="9" s="1"/>
  <c r="I617" i="9"/>
  <c r="AU617" i="9" s="1"/>
  <c r="G617" i="9"/>
  <c r="AA617" i="9" s="1"/>
  <c r="I616" i="9"/>
  <c r="AU616" i="9" s="1"/>
  <c r="G616" i="9"/>
  <c r="AA616" i="9" s="1"/>
  <c r="AV616" i="9" s="1"/>
  <c r="I615" i="9"/>
  <c r="AU615" i="9" s="1"/>
  <c r="G615" i="9"/>
  <c r="AA615" i="9" s="1"/>
  <c r="I614" i="9"/>
  <c r="AU614" i="9" s="1"/>
  <c r="G614" i="9"/>
  <c r="AA614" i="9" s="1"/>
  <c r="I613" i="9"/>
  <c r="AU613" i="9" s="1"/>
  <c r="G613" i="9"/>
  <c r="AA613" i="9" s="1"/>
  <c r="I612" i="9"/>
  <c r="AU612" i="9" s="1"/>
  <c r="G612" i="9"/>
  <c r="AA612" i="9" s="1"/>
  <c r="I611" i="9"/>
  <c r="AU611" i="9" s="1"/>
  <c r="G611" i="9"/>
  <c r="AA611" i="9" s="1"/>
  <c r="AV611" i="9" s="1"/>
  <c r="I610" i="9"/>
  <c r="AU610" i="9" s="1"/>
  <c r="G610" i="9"/>
  <c r="AA610" i="9" s="1"/>
  <c r="I609" i="9"/>
  <c r="AU609" i="9" s="1"/>
  <c r="G609" i="9"/>
  <c r="AA609" i="9" s="1"/>
  <c r="I608" i="9"/>
  <c r="AU608" i="9" s="1"/>
  <c r="G608" i="9"/>
  <c r="AA608" i="9" s="1"/>
  <c r="I607" i="9"/>
  <c r="AU607" i="9" s="1"/>
  <c r="G607" i="9"/>
  <c r="AA607" i="9" s="1"/>
  <c r="AV607" i="9" s="1"/>
  <c r="I606" i="9"/>
  <c r="AU606" i="9" s="1"/>
  <c r="G606" i="9"/>
  <c r="AA606" i="9" s="1"/>
  <c r="I605" i="9"/>
  <c r="AU605" i="9" s="1"/>
  <c r="G605" i="9"/>
  <c r="AA605" i="9" s="1"/>
  <c r="I604" i="9"/>
  <c r="AU604" i="9" s="1"/>
  <c r="G604" i="9"/>
  <c r="AA604" i="9" s="1"/>
  <c r="I603" i="9"/>
  <c r="AU603" i="9" s="1"/>
  <c r="G603" i="9"/>
  <c r="AA603" i="9" s="1"/>
  <c r="I602" i="9"/>
  <c r="AU602" i="9" s="1"/>
  <c r="G602" i="9"/>
  <c r="AA602" i="9" s="1"/>
  <c r="I601" i="9"/>
  <c r="AU601" i="9" s="1"/>
  <c r="G601" i="9"/>
  <c r="AA601" i="9" s="1"/>
  <c r="I600" i="9"/>
  <c r="AU600" i="9" s="1"/>
  <c r="G600" i="9"/>
  <c r="AA600" i="9" s="1"/>
  <c r="I599" i="9"/>
  <c r="AU599" i="9" s="1"/>
  <c r="G599" i="9"/>
  <c r="AA599" i="9" s="1"/>
  <c r="AV599" i="9" s="1"/>
  <c r="I598" i="9"/>
  <c r="AU598" i="9" s="1"/>
  <c r="G598" i="9"/>
  <c r="AA598" i="9" s="1"/>
  <c r="I597" i="9"/>
  <c r="AU597" i="9" s="1"/>
  <c r="G597" i="9"/>
  <c r="AA597" i="9" s="1"/>
  <c r="AV597" i="9" s="1"/>
  <c r="I596" i="9"/>
  <c r="AU596" i="9" s="1"/>
  <c r="G596" i="9"/>
  <c r="AA596" i="9" s="1"/>
  <c r="I595" i="9"/>
  <c r="AU595" i="9" s="1"/>
  <c r="G595" i="9"/>
  <c r="AA595" i="9" s="1"/>
  <c r="AV595" i="9" s="1"/>
  <c r="I594" i="9"/>
  <c r="AU594" i="9" s="1"/>
  <c r="G594" i="9"/>
  <c r="AA594" i="9" s="1"/>
  <c r="I593" i="9"/>
  <c r="AU593" i="9" s="1"/>
  <c r="G593" i="9"/>
  <c r="AA593" i="9" s="1"/>
  <c r="AV593" i="9" s="1"/>
  <c r="I592" i="9"/>
  <c r="AU592" i="9" s="1"/>
  <c r="G592" i="9"/>
  <c r="AA592" i="9" s="1"/>
  <c r="I591" i="9"/>
  <c r="AU591" i="9" s="1"/>
  <c r="G591" i="9"/>
  <c r="AA591" i="9" s="1"/>
  <c r="AV591" i="9" s="1"/>
  <c r="I590" i="9"/>
  <c r="AU590" i="9" s="1"/>
  <c r="G590" i="9"/>
  <c r="AA590" i="9" s="1"/>
  <c r="I589" i="9"/>
  <c r="AU589" i="9" s="1"/>
  <c r="G589" i="9"/>
  <c r="AA589" i="9" s="1"/>
  <c r="AV589" i="9" s="1"/>
  <c r="I588" i="9"/>
  <c r="AU588" i="9" s="1"/>
  <c r="G588" i="9"/>
  <c r="AA588" i="9" s="1"/>
  <c r="I587" i="9"/>
  <c r="AU587" i="9" s="1"/>
  <c r="G587" i="9"/>
  <c r="AA587" i="9" s="1"/>
  <c r="I586" i="9"/>
  <c r="AU586" i="9" s="1"/>
  <c r="G586" i="9"/>
  <c r="AA586" i="9" s="1"/>
  <c r="I585" i="9"/>
  <c r="AU585" i="9" s="1"/>
  <c r="G585" i="9"/>
  <c r="AA585" i="9" s="1"/>
  <c r="I584" i="9"/>
  <c r="AU584" i="9" s="1"/>
  <c r="G584" i="9"/>
  <c r="AA584" i="9" s="1"/>
  <c r="AV584" i="9" s="1"/>
  <c r="I583" i="9"/>
  <c r="AU583" i="9" s="1"/>
  <c r="G583" i="9"/>
  <c r="AA583" i="9" s="1"/>
  <c r="I582" i="9"/>
  <c r="AU582" i="9" s="1"/>
  <c r="G582" i="9"/>
  <c r="AA582" i="9" s="1"/>
  <c r="I581" i="9"/>
  <c r="AU581" i="9" s="1"/>
  <c r="G581" i="9"/>
  <c r="AA581" i="9" s="1"/>
  <c r="AV581" i="9" s="1"/>
  <c r="I580" i="9"/>
  <c r="AU580" i="9" s="1"/>
  <c r="G580" i="9"/>
  <c r="AA580" i="9" s="1"/>
  <c r="I579" i="9"/>
  <c r="AU579" i="9" s="1"/>
  <c r="G579" i="9"/>
  <c r="AA579" i="9" s="1"/>
  <c r="AV579" i="9" s="1"/>
  <c r="I578" i="9"/>
  <c r="AU578" i="9" s="1"/>
  <c r="G578" i="9"/>
  <c r="AA578" i="9" s="1"/>
  <c r="I577" i="9"/>
  <c r="AU577" i="9" s="1"/>
  <c r="G577" i="9"/>
  <c r="AA577" i="9" s="1"/>
  <c r="AV577" i="9" s="1"/>
  <c r="I576" i="9"/>
  <c r="AU576" i="9" s="1"/>
  <c r="G576" i="9"/>
  <c r="AA576" i="9" s="1"/>
  <c r="I575" i="9"/>
  <c r="AU575" i="9" s="1"/>
  <c r="G575" i="9"/>
  <c r="AA575" i="9" s="1"/>
  <c r="AV575" i="9" s="1"/>
  <c r="I574" i="9"/>
  <c r="AU574" i="9" s="1"/>
  <c r="G574" i="9"/>
  <c r="AA574" i="9" s="1"/>
  <c r="I571" i="9"/>
  <c r="AU571" i="9" s="1"/>
  <c r="G571" i="9"/>
  <c r="AA571" i="9" s="1"/>
  <c r="I570" i="9"/>
  <c r="AU570" i="9" s="1"/>
  <c r="G570" i="9"/>
  <c r="AA570" i="9" s="1"/>
  <c r="I569" i="9"/>
  <c r="AU569" i="9" s="1"/>
  <c r="G569" i="9"/>
  <c r="AA569" i="9" s="1"/>
  <c r="I568" i="9"/>
  <c r="AU568" i="9" s="1"/>
  <c r="G568" i="9"/>
  <c r="AA568" i="9" s="1"/>
  <c r="I567" i="9"/>
  <c r="AU567" i="9" s="1"/>
  <c r="G567" i="9"/>
  <c r="AA567" i="9" s="1"/>
  <c r="I566" i="9"/>
  <c r="AU566" i="9" s="1"/>
  <c r="G566" i="9"/>
  <c r="AA566" i="9" s="1"/>
  <c r="I565" i="9"/>
  <c r="AU565" i="9" s="1"/>
  <c r="G565" i="9"/>
  <c r="AA565" i="9" s="1"/>
  <c r="AV565" i="9" s="1"/>
  <c r="I564" i="9"/>
  <c r="AU564" i="9" s="1"/>
  <c r="G564" i="9"/>
  <c r="AA564" i="9" s="1"/>
  <c r="I563" i="9"/>
  <c r="AU563" i="9" s="1"/>
  <c r="G563" i="9"/>
  <c r="AA563" i="9" s="1"/>
  <c r="AV563" i="9" s="1"/>
  <c r="I562" i="9"/>
  <c r="AU562" i="9" s="1"/>
  <c r="G562" i="9"/>
  <c r="AA562" i="9" s="1"/>
  <c r="I561" i="9"/>
  <c r="AU561" i="9" s="1"/>
  <c r="G561" i="9"/>
  <c r="AA561" i="9" s="1"/>
  <c r="AV561" i="9" s="1"/>
  <c r="I560" i="9"/>
  <c r="AU560" i="9" s="1"/>
  <c r="G560" i="9"/>
  <c r="AA560" i="9" s="1"/>
  <c r="I559" i="9"/>
  <c r="AU559" i="9" s="1"/>
  <c r="G559" i="9"/>
  <c r="AA559" i="9" s="1"/>
  <c r="I558" i="9"/>
  <c r="AU558" i="9" s="1"/>
  <c r="G558" i="9"/>
  <c r="AA558" i="9" s="1"/>
  <c r="I557" i="9"/>
  <c r="AU557" i="9" s="1"/>
  <c r="G557" i="9"/>
  <c r="AA557" i="9" s="1"/>
  <c r="AV557" i="9" s="1"/>
  <c r="I556" i="9"/>
  <c r="AU556" i="9" s="1"/>
  <c r="G556" i="9"/>
  <c r="AA556" i="9" s="1"/>
  <c r="I555" i="9"/>
  <c r="AU555" i="9" s="1"/>
  <c r="G555" i="9"/>
  <c r="AA555" i="9" s="1"/>
  <c r="AV555" i="9" s="1"/>
  <c r="I554" i="9"/>
  <c r="AU554" i="9" s="1"/>
  <c r="G554" i="9"/>
  <c r="AA554" i="9" s="1"/>
  <c r="I553" i="9"/>
  <c r="AU553" i="9" s="1"/>
  <c r="G553" i="9"/>
  <c r="AA553" i="9" s="1"/>
  <c r="AV553" i="9" s="1"/>
  <c r="I552" i="9"/>
  <c r="AU552" i="9" s="1"/>
  <c r="G552" i="9"/>
  <c r="AA552" i="9" s="1"/>
  <c r="I551" i="9"/>
  <c r="AU551" i="9" s="1"/>
  <c r="G551" i="9"/>
  <c r="AA551" i="9" s="1"/>
  <c r="I550" i="9"/>
  <c r="AU550" i="9" s="1"/>
  <c r="G550" i="9"/>
  <c r="AA550" i="9" s="1"/>
  <c r="I549" i="9"/>
  <c r="AU549" i="9" s="1"/>
  <c r="G549" i="9"/>
  <c r="AA549" i="9" s="1"/>
  <c r="AV549" i="9" s="1"/>
  <c r="I548" i="9"/>
  <c r="AU548" i="9" s="1"/>
  <c r="G548" i="9"/>
  <c r="AA548" i="9" s="1"/>
  <c r="AV548" i="9" s="1"/>
  <c r="I547" i="9"/>
  <c r="AU547" i="9" s="1"/>
  <c r="G547" i="9"/>
  <c r="AA547" i="9" s="1"/>
  <c r="I546" i="9"/>
  <c r="AU546" i="9" s="1"/>
  <c r="G546" i="9"/>
  <c r="AA546" i="9" s="1"/>
  <c r="I545" i="9"/>
  <c r="AU545" i="9" s="1"/>
  <c r="G545" i="9"/>
  <c r="AA545" i="9" s="1"/>
  <c r="AV545" i="9" s="1"/>
  <c r="I544" i="9"/>
  <c r="AU544" i="9" s="1"/>
  <c r="G544" i="9"/>
  <c r="AA544" i="9" s="1"/>
  <c r="I543" i="9"/>
  <c r="AU543" i="9" s="1"/>
  <c r="G543" i="9"/>
  <c r="AA543" i="9" s="1"/>
  <c r="I542" i="9"/>
  <c r="AU542" i="9" s="1"/>
  <c r="G542" i="9"/>
  <c r="AA542" i="9" s="1"/>
  <c r="I541" i="9"/>
  <c r="AU541" i="9" s="1"/>
  <c r="G541" i="9"/>
  <c r="AA541" i="9" s="1"/>
  <c r="I540" i="9"/>
  <c r="AU540" i="9" s="1"/>
  <c r="G540" i="9"/>
  <c r="AA540" i="9" s="1"/>
  <c r="I539" i="9"/>
  <c r="AU539" i="9" s="1"/>
  <c r="G539" i="9"/>
  <c r="AA539" i="9" s="1"/>
  <c r="I538" i="9"/>
  <c r="AU538" i="9" s="1"/>
  <c r="G538" i="9"/>
  <c r="AA538" i="9" s="1"/>
  <c r="I537" i="9"/>
  <c r="AU537" i="9" s="1"/>
  <c r="G537" i="9"/>
  <c r="AA537" i="9" s="1"/>
  <c r="AV537" i="9" s="1"/>
  <c r="I536" i="9"/>
  <c r="AU536" i="9" s="1"/>
  <c r="G536" i="9"/>
  <c r="AA536" i="9" s="1"/>
  <c r="AV536" i="9" s="1"/>
  <c r="I535" i="9"/>
  <c r="AU535" i="9" s="1"/>
  <c r="G535" i="9"/>
  <c r="AA535" i="9" s="1"/>
  <c r="I534" i="9"/>
  <c r="AU534" i="9" s="1"/>
  <c r="G534" i="9"/>
  <c r="AA534" i="9" s="1"/>
  <c r="I533" i="9"/>
  <c r="AU533" i="9" s="1"/>
  <c r="G533" i="9"/>
  <c r="AA533" i="9" s="1"/>
  <c r="I532" i="9"/>
  <c r="AU532" i="9" s="1"/>
  <c r="G532" i="9"/>
  <c r="AA532" i="9" s="1"/>
  <c r="AV532" i="9" s="1"/>
  <c r="I531" i="9"/>
  <c r="AU531" i="9" s="1"/>
  <c r="G531" i="9"/>
  <c r="AA531" i="9" s="1"/>
  <c r="I530" i="9"/>
  <c r="AU530" i="9" s="1"/>
  <c r="G530" i="9"/>
  <c r="AA530" i="9" s="1"/>
  <c r="I529" i="9"/>
  <c r="AU529" i="9" s="1"/>
  <c r="G529" i="9"/>
  <c r="AA529" i="9" s="1"/>
  <c r="AV529" i="9" s="1"/>
  <c r="I528" i="9"/>
  <c r="AU528" i="9" s="1"/>
  <c r="G528" i="9"/>
  <c r="AA528" i="9" s="1"/>
  <c r="I527" i="9"/>
  <c r="AU527" i="9" s="1"/>
  <c r="G527" i="9"/>
  <c r="AA527" i="9" s="1"/>
  <c r="I526" i="9"/>
  <c r="AU526" i="9" s="1"/>
  <c r="G526" i="9"/>
  <c r="AA526" i="9" s="1"/>
  <c r="I525" i="9"/>
  <c r="AU525" i="9" s="1"/>
  <c r="G525" i="9"/>
  <c r="AA525" i="9" s="1"/>
  <c r="AV525" i="9" s="1"/>
  <c r="I524" i="9"/>
  <c r="AU524" i="9" s="1"/>
  <c r="G524" i="9"/>
  <c r="AA524" i="9" s="1"/>
  <c r="AV524" i="9" s="1"/>
  <c r="I523" i="9"/>
  <c r="AU523" i="9" s="1"/>
  <c r="G523" i="9"/>
  <c r="AA523" i="9" s="1"/>
  <c r="I522" i="9"/>
  <c r="AU522" i="9" s="1"/>
  <c r="G522" i="9"/>
  <c r="AA522" i="9" s="1"/>
  <c r="AV522" i="9" s="1"/>
  <c r="I521" i="9"/>
  <c r="AU521" i="9" s="1"/>
  <c r="G521" i="9"/>
  <c r="AA521" i="9" s="1"/>
  <c r="AV521" i="9" s="1"/>
  <c r="I520" i="9"/>
  <c r="AU520" i="9" s="1"/>
  <c r="G520" i="9"/>
  <c r="AA520" i="9" s="1"/>
  <c r="AV520" i="9" s="1"/>
  <c r="I519" i="9"/>
  <c r="AU519" i="9" s="1"/>
  <c r="G519" i="9"/>
  <c r="AA519" i="9" s="1"/>
  <c r="I518" i="9"/>
  <c r="AU518" i="9" s="1"/>
  <c r="G518" i="9"/>
  <c r="AA518" i="9" s="1"/>
  <c r="I517" i="9"/>
  <c r="AU517" i="9" s="1"/>
  <c r="G517" i="9"/>
  <c r="AA517" i="9" s="1"/>
  <c r="I516" i="9"/>
  <c r="AU516" i="9" s="1"/>
  <c r="G516" i="9"/>
  <c r="AA516" i="9" s="1"/>
  <c r="AV516" i="9" s="1"/>
  <c r="I515" i="9"/>
  <c r="AU515" i="9" s="1"/>
  <c r="G515" i="9"/>
  <c r="AA515" i="9" s="1"/>
  <c r="AV515" i="9" s="1"/>
  <c r="I514" i="9"/>
  <c r="AU514" i="9" s="1"/>
  <c r="G514" i="9"/>
  <c r="AA514" i="9" s="1"/>
  <c r="AV514" i="9" s="1"/>
  <c r="I513" i="9"/>
  <c r="AU513" i="9" s="1"/>
  <c r="G513" i="9"/>
  <c r="AA513" i="9" s="1"/>
  <c r="I512" i="9"/>
  <c r="AU512" i="9" s="1"/>
  <c r="G512" i="9"/>
  <c r="AA512" i="9" s="1"/>
  <c r="AV512" i="9" s="1"/>
  <c r="I511" i="9"/>
  <c r="AU511" i="9" s="1"/>
  <c r="G511" i="9"/>
  <c r="AA511" i="9" s="1"/>
  <c r="I510" i="9"/>
  <c r="AU510" i="9" s="1"/>
  <c r="G510" i="9"/>
  <c r="AA510" i="9" s="1"/>
  <c r="I509" i="9"/>
  <c r="AU509" i="9" s="1"/>
  <c r="G509" i="9"/>
  <c r="AA509" i="9" s="1"/>
  <c r="I508" i="9"/>
  <c r="AU508" i="9" s="1"/>
  <c r="G508" i="9"/>
  <c r="AA508" i="9" s="1"/>
  <c r="I507" i="9"/>
  <c r="AU507" i="9" s="1"/>
  <c r="G507" i="9"/>
  <c r="AA507" i="9" s="1"/>
  <c r="I506" i="9"/>
  <c r="AU506" i="9" s="1"/>
  <c r="G506" i="9"/>
  <c r="AA506" i="9" s="1"/>
  <c r="AV506" i="9" s="1"/>
  <c r="I505" i="9"/>
  <c r="AU505" i="9" s="1"/>
  <c r="G505" i="9"/>
  <c r="AA505" i="9" s="1"/>
  <c r="I504" i="9"/>
  <c r="AU504" i="9" s="1"/>
  <c r="G504" i="9"/>
  <c r="AA504" i="9" s="1"/>
  <c r="I503" i="9"/>
  <c r="AU503" i="9" s="1"/>
  <c r="G503" i="9"/>
  <c r="AA503" i="9" s="1"/>
  <c r="I502" i="9"/>
  <c r="AU502" i="9" s="1"/>
  <c r="G502" i="9"/>
  <c r="AA502" i="9" s="1"/>
  <c r="AV502" i="9" s="1"/>
  <c r="I501" i="9"/>
  <c r="AU501" i="9" s="1"/>
  <c r="G501" i="9"/>
  <c r="AA501" i="9" s="1"/>
  <c r="I500" i="9"/>
  <c r="AU500" i="9" s="1"/>
  <c r="G500" i="9"/>
  <c r="AA500" i="9" s="1"/>
  <c r="AV500" i="9" s="1"/>
  <c r="I499" i="9"/>
  <c r="AU499" i="9" s="1"/>
  <c r="G499" i="9"/>
  <c r="AA499" i="9" s="1"/>
  <c r="I498" i="9"/>
  <c r="AU498" i="9" s="1"/>
  <c r="G498" i="9"/>
  <c r="AA498" i="9" s="1"/>
  <c r="AV498" i="9" s="1"/>
  <c r="I497" i="9"/>
  <c r="AU497" i="9" s="1"/>
  <c r="G497" i="9"/>
  <c r="AA497" i="9" s="1"/>
  <c r="I496" i="9"/>
  <c r="AU496" i="9" s="1"/>
  <c r="G496" i="9"/>
  <c r="AA496" i="9" s="1"/>
  <c r="I495" i="9"/>
  <c r="AU495" i="9" s="1"/>
  <c r="G495" i="9"/>
  <c r="AA495" i="9" s="1"/>
  <c r="I494" i="9"/>
  <c r="AU494" i="9" s="1"/>
  <c r="G494" i="9"/>
  <c r="AA494" i="9" s="1"/>
  <c r="I493" i="9"/>
  <c r="AU493" i="9" s="1"/>
  <c r="G493" i="9"/>
  <c r="AA493" i="9" s="1"/>
  <c r="I492" i="9"/>
  <c r="AU492" i="9" s="1"/>
  <c r="G492" i="9"/>
  <c r="AA492" i="9" s="1"/>
  <c r="AV492" i="9" s="1"/>
  <c r="I491" i="9"/>
  <c r="AU491" i="9" s="1"/>
  <c r="G491" i="9"/>
  <c r="AA491" i="9" s="1"/>
  <c r="I490" i="9"/>
  <c r="AU490" i="9" s="1"/>
  <c r="G490" i="9"/>
  <c r="AA490" i="9" s="1"/>
  <c r="AV490" i="9" s="1"/>
  <c r="I489" i="9"/>
  <c r="AU489" i="9" s="1"/>
  <c r="G489" i="9"/>
  <c r="AA489" i="9" s="1"/>
  <c r="I488" i="9"/>
  <c r="AU488" i="9" s="1"/>
  <c r="G488" i="9"/>
  <c r="AA488" i="9" s="1"/>
  <c r="AV488" i="9" s="1"/>
  <c r="I487" i="9"/>
  <c r="AU487" i="9" s="1"/>
  <c r="G487" i="9"/>
  <c r="AA487" i="9" s="1"/>
  <c r="I486" i="9"/>
  <c r="AU486" i="9" s="1"/>
  <c r="G486" i="9"/>
  <c r="AA486" i="9" s="1"/>
  <c r="I485" i="9"/>
  <c r="AU485" i="9" s="1"/>
  <c r="G485" i="9"/>
  <c r="AA485" i="9" s="1"/>
  <c r="I484" i="9"/>
  <c r="AU484" i="9" s="1"/>
  <c r="G484" i="9"/>
  <c r="AA484" i="9" s="1"/>
  <c r="AV484" i="9" s="1"/>
  <c r="I483" i="9"/>
  <c r="AU483" i="9" s="1"/>
  <c r="G483" i="9"/>
  <c r="AA483" i="9" s="1"/>
  <c r="AV483" i="9" s="1"/>
  <c r="I482" i="9"/>
  <c r="AU482" i="9" s="1"/>
  <c r="G482" i="9"/>
  <c r="AA482" i="9" s="1"/>
  <c r="AV482" i="9" s="1"/>
  <c r="I481" i="9"/>
  <c r="AU481" i="9" s="1"/>
  <c r="G481" i="9"/>
  <c r="AA481" i="9" s="1"/>
  <c r="I480" i="9"/>
  <c r="AU480" i="9" s="1"/>
  <c r="G480" i="9"/>
  <c r="AA480" i="9" s="1"/>
  <c r="I479" i="9"/>
  <c r="AU479" i="9" s="1"/>
  <c r="G479" i="9"/>
  <c r="AA479" i="9" s="1"/>
  <c r="I478" i="9"/>
  <c r="AU478" i="9" s="1"/>
  <c r="G478" i="9"/>
  <c r="AA478" i="9" s="1"/>
  <c r="I477" i="9"/>
  <c r="AU477" i="9" s="1"/>
  <c r="G477" i="9"/>
  <c r="AA477" i="9" s="1"/>
  <c r="I476" i="9"/>
  <c r="AU476" i="9" s="1"/>
  <c r="G476" i="9"/>
  <c r="AA476" i="9" s="1"/>
  <c r="AV476" i="9" s="1"/>
  <c r="I473" i="9"/>
  <c r="AU473" i="9" s="1"/>
  <c r="G473" i="9"/>
  <c r="AA473" i="9" s="1"/>
  <c r="I472" i="9"/>
  <c r="AU472" i="9" s="1"/>
  <c r="G472" i="9"/>
  <c r="AA472" i="9" s="1"/>
  <c r="I471" i="9"/>
  <c r="AU471" i="9" s="1"/>
  <c r="G471" i="9"/>
  <c r="AA471" i="9" s="1"/>
  <c r="I470" i="9"/>
  <c r="AU470" i="9" s="1"/>
  <c r="G470" i="9"/>
  <c r="AA470" i="9" s="1"/>
  <c r="I469" i="9"/>
  <c r="AU469" i="9" s="1"/>
  <c r="G469" i="9"/>
  <c r="AA469" i="9" s="1"/>
  <c r="I468" i="9"/>
  <c r="AU468" i="9" s="1"/>
  <c r="G468" i="9"/>
  <c r="AA468" i="9" s="1"/>
  <c r="I467" i="9"/>
  <c r="AU467" i="9" s="1"/>
  <c r="G467" i="9"/>
  <c r="AA467" i="9" s="1"/>
  <c r="AV467" i="9" s="1"/>
  <c r="I466" i="9"/>
  <c r="AU466" i="9" s="1"/>
  <c r="G466" i="9"/>
  <c r="AA466" i="9" s="1"/>
  <c r="I465" i="9"/>
  <c r="AU465" i="9" s="1"/>
  <c r="G465" i="9"/>
  <c r="AA465" i="9" s="1"/>
  <c r="I464" i="9"/>
  <c r="AU464" i="9" s="1"/>
  <c r="G464" i="9"/>
  <c r="AA464" i="9" s="1"/>
  <c r="I463" i="9"/>
  <c r="AU463" i="9" s="1"/>
  <c r="G463" i="9"/>
  <c r="AA463" i="9" s="1"/>
  <c r="I462" i="9"/>
  <c r="AU462" i="9" s="1"/>
  <c r="G462" i="9"/>
  <c r="AA462" i="9" s="1"/>
  <c r="I461" i="9"/>
  <c r="AU461" i="9" s="1"/>
  <c r="G461" i="9"/>
  <c r="AA461" i="9" s="1"/>
  <c r="I460" i="9"/>
  <c r="AU460" i="9" s="1"/>
  <c r="G460" i="9"/>
  <c r="AA460" i="9" s="1"/>
  <c r="AV460" i="9" s="1"/>
  <c r="I459" i="9"/>
  <c r="AU459" i="9" s="1"/>
  <c r="G459" i="9"/>
  <c r="AA459" i="9" s="1"/>
  <c r="AV459" i="9" s="1"/>
  <c r="I458" i="9"/>
  <c r="AU458" i="9" s="1"/>
  <c r="G458" i="9"/>
  <c r="AA458" i="9" s="1"/>
  <c r="AV458" i="9" s="1"/>
  <c r="I457" i="9"/>
  <c r="AU457" i="9" s="1"/>
  <c r="G457" i="9"/>
  <c r="AA457" i="9" s="1"/>
  <c r="I456" i="9"/>
  <c r="AU456" i="9" s="1"/>
  <c r="G456" i="9"/>
  <c r="AA456" i="9" s="1"/>
  <c r="AV456" i="9" s="1"/>
  <c r="I455" i="9"/>
  <c r="AU455" i="9" s="1"/>
  <c r="G455" i="9"/>
  <c r="AA455" i="9" s="1"/>
  <c r="I454" i="9"/>
  <c r="AU454" i="9" s="1"/>
  <c r="G454" i="9"/>
  <c r="AA454" i="9" s="1"/>
  <c r="I453" i="9"/>
  <c r="AU453" i="9" s="1"/>
  <c r="G453" i="9"/>
  <c r="AA453" i="9" s="1"/>
  <c r="I452" i="9"/>
  <c r="AU452" i="9" s="1"/>
  <c r="G452" i="9"/>
  <c r="AA452" i="9" s="1"/>
  <c r="AV452" i="9" s="1"/>
  <c r="I451" i="9"/>
  <c r="AU451" i="9" s="1"/>
  <c r="G451" i="9"/>
  <c r="AA451" i="9" s="1"/>
  <c r="AV451" i="9" s="1"/>
  <c r="I450" i="9"/>
  <c r="AU450" i="9" s="1"/>
  <c r="G450" i="9"/>
  <c r="AA450" i="9" s="1"/>
  <c r="AV450" i="9" s="1"/>
  <c r="I449" i="9"/>
  <c r="AU449" i="9" s="1"/>
  <c r="G449" i="9"/>
  <c r="AA449" i="9" s="1"/>
  <c r="I448" i="9"/>
  <c r="AU448" i="9" s="1"/>
  <c r="G448" i="9"/>
  <c r="AA448" i="9" s="1"/>
  <c r="I447" i="9"/>
  <c r="AU447" i="9" s="1"/>
  <c r="G447" i="9"/>
  <c r="AA447" i="9" s="1"/>
  <c r="I446" i="9"/>
  <c r="AU446" i="9" s="1"/>
  <c r="G446" i="9"/>
  <c r="AA446" i="9" s="1"/>
  <c r="I445" i="9"/>
  <c r="AU445" i="9" s="1"/>
  <c r="G445" i="9"/>
  <c r="AA445" i="9" s="1"/>
  <c r="I444" i="9"/>
  <c r="AU444" i="9" s="1"/>
  <c r="G444" i="9"/>
  <c r="AA444" i="9" s="1"/>
  <c r="AV444" i="9" s="1"/>
  <c r="I443" i="9"/>
  <c r="AU443" i="9" s="1"/>
  <c r="G443" i="9"/>
  <c r="AA443" i="9" s="1"/>
  <c r="AV443" i="9" s="1"/>
  <c r="I442" i="9"/>
  <c r="AU442" i="9" s="1"/>
  <c r="G442" i="9"/>
  <c r="AA442" i="9" s="1"/>
  <c r="AV442" i="9" s="1"/>
  <c r="I441" i="9"/>
  <c r="AU441" i="9" s="1"/>
  <c r="G441" i="9"/>
  <c r="AA441" i="9" s="1"/>
  <c r="I440" i="9"/>
  <c r="AU440" i="9" s="1"/>
  <c r="G440" i="9"/>
  <c r="AA440" i="9" s="1"/>
  <c r="I439" i="9"/>
  <c r="AU439" i="9" s="1"/>
  <c r="G439" i="9"/>
  <c r="AA439" i="9" s="1"/>
  <c r="I438" i="9"/>
  <c r="AU438" i="9" s="1"/>
  <c r="G438" i="9"/>
  <c r="AA438" i="9" s="1"/>
  <c r="I437" i="9"/>
  <c r="AU437" i="9" s="1"/>
  <c r="G437" i="9"/>
  <c r="AA437" i="9" s="1"/>
  <c r="I436" i="9"/>
  <c r="AU436" i="9" s="1"/>
  <c r="G436" i="9"/>
  <c r="AA436" i="9" s="1"/>
  <c r="AV436" i="9" s="1"/>
  <c r="I435" i="9"/>
  <c r="AU435" i="9" s="1"/>
  <c r="G435" i="9"/>
  <c r="AA435" i="9" s="1"/>
  <c r="AV435" i="9" s="1"/>
  <c r="I434" i="9"/>
  <c r="AU434" i="9" s="1"/>
  <c r="G434" i="9"/>
  <c r="AA434" i="9" s="1"/>
  <c r="AV434" i="9" s="1"/>
  <c r="I433" i="9"/>
  <c r="AU433" i="9" s="1"/>
  <c r="G433" i="9"/>
  <c r="AA433" i="9" s="1"/>
  <c r="I432" i="9"/>
  <c r="AU432" i="9" s="1"/>
  <c r="G432" i="9"/>
  <c r="AA432" i="9" s="1"/>
  <c r="I431" i="9"/>
  <c r="AU431" i="9" s="1"/>
  <c r="G431" i="9"/>
  <c r="AA431" i="9" s="1"/>
  <c r="I430" i="9"/>
  <c r="AU430" i="9" s="1"/>
  <c r="G430" i="9"/>
  <c r="AA430" i="9" s="1"/>
  <c r="I429" i="9"/>
  <c r="AU429" i="9" s="1"/>
  <c r="G429" i="9"/>
  <c r="AA429" i="9" s="1"/>
  <c r="I428" i="9"/>
  <c r="AU428" i="9" s="1"/>
  <c r="G428" i="9"/>
  <c r="AA428" i="9" s="1"/>
  <c r="I427" i="9"/>
  <c r="AU427" i="9" s="1"/>
  <c r="G427" i="9"/>
  <c r="AA427" i="9" s="1"/>
  <c r="AV427" i="9" s="1"/>
  <c r="I426" i="9"/>
  <c r="AU426" i="9" s="1"/>
  <c r="G426" i="9"/>
  <c r="AA426" i="9" s="1"/>
  <c r="I425" i="9"/>
  <c r="AU425" i="9" s="1"/>
  <c r="G425" i="9"/>
  <c r="AA425" i="9" s="1"/>
  <c r="I424" i="9"/>
  <c r="AU424" i="9" s="1"/>
  <c r="G424" i="9"/>
  <c r="AA424" i="9" s="1"/>
  <c r="I423" i="9"/>
  <c r="AU423" i="9" s="1"/>
  <c r="G423" i="9"/>
  <c r="AA423" i="9" s="1"/>
  <c r="I422" i="9"/>
  <c r="AU422" i="9" s="1"/>
  <c r="G422" i="9"/>
  <c r="AA422" i="9" s="1"/>
  <c r="AV422" i="9" s="1"/>
  <c r="I421" i="9"/>
  <c r="AU421" i="9" s="1"/>
  <c r="G421" i="9"/>
  <c r="AA421" i="9" s="1"/>
  <c r="AV421" i="9" s="1"/>
  <c r="I420" i="9"/>
  <c r="AU420" i="9" s="1"/>
  <c r="G420" i="9"/>
  <c r="AA420" i="9" s="1"/>
  <c r="I419" i="9"/>
  <c r="AU419" i="9" s="1"/>
  <c r="G419" i="9"/>
  <c r="AA419" i="9" s="1"/>
  <c r="AV419" i="9" s="1"/>
  <c r="I418" i="9"/>
  <c r="AU418" i="9" s="1"/>
  <c r="G418" i="9"/>
  <c r="AA418" i="9" s="1"/>
  <c r="I415" i="9"/>
  <c r="AU415" i="9" s="1"/>
  <c r="G415" i="9"/>
  <c r="AA415" i="9" s="1"/>
  <c r="I414" i="9"/>
  <c r="AU414" i="9" s="1"/>
  <c r="G414" i="9"/>
  <c r="AA414" i="9" s="1"/>
  <c r="AV414" i="9" s="1"/>
  <c r="I413" i="9"/>
  <c r="AU413" i="9" s="1"/>
  <c r="G413" i="9"/>
  <c r="AA413" i="9" s="1"/>
  <c r="I412" i="9"/>
  <c r="AU412" i="9" s="1"/>
  <c r="G412" i="9"/>
  <c r="AA412" i="9" s="1"/>
  <c r="I411" i="9"/>
  <c r="AU411" i="9" s="1"/>
  <c r="G411" i="9"/>
  <c r="AA411" i="9" s="1"/>
  <c r="I410" i="9"/>
  <c r="AU410" i="9" s="1"/>
  <c r="G410" i="9"/>
  <c r="AA410" i="9" s="1"/>
  <c r="I409" i="9"/>
  <c r="AU409" i="9" s="1"/>
  <c r="G409" i="9"/>
  <c r="AA409" i="9" s="1"/>
  <c r="AV409" i="9" s="1"/>
  <c r="I408" i="9"/>
  <c r="AU408" i="9" s="1"/>
  <c r="G408" i="9"/>
  <c r="AA408" i="9" s="1"/>
  <c r="AV408" i="9" s="1"/>
  <c r="I407" i="9"/>
  <c r="AU407" i="9" s="1"/>
  <c r="G407" i="9"/>
  <c r="AA407" i="9" s="1"/>
  <c r="I406" i="9"/>
  <c r="AU406" i="9" s="1"/>
  <c r="G406" i="9"/>
  <c r="AA406" i="9" s="1"/>
  <c r="AV406" i="9" s="1"/>
  <c r="I405" i="9"/>
  <c r="AU405" i="9" s="1"/>
  <c r="G405" i="9"/>
  <c r="AA405" i="9" s="1"/>
  <c r="I404" i="9"/>
  <c r="AU404" i="9" s="1"/>
  <c r="G404" i="9"/>
  <c r="AA404" i="9" s="1"/>
  <c r="I403" i="9"/>
  <c r="AU403" i="9" s="1"/>
  <c r="G403" i="9"/>
  <c r="AA403" i="9" s="1"/>
  <c r="I402" i="9"/>
  <c r="AU402" i="9" s="1"/>
  <c r="G402" i="9"/>
  <c r="AA402" i="9" s="1"/>
  <c r="I401" i="9"/>
  <c r="AU401" i="9" s="1"/>
  <c r="G401" i="9"/>
  <c r="AA401" i="9" s="1"/>
  <c r="AV401" i="9" s="1"/>
  <c r="I400" i="9"/>
  <c r="AU400" i="9" s="1"/>
  <c r="G400" i="9"/>
  <c r="AA400" i="9" s="1"/>
  <c r="I399" i="9"/>
  <c r="AU399" i="9" s="1"/>
  <c r="G399" i="9"/>
  <c r="AA399" i="9" s="1"/>
  <c r="I398" i="9"/>
  <c r="AU398" i="9" s="1"/>
  <c r="G398" i="9"/>
  <c r="AA398" i="9" s="1"/>
  <c r="I397" i="9"/>
  <c r="AU397" i="9" s="1"/>
  <c r="G397" i="9"/>
  <c r="AA397" i="9" s="1"/>
  <c r="I396" i="9"/>
  <c r="AU396" i="9" s="1"/>
  <c r="G396" i="9"/>
  <c r="AA396" i="9" s="1"/>
  <c r="I395" i="9"/>
  <c r="AU395" i="9" s="1"/>
  <c r="G395" i="9"/>
  <c r="AA395" i="9" s="1"/>
  <c r="AV395" i="9" s="1"/>
  <c r="I394" i="9"/>
  <c r="AU394" i="9" s="1"/>
  <c r="G394" i="9"/>
  <c r="AA394" i="9" s="1"/>
  <c r="AV394" i="9" s="1"/>
  <c r="I393" i="9"/>
  <c r="AU393" i="9" s="1"/>
  <c r="G393" i="9"/>
  <c r="AA393" i="9" s="1"/>
  <c r="AV393" i="9" s="1"/>
  <c r="I392" i="9"/>
  <c r="AU392" i="9" s="1"/>
  <c r="G392" i="9"/>
  <c r="AA392" i="9" s="1"/>
  <c r="AV392" i="9" s="1"/>
  <c r="I391" i="9"/>
  <c r="AU391" i="9" s="1"/>
  <c r="G391" i="9"/>
  <c r="AA391" i="9" s="1"/>
  <c r="I390" i="9"/>
  <c r="AU390" i="9" s="1"/>
  <c r="G390" i="9"/>
  <c r="AA390" i="9" s="1"/>
  <c r="I389" i="9"/>
  <c r="AU389" i="9" s="1"/>
  <c r="G389" i="9"/>
  <c r="AA389" i="9" s="1"/>
  <c r="AV389" i="9" s="1"/>
  <c r="I388" i="9"/>
  <c r="AU388" i="9" s="1"/>
  <c r="G388" i="9"/>
  <c r="AA388" i="9" s="1"/>
  <c r="I387" i="9"/>
  <c r="AU387" i="9" s="1"/>
  <c r="G387" i="9"/>
  <c r="AA387" i="9" s="1"/>
  <c r="I386" i="9"/>
  <c r="AU386" i="9" s="1"/>
  <c r="G386" i="9"/>
  <c r="AA386" i="9" s="1"/>
  <c r="I385" i="9"/>
  <c r="AU385" i="9" s="1"/>
  <c r="G385" i="9"/>
  <c r="AA385" i="9" s="1"/>
  <c r="AV385" i="9" s="1"/>
  <c r="I384" i="9"/>
  <c r="AU384" i="9" s="1"/>
  <c r="G384" i="9"/>
  <c r="AA384" i="9" s="1"/>
  <c r="I383" i="9"/>
  <c r="AU383" i="9" s="1"/>
  <c r="G383" i="9"/>
  <c r="AA383" i="9" s="1"/>
  <c r="I382" i="9"/>
  <c r="AU382" i="9" s="1"/>
  <c r="G382" i="9"/>
  <c r="AA382" i="9" s="1"/>
  <c r="AV382" i="9" s="1"/>
  <c r="I381" i="9"/>
  <c r="AU381" i="9" s="1"/>
  <c r="G381" i="9"/>
  <c r="AA381" i="9" s="1"/>
  <c r="I380" i="9"/>
  <c r="AU380" i="9" s="1"/>
  <c r="G380" i="9"/>
  <c r="AA380" i="9" s="1"/>
  <c r="I379" i="9"/>
  <c r="AU379" i="9" s="1"/>
  <c r="G379" i="9"/>
  <c r="AA379" i="9" s="1"/>
  <c r="I378" i="9"/>
  <c r="AU378" i="9" s="1"/>
  <c r="G378" i="9"/>
  <c r="AA378" i="9" s="1"/>
  <c r="I377" i="9"/>
  <c r="AU377" i="9" s="1"/>
  <c r="G377" i="9"/>
  <c r="AA377" i="9" s="1"/>
  <c r="AV377" i="9" s="1"/>
  <c r="I376" i="9"/>
  <c r="AU376" i="9" s="1"/>
  <c r="G376" i="9"/>
  <c r="AA376" i="9" s="1"/>
  <c r="I375" i="9"/>
  <c r="AU375" i="9" s="1"/>
  <c r="G375" i="9"/>
  <c r="AA375" i="9" s="1"/>
  <c r="AV375" i="9" s="1"/>
  <c r="I374" i="9"/>
  <c r="AU374" i="9" s="1"/>
  <c r="G374" i="9"/>
  <c r="AA374" i="9" s="1"/>
  <c r="I373" i="9"/>
  <c r="AU373" i="9" s="1"/>
  <c r="G373" i="9"/>
  <c r="AA373" i="9" s="1"/>
  <c r="AV373" i="9" s="1"/>
  <c r="I372" i="9"/>
  <c r="AU372" i="9" s="1"/>
  <c r="G372" i="9"/>
  <c r="AA372" i="9" s="1"/>
  <c r="I371" i="9"/>
  <c r="AU371" i="9" s="1"/>
  <c r="G371" i="9"/>
  <c r="AA371" i="9" s="1"/>
  <c r="I370" i="9"/>
  <c r="AU370" i="9" s="1"/>
  <c r="G370" i="9"/>
  <c r="AA370" i="9" s="1"/>
  <c r="I369" i="9"/>
  <c r="AU369" i="9" s="1"/>
  <c r="G369" i="9"/>
  <c r="AA369" i="9" s="1"/>
  <c r="I368" i="9"/>
  <c r="AU368" i="9" s="1"/>
  <c r="G368" i="9"/>
  <c r="AA368" i="9" s="1"/>
  <c r="I367" i="9"/>
  <c r="AU367" i="9" s="1"/>
  <c r="G367" i="9"/>
  <c r="AA367" i="9" s="1"/>
  <c r="I366" i="9"/>
  <c r="AU366" i="9" s="1"/>
  <c r="G366" i="9"/>
  <c r="AA366" i="9" s="1"/>
  <c r="I365" i="9"/>
  <c r="AU365" i="9" s="1"/>
  <c r="G365" i="9"/>
  <c r="AA365" i="9" s="1"/>
  <c r="AV365" i="9" s="1"/>
  <c r="I364" i="9"/>
  <c r="AU364" i="9" s="1"/>
  <c r="G364" i="9"/>
  <c r="AA364" i="9" s="1"/>
  <c r="I363" i="9"/>
  <c r="AU363" i="9" s="1"/>
  <c r="G363" i="9"/>
  <c r="AA363" i="9" s="1"/>
  <c r="I362" i="9"/>
  <c r="AU362" i="9" s="1"/>
  <c r="G362" i="9"/>
  <c r="AA362" i="9" s="1"/>
  <c r="I361" i="9"/>
  <c r="AU361" i="9" s="1"/>
  <c r="G361" i="9"/>
  <c r="AA361" i="9" s="1"/>
  <c r="I360" i="9"/>
  <c r="AU360" i="9" s="1"/>
  <c r="G360" i="9"/>
  <c r="AA360" i="9" s="1"/>
  <c r="I357" i="9"/>
  <c r="AU357" i="9" s="1"/>
  <c r="G357" i="9"/>
  <c r="AA357" i="9" s="1"/>
  <c r="I356" i="9"/>
  <c r="AU356" i="9" s="1"/>
  <c r="G356" i="9"/>
  <c r="AA356" i="9" s="1"/>
  <c r="AV356" i="9" s="1"/>
  <c r="I355" i="9"/>
  <c r="AU355" i="9" s="1"/>
  <c r="G355" i="9"/>
  <c r="AA355" i="9" s="1"/>
  <c r="I354" i="9"/>
  <c r="AU354" i="9" s="1"/>
  <c r="G354" i="9"/>
  <c r="AA354" i="9" s="1"/>
  <c r="I353" i="9"/>
  <c r="AU353" i="9" s="1"/>
  <c r="G353" i="9"/>
  <c r="AA353" i="9" s="1"/>
  <c r="I352" i="9"/>
  <c r="AU352" i="9" s="1"/>
  <c r="G352" i="9"/>
  <c r="AA352" i="9" s="1"/>
  <c r="I351" i="9"/>
  <c r="AU351" i="9" s="1"/>
  <c r="G351" i="9"/>
  <c r="AA351" i="9" s="1"/>
  <c r="AV351" i="9" s="1"/>
  <c r="I350" i="9"/>
  <c r="AU350" i="9" s="1"/>
  <c r="G350" i="9"/>
  <c r="AA350" i="9" s="1"/>
  <c r="AV350" i="9" s="1"/>
  <c r="I349" i="9"/>
  <c r="AU349" i="9" s="1"/>
  <c r="G349" i="9"/>
  <c r="AA349" i="9" s="1"/>
  <c r="AV349" i="9" s="1"/>
  <c r="I348" i="9"/>
  <c r="AU348" i="9" s="1"/>
  <c r="G348" i="9"/>
  <c r="AA348" i="9" s="1"/>
  <c r="AV348" i="9" s="1"/>
  <c r="I347" i="9"/>
  <c r="AU347" i="9" s="1"/>
  <c r="G347" i="9"/>
  <c r="AA347" i="9" s="1"/>
  <c r="AV347" i="9" s="1"/>
  <c r="I346" i="9"/>
  <c r="AU346" i="9" s="1"/>
  <c r="G346" i="9"/>
  <c r="AA346" i="9" s="1"/>
  <c r="I345" i="9"/>
  <c r="AU345" i="9" s="1"/>
  <c r="G345" i="9"/>
  <c r="AA345" i="9" s="1"/>
  <c r="I344" i="9"/>
  <c r="AU344" i="9" s="1"/>
  <c r="G344" i="9"/>
  <c r="AA344" i="9" s="1"/>
  <c r="I343" i="9"/>
  <c r="AU343" i="9" s="1"/>
  <c r="G343" i="9"/>
  <c r="AA343" i="9" s="1"/>
  <c r="AV343" i="9" s="1"/>
  <c r="I342" i="9"/>
  <c r="AU342" i="9" s="1"/>
  <c r="G342" i="9"/>
  <c r="AA342" i="9" s="1"/>
  <c r="AV342" i="9" s="1"/>
  <c r="I341" i="9"/>
  <c r="AU341" i="9" s="1"/>
  <c r="G341" i="9"/>
  <c r="AA341" i="9" s="1"/>
  <c r="AV341" i="9" s="1"/>
  <c r="I340" i="9"/>
  <c r="AU340" i="9" s="1"/>
  <c r="G340" i="9"/>
  <c r="AA340" i="9" s="1"/>
  <c r="AV340" i="9" s="1"/>
  <c r="I339" i="9"/>
  <c r="AU339" i="9" s="1"/>
  <c r="G339" i="9"/>
  <c r="AA339" i="9" s="1"/>
  <c r="AV339" i="9" s="1"/>
  <c r="I338" i="9"/>
  <c r="AU338" i="9" s="1"/>
  <c r="G338" i="9"/>
  <c r="AA338" i="9" s="1"/>
  <c r="I337" i="9"/>
  <c r="AU337" i="9" s="1"/>
  <c r="G337" i="9"/>
  <c r="AA337" i="9" s="1"/>
  <c r="I336" i="9"/>
  <c r="AU336" i="9" s="1"/>
  <c r="G336" i="9"/>
  <c r="AA336" i="9" s="1"/>
  <c r="I335" i="9"/>
  <c r="AU335" i="9" s="1"/>
  <c r="G335" i="9"/>
  <c r="AA335" i="9" s="1"/>
  <c r="I334" i="9"/>
  <c r="AU334" i="9" s="1"/>
  <c r="G334" i="9"/>
  <c r="AA334" i="9" s="1"/>
  <c r="AV334" i="9" s="1"/>
  <c r="I333" i="9"/>
  <c r="AU333" i="9" s="1"/>
  <c r="G333" i="9"/>
  <c r="AA333" i="9" s="1"/>
  <c r="I332" i="9"/>
  <c r="AU332" i="9" s="1"/>
  <c r="G332" i="9"/>
  <c r="AA332" i="9" s="1"/>
  <c r="AV332" i="9" s="1"/>
  <c r="I331" i="9"/>
  <c r="AU331" i="9" s="1"/>
  <c r="G331" i="9"/>
  <c r="AA331" i="9" s="1"/>
  <c r="I330" i="9"/>
  <c r="AU330" i="9" s="1"/>
  <c r="G330" i="9"/>
  <c r="AA330" i="9" s="1"/>
  <c r="I329" i="9"/>
  <c r="AU329" i="9" s="1"/>
  <c r="G329" i="9"/>
  <c r="AA329" i="9" s="1"/>
  <c r="I328" i="9"/>
  <c r="AU328" i="9" s="1"/>
  <c r="G328" i="9"/>
  <c r="AA328" i="9" s="1"/>
  <c r="I327" i="9"/>
  <c r="AU327" i="9" s="1"/>
  <c r="G327" i="9"/>
  <c r="AA327" i="9" s="1"/>
  <c r="AV327" i="9" s="1"/>
  <c r="I326" i="9"/>
  <c r="AU326" i="9" s="1"/>
  <c r="G326" i="9"/>
  <c r="AA326" i="9" s="1"/>
  <c r="I325" i="9"/>
  <c r="AU325" i="9" s="1"/>
  <c r="G325" i="9"/>
  <c r="AA325" i="9" s="1"/>
  <c r="AV325" i="9" s="1"/>
  <c r="I324" i="9"/>
  <c r="AU324" i="9" s="1"/>
  <c r="G324" i="9"/>
  <c r="AA324" i="9" s="1"/>
  <c r="I323" i="9"/>
  <c r="AU323" i="9" s="1"/>
  <c r="G323" i="9"/>
  <c r="AA323" i="9" s="1"/>
  <c r="AV323" i="9" s="1"/>
  <c r="I322" i="9"/>
  <c r="AU322" i="9" s="1"/>
  <c r="G322" i="9"/>
  <c r="AA322" i="9" s="1"/>
  <c r="I321" i="9"/>
  <c r="AU321" i="9" s="1"/>
  <c r="G321" i="9"/>
  <c r="AA321" i="9" s="1"/>
  <c r="I320" i="9"/>
  <c r="AU320" i="9" s="1"/>
  <c r="G320" i="9"/>
  <c r="AA320" i="9" s="1"/>
  <c r="I319" i="9"/>
  <c r="AU319" i="9" s="1"/>
  <c r="G319" i="9"/>
  <c r="AA319" i="9" s="1"/>
  <c r="AV319" i="9" s="1"/>
  <c r="I318" i="9"/>
  <c r="AU318" i="9" s="1"/>
  <c r="G318" i="9"/>
  <c r="AA318" i="9" s="1"/>
  <c r="AV318" i="9" s="1"/>
  <c r="I317" i="9"/>
  <c r="AU317" i="9" s="1"/>
  <c r="G317" i="9"/>
  <c r="AA317" i="9" s="1"/>
  <c r="AV317" i="9" s="1"/>
  <c r="I316" i="9"/>
  <c r="AU316" i="9" s="1"/>
  <c r="G316" i="9"/>
  <c r="AA316" i="9" s="1"/>
  <c r="AV316" i="9" s="1"/>
  <c r="I315" i="9"/>
  <c r="AU315" i="9" s="1"/>
  <c r="G315" i="9"/>
  <c r="AA315" i="9" s="1"/>
  <c r="AV315" i="9" s="1"/>
  <c r="I314" i="9"/>
  <c r="AU314" i="9" s="1"/>
  <c r="G314" i="9"/>
  <c r="AA314" i="9" s="1"/>
  <c r="I313" i="9"/>
  <c r="AU313" i="9" s="1"/>
  <c r="G313" i="9"/>
  <c r="AA313" i="9" s="1"/>
  <c r="I312" i="9"/>
  <c r="AU312" i="9" s="1"/>
  <c r="G312" i="9"/>
  <c r="AA312" i="9" s="1"/>
  <c r="AV312" i="9" s="1"/>
  <c r="I311" i="9"/>
  <c r="AU311" i="9" s="1"/>
  <c r="G311" i="9"/>
  <c r="AA311" i="9" s="1"/>
  <c r="I310" i="9"/>
  <c r="AU310" i="9" s="1"/>
  <c r="G310" i="9"/>
  <c r="AA310" i="9" s="1"/>
  <c r="AV310" i="9" s="1"/>
  <c r="I309" i="9"/>
  <c r="AU309" i="9" s="1"/>
  <c r="G309" i="9"/>
  <c r="AA309" i="9" s="1"/>
  <c r="I308" i="9"/>
  <c r="AU308" i="9" s="1"/>
  <c r="G308" i="9"/>
  <c r="AA308" i="9" s="1"/>
  <c r="I307" i="9"/>
  <c r="AU307" i="9" s="1"/>
  <c r="G307" i="9"/>
  <c r="AA307" i="9" s="1"/>
  <c r="I306" i="9"/>
  <c r="AU306" i="9" s="1"/>
  <c r="G306" i="9"/>
  <c r="AA306" i="9" s="1"/>
  <c r="I305" i="9"/>
  <c r="AU305" i="9" s="1"/>
  <c r="G305" i="9"/>
  <c r="AA305" i="9" s="1"/>
  <c r="AV305" i="9" s="1"/>
  <c r="I304" i="9"/>
  <c r="AU304" i="9" s="1"/>
  <c r="G304" i="9"/>
  <c r="AA304" i="9" s="1"/>
  <c r="I303" i="9"/>
  <c r="AU303" i="9" s="1"/>
  <c r="G303" i="9"/>
  <c r="AA303" i="9" s="1"/>
  <c r="I302" i="9"/>
  <c r="AU302" i="9" s="1"/>
  <c r="G302" i="9"/>
  <c r="AA302" i="9" s="1"/>
  <c r="I299" i="9"/>
  <c r="AU299" i="9" s="1"/>
  <c r="G299" i="9"/>
  <c r="AA299" i="9" s="1"/>
  <c r="I298" i="9"/>
  <c r="AU298" i="9" s="1"/>
  <c r="G298" i="9"/>
  <c r="AA298" i="9" s="1"/>
  <c r="AV298" i="9" s="1"/>
  <c r="I297" i="9"/>
  <c r="AU297" i="9" s="1"/>
  <c r="G297" i="9"/>
  <c r="AA297" i="9" s="1"/>
  <c r="I296" i="9"/>
  <c r="AU296" i="9" s="1"/>
  <c r="G296" i="9"/>
  <c r="AA296" i="9" s="1"/>
  <c r="AV296" i="9" s="1"/>
  <c r="I295" i="9"/>
  <c r="AU295" i="9" s="1"/>
  <c r="G295" i="9"/>
  <c r="AA295" i="9" s="1"/>
  <c r="I294" i="9"/>
  <c r="AU294" i="9" s="1"/>
  <c r="G294" i="9"/>
  <c r="AA294" i="9" s="1"/>
  <c r="AV294" i="9" s="1"/>
  <c r="I293" i="9"/>
  <c r="AU293" i="9" s="1"/>
  <c r="G293" i="9"/>
  <c r="AA293" i="9" s="1"/>
  <c r="AV293" i="9" s="1"/>
  <c r="I292" i="9"/>
  <c r="AU292" i="9" s="1"/>
  <c r="G292" i="9"/>
  <c r="AA292" i="9" s="1"/>
  <c r="I291" i="9"/>
  <c r="AU291" i="9" s="1"/>
  <c r="G291" i="9"/>
  <c r="AA291" i="9" s="1"/>
  <c r="I290" i="9"/>
  <c r="AU290" i="9" s="1"/>
  <c r="G290" i="9"/>
  <c r="AA290" i="9" s="1"/>
  <c r="I289" i="9"/>
  <c r="AU289" i="9" s="1"/>
  <c r="G289" i="9"/>
  <c r="AA289" i="9" s="1"/>
  <c r="AV289" i="9" s="1"/>
  <c r="I288" i="9"/>
  <c r="AU288" i="9" s="1"/>
  <c r="G288" i="9"/>
  <c r="AA288" i="9" s="1"/>
  <c r="I287" i="9"/>
  <c r="AU287" i="9" s="1"/>
  <c r="G287" i="9"/>
  <c r="AA287" i="9" s="1"/>
  <c r="I286" i="9"/>
  <c r="AU286" i="9" s="1"/>
  <c r="G286" i="9"/>
  <c r="AA286" i="9" s="1"/>
  <c r="I285" i="9"/>
  <c r="AU285" i="9" s="1"/>
  <c r="G285" i="9"/>
  <c r="AA285" i="9" s="1"/>
  <c r="AV285" i="9" s="1"/>
  <c r="I284" i="9"/>
  <c r="AU284" i="9" s="1"/>
  <c r="G284" i="9"/>
  <c r="AA284" i="9" s="1"/>
  <c r="I283" i="9"/>
  <c r="AU283" i="9" s="1"/>
  <c r="G283" i="9"/>
  <c r="AA283" i="9" s="1"/>
  <c r="I282" i="9"/>
  <c r="AU282" i="9" s="1"/>
  <c r="G282" i="9"/>
  <c r="AA282" i="9" s="1"/>
  <c r="I281" i="9"/>
  <c r="AU281" i="9" s="1"/>
  <c r="G281" i="9"/>
  <c r="AA281" i="9" s="1"/>
  <c r="AV281" i="9" s="1"/>
  <c r="I280" i="9"/>
  <c r="AU280" i="9" s="1"/>
  <c r="G280" i="9"/>
  <c r="AA280" i="9" s="1"/>
  <c r="AV280" i="9" s="1"/>
  <c r="I279" i="9"/>
  <c r="AU279" i="9" s="1"/>
  <c r="G279" i="9"/>
  <c r="AA279" i="9" s="1"/>
  <c r="I278" i="9"/>
  <c r="AU278" i="9" s="1"/>
  <c r="G278" i="9"/>
  <c r="AA278" i="9" s="1"/>
  <c r="I277" i="9"/>
  <c r="AU277" i="9" s="1"/>
  <c r="G277" i="9"/>
  <c r="AA277" i="9" s="1"/>
  <c r="AV277" i="9" s="1"/>
  <c r="I276" i="9"/>
  <c r="AU276" i="9" s="1"/>
  <c r="G276" i="9"/>
  <c r="AA276" i="9" s="1"/>
  <c r="I275" i="9"/>
  <c r="AU275" i="9" s="1"/>
  <c r="G275" i="9"/>
  <c r="AA275" i="9" s="1"/>
  <c r="I274" i="9"/>
  <c r="AU274" i="9" s="1"/>
  <c r="G274" i="9"/>
  <c r="AA274" i="9" s="1"/>
  <c r="I273" i="9"/>
  <c r="AU273" i="9" s="1"/>
  <c r="G273" i="9"/>
  <c r="AA273" i="9" s="1"/>
  <c r="AV273" i="9" s="1"/>
  <c r="I272" i="9"/>
  <c r="AU272" i="9" s="1"/>
  <c r="G272" i="9"/>
  <c r="AA272" i="9" s="1"/>
  <c r="AV272" i="9" s="1"/>
  <c r="I271" i="9"/>
  <c r="AU271" i="9" s="1"/>
  <c r="G271" i="9"/>
  <c r="AA271" i="9" s="1"/>
  <c r="I270" i="9"/>
  <c r="AU270" i="9" s="1"/>
  <c r="G270" i="9"/>
  <c r="AA270" i="9" s="1"/>
  <c r="I269" i="9"/>
  <c r="AU269" i="9" s="1"/>
  <c r="G269" i="9"/>
  <c r="AA269" i="9" s="1"/>
  <c r="I268" i="9"/>
  <c r="AU268" i="9" s="1"/>
  <c r="G268" i="9"/>
  <c r="AA268" i="9" s="1"/>
  <c r="I267" i="9"/>
  <c r="AU267" i="9" s="1"/>
  <c r="G267" i="9"/>
  <c r="AA267" i="9" s="1"/>
  <c r="I266" i="9"/>
  <c r="AU266" i="9" s="1"/>
  <c r="G266" i="9"/>
  <c r="AA266" i="9" s="1"/>
  <c r="I265" i="9"/>
  <c r="AU265" i="9" s="1"/>
  <c r="G265" i="9"/>
  <c r="AA265" i="9" s="1"/>
  <c r="AV265" i="9" s="1"/>
  <c r="I264" i="9"/>
  <c r="AU264" i="9" s="1"/>
  <c r="G264" i="9"/>
  <c r="AA264" i="9" s="1"/>
  <c r="I263" i="9"/>
  <c r="AU263" i="9" s="1"/>
  <c r="G263" i="9"/>
  <c r="AA263" i="9" s="1"/>
  <c r="I262" i="9"/>
  <c r="AU262" i="9" s="1"/>
  <c r="G262" i="9"/>
  <c r="AA262" i="9" s="1"/>
  <c r="I261" i="9"/>
  <c r="AU261" i="9" s="1"/>
  <c r="G261" i="9"/>
  <c r="AA261" i="9" s="1"/>
  <c r="AV261" i="9" s="1"/>
  <c r="I260" i="9"/>
  <c r="AU260" i="9" s="1"/>
  <c r="G260" i="9"/>
  <c r="AA260" i="9" s="1"/>
  <c r="I259" i="9"/>
  <c r="AU259" i="9" s="1"/>
  <c r="G259" i="9"/>
  <c r="AA259" i="9" s="1"/>
  <c r="I258" i="9"/>
  <c r="AU258" i="9" s="1"/>
  <c r="G258" i="9"/>
  <c r="AA258" i="9" s="1"/>
  <c r="I257" i="9"/>
  <c r="AU257" i="9" s="1"/>
  <c r="G257" i="9"/>
  <c r="AA257" i="9" s="1"/>
  <c r="I256" i="9"/>
  <c r="AU256" i="9" s="1"/>
  <c r="G256" i="9"/>
  <c r="AA256" i="9" s="1"/>
  <c r="AV256" i="9" s="1"/>
  <c r="I255" i="9"/>
  <c r="AU255" i="9" s="1"/>
  <c r="G255" i="9"/>
  <c r="AA255" i="9" s="1"/>
  <c r="I254" i="9"/>
  <c r="AU254" i="9" s="1"/>
  <c r="G254" i="9"/>
  <c r="AA254" i="9" s="1"/>
  <c r="I253" i="9"/>
  <c r="AU253" i="9" s="1"/>
  <c r="G253" i="9"/>
  <c r="AA253" i="9" s="1"/>
  <c r="AV253" i="9" s="1"/>
  <c r="I252" i="9"/>
  <c r="AU252" i="9" s="1"/>
  <c r="G252" i="9"/>
  <c r="AA252" i="9" s="1"/>
  <c r="I251" i="9"/>
  <c r="AU251" i="9" s="1"/>
  <c r="G251" i="9"/>
  <c r="AA251" i="9" s="1"/>
  <c r="I250" i="9"/>
  <c r="AU250" i="9" s="1"/>
  <c r="G250" i="9"/>
  <c r="AA250" i="9" s="1"/>
  <c r="I249" i="9"/>
  <c r="AU249" i="9" s="1"/>
  <c r="G249" i="9"/>
  <c r="AA249" i="9" s="1"/>
  <c r="AV249" i="9" s="1"/>
  <c r="I248" i="9"/>
  <c r="AU248" i="9" s="1"/>
  <c r="G248" i="9"/>
  <c r="AA248" i="9" s="1"/>
  <c r="AV248" i="9" s="1"/>
  <c r="I247" i="9"/>
  <c r="AU247" i="9" s="1"/>
  <c r="G247" i="9"/>
  <c r="AA247" i="9" s="1"/>
  <c r="AV247" i="9" s="1"/>
  <c r="I246" i="9"/>
  <c r="AU246" i="9" s="1"/>
  <c r="G246" i="9"/>
  <c r="AA246" i="9" s="1"/>
  <c r="AV246" i="9" s="1"/>
  <c r="I245" i="9"/>
  <c r="AU245" i="9" s="1"/>
  <c r="G245" i="9"/>
  <c r="AA245" i="9" s="1"/>
  <c r="AV245" i="9" s="1"/>
  <c r="I244" i="9"/>
  <c r="AU244" i="9" s="1"/>
  <c r="G244" i="9"/>
  <c r="AA244" i="9" s="1"/>
  <c r="AV244" i="9" s="1"/>
  <c r="I241" i="9"/>
  <c r="AU241" i="9" s="1"/>
  <c r="G241" i="9"/>
  <c r="AA241" i="9" s="1"/>
  <c r="I240" i="9"/>
  <c r="AU240" i="9" s="1"/>
  <c r="G240" i="9"/>
  <c r="AA240" i="9" s="1"/>
  <c r="AV240" i="9" s="1"/>
  <c r="I239" i="9"/>
  <c r="AU239" i="9" s="1"/>
  <c r="G239" i="9"/>
  <c r="AA239" i="9" s="1"/>
  <c r="I238" i="9"/>
  <c r="AU238" i="9" s="1"/>
  <c r="G238" i="9"/>
  <c r="AA238" i="9" s="1"/>
  <c r="I237" i="9"/>
  <c r="AU237" i="9" s="1"/>
  <c r="G237" i="9"/>
  <c r="AA237" i="9" s="1"/>
  <c r="I236" i="9"/>
  <c r="AU236" i="9" s="1"/>
  <c r="G236" i="9"/>
  <c r="AA236" i="9" s="1"/>
  <c r="AV236" i="9" s="1"/>
  <c r="I235" i="9"/>
  <c r="AU235" i="9" s="1"/>
  <c r="G235" i="9"/>
  <c r="AA235" i="9" s="1"/>
  <c r="I234" i="9"/>
  <c r="AU234" i="9" s="1"/>
  <c r="G234" i="9"/>
  <c r="AA234" i="9" s="1"/>
  <c r="I233" i="9"/>
  <c r="AU233" i="9" s="1"/>
  <c r="G233" i="9"/>
  <c r="AA233" i="9" s="1"/>
  <c r="I232" i="9"/>
  <c r="AU232" i="9" s="1"/>
  <c r="G232" i="9"/>
  <c r="AA232" i="9" s="1"/>
  <c r="I231" i="9"/>
  <c r="AU231" i="9" s="1"/>
  <c r="G231" i="9"/>
  <c r="AA231" i="9" s="1"/>
  <c r="I230" i="9"/>
  <c r="AU230" i="9" s="1"/>
  <c r="G230" i="9"/>
  <c r="AA230" i="9" s="1"/>
  <c r="I229" i="9"/>
  <c r="AU229" i="9" s="1"/>
  <c r="G229" i="9"/>
  <c r="AA229" i="9" s="1"/>
  <c r="AV229" i="9" s="1"/>
  <c r="I228" i="9"/>
  <c r="AU228" i="9" s="1"/>
  <c r="G228" i="9"/>
  <c r="AA228" i="9" s="1"/>
  <c r="I227" i="9"/>
  <c r="AU227" i="9" s="1"/>
  <c r="G227" i="9"/>
  <c r="AA227" i="9" s="1"/>
  <c r="I226" i="9"/>
  <c r="AU226" i="9" s="1"/>
  <c r="G226" i="9"/>
  <c r="AA226" i="9" s="1"/>
  <c r="I225" i="9"/>
  <c r="AU225" i="9" s="1"/>
  <c r="G225" i="9"/>
  <c r="AA225" i="9" s="1"/>
  <c r="I224" i="9"/>
  <c r="AU224" i="9" s="1"/>
  <c r="G224" i="9"/>
  <c r="AA224" i="9" s="1"/>
  <c r="AV224" i="9" s="1"/>
  <c r="I223" i="9"/>
  <c r="AU223" i="9" s="1"/>
  <c r="G223" i="9"/>
  <c r="AA223" i="9" s="1"/>
  <c r="AV223" i="9" s="1"/>
  <c r="I222" i="9"/>
  <c r="AU222" i="9" s="1"/>
  <c r="G222" i="9"/>
  <c r="AA222" i="9" s="1"/>
  <c r="AV222" i="9" s="1"/>
  <c r="I221" i="9"/>
  <c r="AU221" i="9" s="1"/>
  <c r="G221" i="9"/>
  <c r="AA221" i="9" s="1"/>
  <c r="AV221" i="9" s="1"/>
  <c r="I220" i="9"/>
  <c r="AU220" i="9" s="1"/>
  <c r="G220" i="9"/>
  <c r="AA220" i="9" s="1"/>
  <c r="I219" i="9"/>
  <c r="AU219" i="9" s="1"/>
  <c r="G219" i="9"/>
  <c r="AA219" i="9" s="1"/>
  <c r="I218" i="9"/>
  <c r="AU218" i="9" s="1"/>
  <c r="G218" i="9"/>
  <c r="AA218" i="9" s="1"/>
  <c r="I217" i="9"/>
  <c r="AU217" i="9" s="1"/>
  <c r="G217" i="9"/>
  <c r="AA217" i="9" s="1"/>
  <c r="I216" i="9"/>
  <c r="AU216" i="9" s="1"/>
  <c r="G216" i="9"/>
  <c r="AA216" i="9" s="1"/>
  <c r="AV216" i="9" s="1"/>
  <c r="I215" i="9"/>
  <c r="AU215" i="9" s="1"/>
  <c r="G215" i="9"/>
  <c r="AA215" i="9" s="1"/>
  <c r="AV215" i="9" s="1"/>
  <c r="I214" i="9"/>
  <c r="AU214" i="9" s="1"/>
  <c r="G214" i="9"/>
  <c r="AA214" i="9" s="1"/>
  <c r="I213" i="9"/>
  <c r="AU213" i="9" s="1"/>
  <c r="G213" i="9"/>
  <c r="AA213" i="9" s="1"/>
  <c r="I212" i="9"/>
  <c r="AU212" i="9" s="1"/>
  <c r="G212" i="9"/>
  <c r="AA212" i="9" s="1"/>
  <c r="I211" i="9"/>
  <c r="AU211" i="9" s="1"/>
  <c r="G211" i="9"/>
  <c r="AA211" i="9" s="1"/>
  <c r="I210" i="9"/>
  <c r="AU210" i="9" s="1"/>
  <c r="G210" i="9"/>
  <c r="AA210" i="9" s="1"/>
  <c r="AV210" i="9" s="1"/>
  <c r="I209" i="9"/>
  <c r="AU209" i="9" s="1"/>
  <c r="G209" i="9"/>
  <c r="AA209" i="9" s="1"/>
  <c r="I208" i="9"/>
  <c r="AU208" i="9" s="1"/>
  <c r="G208" i="9"/>
  <c r="AA208" i="9" s="1"/>
  <c r="AV208" i="9" s="1"/>
  <c r="I207" i="9"/>
  <c r="AU207" i="9" s="1"/>
  <c r="G207" i="9"/>
  <c r="AA207" i="9" s="1"/>
  <c r="I206" i="9"/>
  <c r="AU206" i="9" s="1"/>
  <c r="G206" i="9"/>
  <c r="AA206" i="9" s="1"/>
  <c r="AV206" i="9" s="1"/>
  <c r="I205" i="9"/>
  <c r="AU205" i="9" s="1"/>
  <c r="G205" i="9"/>
  <c r="AA205" i="9" s="1"/>
  <c r="I204" i="9"/>
  <c r="AU204" i="9" s="1"/>
  <c r="G204" i="9"/>
  <c r="AA204" i="9" s="1"/>
  <c r="I203" i="9"/>
  <c r="AU203" i="9" s="1"/>
  <c r="G203" i="9"/>
  <c r="AA203" i="9" s="1"/>
  <c r="I202" i="9"/>
  <c r="AU202" i="9" s="1"/>
  <c r="G202" i="9"/>
  <c r="AA202" i="9" s="1"/>
  <c r="I201" i="9"/>
  <c r="AU201" i="9" s="1"/>
  <c r="G201" i="9"/>
  <c r="AA201" i="9" s="1"/>
  <c r="I200" i="9"/>
  <c r="AU200" i="9" s="1"/>
  <c r="G200" i="9"/>
  <c r="AA200" i="9" s="1"/>
  <c r="AV200" i="9" s="1"/>
  <c r="I199" i="9"/>
  <c r="AU199" i="9" s="1"/>
  <c r="G199" i="9"/>
  <c r="AA199" i="9" s="1"/>
  <c r="I198" i="9"/>
  <c r="AU198" i="9" s="1"/>
  <c r="G198" i="9"/>
  <c r="AA198" i="9" s="1"/>
  <c r="I197" i="9"/>
  <c r="AU197" i="9" s="1"/>
  <c r="G197" i="9"/>
  <c r="AA197" i="9" s="1"/>
  <c r="AV197" i="9" s="1"/>
  <c r="I196" i="9"/>
  <c r="AU196" i="9" s="1"/>
  <c r="G196" i="9"/>
  <c r="AA196" i="9" s="1"/>
  <c r="I195" i="9"/>
  <c r="AU195" i="9" s="1"/>
  <c r="G195" i="9"/>
  <c r="AA195" i="9" s="1"/>
  <c r="I194" i="9"/>
  <c r="AU194" i="9" s="1"/>
  <c r="G194" i="9"/>
  <c r="AA194" i="9" s="1"/>
  <c r="I193" i="9"/>
  <c r="AU193" i="9" s="1"/>
  <c r="G193" i="9"/>
  <c r="AA193" i="9" s="1"/>
  <c r="AV193" i="9" s="1"/>
  <c r="I192" i="9"/>
  <c r="AU192" i="9" s="1"/>
  <c r="G192" i="9"/>
  <c r="AA192" i="9" s="1"/>
  <c r="AV192" i="9" s="1"/>
  <c r="I191" i="9"/>
  <c r="AU191" i="9" s="1"/>
  <c r="G191" i="9"/>
  <c r="AA191" i="9" s="1"/>
  <c r="I190" i="9"/>
  <c r="AU190" i="9" s="1"/>
  <c r="G190" i="9"/>
  <c r="AA190" i="9" s="1"/>
  <c r="AV190" i="9" s="1"/>
  <c r="I189" i="9"/>
  <c r="AU189" i="9" s="1"/>
  <c r="G189" i="9"/>
  <c r="AA189" i="9" s="1"/>
  <c r="I188" i="9"/>
  <c r="AU188" i="9" s="1"/>
  <c r="G188" i="9"/>
  <c r="AA188" i="9" s="1"/>
  <c r="AV188" i="9" s="1"/>
  <c r="I187" i="9"/>
  <c r="AU187" i="9" s="1"/>
  <c r="G187" i="9"/>
  <c r="AA187" i="9" s="1"/>
  <c r="I186" i="9"/>
  <c r="AU186" i="9" s="1"/>
  <c r="G186" i="9"/>
  <c r="AA186" i="9" s="1"/>
  <c r="I185" i="9"/>
  <c r="AU185" i="9" s="1"/>
  <c r="G185" i="9"/>
  <c r="AA185" i="9" s="1"/>
  <c r="AV185" i="9" s="1"/>
  <c r="I184" i="9"/>
  <c r="AU184" i="9" s="1"/>
  <c r="G184" i="9"/>
  <c r="AA184" i="9" s="1"/>
  <c r="AV184" i="9" s="1"/>
  <c r="I183" i="9"/>
  <c r="AU183" i="9" s="1"/>
  <c r="G183" i="9"/>
  <c r="AA183" i="9" s="1"/>
  <c r="I182" i="9"/>
  <c r="AU182" i="9" s="1"/>
  <c r="G182" i="9"/>
  <c r="AA182" i="9" s="1"/>
  <c r="AV182" i="9" s="1"/>
  <c r="I181" i="9"/>
  <c r="AU181" i="9" s="1"/>
  <c r="G181" i="9"/>
  <c r="AA181" i="9" s="1"/>
  <c r="I180" i="9"/>
  <c r="AU180" i="9" s="1"/>
  <c r="G180" i="9"/>
  <c r="AA180" i="9" s="1"/>
  <c r="AV180" i="9" s="1"/>
  <c r="I179" i="9"/>
  <c r="AU179" i="9" s="1"/>
  <c r="G179" i="9"/>
  <c r="AA179" i="9" s="1"/>
  <c r="I178" i="9"/>
  <c r="AU178" i="9" s="1"/>
  <c r="G178" i="9"/>
  <c r="AA178" i="9" s="1"/>
  <c r="I177" i="9"/>
  <c r="AU177" i="9" s="1"/>
  <c r="G177" i="9"/>
  <c r="AA177" i="9" s="1"/>
  <c r="I176" i="9"/>
  <c r="AU176" i="9" s="1"/>
  <c r="G176" i="9"/>
  <c r="AA176" i="9" s="1"/>
  <c r="AV176" i="9" s="1"/>
  <c r="I175" i="9"/>
  <c r="AU175" i="9" s="1"/>
  <c r="G175" i="9"/>
  <c r="AA175" i="9" s="1"/>
  <c r="I174" i="9"/>
  <c r="AU174" i="9" s="1"/>
  <c r="G174" i="9"/>
  <c r="AA174" i="9" s="1"/>
  <c r="AV174" i="9" s="1"/>
  <c r="I173" i="9"/>
  <c r="AU173" i="9" s="1"/>
  <c r="G173" i="9"/>
  <c r="AA173" i="9" s="1"/>
  <c r="AV173" i="9" s="1"/>
  <c r="I172" i="9"/>
  <c r="AU172" i="9" s="1"/>
  <c r="G172" i="9"/>
  <c r="AA172" i="9" s="1"/>
  <c r="I171" i="9"/>
  <c r="AU171" i="9" s="1"/>
  <c r="G171" i="9"/>
  <c r="AA171" i="9" s="1"/>
  <c r="I170" i="9"/>
  <c r="AU170" i="9" s="1"/>
  <c r="G170" i="9"/>
  <c r="AA170" i="9" s="1"/>
  <c r="I169" i="9"/>
  <c r="AU169" i="9" s="1"/>
  <c r="G169" i="9"/>
  <c r="AA169" i="9" s="1"/>
  <c r="I168" i="9"/>
  <c r="AU168" i="9" s="1"/>
  <c r="G168" i="9"/>
  <c r="AA168" i="9" s="1"/>
  <c r="AV168" i="9" s="1"/>
  <c r="I167" i="9"/>
  <c r="AU167" i="9" s="1"/>
  <c r="G167" i="9"/>
  <c r="AA167" i="9" s="1"/>
  <c r="I166" i="9"/>
  <c r="AU166" i="9" s="1"/>
  <c r="G166" i="9"/>
  <c r="AA166" i="9" s="1"/>
  <c r="I165" i="9"/>
  <c r="AU165" i="9" s="1"/>
  <c r="G165" i="9"/>
  <c r="AA165" i="9" s="1"/>
  <c r="I164" i="9"/>
  <c r="AU164" i="9" s="1"/>
  <c r="G164" i="9"/>
  <c r="AA164" i="9" s="1"/>
  <c r="AV164" i="9" s="1"/>
  <c r="I163" i="9"/>
  <c r="AU163" i="9" s="1"/>
  <c r="G163" i="9"/>
  <c r="AA163" i="9" s="1"/>
  <c r="I162" i="9"/>
  <c r="AU162" i="9" s="1"/>
  <c r="G162" i="9"/>
  <c r="AA162" i="9" s="1"/>
  <c r="I161" i="9"/>
  <c r="AU161" i="9" s="1"/>
  <c r="G161" i="9"/>
  <c r="AA161" i="9" s="1"/>
  <c r="AV161" i="9" s="1"/>
  <c r="I160" i="9"/>
  <c r="AU160" i="9" s="1"/>
  <c r="G160" i="9"/>
  <c r="AA160" i="9" s="1"/>
  <c r="AV160" i="9" s="1"/>
  <c r="I159" i="9"/>
  <c r="AU159" i="9" s="1"/>
  <c r="G159" i="9"/>
  <c r="AA159" i="9" s="1"/>
  <c r="I158" i="9"/>
  <c r="AU158" i="9" s="1"/>
  <c r="G158" i="9"/>
  <c r="AA158" i="9" s="1"/>
  <c r="AV158" i="9" s="1"/>
  <c r="I157" i="9"/>
  <c r="AU157" i="9" s="1"/>
  <c r="G157" i="9"/>
  <c r="AA157" i="9" s="1"/>
  <c r="I156" i="9"/>
  <c r="AU156" i="9" s="1"/>
  <c r="G156" i="9"/>
  <c r="AA156" i="9" s="1"/>
  <c r="AV156" i="9" s="1"/>
  <c r="I155" i="9"/>
  <c r="AU155" i="9" s="1"/>
  <c r="G155" i="9"/>
  <c r="AA155" i="9" s="1"/>
  <c r="I154" i="9"/>
  <c r="AU154" i="9" s="1"/>
  <c r="G154" i="9"/>
  <c r="AA154" i="9" s="1"/>
  <c r="I153" i="9"/>
  <c r="AU153" i="9" s="1"/>
  <c r="G153" i="9"/>
  <c r="AA153" i="9" s="1"/>
  <c r="AV153" i="9" s="1"/>
  <c r="I152" i="9"/>
  <c r="AU152" i="9" s="1"/>
  <c r="G152" i="9"/>
  <c r="AA152" i="9" s="1"/>
  <c r="AV152" i="9" s="1"/>
  <c r="I151" i="9"/>
  <c r="AU151" i="9" s="1"/>
  <c r="G151" i="9"/>
  <c r="AA151" i="9" s="1"/>
  <c r="I150" i="9"/>
  <c r="AU150" i="9" s="1"/>
  <c r="G150" i="9"/>
  <c r="AA150" i="9" s="1"/>
  <c r="AV150" i="9" s="1"/>
  <c r="I149" i="9"/>
  <c r="AU149" i="9" s="1"/>
  <c r="G149" i="9"/>
  <c r="AA149" i="9" s="1"/>
  <c r="I148" i="9"/>
  <c r="AU148" i="9" s="1"/>
  <c r="G148" i="9"/>
  <c r="AA148" i="9" s="1"/>
  <c r="I147" i="9"/>
  <c r="AU147" i="9" s="1"/>
  <c r="G147" i="9"/>
  <c r="AA147" i="9" s="1"/>
  <c r="AV147" i="9" s="1"/>
  <c r="I146" i="9"/>
  <c r="AU146" i="9" s="1"/>
  <c r="G146" i="9"/>
  <c r="AA146" i="9" s="1"/>
  <c r="I145" i="9"/>
  <c r="AU145" i="9" s="1"/>
  <c r="G145" i="9"/>
  <c r="AA145" i="9" s="1"/>
  <c r="I144" i="9"/>
  <c r="AU144" i="9" s="1"/>
  <c r="G144" i="9"/>
  <c r="AA144" i="9" s="1"/>
  <c r="AV144" i="9" s="1"/>
  <c r="I143" i="9"/>
  <c r="AU143" i="9" s="1"/>
  <c r="G143" i="9"/>
  <c r="AA143" i="9" s="1"/>
  <c r="I142" i="9"/>
  <c r="AU142" i="9" s="1"/>
  <c r="G142" i="9"/>
  <c r="AA142" i="9" s="1"/>
  <c r="AV142" i="9" s="1"/>
  <c r="I141" i="9"/>
  <c r="AU141" i="9" s="1"/>
  <c r="G141" i="9"/>
  <c r="AA141" i="9" s="1"/>
  <c r="I140" i="9"/>
  <c r="AU140" i="9" s="1"/>
  <c r="G140" i="9"/>
  <c r="AA140" i="9" s="1"/>
  <c r="I139" i="9"/>
  <c r="AU139" i="9" s="1"/>
  <c r="G139" i="9"/>
  <c r="AA139" i="9" s="1"/>
  <c r="AV139" i="9" s="1"/>
  <c r="I138" i="9"/>
  <c r="AU138" i="9" s="1"/>
  <c r="G138" i="9"/>
  <c r="AA138" i="9" s="1"/>
  <c r="I137" i="9"/>
  <c r="AU137" i="9" s="1"/>
  <c r="G137" i="9"/>
  <c r="AA137" i="9" s="1"/>
  <c r="AV137" i="9" s="1"/>
  <c r="I136" i="9"/>
  <c r="AU136" i="9" s="1"/>
  <c r="G136" i="9"/>
  <c r="AA136" i="9" s="1"/>
  <c r="I135" i="9"/>
  <c r="AU135" i="9" s="1"/>
  <c r="G135" i="9"/>
  <c r="AA135" i="9" s="1"/>
  <c r="AV135" i="9" s="1"/>
  <c r="I134" i="9"/>
  <c r="AU134" i="9" s="1"/>
  <c r="G134" i="9"/>
  <c r="AA134" i="9" s="1"/>
  <c r="I133" i="9"/>
  <c r="AU133" i="9" s="1"/>
  <c r="G133" i="9"/>
  <c r="AA133" i="9" s="1"/>
  <c r="AV133" i="9" s="1"/>
  <c r="I132" i="9"/>
  <c r="AU132" i="9" s="1"/>
  <c r="G132" i="9"/>
  <c r="AA132" i="9" s="1"/>
  <c r="I131" i="9"/>
  <c r="AU131" i="9" s="1"/>
  <c r="G131" i="9"/>
  <c r="AA131" i="9" s="1"/>
  <c r="AV131" i="9" s="1"/>
  <c r="I130" i="9"/>
  <c r="AU130" i="9" s="1"/>
  <c r="G130" i="9"/>
  <c r="AA130" i="9" s="1"/>
  <c r="I129" i="9"/>
  <c r="AU129" i="9" s="1"/>
  <c r="G129" i="9"/>
  <c r="AA129" i="9" s="1"/>
  <c r="I128" i="9"/>
  <c r="AU128" i="9" s="1"/>
  <c r="G128" i="9"/>
  <c r="AA128" i="9" s="1"/>
  <c r="AV128" i="9" s="1"/>
  <c r="I127" i="9"/>
  <c r="AU127" i="9" s="1"/>
  <c r="G127" i="9"/>
  <c r="AA127" i="9" s="1"/>
  <c r="AV127" i="9" s="1"/>
  <c r="I126" i="9"/>
  <c r="AU126" i="9" s="1"/>
  <c r="G126" i="9"/>
  <c r="AA126" i="9" s="1"/>
  <c r="I125" i="9"/>
  <c r="AU125" i="9" s="1"/>
  <c r="G125" i="9"/>
  <c r="AA125" i="9" s="1"/>
  <c r="AV125" i="9" s="1"/>
  <c r="I124" i="9"/>
  <c r="AU124" i="9" s="1"/>
  <c r="G124" i="9"/>
  <c r="AA124" i="9" s="1"/>
  <c r="I123" i="9"/>
  <c r="AU123" i="9" s="1"/>
  <c r="G123" i="9"/>
  <c r="AA123" i="9" s="1"/>
  <c r="AV123" i="9" s="1"/>
  <c r="I122" i="9"/>
  <c r="AU122" i="9" s="1"/>
  <c r="G122" i="9"/>
  <c r="AA122" i="9" s="1"/>
  <c r="I121" i="9"/>
  <c r="AU121" i="9" s="1"/>
  <c r="G121" i="9"/>
  <c r="AA121" i="9" s="1"/>
  <c r="I120" i="9"/>
  <c r="AU120" i="9" s="1"/>
  <c r="G120" i="9"/>
  <c r="AA120" i="9" s="1"/>
  <c r="AV120" i="9" s="1"/>
  <c r="I119" i="9"/>
  <c r="AU119" i="9" s="1"/>
  <c r="G119" i="9"/>
  <c r="AA119" i="9" s="1"/>
  <c r="I118" i="9"/>
  <c r="AU118" i="9" s="1"/>
  <c r="G118" i="9"/>
  <c r="AA118" i="9" s="1"/>
  <c r="I117" i="9"/>
  <c r="AU117" i="9" s="1"/>
  <c r="G117" i="9"/>
  <c r="AA117" i="9" s="1"/>
  <c r="I116" i="9"/>
  <c r="AU116" i="9" s="1"/>
  <c r="G116" i="9"/>
  <c r="AA116" i="9" s="1"/>
  <c r="AV116" i="9" s="1"/>
  <c r="I115" i="9"/>
  <c r="AU115" i="9" s="1"/>
  <c r="G115" i="9"/>
  <c r="AA115" i="9" s="1"/>
  <c r="I114" i="9"/>
  <c r="AU114" i="9" s="1"/>
  <c r="G114" i="9"/>
  <c r="AA114" i="9" s="1"/>
  <c r="AV114" i="9" s="1"/>
  <c r="I113" i="9"/>
  <c r="AU113" i="9" s="1"/>
  <c r="G113" i="9"/>
  <c r="AA113" i="9" s="1"/>
  <c r="AV113" i="9" s="1"/>
  <c r="I112" i="9"/>
  <c r="AU112" i="9" s="1"/>
  <c r="G112" i="9"/>
  <c r="AA112" i="9" s="1"/>
  <c r="I111" i="9"/>
  <c r="AU111" i="9" s="1"/>
  <c r="G111" i="9"/>
  <c r="AA111" i="9" s="1"/>
  <c r="I110" i="9"/>
  <c r="AU110" i="9" s="1"/>
  <c r="G110" i="9"/>
  <c r="AA110" i="9" s="1"/>
  <c r="AV110" i="9" s="1"/>
  <c r="I109" i="9"/>
  <c r="AU109" i="9" s="1"/>
  <c r="G109" i="9"/>
  <c r="AA109" i="9" s="1"/>
  <c r="I108" i="9"/>
  <c r="AU108" i="9" s="1"/>
  <c r="G108" i="9"/>
  <c r="AA108" i="9" s="1"/>
  <c r="I107" i="9"/>
  <c r="AU107" i="9" s="1"/>
  <c r="G107" i="9"/>
  <c r="AA107" i="9" s="1"/>
  <c r="AV107" i="9" s="1"/>
  <c r="I106" i="9"/>
  <c r="AU106" i="9" s="1"/>
  <c r="G106" i="9"/>
  <c r="AA106" i="9" s="1"/>
  <c r="AV106" i="9" s="1"/>
  <c r="I105" i="9"/>
  <c r="AU105" i="9" s="1"/>
  <c r="G105" i="9"/>
  <c r="AA105" i="9" s="1"/>
  <c r="I104" i="9"/>
  <c r="AU104" i="9" s="1"/>
  <c r="G104" i="9"/>
  <c r="AA104" i="9" s="1"/>
  <c r="I103" i="9"/>
  <c r="AU103" i="9" s="1"/>
  <c r="G103" i="9"/>
  <c r="AA103" i="9" s="1"/>
  <c r="I102" i="9"/>
  <c r="AU102" i="9" s="1"/>
  <c r="G102" i="9"/>
  <c r="AA102" i="9" s="1"/>
  <c r="AV102" i="9" s="1"/>
  <c r="I101" i="9"/>
  <c r="AU101" i="9" s="1"/>
  <c r="G101" i="9"/>
  <c r="AA101" i="9" s="1"/>
  <c r="AV101" i="9" s="1"/>
  <c r="I100" i="9"/>
  <c r="AU100" i="9" s="1"/>
  <c r="G100" i="9"/>
  <c r="AA100" i="9" s="1"/>
  <c r="I99" i="9"/>
  <c r="AU99" i="9" s="1"/>
  <c r="G99" i="9"/>
  <c r="AA99" i="9" s="1"/>
  <c r="AV99" i="9" s="1"/>
  <c r="I98" i="9"/>
  <c r="AU98" i="9" s="1"/>
  <c r="G98" i="9"/>
  <c r="AA98" i="9" s="1"/>
  <c r="I97" i="9"/>
  <c r="AU97" i="9" s="1"/>
  <c r="G97" i="9"/>
  <c r="AA97" i="9" s="1"/>
  <c r="I96" i="9"/>
  <c r="AU96" i="9" s="1"/>
  <c r="G96" i="9"/>
  <c r="AA96" i="9" s="1"/>
  <c r="I95" i="9"/>
  <c r="AU95" i="9" s="1"/>
  <c r="G95" i="9"/>
  <c r="AA95" i="9" s="1"/>
  <c r="I94" i="9"/>
  <c r="AU94" i="9" s="1"/>
  <c r="G94" i="9"/>
  <c r="AA94" i="9" s="1"/>
  <c r="AV94" i="9" s="1"/>
  <c r="I93" i="9"/>
  <c r="AU93" i="9" s="1"/>
  <c r="G93" i="9"/>
  <c r="AA93" i="9" s="1"/>
  <c r="I92" i="9"/>
  <c r="AU92" i="9" s="1"/>
  <c r="G92" i="9"/>
  <c r="AA92" i="9" s="1"/>
  <c r="AV92" i="9" s="1"/>
  <c r="I91" i="9"/>
  <c r="AU91" i="9" s="1"/>
  <c r="G91" i="9"/>
  <c r="AA91" i="9" s="1"/>
  <c r="I90" i="9"/>
  <c r="AU90" i="9" s="1"/>
  <c r="G90" i="9"/>
  <c r="AA90" i="9" s="1"/>
  <c r="I89" i="9"/>
  <c r="AU89" i="9" s="1"/>
  <c r="G89" i="9"/>
  <c r="AA89" i="9" s="1"/>
  <c r="I88" i="9"/>
  <c r="AU88" i="9" s="1"/>
  <c r="G88" i="9"/>
  <c r="AA88" i="9" s="1"/>
  <c r="AV88" i="9" s="1"/>
  <c r="I87" i="9"/>
  <c r="AU87" i="9" s="1"/>
  <c r="G87" i="9"/>
  <c r="AA87" i="9" s="1"/>
  <c r="I86" i="9"/>
  <c r="AU86" i="9" s="1"/>
  <c r="G86" i="9"/>
  <c r="AA86" i="9" s="1"/>
  <c r="I85" i="9"/>
  <c r="AU85" i="9" s="1"/>
  <c r="G85" i="9"/>
  <c r="AA85" i="9" s="1"/>
  <c r="AV85" i="9" s="1"/>
  <c r="I84" i="9"/>
  <c r="AU84" i="9" s="1"/>
  <c r="G84" i="9"/>
  <c r="AA84" i="9" s="1"/>
  <c r="I83" i="9"/>
  <c r="AU83" i="9" s="1"/>
  <c r="G83" i="9"/>
  <c r="AA83" i="9" s="1"/>
  <c r="I82" i="9"/>
  <c r="AU82" i="9" s="1"/>
  <c r="G82" i="9"/>
  <c r="AA82" i="9" s="1"/>
  <c r="AV82" i="9" s="1"/>
  <c r="I81" i="9"/>
  <c r="AU81" i="9" s="1"/>
  <c r="G81" i="9"/>
  <c r="AA81" i="9" s="1"/>
  <c r="I80" i="9"/>
  <c r="AU80" i="9" s="1"/>
  <c r="G80" i="9"/>
  <c r="AA80" i="9" s="1"/>
  <c r="I79" i="9"/>
  <c r="AU79" i="9" s="1"/>
  <c r="G79" i="9"/>
  <c r="AA79" i="9" s="1"/>
  <c r="I78" i="9"/>
  <c r="AU78" i="9" s="1"/>
  <c r="G78" i="9"/>
  <c r="AA78" i="9" s="1"/>
  <c r="AV78" i="9" s="1"/>
  <c r="I77" i="9"/>
  <c r="AU77" i="9" s="1"/>
  <c r="G77" i="9"/>
  <c r="AA77" i="9" s="1"/>
  <c r="I76" i="9"/>
  <c r="AU76" i="9" s="1"/>
  <c r="G76" i="9"/>
  <c r="AA76" i="9" s="1"/>
  <c r="AV76" i="9" s="1"/>
  <c r="I75" i="9"/>
  <c r="AU75" i="9" s="1"/>
  <c r="G75" i="9"/>
  <c r="AA75" i="9" s="1"/>
  <c r="I74" i="9"/>
  <c r="AU74" i="9" s="1"/>
  <c r="G74" i="9"/>
  <c r="AA74" i="9" s="1"/>
  <c r="I73" i="9"/>
  <c r="AU73" i="9" s="1"/>
  <c r="G73" i="9"/>
  <c r="AA73" i="9" s="1"/>
  <c r="I72" i="9"/>
  <c r="AU72" i="9" s="1"/>
  <c r="G72" i="9"/>
  <c r="AA72" i="9" s="1"/>
  <c r="I71" i="9"/>
  <c r="AU71" i="9" s="1"/>
  <c r="G71" i="9"/>
  <c r="AA71" i="9" s="1"/>
  <c r="AV71" i="9" s="1"/>
  <c r="I70" i="9"/>
  <c r="AU70" i="9" s="1"/>
  <c r="G70" i="9"/>
  <c r="AA70" i="9" s="1"/>
  <c r="AV70" i="9" s="1"/>
  <c r="I69" i="9"/>
  <c r="AU69" i="9" s="1"/>
  <c r="G69" i="9"/>
  <c r="AA69" i="9" s="1"/>
  <c r="I68" i="9"/>
  <c r="AU68" i="9" s="1"/>
  <c r="G68" i="9"/>
  <c r="AA68" i="9" s="1"/>
  <c r="AV68" i="9" s="1"/>
  <c r="I67" i="9"/>
  <c r="AU67" i="9" s="1"/>
  <c r="G67" i="9"/>
  <c r="AA67" i="9" s="1"/>
  <c r="AV67" i="9" s="1"/>
  <c r="I66" i="9"/>
  <c r="AU66" i="9" s="1"/>
  <c r="G66" i="9"/>
  <c r="AA66" i="9" s="1"/>
  <c r="I65" i="9"/>
  <c r="AU65" i="9" s="1"/>
  <c r="G65" i="9"/>
  <c r="AA65" i="9" s="1"/>
  <c r="I64" i="9"/>
  <c r="AU64" i="9" s="1"/>
  <c r="G64" i="9"/>
  <c r="AA64" i="9" s="1"/>
  <c r="I63" i="9"/>
  <c r="AU63" i="9" s="1"/>
  <c r="G63" i="9"/>
  <c r="AA63" i="9" s="1"/>
  <c r="AV63" i="9" s="1"/>
  <c r="I62" i="9"/>
  <c r="AU62" i="9" s="1"/>
  <c r="G62" i="9"/>
  <c r="AA62" i="9" s="1"/>
  <c r="I61" i="9"/>
  <c r="AU61" i="9" s="1"/>
  <c r="G61" i="9"/>
  <c r="AA61" i="9" s="1"/>
  <c r="I60" i="9"/>
  <c r="AU60" i="9" s="1"/>
  <c r="G60" i="9"/>
  <c r="AA60" i="9" s="1"/>
  <c r="I59" i="9"/>
  <c r="AU59" i="9" s="1"/>
  <c r="G59" i="9"/>
  <c r="AA59" i="9" s="1"/>
  <c r="I58" i="9"/>
  <c r="AU58" i="9" s="1"/>
  <c r="G58" i="9"/>
  <c r="AA58" i="9" s="1"/>
  <c r="I57" i="9"/>
  <c r="AU57" i="9" s="1"/>
  <c r="G57" i="9"/>
  <c r="AA57" i="9" s="1"/>
  <c r="I56" i="9"/>
  <c r="AU56" i="9" s="1"/>
  <c r="G56" i="9"/>
  <c r="AA56" i="9" s="1"/>
  <c r="I55" i="9"/>
  <c r="AU55" i="9" s="1"/>
  <c r="G55" i="9"/>
  <c r="AA55" i="9" s="1"/>
  <c r="AV55" i="9" s="1"/>
  <c r="I54" i="9"/>
  <c r="AU54" i="9" s="1"/>
  <c r="G54" i="9"/>
  <c r="AA54" i="9" s="1"/>
  <c r="AV54" i="9" s="1"/>
  <c r="I53" i="9"/>
  <c r="AU53" i="9" s="1"/>
  <c r="G53" i="9"/>
  <c r="AA53" i="9" s="1"/>
  <c r="I52" i="9"/>
  <c r="AU52" i="9" s="1"/>
  <c r="G52" i="9"/>
  <c r="AA52" i="9" s="1"/>
  <c r="AV52" i="9" s="1"/>
  <c r="I51" i="9"/>
  <c r="AU51" i="9" s="1"/>
  <c r="G51" i="9"/>
  <c r="AA51" i="9" s="1"/>
  <c r="I50" i="9"/>
  <c r="AU50" i="9" s="1"/>
  <c r="G50" i="9"/>
  <c r="AA50" i="9" s="1"/>
  <c r="I49" i="9"/>
  <c r="AU49" i="9" s="1"/>
  <c r="G49" i="9"/>
  <c r="AA49" i="9" s="1"/>
  <c r="I48" i="9"/>
  <c r="AU48" i="9" s="1"/>
  <c r="G48" i="9"/>
  <c r="AA48" i="9" s="1"/>
  <c r="I47" i="9"/>
  <c r="AU47" i="9" s="1"/>
  <c r="G47" i="9"/>
  <c r="AA47" i="9" s="1"/>
  <c r="I46" i="9"/>
  <c r="AU46" i="9" s="1"/>
  <c r="G46" i="9"/>
  <c r="AA46" i="9" s="1"/>
  <c r="I45" i="9"/>
  <c r="AU45" i="9" s="1"/>
  <c r="G45" i="9"/>
  <c r="AA45" i="9" s="1"/>
  <c r="AV45" i="9" s="1"/>
  <c r="I44" i="9"/>
  <c r="AU44" i="9" s="1"/>
  <c r="G44" i="9"/>
  <c r="AA44" i="9" s="1"/>
  <c r="I43" i="9"/>
  <c r="AU43" i="9" s="1"/>
  <c r="G43" i="9"/>
  <c r="AA43" i="9" s="1"/>
  <c r="AV43" i="9" s="1"/>
  <c r="I42" i="9"/>
  <c r="AU42" i="9" s="1"/>
  <c r="G42" i="9"/>
  <c r="AA42" i="9" s="1"/>
  <c r="I41" i="9"/>
  <c r="AU41" i="9" s="1"/>
  <c r="G41" i="9"/>
  <c r="AA41" i="9" s="1"/>
  <c r="I40" i="9"/>
  <c r="AU40" i="9" s="1"/>
  <c r="G40" i="9"/>
  <c r="AA40" i="9" s="1"/>
  <c r="I39" i="9"/>
  <c r="AU39" i="9" s="1"/>
  <c r="G39" i="9"/>
  <c r="AA39" i="9" s="1"/>
  <c r="AV39" i="9" s="1"/>
  <c r="I38" i="9"/>
  <c r="AU38" i="9" s="1"/>
  <c r="G38" i="9"/>
  <c r="AA38" i="9" s="1"/>
  <c r="I37" i="9"/>
  <c r="AU37" i="9" s="1"/>
  <c r="G37" i="9"/>
  <c r="AA37" i="9" s="1"/>
  <c r="I36" i="9"/>
  <c r="AU36" i="9" s="1"/>
  <c r="G36" i="9"/>
  <c r="AA36" i="9" s="1"/>
  <c r="I35" i="9"/>
  <c r="AU35" i="9" s="1"/>
  <c r="G35" i="9"/>
  <c r="AA35" i="9" s="1"/>
  <c r="AV35" i="9" s="1"/>
  <c r="I34" i="9"/>
  <c r="AU34" i="9" s="1"/>
  <c r="G34" i="9"/>
  <c r="AA34" i="9" s="1"/>
  <c r="I33" i="9"/>
  <c r="AU33" i="9" s="1"/>
  <c r="G33" i="9"/>
  <c r="AA33" i="9" s="1"/>
  <c r="I32" i="9"/>
  <c r="AU32" i="9" s="1"/>
  <c r="G32" i="9"/>
  <c r="AA32" i="9" s="1"/>
  <c r="AV32" i="9" s="1"/>
  <c r="I31" i="9"/>
  <c r="AU31" i="9" s="1"/>
  <c r="G31" i="9"/>
  <c r="AA31" i="9" s="1"/>
  <c r="AV31" i="9" s="1"/>
  <c r="I30" i="9"/>
  <c r="AU30" i="9" s="1"/>
  <c r="G30" i="9"/>
  <c r="AA30" i="9" s="1"/>
  <c r="I29" i="9"/>
  <c r="AU29" i="9" s="1"/>
  <c r="G29" i="9"/>
  <c r="AA29" i="9" s="1"/>
  <c r="I28" i="9"/>
  <c r="AU28" i="9" s="1"/>
  <c r="G28" i="9"/>
  <c r="AA28" i="9" s="1"/>
  <c r="I27" i="9"/>
  <c r="AU27" i="9" s="1"/>
  <c r="G27" i="9"/>
  <c r="AA27" i="9" s="1"/>
  <c r="AV27" i="9" s="1"/>
  <c r="I26" i="9"/>
  <c r="AU26" i="9" s="1"/>
  <c r="G26" i="9"/>
  <c r="AA26" i="9" s="1"/>
  <c r="I25" i="9"/>
  <c r="AU25" i="9" s="1"/>
  <c r="G25" i="9"/>
  <c r="AA25" i="9" s="1"/>
  <c r="I24" i="9"/>
  <c r="AU24" i="9" s="1"/>
  <c r="G24" i="9"/>
  <c r="AA24" i="9" s="1"/>
  <c r="I23" i="9"/>
  <c r="AU23" i="9" s="1"/>
  <c r="G23" i="9"/>
  <c r="AA23" i="9" s="1"/>
  <c r="I22" i="9"/>
  <c r="AU22" i="9" s="1"/>
  <c r="G22" i="9"/>
  <c r="AA22" i="9" s="1"/>
  <c r="I21" i="9"/>
  <c r="AU21" i="9" s="1"/>
  <c r="G21" i="9"/>
  <c r="AA21" i="9" s="1"/>
  <c r="I20" i="9"/>
  <c r="AU20" i="9" s="1"/>
  <c r="G20" i="9"/>
  <c r="AA20" i="9" s="1"/>
  <c r="I19" i="9"/>
  <c r="AU19" i="9" s="1"/>
  <c r="G19" i="9"/>
  <c r="AA19" i="9" s="1"/>
  <c r="AV19" i="9" s="1"/>
  <c r="I18" i="9"/>
  <c r="AU18" i="9" s="1"/>
  <c r="G18" i="9"/>
  <c r="AA18" i="9" s="1"/>
  <c r="I17" i="9"/>
  <c r="AU17" i="9" s="1"/>
  <c r="G17" i="9"/>
  <c r="AA17" i="9" s="1"/>
  <c r="I16" i="9"/>
  <c r="AU16" i="9" s="1"/>
  <c r="G16" i="9"/>
  <c r="AA16" i="9" s="1"/>
  <c r="AV16" i="9" s="1"/>
  <c r="I15" i="9"/>
  <c r="AU15" i="9" s="1"/>
  <c r="G15" i="9"/>
  <c r="AA15" i="9" s="1"/>
  <c r="AV15" i="9" s="1"/>
  <c r="I14" i="9"/>
  <c r="AU14" i="9" s="1"/>
  <c r="G14" i="9"/>
  <c r="AA14" i="9" s="1"/>
  <c r="I13" i="9"/>
  <c r="AU13" i="9" s="1"/>
  <c r="G13" i="9"/>
  <c r="AA13" i="9" s="1"/>
  <c r="I12" i="9"/>
  <c r="AU12" i="9" s="1"/>
  <c r="G12" i="9"/>
  <c r="AA12" i="9" s="1"/>
  <c r="I11" i="9"/>
  <c r="AU11" i="9" s="1"/>
  <c r="G11" i="9"/>
  <c r="AA11" i="9" s="1"/>
  <c r="AV11" i="9" s="1"/>
  <c r="I10" i="9"/>
  <c r="AU10" i="9" s="1"/>
  <c r="G10" i="9"/>
  <c r="AA10" i="9" s="1"/>
  <c r="I9" i="9"/>
  <c r="AU9" i="9" s="1"/>
  <c r="G9" i="9"/>
  <c r="AA9" i="9" s="1"/>
  <c r="I8" i="9"/>
  <c r="AU8" i="9" s="1"/>
  <c r="G8" i="9"/>
  <c r="AA8" i="9" s="1"/>
  <c r="AV8" i="9" s="1"/>
  <c r="I7" i="9"/>
  <c r="AU7" i="9" s="1"/>
  <c r="G7" i="9"/>
  <c r="AA7" i="9" s="1"/>
  <c r="I6" i="9"/>
  <c r="AU6" i="9" s="1"/>
  <c r="G6" i="9"/>
  <c r="AA6" i="9" s="1"/>
  <c r="V5" i="9"/>
  <c r="T5" i="9"/>
  <c r="R5" i="9"/>
  <c r="W5" i="9" s="1"/>
  <c r="AO5" i="9"/>
  <c r="I5" i="9"/>
  <c r="AU5" i="9" s="1"/>
  <c r="G5" i="9"/>
  <c r="J4" i="8"/>
  <c r="J5" i="8"/>
  <c r="J6" i="8"/>
  <c r="J7" i="8"/>
  <c r="J8" i="8"/>
  <c r="J9" i="8"/>
  <c r="J10" i="8"/>
  <c r="J11" i="8"/>
  <c r="J12" i="8"/>
  <c r="J13" i="8"/>
  <c r="J3" i="8"/>
  <c r="R4" i="8"/>
  <c r="R5" i="8"/>
  <c r="R6" i="8"/>
  <c r="R7" i="8"/>
  <c r="R8" i="8"/>
  <c r="R9" i="8"/>
  <c r="R10" i="8"/>
  <c r="R11" i="8"/>
  <c r="R12" i="8"/>
  <c r="R13" i="8"/>
  <c r="R3" i="8"/>
  <c r="R2" i="8"/>
  <c r="K4" i="8"/>
  <c r="L4" i="8"/>
  <c r="K5" i="8"/>
  <c r="L5" i="8"/>
  <c r="K6" i="8"/>
  <c r="L6" i="8"/>
  <c r="K7" i="8"/>
  <c r="L7" i="8"/>
  <c r="K8" i="8"/>
  <c r="L8" i="8"/>
  <c r="K9" i="8"/>
  <c r="K14" i="8" s="1"/>
  <c r="L9" i="8"/>
  <c r="L14" i="8" s="1"/>
  <c r="K10" i="8"/>
  <c r="L10" i="8"/>
  <c r="K11" i="8"/>
  <c r="L11" i="8"/>
  <c r="K12" i="8"/>
  <c r="L12" i="8"/>
  <c r="K13" i="8"/>
  <c r="L13" i="8"/>
  <c r="L3" i="8"/>
  <c r="K3" i="8"/>
  <c r="F8" i="8"/>
  <c r="G10" i="8"/>
  <c r="F12" i="8"/>
  <c r="F3" i="8"/>
  <c r="G4" i="8"/>
  <c r="G13" i="8"/>
  <c r="F2" i="8"/>
  <c r="H4" i="8"/>
  <c r="F9" i="8"/>
  <c r="H12" i="8"/>
  <c r="G2" i="8"/>
  <c r="F7" i="8"/>
  <c r="G5" i="8"/>
  <c r="F13" i="8"/>
  <c r="H6" i="8"/>
  <c r="H13" i="8"/>
  <c r="H8" i="8"/>
  <c r="H9" i="8"/>
  <c r="K8" i="14"/>
  <c r="G9" i="8"/>
  <c r="H11" i="8"/>
  <c r="F6" i="8"/>
  <c r="H7" i="8"/>
  <c r="G11" i="8"/>
  <c r="H10" i="8"/>
  <c r="K8" i="11"/>
  <c r="F11" i="8"/>
  <c r="G7" i="8"/>
  <c r="G3" i="8"/>
  <c r="G6" i="8"/>
  <c r="H3" i="8"/>
  <c r="H5" i="8"/>
  <c r="H2" i="8"/>
  <c r="F10" i="8"/>
  <c r="G8" i="8"/>
  <c r="F4" i="8"/>
  <c r="K8" i="20"/>
  <c r="G12" i="8"/>
  <c r="F5" i="8"/>
  <c r="AA5" i="9" l="1"/>
  <c r="J158" i="59"/>
  <c r="J150" i="59"/>
  <c r="J142" i="59"/>
  <c r="J134" i="59"/>
  <c r="J126" i="59"/>
  <c r="J118" i="59"/>
  <c r="J110" i="59"/>
  <c r="J102" i="59"/>
  <c r="J94" i="59"/>
  <c r="J85" i="59"/>
  <c r="J77" i="59"/>
  <c r="J69" i="59"/>
  <c r="J61" i="59"/>
  <c r="J53" i="59"/>
  <c r="J45" i="59"/>
  <c r="J37" i="59"/>
  <c r="J29" i="59"/>
  <c r="J21" i="59"/>
  <c r="J158" i="58"/>
  <c r="J150" i="58"/>
  <c r="J142" i="58"/>
  <c r="J134" i="58"/>
  <c r="J126" i="58"/>
  <c r="J118" i="58"/>
  <c r="J110" i="58"/>
  <c r="J102" i="58"/>
  <c r="J94" i="58"/>
  <c r="J86" i="58"/>
  <c r="J78" i="58"/>
  <c r="J70" i="58"/>
  <c r="J62" i="58"/>
  <c r="J54" i="58"/>
  <c r="J46" i="58"/>
  <c r="J37" i="58"/>
  <c r="J29" i="58"/>
  <c r="J21" i="58"/>
  <c r="J158" i="57"/>
  <c r="J150" i="57"/>
  <c r="J142" i="57"/>
  <c r="J134" i="57"/>
  <c r="J126" i="57"/>
  <c r="J118" i="57"/>
  <c r="J110" i="57"/>
  <c r="J102" i="57"/>
  <c r="J94" i="57"/>
  <c r="J86" i="57"/>
  <c r="J78" i="57"/>
  <c r="J70" i="57"/>
  <c r="J62" i="57"/>
  <c r="J54" i="57"/>
  <c r="J46" i="57"/>
  <c r="J37" i="57"/>
  <c r="J29" i="57"/>
  <c r="J21" i="57"/>
  <c r="J158" i="56"/>
  <c r="J150" i="56"/>
  <c r="J142" i="56"/>
  <c r="J134" i="56"/>
  <c r="J126" i="56"/>
  <c r="J118" i="56"/>
  <c r="J110" i="56"/>
  <c r="J102" i="56"/>
  <c r="J94" i="56"/>
  <c r="J86" i="56"/>
  <c r="J77" i="56"/>
  <c r="J69" i="56"/>
  <c r="J61" i="56"/>
  <c r="J53" i="56"/>
  <c r="J45" i="56"/>
  <c r="J37" i="56"/>
  <c r="J29" i="56"/>
  <c r="J21" i="56"/>
  <c r="J158" i="55"/>
  <c r="J150" i="55"/>
  <c r="J142" i="55"/>
  <c r="J134" i="55"/>
  <c r="J126" i="55"/>
  <c r="J118" i="55"/>
  <c r="J109" i="55"/>
  <c r="J101" i="55"/>
  <c r="J93" i="55"/>
  <c r="J85" i="55"/>
  <c r="J77" i="55"/>
  <c r="J69" i="55"/>
  <c r="J61" i="55"/>
  <c r="J157" i="59"/>
  <c r="J149" i="59"/>
  <c r="J141" i="59"/>
  <c r="J133" i="59"/>
  <c r="J125" i="59"/>
  <c r="J117" i="59"/>
  <c r="J109" i="59"/>
  <c r="J101" i="59"/>
  <c r="J93" i="59"/>
  <c r="J84" i="59"/>
  <c r="J76" i="59"/>
  <c r="J68" i="59"/>
  <c r="J60" i="59"/>
  <c r="J52" i="59"/>
  <c r="J44" i="59"/>
  <c r="J36" i="59"/>
  <c r="J28" i="59"/>
  <c r="J20" i="59"/>
  <c r="J157" i="58"/>
  <c r="J149" i="58"/>
  <c r="J141" i="58"/>
  <c r="J133" i="58"/>
  <c r="J156" i="59"/>
  <c r="J148" i="59"/>
  <c r="J140" i="59"/>
  <c r="J132" i="59"/>
  <c r="J124" i="59"/>
  <c r="J116" i="59"/>
  <c r="J108" i="59"/>
  <c r="J100" i="59"/>
  <c r="J92" i="59"/>
  <c r="J83" i="59"/>
  <c r="J75" i="59"/>
  <c r="J67" i="59"/>
  <c r="J59" i="59"/>
  <c r="J51" i="59"/>
  <c r="J43" i="59"/>
  <c r="J35" i="59"/>
  <c r="J27" i="59"/>
  <c r="J19" i="59"/>
  <c r="J156" i="58"/>
  <c r="J148" i="58"/>
  <c r="J140" i="58"/>
  <c r="J132" i="58"/>
  <c r="J124" i="58"/>
  <c r="J116" i="58"/>
  <c r="J108" i="58"/>
  <c r="J100" i="58"/>
  <c r="J92" i="58"/>
  <c r="J84" i="58"/>
  <c r="J76" i="58"/>
  <c r="J68" i="58"/>
  <c r="J60" i="58"/>
  <c r="J52" i="58"/>
  <c r="J44" i="58"/>
  <c r="J35" i="58"/>
  <c r="J27" i="58"/>
  <c r="J19" i="58"/>
  <c r="J156" i="57"/>
  <c r="J148" i="57"/>
  <c r="J140" i="57"/>
  <c r="J132" i="57"/>
  <c r="J124" i="57"/>
  <c r="J116" i="57"/>
  <c r="J108" i="57"/>
  <c r="J100" i="57"/>
  <c r="J92" i="57"/>
  <c r="J84" i="57"/>
  <c r="J76" i="57"/>
  <c r="J68" i="57"/>
  <c r="J60" i="57"/>
  <c r="J52" i="57"/>
  <c r="J44" i="57"/>
  <c r="J35" i="57"/>
  <c r="J27" i="57"/>
  <c r="J19" i="57"/>
  <c r="J156" i="56"/>
  <c r="J148" i="56"/>
  <c r="J140" i="56"/>
  <c r="J132" i="56"/>
  <c r="J124" i="56"/>
  <c r="J116" i="56"/>
  <c r="J108" i="56"/>
  <c r="J100" i="56"/>
  <c r="J92" i="56"/>
  <c r="J84" i="56"/>
  <c r="J75" i="56"/>
  <c r="J67" i="56"/>
  <c r="J59" i="56"/>
  <c r="J51" i="56"/>
  <c r="J43" i="56"/>
  <c r="J35" i="56"/>
  <c r="J27" i="56"/>
  <c r="J19" i="56"/>
  <c r="J156" i="55"/>
  <c r="J148" i="55"/>
  <c r="J140" i="55"/>
  <c r="J132" i="55"/>
  <c r="J124" i="55"/>
  <c r="J116" i="55"/>
  <c r="J107" i="55"/>
  <c r="J99" i="55"/>
  <c r="J91" i="55"/>
  <c r="J83" i="55"/>
  <c r="J75" i="55"/>
  <c r="J67" i="55"/>
  <c r="J59" i="55"/>
  <c r="J155" i="59"/>
  <c r="J147" i="59"/>
  <c r="J139" i="59"/>
  <c r="J131" i="59"/>
  <c r="J123" i="59"/>
  <c r="J115" i="59"/>
  <c r="J107" i="59"/>
  <c r="J99" i="59"/>
  <c r="J90" i="59"/>
  <c r="J82" i="59"/>
  <c r="J74" i="59"/>
  <c r="J66" i="59"/>
  <c r="J58" i="59"/>
  <c r="J50" i="59"/>
  <c r="J42" i="59"/>
  <c r="J34" i="59"/>
  <c r="J26" i="59"/>
  <c r="J155" i="58"/>
  <c r="J147" i="58"/>
  <c r="J139" i="58"/>
  <c r="J131" i="58"/>
  <c r="J123" i="58"/>
  <c r="J115" i="58"/>
  <c r="J107" i="58"/>
  <c r="J99" i="58"/>
  <c r="J91" i="58"/>
  <c r="J83" i="58"/>
  <c r="J75" i="58"/>
  <c r="J67" i="58"/>
  <c r="J59" i="58"/>
  <c r="J51" i="58"/>
  <c r="J43" i="58"/>
  <c r="J34" i="58"/>
  <c r="J26" i="58"/>
  <c r="J155" i="57"/>
  <c r="J147" i="57"/>
  <c r="J139" i="57"/>
  <c r="J131" i="57"/>
  <c r="J123" i="57"/>
  <c r="J115" i="57"/>
  <c r="J107" i="57"/>
  <c r="J99" i="57"/>
  <c r="J91" i="57"/>
  <c r="J83" i="57"/>
  <c r="J75" i="57"/>
  <c r="J67" i="57"/>
  <c r="J59" i="57"/>
  <c r="J51" i="57"/>
  <c r="J42" i="57"/>
  <c r="J34" i="57"/>
  <c r="J26" i="57"/>
  <c r="J155" i="56"/>
  <c r="J147" i="56"/>
  <c r="J139" i="56"/>
  <c r="J131" i="56"/>
  <c r="J123" i="56"/>
  <c r="J115" i="56"/>
  <c r="J107" i="56"/>
  <c r="J99" i="56"/>
  <c r="J91" i="56"/>
  <c r="J82" i="56"/>
  <c r="J74" i="56"/>
  <c r="J162" i="59"/>
  <c r="J154" i="59"/>
  <c r="J146" i="59"/>
  <c r="J138" i="59"/>
  <c r="J130" i="59"/>
  <c r="J122" i="59"/>
  <c r="J114" i="59"/>
  <c r="J106" i="59"/>
  <c r="J98" i="59"/>
  <c r="J89" i="59"/>
  <c r="J81" i="59"/>
  <c r="J73" i="59"/>
  <c r="J65" i="59"/>
  <c r="J57" i="59"/>
  <c r="J49" i="59"/>
  <c r="J41" i="59"/>
  <c r="J33" i="59"/>
  <c r="J25" i="59"/>
  <c r="J162" i="58"/>
  <c r="J154" i="58"/>
  <c r="J146" i="58"/>
  <c r="J138" i="58"/>
  <c r="J130" i="58"/>
  <c r="J122" i="58"/>
  <c r="J114" i="58"/>
  <c r="J106" i="58"/>
  <c r="J98" i="58"/>
  <c r="J90" i="58"/>
  <c r="J82" i="58"/>
  <c r="J74" i="58"/>
  <c r="J66" i="58"/>
  <c r="J58" i="58"/>
  <c r="J50" i="58"/>
  <c r="J42" i="58"/>
  <c r="J33" i="58"/>
  <c r="J25" i="58"/>
  <c r="J162" i="57"/>
  <c r="J154" i="57"/>
  <c r="J146" i="57"/>
  <c r="J138" i="57"/>
  <c r="J130" i="57"/>
  <c r="J122" i="57"/>
  <c r="J114" i="57"/>
  <c r="J106" i="57"/>
  <c r="J98" i="57"/>
  <c r="J90" i="57"/>
  <c r="J82" i="57"/>
  <c r="J74" i="57"/>
  <c r="J66" i="57"/>
  <c r="J58" i="57"/>
  <c r="J50" i="57"/>
  <c r="J41" i="57"/>
  <c r="J33" i="57"/>
  <c r="J25" i="57"/>
  <c r="J162" i="56"/>
  <c r="J154" i="56"/>
  <c r="J146" i="56"/>
  <c r="J138" i="56"/>
  <c r="J130" i="56"/>
  <c r="J122" i="56"/>
  <c r="J114" i="56"/>
  <c r="J106" i="56"/>
  <c r="J98" i="56"/>
  <c r="J90" i="56"/>
  <c r="J81" i="56"/>
  <c r="J73" i="56"/>
  <c r="J65" i="56"/>
  <c r="J57" i="56"/>
  <c r="J49" i="56"/>
  <c r="J41" i="56"/>
  <c r="J33" i="56"/>
  <c r="J25" i="56"/>
  <c r="J162" i="55"/>
  <c r="J154" i="55"/>
  <c r="J146" i="55"/>
  <c r="J138" i="55"/>
  <c r="J130" i="55"/>
  <c r="J122" i="55"/>
  <c r="J114" i="55"/>
  <c r="J105" i="55"/>
  <c r="J97" i="55"/>
  <c r="J89" i="55"/>
  <c r="J81" i="55"/>
  <c r="J73" i="55"/>
  <c r="J65" i="55"/>
  <c r="J161" i="59"/>
  <c r="J160" i="59"/>
  <c r="J152" i="59"/>
  <c r="J144" i="59"/>
  <c r="J136" i="59"/>
  <c r="J128" i="59"/>
  <c r="J120" i="59"/>
  <c r="J112" i="59"/>
  <c r="J104" i="59"/>
  <c r="J96" i="59"/>
  <c r="J87" i="59"/>
  <c r="J79" i="59"/>
  <c r="J71" i="59"/>
  <c r="J63" i="59"/>
  <c r="J55" i="59"/>
  <c r="J47" i="59"/>
  <c r="J39" i="59"/>
  <c r="J31" i="59"/>
  <c r="J23" i="59"/>
  <c r="J160" i="58"/>
  <c r="J152" i="58"/>
  <c r="J144" i="58"/>
  <c r="J136" i="58"/>
  <c r="J128" i="58"/>
  <c r="J120" i="58"/>
  <c r="J112" i="58"/>
  <c r="J104" i="58"/>
  <c r="J96" i="58"/>
  <c r="J88" i="58"/>
  <c r="J80" i="58"/>
  <c r="J72" i="58"/>
  <c r="J64" i="58"/>
  <c r="J56" i="58"/>
  <c r="J48" i="58"/>
  <c r="J39" i="58"/>
  <c r="J31" i="58"/>
  <c r="J23" i="58"/>
  <c r="J160" i="57"/>
  <c r="J152" i="57"/>
  <c r="J144" i="57"/>
  <c r="J136" i="57"/>
  <c r="J128" i="57"/>
  <c r="J120" i="57"/>
  <c r="J112" i="57"/>
  <c r="J104" i="57"/>
  <c r="J96" i="57"/>
  <c r="J88" i="57"/>
  <c r="J80" i="57"/>
  <c r="J72" i="57"/>
  <c r="J64" i="57"/>
  <c r="J56" i="57"/>
  <c r="J48" i="57"/>
  <c r="J39" i="57"/>
  <c r="J31" i="57"/>
  <c r="J23" i="57"/>
  <c r="J160" i="56"/>
  <c r="J152" i="56"/>
  <c r="J144" i="56"/>
  <c r="J136" i="56"/>
  <c r="J128" i="56"/>
  <c r="J120" i="56"/>
  <c r="J112" i="56"/>
  <c r="J104" i="56"/>
  <c r="J96" i="56"/>
  <c r="J88" i="56"/>
  <c r="J79" i="56"/>
  <c r="J71" i="56"/>
  <c r="J63" i="56"/>
  <c r="J55" i="56"/>
  <c r="J47" i="56"/>
  <c r="J39" i="56"/>
  <c r="J31" i="56"/>
  <c r="J23" i="56"/>
  <c r="J160" i="55"/>
  <c r="J152" i="55"/>
  <c r="J144" i="55"/>
  <c r="J136" i="55"/>
  <c r="J128" i="55"/>
  <c r="J120" i="55"/>
  <c r="J112" i="55"/>
  <c r="J103" i="55"/>
  <c r="J95" i="55"/>
  <c r="J87" i="55"/>
  <c r="J79" i="55"/>
  <c r="J71" i="55"/>
  <c r="J63" i="55"/>
  <c r="J159" i="59"/>
  <c r="J151" i="59"/>
  <c r="J143" i="59"/>
  <c r="J135" i="59"/>
  <c r="J127" i="59"/>
  <c r="J119" i="59"/>
  <c r="J111" i="59"/>
  <c r="J103" i="59"/>
  <c r="J95" i="59"/>
  <c r="J86" i="59"/>
  <c r="J78" i="59"/>
  <c r="J70" i="59"/>
  <c r="J62" i="59"/>
  <c r="J54" i="59"/>
  <c r="J46" i="59"/>
  <c r="J38" i="59"/>
  <c r="J30" i="59"/>
  <c r="J22" i="59"/>
  <c r="J159" i="58"/>
  <c r="J151" i="58"/>
  <c r="J143" i="58"/>
  <c r="J135" i="58"/>
  <c r="J127" i="58"/>
  <c r="J119" i="58"/>
  <c r="J111" i="58"/>
  <c r="J103" i="58"/>
  <c r="J95" i="58"/>
  <c r="J87" i="58"/>
  <c r="J79" i="58"/>
  <c r="J71" i="58"/>
  <c r="J63" i="58"/>
  <c r="J55" i="58"/>
  <c r="J47" i="58"/>
  <c r="J38" i="58"/>
  <c r="J30" i="58"/>
  <c r="J22" i="58"/>
  <c r="J159" i="57"/>
  <c r="J151" i="57"/>
  <c r="J143" i="57"/>
  <c r="J135" i="57"/>
  <c r="J127" i="57"/>
  <c r="J119" i="57"/>
  <c r="J111" i="57"/>
  <c r="J103" i="57"/>
  <c r="J95" i="57"/>
  <c r="J87" i="57"/>
  <c r="J79" i="57"/>
  <c r="J71" i="57"/>
  <c r="J63" i="57"/>
  <c r="J55" i="57"/>
  <c r="J47" i="57"/>
  <c r="J38" i="57"/>
  <c r="J30" i="57"/>
  <c r="J22" i="57"/>
  <c r="J159" i="56"/>
  <c r="J151" i="56"/>
  <c r="J143" i="56"/>
  <c r="J135" i="56"/>
  <c r="J127" i="56"/>
  <c r="J119" i="56"/>
  <c r="J111" i="56"/>
  <c r="J103" i="56"/>
  <c r="J95" i="56"/>
  <c r="J87" i="56"/>
  <c r="J78" i="56"/>
  <c r="J70" i="56"/>
  <c r="J62" i="56"/>
  <c r="J54" i="56"/>
  <c r="J46" i="56"/>
  <c r="J38" i="56"/>
  <c r="J30" i="56"/>
  <c r="J22" i="56"/>
  <c r="J159" i="55"/>
  <c r="J151" i="55"/>
  <c r="J143" i="55"/>
  <c r="J135" i="55"/>
  <c r="J127" i="55"/>
  <c r="J119" i="55"/>
  <c r="J111" i="55"/>
  <c r="J102" i="55"/>
  <c r="J94" i="55"/>
  <c r="J86" i="55"/>
  <c r="J78" i="55"/>
  <c r="J70" i="55"/>
  <c r="J121" i="59"/>
  <c r="J56" i="59"/>
  <c r="J145" i="58"/>
  <c r="J105" i="58"/>
  <c r="J73" i="58"/>
  <c r="J41" i="58"/>
  <c r="J157" i="57"/>
  <c r="J125" i="57"/>
  <c r="J93" i="57"/>
  <c r="J61" i="57"/>
  <c r="J28" i="57"/>
  <c r="J145" i="56"/>
  <c r="J113" i="56"/>
  <c r="J80" i="56"/>
  <c r="J56" i="56"/>
  <c r="J34" i="56"/>
  <c r="J157" i="55"/>
  <c r="J137" i="55"/>
  <c r="J115" i="55"/>
  <c r="J92" i="55"/>
  <c r="J72" i="55"/>
  <c r="J56" i="55"/>
  <c r="J48" i="55"/>
  <c r="J40" i="55"/>
  <c r="J32" i="55"/>
  <c r="J24" i="55"/>
  <c r="J161" i="54"/>
  <c r="J153" i="54"/>
  <c r="J145" i="54"/>
  <c r="J137" i="54"/>
  <c r="J129" i="54"/>
  <c r="J121" i="54"/>
  <c r="J113" i="54"/>
  <c r="J105" i="54"/>
  <c r="J97" i="54"/>
  <c r="J89" i="54"/>
  <c r="J80" i="54"/>
  <c r="J72" i="54"/>
  <c r="J64" i="54"/>
  <c r="J56" i="54"/>
  <c r="J48" i="54"/>
  <c r="J40" i="54"/>
  <c r="J32" i="54"/>
  <c r="J24" i="54"/>
  <c r="J161" i="53"/>
  <c r="J153" i="53"/>
  <c r="J145" i="53"/>
  <c r="J137" i="53"/>
  <c r="J129" i="53"/>
  <c r="J121" i="53"/>
  <c r="J113" i="53"/>
  <c r="J105" i="53"/>
  <c r="J97" i="53"/>
  <c r="J89" i="53"/>
  <c r="J81" i="53"/>
  <c r="J72" i="53"/>
  <c r="J64" i="53"/>
  <c r="J56" i="53"/>
  <c r="J48" i="53"/>
  <c r="J40" i="53"/>
  <c r="J32" i="53"/>
  <c r="J24" i="53"/>
  <c r="J161" i="52"/>
  <c r="J153" i="52"/>
  <c r="J145" i="52"/>
  <c r="J137" i="52"/>
  <c r="J129" i="52"/>
  <c r="J121" i="52"/>
  <c r="J113" i="52"/>
  <c r="J105" i="52"/>
  <c r="J97" i="52"/>
  <c r="J89" i="52"/>
  <c r="J81" i="52"/>
  <c r="J72" i="52"/>
  <c r="J64" i="52"/>
  <c r="J56" i="52"/>
  <c r="J48" i="52"/>
  <c r="J40" i="52"/>
  <c r="J32" i="52"/>
  <c r="J24" i="52"/>
  <c r="J161" i="51"/>
  <c r="J153" i="51"/>
  <c r="J145" i="51"/>
  <c r="J137" i="51"/>
  <c r="J129" i="51"/>
  <c r="J121" i="51"/>
  <c r="J113" i="59"/>
  <c r="J48" i="59"/>
  <c r="J137" i="58"/>
  <c r="J101" i="58"/>
  <c r="J69" i="58"/>
  <c r="J36" i="58"/>
  <c r="J153" i="57"/>
  <c r="J121" i="57"/>
  <c r="J89" i="57"/>
  <c r="J57" i="57"/>
  <c r="J24" i="57"/>
  <c r="J141" i="56"/>
  <c r="J109" i="56"/>
  <c r="J76" i="56"/>
  <c r="J52" i="56"/>
  <c r="J32" i="56"/>
  <c r="J155" i="55"/>
  <c r="J133" i="55"/>
  <c r="J113" i="55"/>
  <c r="J90" i="55"/>
  <c r="J68" i="55"/>
  <c r="J55" i="55"/>
  <c r="J47" i="55"/>
  <c r="J39" i="55"/>
  <c r="J31" i="55"/>
  <c r="J23" i="55"/>
  <c r="J160" i="54"/>
  <c r="J152" i="54"/>
  <c r="J144" i="54"/>
  <c r="J136" i="54"/>
  <c r="J128" i="54"/>
  <c r="J120" i="54"/>
  <c r="J112" i="54"/>
  <c r="J104" i="54"/>
  <c r="J96" i="54"/>
  <c r="J88" i="54"/>
  <c r="J79" i="54"/>
  <c r="J71" i="54"/>
  <c r="J63" i="54"/>
  <c r="J55" i="54"/>
  <c r="J47" i="54"/>
  <c r="J39" i="54"/>
  <c r="J31" i="54"/>
  <c r="J23" i="54"/>
  <c r="J160" i="53"/>
  <c r="J152" i="53"/>
  <c r="J144" i="53"/>
  <c r="J136" i="53"/>
  <c r="J128" i="53"/>
  <c r="J120" i="53"/>
  <c r="J112" i="53"/>
  <c r="J104" i="53"/>
  <c r="J96" i="53"/>
  <c r="J88" i="53"/>
  <c r="J80" i="53"/>
  <c r="J71" i="53"/>
  <c r="J63" i="53"/>
  <c r="J55" i="53"/>
  <c r="J47" i="53"/>
  <c r="J39" i="53"/>
  <c r="J31" i="53"/>
  <c r="J23" i="53"/>
  <c r="J160" i="52"/>
  <c r="J152" i="52"/>
  <c r="J144" i="52"/>
  <c r="J136" i="52"/>
  <c r="J128" i="52"/>
  <c r="J120" i="52"/>
  <c r="J112" i="52"/>
  <c r="J104" i="52"/>
  <c r="J96" i="52"/>
  <c r="J88" i="52"/>
  <c r="J79" i="52"/>
  <c r="J71" i="52"/>
  <c r="J63" i="52"/>
  <c r="J55" i="52"/>
  <c r="J47" i="52"/>
  <c r="J39" i="52"/>
  <c r="J31" i="52"/>
  <c r="J23" i="52"/>
  <c r="J160" i="51"/>
  <c r="J152" i="51"/>
  <c r="J144" i="51"/>
  <c r="J136" i="51"/>
  <c r="J128" i="51"/>
  <c r="J105" i="59"/>
  <c r="J40" i="59"/>
  <c r="J129" i="58"/>
  <c r="J97" i="58"/>
  <c r="J65" i="58"/>
  <c r="J32" i="58"/>
  <c r="J149" i="57"/>
  <c r="J117" i="57"/>
  <c r="J85" i="57"/>
  <c r="J53" i="57"/>
  <c r="J20" i="57"/>
  <c r="J137" i="56"/>
  <c r="J105" i="56"/>
  <c r="J72" i="56"/>
  <c r="J50" i="56"/>
  <c r="J28" i="56"/>
  <c r="J153" i="55"/>
  <c r="J131" i="55"/>
  <c r="J108" i="55"/>
  <c r="J88" i="55"/>
  <c r="J66" i="55"/>
  <c r="J54" i="55"/>
  <c r="J46" i="55"/>
  <c r="J38" i="55"/>
  <c r="J30" i="55"/>
  <c r="J22" i="55"/>
  <c r="J159" i="54"/>
  <c r="J151" i="54"/>
  <c r="J143" i="54"/>
  <c r="J135" i="54"/>
  <c r="J127" i="54"/>
  <c r="J119" i="54"/>
  <c r="J111" i="54"/>
  <c r="J103" i="54"/>
  <c r="J95" i="54"/>
  <c r="J87" i="54"/>
  <c r="J78" i="54"/>
  <c r="J70" i="54"/>
  <c r="J62" i="54"/>
  <c r="J54" i="54"/>
  <c r="J46" i="54"/>
  <c r="J38" i="54"/>
  <c r="J30" i="54"/>
  <c r="J22" i="54"/>
  <c r="J159" i="53"/>
  <c r="J151" i="53"/>
  <c r="J143" i="53"/>
  <c r="J135" i="53"/>
  <c r="J127" i="53"/>
  <c r="J119" i="53"/>
  <c r="J111" i="53"/>
  <c r="J103" i="53"/>
  <c r="J95" i="53"/>
  <c r="J87" i="53"/>
  <c r="J79" i="53"/>
  <c r="J70" i="53"/>
  <c r="J62" i="53"/>
  <c r="J54" i="53"/>
  <c r="J46" i="53"/>
  <c r="J38" i="53"/>
  <c r="J30" i="53"/>
  <c r="J22" i="53"/>
  <c r="J159" i="52"/>
  <c r="J151" i="52"/>
  <c r="J143" i="52"/>
  <c r="J135" i="52"/>
  <c r="J127" i="52"/>
  <c r="J119" i="52"/>
  <c r="J111" i="52"/>
  <c r="J103" i="52"/>
  <c r="J95" i="52"/>
  <c r="J87" i="52"/>
  <c r="J78" i="52"/>
  <c r="J70" i="52"/>
  <c r="J62" i="52"/>
  <c r="J54" i="52"/>
  <c r="J46" i="52"/>
  <c r="J38" i="52"/>
  <c r="J30" i="52"/>
  <c r="J22" i="52"/>
  <c r="J159" i="51"/>
  <c r="J151" i="51"/>
  <c r="J143" i="51"/>
  <c r="J97" i="59"/>
  <c r="J32" i="59"/>
  <c r="J125" i="58"/>
  <c r="J93" i="58"/>
  <c r="J61" i="58"/>
  <c r="J28" i="58"/>
  <c r="J145" i="57"/>
  <c r="J113" i="57"/>
  <c r="J81" i="57"/>
  <c r="J49" i="57"/>
  <c r="J133" i="56"/>
  <c r="J101" i="56"/>
  <c r="J68" i="56"/>
  <c r="J48" i="56"/>
  <c r="J26" i="56"/>
  <c r="J149" i="55"/>
  <c r="J129" i="55"/>
  <c r="J106" i="55"/>
  <c r="J84" i="55"/>
  <c r="J64" i="55"/>
  <c r="J53" i="55"/>
  <c r="J45" i="55"/>
  <c r="J37" i="55"/>
  <c r="J29" i="55"/>
  <c r="J21" i="55"/>
  <c r="J158" i="54"/>
  <c r="J150" i="54"/>
  <c r="J142" i="54"/>
  <c r="J134" i="54"/>
  <c r="J126" i="54"/>
  <c r="J118" i="54"/>
  <c r="J110" i="54"/>
  <c r="J102" i="54"/>
  <c r="J94" i="54"/>
  <c r="J86" i="54"/>
  <c r="J77" i="54"/>
  <c r="J69" i="54"/>
  <c r="J61" i="54"/>
  <c r="J53" i="54"/>
  <c r="J45" i="54"/>
  <c r="J37" i="54"/>
  <c r="J29" i="54"/>
  <c r="J21" i="54"/>
  <c r="J158" i="53"/>
  <c r="J150" i="53"/>
  <c r="J142" i="53"/>
  <c r="J134" i="53"/>
  <c r="J126" i="53"/>
  <c r="J118" i="53"/>
  <c r="J110" i="53"/>
  <c r="J102" i="53"/>
  <c r="J94" i="53"/>
  <c r="J86" i="53"/>
  <c r="J78" i="53"/>
  <c r="J69" i="53"/>
  <c r="J61" i="53"/>
  <c r="J53" i="53"/>
  <c r="J45" i="53"/>
  <c r="J37" i="53"/>
  <c r="J29" i="53"/>
  <c r="J21" i="53"/>
  <c r="J158" i="52"/>
  <c r="J150" i="52"/>
  <c r="J142" i="52"/>
  <c r="J134" i="52"/>
  <c r="J126" i="52"/>
  <c r="J118" i="52"/>
  <c r="J110" i="52"/>
  <c r="J102" i="52"/>
  <c r="J94" i="52"/>
  <c r="J86" i="52"/>
  <c r="J77" i="52"/>
  <c r="J69" i="52"/>
  <c r="J61" i="52"/>
  <c r="J53" i="52"/>
  <c r="J45" i="52"/>
  <c r="J37" i="52"/>
  <c r="J29" i="52"/>
  <c r="J21" i="52"/>
  <c r="J158" i="51"/>
  <c r="J150" i="51"/>
  <c r="J142" i="51"/>
  <c r="J134" i="51"/>
  <c r="J126" i="51"/>
  <c r="J118" i="51"/>
  <c r="J153" i="59"/>
  <c r="J88" i="59"/>
  <c r="J24" i="59"/>
  <c r="J121" i="58"/>
  <c r="J89" i="58"/>
  <c r="J57" i="58"/>
  <c r="J24" i="58"/>
  <c r="J141" i="57"/>
  <c r="J109" i="57"/>
  <c r="J77" i="57"/>
  <c r="J45" i="57"/>
  <c r="J161" i="56"/>
  <c r="J129" i="56"/>
  <c r="J97" i="56"/>
  <c r="J66" i="56"/>
  <c r="J44" i="56"/>
  <c r="J24" i="56"/>
  <c r="J147" i="55"/>
  <c r="J125" i="55"/>
  <c r="J104" i="55"/>
  <c r="J82" i="55"/>
  <c r="J62" i="55"/>
  <c r="J52" i="55"/>
  <c r="J44" i="55"/>
  <c r="J36" i="55"/>
  <c r="J28" i="55"/>
  <c r="J20" i="55"/>
  <c r="J157" i="54"/>
  <c r="J149" i="54"/>
  <c r="J141" i="54"/>
  <c r="J133" i="54"/>
  <c r="J125" i="54"/>
  <c r="J117" i="54"/>
  <c r="J109" i="54"/>
  <c r="J101" i="54"/>
  <c r="J93" i="54"/>
  <c r="J84" i="54"/>
  <c r="J76" i="54"/>
  <c r="J68" i="54"/>
  <c r="J60" i="54"/>
  <c r="J52" i="54"/>
  <c r="J44" i="54"/>
  <c r="J36" i="54"/>
  <c r="J28" i="54"/>
  <c r="J20" i="54"/>
  <c r="J157" i="53"/>
  <c r="J149" i="53"/>
  <c r="J141" i="53"/>
  <c r="J133" i="53"/>
  <c r="J125" i="53"/>
  <c r="J117" i="53"/>
  <c r="J109" i="53"/>
  <c r="J101" i="53"/>
  <c r="J93" i="53"/>
  <c r="J85" i="53"/>
  <c r="J77" i="53"/>
  <c r="J68" i="53"/>
  <c r="J60" i="53"/>
  <c r="J52" i="53"/>
  <c r="J44" i="53"/>
  <c r="J36" i="53"/>
  <c r="J28" i="53"/>
  <c r="J20" i="53"/>
  <c r="J157" i="52"/>
  <c r="J149" i="52"/>
  <c r="J141" i="52"/>
  <c r="J133" i="52"/>
  <c r="J125" i="52"/>
  <c r="J117" i="52"/>
  <c r="J109" i="52"/>
  <c r="J101" i="52"/>
  <c r="J93" i="52"/>
  <c r="J85" i="52"/>
  <c r="J76" i="52"/>
  <c r="J68" i="52"/>
  <c r="J60" i="52"/>
  <c r="J52" i="52"/>
  <c r="J44" i="52"/>
  <c r="J36" i="52"/>
  <c r="J28" i="52"/>
  <c r="J20" i="52"/>
  <c r="J157" i="51"/>
  <c r="J149" i="51"/>
  <c r="J145" i="59"/>
  <c r="J80" i="59"/>
  <c r="J117" i="58"/>
  <c r="J85" i="58"/>
  <c r="J53" i="58"/>
  <c r="J20" i="58"/>
  <c r="J137" i="57"/>
  <c r="J105" i="57"/>
  <c r="J73" i="57"/>
  <c r="J40" i="57"/>
  <c r="J157" i="56"/>
  <c r="J125" i="56"/>
  <c r="J93" i="56"/>
  <c r="J64" i="56"/>
  <c r="J42" i="56"/>
  <c r="J20" i="56"/>
  <c r="J145" i="55"/>
  <c r="J123" i="55"/>
  <c r="J100" i="55"/>
  <c r="J80" i="55"/>
  <c r="J60" i="55"/>
  <c r="J51" i="55"/>
  <c r="J43" i="55"/>
  <c r="J35" i="55"/>
  <c r="J27" i="55"/>
  <c r="J19" i="55"/>
  <c r="J156" i="54"/>
  <c r="J148" i="54"/>
  <c r="J140" i="54"/>
  <c r="J132" i="54"/>
  <c r="J124" i="54"/>
  <c r="J116" i="54"/>
  <c r="J108" i="54"/>
  <c r="J100" i="54"/>
  <c r="J92" i="54"/>
  <c r="J83" i="54"/>
  <c r="J75" i="54"/>
  <c r="J67" i="54"/>
  <c r="J59" i="54"/>
  <c r="J51" i="54"/>
  <c r="J43" i="54"/>
  <c r="J35" i="54"/>
  <c r="J27" i="54"/>
  <c r="J19" i="54"/>
  <c r="J156" i="53"/>
  <c r="J148" i="53"/>
  <c r="J140" i="53"/>
  <c r="J132" i="53"/>
  <c r="J124" i="53"/>
  <c r="J116" i="53"/>
  <c r="J108" i="53"/>
  <c r="J100" i="53"/>
  <c r="J92" i="53"/>
  <c r="J84" i="53"/>
  <c r="J76" i="53"/>
  <c r="J67" i="53"/>
  <c r="J59" i="53"/>
  <c r="J51" i="53"/>
  <c r="J43" i="53"/>
  <c r="J35" i="53"/>
  <c r="J27" i="53"/>
  <c r="J19" i="53"/>
  <c r="J156" i="52"/>
  <c r="J148" i="52"/>
  <c r="J140" i="52"/>
  <c r="J132" i="52"/>
  <c r="J124" i="52"/>
  <c r="J116" i="52"/>
  <c r="J108" i="52"/>
  <c r="J100" i="52"/>
  <c r="J92" i="52"/>
  <c r="J84" i="52"/>
  <c r="J75" i="52"/>
  <c r="J67" i="52"/>
  <c r="J59" i="52"/>
  <c r="J137" i="59"/>
  <c r="J72" i="59"/>
  <c r="J161" i="58"/>
  <c r="J113" i="58"/>
  <c r="J81" i="58"/>
  <c r="J49" i="58"/>
  <c r="J133" i="57"/>
  <c r="J101" i="57"/>
  <c r="J69" i="57"/>
  <c r="J36" i="57"/>
  <c r="J153" i="56"/>
  <c r="J121" i="56"/>
  <c r="J89" i="56"/>
  <c r="J60" i="56"/>
  <c r="J40" i="56"/>
  <c r="J141" i="55"/>
  <c r="J121" i="55"/>
  <c r="J98" i="55"/>
  <c r="J76" i="55"/>
  <c r="J58" i="55"/>
  <c r="J50" i="55"/>
  <c r="J42" i="55"/>
  <c r="J34" i="55"/>
  <c r="J26" i="55"/>
  <c r="J155" i="54"/>
  <c r="J147" i="54"/>
  <c r="J139" i="54"/>
  <c r="J131" i="54"/>
  <c r="J123" i="54"/>
  <c r="J115" i="54"/>
  <c r="J107" i="54"/>
  <c r="J99" i="54"/>
  <c r="J91" i="54"/>
  <c r="J82" i="54"/>
  <c r="J74" i="54"/>
  <c r="J66" i="54"/>
  <c r="J58" i="54"/>
  <c r="J50" i="54"/>
  <c r="J42" i="54"/>
  <c r="J34" i="54"/>
  <c r="J26" i="54"/>
  <c r="J155" i="53"/>
  <c r="J147" i="53"/>
  <c r="J139" i="53"/>
  <c r="J131" i="53"/>
  <c r="J123" i="53"/>
  <c r="J115" i="53"/>
  <c r="J107" i="53"/>
  <c r="J99" i="53"/>
  <c r="J91" i="53"/>
  <c r="J83" i="53"/>
  <c r="J75" i="53"/>
  <c r="J66" i="53"/>
  <c r="J58" i="53"/>
  <c r="J50" i="53"/>
  <c r="J42" i="53"/>
  <c r="J34" i="53"/>
  <c r="J26" i="53"/>
  <c r="J155" i="52"/>
  <c r="J147" i="52"/>
  <c r="J139" i="52"/>
  <c r="J131" i="52"/>
  <c r="J123" i="52"/>
  <c r="J115" i="52"/>
  <c r="J107" i="52"/>
  <c r="J99" i="52"/>
  <c r="J91" i="52"/>
  <c r="J83" i="52"/>
  <c r="J74" i="52"/>
  <c r="J66" i="52"/>
  <c r="J58" i="52"/>
  <c r="J50" i="52"/>
  <c r="J42" i="52"/>
  <c r="J34" i="52"/>
  <c r="J26" i="52"/>
  <c r="J155" i="51"/>
  <c r="J147" i="51"/>
  <c r="J139" i="51"/>
  <c r="J131" i="51"/>
  <c r="J123" i="51"/>
  <c r="J115" i="51"/>
  <c r="J109" i="58"/>
  <c r="J32" i="57"/>
  <c r="J161" i="55"/>
  <c r="J33" i="55"/>
  <c r="J122" i="54"/>
  <c r="J57" i="54"/>
  <c r="J146" i="53"/>
  <c r="J82" i="53"/>
  <c r="J106" i="52"/>
  <c r="J49" i="52"/>
  <c r="J138" i="51"/>
  <c r="J122" i="51"/>
  <c r="J111" i="51"/>
  <c r="J102" i="51"/>
  <c r="J94" i="51"/>
  <c r="J86" i="51"/>
  <c r="J78" i="51"/>
  <c r="J70" i="51"/>
  <c r="J62" i="51"/>
  <c r="J54" i="51"/>
  <c r="J46" i="51"/>
  <c r="J38" i="51"/>
  <c r="J30" i="51"/>
  <c r="J22" i="51"/>
  <c r="J159" i="50"/>
  <c r="J151" i="50"/>
  <c r="J143" i="50"/>
  <c r="J135" i="50"/>
  <c r="J127" i="50"/>
  <c r="J119" i="50"/>
  <c r="J111" i="50"/>
  <c r="J103" i="50"/>
  <c r="J95" i="50"/>
  <c r="J87" i="50"/>
  <c r="J78" i="50"/>
  <c r="J70" i="50"/>
  <c r="J62" i="50"/>
  <c r="J54" i="50"/>
  <c r="J46" i="50"/>
  <c r="J38" i="50"/>
  <c r="J30" i="50"/>
  <c r="J22" i="50"/>
  <c r="J23" i="49"/>
  <c r="J31" i="49"/>
  <c r="J39" i="49"/>
  <c r="J47" i="49"/>
  <c r="J55" i="49"/>
  <c r="J63" i="49"/>
  <c r="J71" i="49"/>
  <c r="J80" i="49"/>
  <c r="J88" i="49"/>
  <c r="J96" i="49"/>
  <c r="J104" i="49"/>
  <c r="J112" i="49"/>
  <c r="J120" i="49"/>
  <c r="J128" i="49"/>
  <c r="J136" i="49"/>
  <c r="J144" i="49"/>
  <c r="J152" i="49"/>
  <c r="J160" i="49"/>
  <c r="K23" i="24"/>
  <c r="K31" i="24"/>
  <c r="K39" i="24"/>
  <c r="K47" i="24"/>
  <c r="K55" i="24"/>
  <c r="K63" i="24"/>
  <c r="K71" i="24"/>
  <c r="K79" i="24"/>
  <c r="K87" i="24"/>
  <c r="K95" i="24"/>
  <c r="K103" i="24"/>
  <c r="K111" i="24"/>
  <c r="K119" i="24"/>
  <c r="K127" i="24"/>
  <c r="K135" i="24"/>
  <c r="K143" i="24"/>
  <c r="K151" i="24"/>
  <c r="K159" i="24"/>
  <c r="J77" i="58"/>
  <c r="J139" i="55"/>
  <c r="J25" i="55"/>
  <c r="J114" i="54"/>
  <c r="J49" i="54"/>
  <c r="J138" i="53"/>
  <c r="J74" i="53"/>
  <c r="J162" i="52"/>
  <c r="J98" i="52"/>
  <c r="J43" i="52"/>
  <c r="J162" i="51"/>
  <c r="J135" i="51"/>
  <c r="J120" i="51"/>
  <c r="J110" i="51"/>
  <c r="J101" i="51"/>
  <c r="J93" i="51"/>
  <c r="J85" i="51"/>
  <c r="J77" i="51"/>
  <c r="J69" i="51"/>
  <c r="J61" i="51"/>
  <c r="J53" i="51"/>
  <c r="J45" i="51"/>
  <c r="J37" i="51"/>
  <c r="J29" i="51"/>
  <c r="J21" i="51"/>
  <c r="J158" i="50"/>
  <c r="J150" i="50"/>
  <c r="J142" i="50"/>
  <c r="J134" i="50"/>
  <c r="J126" i="50"/>
  <c r="J118" i="50"/>
  <c r="J110" i="50"/>
  <c r="J102" i="50"/>
  <c r="J94" i="50"/>
  <c r="J86" i="50"/>
  <c r="J77" i="50"/>
  <c r="J69" i="50"/>
  <c r="J61" i="50"/>
  <c r="J53" i="50"/>
  <c r="J45" i="50"/>
  <c r="J37" i="50"/>
  <c r="J29" i="50"/>
  <c r="J21" i="50"/>
  <c r="J24" i="49"/>
  <c r="J32" i="49"/>
  <c r="J40" i="49"/>
  <c r="J48" i="49"/>
  <c r="J56" i="49"/>
  <c r="J64" i="49"/>
  <c r="J72" i="49"/>
  <c r="J81" i="49"/>
  <c r="J89" i="49"/>
  <c r="J97" i="49"/>
  <c r="J105" i="49"/>
  <c r="J113" i="49"/>
  <c r="J121" i="49"/>
  <c r="J129" i="49"/>
  <c r="J137" i="49"/>
  <c r="J145" i="49"/>
  <c r="J153" i="49"/>
  <c r="J161" i="49"/>
  <c r="K24" i="24"/>
  <c r="K32" i="24"/>
  <c r="K40" i="24"/>
  <c r="K48" i="24"/>
  <c r="K56" i="24"/>
  <c r="K64" i="24"/>
  <c r="K72" i="24"/>
  <c r="K80" i="24"/>
  <c r="K88" i="24"/>
  <c r="K96" i="24"/>
  <c r="K104" i="24"/>
  <c r="K112" i="24"/>
  <c r="K120" i="24"/>
  <c r="K128" i="24"/>
  <c r="K136" i="24"/>
  <c r="K144" i="24"/>
  <c r="K152" i="24"/>
  <c r="K160" i="24"/>
  <c r="J45" i="58"/>
  <c r="J149" i="56"/>
  <c r="J117" i="55"/>
  <c r="J106" i="54"/>
  <c r="J41" i="54"/>
  <c r="J130" i="53"/>
  <c r="J65" i="53"/>
  <c r="J154" i="52"/>
  <c r="J90" i="52"/>
  <c r="J41" i="52"/>
  <c r="J156" i="51"/>
  <c r="J133" i="51"/>
  <c r="J119" i="51"/>
  <c r="J109" i="51"/>
  <c r="J100" i="51"/>
  <c r="J92" i="51"/>
  <c r="J84" i="51"/>
  <c r="J76" i="51"/>
  <c r="J68" i="51"/>
  <c r="J60" i="51"/>
  <c r="J52" i="51"/>
  <c r="J44" i="51"/>
  <c r="J36" i="51"/>
  <c r="J28" i="51"/>
  <c r="J20" i="51"/>
  <c r="J157" i="50"/>
  <c r="J149" i="50"/>
  <c r="J141" i="50"/>
  <c r="J133" i="50"/>
  <c r="J125" i="50"/>
  <c r="J117" i="50"/>
  <c r="J109" i="50"/>
  <c r="J101" i="50"/>
  <c r="J93" i="50"/>
  <c r="J85" i="50"/>
  <c r="J76" i="50"/>
  <c r="J68" i="50"/>
  <c r="J60" i="50"/>
  <c r="J52" i="50"/>
  <c r="J44" i="50"/>
  <c r="J36" i="50"/>
  <c r="J28" i="50"/>
  <c r="J20" i="50"/>
  <c r="J25" i="49"/>
  <c r="J33" i="49"/>
  <c r="J41" i="49"/>
  <c r="J49" i="49"/>
  <c r="J57" i="49"/>
  <c r="J65" i="49"/>
  <c r="J73" i="49"/>
  <c r="J82" i="49"/>
  <c r="J90" i="49"/>
  <c r="J98" i="49"/>
  <c r="J106" i="49"/>
  <c r="J114" i="49"/>
  <c r="J122" i="49"/>
  <c r="J130" i="49"/>
  <c r="J138" i="49"/>
  <c r="J146" i="49"/>
  <c r="J154" i="49"/>
  <c r="J162" i="49"/>
  <c r="K25" i="24"/>
  <c r="K33" i="24"/>
  <c r="K41" i="24"/>
  <c r="K49" i="24"/>
  <c r="K57" i="24"/>
  <c r="K65" i="24"/>
  <c r="K73" i="24"/>
  <c r="K81" i="24"/>
  <c r="K89" i="24"/>
  <c r="K97" i="24"/>
  <c r="K105" i="24"/>
  <c r="K113" i="24"/>
  <c r="K121" i="24"/>
  <c r="K129" i="24"/>
  <c r="K137" i="24"/>
  <c r="K145" i="24"/>
  <c r="K153" i="24"/>
  <c r="K161" i="24"/>
  <c r="J117" i="56"/>
  <c r="J96" i="55"/>
  <c r="J162" i="54"/>
  <c r="J98" i="54"/>
  <c r="J33" i="54"/>
  <c r="J122" i="53"/>
  <c r="J57" i="53"/>
  <c r="J146" i="52"/>
  <c r="J82" i="52"/>
  <c r="J35" i="52"/>
  <c r="J154" i="51"/>
  <c r="J132" i="51"/>
  <c r="J117" i="51"/>
  <c r="J108" i="51"/>
  <c r="J99" i="51"/>
  <c r="J91" i="51"/>
  <c r="J83" i="51"/>
  <c r="J75" i="51"/>
  <c r="J67" i="51"/>
  <c r="J59" i="51"/>
  <c r="J51" i="51"/>
  <c r="J43" i="51"/>
  <c r="J35" i="51"/>
  <c r="J27" i="51"/>
  <c r="J19" i="51"/>
  <c r="J156" i="50"/>
  <c r="J148" i="50"/>
  <c r="J140" i="50"/>
  <c r="J132" i="50"/>
  <c r="J124" i="50"/>
  <c r="J116" i="50"/>
  <c r="J108" i="50"/>
  <c r="J100" i="50"/>
  <c r="J92" i="50"/>
  <c r="J84" i="50"/>
  <c r="J75" i="50"/>
  <c r="J67" i="50"/>
  <c r="J59" i="50"/>
  <c r="J51" i="50"/>
  <c r="J43" i="50"/>
  <c r="J35" i="50"/>
  <c r="J27" i="50"/>
  <c r="J19" i="50"/>
  <c r="J26" i="49"/>
  <c r="J34" i="49"/>
  <c r="J42" i="49"/>
  <c r="J50" i="49"/>
  <c r="J58" i="49"/>
  <c r="J66" i="49"/>
  <c r="J75" i="49"/>
  <c r="J83" i="49"/>
  <c r="J91" i="49"/>
  <c r="J99" i="49"/>
  <c r="J107" i="49"/>
  <c r="J115" i="49"/>
  <c r="J123" i="49"/>
  <c r="J131" i="49"/>
  <c r="J139" i="49"/>
  <c r="J147" i="49"/>
  <c r="J155" i="49"/>
  <c r="J19" i="49"/>
  <c r="K26" i="24"/>
  <c r="K34" i="24"/>
  <c r="K42" i="24"/>
  <c r="K50" i="24"/>
  <c r="K58" i="24"/>
  <c r="K66" i="24"/>
  <c r="K74" i="24"/>
  <c r="K82" i="24"/>
  <c r="K90" i="24"/>
  <c r="K98" i="24"/>
  <c r="K106" i="24"/>
  <c r="K114" i="24"/>
  <c r="K122" i="24"/>
  <c r="K130" i="24"/>
  <c r="K138" i="24"/>
  <c r="K146" i="24"/>
  <c r="K154" i="24"/>
  <c r="K162" i="24"/>
  <c r="J129" i="59"/>
  <c r="J161" i="57"/>
  <c r="J85" i="56"/>
  <c r="J74" i="55"/>
  <c r="J154" i="54"/>
  <c r="J90" i="54"/>
  <c r="J25" i="54"/>
  <c r="J114" i="53"/>
  <c r="J49" i="53"/>
  <c r="J138" i="52"/>
  <c r="J73" i="52"/>
  <c r="J33" i="52"/>
  <c r="J148" i="51"/>
  <c r="J130" i="51"/>
  <c r="J116" i="51"/>
  <c r="J106" i="51"/>
  <c r="J98" i="51"/>
  <c r="J90" i="51"/>
  <c r="J82" i="51"/>
  <c r="J74" i="51"/>
  <c r="J66" i="51"/>
  <c r="J58" i="51"/>
  <c r="J50" i="51"/>
  <c r="J42" i="51"/>
  <c r="J34" i="51"/>
  <c r="J26" i="51"/>
  <c r="J155" i="50"/>
  <c r="J147" i="50"/>
  <c r="J139" i="50"/>
  <c r="J131" i="50"/>
  <c r="J123" i="50"/>
  <c r="J115" i="50"/>
  <c r="J107" i="50"/>
  <c r="J99" i="50"/>
  <c r="J91" i="50"/>
  <c r="J83" i="50"/>
  <c r="J74" i="50"/>
  <c r="J66" i="50"/>
  <c r="J58" i="50"/>
  <c r="J50" i="50"/>
  <c r="J42" i="50"/>
  <c r="J34" i="50"/>
  <c r="J26" i="50"/>
  <c r="J27" i="49"/>
  <c r="J35" i="49"/>
  <c r="J43" i="49"/>
  <c r="J51" i="49"/>
  <c r="J59" i="49"/>
  <c r="J67" i="49"/>
  <c r="J76" i="49"/>
  <c r="J84" i="49"/>
  <c r="J92" i="49"/>
  <c r="J100" i="49"/>
  <c r="J108" i="49"/>
  <c r="J116" i="49"/>
  <c r="J124" i="49"/>
  <c r="J132" i="49"/>
  <c r="J140" i="49"/>
  <c r="J148" i="49"/>
  <c r="J156" i="49"/>
  <c r="K27" i="24"/>
  <c r="K35" i="24"/>
  <c r="K43" i="24"/>
  <c r="K51" i="24"/>
  <c r="K59" i="24"/>
  <c r="K67" i="24"/>
  <c r="K75" i="24"/>
  <c r="K83" i="24"/>
  <c r="K91" i="24"/>
  <c r="K99" i="24"/>
  <c r="K107" i="24"/>
  <c r="K115" i="24"/>
  <c r="K123" i="24"/>
  <c r="K131" i="24"/>
  <c r="K139" i="24"/>
  <c r="K147" i="24"/>
  <c r="K155" i="24"/>
  <c r="K19" i="24"/>
  <c r="J64" i="59"/>
  <c r="J129" i="57"/>
  <c r="J58" i="56"/>
  <c r="J57" i="55"/>
  <c r="J146" i="54"/>
  <c r="J81" i="54"/>
  <c r="J106" i="53"/>
  <c r="J41" i="53"/>
  <c r="J130" i="52"/>
  <c r="J65" i="52"/>
  <c r="J27" i="52"/>
  <c r="J146" i="51"/>
  <c r="J127" i="51"/>
  <c r="J114" i="51"/>
  <c r="J105" i="51"/>
  <c r="J97" i="51"/>
  <c r="J89" i="51"/>
  <c r="J81" i="51"/>
  <c r="J73" i="51"/>
  <c r="J65" i="51"/>
  <c r="J57" i="51"/>
  <c r="J49" i="51"/>
  <c r="J41" i="51"/>
  <c r="J33" i="51"/>
  <c r="J25" i="51"/>
  <c r="J162" i="50"/>
  <c r="J154" i="50"/>
  <c r="J146" i="50"/>
  <c r="J138" i="50"/>
  <c r="J130" i="50"/>
  <c r="J122" i="50"/>
  <c r="J114" i="50"/>
  <c r="J106" i="50"/>
  <c r="J98" i="50"/>
  <c r="J90" i="50"/>
  <c r="J82" i="50"/>
  <c r="J73" i="50"/>
  <c r="J65" i="50"/>
  <c r="J57" i="50"/>
  <c r="J49" i="50"/>
  <c r="J41" i="50"/>
  <c r="J33" i="50"/>
  <c r="J25" i="50"/>
  <c r="J20" i="49"/>
  <c r="J28" i="49"/>
  <c r="J36" i="49"/>
  <c r="J44" i="49"/>
  <c r="J52" i="49"/>
  <c r="J60" i="49"/>
  <c r="J68" i="49"/>
  <c r="J77" i="49"/>
  <c r="J85" i="49"/>
  <c r="J93" i="49"/>
  <c r="J101" i="49"/>
  <c r="J109" i="49"/>
  <c r="J117" i="49"/>
  <c r="J125" i="49"/>
  <c r="J133" i="49"/>
  <c r="J141" i="49"/>
  <c r="J149" i="49"/>
  <c r="J157" i="49"/>
  <c r="K20" i="24"/>
  <c r="K28" i="24"/>
  <c r="K36" i="24"/>
  <c r="K44" i="24"/>
  <c r="K52" i="24"/>
  <c r="K60" i="24"/>
  <c r="K68" i="24"/>
  <c r="K76" i="24"/>
  <c r="K84" i="24"/>
  <c r="K92" i="24"/>
  <c r="K100" i="24"/>
  <c r="K108" i="24"/>
  <c r="K116" i="24"/>
  <c r="K124" i="24"/>
  <c r="K132" i="24"/>
  <c r="K140" i="24"/>
  <c r="K148" i="24"/>
  <c r="K156" i="24"/>
  <c r="J97" i="57"/>
  <c r="J36" i="56"/>
  <c r="J49" i="55"/>
  <c r="J138" i="54"/>
  <c r="J73" i="54"/>
  <c r="J162" i="53"/>
  <c r="J98" i="53"/>
  <c r="J33" i="53"/>
  <c r="J122" i="52"/>
  <c r="J57" i="52"/>
  <c r="J25" i="52"/>
  <c r="J141" i="51"/>
  <c r="J125" i="51"/>
  <c r="J113" i="51"/>
  <c r="J104" i="51"/>
  <c r="J96" i="51"/>
  <c r="J88" i="51"/>
  <c r="J80" i="51"/>
  <c r="J72" i="51"/>
  <c r="J64" i="51"/>
  <c r="J56" i="51"/>
  <c r="J48" i="51"/>
  <c r="J40" i="51"/>
  <c r="J32" i="51"/>
  <c r="J24" i="51"/>
  <c r="J161" i="50"/>
  <c r="J153" i="50"/>
  <c r="J145" i="50"/>
  <c r="J137" i="50"/>
  <c r="J129" i="50"/>
  <c r="J121" i="50"/>
  <c r="J113" i="50"/>
  <c r="J105" i="50"/>
  <c r="J97" i="50"/>
  <c r="J89" i="50"/>
  <c r="J80" i="50"/>
  <c r="J72" i="50"/>
  <c r="J64" i="50"/>
  <c r="J56" i="50"/>
  <c r="J48" i="50"/>
  <c r="J40" i="50"/>
  <c r="J32" i="50"/>
  <c r="J24" i="50"/>
  <c r="J21" i="49"/>
  <c r="J29" i="49"/>
  <c r="J37" i="49"/>
  <c r="J45" i="49"/>
  <c r="J53" i="49"/>
  <c r="J61" i="49"/>
  <c r="J69" i="49"/>
  <c r="J78" i="49"/>
  <c r="J86" i="49"/>
  <c r="J94" i="49"/>
  <c r="J102" i="49"/>
  <c r="J110" i="49"/>
  <c r="J118" i="49"/>
  <c r="J126" i="49"/>
  <c r="J134" i="49"/>
  <c r="J142" i="49"/>
  <c r="J150" i="49"/>
  <c r="J158" i="49"/>
  <c r="K21" i="24"/>
  <c r="K29" i="24"/>
  <c r="K37" i="24"/>
  <c r="K45" i="24"/>
  <c r="K53" i="24"/>
  <c r="K61" i="24"/>
  <c r="K69" i="24"/>
  <c r="K77" i="24"/>
  <c r="K85" i="24"/>
  <c r="K93" i="24"/>
  <c r="K101" i="24"/>
  <c r="K109" i="24"/>
  <c r="K117" i="24"/>
  <c r="K125" i="24"/>
  <c r="K133" i="24"/>
  <c r="K141" i="24"/>
  <c r="K149" i="24"/>
  <c r="K157" i="24"/>
  <c r="J153" i="58"/>
  <c r="J65" i="57"/>
  <c r="J41" i="55"/>
  <c r="J130" i="54"/>
  <c r="J65" i="54"/>
  <c r="J154" i="53"/>
  <c r="J90" i="53"/>
  <c r="J25" i="53"/>
  <c r="J114" i="52"/>
  <c r="J51" i="52"/>
  <c r="J19" i="52"/>
  <c r="J140" i="51"/>
  <c r="J124" i="51"/>
  <c r="J112" i="51"/>
  <c r="J103" i="51"/>
  <c r="J95" i="51"/>
  <c r="J87" i="51"/>
  <c r="J79" i="51"/>
  <c r="J71" i="51"/>
  <c r="J63" i="51"/>
  <c r="J55" i="51"/>
  <c r="J47" i="51"/>
  <c r="J39" i="51"/>
  <c r="J31" i="51"/>
  <c r="J23" i="51"/>
  <c r="J160" i="50"/>
  <c r="J152" i="50"/>
  <c r="J144" i="50"/>
  <c r="J136" i="50"/>
  <c r="J128" i="50"/>
  <c r="J120" i="50"/>
  <c r="J112" i="50"/>
  <c r="J104" i="50"/>
  <c r="J96" i="50"/>
  <c r="J88" i="50"/>
  <c r="J79" i="50"/>
  <c r="J71" i="50"/>
  <c r="J63" i="50"/>
  <c r="J55" i="50"/>
  <c r="J47" i="50"/>
  <c r="J39" i="50"/>
  <c r="J31" i="50"/>
  <c r="J23" i="50"/>
  <c r="J22" i="49"/>
  <c r="J30" i="49"/>
  <c r="J38" i="49"/>
  <c r="J46" i="49"/>
  <c r="J54" i="49"/>
  <c r="J62" i="49"/>
  <c r="J70" i="49"/>
  <c r="J79" i="49"/>
  <c r="J87" i="49"/>
  <c r="J95" i="49"/>
  <c r="J103" i="49"/>
  <c r="J111" i="49"/>
  <c r="J119" i="49"/>
  <c r="J127" i="49"/>
  <c r="J135" i="49"/>
  <c r="J143" i="49"/>
  <c r="J151" i="49"/>
  <c r="J159" i="49"/>
  <c r="K22" i="24"/>
  <c r="K30" i="24"/>
  <c r="K38" i="24"/>
  <c r="K46" i="24"/>
  <c r="K54" i="24"/>
  <c r="K62" i="24"/>
  <c r="K70" i="24"/>
  <c r="K78" i="24"/>
  <c r="K86" i="24"/>
  <c r="K94" i="24"/>
  <c r="K102" i="24"/>
  <c r="K110" i="24"/>
  <c r="K118" i="24"/>
  <c r="K126" i="24"/>
  <c r="K134" i="24"/>
  <c r="K142" i="24"/>
  <c r="K150" i="24"/>
  <c r="K158" i="24"/>
  <c r="E895" i="39"/>
  <c r="F895" i="39" s="1"/>
  <c r="AB810" i="9"/>
  <c r="AC30" i="9"/>
  <c r="AB742" i="9"/>
  <c r="H19" i="44"/>
  <c r="H20" i="44"/>
  <c r="G19" i="44"/>
  <c r="G20" i="44"/>
  <c r="AC568" i="9"/>
  <c r="AC512" i="9"/>
  <c r="AC839" i="9"/>
  <c r="AC703" i="9"/>
  <c r="N14" i="8"/>
  <c r="AC733" i="9"/>
  <c r="AC405" i="9"/>
  <c r="AC716" i="9"/>
  <c r="AB495" i="9"/>
  <c r="AB836" i="9"/>
  <c r="AB772" i="9"/>
  <c r="AB850" i="9"/>
  <c r="AB682" i="9"/>
  <c r="AO631" i="9"/>
  <c r="AV627" i="9"/>
  <c r="AC591" i="9"/>
  <c r="AC460" i="9"/>
  <c r="AV720" i="9"/>
  <c r="AV568" i="9"/>
  <c r="X226" i="9"/>
  <c r="Y226" i="9" s="1"/>
  <c r="Z226" i="9" s="1" a="1"/>
  <c r="Z226" i="9" s="1"/>
  <c r="AI32" i="26"/>
  <c r="AI24" i="26"/>
  <c r="AI12" i="26"/>
  <c r="X142" i="9"/>
  <c r="Y142" i="9" s="1"/>
  <c r="Z142" i="9" s="1" a="1"/>
  <c r="Z142" i="9" s="1"/>
  <c r="AO298" i="9"/>
  <c r="X298" i="9"/>
  <c r="AO206" i="9"/>
  <c r="X206" i="9"/>
  <c r="Y206" i="9" s="1"/>
  <c r="Z206" i="9" s="1" a="1"/>
  <c r="Z206" i="9" s="1"/>
  <c r="AO306" i="9"/>
  <c r="X306" i="9"/>
  <c r="Y306" i="9" s="1"/>
  <c r="Z306" i="9" s="1" a="1"/>
  <c r="Z306" i="9" s="1"/>
  <c r="X365" i="9"/>
  <c r="Y365" i="9" s="1"/>
  <c r="Z365" i="9" s="1" a="1"/>
  <c r="Z365" i="9" s="1"/>
  <c r="X118" i="9"/>
  <c r="Y118" i="9" s="1"/>
  <c r="X703" i="9"/>
  <c r="Y703" i="9" s="1"/>
  <c r="Z703" i="9" s="1" a="1"/>
  <c r="Z703" i="9" s="1"/>
  <c r="X312" i="9"/>
  <c r="AO759" i="9"/>
  <c r="X759" i="9"/>
  <c r="Y759" i="9" s="1"/>
  <c r="Z759" i="9" s="1" a="1"/>
  <c r="Z759" i="9" s="1"/>
  <c r="AO461" i="9"/>
  <c r="X461" i="9"/>
  <c r="Y461" i="9" s="1"/>
  <c r="Z461" i="9" s="1" a="1"/>
  <c r="Z461" i="9" s="1"/>
  <c r="AO143" i="9"/>
  <c r="X143" i="9"/>
  <c r="Y143" i="9" s="1"/>
  <c r="Z143" i="9" s="1" a="1"/>
  <c r="Z143" i="9" s="1"/>
  <c r="AO554" i="9"/>
  <c r="X554" i="9"/>
  <c r="AO514" i="9"/>
  <c r="X514" i="9"/>
  <c r="Y514" i="9" s="1"/>
  <c r="Z514" i="9" s="1" a="1"/>
  <c r="Z514" i="9" s="1"/>
  <c r="AO490" i="9"/>
  <c r="X490" i="9"/>
  <c r="Y490" i="9" s="1"/>
  <c r="Z490" i="9" s="1" a="1"/>
  <c r="Z490" i="9" s="1"/>
  <c r="AO477" i="9"/>
  <c r="X477" i="9"/>
  <c r="Y477" i="9" s="1"/>
  <c r="Z477" i="9" s="1" a="1"/>
  <c r="Z477" i="9" s="1"/>
  <c r="AO434" i="9"/>
  <c r="X434" i="9"/>
  <c r="AO356" i="9"/>
  <c r="X356" i="9"/>
  <c r="Y356" i="9" s="1"/>
  <c r="Z356" i="9" s="1" a="1"/>
  <c r="Z356" i="9" s="1"/>
  <c r="AO700" i="9"/>
  <c r="X700" i="9"/>
  <c r="Y700" i="9" s="1"/>
  <c r="Z700" i="9" s="1" a="1"/>
  <c r="Z700" i="9" s="1"/>
  <c r="AO222" i="9"/>
  <c r="X222" i="9"/>
  <c r="Y222" i="9" s="1"/>
  <c r="Z222" i="9" s="1" a="1"/>
  <c r="Z222" i="9" s="1"/>
  <c r="AO843" i="9"/>
  <c r="X843" i="9"/>
  <c r="AO807" i="9"/>
  <c r="X807" i="9"/>
  <c r="Y807" i="9" s="1"/>
  <c r="Z807" i="9" s="1" a="1"/>
  <c r="Z807" i="9" s="1"/>
  <c r="AO442" i="9"/>
  <c r="X442" i="9"/>
  <c r="AO324" i="9"/>
  <c r="X324" i="9"/>
  <c r="Y324" i="9" s="1"/>
  <c r="Z324" i="9" s="1" a="1"/>
  <c r="Z324" i="9" s="1"/>
  <c r="AO751" i="9"/>
  <c r="X751" i="9"/>
  <c r="AO605" i="9"/>
  <c r="X605" i="9"/>
  <c r="AO509" i="9"/>
  <c r="X509" i="9"/>
  <c r="Y509" i="9" s="1"/>
  <c r="Z509" i="9" s="1" a="1"/>
  <c r="Z509" i="9" s="1"/>
  <c r="AO533" i="9"/>
  <c r="X533" i="9"/>
  <c r="Y533" i="9" s="1"/>
  <c r="Z533" i="9" s="1" a="1"/>
  <c r="Z533" i="9" s="1"/>
  <c r="AO775" i="9"/>
  <c r="X775" i="9"/>
  <c r="AO482" i="9"/>
  <c r="X482" i="9"/>
  <c r="Y482" i="9" s="1"/>
  <c r="Z482" i="9" s="1" a="1"/>
  <c r="Z482" i="9" s="1"/>
  <c r="AO450" i="9"/>
  <c r="X450" i="9"/>
  <c r="AO292" i="9"/>
  <c r="X292" i="9"/>
  <c r="Y292" i="9" s="1"/>
  <c r="Z292" i="9" s="1" a="1"/>
  <c r="Z292" i="9" s="1"/>
  <c r="AO214" i="9"/>
  <c r="X214" i="9"/>
  <c r="AO238" i="9"/>
  <c r="X238" i="9"/>
  <c r="Y238" i="9" s="1"/>
  <c r="Z238" i="9" s="1" a="1"/>
  <c r="Z238" i="9" s="1"/>
  <c r="X851" i="9"/>
  <c r="Y851" i="9" s="1"/>
  <c r="Z851" i="9" s="1" a="1"/>
  <c r="Z851" i="9" s="1"/>
  <c r="X815" i="9"/>
  <c r="Y815" i="9" s="1"/>
  <c r="Z815" i="9" s="1" a="1"/>
  <c r="Z815" i="9" s="1"/>
  <c r="X767" i="9"/>
  <c r="Y767" i="9" s="1"/>
  <c r="Z767" i="9" s="1" a="1"/>
  <c r="Z767" i="9" s="1"/>
  <c r="X695" i="9"/>
  <c r="Y695" i="9" s="1"/>
  <c r="Z695" i="9" s="1" a="1"/>
  <c r="Z695" i="9" s="1"/>
  <c r="X679" i="9"/>
  <c r="Y679" i="9" s="1"/>
  <c r="Z679" i="9" s="1" a="1"/>
  <c r="Z679" i="9" s="1"/>
  <c r="X87" i="9"/>
  <c r="AI20" i="26"/>
  <c r="X783" i="9"/>
  <c r="Y783" i="9" s="1"/>
  <c r="Z783" i="9" s="1" a="1"/>
  <c r="Z783" i="9" s="1"/>
  <c r="X557" i="9"/>
  <c r="Y557" i="9" s="1"/>
  <c r="Z557" i="9" s="1" a="1"/>
  <c r="Z557" i="9" s="1"/>
  <c r="X501" i="9"/>
  <c r="Y501" i="9" s="1"/>
  <c r="Z501" i="9" s="1" a="1"/>
  <c r="Z501" i="9" s="1"/>
  <c r="X110" i="9"/>
  <c r="Y110" i="9" s="1"/>
  <c r="X14" i="9"/>
  <c r="Y14" i="9" s="1"/>
  <c r="Z14" i="9" s="1" a="1"/>
  <c r="Z14" i="9" s="1"/>
  <c r="AI16" i="26"/>
  <c r="X30" i="9"/>
  <c r="AI8" i="26"/>
  <c r="X715" i="9"/>
  <c r="Y715" i="9" s="1"/>
  <c r="Z715" i="9" s="1" a="1"/>
  <c r="Z715" i="9" s="1"/>
  <c r="X368" i="9"/>
  <c r="Y368" i="9" s="1"/>
  <c r="Z368" i="9" s="1" a="1"/>
  <c r="Z368" i="9" s="1"/>
  <c r="X373" i="9"/>
  <c r="Y373" i="9" s="1"/>
  <c r="Z373" i="9" s="1" a="1"/>
  <c r="Z373" i="9" s="1"/>
  <c r="X63" i="9"/>
  <c r="Y63" i="9" s="1"/>
  <c r="Z63" i="9" s="1" a="1"/>
  <c r="Z63" i="9" s="1"/>
  <c r="X603" i="9"/>
  <c r="Y603" i="9" s="1"/>
  <c r="Z603" i="9" s="1" a="1"/>
  <c r="Z603" i="9" s="1"/>
  <c r="X860" i="9"/>
  <c r="Y860" i="9" s="1"/>
  <c r="Z860" i="9" s="1" a="1"/>
  <c r="Z860" i="9" s="1"/>
  <c r="AO860" i="9"/>
  <c r="X824" i="9"/>
  <c r="Y824" i="9" s="1"/>
  <c r="Z824" i="9" s="1" a="1"/>
  <c r="Z824" i="9" s="1"/>
  <c r="AO824" i="9"/>
  <c r="X784" i="9"/>
  <c r="Y784" i="9" s="1"/>
  <c r="Z784" i="9" s="1" a="1"/>
  <c r="Z784" i="9" s="1"/>
  <c r="AO784" i="9"/>
  <c r="X681" i="9"/>
  <c r="Y681" i="9" s="1"/>
  <c r="Z681" i="9" s="1" a="1"/>
  <c r="Z681" i="9" s="1"/>
  <c r="AO681" i="9"/>
  <c r="X660" i="9"/>
  <c r="AO660" i="9"/>
  <c r="X602" i="9"/>
  <c r="Y602" i="9" s="1"/>
  <c r="Z602" i="9" s="1" a="1"/>
  <c r="Z602" i="9" s="1"/>
  <c r="AO602" i="9"/>
  <c r="AO578" i="9"/>
  <c r="X578" i="9"/>
  <c r="Y578" i="9" s="1"/>
  <c r="Z578" i="9" s="1" a="1"/>
  <c r="Z578" i="9" s="1"/>
  <c r="AO562" i="9"/>
  <c r="X562" i="9"/>
  <c r="X435" i="9"/>
  <c r="Y435" i="9" s="1"/>
  <c r="Z435" i="9" s="1" a="1"/>
  <c r="Z435" i="9" s="1"/>
  <c r="AO435" i="9"/>
  <c r="X303" i="9"/>
  <c r="Y303" i="9" s="1"/>
  <c r="Z303" i="9" s="1" a="1"/>
  <c r="Z303" i="9" s="1"/>
  <c r="AO303" i="9"/>
  <c r="AO282" i="9"/>
  <c r="X282" i="9"/>
  <c r="Y282" i="9" s="1"/>
  <c r="Z282" i="9" s="1" a="1"/>
  <c r="Z282" i="9" s="1"/>
  <c r="X207" i="9"/>
  <c r="Y207" i="9" s="1"/>
  <c r="Z207" i="9" s="1" a="1"/>
  <c r="Z207" i="9" s="1"/>
  <c r="AO207" i="9"/>
  <c r="X184" i="9"/>
  <c r="Y184" i="9" s="1"/>
  <c r="Z184" i="9" s="1" a="1"/>
  <c r="Z184" i="9" s="1"/>
  <c r="AO184" i="9"/>
  <c r="AO147" i="9"/>
  <c r="X147" i="9"/>
  <c r="Y147" i="9" s="1"/>
  <c r="Z147" i="9" s="1" a="1"/>
  <c r="Z147" i="9" s="1"/>
  <c r="X123" i="9"/>
  <c r="Y123" i="9" s="1"/>
  <c r="Z123" i="9" s="1" a="1"/>
  <c r="Z123" i="9" s="1"/>
  <c r="AO123" i="9"/>
  <c r="AO831" i="9"/>
  <c r="X831" i="9"/>
  <c r="Y831" i="9" s="1"/>
  <c r="Z831" i="9" s="1" a="1"/>
  <c r="Z831" i="9" s="1"/>
  <c r="AO795" i="9"/>
  <c r="X795" i="9"/>
  <c r="Y795" i="9" s="1"/>
  <c r="Z795" i="9" s="1" a="1"/>
  <c r="Z795" i="9" s="1"/>
  <c r="X705" i="9"/>
  <c r="Y705" i="9" s="1"/>
  <c r="Z705" i="9" s="1" a="1"/>
  <c r="Z705" i="9" s="1"/>
  <c r="AO705" i="9"/>
  <c r="X640" i="9"/>
  <c r="Y640" i="9" s="1"/>
  <c r="Z640" i="9" s="1" a="1"/>
  <c r="Z640" i="9" s="1"/>
  <c r="AO640" i="9"/>
  <c r="X575" i="9"/>
  <c r="Y575" i="9" s="1"/>
  <c r="Z575" i="9" s="1" a="1"/>
  <c r="Z575" i="9" s="1"/>
  <c r="AO575" i="9"/>
  <c r="AO566" i="9"/>
  <c r="X566" i="9"/>
  <c r="AO541" i="9"/>
  <c r="X541" i="9"/>
  <c r="Y541" i="9" s="1"/>
  <c r="Z541" i="9" s="1" a="1"/>
  <c r="Z541" i="9" s="1"/>
  <c r="AO522" i="9"/>
  <c r="X522" i="9"/>
  <c r="Y522" i="9" s="1"/>
  <c r="Z522" i="9" s="1" a="1"/>
  <c r="Z522" i="9" s="1"/>
  <c r="X511" i="9"/>
  <c r="Y511" i="9" s="1"/>
  <c r="Z511" i="9" s="1" a="1"/>
  <c r="Z511" i="9" s="1"/>
  <c r="AO511" i="9"/>
  <c r="X495" i="9"/>
  <c r="Y495" i="9" s="1"/>
  <c r="Z495" i="9" s="1" a="1"/>
  <c r="Z495" i="9" s="1"/>
  <c r="AO495" i="9"/>
  <c r="X479" i="9"/>
  <c r="AO479" i="9"/>
  <c r="X333" i="9"/>
  <c r="Y333" i="9" s="1"/>
  <c r="Z333" i="9" s="1" a="1"/>
  <c r="Z333" i="9" s="1"/>
  <c r="AO333" i="9"/>
  <c r="AO308" i="9"/>
  <c r="X308" i="9"/>
  <c r="Y308" i="9" s="1"/>
  <c r="Z308" i="9" s="1" a="1"/>
  <c r="Z308" i="9" s="1"/>
  <c r="AO290" i="9"/>
  <c r="X290" i="9"/>
  <c r="Y290" i="9" s="1"/>
  <c r="Z290" i="9" s="1" a="1"/>
  <c r="Z290" i="9" s="1"/>
  <c r="AO247" i="9"/>
  <c r="X247" i="9"/>
  <c r="Y247" i="9" s="1"/>
  <c r="Z247" i="9" s="1" a="1"/>
  <c r="Z247" i="9" s="1"/>
  <c r="X244" i="9"/>
  <c r="Y244" i="9" s="1"/>
  <c r="Z244" i="9" s="1" a="1"/>
  <c r="Z244" i="9" s="1"/>
  <c r="AO244" i="9"/>
  <c r="X211" i="9"/>
  <c r="Y211" i="9" s="1"/>
  <c r="Z211" i="9" s="1" a="1"/>
  <c r="Z211" i="9" s="1"/>
  <c r="AO211" i="9"/>
  <c r="X139" i="9"/>
  <c r="Y139" i="9" s="1"/>
  <c r="Z139" i="9" s="1" a="1"/>
  <c r="Z139" i="9" s="1"/>
  <c r="AO139" i="9"/>
  <c r="X120" i="9"/>
  <c r="Y120" i="9" s="1"/>
  <c r="AO120" i="9"/>
  <c r="X828" i="9"/>
  <c r="Y828" i="9" s="1"/>
  <c r="Z828" i="9" s="1" a="1"/>
  <c r="Z828" i="9" s="1"/>
  <c r="AO828" i="9"/>
  <c r="X792" i="9"/>
  <c r="Y792" i="9" s="1"/>
  <c r="Z792" i="9" s="1" a="1"/>
  <c r="Z792" i="9" s="1"/>
  <c r="AO792" i="9"/>
  <c r="X736" i="9"/>
  <c r="Y736" i="9" s="1"/>
  <c r="Z736" i="9" s="1" a="1"/>
  <c r="Z736" i="9" s="1"/>
  <c r="AO736" i="9"/>
  <c r="X709" i="9"/>
  <c r="Y709" i="9" s="1"/>
  <c r="Z709" i="9" s="1" a="1"/>
  <c r="Z709" i="9" s="1"/>
  <c r="AO709" i="9"/>
  <c r="X628" i="9"/>
  <c r="AO628" i="9"/>
  <c r="X608" i="9"/>
  <c r="Y608" i="9" s="1"/>
  <c r="Z608" i="9" s="1" a="1"/>
  <c r="Z608" i="9" s="1"/>
  <c r="AO608" i="9"/>
  <c r="AO582" i="9"/>
  <c r="X582" i="9"/>
  <c r="X515" i="9"/>
  <c r="Y515" i="9" s="1"/>
  <c r="Z515" i="9" s="1" a="1"/>
  <c r="Z515" i="9" s="1"/>
  <c r="AO515" i="9"/>
  <c r="X483" i="9"/>
  <c r="Y483" i="9" s="1"/>
  <c r="Z483" i="9" s="1" a="1"/>
  <c r="Z483" i="9" s="1"/>
  <c r="AO483" i="9"/>
  <c r="X429" i="9"/>
  <c r="Y429" i="9" s="1"/>
  <c r="Z429" i="9" s="1" a="1"/>
  <c r="Z429" i="9" s="1"/>
  <c r="AO429" i="9"/>
  <c r="AO357" i="9"/>
  <c r="X357" i="9"/>
  <c r="Y357" i="9" s="1"/>
  <c r="Z357" i="9" s="1" a="1"/>
  <c r="Z357" i="9" s="1"/>
  <c r="X337" i="9"/>
  <c r="AO337" i="9"/>
  <c r="X216" i="9"/>
  <c r="Y216" i="9" s="1"/>
  <c r="Z216" i="9" s="1" a="1"/>
  <c r="Z216" i="9" s="1"/>
  <c r="AO216" i="9"/>
  <c r="AO163" i="9"/>
  <c r="X163" i="9"/>
  <c r="Y163" i="9" s="1"/>
  <c r="Z163" i="9" s="1" a="1"/>
  <c r="Z163" i="9" s="1"/>
  <c r="X148" i="9"/>
  <c r="Y148" i="9" s="1"/>
  <c r="Z148" i="9" s="1" a="1"/>
  <c r="Z148" i="9" s="1"/>
  <c r="AO148" i="9"/>
  <c r="AO839" i="9"/>
  <c r="X839" i="9"/>
  <c r="Y839" i="9" s="1"/>
  <c r="Z839" i="9" s="1" a="1"/>
  <c r="Z839" i="9" s="1"/>
  <c r="AO803" i="9"/>
  <c r="X803" i="9"/>
  <c r="X740" i="9"/>
  <c r="Y740" i="9" s="1"/>
  <c r="Z740" i="9" s="1" a="1"/>
  <c r="Z740" i="9" s="1"/>
  <c r="AO740" i="9"/>
  <c r="X716" i="9"/>
  <c r="Y716" i="9" s="1"/>
  <c r="Z716" i="9" s="1" a="1"/>
  <c r="Z716" i="9" s="1"/>
  <c r="AO716" i="9"/>
  <c r="X665" i="9"/>
  <c r="Y665" i="9" s="1"/>
  <c r="Z665" i="9" s="1" a="1"/>
  <c r="Z665" i="9" s="1"/>
  <c r="AO665" i="9"/>
  <c r="AO586" i="9"/>
  <c r="X586" i="9"/>
  <c r="Y586" i="9" s="1"/>
  <c r="Z586" i="9" s="1" a="1"/>
  <c r="Z586" i="9" s="1"/>
  <c r="X567" i="9"/>
  <c r="Y567" i="9" s="1"/>
  <c r="Z567" i="9" s="1" a="1"/>
  <c r="Z567" i="9" s="1"/>
  <c r="AO567" i="9"/>
  <c r="X499" i="9"/>
  <c r="Y499" i="9" s="1"/>
  <c r="Z499" i="9" s="1" a="1"/>
  <c r="Z499" i="9" s="1"/>
  <c r="AO499" i="9"/>
  <c r="AO469" i="9"/>
  <c r="X469" i="9"/>
  <c r="Y469" i="9" s="1"/>
  <c r="Z469" i="9" s="1" a="1"/>
  <c r="Z469" i="9" s="1"/>
  <c r="X391" i="9"/>
  <c r="Y391" i="9" s="1"/>
  <c r="Z391" i="9" s="1" a="1"/>
  <c r="Z391" i="9" s="1"/>
  <c r="AO391" i="9"/>
  <c r="X317" i="9"/>
  <c r="Y317" i="9" s="1"/>
  <c r="Z317" i="9" s="1" a="1"/>
  <c r="Z317" i="9" s="1"/>
  <c r="AO317" i="9"/>
  <c r="X262" i="9"/>
  <c r="Y262" i="9" s="1"/>
  <c r="Z262" i="9" s="1" a="1"/>
  <c r="Z262" i="9" s="1"/>
  <c r="AO262" i="9"/>
  <c r="AO847" i="9"/>
  <c r="X847" i="9"/>
  <c r="Y847" i="9" s="1"/>
  <c r="Z847" i="9" s="1" a="1"/>
  <c r="Z847" i="9" s="1"/>
  <c r="X836" i="9"/>
  <c r="Y836" i="9" s="1"/>
  <c r="Z836" i="9" s="1" a="1"/>
  <c r="Z836" i="9" s="1"/>
  <c r="AO836" i="9"/>
  <c r="AO811" i="9"/>
  <c r="X811" i="9"/>
  <c r="Y811" i="9" s="1"/>
  <c r="Z811" i="9" s="1" a="1"/>
  <c r="Z811" i="9" s="1"/>
  <c r="X800" i="9"/>
  <c r="AO800" i="9"/>
  <c r="X752" i="9"/>
  <c r="Y752" i="9" s="1"/>
  <c r="Z752" i="9" s="1" a="1"/>
  <c r="Z752" i="9" s="1"/>
  <c r="AO752" i="9"/>
  <c r="X744" i="9"/>
  <c r="Y744" i="9" s="1"/>
  <c r="Z744" i="9" s="1" a="1"/>
  <c r="Z744" i="9" s="1"/>
  <c r="AO744" i="9"/>
  <c r="X720" i="9"/>
  <c r="Y720" i="9" s="1"/>
  <c r="Z720" i="9" s="1" a="1"/>
  <c r="Z720" i="9" s="1"/>
  <c r="AO720" i="9"/>
  <c r="X672" i="9"/>
  <c r="Y672" i="9" s="1"/>
  <c r="Z672" i="9" s="1" a="1"/>
  <c r="Z672" i="9" s="1"/>
  <c r="AO672" i="9"/>
  <c r="X612" i="9"/>
  <c r="AO612" i="9"/>
  <c r="X590" i="9"/>
  <c r="Y590" i="9" s="1"/>
  <c r="Z590" i="9" s="1" a="1"/>
  <c r="Z590" i="9" s="1"/>
  <c r="AO590" i="9"/>
  <c r="X583" i="9"/>
  <c r="Y583" i="9" s="1"/>
  <c r="Z583" i="9" s="1" a="1"/>
  <c r="Z583" i="9" s="1"/>
  <c r="AO583" i="9"/>
  <c r="AO426" i="9"/>
  <c r="X426" i="9"/>
  <c r="Y426" i="9" s="1"/>
  <c r="Z426" i="9" s="1" a="1"/>
  <c r="Z426" i="9" s="1"/>
  <c r="X377" i="9"/>
  <c r="Y377" i="9" s="1"/>
  <c r="Z377" i="9" s="1" a="1"/>
  <c r="Z377" i="9" s="1"/>
  <c r="AO377" i="9"/>
  <c r="X361" i="9"/>
  <c r="Y361" i="9" s="1"/>
  <c r="Z361" i="9" s="1" a="1"/>
  <c r="Z361" i="9" s="1"/>
  <c r="AO361" i="9"/>
  <c r="X313" i="9"/>
  <c r="Y313" i="9" s="1"/>
  <c r="Z313" i="9" s="1" a="1"/>
  <c r="Z313" i="9" s="1"/>
  <c r="AO313" i="9"/>
  <c r="X164" i="9"/>
  <c r="Y164" i="9" s="1"/>
  <c r="Z164" i="9" s="1" a="1"/>
  <c r="Z164" i="9" s="1"/>
  <c r="AO164" i="9"/>
  <c r="AO855" i="9"/>
  <c r="X855" i="9"/>
  <c r="Y855" i="9" s="1"/>
  <c r="Z855" i="9" s="1" a="1"/>
  <c r="Z855" i="9" s="1"/>
  <c r="X844" i="9"/>
  <c r="Y844" i="9" s="1"/>
  <c r="Z844" i="9" s="1" a="1"/>
  <c r="Z844" i="9" s="1"/>
  <c r="AO844" i="9"/>
  <c r="AO819" i="9"/>
  <c r="X819" i="9"/>
  <c r="Y819" i="9" s="1"/>
  <c r="Z819" i="9" s="1" a="1"/>
  <c r="Z819" i="9" s="1"/>
  <c r="X808" i="9"/>
  <c r="Y808" i="9" s="1"/>
  <c r="Z808" i="9" s="1" a="1"/>
  <c r="Z808" i="9" s="1"/>
  <c r="AO808" i="9"/>
  <c r="X760" i="9"/>
  <c r="Y760" i="9" s="1"/>
  <c r="Z760" i="9" s="1" a="1"/>
  <c r="Z760" i="9" s="1"/>
  <c r="AO760" i="9"/>
  <c r="X692" i="9"/>
  <c r="Y692" i="9" s="1"/>
  <c r="Z692" i="9" s="1" a="1"/>
  <c r="Z692" i="9" s="1"/>
  <c r="AO692" i="9"/>
  <c r="X676" i="9"/>
  <c r="Y676" i="9" s="1"/>
  <c r="Z676" i="9" s="1" a="1"/>
  <c r="Z676" i="9" s="1"/>
  <c r="AO676" i="9"/>
  <c r="X652" i="9"/>
  <c r="AO652" i="9"/>
  <c r="X609" i="9"/>
  <c r="Y609" i="9" s="1"/>
  <c r="Z609" i="9" s="1" a="1"/>
  <c r="Z609" i="9" s="1"/>
  <c r="AO609" i="9"/>
  <c r="AO549" i="9"/>
  <c r="X549" i="9"/>
  <c r="Y549" i="9" s="1"/>
  <c r="Z549" i="9" s="1" a="1"/>
  <c r="Z549" i="9" s="1"/>
  <c r="AO546" i="9"/>
  <c r="X546" i="9"/>
  <c r="Y546" i="9" s="1"/>
  <c r="Z546" i="9" s="1" a="1"/>
  <c r="Z546" i="9" s="1"/>
  <c r="AO466" i="9"/>
  <c r="X466" i="9"/>
  <c r="Y466" i="9" s="1"/>
  <c r="Z466" i="9" s="1" a="1"/>
  <c r="Z466" i="9" s="1"/>
  <c r="X270" i="9"/>
  <c r="Y270" i="9" s="1"/>
  <c r="Z270" i="9" s="1" a="1"/>
  <c r="Z270" i="9" s="1"/>
  <c r="AO270" i="9"/>
  <c r="X175" i="9"/>
  <c r="Y175" i="9" s="1"/>
  <c r="Z175" i="9" s="1" a="1"/>
  <c r="Z175" i="9" s="1"/>
  <c r="AO175" i="9"/>
  <c r="X852" i="9"/>
  <c r="Y852" i="9" s="1"/>
  <c r="Z852" i="9" s="1" a="1"/>
  <c r="Z852" i="9" s="1"/>
  <c r="AO852" i="9"/>
  <c r="X816" i="9"/>
  <c r="Y816" i="9" s="1"/>
  <c r="Z816" i="9" s="1" a="1"/>
  <c r="Z816" i="9" s="1"/>
  <c r="AO816" i="9"/>
  <c r="AO779" i="9"/>
  <c r="X779" i="9"/>
  <c r="Y779" i="9" s="1"/>
  <c r="Z779" i="9" s="1" a="1"/>
  <c r="Z779" i="9" s="1"/>
  <c r="X768" i="9"/>
  <c r="Y768" i="9" s="1"/>
  <c r="Z768" i="9" s="1" a="1"/>
  <c r="Z768" i="9" s="1"/>
  <c r="AO768" i="9"/>
  <c r="AO696" i="9"/>
  <c r="X696" i="9"/>
  <c r="Y696" i="9" s="1"/>
  <c r="Z696" i="9" s="1" a="1"/>
  <c r="Z696" i="9" s="1"/>
  <c r="AO680" i="9"/>
  <c r="X680" i="9"/>
  <c r="Y680" i="9" s="1"/>
  <c r="Z680" i="9" s="1" a="1"/>
  <c r="Z680" i="9" s="1"/>
  <c r="X616" i="9"/>
  <c r="AO616" i="9"/>
  <c r="X455" i="9"/>
  <c r="AO455" i="9"/>
  <c r="AO381" i="9"/>
  <c r="X381" i="9"/>
  <c r="Y381" i="9" s="1"/>
  <c r="Z381" i="9" s="1" a="1"/>
  <c r="Z381" i="9" s="1"/>
  <c r="X375" i="9"/>
  <c r="Y375" i="9" s="1"/>
  <c r="Z375" i="9" s="1" a="1"/>
  <c r="Z375" i="9" s="1"/>
  <c r="AO375" i="9"/>
  <c r="AO246" i="9"/>
  <c r="X246" i="9"/>
  <c r="Y246" i="9" s="1"/>
  <c r="Z246" i="9" s="1" a="1"/>
  <c r="Z246" i="9" s="1"/>
  <c r="AO198" i="9"/>
  <c r="X198" i="9"/>
  <c r="Y198" i="9" s="1"/>
  <c r="Z198" i="9" s="1" a="1"/>
  <c r="Z198" i="9" s="1"/>
  <c r="X179" i="9"/>
  <c r="Y179" i="9" s="1"/>
  <c r="Z179" i="9" s="1" a="1"/>
  <c r="Z179" i="9" s="1"/>
  <c r="AO179" i="9"/>
  <c r="AO787" i="9"/>
  <c r="X787" i="9"/>
  <c r="Y787" i="9" s="1"/>
  <c r="Z787" i="9" s="1" a="1"/>
  <c r="Z787" i="9" s="1"/>
  <c r="X776" i="9"/>
  <c r="Y776" i="9" s="1"/>
  <c r="Z776" i="9" s="1" a="1"/>
  <c r="Z776" i="9" s="1"/>
  <c r="AO776" i="9"/>
  <c r="X728" i="9"/>
  <c r="Y728" i="9" s="1"/>
  <c r="Z728" i="9" s="1" a="1"/>
  <c r="Z728" i="9" s="1"/>
  <c r="AO728" i="9"/>
  <c r="AO704" i="9"/>
  <c r="X704" i="9"/>
  <c r="Y704" i="9" s="1"/>
  <c r="Z704" i="9" s="1" a="1"/>
  <c r="Z704" i="9" s="1"/>
  <c r="X656" i="9"/>
  <c r="AO656" i="9"/>
  <c r="X636" i="9"/>
  <c r="Y636" i="9" s="1"/>
  <c r="Z636" i="9" s="1" a="1"/>
  <c r="Z636" i="9" s="1"/>
  <c r="AO636" i="9"/>
  <c r="X599" i="9"/>
  <c r="Y599" i="9" s="1"/>
  <c r="Z599" i="9" s="1" a="1"/>
  <c r="Z599" i="9" s="1"/>
  <c r="AO599" i="9"/>
  <c r="X592" i="9"/>
  <c r="Y592" i="9" s="1"/>
  <c r="Z592" i="9" s="1" a="1"/>
  <c r="Z592" i="9" s="1"/>
  <c r="AO592" i="9"/>
  <c r="AO581" i="9"/>
  <c r="X581" i="9"/>
  <c r="Y581" i="9" s="1"/>
  <c r="Z581" i="9" s="1" a="1"/>
  <c r="Z581" i="9" s="1"/>
  <c r="AO574" i="9"/>
  <c r="X574" i="9"/>
  <c r="Y574" i="9" s="1"/>
  <c r="Z574" i="9" s="1" a="1"/>
  <c r="Z574" i="9" s="1"/>
  <c r="AO525" i="9"/>
  <c r="X525" i="9"/>
  <c r="Y525" i="9" s="1"/>
  <c r="Z525" i="9" s="1" a="1"/>
  <c r="Z525" i="9" s="1"/>
  <c r="X431" i="9"/>
  <c r="Y431" i="9" s="1"/>
  <c r="Z431" i="9" s="1" a="1"/>
  <c r="Z431" i="9" s="1"/>
  <c r="AO431" i="9"/>
  <c r="X311" i="9"/>
  <c r="Y311" i="9" s="1"/>
  <c r="Z311" i="9" s="1" a="1"/>
  <c r="Z311" i="9" s="1"/>
  <c r="AO311" i="9"/>
  <c r="X285" i="9"/>
  <c r="AO285" i="9"/>
  <c r="X278" i="9"/>
  <c r="Y278" i="9" s="1"/>
  <c r="Z278" i="9" s="1" a="1"/>
  <c r="Z278" i="9" s="1"/>
  <c r="AO278" i="9"/>
  <c r="AO119" i="9"/>
  <c r="X119" i="9"/>
  <c r="Y119" i="9" s="1"/>
  <c r="X859" i="9"/>
  <c r="Y859" i="9" s="1"/>
  <c r="Z859" i="9" s="1" a="1"/>
  <c r="Z859" i="9" s="1"/>
  <c r="X857" i="9"/>
  <c r="Y857" i="9" s="1"/>
  <c r="Z857" i="9" s="1" a="1"/>
  <c r="Z857" i="9" s="1"/>
  <c r="AO857" i="9"/>
  <c r="X848" i="9"/>
  <c r="Y848" i="9" s="1"/>
  <c r="Z848" i="9" s="1" a="1"/>
  <c r="Z848" i="9" s="1"/>
  <c r="AO848" i="9"/>
  <c r="X834" i="9"/>
  <c r="Y834" i="9" s="1"/>
  <c r="Z834" i="9" s="1" a="1"/>
  <c r="Z834" i="9" s="1"/>
  <c r="AO834" i="9"/>
  <c r="X827" i="9"/>
  <c r="Y827" i="9" s="1"/>
  <c r="Z827" i="9" s="1" a="1"/>
  <c r="Z827" i="9" s="1"/>
  <c r="X823" i="9"/>
  <c r="Y823" i="9" s="1"/>
  <c r="Z823" i="9" s="1" a="1"/>
  <c r="Z823" i="9" s="1"/>
  <c r="X821" i="9"/>
  <c r="Y821" i="9" s="1"/>
  <c r="Z821" i="9" s="1" a="1"/>
  <c r="Z821" i="9" s="1"/>
  <c r="AO821" i="9"/>
  <c r="X812" i="9"/>
  <c r="Y812" i="9" s="1"/>
  <c r="Z812" i="9" s="1" a="1"/>
  <c r="Z812" i="9" s="1"/>
  <c r="AO812" i="9"/>
  <c r="Y803" i="9"/>
  <c r="Z803" i="9" s="1" a="1"/>
  <c r="Z803" i="9" s="1"/>
  <c r="X798" i="9"/>
  <c r="Y798" i="9" s="1"/>
  <c r="Z798" i="9" s="1" a="1"/>
  <c r="Z798" i="9" s="1"/>
  <c r="AO798" i="9"/>
  <c r="X791" i="9"/>
  <c r="Y791" i="9" s="1"/>
  <c r="Z791" i="9" s="1" a="1"/>
  <c r="Z791" i="9" s="1"/>
  <c r="X789" i="9"/>
  <c r="Y789" i="9" s="1"/>
  <c r="Z789" i="9" s="1" a="1"/>
  <c r="Z789" i="9" s="1"/>
  <c r="AO789" i="9"/>
  <c r="X780" i="9"/>
  <c r="Y780" i="9" s="1"/>
  <c r="Z780" i="9" s="1" a="1"/>
  <c r="Z780" i="9" s="1"/>
  <c r="AO780" i="9"/>
  <c r="X771" i="9"/>
  <c r="Y771" i="9" s="1"/>
  <c r="Z771" i="9" s="1" a="1"/>
  <c r="Z771" i="9" s="1"/>
  <c r="AO771" i="9"/>
  <c r="X763" i="9"/>
  <c r="Y763" i="9" s="1"/>
  <c r="Z763" i="9" s="1" a="1"/>
  <c r="Z763" i="9" s="1"/>
  <c r="AO763" i="9"/>
  <c r="X755" i="9"/>
  <c r="AO755" i="9"/>
  <c r="X731" i="9"/>
  <c r="Y731" i="9" s="1"/>
  <c r="Z731" i="9" s="1" a="1"/>
  <c r="Z731" i="9" s="1"/>
  <c r="AO731" i="9"/>
  <c r="X724" i="9"/>
  <c r="Y724" i="9" s="1"/>
  <c r="Z724" i="9" s="1" a="1"/>
  <c r="Z724" i="9" s="1"/>
  <c r="AO724" i="9"/>
  <c r="X685" i="9"/>
  <c r="Y685" i="9" s="1"/>
  <c r="Z685" i="9" s="1" a="1"/>
  <c r="Z685" i="9" s="1"/>
  <c r="AO685" i="9"/>
  <c r="X673" i="9"/>
  <c r="AO673" i="9"/>
  <c r="X669" i="9"/>
  <c r="Y669" i="9" s="1"/>
  <c r="Z669" i="9" s="1" a="1"/>
  <c r="Z669" i="9" s="1"/>
  <c r="AO669" i="9"/>
  <c r="X658" i="9"/>
  <c r="Y658" i="9" s="1"/>
  <c r="Z658" i="9" s="1" a="1"/>
  <c r="Z658" i="9" s="1"/>
  <c r="AO658" i="9"/>
  <c r="X655" i="9"/>
  <c r="X650" i="9"/>
  <c r="Y650" i="9" s="1"/>
  <c r="Z650" i="9" s="1" a="1"/>
  <c r="Z650" i="9" s="1"/>
  <c r="AO650" i="9"/>
  <c r="X646" i="9"/>
  <c r="Y646" i="9" s="1"/>
  <c r="Z646" i="9" s="1" a="1"/>
  <c r="Z646" i="9" s="1"/>
  <c r="AO646" i="9"/>
  <c r="X625" i="9"/>
  <c r="Y625" i="9" s="1"/>
  <c r="Z625" i="9" s="1" a="1"/>
  <c r="Z625" i="9" s="1"/>
  <c r="AO625" i="9"/>
  <c r="X621" i="9"/>
  <c r="Y621" i="9" s="1"/>
  <c r="Z621" i="9" s="1" a="1"/>
  <c r="Z621" i="9" s="1"/>
  <c r="AO621" i="9"/>
  <c r="X615" i="9"/>
  <c r="Y615" i="9" s="1"/>
  <c r="Z615" i="9" s="1" a="1"/>
  <c r="Z615" i="9" s="1"/>
  <c r="X600" i="9"/>
  <c r="AO600" i="9"/>
  <c r="X596" i="9"/>
  <c r="Y596" i="9" s="1"/>
  <c r="Z596" i="9" s="1" a="1"/>
  <c r="Z596" i="9" s="1"/>
  <c r="AO596" i="9"/>
  <c r="X589" i="9"/>
  <c r="X576" i="9"/>
  <c r="Y576" i="9" s="1"/>
  <c r="Z576" i="9" s="1" a="1"/>
  <c r="Z576" i="9" s="1"/>
  <c r="AO576" i="9"/>
  <c r="X570" i="9"/>
  <c r="X565" i="9"/>
  <c r="X563" i="9"/>
  <c r="Y563" i="9" s="1"/>
  <c r="Z563" i="9" s="1" a="1"/>
  <c r="Z563" i="9" s="1"/>
  <c r="AO563" i="9"/>
  <c r="X559" i="9"/>
  <c r="Y559" i="9" s="1"/>
  <c r="Z559" i="9" s="1" a="1"/>
  <c r="Z559" i="9" s="1"/>
  <c r="AO559" i="9"/>
  <c r="X537" i="9"/>
  <c r="Y537" i="9" s="1"/>
  <c r="Z537" i="9" s="1" a="1"/>
  <c r="Z537" i="9" s="1"/>
  <c r="AO537" i="9"/>
  <c r="X524" i="9"/>
  <c r="Y524" i="9" s="1"/>
  <c r="Z524" i="9" s="1" a="1"/>
  <c r="Z524" i="9" s="1"/>
  <c r="AO524" i="9"/>
  <c r="X517" i="9"/>
  <c r="Y517" i="9" s="1"/>
  <c r="Z517" i="9" s="1" a="1"/>
  <c r="Z517" i="9" s="1"/>
  <c r="X510" i="9"/>
  <c r="Y510" i="9" s="1"/>
  <c r="Z510" i="9" s="1" a="1"/>
  <c r="Z510" i="9" s="1"/>
  <c r="AO510" i="9"/>
  <c r="X505" i="9"/>
  <c r="Y505" i="9" s="1"/>
  <c r="Z505" i="9" s="1" a="1"/>
  <c r="Z505" i="9" s="1"/>
  <c r="AO505" i="9"/>
  <c r="X498" i="9"/>
  <c r="Y498" i="9" s="1"/>
  <c r="Z498" i="9" s="1" a="1"/>
  <c r="Z498" i="9" s="1"/>
  <c r="X485" i="9"/>
  <c r="Y485" i="9" s="1"/>
  <c r="Z485" i="9" s="1" a="1"/>
  <c r="Z485" i="9" s="1"/>
  <c r="X478" i="9"/>
  <c r="AO478" i="9"/>
  <c r="X471" i="9"/>
  <c r="AO471" i="9"/>
  <c r="X443" i="9"/>
  <c r="Y443" i="9" s="1"/>
  <c r="Z443" i="9" s="1" a="1"/>
  <c r="Z443" i="9" s="1"/>
  <c r="AO443" i="9"/>
  <c r="X439" i="9"/>
  <c r="Y439" i="9" s="1"/>
  <c r="Z439" i="9" s="1" a="1"/>
  <c r="Z439" i="9" s="1"/>
  <c r="AO439" i="9"/>
  <c r="X430" i="9"/>
  <c r="AO430" i="9"/>
  <c r="X417" i="9"/>
  <c r="Y417" i="9" s="1"/>
  <c r="Z417" i="9" s="1" a="1"/>
  <c r="Z417" i="9" s="1"/>
  <c r="AO417" i="9"/>
  <c r="X409" i="9"/>
  <c r="Y409" i="9" s="1"/>
  <c r="Z409" i="9" s="1" a="1"/>
  <c r="Z409" i="9" s="1"/>
  <c r="AO409" i="9"/>
  <c r="X376" i="9"/>
  <c r="Y376" i="9" s="1"/>
  <c r="Z376" i="9" s="1" a="1"/>
  <c r="Z376" i="9" s="1"/>
  <c r="X374" i="9"/>
  <c r="Y374" i="9" s="1"/>
  <c r="Z374" i="9" s="1" a="1"/>
  <c r="Z374" i="9" s="1"/>
  <c r="AO374" i="9"/>
  <c r="X370" i="9"/>
  <c r="Y370" i="9" s="1"/>
  <c r="Z370" i="9" s="1" a="1"/>
  <c r="Z370" i="9" s="1"/>
  <c r="AO370" i="9"/>
  <c r="X335" i="9"/>
  <c r="Y335" i="9" s="1"/>
  <c r="Z335" i="9" s="1" a="1"/>
  <c r="Z335" i="9" s="1"/>
  <c r="AO335" i="9"/>
  <c r="X332" i="9"/>
  <c r="Y332" i="9" s="1"/>
  <c r="Z332" i="9" s="1" a="1"/>
  <c r="Z332" i="9" s="1"/>
  <c r="X330" i="9"/>
  <c r="Y330" i="9" s="1"/>
  <c r="Z330" i="9" s="1" a="1"/>
  <c r="Z330" i="9" s="1"/>
  <c r="AO330" i="9"/>
  <c r="X319" i="9"/>
  <c r="Y319" i="9" s="1"/>
  <c r="Z319" i="9" s="1" a="1"/>
  <c r="Z319" i="9" s="1"/>
  <c r="AO319" i="9"/>
  <c r="X316" i="9"/>
  <c r="Y316" i="9" s="1"/>
  <c r="Z316" i="9" s="1" a="1"/>
  <c r="Z316" i="9" s="1"/>
  <c r="X307" i="9"/>
  <c r="Y307" i="9" s="1"/>
  <c r="Z307" i="9" s="1" a="1"/>
  <c r="Z307" i="9" s="1"/>
  <c r="AO307" i="9"/>
  <c r="X302" i="9"/>
  <c r="Y302" i="9" s="1"/>
  <c r="Z302" i="9" s="1" a="1"/>
  <c r="Z302" i="9" s="1"/>
  <c r="AO302" i="9"/>
  <c r="X293" i="9"/>
  <c r="AO293" i="9"/>
  <c r="X287" i="9"/>
  <c r="Y287" i="9" s="1"/>
  <c r="Z287" i="9" s="1" a="1"/>
  <c r="Z287" i="9" s="1"/>
  <c r="AO287" i="9"/>
  <c r="X284" i="9"/>
  <c r="Y284" i="9" s="1"/>
  <c r="Z284" i="9" s="1" a="1"/>
  <c r="Z284" i="9" s="1"/>
  <c r="X281" i="9"/>
  <c r="AO281" i="9"/>
  <c r="X258" i="9"/>
  <c r="Y258" i="9" s="1"/>
  <c r="Z258" i="9" s="1" a="1"/>
  <c r="Z258" i="9" s="1"/>
  <c r="AO258" i="9"/>
  <c r="X253" i="9"/>
  <c r="AO253" i="9"/>
  <c r="X249" i="9"/>
  <c r="Y249" i="9" s="1"/>
  <c r="Z249" i="9" s="1" a="1"/>
  <c r="Z249" i="9" s="1"/>
  <c r="AO249" i="9"/>
  <c r="X243" i="9"/>
  <c r="Y243" i="9" s="1"/>
  <c r="Z243" i="9" s="1" a="1"/>
  <c r="Z243" i="9" s="1"/>
  <c r="AO243" i="9"/>
  <c r="X240" i="9"/>
  <c r="Y240" i="9" s="1"/>
  <c r="Z240" i="9" s="1" a="1"/>
  <c r="Z240" i="9" s="1"/>
  <c r="AO240" i="9"/>
  <c r="X234" i="9"/>
  <c r="AO234" i="9"/>
  <c r="X224" i="9"/>
  <c r="Y224" i="9" s="1"/>
  <c r="Z224" i="9" s="1" a="1"/>
  <c r="Z224" i="9" s="1"/>
  <c r="AO224" i="9"/>
  <c r="X219" i="9"/>
  <c r="Y219" i="9" s="1"/>
  <c r="Z219" i="9" s="1" a="1"/>
  <c r="Z219" i="9" s="1"/>
  <c r="AO219" i="9"/>
  <c r="X215" i="9"/>
  <c r="Y215" i="9" s="1"/>
  <c r="Z215" i="9" s="1" a="1"/>
  <c r="Z215" i="9" s="1"/>
  <c r="AO215" i="9"/>
  <c r="X202" i="9"/>
  <c r="Y202" i="9" s="1"/>
  <c r="Z202" i="9" s="1" a="1"/>
  <c r="Z202" i="9" s="1"/>
  <c r="AO202" i="9"/>
  <c r="X189" i="9"/>
  <c r="Y189" i="9" s="1"/>
  <c r="Z189" i="9" s="1" a="1"/>
  <c r="Z189" i="9" s="1"/>
  <c r="AO189" i="9"/>
  <c r="X177" i="9"/>
  <c r="Y177" i="9" s="1"/>
  <c r="Z177" i="9" s="1" a="1"/>
  <c r="Z177" i="9" s="1"/>
  <c r="AO177" i="9"/>
  <c r="X174" i="9"/>
  <c r="Y174" i="9" s="1"/>
  <c r="Z174" i="9" s="1" a="1"/>
  <c r="Z174" i="9" s="1"/>
  <c r="X167" i="9"/>
  <c r="Y167" i="9" s="1"/>
  <c r="Z167" i="9" s="1" a="1"/>
  <c r="Z167" i="9" s="1"/>
  <c r="AO167" i="9"/>
  <c r="X152" i="9"/>
  <c r="Y152" i="9" s="1"/>
  <c r="Z152" i="9" s="1" a="1"/>
  <c r="Z152" i="9" s="1"/>
  <c r="AO152" i="9"/>
  <c r="X144" i="9"/>
  <c r="AO144" i="9"/>
  <c r="X133" i="9"/>
  <c r="Y133" i="9" s="1"/>
  <c r="Z133" i="9" s="1" a="1"/>
  <c r="Z133" i="9" s="1"/>
  <c r="AO133" i="9"/>
  <c r="X129" i="9"/>
  <c r="Y129" i="9" s="1"/>
  <c r="Z129" i="9" s="1" a="1"/>
  <c r="Z129" i="9" s="1"/>
  <c r="AO129" i="9"/>
  <c r="X115" i="9"/>
  <c r="Y115" i="9" s="1"/>
  <c r="AO115" i="9"/>
  <c r="X106" i="9"/>
  <c r="Y106" i="9" s="1"/>
  <c r="AO106" i="9"/>
  <c r="X98" i="9"/>
  <c r="Y98" i="9" s="1"/>
  <c r="AO98" i="9"/>
  <c r="X74" i="9"/>
  <c r="Y74" i="9" s="1"/>
  <c r="AO74" i="9"/>
  <c r="X19" i="9"/>
  <c r="Y19" i="9" s="1"/>
  <c r="Z19" i="9" s="1" a="1"/>
  <c r="Z19" i="9" s="1"/>
  <c r="AO19" i="9"/>
  <c r="X8" i="9"/>
  <c r="Y8" i="9" s="1"/>
  <c r="Z8" i="9" s="1" a="1"/>
  <c r="Z8" i="9" s="1"/>
  <c r="AO8" i="9"/>
  <c r="AI23" i="26"/>
  <c r="X862" i="9"/>
  <c r="Y862" i="9" s="1"/>
  <c r="Z862" i="9" s="1" a="1"/>
  <c r="Z862" i="9" s="1"/>
  <c r="AO862" i="9"/>
  <c r="X853" i="9"/>
  <c r="Y853" i="9" s="1"/>
  <c r="Z853" i="9" s="1" a="1"/>
  <c r="Z853" i="9" s="1"/>
  <c r="AO853" i="9"/>
  <c r="X830" i="9"/>
  <c r="Y830" i="9" s="1"/>
  <c r="Z830" i="9" s="1" a="1"/>
  <c r="Z830" i="9" s="1"/>
  <c r="AO830" i="9"/>
  <c r="X817" i="9"/>
  <c r="Y817" i="9" s="1"/>
  <c r="Z817" i="9" s="1" a="1"/>
  <c r="Z817" i="9" s="1"/>
  <c r="AO817" i="9"/>
  <c r="X794" i="9"/>
  <c r="Y794" i="9" s="1"/>
  <c r="Z794" i="9" s="1" a="1"/>
  <c r="Z794" i="9" s="1"/>
  <c r="AO794" i="9"/>
  <c r="X785" i="9"/>
  <c r="Y785" i="9" s="1"/>
  <c r="Z785" i="9" s="1" a="1"/>
  <c r="Z785" i="9" s="1"/>
  <c r="AO785" i="9"/>
  <c r="X743" i="9"/>
  <c r="Y743" i="9" s="1"/>
  <c r="Z743" i="9" s="1" a="1"/>
  <c r="Z743" i="9" s="1"/>
  <c r="AO743" i="9"/>
  <c r="X739" i="9"/>
  <c r="Y739" i="9" s="1"/>
  <c r="Z739" i="9" s="1" a="1"/>
  <c r="Z739" i="9" s="1"/>
  <c r="AO739" i="9"/>
  <c r="X735" i="9"/>
  <c r="Y735" i="9" s="1"/>
  <c r="Z735" i="9" s="1" a="1"/>
  <c r="Z735" i="9" s="1"/>
  <c r="AO735" i="9"/>
  <c r="X717" i="9"/>
  <c r="AO717" i="9"/>
  <c r="X713" i="9"/>
  <c r="Y713" i="9" s="1"/>
  <c r="Z713" i="9" s="1" a="1"/>
  <c r="Z713" i="9" s="1"/>
  <c r="AO713" i="9"/>
  <c r="X710" i="9"/>
  <c r="Y710" i="9" s="1"/>
  <c r="Z710" i="9" s="1" a="1"/>
  <c r="Z710" i="9" s="1"/>
  <c r="AO710" i="9"/>
  <c r="X706" i="9"/>
  <c r="Y706" i="9" s="1"/>
  <c r="Z706" i="9" s="1" a="1"/>
  <c r="Z706" i="9" s="1"/>
  <c r="AO706" i="9"/>
  <c r="X701" i="9"/>
  <c r="AO701" i="9"/>
  <c r="X687" i="9"/>
  <c r="Y687" i="9" s="1"/>
  <c r="Z687" i="9" s="1" a="1"/>
  <c r="Z687" i="9" s="1"/>
  <c r="X682" i="9"/>
  <c r="Y682" i="9" s="1"/>
  <c r="Z682" i="9" s="1" a="1"/>
  <c r="Z682" i="9" s="1"/>
  <c r="AO682" i="9"/>
  <c r="X677" i="9"/>
  <c r="Y677" i="9" s="1"/>
  <c r="Z677" i="9" s="1" a="1"/>
  <c r="Z677" i="9" s="1"/>
  <c r="AO677" i="9"/>
  <c r="X666" i="9"/>
  <c r="Y666" i="9" s="1"/>
  <c r="Z666" i="9" s="1" a="1"/>
  <c r="Z666" i="9" s="1"/>
  <c r="AO666" i="9"/>
  <c r="X662" i="9"/>
  <c r="Y662" i="9" s="1"/>
  <c r="Z662" i="9" s="1" a="1"/>
  <c r="Z662" i="9" s="1"/>
  <c r="AO662" i="9"/>
  <c r="X654" i="9"/>
  <c r="Y654" i="9" s="1"/>
  <c r="Z654" i="9" s="1" a="1"/>
  <c r="Z654" i="9" s="1"/>
  <c r="AO654" i="9"/>
  <c r="X635" i="9"/>
  <c r="Y635" i="9" s="1"/>
  <c r="Z635" i="9" s="1" a="1"/>
  <c r="Z635" i="9" s="1"/>
  <c r="AO635" i="9"/>
  <c r="X629" i="9"/>
  <c r="Y629" i="9" s="1"/>
  <c r="Z629" i="9" s="1" a="1"/>
  <c r="Z629" i="9" s="1"/>
  <c r="AO629" i="9"/>
  <c r="X623" i="9"/>
  <c r="X618" i="9"/>
  <c r="Y618" i="9" s="1"/>
  <c r="Z618" i="9" s="1" a="1"/>
  <c r="Z618" i="9" s="1"/>
  <c r="AO618" i="9"/>
  <c r="X614" i="9"/>
  <c r="Y614" i="9" s="1"/>
  <c r="Z614" i="9" s="1" a="1"/>
  <c r="Z614" i="9" s="1"/>
  <c r="AO614" i="9"/>
  <c r="X610" i="9"/>
  <c r="Y610" i="9" s="1"/>
  <c r="Z610" i="9" s="1" a="1"/>
  <c r="Z610" i="9" s="1"/>
  <c r="AO610" i="9"/>
  <c r="X593" i="9"/>
  <c r="AO593" i="9"/>
  <c r="X587" i="9"/>
  <c r="AO587" i="9"/>
  <c r="X579" i="9"/>
  <c r="Y579" i="9" s="1"/>
  <c r="Z579" i="9" s="1" a="1"/>
  <c r="Z579" i="9" s="1"/>
  <c r="X550" i="9"/>
  <c r="Y550" i="9" s="1"/>
  <c r="Z550" i="9" s="1" a="1"/>
  <c r="Z550" i="9" s="1"/>
  <c r="AO550" i="9"/>
  <c r="X542" i="9"/>
  <c r="Y542" i="9" s="1"/>
  <c r="Z542" i="9" s="1" a="1"/>
  <c r="Z542" i="9" s="1"/>
  <c r="AO542" i="9"/>
  <c r="X529" i="9"/>
  <c r="Y529" i="9" s="1"/>
  <c r="Z529" i="9" s="1" a="1"/>
  <c r="Z529" i="9" s="1"/>
  <c r="AO529" i="9"/>
  <c r="X520" i="9"/>
  <c r="Y520" i="9" s="1"/>
  <c r="Z520" i="9" s="1" a="1"/>
  <c r="Z520" i="9" s="1"/>
  <c r="AO520" i="9"/>
  <c r="X492" i="9"/>
  <c r="Y492" i="9" s="1"/>
  <c r="Z492" i="9" s="1" a="1"/>
  <c r="Z492" i="9" s="1"/>
  <c r="AO492" i="9"/>
  <c r="X488" i="9"/>
  <c r="Y488" i="9" s="1"/>
  <c r="Z488" i="9" s="1" a="1"/>
  <c r="Z488" i="9" s="1"/>
  <c r="AO488" i="9"/>
  <c r="X462" i="9"/>
  <c r="Y462" i="9" s="1"/>
  <c r="Z462" i="9" s="1" a="1"/>
  <c r="Z462" i="9" s="1"/>
  <c r="AO462" i="9"/>
  <c r="X452" i="9"/>
  <c r="Y452" i="9" s="1"/>
  <c r="Z452" i="9" s="1" a="1"/>
  <c r="Z452" i="9" s="1"/>
  <c r="AO452" i="9"/>
  <c r="X448" i="9"/>
  <c r="Y448" i="9" s="1"/>
  <c r="Z448" i="9" s="1" a="1"/>
  <c r="Z448" i="9" s="1"/>
  <c r="AO448" i="9"/>
  <c r="X422" i="9"/>
  <c r="Y422" i="9" s="1"/>
  <c r="Z422" i="9" s="1" a="1"/>
  <c r="Z422" i="9" s="1"/>
  <c r="AO422" i="9"/>
  <c r="X414" i="9"/>
  <c r="Y414" i="9" s="1"/>
  <c r="Z414" i="9" s="1" a="1"/>
  <c r="Z414" i="9" s="1"/>
  <c r="AO414" i="9"/>
  <c r="X401" i="9"/>
  <c r="Y401" i="9" s="1"/>
  <c r="Z401" i="9" s="1" a="1"/>
  <c r="Z401" i="9" s="1"/>
  <c r="AO401" i="9"/>
  <c r="X396" i="9"/>
  <c r="Y396" i="9" s="1"/>
  <c r="Z396" i="9" s="1" a="1"/>
  <c r="Z396" i="9" s="1"/>
  <c r="AO396" i="9"/>
  <c r="X387" i="9"/>
  <c r="Y387" i="9" s="1"/>
  <c r="Z387" i="9" s="1" a="1"/>
  <c r="Z387" i="9" s="1"/>
  <c r="AO387" i="9"/>
  <c r="X366" i="9"/>
  <c r="AO366" i="9"/>
  <c r="X347" i="9"/>
  <c r="Y347" i="9" s="1"/>
  <c r="Z347" i="9" s="1" a="1"/>
  <c r="Z347" i="9" s="1"/>
  <c r="AO347" i="9"/>
  <c r="X326" i="9"/>
  <c r="Y326" i="9" s="1"/>
  <c r="Z326" i="9" s="1" a="1"/>
  <c r="Z326" i="9" s="1"/>
  <c r="AO326" i="9"/>
  <c r="X299" i="9"/>
  <c r="Y299" i="9" s="1"/>
  <c r="Z299" i="9" s="1" a="1"/>
  <c r="Z299" i="9" s="1"/>
  <c r="AO299" i="9"/>
  <c r="X276" i="9"/>
  <c r="X274" i="9"/>
  <c r="Y274" i="9" s="1"/>
  <c r="Z274" i="9" s="1" a="1"/>
  <c r="Z274" i="9" s="1"/>
  <c r="AO274" i="9"/>
  <c r="X268" i="9"/>
  <c r="X266" i="9"/>
  <c r="Y266" i="9" s="1"/>
  <c r="Z266" i="9" s="1" a="1"/>
  <c r="Z266" i="9" s="1"/>
  <c r="AO266" i="9"/>
  <c r="X229" i="9"/>
  <c r="Y229" i="9" s="1"/>
  <c r="Z229" i="9" s="1" a="1"/>
  <c r="Z229" i="9" s="1"/>
  <c r="AO229" i="9"/>
  <c r="X227" i="9"/>
  <c r="Y227" i="9" s="1"/>
  <c r="Z227" i="9" s="1" a="1"/>
  <c r="Z227" i="9" s="1"/>
  <c r="X194" i="9"/>
  <c r="Y194" i="9" s="1"/>
  <c r="Z194" i="9" s="1" a="1"/>
  <c r="Z194" i="9" s="1"/>
  <c r="AO194" i="9"/>
  <c r="X181" i="9"/>
  <c r="Y181" i="9" s="1"/>
  <c r="Z181" i="9" s="1" a="1"/>
  <c r="Z181" i="9" s="1"/>
  <c r="AO181" i="9"/>
  <c r="X173" i="9"/>
  <c r="Y173" i="9" s="1"/>
  <c r="Z173" i="9" s="1" a="1"/>
  <c r="Z173" i="9" s="1"/>
  <c r="AO173" i="9"/>
  <c r="X171" i="9"/>
  <c r="X170" i="9"/>
  <c r="Y170" i="9" s="1"/>
  <c r="Z170" i="9" s="1" a="1"/>
  <c r="Z170" i="9" s="1"/>
  <c r="X149" i="9"/>
  <c r="Y149" i="9" s="1"/>
  <c r="Z149" i="9" s="1" a="1"/>
  <c r="Z149" i="9" s="1"/>
  <c r="AO149" i="9"/>
  <c r="X127" i="9"/>
  <c r="Y127" i="9" s="1"/>
  <c r="Z127" i="9" s="1" a="1"/>
  <c r="Z127" i="9" s="1"/>
  <c r="X125" i="9"/>
  <c r="Y125" i="9" s="1"/>
  <c r="Z125" i="9" s="1" a="1"/>
  <c r="Z125" i="9" s="1"/>
  <c r="AO125" i="9"/>
  <c r="X121" i="9"/>
  <c r="Y121" i="9" s="1"/>
  <c r="Z121" i="9" s="1" a="1"/>
  <c r="Z121" i="9" s="1"/>
  <c r="AO121" i="9"/>
  <c r="X82" i="9"/>
  <c r="AO82" i="9"/>
  <c r="X67" i="9"/>
  <c r="Y67" i="9" s="1"/>
  <c r="AO67" i="9"/>
  <c r="X62" i="9"/>
  <c r="Y62" i="9" s="1"/>
  <c r="Z62" i="9" s="1" a="1"/>
  <c r="Z62" i="9" s="1"/>
  <c r="AO62" i="9"/>
  <c r="AO55" i="9"/>
  <c r="X55" i="9"/>
  <c r="Y55" i="9" s="1"/>
  <c r="Z55" i="9" s="1" a="1"/>
  <c r="Z55" i="9" s="1"/>
  <c r="X27" i="9"/>
  <c r="Y27" i="9" s="1"/>
  <c r="Z27" i="9" s="1" a="1"/>
  <c r="Z27" i="9" s="1"/>
  <c r="AO27" i="9"/>
  <c r="X858" i="9"/>
  <c r="Y858" i="9" s="1"/>
  <c r="Z858" i="9" s="1" a="1"/>
  <c r="Z858" i="9" s="1"/>
  <c r="AO858" i="9"/>
  <c r="X849" i="9"/>
  <c r="Y849" i="9" s="1"/>
  <c r="Z849" i="9" s="1" a="1"/>
  <c r="Z849" i="9" s="1"/>
  <c r="AO849" i="9"/>
  <c r="X840" i="9"/>
  <c r="Y840" i="9" s="1"/>
  <c r="Z840" i="9" s="1" a="1"/>
  <c r="Z840" i="9" s="1"/>
  <c r="AO840" i="9"/>
  <c r="X822" i="9"/>
  <c r="Y822" i="9" s="1"/>
  <c r="Z822" i="9" s="1" a="1"/>
  <c r="Z822" i="9" s="1"/>
  <c r="AO822" i="9"/>
  <c r="X813" i="9"/>
  <c r="Y813" i="9" s="1"/>
  <c r="Z813" i="9" s="1" a="1"/>
  <c r="Z813" i="9" s="1"/>
  <c r="AO813" i="9"/>
  <c r="X804" i="9"/>
  <c r="Y804" i="9" s="1"/>
  <c r="Z804" i="9" s="1" a="1"/>
  <c r="Z804" i="9" s="1"/>
  <c r="AO804" i="9"/>
  <c r="Y800" i="9"/>
  <c r="Z800" i="9" s="1" a="1"/>
  <c r="Z800" i="9" s="1"/>
  <c r="X790" i="9"/>
  <c r="Y790" i="9" s="1"/>
  <c r="Z790" i="9" s="1" a="1"/>
  <c r="Z790" i="9" s="1"/>
  <c r="AO790" i="9"/>
  <c r="X781" i="9"/>
  <c r="Y781" i="9" s="1"/>
  <c r="Z781" i="9" s="1" a="1"/>
  <c r="Z781" i="9" s="1"/>
  <c r="AO781" i="9"/>
  <c r="X772" i="9"/>
  <c r="Y772" i="9" s="1"/>
  <c r="Z772" i="9" s="1" a="1"/>
  <c r="Z772" i="9" s="1"/>
  <c r="AO772" i="9"/>
  <c r="X764" i="9"/>
  <c r="Y764" i="9" s="1"/>
  <c r="Z764" i="9" s="1" a="1"/>
  <c r="Z764" i="9" s="1"/>
  <c r="AO764" i="9"/>
  <c r="X756" i="9"/>
  <c r="Y756" i="9" s="1"/>
  <c r="Z756" i="9" s="1" a="1"/>
  <c r="Z756" i="9" s="1"/>
  <c r="AO756" i="9"/>
  <c r="X747" i="9"/>
  <c r="Y747" i="9" s="1"/>
  <c r="Z747" i="9" s="1" a="1"/>
  <c r="Z747" i="9" s="1"/>
  <c r="AO747" i="9"/>
  <c r="X732" i="9"/>
  <c r="Y732" i="9" s="1"/>
  <c r="Z732" i="9" s="1" a="1"/>
  <c r="Z732" i="9" s="1"/>
  <c r="AO732" i="9"/>
  <c r="X721" i="9"/>
  <c r="Y721" i="9" s="1"/>
  <c r="Z721" i="9" s="1" a="1"/>
  <c r="Z721" i="9" s="1"/>
  <c r="AO721" i="9"/>
  <c r="X697" i="9"/>
  <c r="AO697" i="9"/>
  <c r="X686" i="9"/>
  <c r="Y686" i="9" s="1"/>
  <c r="Z686" i="9" s="1" a="1"/>
  <c r="Z686" i="9" s="1"/>
  <c r="AO686" i="9"/>
  <c r="X674" i="9"/>
  <c r="Y674" i="9" s="1"/>
  <c r="Z674" i="9" s="1" a="1"/>
  <c r="Z674" i="9" s="1"/>
  <c r="AO674" i="9"/>
  <c r="X670" i="9"/>
  <c r="Y670" i="9" s="1"/>
  <c r="Z670" i="9" s="1" a="1"/>
  <c r="Z670" i="9" s="1"/>
  <c r="AO670" i="9"/>
  <c r="X643" i="9"/>
  <c r="AO643" i="9"/>
  <c r="X632" i="9"/>
  <c r="Y632" i="9" s="1"/>
  <c r="Z632" i="9" s="1" a="1"/>
  <c r="Z632" i="9" s="1"/>
  <c r="AO632" i="9"/>
  <c r="X626" i="9"/>
  <c r="Y626" i="9" s="1"/>
  <c r="Z626" i="9" s="1" a="1"/>
  <c r="Z626" i="9" s="1"/>
  <c r="AO626" i="9"/>
  <c r="X622" i="9"/>
  <c r="Y622" i="9" s="1"/>
  <c r="Z622" i="9" s="1" a="1"/>
  <c r="Z622" i="9" s="1"/>
  <c r="AO622" i="9"/>
  <c r="X597" i="9"/>
  <c r="AO597" i="9"/>
  <c r="X584" i="9"/>
  <c r="Y584" i="9" s="1"/>
  <c r="Z584" i="9" s="1" a="1"/>
  <c r="Z584" i="9" s="1"/>
  <c r="AO584" i="9"/>
  <c r="X569" i="9"/>
  <c r="Y569" i="9" s="1"/>
  <c r="Z569" i="9" s="1" a="1"/>
  <c r="Z569" i="9" s="1"/>
  <c r="AO569" i="9"/>
  <c r="X564" i="9"/>
  <c r="Y564" i="9" s="1"/>
  <c r="Z564" i="9" s="1" a="1"/>
  <c r="Z564" i="9" s="1"/>
  <c r="AO564" i="9"/>
  <c r="X560" i="9"/>
  <c r="AO560" i="9"/>
  <c r="X555" i="9"/>
  <c r="Y555" i="9" s="1"/>
  <c r="Z555" i="9" s="1" a="1"/>
  <c r="Z555" i="9" s="1"/>
  <c r="AO555" i="9"/>
  <c r="X551" i="9"/>
  <c r="Y551" i="9" s="1"/>
  <c r="Z551" i="9" s="1" a="1"/>
  <c r="Z551" i="9" s="1"/>
  <c r="AO551" i="9"/>
  <c r="X543" i="9"/>
  <c r="Y543" i="9" s="1"/>
  <c r="Z543" i="9" s="1" a="1"/>
  <c r="Z543" i="9" s="1"/>
  <c r="AO543" i="9"/>
  <c r="X534" i="9"/>
  <c r="Y534" i="9" s="1"/>
  <c r="Z534" i="9" s="1" a="1"/>
  <c r="Z534" i="9" s="1"/>
  <c r="AO534" i="9"/>
  <c r="X502" i="9"/>
  <c r="Y502" i="9" s="1"/>
  <c r="Z502" i="9" s="1" a="1"/>
  <c r="Z502" i="9" s="1"/>
  <c r="AO502" i="9"/>
  <c r="X497" i="9"/>
  <c r="Y497" i="9" s="1"/>
  <c r="Z497" i="9" s="1" a="1"/>
  <c r="Z497" i="9" s="1"/>
  <c r="AO497" i="9"/>
  <c r="X472" i="9"/>
  <c r="Y472" i="9" s="1"/>
  <c r="Z472" i="9" s="1" a="1"/>
  <c r="Z472" i="9" s="1"/>
  <c r="AO472" i="9"/>
  <c r="X467" i="9"/>
  <c r="AO467" i="9"/>
  <c r="X463" i="9"/>
  <c r="AO463" i="9"/>
  <c r="X457" i="9"/>
  <c r="Y457" i="9" s="1"/>
  <c r="Z457" i="9" s="1" a="1"/>
  <c r="Z457" i="9" s="1"/>
  <c r="AO457" i="9"/>
  <c r="X444" i="9"/>
  <c r="Y444" i="9" s="1"/>
  <c r="Z444" i="9" s="1" a="1"/>
  <c r="Z444" i="9" s="1"/>
  <c r="AO444" i="9"/>
  <c r="X440" i="9"/>
  <c r="Y440" i="9" s="1"/>
  <c r="Z440" i="9" s="1" a="1"/>
  <c r="Z440" i="9" s="1"/>
  <c r="AO440" i="9"/>
  <c r="X427" i="9"/>
  <c r="AO427" i="9"/>
  <c r="X423" i="9"/>
  <c r="Y423" i="9" s="1"/>
  <c r="Z423" i="9" s="1" a="1"/>
  <c r="Z423" i="9" s="1"/>
  <c r="AO423" i="9"/>
  <c r="X415" i="9"/>
  <c r="Y415" i="9" s="1"/>
  <c r="Z415" i="9" s="1" a="1"/>
  <c r="Z415" i="9" s="1"/>
  <c r="AO415" i="9"/>
  <c r="X406" i="9"/>
  <c r="Y406" i="9" s="1"/>
  <c r="Z406" i="9" s="1" a="1"/>
  <c r="Z406" i="9" s="1"/>
  <c r="AO406" i="9"/>
  <c r="X393" i="9"/>
  <c r="Y393" i="9" s="1"/>
  <c r="Z393" i="9" s="1" a="1"/>
  <c r="Z393" i="9" s="1"/>
  <c r="AO393" i="9"/>
  <c r="X384" i="9"/>
  <c r="Y384" i="9" s="1"/>
  <c r="Z384" i="9" s="1" a="1"/>
  <c r="Z384" i="9" s="1"/>
  <c r="AO384" i="9"/>
  <c r="X379" i="9"/>
  <c r="Y379" i="9" s="1"/>
  <c r="Z379" i="9" s="1" a="1"/>
  <c r="Z379" i="9" s="1"/>
  <c r="AO379" i="9"/>
  <c r="X367" i="9"/>
  <c r="AO367" i="9"/>
  <c r="X362" i="9"/>
  <c r="Y362" i="9" s="1"/>
  <c r="Z362" i="9" s="1" a="1"/>
  <c r="Z362" i="9" s="1"/>
  <c r="AO362" i="9"/>
  <c r="X353" i="9"/>
  <c r="AO353" i="9"/>
  <c r="X344" i="9"/>
  <c r="Y344" i="9" s="1"/>
  <c r="Z344" i="9" s="1" a="1"/>
  <c r="Z344" i="9" s="1"/>
  <c r="AO344" i="9"/>
  <c r="X339" i="9"/>
  <c r="AO339" i="9"/>
  <c r="X327" i="9"/>
  <c r="Y327" i="9" s="1"/>
  <c r="Z327" i="9" s="1" a="1"/>
  <c r="Z327" i="9" s="1"/>
  <c r="AO327" i="9"/>
  <c r="X309" i="9"/>
  <c r="Y309" i="9" s="1"/>
  <c r="Z309" i="9" s="1" a="1"/>
  <c r="Z309" i="9" s="1"/>
  <c r="AO309" i="9"/>
  <c r="X294" i="9"/>
  <c r="Y294" i="9" s="1"/>
  <c r="Z294" i="9" s="1" a="1"/>
  <c r="Z294" i="9" s="1"/>
  <c r="AO294" i="9"/>
  <c r="X259" i="9"/>
  <c r="Y259" i="9" s="1"/>
  <c r="Z259" i="9" s="1" a="1"/>
  <c r="Z259" i="9" s="1"/>
  <c r="AO259" i="9"/>
  <c r="X241" i="9"/>
  <c r="Y241" i="9" s="1"/>
  <c r="Z241" i="9" s="1" a="1"/>
  <c r="Z241" i="9" s="1"/>
  <c r="AO241" i="9"/>
  <c r="X236" i="9"/>
  <c r="Y236" i="9" s="1"/>
  <c r="Z236" i="9" s="1" a="1"/>
  <c r="Z236" i="9" s="1"/>
  <c r="AO236" i="9"/>
  <c r="X225" i="9"/>
  <c r="Y225" i="9" s="1"/>
  <c r="Z225" i="9" s="1" a="1"/>
  <c r="Z225" i="9" s="1"/>
  <c r="AO225" i="9"/>
  <c r="X220" i="9"/>
  <c r="AO220" i="9"/>
  <c r="X208" i="9"/>
  <c r="Y208" i="9" s="1"/>
  <c r="Z208" i="9" s="1" a="1"/>
  <c r="Z208" i="9" s="1"/>
  <c r="AO208" i="9"/>
  <c r="X203" i="9"/>
  <c r="Y203" i="9" s="1"/>
  <c r="Z203" i="9" s="1" a="1"/>
  <c r="Z203" i="9" s="1"/>
  <c r="AO203" i="9"/>
  <c r="X199" i="9"/>
  <c r="Y199" i="9" s="1"/>
  <c r="Z199" i="9" s="1" a="1"/>
  <c r="Z199" i="9" s="1"/>
  <c r="AO199" i="9"/>
  <c r="X186" i="9"/>
  <c r="Y186" i="9" s="1"/>
  <c r="Z186" i="9" s="1" a="1"/>
  <c r="Z186" i="9" s="1"/>
  <c r="AO186" i="9"/>
  <c r="X168" i="9"/>
  <c r="Y168" i="9" s="1"/>
  <c r="Z168" i="9" s="1" a="1"/>
  <c r="Z168" i="9" s="1"/>
  <c r="AO168" i="9"/>
  <c r="X153" i="9"/>
  <c r="Y153" i="9" s="1"/>
  <c r="Z153" i="9" s="1" a="1"/>
  <c r="Z153" i="9" s="1"/>
  <c r="AO153" i="9"/>
  <c r="X145" i="9"/>
  <c r="Y145" i="9" s="1"/>
  <c r="Z145" i="9" s="1" a="1"/>
  <c r="Z145" i="9" s="1"/>
  <c r="AO145" i="9"/>
  <c r="X140" i="9"/>
  <c r="AO140" i="9"/>
  <c r="X130" i="9"/>
  <c r="Y130" i="9" s="1"/>
  <c r="Z130" i="9" s="1" a="1"/>
  <c r="Z130" i="9" s="1"/>
  <c r="AO130" i="9"/>
  <c r="X116" i="9"/>
  <c r="Y116" i="9" s="1"/>
  <c r="AO116" i="9"/>
  <c r="X112" i="9"/>
  <c r="Y112" i="9" s="1"/>
  <c r="AO112" i="9"/>
  <c r="X107" i="9"/>
  <c r="Y107" i="9" s="1"/>
  <c r="AO107" i="9"/>
  <c r="X86" i="9"/>
  <c r="Y86" i="9" s="1"/>
  <c r="AO86" i="9"/>
  <c r="X59" i="9"/>
  <c r="Y59" i="9" s="1"/>
  <c r="Z59" i="9" s="1" a="1"/>
  <c r="Z59" i="9" s="1"/>
  <c r="AO59" i="9"/>
  <c r="AO31" i="9"/>
  <c r="X31" i="9"/>
  <c r="Y31" i="9" s="1"/>
  <c r="Z31" i="9" s="1" a="1"/>
  <c r="Z31" i="9" s="1"/>
  <c r="X24" i="9"/>
  <c r="AO24" i="9"/>
  <c r="AI40" i="26"/>
  <c r="X854" i="9"/>
  <c r="Y854" i="9" s="1"/>
  <c r="Z854" i="9" s="1" a="1"/>
  <c r="Z854" i="9" s="1"/>
  <c r="AO854" i="9"/>
  <c r="X845" i="9"/>
  <c r="Y845" i="9" s="1"/>
  <c r="Z845" i="9" s="1" a="1"/>
  <c r="Z845" i="9" s="1"/>
  <c r="AO845" i="9"/>
  <c r="X818" i="9"/>
  <c r="Y818" i="9" s="1"/>
  <c r="Z818" i="9" s="1" a="1"/>
  <c r="Z818" i="9" s="1"/>
  <c r="AO818" i="9"/>
  <c r="X809" i="9"/>
  <c r="Y809" i="9" s="1"/>
  <c r="Z809" i="9" s="1" a="1"/>
  <c r="Z809" i="9" s="1"/>
  <c r="AO809" i="9"/>
  <c r="X786" i="9"/>
  <c r="Y786" i="9" s="1"/>
  <c r="Z786" i="9" s="1" a="1"/>
  <c r="Z786" i="9" s="1"/>
  <c r="AO786" i="9"/>
  <c r="X777" i="9"/>
  <c r="Y777" i="9" s="1"/>
  <c r="Z777" i="9" s="1" a="1"/>
  <c r="Z777" i="9" s="1"/>
  <c r="AO777" i="9"/>
  <c r="X769" i="9"/>
  <c r="Y769" i="9" s="1"/>
  <c r="Z769" i="9" s="1" a="1"/>
  <c r="Z769" i="9" s="1"/>
  <c r="AO769" i="9"/>
  <c r="X761" i="9"/>
  <c r="Y761" i="9" s="1"/>
  <c r="Z761" i="9" s="1" a="1"/>
  <c r="Z761" i="9" s="1"/>
  <c r="AO761" i="9"/>
  <c r="X753" i="9"/>
  <c r="Y753" i="9" s="1"/>
  <c r="Z753" i="9" s="1" a="1"/>
  <c r="Z753" i="9" s="1"/>
  <c r="AO753" i="9"/>
  <c r="X725" i="9"/>
  <c r="Y725" i="9" s="1"/>
  <c r="Z725" i="9" s="1" a="1"/>
  <c r="Z725" i="9" s="1"/>
  <c r="AO725" i="9"/>
  <c r="X718" i="9"/>
  <c r="Y718" i="9" s="1"/>
  <c r="Z718" i="9" s="1" a="1"/>
  <c r="Z718" i="9" s="1"/>
  <c r="AO718" i="9"/>
  <c r="X714" i="9"/>
  <c r="Y714" i="9" s="1"/>
  <c r="Z714" i="9" s="1" a="1"/>
  <c r="Z714" i="9" s="1"/>
  <c r="AO714" i="9"/>
  <c r="X702" i="9"/>
  <c r="Y702" i="9" s="1"/>
  <c r="Z702" i="9" s="1" a="1"/>
  <c r="Z702" i="9" s="1"/>
  <c r="AO702" i="9"/>
  <c r="X693" i="9"/>
  <c r="Y693" i="9" s="1"/>
  <c r="Z693" i="9" s="1" a="1"/>
  <c r="Z693" i="9" s="1"/>
  <c r="AO693" i="9"/>
  <c r="X678" i="9"/>
  <c r="Y678" i="9" s="1"/>
  <c r="Z678" i="9" s="1" a="1"/>
  <c r="Z678" i="9" s="1"/>
  <c r="AO678" i="9"/>
  <c r="X659" i="9"/>
  <c r="AO659" i="9"/>
  <c r="X651" i="9"/>
  <c r="AO651" i="9"/>
  <c r="X611" i="9"/>
  <c r="Y611" i="9" s="1"/>
  <c r="Z611" i="9" s="1" a="1"/>
  <c r="Z611" i="9" s="1"/>
  <c r="AO611" i="9"/>
  <c r="X606" i="9"/>
  <c r="Y606" i="9" s="1"/>
  <c r="Z606" i="9" s="1" a="1"/>
  <c r="Z606" i="9" s="1"/>
  <c r="AO606" i="9"/>
  <c r="X601" i="9"/>
  <c r="AO601" i="9"/>
  <c r="X594" i="9"/>
  <c r="Y594" i="9" s="1"/>
  <c r="Z594" i="9" s="1" a="1"/>
  <c r="Z594" i="9" s="1"/>
  <c r="AO594" i="9"/>
  <c r="X588" i="9"/>
  <c r="Y588" i="9" s="1"/>
  <c r="Z588" i="9" s="1" a="1"/>
  <c r="Z588" i="9" s="1"/>
  <c r="AO588" i="9"/>
  <c r="X577" i="9"/>
  <c r="Y577" i="9" s="1"/>
  <c r="Z577" i="9" s="1" a="1"/>
  <c r="Z577" i="9" s="1"/>
  <c r="AO577" i="9"/>
  <c r="X547" i="9"/>
  <c r="Y547" i="9" s="1"/>
  <c r="Z547" i="9" s="1" a="1"/>
  <c r="Z547" i="9" s="1"/>
  <c r="AO547" i="9"/>
  <c r="X539" i="9"/>
  <c r="Y539" i="9" s="1"/>
  <c r="Z539" i="9" s="1" a="1"/>
  <c r="Z539" i="9" s="1"/>
  <c r="AO539" i="9"/>
  <c r="X535" i="9"/>
  <c r="Y535" i="9" s="1"/>
  <c r="Z535" i="9" s="1" a="1"/>
  <c r="Z535" i="9" s="1"/>
  <c r="AO535" i="9"/>
  <c r="X526" i="9"/>
  <c r="Y526" i="9" s="1"/>
  <c r="Z526" i="9" s="1" a="1"/>
  <c r="Z526" i="9" s="1"/>
  <c r="AO526" i="9"/>
  <c r="X516" i="9"/>
  <c r="Y516" i="9" s="1"/>
  <c r="Z516" i="9" s="1" a="1"/>
  <c r="Z516" i="9" s="1"/>
  <c r="AO516" i="9"/>
  <c r="X512" i="9"/>
  <c r="Y512" i="9" s="1"/>
  <c r="Z512" i="9" s="1" a="1"/>
  <c r="Z512" i="9" s="1"/>
  <c r="AO512" i="9"/>
  <c r="X507" i="9"/>
  <c r="Y507" i="9" s="1"/>
  <c r="Z507" i="9" s="1" a="1"/>
  <c r="Z507" i="9" s="1"/>
  <c r="AO507" i="9"/>
  <c r="X503" i="9"/>
  <c r="Y503" i="9" s="1"/>
  <c r="Z503" i="9" s="1" a="1"/>
  <c r="Z503" i="9" s="1"/>
  <c r="AO503" i="9"/>
  <c r="X484" i="9"/>
  <c r="Y484" i="9" s="1"/>
  <c r="Z484" i="9" s="1" a="1"/>
  <c r="Z484" i="9" s="1"/>
  <c r="AO484" i="9"/>
  <c r="X480" i="9"/>
  <c r="Y480" i="9" s="1"/>
  <c r="Z480" i="9" s="1" a="1"/>
  <c r="Z480" i="9" s="1"/>
  <c r="AO480" i="9"/>
  <c r="X475" i="9"/>
  <c r="Y475" i="9" s="1"/>
  <c r="Z475" i="9" s="1" a="1"/>
  <c r="Z475" i="9" s="1"/>
  <c r="AO475" i="9"/>
  <c r="X445" i="9"/>
  <c r="Y445" i="9" s="1"/>
  <c r="Z445" i="9" s="1" a="1"/>
  <c r="Z445" i="9" s="1"/>
  <c r="AO445" i="9"/>
  <c r="X436" i="9"/>
  <c r="Y436" i="9" s="1"/>
  <c r="Z436" i="9" s="1" a="1"/>
  <c r="Z436" i="9" s="1"/>
  <c r="AO436" i="9"/>
  <c r="X432" i="9"/>
  <c r="Y432" i="9" s="1"/>
  <c r="Z432" i="9" s="1" a="1"/>
  <c r="Z432" i="9" s="1"/>
  <c r="AO432" i="9"/>
  <c r="X419" i="9"/>
  <c r="Y419" i="9" s="1"/>
  <c r="Z419" i="9" s="1" a="1"/>
  <c r="Z419" i="9" s="1"/>
  <c r="AO419" i="9"/>
  <c r="X411" i="9"/>
  <c r="Y411" i="9" s="1"/>
  <c r="Z411" i="9" s="1" a="1"/>
  <c r="Z411" i="9" s="1"/>
  <c r="AO411" i="9"/>
  <c r="X407" i="9"/>
  <c r="Y407" i="9" s="1"/>
  <c r="Z407" i="9" s="1" a="1"/>
  <c r="Z407" i="9" s="1"/>
  <c r="AO407" i="9"/>
  <c r="X398" i="9"/>
  <c r="Y398" i="9" s="1"/>
  <c r="Z398" i="9" s="1" a="1"/>
  <c r="Z398" i="9" s="1"/>
  <c r="AO398" i="9"/>
  <c r="X371" i="9"/>
  <c r="Y371" i="9" s="1"/>
  <c r="Z371" i="9" s="1" a="1"/>
  <c r="Z371" i="9" s="1"/>
  <c r="AO371" i="9"/>
  <c r="X349" i="9"/>
  <c r="AO349" i="9"/>
  <c r="X336" i="9"/>
  <c r="Y336" i="9" s="1"/>
  <c r="Z336" i="9" s="1" a="1"/>
  <c r="Z336" i="9" s="1"/>
  <c r="AO336" i="9"/>
  <c r="X331" i="9"/>
  <c r="Y331" i="9" s="1"/>
  <c r="Z331" i="9" s="1" a="1"/>
  <c r="Z331" i="9" s="1"/>
  <c r="AO331" i="9"/>
  <c r="X321" i="9"/>
  <c r="Y321" i="9" s="1"/>
  <c r="Z321" i="9" s="1" a="1"/>
  <c r="Z321" i="9" s="1"/>
  <c r="AO321" i="9"/>
  <c r="X315" i="9"/>
  <c r="Y315" i="9" s="1"/>
  <c r="Z315" i="9" s="1" a="1"/>
  <c r="Z315" i="9" s="1"/>
  <c r="AO315" i="9"/>
  <c r="X295" i="9"/>
  <c r="Y295" i="9" s="1"/>
  <c r="Z295" i="9" s="1" a="1"/>
  <c r="Z295" i="9" s="1"/>
  <c r="AO295" i="9"/>
  <c r="X283" i="9"/>
  <c r="AO283" i="9"/>
  <c r="X279" i="9"/>
  <c r="Y279" i="9" s="1"/>
  <c r="Z279" i="9" s="1" a="1"/>
  <c r="Z279" i="9" s="1"/>
  <c r="AO279" i="9"/>
  <c r="X275" i="9"/>
  <c r="Y275" i="9" s="1"/>
  <c r="Z275" i="9" s="1" a="1"/>
  <c r="Z275" i="9" s="1"/>
  <c r="AO275" i="9"/>
  <c r="X271" i="9"/>
  <c r="Y271" i="9" s="1"/>
  <c r="Z271" i="9" s="1" a="1"/>
  <c r="Z271" i="9" s="1"/>
  <c r="AO271" i="9"/>
  <c r="X267" i="9"/>
  <c r="Y267" i="9" s="1"/>
  <c r="Z267" i="9" s="1" a="1"/>
  <c r="Z267" i="9" s="1"/>
  <c r="AO267" i="9"/>
  <c r="X263" i="9"/>
  <c r="Y263" i="9" s="1"/>
  <c r="Z263" i="9" s="1" a="1"/>
  <c r="Z263" i="9" s="1"/>
  <c r="AO263" i="9"/>
  <c r="X245" i="9"/>
  <c r="Y245" i="9" s="1"/>
  <c r="Z245" i="9" s="1" a="1"/>
  <c r="Z245" i="9" s="1"/>
  <c r="AO245" i="9"/>
  <c r="X232" i="9"/>
  <c r="Y232" i="9" s="1"/>
  <c r="Z232" i="9" s="1" a="1"/>
  <c r="Z232" i="9" s="1"/>
  <c r="AO232" i="9"/>
  <c r="X217" i="9"/>
  <c r="AO217" i="9"/>
  <c r="X212" i="9"/>
  <c r="Y212" i="9" s="1"/>
  <c r="Z212" i="9" s="1" a="1"/>
  <c r="Z212" i="9" s="1"/>
  <c r="AO212" i="9"/>
  <c r="X200" i="9"/>
  <c r="Y200" i="9" s="1"/>
  <c r="Z200" i="9" s="1" a="1"/>
  <c r="Z200" i="9" s="1"/>
  <c r="AO200" i="9"/>
  <c r="X195" i="9"/>
  <c r="Y195" i="9" s="1"/>
  <c r="Z195" i="9" s="1" a="1"/>
  <c r="Z195" i="9" s="1"/>
  <c r="AO195" i="9"/>
  <c r="X191" i="9"/>
  <c r="Y191" i="9" s="1"/>
  <c r="Z191" i="9" s="1" a="1"/>
  <c r="Z191" i="9" s="1"/>
  <c r="AO191" i="9"/>
  <c r="X178" i="9"/>
  <c r="Y178" i="9" s="1"/>
  <c r="Z178" i="9" s="1" a="1"/>
  <c r="Z178" i="9" s="1"/>
  <c r="AO178" i="9"/>
  <c r="X165" i="9"/>
  <c r="Y165" i="9" s="1"/>
  <c r="Z165" i="9" s="1" a="1"/>
  <c r="Z165" i="9" s="1"/>
  <c r="AO165" i="9"/>
  <c r="X160" i="9"/>
  <c r="Y160" i="9" s="1"/>
  <c r="Z160" i="9" s="1" a="1"/>
  <c r="Z160" i="9" s="1"/>
  <c r="AO160" i="9"/>
  <c r="X136" i="9"/>
  <c r="Y136" i="9" s="1"/>
  <c r="Z136" i="9" s="1" a="1"/>
  <c r="Z136" i="9" s="1"/>
  <c r="AO136" i="9"/>
  <c r="X122" i="9"/>
  <c r="Y122" i="9" s="1"/>
  <c r="Z122" i="9" s="1" a="1"/>
  <c r="Z122" i="9" s="1"/>
  <c r="AO122" i="9"/>
  <c r="X99" i="9"/>
  <c r="Y99" i="9" s="1"/>
  <c r="AO99" i="9"/>
  <c r="X75" i="9"/>
  <c r="Y75" i="9" s="1"/>
  <c r="AO75" i="9"/>
  <c r="X68" i="9"/>
  <c r="Y68" i="9" s="1"/>
  <c r="AO68" i="9"/>
  <c r="X64" i="9"/>
  <c r="Y64" i="9" s="1"/>
  <c r="Z64" i="9" s="1" a="1"/>
  <c r="Z64" i="9" s="1"/>
  <c r="AO64" i="9"/>
  <c r="X56" i="9"/>
  <c r="Y56" i="9" s="1"/>
  <c r="Z56" i="9" s="1" a="1"/>
  <c r="Z56" i="9" s="1"/>
  <c r="AO56" i="9"/>
  <c r="X53" i="9"/>
  <c r="Y53" i="9" s="1"/>
  <c r="Z53" i="9" s="1" a="1"/>
  <c r="Z53" i="9" s="1"/>
  <c r="AO53" i="9"/>
  <c r="X42" i="9"/>
  <c r="Y42" i="9" s="1"/>
  <c r="Z42" i="9" s="1" a="1"/>
  <c r="Z42" i="9" s="1"/>
  <c r="AO42" i="9"/>
  <c r="X35" i="9"/>
  <c r="Y35" i="9" s="1"/>
  <c r="Z35" i="9" s="1" a="1"/>
  <c r="Z35" i="9" s="1"/>
  <c r="AO35" i="9"/>
  <c r="X28" i="9"/>
  <c r="AO28" i="9"/>
  <c r="X850" i="9"/>
  <c r="Y850" i="9" s="1"/>
  <c r="Z850" i="9" s="1" a="1"/>
  <c r="Z850" i="9" s="1"/>
  <c r="AO850" i="9"/>
  <c r="X841" i="9"/>
  <c r="Y841" i="9" s="1"/>
  <c r="Z841" i="9" s="1" a="1"/>
  <c r="Z841" i="9" s="1"/>
  <c r="AO841" i="9"/>
  <c r="X832" i="9"/>
  <c r="Y832" i="9" s="1"/>
  <c r="Z832" i="9" s="1" a="1"/>
  <c r="Z832" i="9" s="1"/>
  <c r="AO832" i="9"/>
  <c r="X814" i="9"/>
  <c r="Y814" i="9" s="1"/>
  <c r="Z814" i="9" s="1" a="1"/>
  <c r="Z814" i="9" s="1"/>
  <c r="AO814" i="9"/>
  <c r="X805" i="9"/>
  <c r="Y805" i="9" s="1"/>
  <c r="Z805" i="9" s="1" a="1"/>
  <c r="Z805" i="9" s="1"/>
  <c r="AO805" i="9"/>
  <c r="X796" i="9"/>
  <c r="Y796" i="9" s="1"/>
  <c r="Z796" i="9" s="1" a="1"/>
  <c r="Z796" i="9" s="1"/>
  <c r="AO796" i="9"/>
  <c r="X782" i="9"/>
  <c r="Y782" i="9" s="1"/>
  <c r="Z782" i="9" s="1" a="1"/>
  <c r="Z782" i="9" s="1"/>
  <c r="AO782" i="9"/>
  <c r="X773" i="9"/>
  <c r="Y773" i="9" s="1"/>
  <c r="Z773" i="9" s="1" a="1"/>
  <c r="Z773" i="9" s="1"/>
  <c r="AO773" i="9"/>
  <c r="X765" i="9"/>
  <c r="Y765" i="9" s="1"/>
  <c r="Z765" i="9" s="1" a="1"/>
  <c r="Z765" i="9" s="1"/>
  <c r="AO765" i="9"/>
  <c r="X757" i="9"/>
  <c r="Y757" i="9" s="1"/>
  <c r="Z757" i="9" s="1" a="1"/>
  <c r="Z757" i="9" s="1"/>
  <c r="AO757" i="9"/>
  <c r="X749" i="9"/>
  <c r="Y749" i="9" s="1"/>
  <c r="Z749" i="9" s="1" a="1"/>
  <c r="Z749" i="9" s="1"/>
  <c r="AO749" i="9"/>
  <c r="X729" i="9"/>
  <c r="Y729" i="9" s="1"/>
  <c r="Z729" i="9" s="1" a="1"/>
  <c r="Z729" i="9" s="1"/>
  <c r="AO729" i="9"/>
  <c r="X722" i="9"/>
  <c r="Y722" i="9" s="1"/>
  <c r="Z722" i="9" s="1" a="1"/>
  <c r="Z722" i="9" s="1"/>
  <c r="AO722" i="9"/>
  <c r="X711" i="9"/>
  <c r="Y711" i="9" s="1"/>
  <c r="Z711" i="9" s="1" a="1"/>
  <c r="Z711" i="9" s="1"/>
  <c r="AO711" i="9"/>
  <c r="X707" i="9"/>
  <c r="Y707" i="9" s="1"/>
  <c r="Z707" i="9" s="1" a="1"/>
  <c r="Z707" i="9" s="1"/>
  <c r="AO707" i="9"/>
  <c r="X698" i="9"/>
  <c r="Y698" i="9" s="1"/>
  <c r="Z698" i="9" s="1" a="1"/>
  <c r="Z698" i="9" s="1"/>
  <c r="AO698" i="9"/>
  <c r="X683" i="9"/>
  <c r="Y683" i="9" s="1"/>
  <c r="Z683" i="9" s="1" a="1"/>
  <c r="Z683" i="9" s="1"/>
  <c r="AO683" i="9"/>
  <c r="X667" i="9"/>
  <c r="Y667" i="9" s="1"/>
  <c r="Z667" i="9" s="1" a="1"/>
  <c r="Z667" i="9" s="1"/>
  <c r="AO667" i="9"/>
  <c r="X663" i="9"/>
  <c r="AO663" i="9"/>
  <c r="X648" i="9"/>
  <c r="AO648" i="9"/>
  <c r="X644" i="9"/>
  <c r="Y644" i="9" s="1"/>
  <c r="Z644" i="9" s="1" a="1"/>
  <c r="Z644" i="9" s="1"/>
  <c r="AO644" i="9"/>
  <c r="X633" i="9"/>
  <c r="Y633" i="9" s="1"/>
  <c r="Z633" i="9" s="1" a="1"/>
  <c r="Z633" i="9" s="1"/>
  <c r="AO633" i="9"/>
  <c r="X619" i="9"/>
  <c r="Y619" i="9" s="1"/>
  <c r="Z619" i="9" s="1" a="1"/>
  <c r="Z619" i="9" s="1"/>
  <c r="AO619" i="9"/>
  <c r="X607" i="9"/>
  <c r="Y607" i="9" s="1"/>
  <c r="Z607" i="9" s="1" a="1"/>
  <c r="Z607" i="9" s="1"/>
  <c r="AO607" i="9"/>
  <c r="X598" i="9"/>
  <c r="Y598" i="9" s="1"/>
  <c r="Z598" i="9" s="1" a="1"/>
  <c r="Z598" i="9" s="1"/>
  <c r="AO598" i="9"/>
  <c r="X556" i="9"/>
  <c r="Y556" i="9" s="1"/>
  <c r="Z556" i="9" s="1" a="1"/>
  <c r="Z556" i="9" s="1"/>
  <c r="AO556" i="9"/>
  <c r="X552" i="9"/>
  <c r="Y552" i="9" s="1"/>
  <c r="Z552" i="9" s="1" a="1"/>
  <c r="Z552" i="9" s="1"/>
  <c r="AO552" i="9"/>
  <c r="X544" i="9"/>
  <c r="Y544" i="9" s="1"/>
  <c r="Z544" i="9" s="1" a="1"/>
  <c r="Z544" i="9" s="1"/>
  <c r="AO544" i="9"/>
  <c r="X531" i="9"/>
  <c r="Y531" i="9" s="1"/>
  <c r="Z531" i="9" s="1" a="1"/>
  <c r="Z531" i="9" s="1"/>
  <c r="AO531" i="9"/>
  <c r="X527" i="9"/>
  <c r="Y527" i="9" s="1"/>
  <c r="Z527" i="9" s="1" a="1"/>
  <c r="Z527" i="9" s="1"/>
  <c r="AO527" i="9"/>
  <c r="X521" i="9"/>
  <c r="Y521" i="9" s="1"/>
  <c r="Z521" i="9" s="1" a="1"/>
  <c r="Z521" i="9" s="1"/>
  <c r="AO521" i="9"/>
  <c r="X494" i="9"/>
  <c r="Y494" i="9" s="1"/>
  <c r="Z494" i="9" s="1" a="1"/>
  <c r="Z494" i="9" s="1"/>
  <c r="AO494" i="9"/>
  <c r="X489" i="9"/>
  <c r="Y489" i="9" s="1"/>
  <c r="Z489" i="9" s="1" a="1"/>
  <c r="Z489" i="9" s="1"/>
  <c r="AO489" i="9"/>
  <c r="X468" i="9"/>
  <c r="Y468" i="9" s="1"/>
  <c r="Z468" i="9" s="1" a="1"/>
  <c r="Z468" i="9" s="1"/>
  <c r="AO468" i="9"/>
  <c r="X464" i="9"/>
  <c r="Y464" i="9" s="1"/>
  <c r="Z464" i="9" s="1" a="1"/>
  <c r="Z464" i="9" s="1"/>
  <c r="AO464" i="9"/>
  <c r="X459" i="9"/>
  <c r="AO459" i="9"/>
  <c r="X454" i="9"/>
  <c r="Y454" i="9" s="1"/>
  <c r="Z454" i="9" s="1" a="1"/>
  <c r="Z454" i="9" s="1"/>
  <c r="AO454" i="9"/>
  <c r="X449" i="9"/>
  <c r="Y449" i="9" s="1"/>
  <c r="Z449" i="9" s="1" a="1"/>
  <c r="Z449" i="9" s="1"/>
  <c r="AO449" i="9"/>
  <c r="X437" i="9"/>
  <c r="Y437" i="9" s="1"/>
  <c r="Z437" i="9" s="1" a="1"/>
  <c r="Z437" i="9" s="1"/>
  <c r="AO437" i="9"/>
  <c r="X428" i="9"/>
  <c r="Y428" i="9" s="1"/>
  <c r="Z428" i="9" s="1" a="1"/>
  <c r="Z428" i="9" s="1"/>
  <c r="AO428" i="9"/>
  <c r="X424" i="9"/>
  <c r="Y424" i="9" s="1"/>
  <c r="Z424" i="9" s="1" a="1"/>
  <c r="Z424" i="9" s="1"/>
  <c r="AO424" i="9"/>
  <c r="X403" i="9"/>
  <c r="Y403" i="9" s="1"/>
  <c r="Z403" i="9" s="1" a="1"/>
  <c r="Z403" i="9" s="1"/>
  <c r="AO403" i="9"/>
  <c r="X399" i="9"/>
  <c r="Y399" i="9" s="1"/>
  <c r="Z399" i="9" s="1" a="1"/>
  <c r="Z399" i="9" s="1"/>
  <c r="AO399" i="9"/>
  <c r="X394" i="9"/>
  <c r="AO394" i="9"/>
  <c r="X390" i="9"/>
  <c r="AO390" i="9"/>
  <c r="X385" i="9"/>
  <c r="Y385" i="9" s="1"/>
  <c r="Z385" i="9" s="1" a="1"/>
  <c r="Z385" i="9" s="1"/>
  <c r="AO385" i="9"/>
  <c r="X380" i="9"/>
  <c r="Y380" i="9" s="1"/>
  <c r="Z380" i="9" s="1" a="1"/>
  <c r="Z380" i="9" s="1"/>
  <c r="AO380" i="9"/>
  <c r="X359" i="9"/>
  <c r="Y359" i="9" s="1"/>
  <c r="Z359" i="9" s="1" a="1"/>
  <c r="Z359" i="9" s="1"/>
  <c r="AO359" i="9"/>
  <c r="X354" i="9"/>
  <c r="Y354" i="9" s="1"/>
  <c r="Z354" i="9" s="1" a="1"/>
  <c r="Z354" i="9" s="1"/>
  <c r="AO354" i="9"/>
  <c r="X345" i="9"/>
  <c r="AO345" i="9"/>
  <c r="X341" i="9"/>
  <c r="AO341" i="9"/>
  <c r="X328" i="9"/>
  <c r="Y328" i="9" s="1"/>
  <c r="Z328" i="9" s="1" a="1"/>
  <c r="Z328" i="9" s="1"/>
  <c r="AO328" i="9"/>
  <c r="X310" i="9"/>
  <c r="Y310" i="9" s="1"/>
  <c r="Z310" i="9" s="1" a="1"/>
  <c r="Z310" i="9" s="1"/>
  <c r="AO310" i="9"/>
  <c r="X304" i="9"/>
  <c r="Y304" i="9" s="1"/>
  <c r="Z304" i="9" s="1" a="1"/>
  <c r="Z304" i="9" s="1"/>
  <c r="AO304" i="9"/>
  <c r="X289" i="9"/>
  <c r="AO289" i="9"/>
  <c r="X272" i="9"/>
  <c r="AO272" i="9"/>
  <c r="X264" i="9"/>
  <c r="AO264" i="9"/>
  <c r="X256" i="9"/>
  <c r="Y256" i="9" s="1"/>
  <c r="Z256" i="9" s="1" a="1"/>
  <c r="Z256" i="9" s="1"/>
  <c r="AO256" i="9"/>
  <c r="X251" i="9"/>
  <c r="Y251" i="9" s="1"/>
  <c r="Z251" i="9" s="1" a="1"/>
  <c r="Z251" i="9" s="1"/>
  <c r="AO251" i="9"/>
  <c r="X237" i="9"/>
  <c r="Y237" i="9" s="1"/>
  <c r="Z237" i="9" s="1" a="1"/>
  <c r="Z237" i="9" s="1"/>
  <c r="AO237" i="9"/>
  <c r="X221" i="9"/>
  <c r="Y221" i="9" s="1"/>
  <c r="Z221" i="9" s="1" a="1"/>
  <c r="Z221" i="9" s="1"/>
  <c r="AO221" i="9"/>
  <c r="X209" i="9"/>
  <c r="Y209" i="9" s="1"/>
  <c r="Z209" i="9" s="1" a="1"/>
  <c r="Z209" i="9" s="1"/>
  <c r="AO209" i="9"/>
  <c r="X204" i="9"/>
  <c r="Y204" i="9" s="1"/>
  <c r="Z204" i="9" s="1" a="1"/>
  <c r="Z204" i="9" s="1"/>
  <c r="AO204" i="9"/>
  <c r="X192" i="9"/>
  <c r="Y192" i="9" s="1"/>
  <c r="Z192" i="9" s="1" a="1"/>
  <c r="Z192" i="9" s="1"/>
  <c r="AO192" i="9"/>
  <c r="X187" i="9"/>
  <c r="Y187" i="9" s="1"/>
  <c r="Z187" i="9" s="1" a="1"/>
  <c r="Z187" i="9" s="1"/>
  <c r="AO187" i="9"/>
  <c r="X183" i="9"/>
  <c r="Y183" i="9" s="1"/>
  <c r="Z183" i="9" s="1" a="1"/>
  <c r="Z183" i="9" s="1"/>
  <c r="AO183" i="9"/>
  <c r="X169" i="9"/>
  <c r="Y169" i="9" s="1"/>
  <c r="Z169" i="9" s="1" a="1"/>
  <c r="Z169" i="9" s="1"/>
  <c r="AO169" i="9"/>
  <c r="X150" i="9"/>
  <c r="Y150" i="9" s="1"/>
  <c r="Z150" i="9" s="1" a="1"/>
  <c r="Z150" i="9" s="1"/>
  <c r="AO150" i="9"/>
  <c r="X141" i="9"/>
  <c r="Y141" i="9" s="1"/>
  <c r="Z141" i="9" s="1" a="1"/>
  <c r="Z141" i="9" s="1"/>
  <c r="AO141" i="9"/>
  <c r="X131" i="9"/>
  <c r="Y131" i="9" s="1"/>
  <c r="Z131" i="9" s="1" a="1"/>
  <c r="Z131" i="9" s="1"/>
  <c r="AO131" i="9"/>
  <c r="X126" i="9"/>
  <c r="Y126" i="9" s="1"/>
  <c r="Z126" i="9" s="1" a="1"/>
  <c r="Z126" i="9" s="1"/>
  <c r="AO126" i="9"/>
  <c r="X117" i="9"/>
  <c r="Y117" i="9" s="1"/>
  <c r="AO117" i="9"/>
  <c r="X113" i="9"/>
  <c r="Y113" i="9" s="1"/>
  <c r="AO113" i="9"/>
  <c r="X108" i="9"/>
  <c r="Y108" i="9" s="1"/>
  <c r="AO108" i="9"/>
  <c r="X104" i="9"/>
  <c r="Y104" i="9" s="1"/>
  <c r="AO104" i="9"/>
  <c r="X96" i="9"/>
  <c r="Y96" i="9" s="1"/>
  <c r="AO96" i="9"/>
  <c r="X91" i="9"/>
  <c r="Y91" i="9" s="1"/>
  <c r="AO91" i="9"/>
  <c r="AO79" i="9"/>
  <c r="X79" i="9"/>
  <c r="Y79" i="9" s="1"/>
  <c r="X72" i="9"/>
  <c r="Y72" i="9" s="1"/>
  <c r="AO72" i="9"/>
  <c r="X32" i="9"/>
  <c r="Y32" i="9" s="1"/>
  <c r="Z32" i="9" s="1" a="1"/>
  <c r="Z32" i="9" s="1"/>
  <c r="AO32" i="9"/>
  <c r="AI36" i="26"/>
  <c r="AI15" i="26"/>
  <c r="X5" i="9"/>
  <c r="Y5" i="9" s="1"/>
  <c r="Z5" i="9" s="1" a="1"/>
  <c r="Z5" i="9" s="1"/>
  <c r="X846" i="9"/>
  <c r="Y846" i="9" s="1"/>
  <c r="Z846" i="9" s="1" a="1"/>
  <c r="Z846" i="9" s="1"/>
  <c r="AO846" i="9"/>
  <c r="X837" i="9"/>
  <c r="Y837" i="9" s="1"/>
  <c r="Z837" i="9" s="1" a="1"/>
  <c r="Z837" i="9" s="1"/>
  <c r="AO837" i="9"/>
  <c r="X810" i="9"/>
  <c r="Y810" i="9" s="1"/>
  <c r="Z810" i="9" s="1" a="1"/>
  <c r="Z810" i="9" s="1"/>
  <c r="AO810" i="9"/>
  <c r="X801" i="9"/>
  <c r="Y801" i="9" s="1"/>
  <c r="Z801" i="9" s="1" a="1"/>
  <c r="Z801" i="9" s="1"/>
  <c r="AO801" i="9"/>
  <c r="X778" i="9"/>
  <c r="Y778" i="9" s="1"/>
  <c r="Z778" i="9" s="1" a="1"/>
  <c r="Z778" i="9" s="1"/>
  <c r="AO778" i="9"/>
  <c r="X770" i="9"/>
  <c r="AO770" i="9"/>
  <c r="X762" i="9"/>
  <c r="Y762" i="9" s="1"/>
  <c r="Z762" i="9" s="1" a="1"/>
  <c r="Z762" i="9" s="1"/>
  <c r="AO762" i="9"/>
  <c r="X754" i="9"/>
  <c r="Y754" i="9" s="1"/>
  <c r="Z754" i="9" s="1" a="1"/>
  <c r="Z754" i="9" s="1"/>
  <c r="AO754" i="9"/>
  <c r="X745" i="9"/>
  <c r="Y745" i="9" s="1"/>
  <c r="Z745" i="9" s="1" a="1"/>
  <c r="Z745" i="9" s="1"/>
  <c r="AO745" i="9"/>
  <c r="X741" i="9"/>
  <c r="AO741" i="9"/>
  <c r="X737" i="9"/>
  <c r="Y737" i="9" s="1"/>
  <c r="Z737" i="9" s="1" a="1"/>
  <c r="Z737" i="9" s="1"/>
  <c r="AO737" i="9"/>
  <c r="X733" i="9"/>
  <c r="Y733" i="9" s="1"/>
  <c r="Z733" i="9" s="1" a="1"/>
  <c r="Z733" i="9" s="1"/>
  <c r="AO733" i="9"/>
  <c r="X726" i="9"/>
  <c r="Y726" i="9" s="1"/>
  <c r="Z726" i="9" s="1" a="1"/>
  <c r="Z726" i="9" s="1"/>
  <c r="AO726" i="9"/>
  <c r="X719" i="9"/>
  <c r="Y719" i="9" s="1"/>
  <c r="Z719" i="9" s="1" a="1"/>
  <c r="Z719" i="9" s="1"/>
  <c r="AO719" i="9"/>
  <c r="X694" i="9"/>
  <c r="Y694" i="9" s="1"/>
  <c r="Z694" i="9" s="1" a="1"/>
  <c r="Z694" i="9" s="1"/>
  <c r="AO694" i="9"/>
  <c r="X690" i="9"/>
  <c r="Y690" i="9" s="1"/>
  <c r="Z690" i="9" s="1" a="1"/>
  <c r="Z690" i="9" s="1"/>
  <c r="AO690" i="9"/>
  <c r="X675" i="9"/>
  <c r="Y675" i="9" s="1"/>
  <c r="Z675" i="9" s="1" a="1"/>
  <c r="Z675" i="9" s="1"/>
  <c r="AO675" i="9"/>
  <c r="X671" i="9"/>
  <c r="Y671" i="9" s="1"/>
  <c r="Z671" i="9" s="1" a="1"/>
  <c r="Z671" i="9" s="1"/>
  <c r="AO671" i="9"/>
  <c r="X641" i="9"/>
  <c r="Y641" i="9" s="1"/>
  <c r="Z641" i="9" s="1" a="1"/>
  <c r="Z641" i="9" s="1"/>
  <c r="AO641" i="9"/>
  <c r="X637" i="9"/>
  <c r="Y637" i="9" s="1"/>
  <c r="Z637" i="9" s="1" a="1"/>
  <c r="Z637" i="9" s="1"/>
  <c r="AO637" i="9"/>
  <c r="X627" i="9"/>
  <c r="Y627" i="9" s="1"/>
  <c r="Z627" i="9" s="1" a="1"/>
  <c r="Z627" i="9" s="1"/>
  <c r="AO627" i="9"/>
  <c r="X585" i="9"/>
  <c r="Y585" i="9" s="1"/>
  <c r="Z585" i="9" s="1" a="1"/>
  <c r="Z585" i="9" s="1"/>
  <c r="AO585" i="9"/>
  <c r="X561" i="9"/>
  <c r="Y561" i="9" s="1"/>
  <c r="Z561" i="9" s="1" a="1"/>
  <c r="Z561" i="9" s="1"/>
  <c r="AO561" i="9"/>
  <c r="X548" i="9"/>
  <c r="Y548" i="9" s="1"/>
  <c r="Z548" i="9" s="1" a="1"/>
  <c r="Z548" i="9" s="1"/>
  <c r="AO548" i="9"/>
  <c r="X540" i="9"/>
  <c r="Y540" i="9" s="1"/>
  <c r="Z540" i="9" s="1" a="1"/>
  <c r="Z540" i="9" s="1"/>
  <c r="AO540" i="9"/>
  <c r="X536" i="9"/>
  <c r="Y536" i="9" s="1"/>
  <c r="Z536" i="9" s="1" a="1"/>
  <c r="Z536" i="9" s="1"/>
  <c r="AO536" i="9"/>
  <c r="X508" i="9"/>
  <c r="Y508" i="9" s="1"/>
  <c r="Z508" i="9" s="1" a="1"/>
  <c r="Z508" i="9" s="1"/>
  <c r="AO508" i="9"/>
  <c r="X504" i="9"/>
  <c r="Y504" i="9" s="1"/>
  <c r="Z504" i="9" s="1" a="1"/>
  <c r="Z504" i="9" s="1"/>
  <c r="AO504" i="9"/>
  <c r="X476" i="9"/>
  <c r="Y476" i="9" s="1"/>
  <c r="Z476" i="9" s="1" a="1"/>
  <c r="Z476" i="9" s="1"/>
  <c r="AO476" i="9"/>
  <c r="X473" i="9"/>
  <c r="Y473" i="9" s="1"/>
  <c r="Z473" i="9" s="1" a="1"/>
  <c r="Z473" i="9" s="1"/>
  <c r="AO473" i="9"/>
  <c r="X441" i="9"/>
  <c r="Y441" i="9" s="1"/>
  <c r="Z441" i="9" s="1" a="1"/>
  <c r="Z441" i="9" s="1"/>
  <c r="AO441" i="9"/>
  <c r="X420" i="9"/>
  <c r="Y420" i="9" s="1"/>
  <c r="Z420" i="9" s="1" a="1"/>
  <c r="Z420" i="9" s="1"/>
  <c r="AO420" i="9"/>
  <c r="X412" i="9"/>
  <c r="Y412" i="9" s="1"/>
  <c r="Z412" i="9" s="1" a="1"/>
  <c r="Z412" i="9" s="1"/>
  <c r="AO412" i="9"/>
  <c r="X408" i="9"/>
  <c r="Y408" i="9" s="1"/>
  <c r="Z408" i="9" s="1" a="1"/>
  <c r="Z408" i="9" s="1"/>
  <c r="AO408" i="9"/>
  <c r="X397" i="9"/>
  <c r="Y397" i="9" s="1"/>
  <c r="Z397" i="9" s="1" a="1"/>
  <c r="Z397" i="9" s="1"/>
  <c r="X372" i="9"/>
  <c r="Y372" i="9" s="1"/>
  <c r="Z372" i="9" s="1" a="1"/>
  <c r="Z372" i="9" s="1"/>
  <c r="AO372" i="9"/>
  <c r="X363" i="9"/>
  <c r="Y363" i="9" s="1"/>
  <c r="Z363" i="9" s="1" a="1"/>
  <c r="Z363" i="9" s="1"/>
  <c r="AO363" i="9"/>
  <c r="X352" i="9"/>
  <c r="Y352" i="9" s="1"/>
  <c r="Z352" i="9" s="1" a="1"/>
  <c r="Z352" i="9" s="1"/>
  <c r="X350" i="9"/>
  <c r="Y350" i="9" s="1"/>
  <c r="Z350" i="9" s="1" a="1"/>
  <c r="Z350" i="9" s="1"/>
  <c r="AO350" i="9"/>
  <c r="X323" i="9"/>
  <c r="Y323" i="9" s="1"/>
  <c r="Z323" i="9" s="1" a="1"/>
  <c r="Z323" i="9" s="1"/>
  <c r="AO323" i="9"/>
  <c r="X314" i="9"/>
  <c r="Y314" i="9" s="1"/>
  <c r="Z314" i="9" s="1" a="1"/>
  <c r="Z314" i="9" s="1"/>
  <c r="Y298" i="9"/>
  <c r="Z298" i="9" s="1" a="1"/>
  <c r="Z298" i="9" s="1"/>
  <c r="X296" i="9"/>
  <c r="Y296" i="9" s="1"/>
  <c r="Z296" i="9" s="1" a="1"/>
  <c r="Z296" i="9" s="1"/>
  <c r="AO296" i="9"/>
  <c r="X260" i="9"/>
  <c r="AO260" i="9"/>
  <c r="X235" i="9"/>
  <c r="Y235" i="9" s="1"/>
  <c r="Z235" i="9" s="1" a="1"/>
  <c r="Z235" i="9" s="1"/>
  <c r="X233" i="9"/>
  <c r="Y233" i="9" s="1"/>
  <c r="Z233" i="9" s="1" a="1"/>
  <c r="Z233" i="9" s="1"/>
  <c r="AO233" i="9"/>
  <c r="X231" i="9"/>
  <c r="Y231" i="9" s="1"/>
  <c r="Z231" i="9" s="1" a="1"/>
  <c r="Z231" i="9" s="1"/>
  <c r="X213" i="9"/>
  <c r="Y213" i="9" s="1"/>
  <c r="Z213" i="9" s="1" a="1"/>
  <c r="Z213" i="9" s="1"/>
  <c r="AO213" i="9"/>
  <c r="X201" i="9"/>
  <c r="AO201" i="9"/>
  <c r="X196" i="9"/>
  <c r="Y196" i="9" s="1"/>
  <c r="Z196" i="9" s="1" a="1"/>
  <c r="Z196" i="9" s="1"/>
  <c r="AO196" i="9"/>
  <c r="Y171" i="9"/>
  <c r="Z171" i="9" s="1" a="1"/>
  <c r="Z171" i="9" s="1"/>
  <c r="X161" i="9"/>
  <c r="Y161" i="9" s="1"/>
  <c r="Z161" i="9" s="1" a="1"/>
  <c r="Z161" i="9" s="1"/>
  <c r="AO161" i="9"/>
  <c r="X156" i="9"/>
  <c r="Y156" i="9" s="1"/>
  <c r="Z156" i="9" s="1" a="1"/>
  <c r="Z156" i="9" s="1"/>
  <c r="AO156" i="9"/>
  <c r="X146" i="9"/>
  <c r="Y146" i="9" s="1"/>
  <c r="Z146" i="9" s="1" a="1"/>
  <c r="Z146" i="9" s="1"/>
  <c r="AO146" i="9"/>
  <c r="X137" i="9"/>
  <c r="Y137" i="9" s="1"/>
  <c r="Z137" i="9" s="1" a="1"/>
  <c r="Z137" i="9" s="1"/>
  <c r="AO137" i="9"/>
  <c r="X111" i="9"/>
  <c r="Y111" i="9" s="1"/>
  <c r="X100" i="9"/>
  <c r="Y100" i="9" s="1"/>
  <c r="AO100" i="9"/>
  <c r="X84" i="9"/>
  <c r="Y84" i="9" s="1"/>
  <c r="AO84" i="9"/>
  <c r="X80" i="9"/>
  <c r="AO80" i="9"/>
  <c r="X69" i="9"/>
  <c r="Y69" i="9" s="1"/>
  <c r="AO69" i="9"/>
  <c r="X57" i="9"/>
  <c r="Y57" i="9" s="1"/>
  <c r="Z57" i="9" s="1" a="1"/>
  <c r="Z57" i="9" s="1"/>
  <c r="AO57" i="9"/>
  <c r="AO46" i="9"/>
  <c r="X46" i="9"/>
  <c r="Y46" i="9" s="1"/>
  <c r="Z46" i="9" s="1" a="1"/>
  <c r="Z46" i="9" s="1"/>
  <c r="AO39" i="9"/>
  <c r="X39" i="9"/>
  <c r="Y39" i="9" s="1"/>
  <c r="Z39" i="9" s="1" a="1"/>
  <c r="Z39" i="9" s="1"/>
  <c r="X856" i="9"/>
  <c r="Y856" i="9" s="1"/>
  <c r="Z856" i="9" s="1" a="1"/>
  <c r="Z856" i="9" s="1"/>
  <c r="AO856" i="9"/>
  <c r="X842" i="9"/>
  <c r="Y842" i="9" s="1"/>
  <c r="Z842" i="9" s="1" a="1"/>
  <c r="Z842" i="9" s="1"/>
  <c r="AO842" i="9"/>
  <c r="X835" i="9"/>
  <c r="Y835" i="9" s="1"/>
  <c r="Z835" i="9" s="1" a="1"/>
  <c r="Z835" i="9" s="1"/>
  <c r="X833" i="9"/>
  <c r="Y833" i="9" s="1"/>
  <c r="Z833" i="9" s="1" a="1"/>
  <c r="Z833" i="9" s="1"/>
  <c r="AO833" i="9"/>
  <c r="X820" i="9"/>
  <c r="Y820" i="9" s="1"/>
  <c r="Z820" i="9" s="1" a="1"/>
  <c r="Z820" i="9" s="1"/>
  <c r="AO820" i="9"/>
  <c r="X806" i="9"/>
  <c r="Y806" i="9" s="1"/>
  <c r="Z806" i="9" s="1" a="1"/>
  <c r="Z806" i="9" s="1"/>
  <c r="AO806" i="9"/>
  <c r="X799" i="9"/>
  <c r="Y799" i="9" s="1"/>
  <c r="Z799" i="9" s="1" a="1"/>
  <c r="Z799" i="9" s="1"/>
  <c r="X797" i="9"/>
  <c r="Y797" i="9" s="1"/>
  <c r="Z797" i="9" s="1" a="1"/>
  <c r="Z797" i="9" s="1"/>
  <c r="AO797" i="9"/>
  <c r="X788" i="9"/>
  <c r="Y788" i="9" s="1"/>
  <c r="Z788" i="9" s="1" a="1"/>
  <c r="Z788" i="9" s="1"/>
  <c r="AO788" i="9"/>
  <c r="X774" i="9"/>
  <c r="Y774" i="9" s="1"/>
  <c r="Z774" i="9" s="1" a="1"/>
  <c r="Z774" i="9" s="1"/>
  <c r="AO774" i="9"/>
  <c r="X766" i="9"/>
  <c r="Y766" i="9" s="1"/>
  <c r="Z766" i="9" s="1" a="1"/>
  <c r="Z766" i="9" s="1"/>
  <c r="AO766" i="9"/>
  <c r="X758" i="9"/>
  <c r="AO758" i="9"/>
  <c r="X750" i="9"/>
  <c r="Y750" i="9" s="1"/>
  <c r="Z750" i="9" s="1" a="1"/>
  <c r="Z750" i="9" s="1"/>
  <c r="AO750" i="9"/>
  <c r="X730" i="9"/>
  <c r="Y730" i="9" s="1"/>
  <c r="Z730" i="9" s="1" a="1"/>
  <c r="Z730" i="9" s="1"/>
  <c r="AO730" i="9"/>
  <c r="X723" i="9"/>
  <c r="Y723" i="9" s="1"/>
  <c r="Z723" i="9" s="1" a="1"/>
  <c r="Z723" i="9" s="1"/>
  <c r="AO723" i="9"/>
  <c r="X712" i="9"/>
  <c r="Y712" i="9" s="1"/>
  <c r="Z712" i="9" s="1" a="1"/>
  <c r="Z712" i="9" s="1"/>
  <c r="AO712" i="9"/>
  <c r="X708" i="9"/>
  <c r="Y708" i="9" s="1"/>
  <c r="Z708" i="9" s="1" a="1"/>
  <c r="Z708" i="9" s="1"/>
  <c r="AO708" i="9"/>
  <c r="X699" i="9"/>
  <c r="Y699" i="9" s="1"/>
  <c r="Z699" i="9" s="1" a="1"/>
  <c r="Z699" i="9" s="1"/>
  <c r="AO699" i="9"/>
  <c r="X684" i="9"/>
  <c r="Y684" i="9" s="1"/>
  <c r="Z684" i="9" s="1" a="1"/>
  <c r="Z684" i="9" s="1"/>
  <c r="AO684" i="9"/>
  <c r="X668" i="9"/>
  <c r="Y668" i="9" s="1"/>
  <c r="Z668" i="9" s="1" a="1"/>
  <c r="Z668" i="9" s="1"/>
  <c r="AO668" i="9"/>
  <c r="X664" i="9"/>
  <c r="AO664" i="9"/>
  <c r="X657" i="9"/>
  <c r="Y657" i="9" s="1"/>
  <c r="Z657" i="9" s="1" a="1"/>
  <c r="Z657" i="9" s="1"/>
  <c r="AO657" i="9"/>
  <c r="X649" i="9"/>
  <c r="Y649" i="9" s="1"/>
  <c r="Z649" i="9" s="1" a="1"/>
  <c r="Z649" i="9" s="1"/>
  <c r="AO649" i="9"/>
  <c r="X645" i="9"/>
  <c r="Y645" i="9" s="1"/>
  <c r="Z645" i="9" s="1" a="1"/>
  <c r="Z645" i="9" s="1"/>
  <c r="AO645" i="9"/>
  <c r="X639" i="9"/>
  <c r="Y639" i="9" s="1"/>
  <c r="Z639" i="9" s="1" a="1"/>
  <c r="Z639" i="9" s="1"/>
  <c r="X634" i="9"/>
  <c r="Y634" i="9" s="1"/>
  <c r="Z634" i="9" s="1" a="1"/>
  <c r="Z634" i="9" s="1"/>
  <c r="AO634" i="9"/>
  <c r="X624" i="9"/>
  <c r="AO624" i="9"/>
  <c r="X620" i="9"/>
  <c r="AO620" i="9"/>
  <c r="X604" i="9"/>
  <c r="Y604" i="9" s="1"/>
  <c r="Z604" i="9" s="1" a="1"/>
  <c r="Z604" i="9" s="1"/>
  <c r="X595" i="9"/>
  <c r="Y595" i="9" s="1"/>
  <c r="Z595" i="9" s="1" a="1"/>
  <c r="Z595" i="9" s="1"/>
  <c r="AO595" i="9"/>
  <c r="X591" i="9"/>
  <c r="Y591" i="9" s="1"/>
  <c r="Z591" i="9" s="1" a="1"/>
  <c r="Z591" i="9" s="1"/>
  <c r="AO591" i="9"/>
  <c r="X571" i="9"/>
  <c r="Y571" i="9" s="1"/>
  <c r="Z571" i="9" s="1" a="1"/>
  <c r="Z571" i="9" s="1"/>
  <c r="AO571" i="9"/>
  <c r="X538" i="9"/>
  <c r="Y538" i="9" s="1"/>
  <c r="Z538" i="9" s="1" a="1"/>
  <c r="Z538" i="9" s="1"/>
  <c r="X532" i="9"/>
  <c r="Y532" i="9" s="1"/>
  <c r="Z532" i="9" s="1" a="1"/>
  <c r="Z532" i="9" s="1"/>
  <c r="AO532" i="9"/>
  <c r="X528" i="9"/>
  <c r="Y528" i="9" s="1"/>
  <c r="Z528" i="9" s="1" a="1"/>
  <c r="Z528" i="9" s="1"/>
  <c r="AO528" i="9"/>
  <c r="X523" i="9"/>
  <c r="Y523" i="9" s="1"/>
  <c r="Z523" i="9" s="1" a="1"/>
  <c r="Z523" i="9" s="1"/>
  <c r="AO523" i="9"/>
  <c r="X518" i="9"/>
  <c r="Y518" i="9" s="1"/>
  <c r="Z518" i="9" s="1" a="1"/>
  <c r="Z518" i="9" s="1"/>
  <c r="AO518" i="9"/>
  <c r="X513" i="9"/>
  <c r="Y513" i="9" s="1"/>
  <c r="Z513" i="9" s="1" a="1"/>
  <c r="Z513" i="9" s="1"/>
  <c r="AO513" i="9"/>
  <c r="X506" i="9"/>
  <c r="Y506" i="9" s="1"/>
  <c r="Z506" i="9" s="1" a="1"/>
  <c r="Z506" i="9" s="1"/>
  <c r="X493" i="9"/>
  <c r="Y493" i="9" s="1"/>
  <c r="Z493" i="9" s="1" a="1"/>
  <c r="Z493" i="9" s="1"/>
  <c r="X486" i="9"/>
  <c r="Y486" i="9" s="1"/>
  <c r="Z486" i="9" s="1" a="1"/>
  <c r="Z486" i="9" s="1"/>
  <c r="AO486" i="9"/>
  <c r="X481" i="9"/>
  <c r="Y481" i="9" s="1"/>
  <c r="Z481" i="9" s="1" a="1"/>
  <c r="Z481" i="9" s="1"/>
  <c r="AO481" i="9"/>
  <c r="X460" i="9"/>
  <c r="Y460" i="9" s="1"/>
  <c r="Z460" i="9" s="1" a="1"/>
  <c r="Z460" i="9" s="1"/>
  <c r="AO460" i="9"/>
  <c r="X453" i="9"/>
  <c r="Y453" i="9" s="1"/>
  <c r="Z453" i="9" s="1" a="1"/>
  <c r="Z453" i="9" s="1"/>
  <c r="X446" i="9"/>
  <c r="AO446" i="9"/>
  <c r="X433" i="9"/>
  <c r="Y433" i="9" s="1"/>
  <c r="Z433" i="9" s="1" a="1"/>
  <c r="Z433" i="9" s="1"/>
  <c r="AO433" i="9"/>
  <c r="X421" i="9"/>
  <c r="Y421" i="9" s="1"/>
  <c r="Z421" i="9" s="1" a="1"/>
  <c r="Z421" i="9" s="1"/>
  <c r="AO421" i="9"/>
  <c r="X418" i="9"/>
  <c r="Y418" i="9" s="1"/>
  <c r="Z418" i="9" s="1" a="1"/>
  <c r="Z418" i="9" s="1"/>
  <c r="X413" i="9"/>
  <c r="Y413" i="9" s="1"/>
  <c r="Z413" i="9" s="1" a="1"/>
  <c r="Z413" i="9" s="1"/>
  <c r="AO413" i="9"/>
  <c r="X410" i="9"/>
  <c r="Y410" i="9" s="1"/>
  <c r="Z410" i="9" s="1" a="1"/>
  <c r="Z410" i="9" s="1"/>
  <c r="X404" i="9"/>
  <c r="Y404" i="9" s="1"/>
  <c r="Z404" i="9" s="1" a="1"/>
  <c r="Z404" i="9" s="1"/>
  <c r="AO404" i="9"/>
  <c r="X400" i="9"/>
  <c r="Y400" i="9" s="1"/>
  <c r="Z400" i="9" s="1" a="1"/>
  <c r="Z400" i="9" s="1"/>
  <c r="AO400" i="9"/>
  <c r="X389" i="9"/>
  <c r="Y389" i="9" s="1"/>
  <c r="Z389" i="9" s="1" a="1"/>
  <c r="Z389" i="9" s="1"/>
  <c r="X386" i="9"/>
  <c r="AO386" i="9"/>
  <c r="X382" i="9"/>
  <c r="AO382" i="9"/>
  <c r="X369" i="9"/>
  <c r="Y369" i="9" s="1"/>
  <c r="Z369" i="9" s="1" a="1"/>
  <c r="Z369" i="9" s="1"/>
  <c r="AO369" i="9"/>
  <c r="X351" i="9"/>
  <c r="Y351" i="9" s="1"/>
  <c r="Z351" i="9" s="1" a="1"/>
  <c r="Z351" i="9" s="1"/>
  <c r="AO351" i="9"/>
  <c r="X348" i="9"/>
  <c r="Y348" i="9" s="1"/>
  <c r="Z348" i="9" s="1" a="1"/>
  <c r="Z348" i="9" s="1"/>
  <c r="X346" i="9"/>
  <c r="Y346" i="9" s="1"/>
  <c r="Z346" i="9" s="1" a="1"/>
  <c r="Z346" i="9" s="1"/>
  <c r="AO346" i="9"/>
  <c r="X342" i="9"/>
  <c r="Y342" i="9" s="1"/>
  <c r="Z342" i="9" s="1" a="1"/>
  <c r="Z342" i="9" s="1"/>
  <c r="AO342" i="9"/>
  <c r="X329" i="9"/>
  <c r="Y329" i="9" s="1"/>
  <c r="Z329" i="9" s="1" a="1"/>
  <c r="Z329" i="9" s="1"/>
  <c r="AO329" i="9"/>
  <c r="X320" i="9"/>
  <c r="Y320" i="9" s="1"/>
  <c r="Z320" i="9" s="1" a="1"/>
  <c r="Z320" i="9" s="1"/>
  <c r="X305" i="9"/>
  <c r="Y305" i="9" s="1"/>
  <c r="Z305" i="9" s="1" a="1"/>
  <c r="Z305" i="9" s="1"/>
  <c r="AO305" i="9"/>
  <c r="X301" i="9"/>
  <c r="Y301" i="9" s="1"/>
  <c r="Z301" i="9" s="1" a="1"/>
  <c r="Z301" i="9" s="1"/>
  <c r="AO301" i="9"/>
  <c r="X291" i="9"/>
  <c r="Y291" i="9" s="1"/>
  <c r="Z291" i="9" s="1" a="1"/>
  <c r="Z291" i="9" s="1"/>
  <c r="AO291" i="9"/>
  <c r="X280" i="9"/>
  <c r="Y280" i="9" s="1"/>
  <c r="Z280" i="9" s="1" a="1"/>
  <c r="Z280" i="9" s="1"/>
  <c r="AO280" i="9"/>
  <c r="X273" i="9"/>
  <c r="Y273" i="9" s="1"/>
  <c r="Z273" i="9" s="1" a="1"/>
  <c r="Z273" i="9" s="1"/>
  <c r="AO273" i="9"/>
  <c r="X265" i="9"/>
  <c r="Y265" i="9" s="1"/>
  <c r="Z265" i="9" s="1" a="1"/>
  <c r="Z265" i="9" s="1"/>
  <c r="AO265" i="9"/>
  <c r="X257" i="9"/>
  <c r="Y257" i="9" s="1"/>
  <c r="Z257" i="9" s="1" a="1"/>
  <c r="Z257" i="9" s="1"/>
  <c r="AO257" i="9"/>
  <c r="X255" i="9"/>
  <c r="Y255" i="9" s="1"/>
  <c r="Z255" i="9" s="1" a="1"/>
  <c r="Z255" i="9" s="1"/>
  <c r="X254" i="9"/>
  <c r="Y254" i="9" s="1"/>
  <c r="Z254" i="9" s="1" a="1"/>
  <c r="Z254" i="9" s="1"/>
  <c r="Y253" i="9"/>
  <c r="Z253" i="9" s="1" a="1"/>
  <c r="Z253" i="9" s="1"/>
  <c r="X252" i="9"/>
  <c r="Y252" i="9" s="1"/>
  <c r="Z252" i="9" s="1" a="1"/>
  <c r="Z252" i="9" s="1"/>
  <c r="AO252" i="9"/>
  <c r="X248" i="9"/>
  <c r="Y248" i="9" s="1"/>
  <c r="Z248" i="9" s="1" a="1"/>
  <c r="Z248" i="9" s="1"/>
  <c r="AO248" i="9"/>
  <c r="X230" i="9"/>
  <c r="Y230" i="9" s="1"/>
  <c r="Z230" i="9" s="1" a="1"/>
  <c r="Z230" i="9" s="1"/>
  <c r="X218" i="9"/>
  <c r="Y218" i="9" s="1"/>
  <c r="Z218" i="9" s="1" a="1"/>
  <c r="Z218" i="9" s="1"/>
  <c r="AO218" i="9"/>
  <c r="X205" i="9"/>
  <c r="Y205" i="9" s="1"/>
  <c r="Z205" i="9" s="1" a="1"/>
  <c r="Z205" i="9" s="1"/>
  <c r="AO205" i="9"/>
  <c r="X193" i="9"/>
  <c r="Y193" i="9" s="1"/>
  <c r="Z193" i="9" s="1" a="1"/>
  <c r="Z193" i="9" s="1"/>
  <c r="AO193" i="9"/>
  <c r="X190" i="9"/>
  <c r="Y190" i="9" s="1"/>
  <c r="Z190" i="9" s="1" a="1"/>
  <c r="Z190" i="9" s="1"/>
  <c r="X188" i="9"/>
  <c r="Y188" i="9" s="1"/>
  <c r="Z188" i="9" s="1" a="1"/>
  <c r="Z188" i="9" s="1"/>
  <c r="AO188" i="9"/>
  <c r="X176" i="9"/>
  <c r="Y176" i="9" s="1"/>
  <c r="Z176" i="9" s="1" a="1"/>
  <c r="Z176" i="9" s="1"/>
  <c r="AO176" i="9"/>
  <c r="X166" i="9"/>
  <c r="Y166" i="9" s="1"/>
  <c r="Z166" i="9" s="1" a="1"/>
  <c r="Z166" i="9" s="1"/>
  <c r="AO166" i="9"/>
  <c r="X159" i="9"/>
  <c r="Y159" i="9" s="1"/>
  <c r="Z159" i="9" s="1" a="1"/>
  <c r="Z159" i="9" s="1"/>
  <c r="X158" i="9"/>
  <c r="Y158" i="9" s="1"/>
  <c r="Z158" i="9" s="1" a="1"/>
  <c r="Z158" i="9" s="1"/>
  <c r="X151" i="9"/>
  <c r="Y151" i="9" s="1"/>
  <c r="Z151" i="9" s="1" a="1"/>
  <c r="Z151" i="9" s="1"/>
  <c r="AO151" i="9"/>
  <c r="X135" i="9"/>
  <c r="Y135" i="9" s="1"/>
  <c r="Z135" i="9" s="1" a="1"/>
  <c r="Z135" i="9" s="1"/>
  <c r="X134" i="9"/>
  <c r="Y134" i="9" s="1"/>
  <c r="Z134" i="9" s="1" a="1"/>
  <c r="Z134" i="9" s="1"/>
  <c r="X132" i="9"/>
  <c r="Y132" i="9" s="1"/>
  <c r="Z132" i="9" s="1" a="1"/>
  <c r="Z132" i="9" s="1"/>
  <c r="AO132" i="9"/>
  <c r="X128" i="9"/>
  <c r="Y128" i="9" s="1"/>
  <c r="Z128" i="9" s="1" a="1"/>
  <c r="Z128" i="9" s="1"/>
  <c r="AO128" i="9"/>
  <c r="X114" i="9"/>
  <c r="Y114" i="9" s="1"/>
  <c r="AO114" i="9"/>
  <c r="X109" i="9"/>
  <c r="Y109" i="9" s="1"/>
  <c r="AO109" i="9"/>
  <c r="X105" i="9"/>
  <c r="Y105" i="9" s="1"/>
  <c r="AO105" i="9"/>
  <c r="X102" i="9"/>
  <c r="Y102" i="9" s="1"/>
  <c r="X88" i="9"/>
  <c r="Y88" i="9" s="1"/>
  <c r="AO88" i="9"/>
  <c r="X71" i="9"/>
  <c r="Y71" i="9" s="1"/>
  <c r="X61" i="9"/>
  <c r="Y61" i="9" s="1"/>
  <c r="Z61" i="9" s="1" a="1"/>
  <c r="Z61" i="9" s="1"/>
  <c r="AO61" i="9"/>
  <c r="X43" i="9"/>
  <c r="Y43" i="9" s="1"/>
  <c r="Z43" i="9" s="1" a="1"/>
  <c r="Z43" i="9" s="1"/>
  <c r="AO43" i="9"/>
  <c r="X33" i="9"/>
  <c r="Y33" i="9" s="1"/>
  <c r="Z33" i="9" s="1" a="1"/>
  <c r="Z33" i="9" s="1"/>
  <c r="AO33" i="9"/>
  <c r="AO7" i="9"/>
  <c r="X7" i="9"/>
  <c r="Y7" i="9" s="1"/>
  <c r="Z7" i="9" s="1" a="1"/>
  <c r="Z7" i="9" s="1"/>
  <c r="AI28" i="26"/>
  <c r="AI11" i="26"/>
  <c r="X861" i="9"/>
  <c r="Y861" i="9" s="1"/>
  <c r="Z861" i="9" s="1" a="1"/>
  <c r="Z861" i="9" s="1"/>
  <c r="AO861" i="9"/>
  <c r="Y843" i="9"/>
  <c r="Z843" i="9" s="1" a="1"/>
  <c r="Z843" i="9" s="1"/>
  <c r="X838" i="9"/>
  <c r="Y838" i="9" s="1"/>
  <c r="Z838" i="9" s="1" a="1"/>
  <c r="Z838" i="9" s="1"/>
  <c r="AO838" i="9"/>
  <c r="X829" i="9"/>
  <c r="Y829" i="9" s="1"/>
  <c r="Z829" i="9" s="1" a="1"/>
  <c r="Z829" i="9" s="1"/>
  <c r="AO829" i="9"/>
  <c r="X825" i="9"/>
  <c r="Y825" i="9" s="1"/>
  <c r="Z825" i="9" s="1" a="1"/>
  <c r="Z825" i="9" s="1"/>
  <c r="AO825" i="9"/>
  <c r="X802" i="9"/>
  <c r="Y802" i="9" s="1"/>
  <c r="Z802" i="9" s="1" a="1"/>
  <c r="Z802" i="9" s="1"/>
  <c r="AO802" i="9"/>
  <c r="X793" i="9"/>
  <c r="Y793" i="9" s="1"/>
  <c r="Z793" i="9" s="1" a="1"/>
  <c r="Z793" i="9" s="1"/>
  <c r="AO793" i="9"/>
  <c r="Y751" i="9"/>
  <c r="Z751" i="9" s="1" a="1"/>
  <c r="Z751" i="9" s="1"/>
  <c r="X748" i="9"/>
  <c r="Y748" i="9" s="1"/>
  <c r="Z748" i="9" s="1" a="1"/>
  <c r="Z748" i="9" s="1"/>
  <c r="X746" i="9"/>
  <c r="Y746" i="9" s="1"/>
  <c r="Z746" i="9" s="1" a="1"/>
  <c r="Z746" i="9" s="1"/>
  <c r="AO746" i="9"/>
  <c r="X742" i="9"/>
  <c r="Y742" i="9" s="1"/>
  <c r="Z742" i="9" s="1" a="1"/>
  <c r="Z742" i="9" s="1"/>
  <c r="AO742" i="9"/>
  <c r="X738" i="9"/>
  <c r="Y738" i="9" s="1"/>
  <c r="Z738" i="9" s="1" a="1"/>
  <c r="Z738" i="9" s="1"/>
  <c r="AO738" i="9"/>
  <c r="X734" i="9"/>
  <c r="Y734" i="9" s="1"/>
  <c r="Z734" i="9" s="1" a="1"/>
  <c r="Z734" i="9" s="1"/>
  <c r="AO734" i="9"/>
  <c r="X727" i="9"/>
  <c r="Y727" i="9" s="1"/>
  <c r="Z727" i="9" s="1" a="1"/>
  <c r="Z727" i="9" s="1"/>
  <c r="AO727" i="9"/>
  <c r="X691" i="9"/>
  <c r="Y691" i="9" s="1"/>
  <c r="Z691" i="9" s="1" a="1"/>
  <c r="Z691" i="9" s="1"/>
  <c r="AO691" i="9"/>
  <c r="X661" i="9"/>
  <c r="Y661" i="9" s="1"/>
  <c r="Z661" i="9" s="1" a="1"/>
  <c r="Z661" i="9" s="1"/>
  <c r="AO661" i="9"/>
  <c r="X653" i="9"/>
  <c r="Y653" i="9" s="1"/>
  <c r="Z653" i="9" s="1" a="1"/>
  <c r="Z653" i="9" s="1"/>
  <c r="AO653" i="9"/>
  <c r="X647" i="9"/>
  <c r="X642" i="9"/>
  <c r="Y642" i="9" s="1"/>
  <c r="Z642" i="9" s="1" a="1"/>
  <c r="Z642" i="9" s="1"/>
  <c r="AO642" i="9"/>
  <c r="X638" i="9"/>
  <c r="Y638" i="9" s="1"/>
  <c r="Z638" i="9" s="1" a="1"/>
  <c r="Z638" i="9" s="1"/>
  <c r="AO638" i="9"/>
  <c r="X617" i="9"/>
  <c r="Y617" i="9" s="1"/>
  <c r="Z617" i="9" s="1" a="1"/>
  <c r="Z617" i="9" s="1"/>
  <c r="AO617" i="9"/>
  <c r="X613" i="9"/>
  <c r="Y613" i="9" s="1"/>
  <c r="Z613" i="9" s="1" a="1"/>
  <c r="Z613" i="9" s="1"/>
  <c r="AO613" i="9"/>
  <c r="X580" i="9"/>
  <c r="Y580" i="9" s="1"/>
  <c r="Z580" i="9" s="1" a="1"/>
  <c r="Z580" i="9" s="1"/>
  <c r="AO580" i="9"/>
  <c r="X568" i="9"/>
  <c r="Y568" i="9" s="1"/>
  <c r="Z568" i="9" s="1" a="1"/>
  <c r="Z568" i="9" s="1"/>
  <c r="AO568" i="9"/>
  <c r="X553" i="9"/>
  <c r="Y553" i="9" s="1"/>
  <c r="Z553" i="9" s="1" a="1"/>
  <c r="Z553" i="9" s="1"/>
  <c r="AO553" i="9"/>
  <c r="X545" i="9"/>
  <c r="Y545" i="9" s="1"/>
  <c r="Z545" i="9" s="1" a="1"/>
  <c r="Z545" i="9" s="1"/>
  <c r="AO545" i="9"/>
  <c r="X530" i="9"/>
  <c r="Y530" i="9" s="1"/>
  <c r="Z530" i="9" s="1" a="1"/>
  <c r="Z530" i="9" s="1"/>
  <c r="X519" i="9"/>
  <c r="Y519" i="9" s="1"/>
  <c r="Z519" i="9" s="1" a="1"/>
  <c r="Z519" i="9" s="1"/>
  <c r="AO519" i="9"/>
  <c r="X500" i="9"/>
  <c r="Y500" i="9" s="1"/>
  <c r="Z500" i="9" s="1" a="1"/>
  <c r="Z500" i="9" s="1"/>
  <c r="AO500" i="9"/>
  <c r="X496" i="9"/>
  <c r="Y496" i="9" s="1"/>
  <c r="Z496" i="9" s="1" a="1"/>
  <c r="Z496" i="9" s="1"/>
  <c r="AO496" i="9"/>
  <c r="X491" i="9"/>
  <c r="Y491" i="9" s="1"/>
  <c r="Z491" i="9" s="1" a="1"/>
  <c r="Z491" i="9" s="1"/>
  <c r="AO491" i="9"/>
  <c r="X487" i="9"/>
  <c r="Y487" i="9" s="1"/>
  <c r="Z487" i="9" s="1" a="1"/>
  <c r="Z487" i="9" s="1"/>
  <c r="AO487" i="9"/>
  <c r="Y478" i="9"/>
  <c r="Z478" i="9" s="1" a="1"/>
  <c r="Z478" i="9" s="1"/>
  <c r="X470" i="9"/>
  <c r="Y470" i="9" s="1"/>
  <c r="Z470" i="9" s="1" a="1"/>
  <c r="Z470" i="9" s="1"/>
  <c r="AO470" i="9"/>
  <c r="X465" i="9"/>
  <c r="Y465" i="9" s="1"/>
  <c r="Z465" i="9" s="1" a="1"/>
  <c r="Z465" i="9" s="1"/>
  <c r="AO465" i="9"/>
  <c r="X458" i="9"/>
  <c r="X456" i="9"/>
  <c r="Y456" i="9" s="1"/>
  <c r="Z456" i="9" s="1" a="1"/>
  <c r="Z456" i="9" s="1"/>
  <c r="AO456" i="9"/>
  <c r="X451" i="9"/>
  <c r="Y451" i="9" s="1"/>
  <c r="Z451" i="9" s="1" a="1"/>
  <c r="Z451" i="9" s="1"/>
  <c r="AO451" i="9"/>
  <c r="X447" i="9"/>
  <c r="Y447" i="9" s="1"/>
  <c r="Z447" i="9" s="1" a="1"/>
  <c r="Z447" i="9" s="1"/>
  <c r="AO447" i="9"/>
  <c r="X438" i="9"/>
  <c r="AO438" i="9"/>
  <c r="Y430" i="9"/>
  <c r="Z430" i="9" s="1" a="1"/>
  <c r="Z430" i="9" s="1"/>
  <c r="X425" i="9"/>
  <c r="Y425" i="9" s="1"/>
  <c r="Z425" i="9" s="1" a="1"/>
  <c r="Z425" i="9" s="1"/>
  <c r="AO425" i="9"/>
  <c r="X405" i="9"/>
  <c r="Y405" i="9" s="1"/>
  <c r="Z405" i="9" s="1" a="1"/>
  <c r="Z405" i="9" s="1"/>
  <c r="AO405" i="9"/>
  <c r="X402" i="9"/>
  <c r="Y402" i="9" s="1"/>
  <c r="Z402" i="9" s="1" a="1"/>
  <c r="Z402" i="9" s="1"/>
  <c r="X395" i="9"/>
  <c r="Y395" i="9" s="1"/>
  <c r="Z395" i="9" s="1" a="1"/>
  <c r="Z395" i="9" s="1"/>
  <c r="AO395" i="9"/>
  <c r="X392" i="9"/>
  <c r="Y392" i="9" s="1"/>
  <c r="Z392" i="9" s="1" a="1"/>
  <c r="Z392" i="9" s="1"/>
  <c r="AO392" i="9"/>
  <c r="X388" i="9"/>
  <c r="Y388" i="9" s="1"/>
  <c r="Z388" i="9" s="1" a="1"/>
  <c r="Z388" i="9" s="1"/>
  <c r="X383" i="9"/>
  <c r="Y383" i="9" s="1"/>
  <c r="Z383" i="9" s="1" a="1"/>
  <c r="Z383" i="9" s="1"/>
  <c r="AO383" i="9"/>
  <c r="X378" i="9"/>
  <c r="AO378" i="9"/>
  <c r="Y367" i="9"/>
  <c r="Z367" i="9" s="1" a="1"/>
  <c r="Z367" i="9" s="1"/>
  <c r="X364" i="9"/>
  <c r="Y364" i="9" s="1"/>
  <c r="Z364" i="9" s="1" a="1"/>
  <c r="Z364" i="9" s="1"/>
  <c r="AO364" i="9"/>
  <c r="X360" i="9"/>
  <c r="Y360" i="9" s="1"/>
  <c r="Z360" i="9" s="1" a="1"/>
  <c r="Z360" i="9" s="1"/>
  <c r="AO360" i="9"/>
  <c r="X355" i="9"/>
  <c r="Y355" i="9" s="1"/>
  <c r="Z355" i="9" s="1" a="1"/>
  <c r="Z355" i="9" s="1"/>
  <c r="AO355" i="9"/>
  <c r="X343" i="9"/>
  <c r="Y343" i="9" s="1"/>
  <c r="Z343" i="9" s="1" a="1"/>
  <c r="Z343" i="9" s="1"/>
  <c r="AO343" i="9"/>
  <c r="X340" i="9"/>
  <c r="Y340" i="9" s="1"/>
  <c r="Z340" i="9" s="1" a="1"/>
  <c r="Z340" i="9" s="1"/>
  <c r="X338" i="9"/>
  <c r="Y338" i="9" s="1"/>
  <c r="Z338" i="9" s="1" a="1"/>
  <c r="Z338" i="9" s="1"/>
  <c r="AO338" i="9"/>
  <c r="X334" i="9"/>
  <c r="Y334" i="9" s="1"/>
  <c r="Z334" i="9" s="1" a="1"/>
  <c r="Z334" i="9" s="1"/>
  <c r="AO334" i="9"/>
  <c r="X325" i="9"/>
  <c r="Y325" i="9" s="1"/>
  <c r="Z325" i="9" s="1" a="1"/>
  <c r="Z325" i="9" s="1"/>
  <c r="AO325" i="9"/>
  <c r="X322" i="9"/>
  <c r="Y322" i="9" s="1"/>
  <c r="Z322" i="9" s="1" a="1"/>
  <c r="Z322" i="9" s="1"/>
  <c r="X318" i="9"/>
  <c r="Y318" i="9" s="1"/>
  <c r="Z318" i="9" s="1" a="1"/>
  <c r="Z318" i="9" s="1"/>
  <c r="AO318" i="9"/>
  <c r="Y312" i="9"/>
  <c r="Z312" i="9" s="1" a="1"/>
  <c r="Z312" i="9" s="1"/>
  <c r="X297" i="9"/>
  <c r="AO297" i="9"/>
  <c r="X288" i="9"/>
  <c r="Y288" i="9" s="1"/>
  <c r="Z288" i="9" s="1" a="1"/>
  <c r="Z288" i="9" s="1"/>
  <c r="X286" i="9"/>
  <c r="Y286" i="9" s="1"/>
  <c r="Z286" i="9" s="1" a="1"/>
  <c r="Z286" i="9" s="1"/>
  <c r="AO286" i="9"/>
  <c r="X277" i="9"/>
  <c r="Y277" i="9" s="1"/>
  <c r="Z277" i="9" s="1" a="1"/>
  <c r="Z277" i="9" s="1"/>
  <c r="AO277" i="9"/>
  <c r="X269" i="9"/>
  <c r="Y269" i="9" s="1"/>
  <c r="Z269" i="9" s="1" a="1"/>
  <c r="Z269" i="9" s="1"/>
  <c r="AO269" i="9"/>
  <c r="X261" i="9"/>
  <c r="Y261" i="9" s="1"/>
  <c r="Z261" i="9" s="1" a="1"/>
  <c r="Z261" i="9" s="1"/>
  <c r="AO261" i="9"/>
  <c r="X250" i="9"/>
  <c r="Y250" i="9" s="1"/>
  <c r="Z250" i="9" s="1" a="1"/>
  <c r="Z250" i="9" s="1"/>
  <c r="X239" i="9"/>
  <c r="Y239" i="9" s="1"/>
  <c r="Z239" i="9" s="1" a="1"/>
  <c r="Z239" i="9" s="1"/>
  <c r="AO239" i="9"/>
  <c r="X228" i="9"/>
  <c r="Y228" i="9" s="1"/>
  <c r="Z228" i="9" s="1" a="1"/>
  <c r="Z228" i="9" s="1"/>
  <c r="AO228" i="9"/>
  <c r="X223" i="9"/>
  <c r="Y223" i="9" s="1"/>
  <c r="Z223" i="9" s="1" a="1"/>
  <c r="Z223" i="9" s="1"/>
  <c r="AO223" i="9"/>
  <c r="X210" i="9"/>
  <c r="Y210" i="9" s="1"/>
  <c r="Z210" i="9" s="1" a="1"/>
  <c r="Z210" i="9" s="1"/>
  <c r="AO210" i="9"/>
  <c r="X197" i="9"/>
  <c r="Y197" i="9" s="1"/>
  <c r="Z197" i="9" s="1" a="1"/>
  <c r="Z197" i="9" s="1"/>
  <c r="AO197" i="9"/>
  <c r="X185" i="9"/>
  <c r="Y185" i="9" s="1"/>
  <c r="Z185" i="9" s="1" a="1"/>
  <c r="Z185" i="9" s="1"/>
  <c r="AO185" i="9"/>
  <c r="X182" i="9"/>
  <c r="Y182" i="9" s="1"/>
  <c r="Z182" i="9" s="1" a="1"/>
  <c r="Z182" i="9" s="1"/>
  <c r="X180" i="9"/>
  <c r="Y180" i="9" s="1"/>
  <c r="Z180" i="9" s="1" a="1"/>
  <c r="Z180" i="9" s="1"/>
  <c r="AO180" i="9"/>
  <c r="X172" i="9"/>
  <c r="Y172" i="9" s="1"/>
  <c r="Z172" i="9" s="1" a="1"/>
  <c r="Z172" i="9" s="1"/>
  <c r="AO172" i="9"/>
  <c r="X162" i="9"/>
  <c r="Y162" i="9" s="1"/>
  <c r="Z162" i="9" s="1" a="1"/>
  <c r="Z162" i="9" s="1"/>
  <c r="AO162" i="9"/>
  <c r="X157" i="9"/>
  <c r="Y157" i="9" s="1"/>
  <c r="Z157" i="9" s="1" a="1"/>
  <c r="Z157" i="9" s="1"/>
  <c r="AO157" i="9"/>
  <c r="X155" i="9"/>
  <c r="Y155" i="9" s="1"/>
  <c r="Z155" i="9" s="1" a="1"/>
  <c r="Z155" i="9" s="1"/>
  <c r="X154" i="9"/>
  <c r="Y154" i="9" s="1"/>
  <c r="Z154" i="9" s="1" a="1"/>
  <c r="Z154" i="9" s="1"/>
  <c r="X138" i="9"/>
  <c r="Y138" i="9" s="1"/>
  <c r="Z138" i="9" s="1" a="1"/>
  <c r="Z138" i="9" s="1"/>
  <c r="AO138" i="9"/>
  <c r="X124" i="9"/>
  <c r="Y124" i="9" s="1"/>
  <c r="Z124" i="9" s="1" a="1"/>
  <c r="Z124" i="9" s="1"/>
  <c r="AO124" i="9"/>
  <c r="X103" i="9"/>
  <c r="Y103" i="9" s="1"/>
  <c r="X101" i="9"/>
  <c r="Y101" i="9" s="1"/>
  <c r="AO101" i="9"/>
  <c r="X95" i="9"/>
  <c r="Y95" i="9" s="1"/>
  <c r="X94" i="9"/>
  <c r="Y94" i="9" s="1"/>
  <c r="X85" i="9"/>
  <c r="Y85" i="9" s="1"/>
  <c r="AO85" i="9"/>
  <c r="X81" i="9"/>
  <c r="Y81" i="9" s="1"/>
  <c r="AO81" i="9"/>
  <c r="X51" i="9"/>
  <c r="Y51" i="9" s="1"/>
  <c r="Z51" i="9" s="1" a="1"/>
  <c r="Z51" i="9" s="1"/>
  <c r="AO51" i="9"/>
  <c r="X40" i="9"/>
  <c r="Y40" i="9" s="1"/>
  <c r="Z40" i="9" s="1" a="1"/>
  <c r="Z40" i="9" s="1"/>
  <c r="AO40" i="9"/>
  <c r="X37" i="9"/>
  <c r="Y37" i="9" s="1"/>
  <c r="Z37" i="9" s="1" a="1"/>
  <c r="Z37" i="9" s="1"/>
  <c r="AO37" i="9"/>
  <c r="X83" i="9"/>
  <c r="Y83" i="9" s="1"/>
  <c r="AO83" i="9"/>
  <c r="X78" i="9"/>
  <c r="Y78" i="9" s="1"/>
  <c r="AO78" i="9"/>
  <c r="X66" i="9"/>
  <c r="Y66" i="9" s="1"/>
  <c r="AO66" i="9"/>
  <c r="X54" i="9"/>
  <c r="Y54" i="9" s="1"/>
  <c r="Z54" i="9" s="1" a="1"/>
  <c r="Z54" i="9" s="1"/>
  <c r="X52" i="9"/>
  <c r="Y52" i="9" s="1"/>
  <c r="Z52" i="9" s="1" a="1"/>
  <c r="Z52" i="9" s="1"/>
  <c r="AO52" i="9"/>
  <c r="X48" i="9"/>
  <c r="Y48" i="9" s="1"/>
  <c r="Z48" i="9" s="1" a="1"/>
  <c r="Z48" i="9" s="1"/>
  <c r="AO48" i="9"/>
  <c r="X20" i="9"/>
  <c r="Y20" i="9" s="1"/>
  <c r="Z20" i="9" s="1" a="1"/>
  <c r="Z20" i="9" s="1"/>
  <c r="AO20" i="9"/>
  <c r="X97" i="9"/>
  <c r="Y97" i="9" s="1"/>
  <c r="AO97" i="9"/>
  <c r="X92" i="9"/>
  <c r="Y92" i="9" s="1"/>
  <c r="AO92" i="9"/>
  <c r="X70" i="9"/>
  <c r="Y70" i="9" s="1"/>
  <c r="AO70" i="9"/>
  <c r="X58" i="9"/>
  <c r="Y58" i="9" s="1"/>
  <c r="Z58" i="9" s="1" a="1"/>
  <c r="Z58" i="9" s="1"/>
  <c r="AO58" i="9"/>
  <c r="X34" i="9"/>
  <c r="Y34" i="9" s="1"/>
  <c r="Z34" i="9" s="1" a="1"/>
  <c r="Z34" i="9" s="1"/>
  <c r="AO34" i="9"/>
  <c r="X29" i="9"/>
  <c r="Y29" i="9" s="1"/>
  <c r="Z29" i="9" s="1" a="1"/>
  <c r="Z29" i="9" s="1"/>
  <c r="AO29" i="9"/>
  <c r="X25" i="9"/>
  <c r="Y25" i="9" s="1"/>
  <c r="Z25" i="9" s="1" a="1"/>
  <c r="Z25" i="9" s="1"/>
  <c r="AO25" i="9"/>
  <c r="X17" i="9"/>
  <c r="Y17" i="9" s="1"/>
  <c r="Z17" i="9" s="1" a="1"/>
  <c r="Z17" i="9" s="1"/>
  <c r="AO17" i="9"/>
  <c r="X12" i="9"/>
  <c r="Y12" i="9" s="1"/>
  <c r="Z12" i="9" s="1" a="1"/>
  <c r="Z12" i="9" s="1"/>
  <c r="AO12" i="9"/>
  <c r="X49" i="9"/>
  <c r="Y49" i="9" s="1"/>
  <c r="Z49" i="9" s="1" a="1"/>
  <c r="Z49" i="9" s="1"/>
  <c r="AO49" i="9"/>
  <c r="X23" i="9"/>
  <c r="Y23" i="9" s="1"/>
  <c r="Z23" i="9" s="1" a="1"/>
  <c r="Z23" i="9" s="1"/>
  <c r="X21" i="9"/>
  <c r="Y21" i="9" s="1"/>
  <c r="Z21" i="9" s="1" a="1"/>
  <c r="Z21" i="9" s="1"/>
  <c r="AO21" i="9"/>
  <c r="X15" i="9"/>
  <c r="Y15" i="9" s="1"/>
  <c r="Z15" i="9" s="1" a="1"/>
  <c r="Z15" i="9" s="1"/>
  <c r="X9" i="9"/>
  <c r="Y9" i="9" s="1"/>
  <c r="Z9" i="9" s="1" a="1"/>
  <c r="Z9" i="9" s="1"/>
  <c r="AO9" i="9"/>
  <c r="X93" i="9"/>
  <c r="Y93" i="9" s="1"/>
  <c r="AO93" i="9"/>
  <c r="X89" i="9"/>
  <c r="Y89" i="9" s="1"/>
  <c r="AO89" i="9"/>
  <c r="X76" i="9"/>
  <c r="Y76" i="9" s="1"/>
  <c r="AO76" i="9"/>
  <c r="X47" i="9"/>
  <c r="Y47" i="9" s="1"/>
  <c r="Z47" i="9" s="1" a="1"/>
  <c r="Z47" i="9" s="1"/>
  <c r="X44" i="9"/>
  <c r="Y44" i="9" s="1"/>
  <c r="Z44" i="9" s="1" a="1"/>
  <c r="Z44" i="9" s="1"/>
  <c r="AO44" i="9"/>
  <c r="X26" i="9"/>
  <c r="Y26" i="9" s="1"/>
  <c r="Z26" i="9" s="1" a="1"/>
  <c r="Z26" i="9" s="1"/>
  <c r="AO26" i="9"/>
  <c r="X13" i="9"/>
  <c r="Y13" i="9" s="1"/>
  <c r="Z13" i="9" s="1" a="1"/>
  <c r="Z13" i="9" s="1"/>
  <c r="AO13" i="9"/>
  <c r="X6" i="9"/>
  <c r="Y6" i="9" s="1"/>
  <c r="Z6" i="9" s="1" a="1"/>
  <c r="Z6" i="9" s="1"/>
  <c r="X50" i="9"/>
  <c r="Y50" i="9" s="1"/>
  <c r="Z50" i="9" s="1" a="1"/>
  <c r="Z50" i="9" s="1"/>
  <c r="AO50" i="9"/>
  <c r="X18" i="9"/>
  <c r="Y18" i="9" s="1"/>
  <c r="Z18" i="9" s="1" a="1"/>
  <c r="Z18" i="9" s="1"/>
  <c r="AO18" i="9"/>
  <c r="X90" i="9"/>
  <c r="Y90" i="9" s="1"/>
  <c r="AO90" i="9"/>
  <c r="X77" i="9"/>
  <c r="Y77" i="9" s="1"/>
  <c r="AO77" i="9"/>
  <c r="X73" i="9"/>
  <c r="Y73" i="9" s="1"/>
  <c r="AO73" i="9"/>
  <c r="X60" i="9"/>
  <c r="Y60" i="9" s="1"/>
  <c r="Z60" i="9" s="1" a="1"/>
  <c r="Z60" i="9" s="1"/>
  <c r="AO60" i="9"/>
  <c r="X45" i="9"/>
  <c r="Y45" i="9" s="1"/>
  <c r="Z45" i="9" s="1" a="1"/>
  <c r="Z45" i="9" s="1"/>
  <c r="AO45" i="9"/>
  <c r="X41" i="9"/>
  <c r="Y41" i="9" s="1"/>
  <c r="Z41" i="9" s="1" a="1"/>
  <c r="Z41" i="9" s="1"/>
  <c r="AO41" i="9"/>
  <c r="X36" i="9"/>
  <c r="Y36" i="9" s="1"/>
  <c r="Z36" i="9" s="1" a="1"/>
  <c r="Z36" i="9" s="1"/>
  <c r="AO36" i="9"/>
  <c r="Y30" i="9"/>
  <c r="Z30" i="9" s="1" a="1"/>
  <c r="Z30" i="9" s="1"/>
  <c r="X22" i="9"/>
  <c r="Y22" i="9" s="1"/>
  <c r="Z22" i="9" s="1" a="1"/>
  <c r="Z22" i="9" s="1"/>
  <c r="AO22" i="9"/>
  <c r="X10" i="9"/>
  <c r="Y10" i="9" s="1"/>
  <c r="Z10" i="9" s="1" a="1"/>
  <c r="Z10" i="9" s="1"/>
  <c r="AO10" i="9"/>
  <c r="X65" i="9"/>
  <c r="Y65" i="9" s="1"/>
  <c r="AO65" i="9"/>
  <c r="X38" i="9"/>
  <c r="Y38" i="9" s="1"/>
  <c r="Z38" i="9" s="1" a="1"/>
  <c r="Z38" i="9" s="1"/>
  <c r="X16" i="9"/>
  <c r="Y16" i="9" s="1"/>
  <c r="Z16" i="9" s="1" a="1"/>
  <c r="Z16" i="9" s="1"/>
  <c r="AO16" i="9"/>
  <c r="X11" i="9"/>
  <c r="Y11" i="9" s="1"/>
  <c r="Z11" i="9" s="1" a="1"/>
  <c r="Z11" i="9" s="1"/>
  <c r="AO11" i="9"/>
  <c r="AP858" i="9"/>
  <c r="AQ858" i="9" s="1"/>
  <c r="AC858" i="9"/>
  <c r="AB858" i="9"/>
  <c r="AP853" i="9"/>
  <c r="AQ853" i="9" s="1"/>
  <c r="AB853" i="9"/>
  <c r="AC853" i="9"/>
  <c r="AV848" i="9"/>
  <c r="AP848" i="9"/>
  <c r="AQ848" i="9" s="1"/>
  <c r="AB848" i="9"/>
  <c r="AC848" i="9"/>
  <c r="AP831" i="9"/>
  <c r="AQ831" i="9" s="1"/>
  <c r="AB831" i="9"/>
  <c r="AC831" i="9"/>
  <c r="AP816" i="9"/>
  <c r="AQ816" i="9" s="1"/>
  <c r="AB816" i="9"/>
  <c r="AC816" i="9"/>
  <c r="AP807" i="9"/>
  <c r="AQ807" i="9" s="1"/>
  <c r="AB807" i="9"/>
  <c r="AC807" i="9"/>
  <c r="AP800" i="9"/>
  <c r="AQ800" i="9" s="1"/>
  <c r="AC800" i="9"/>
  <c r="AB800" i="9"/>
  <c r="AV793" i="9"/>
  <c r="AP793" i="9"/>
  <c r="AQ793" i="9" s="1"/>
  <c r="AB793" i="9"/>
  <c r="AP791" i="9"/>
  <c r="AQ791" i="9" s="1"/>
  <c r="AB791" i="9"/>
  <c r="AC791" i="9"/>
  <c r="AP782" i="9"/>
  <c r="AQ782" i="9" s="1"/>
  <c r="AC782" i="9"/>
  <c r="AB782" i="9"/>
  <c r="AP780" i="9"/>
  <c r="AQ780" i="9" s="1"/>
  <c r="AB780" i="9"/>
  <c r="AP776" i="9"/>
  <c r="AQ776" i="9" s="1"/>
  <c r="AC776" i="9"/>
  <c r="AP769" i="9"/>
  <c r="AQ769" i="9" s="1"/>
  <c r="AB769" i="9"/>
  <c r="AC769" i="9"/>
  <c r="AP767" i="9"/>
  <c r="AQ767" i="9" s="1"/>
  <c r="AB767" i="9"/>
  <c r="AP760" i="9"/>
  <c r="AQ760" i="9" s="1"/>
  <c r="AC760" i="9"/>
  <c r="AB760" i="9"/>
  <c r="AP753" i="9"/>
  <c r="AQ753" i="9" s="1"/>
  <c r="AB753" i="9"/>
  <c r="AC753" i="9"/>
  <c r="AP751" i="9"/>
  <c r="AQ751" i="9" s="1"/>
  <c r="AB751" i="9"/>
  <c r="AC751" i="9"/>
  <c r="AP744" i="9"/>
  <c r="AQ744" i="9" s="1"/>
  <c r="AC744" i="9"/>
  <c r="AB744" i="9"/>
  <c r="AV737" i="9"/>
  <c r="AP737" i="9"/>
  <c r="AQ737" i="9" s="1"/>
  <c r="AB737" i="9"/>
  <c r="AC737" i="9"/>
  <c r="AP735" i="9"/>
  <c r="AQ735" i="9" s="1"/>
  <c r="AB735" i="9"/>
  <c r="AC735" i="9"/>
  <c r="AP728" i="9"/>
  <c r="AQ728" i="9" s="1"/>
  <c r="AC728" i="9"/>
  <c r="AB728" i="9"/>
  <c r="AV721" i="9"/>
  <c r="AP721" i="9"/>
  <c r="AQ721" i="9" s="1"/>
  <c r="AB721" i="9"/>
  <c r="AC721" i="9"/>
  <c r="AP719" i="9"/>
  <c r="AQ719" i="9" s="1"/>
  <c r="AB719" i="9"/>
  <c r="AC719" i="9"/>
  <c r="AP712" i="9"/>
  <c r="AQ712" i="9" s="1"/>
  <c r="AC712" i="9"/>
  <c r="AV705" i="9"/>
  <c r="AP705" i="9"/>
  <c r="AQ705" i="9" s="1"/>
  <c r="AB705" i="9"/>
  <c r="AC705" i="9"/>
  <c r="AV698" i="9"/>
  <c r="AP698" i="9"/>
  <c r="AQ698" i="9" s="1"/>
  <c r="AC698" i="9"/>
  <c r="AB698" i="9"/>
  <c r="AV693" i="9"/>
  <c r="AP693" i="9"/>
  <c r="AQ693" i="9" s="1"/>
  <c r="AB693" i="9"/>
  <c r="AC693" i="9"/>
  <c r="AP691" i="9"/>
  <c r="AQ691" i="9" s="1"/>
  <c r="AB691" i="9"/>
  <c r="AC691" i="9"/>
  <c r="AP688" i="9"/>
  <c r="AQ688" i="9" s="1"/>
  <c r="AC688" i="9"/>
  <c r="AB688" i="9"/>
  <c r="AP683" i="9"/>
  <c r="AQ683" i="9" s="1"/>
  <c r="AB683" i="9"/>
  <c r="AC683" i="9"/>
  <c r="AP681" i="9"/>
  <c r="AQ681" i="9" s="1"/>
  <c r="AB681" i="9"/>
  <c r="AC681" i="9"/>
  <c r="AP674" i="9"/>
  <c r="AQ674" i="9" s="1"/>
  <c r="AC674" i="9"/>
  <c r="AB674" i="9"/>
  <c r="AP663" i="9"/>
  <c r="AQ663" i="9" s="1"/>
  <c r="AB663" i="9"/>
  <c r="AC663" i="9"/>
  <c r="AP661" i="9"/>
  <c r="AQ661" i="9" s="1"/>
  <c r="AB661" i="9"/>
  <c r="AC661" i="9"/>
  <c r="AP652" i="9"/>
  <c r="AQ652" i="9" s="1"/>
  <c r="AB652" i="9"/>
  <c r="AC652" i="9"/>
  <c r="AV634" i="9"/>
  <c r="AP634" i="9"/>
  <c r="AQ634" i="9" s="1"/>
  <c r="AC634" i="9"/>
  <c r="AP629" i="9"/>
  <c r="AQ629" i="9" s="1"/>
  <c r="AB629" i="9"/>
  <c r="AC629" i="9"/>
  <c r="AV620" i="9"/>
  <c r="AP620" i="9"/>
  <c r="AQ620" i="9" s="1"/>
  <c r="AB620" i="9"/>
  <c r="AP613" i="9"/>
  <c r="AQ613" i="9" s="1"/>
  <c r="AB613" i="9"/>
  <c r="AC613" i="9"/>
  <c r="AP606" i="9"/>
  <c r="AQ606" i="9" s="1"/>
  <c r="AC606" i="9"/>
  <c r="AP599" i="9"/>
  <c r="AQ599" i="9" s="1"/>
  <c r="AC599" i="9"/>
  <c r="AV592" i="9"/>
  <c r="AP592" i="9"/>
  <c r="AQ592" i="9" s="1"/>
  <c r="AB592" i="9"/>
  <c r="AC592" i="9"/>
  <c r="AP581" i="9"/>
  <c r="AQ581" i="9" s="1"/>
  <c r="AB581" i="9"/>
  <c r="AC581" i="9"/>
  <c r="AP565" i="9"/>
  <c r="AQ565" i="9" s="1"/>
  <c r="AC565" i="9"/>
  <c r="AB565" i="9"/>
  <c r="AP556" i="9"/>
  <c r="AQ556" i="9" s="1"/>
  <c r="AC556" i="9"/>
  <c r="AB556" i="9"/>
  <c r="AP549" i="9"/>
  <c r="AQ549" i="9" s="1"/>
  <c r="AC549" i="9"/>
  <c r="AB549" i="9"/>
  <c r="AP533" i="9"/>
  <c r="AQ533" i="9" s="1"/>
  <c r="AB533" i="9"/>
  <c r="AC533" i="9"/>
  <c r="AP526" i="9"/>
  <c r="AQ526" i="9" s="1"/>
  <c r="AB526" i="9"/>
  <c r="AC526" i="9"/>
  <c r="AP524" i="9"/>
  <c r="AQ524" i="9" s="1"/>
  <c r="AB524" i="9"/>
  <c r="AC524" i="9"/>
  <c r="AP517" i="9"/>
  <c r="AQ517" i="9" s="1"/>
  <c r="AB517" i="9"/>
  <c r="AC517" i="9"/>
  <c r="AC515" i="9"/>
  <c r="AP515" i="9"/>
  <c r="AQ515" i="9" s="1"/>
  <c r="AB515" i="9"/>
  <c r="AP506" i="9"/>
  <c r="AQ506" i="9" s="1"/>
  <c r="AB506" i="9"/>
  <c r="AC506" i="9"/>
  <c r="AP497" i="9"/>
  <c r="AQ497" i="9" s="1"/>
  <c r="AC497" i="9"/>
  <c r="AB497" i="9"/>
  <c r="AP492" i="9"/>
  <c r="AQ492" i="9" s="1"/>
  <c r="AB492" i="9"/>
  <c r="AC492" i="9"/>
  <c r="AV478" i="9"/>
  <c r="AP478" i="9"/>
  <c r="AQ478" i="9" s="1"/>
  <c r="AB478" i="9"/>
  <c r="AP461" i="9"/>
  <c r="AQ461" i="9" s="1"/>
  <c r="AC461" i="9"/>
  <c r="AB461" i="9"/>
  <c r="AB459" i="9"/>
  <c r="AP459" i="9"/>
  <c r="AQ459" i="9" s="1"/>
  <c r="AC459" i="9"/>
  <c r="AP452" i="9"/>
  <c r="AQ452" i="9" s="1"/>
  <c r="AC452" i="9"/>
  <c r="AB452" i="9"/>
  <c r="AP450" i="9"/>
  <c r="AQ450" i="9" s="1"/>
  <c r="AB450" i="9"/>
  <c r="AC450" i="9"/>
  <c r="AV438" i="9"/>
  <c r="AP438" i="9"/>
  <c r="AQ438" i="9" s="1"/>
  <c r="AB438" i="9"/>
  <c r="AC438" i="9"/>
  <c r="AV431" i="9"/>
  <c r="AP431" i="9"/>
  <c r="AQ431" i="9" s="1"/>
  <c r="AC431" i="9"/>
  <c r="AB431" i="9"/>
  <c r="AP422" i="9"/>
  <c r="AQ422" i="9" s="1"/>
  <c r="AB422" i="9"/>
  <c r="AC422" i="9"/>
  <c r="AP409" i="9"/>
  <c r="AQ409" i="9" s="1"/>
  <c r="AB409" i="9"/>
  <c r="AC409" i="9"/>
  <c r="AV407" i="9"/>
  <c r="AP407" i="9"/>
  <c r="AQ407" i="9" s="1"/>
  <c r="AC407" i="9"/>
  <c r="AB407" i="9"/>
  <c r="AP402" i="9"/>
  <c r="AQ402" i="9" s="1"/>
  <c r="AB402" i="9"/>
  <c r="AC402" i="9"/>
  <c r="AP397" i="9"/>
  <c r="AQ397" i="9" s="1"/>
  <c r="AC397" i="9"/>
  <c r="AB397" i="9"/>
  <c r="AP381" i="9"/>
  <c r="AQ381" i="9" s="1"/>
  <c r="AB381" i="9"/>
  <c r="AC381" i="9"/>
  <c r="AV372" i="9"/>
  <c r="AP372" i="9"/>
  <c r="AQ372" i="9" s="1"/>
  <c r="AC372" i="9"/>
  <c r="AB372" i="9"/>
  <c r="AP365" i="9"/>
  <c r="AQ365" i="9" s="1"/>
  <c r="AB365" i="9"/>
  <c r="AC365" i="9"/>
  <c r="AP353" i="9"/>
  <c r="AQ353" i="9" s="1"/>
  <c r="AC353" i="9"/>
  <c r="AB353" i="9"/>
  <c r="AP344" i="9"/>
  <c r="AQ344" i="9" s="1"/>
  <c r="AC344" i="9"/>
  <c r="AB344" i="9"/>
  <c r="AP342" i="9"/>
  <c r="AQ342" i="9" s="1"/>
  <c r="AB342" i="9"/>
  <c r="AC342" i="9"/>
  <c r="AP340" i="9"/>
  <c r="AQ340" i="9" s="1"/>
  <c r="AC340" i="9"/>
  <c r="AB340" i="9"/>
  <c r="AV295" i="9"/>
  <c r="AP295" i="9"/>
  <c r="AQ295" i="9" s="1"/>
  <c r="AC295" i="9"/>
  <c r="AB295" i="9"/>
  <c r="AP293" i="9"/>
  <c r="AQ293" i="9" s="1"/>
  <c r="AC293" i="9"/>
  <c r="AP281" i="9"/>
  <c r="AQ281" i="9" s="1"/>
  <c r="AB281" i="9"/>
  <c r="AC281" i="9"/>
  <c r="AP262" i="9"/>
  <c r="AQ262" i="9" s="1"/>
  <c r="AC262" i="9"/>
  <c r="AB262" i="9"/>
  <c r="AV255" i="9"/>
  <c r="AP255" i="9"/>
  <c r="AQ255" i="9" s="1"/>
  <c r="AB255" i="9"/>
  <c r="AC255" i="9"/>
  <c r="AV250" i="9"/>
  <c r="AP250" i="9"/>
  <c r="AQ250" i="9" s="1"/>
  <c r="AC250" i="9"/>
  <c r="AB250" i="9"/>
  <c r="AP248" i="9"/>
  <c r="AQ248" i="9" s="1"/>
  <c r="AB248" i="9"/>
  <c r="AC248" i="9"/>
  <c r="AP246" i="9"/>
  <c r="AQ246" i="9" s="1"/>
  <c r="AC246" i="9"/>
  <c r="AB246" i="9"/>
  <c r="AP244" i="9"/>
  <c r="AQ244" i="9" s="1"/>
  <c r="AC244" i="9"/>
  <c r="AB244" i="9"/>
  <c r="AP222" i="9"/>
  <c r="AQ222" i="9" s="1"/>
  <c r="AC222" i="9"/>
  <c r="AB222" i="9"/>
  <c r="AP219" i="9"/>
  <c r="AQ219" i="9" s="1"/>
  <c r="AC219" i="9"/>
  <c r="AB219" i="9"/>
  <c r="AP214" i="9"/>
  <c r="AQ214" i="9" s="1"/>
  <c r="AB214" i="9"/>
  <c r="AC214" i="9"/>
  <c r="AP206" i="9"/>
  <c r="AQ206" i="9" s="1"/>
  <c r="AB206" i="9"/>
  <c r="AC206" i="9"/>
  <c r="AP201" i="9"/>
  <c r="AQ201" i="9" s="1"/>
  <c r="AB201" i="9"/>
  <c r="AC201" i="9"/>
  <c r="AP191" i="9"/>
  <c r="AQ191" i="9" s="1"/>
  <c r="AB191" i="9"/>
  <c r="AC191" i="9"/>
  <c r="AP188" i="9"/>
  <c r="AQ188" i="9" s="1"/>
  <c r="AB188" i="9"/>
  <c r="AC188" i="9"/>
  <c r="AP186" i="9"/>
  <c r="AQ186" i="9" s="1"/>
  <c r="AC186" i="9"/>
  <c r="AB186" i="9"/>
  <c r="AP183" i="9"/>
  <c r="AQ183" i="9" s="1"/>
  <c r="AB183" i="9"/>
  <c r="AC183" i="9"/>
  <c r="AP180" i="9"/>
  <c r="AQ180" i="9" s="1"/>
  <c r="AB180" i="9"/>
  <c r="AC180" i="9"/>
  <c r="AP178" i="9"/>
  <c r="AQ178" i="9" s="1"/>
  <c r="AC178" i="9"/>
  <c r="AB178" i="9"/>
  <c r="AP167" i="9"/>
  <c r="AQ167" i="9" s="1"/>
  <c r="AB167" i="9"/>
  <c r="AC167" i="9"/>
  <c r="AP164" i="9"/>
  <c r="AQ164" i="9" s="1"/>
  <c r="AB164" i="9"/>
  <c r="AC164" i="9"/>
  <c r="AP162" i="9"/>
  <c r="AQ162" i="9" s="1"/>
  <c r="AC162" i="9"/>
  <c r="AB162" i="9"/>
  <c r="AP159" i="9"/>
  <c r="AQ159" i="9" s="1"/>
  <c r="AC159" i="9"/>
  <c r="AB159" i="9"/>
  <c r="AP156" i="9"/>
  <c r="AQ156" i="9" s="1"/>
  <c r="AB156" i="9"/>
  <c r="AC156" i="9"/>
  <c r="AP154" i="9"/>
  <c r="AQ154" i="9" s="1"/>
  <c r="AC154" i="9"/>
  <c r="AB154" i="9"/>
  <c r="AP148" i="9"/>
  <c r="AQ148" i="9" s="1"/>
  <c r="AB148" i="9"/>
  <c r="AC148" i="9"/>
  <c r="AP137" i="9"/>
  <c r="AQ137" i="9" s="1"/>
  <c r="AB137" i="9"/>
  <c r="AC137" i="9"/>
  <c r="AP134" i="9"/>
  <c r="AQ134" i="9" s="1"/>
  <c r="AB134" i="9"/>
  <c r="AC134" i="9"/>
  <c r="AP129" i="9"/>
  <c r="AQ129" i="9" s="1"/>
  <c r="AC129" i="9"/>
  <c r="AB129" i="9"/>
  <c r="AC107" i="9"/>
  <c r="AP107" i="9"/>
  <c r="AQ107" i="9" s="1"/>
  <c r="AB107" i="9"/>
  <c r="AD107" i="9"/>
  <c r="AP96" i="9"/>
  <c r="AQ96" i="9" s="1"/>
  <c r="AD96" i="9"/>
  <c r="AB96" i="9"/>
  <c r="AC96" i="9"/>
  <c r="AP82" i="9"/>
  <c r="AQ82" i="9" s="1"/>
  <c r="AB82" i="9"/>
  <c r="AC82" i="9"/>
  <c r="AD82" i="9"/>
  <c r="AP66" i="9"/>
  <c r="AQ66" i="9" s="1"/>
  <c r="AB66" i="9"/>
  <c r="AC66" i="9"/>
  <c r="AD66" i="9"/>
  <c r="AP55" i="9"/>
  <c r="AQ55" i="9" s="1"/>
  <c r="AC55" i="9"/>
  <c r="AB55" i="9"/>
  <c r="AB293" i="9"/>
  <c r="AP860" i="9"/>
  <c r="AQ860" i="9" s="1"/>
  <c r="AB860" i="9"/>
  <c r="AC860" i="9"/>
  <c r="AP843" i="9"/>
  <c r="AQ843" i="9" s="1"/>
  <c r="AC843" i="9"/>
  <c r="AV838" i="9"/>
  <c r="AP838" i="9"/>
  <c r="AQ838" i="9" s="1"/>
  <c r="AC838" i="9"/>
  <c r="AB838" i="9"/>
  <c r="AV833" i="9"/>
  <c r="AP833" i="9"/>
  <c r="AQ833" i="9" s="1"/>
  <c r="AB833" i="9"/>
  <c r="AC833" i="9"/>
  <c r="AP828" i="9"/>
  <c r="AQ828" i="9" s="1"/>
  <c r="AB828" i="9"/>
  <c r="AC828" i="9"/>
  <c r="AP823" i="9"/>
  <c r="AQ823" i="9" s="1"/>
  <c r="AB823" i="9"/>
  <c r="AC823" i="9"/>
  <c r="AP818" i="9"/>
  <c r="AQ818" i="9" s="1"/>
  <c r="AC818" i="9"/>
  <c r="AP809" i="9"/>
  <c r="AQ809" i="9" s="1"/>
  <c r="AB809" i="9"/>
  <c r="AC809" i="9"/>
  <c r="AP802" i="9"/>
  <c r="AQ802" i="9" s="1"/>
  <c r="AC802" i="9"/>
  <c r="AB802" i="9"/>
  <c r="AP786" i="9"/>
  <c r="AQ786" i="9" s="1"/>
  <c r="AC786" i="9"/>
  <c r="AB786" i="9"/>
  <c r="AP784" i="9"/>
  <c r="AQ784" i="9" s="1"/>
  <c r="AC784" i="9"/>
  <c r="AB784" i="9"/>
  <c r="AV762" i="9"/>
  <c r="AP762" i="9"/>
  <c r="AQ762" i="9" s="1"/>
  <c r="AC762" i="9"/>
  <c r="AB762" i="9"/>
  <c r="AV746" i="9"/>
  <c r="AP746" i="9"/>
  <c r="AQ746" i="9" s="1"/>
  <c r="AC746" i="9"/>
  <c r="AV730" i="9"/>
  <c r="AP730" i="9"/>
  <c r="AQ730" i="9" s="1"/>
  <c r="AC730" i="9"/>
  <c r="AB730" i="9"/>
  <c r="AV714" i="9"/>
  <c r="AP714" i="9"/>
  <c r="AQ714" i="9" s="1"/>
  <c r="AC714" i="9"/>
  <c r="AB714" i="9"/>
  <c r="AP700" i="9"/>
  <c r="AQ700" i="9" s="1"/>
  <c r="AB700" i="9"/>
  <c r="AC700" i="9"/>
  <c r="AP685" i="9"/>
  <c r="AQ685" i="9" s="1"/>
  <c r="AB685" i="9"/>
  <c r="AC685" i="9"/>
  <c r="AP676" i="9"/>
  <c r="AQ676" i="9" s="1"/>
  <c r="AB676" i="9"/>
  <c r="AC676" i="9"/>
  <c r="AP665" i="9"/>
  <c r="AQ665" i="9" s="1"/>
  <c r="AB665" i="9"/>
  <c r="AP656" i="9"/>
  <c r="AQ656" i="9" s="1"/>
  <c r="AB656" i="9"/>
  <c r="AC656" i="9"/>
  <c r="AP654" i="9"/>
  <c r="AQ654" i="9" s="1"/>
  <c r="AC654" i="9"/>
  <c r="AB654" i="9"/>
  <c r="AP643" i="9"/>
  <c r="AQ643" i="9" s="1"/>
  <c r="AB643" i="9"/>
  <c r="AC643" i="9"/>
  <c r="AV636" i="9"/>
  <c r="AP636" i="9"/>
  <c r="AQ636" i="9" s="1"/>
  <c r="AB636" i="9"/>
  <c r="AC636" i="9"/>
  <c r="AP631" i="9"/>
  <c r="AQ631" i="9" s="1"/>
  <c r="AB631" i="9"/>
  <c r="AC631" i="9"/>
  <c r="AP624" i="9"/>
  <c r="AQ624" i="9" s="1"/>
  <c r="AB624" i="9"/>
  <c r="AC624" i="9"/>
  <c r="AP622" i="9"/>
  <c r="AQ622" i="9" s="1"/>
  <c r="AC622" i="9"/>
  <c r="AB622" i="9"/>
  <c r="AP608" i="9"/>
  <c r="AQ608" i="9" s="1"/>
  <c r="AB608" i="9"/>
  <c r="AC608" i="9"/>
  <c r="AP601" i="9"/>
  <c r="AQ601" i="9" s="1"/>
  <c r="AC601" i="9"/>
  <c r="AB601" i="9"/>
  <c r="AP594" i="9"/>
  <c r="AQ594" i="9" s="1"/>
  <c r="AC594" i="9"/>
  <c r="AB594" i="9"/>
  <c r="AP585" i="9"/>
  <c r="AQ585" i="9" s="1"/>
  <c r="AC585" i="9"/>
  <c r="AB585" i="9"/>
  <c r="AP583" i="9"/>
  <c r="AQ583" i="9" s="1"/>
  <c r="AB583" i="9"/>
  <c r="AC583" i="9"/>
  <c r="AP574" i="9"/>
  <c r="AQ574" i="9" s="1"/>
  <c r="AB574" i="9"/>
  <c r="AC574" i="9"/>
  <c r="AP569" i="9"/>
  <c r="AQ569" i="9" s="1"/>
  <c r="AB569" i="9"/>
  <c r="AC569" i="9"/>
  <c r="AP567" i="9"/>
  <c r="AQ567" i="9" s="1"/>
  <c r="AC567" i="9"/>
  <c r="AB567" i="9"/>
  <c r="AV558" i="9"/>
  <c r="AP558" i="9"/>
  <c r="AQ558" i="9" s="1"/>
  <c r="AB558" i="9"/>
  <c r="AC558" i="9"/>
  <c r="AV551" i="9"/>
  <c r="AP551" i="9"/>
  <c r="AQ551" i="9" s="1"/>
  <c r="AC551" i="9"/>
  <c r="AB551" i="9"/>
  <c r="AP540" i="9"/>
  <c r="AQ540" i="9" s="1"/>
  <c r="AC540" i="9"/>
  <c r="AB540" i="9"/>
  <c r="AP508" i="9"/>
  <c r="AQ508" i="9" s="1"/>
  <c r="AC508" i="9"/>
  <c r="AB508" i="9"/>
  <c r="AP503" i="9"/>
  <c r="AQ503" i="9" s="1"/>
  <c r="AC503" i="9"/>
  <c r="AB503" i="9"/>
  <c r="AV501" i="9"/>
  <c r="AP501" i="9"/>
  <c r="AQ501" i="9" s="1"/>
  <c r="AC501" i="9"/>
  <c r="AB501" i="9"/>
  <c r="AP499" i="9"/>
  <c r="AQ499" i="9" s="1"/>
  <c r="AB499" i="9"/>
  <c r="AC499" i="9"/>
  <c r="AP494" i="9"/>
  <c r="AQ494" i="9" s="1"/>
  <c r="AB494" i="9"/>
  <c r="AC494" i="9"/>
  <c r="AP487" i="9"/>
  <c r="AQ487" i="9" s="1"/>
  <c r="AC487" i="9"/>
  <c r="AB487" i="9"/>
  <c r="AP473" i="9"/>
  <c r="AQ473" i="9" s="1"/>
  <c r="AB473" i="9"/>
  <c r="AC473" i="9"/>
  <c r="AP468" i="9"/>
  <c r="AQ468" i="9" s="1"/>
  <c r="AC468" i="9"/>
  <c r="AB468" i="9"/>
  <c r="AP466" i="9"/>
  <c r="AQ466" i="9" s="1"/>
  <c r="AB466" i="9"/>
  <c r="AC466" i="9"/>
  <c r="AV454" i="9"/>
  <c r="AP454" i="9"/>
  <c r="AQ454" i="9" s="1"/>
  <c r="AB454" i="9"/>
  <c r="AC454" i="9"/>
  <c r="AV447" i="9"/>
  <c r="AP447" i="9"/>
  <c r="AQ447" i="9" s="1"/>
  <c r="AC447" i="9"/>
  <c r="AB447" i="9"/>
  <c r="AP424" i="9"/>
  <c r="AQ424" i="9" s="1"/>
  <c r="AC424" i="9"/>
  <c r="AB424" i="9"/>
  <c r="AP411" i="9"/>
  <c r="AQ411" i="9" s="1"/>
  <c r="AB411" i="9"/>
  <c r="AC411" i="9"/>
  <c r="AV388" i="9"/>
  <c r="AP388" i="9"/>
  <c r="AQ388" i="9" s="1"/>
  <c r="AB388" i="9"/>
  <c r="AC388" i="9"/>
  <c r="AV383" i="9"/>
  <c r="AP383" i="9"/>
  <c r="AQ383" i="9" s="1"/>
  <c r="AC383" i="9"/>
  <c r="AB383" i="9"/>
  <c r="AP378" i="9"/>
  <c r="AQ378" i="9" s="1"/>
  <c r="AB378" i="9"/>
  <c r="AC378" i="9"/>
  <c r="AP376" i="9"/>
  <c r="AQ376" i="9" s="1"/>
  <c r="AC376" i="9"/>
  <c r="AB376" i="9"/>
  <c r="AP374" i="9"/>
  <c r="AQ374" i="9" s="1"/>
  <c r="AB374" i="9"/>
  <c r="AC374" i="9"/>
  <c r="AP367" i="9"/>
  <c r="AQ367" i="9" s="1"/>
  <c r="AC367" i="9"/>
  <c r="AB367" i="9"/>
  <c r="AP362" i="9"/>
  <c r="AQ362" i="9" s="1"/>
  <c r="AB362" i="9"/>
  <c r="AC362" i="9"/>
  <c r="AP335" i="9"/>
  <c r="AQ335" i="9" s="1"/>
  <c r="AC335" i="9"/>
  <c r="AB335" i="9"/>
  <c r="AP333" i="9"/>
  <c r="AQ333" i="9" s="1"/>
  <c r="AB333" i="9"/>
  <c r="AC333" i="9"/>
  <c r="AP331" i="9"/>
  <c r="AQ331" i="9" s="1"/>
  <c r="AB331" i="9"/>
  <c r="AC331" i="9"/>
  <c r="AV322" i="9"/>
  <c r="AP322" i="9"/>
  <c r="AQ322" i="9" s="1"/>
  <c r="AB322" i="9"/>
  <c r="AC322" i="9"/>
  <c r="AP309" i="9"/>
  <c r="AQ309" i="9" s="1"/>
  <c r="AC309" i="9"/>
  <c r="AB309" i="9"/>
  <c r="AP302" i="9"/>
  <c r="AQ302" i="9" s="1"/>
  <c r="AB302" i="9"/>
  <c r="AC302" i="9"/>
  <c r="AP299" i="9"/>
  <c r="AQ299" i="9" s="1"/>
  <c r="AB299" i="9"/>
  <c r="AC299" i="9"/>
  <c r="AP297" i="9"/>
  <c r="AQ297" i="9" s="1"/>
  <c r="AC297" i="9"/>
  <c r="AB297" i="9"/>
  <c r="AP290" i="9"/>
  <c r="AQ290" i="9" s="1"/>
  <c r="AB290" i="9"/>
  <c r="AC290" i="9"/>
  <c r="AP288" i="9"/>
  <c r="AQ288" i="9" s="1"/>
  <c r="AB288" i="9"/>
  <c r="AC288" i="9"/>
  <c r="AC283" i="9"/>
  <c r="AP283" i="9"/>
  <c r="AQ283" i="9" s="1"/>
  <c r="AB283" i="9"/>
  <c r="AV276" i="9"/>
  <c r="AP276" i="9"/>
  <c r="AQ276" i="9" s="1"/>
  <c r="AC276" i="9"/>
  <c r="AB276" i="9"/>
  <c r="AP269" i="9"/>
  <c r="AQ269" i="9" s="1"/>
  <c r="AB269" i="9"/>
  <c r="AC269" i="9"/>
  <c r="AP257" i="9"/>
  <c r="AQ257" i="9" s="1"/>
  <c r="AB257" i="9"/>
  <c r="AC257" i="9"/>
  <c r="AP241" i="9"/>
  <c r="AQ241" i="9" s="1"/>
  <c r="AB241" i="9"/>
  <c r="AC241" i="9"/>
  <c r="AP233" i="9"/>
  <c r="AQ233" i="9" s="1"/>
  <c r="AB233" i="9"/>
  <c r="AC233" i="9"/>
  <c r="AP225" i="9"/>
  <c r="AQ225" i="9" s="1"/>
  <c r="AB225" i="9"/>
  <c r="AC225" i="9"/>
  <c r="AP217" i="9"/>
  <c r="AQ217" i="9" s="1"/>
  <c r="AB217" i="9"/>
  <c r="AC217" i="9"/>
  <c r="AP209" i="9"/>
  <c r="AQ209" i="9" s="1"/>
  <c r="AB209" i="9"/>
  <c r="AC209" i="9"/>
  <c r="AP199" i="9"/>
  <c r="AQ199" i="9" s="1"/>
  <c r="AB199" i="9"/>
  <c r="AC199" i="9"/>
  <c r="AP196" i="9"/>
  <c r="AQ196" i="9" s="1"/>
  <c r="AB196" i="9"/>
  <c r="AC196" i="9"/>
  <c r="AP194" i="9"/>
  <c r="AQ194" i="9" s="1"/>
  <c r="AC194" i="9"/>
  <c r="AB194" i="9"/>
  <c r="AP172" i="9"/>
  <c r="AQ172" i="9" s="1"/>
  <c r="AC172" i="9"/>
  <c r="AB172" i="9"/>
  <c r="AP151" i="9"/>
  <c r="AQ151" i="9" s="1"/>
  <c r="AB151" i="9"/>
  <c r="AC151" i="9"/>
  <c r="AP121" i="9"/>
  <c r="AQ121" i="9" s="1"/>
  <c r="AB121" i="9"/>
  <c r="AC121" i="9"/>
  <c r="AP117" i="9"/>
  <c r="AQ117" i="9" s="1"/>
  <c r="AB117" i="9"/>
  <c r="AC117" i="9"/>
  <c r="AD117" i="9"/>
  <c r="AP111" i="9"/>
  <c r="AQ111" i="9" s="1"/>
  <c r="AC111" i="9"/>
  <c r="AD111" i="9"/>
  <c r="AB111" i="9"/>
  <c r="AP109" i="9"/>
  <c r="AQ109" i="9" s="1"/>
  <c r="AC109" i="9"/>
  <c r="AD109" i="9"/>
  <c r="AB109" i="9"/>
  <c r="AV100" i="9"/>
  <c r="AP100" i="9"/>
  <c r="AQ100" i="9" s="1"/>
  <c r="AB100" i="9"/>
  <c r="AD100" i="9"/>
  <c r="AC100" i="9"/>
  <c r="AP98" i="9"/>
  <c r="AQ98" i="9" s="1"/>
  <c r="AB98" i="9"/>
  <c r="AC98" i="9"/>
  <c r="AD98" i="9"/>
  <c r="AC91" i="9"/>
  <c r="AP91" i="9"/>
  <c r="AQ91" i="9" s="1"/>
  <c r="AD91" i="9"/>
  <c r="AB91" i="9"/>
  <c r="AV84" i="9"/>
  <c r="AP84" i="9"/>
  <c r="AQ84" i="9" s="1"/>
  <c r="AB84" i="9"/>
  <c r="AD84" i="9"/>
  <c r="AC84" i="9"/>
  <c r="AP77" i="9"/>
  <c r="AQ77" i="9" s="1"/>
  <c r="AB77" i="9"/>
  <c r="AC77" i="9"/>
  <c r="AD77" i="9"/>
  <c r="AC75" i="9"/>
  <c r="AB75" i="9"/>
  <c r="AD75" i="9"/>
  <c r="AP75" i="9"/>
  <c r="AQ75" i="9" s="1"/>
  <c r="AP60" i="9"/>
  <c r="AQ60" i="9" s="1"/>
  <c r="AB60" i="9"/>
  <c r="AC60" i="9"/>
  <c r="AP53" i="9"/>
  <c r="AQ53" i="9" s="1"/>
  <c r="AC53" i="9"/>
  <c r="AB53" i="9"/>
  <c r="AV53" i="9"/>
  <c r="AP41" i="9"/>
  <c r="AQ41" i="9" s="1"/>
  <c r="AC41" i="9"/>
  <c r="AB41" i="9"/>
  <c r="AV38" i="9"/>
  <c r="AP38" i="9"/>
  <c r="AQ38" i="9" s="1"/>
  <c r="AB38" i="9"/>
  <c r="AC38" i="9"/>
  <c r="AB818" i="9"/>
  <c r="AP855" i="9"/>
  <c r="AQ855" i="9" s="1"/>
  <c r="AB855" i="9"/>
  <c r="AC855" i="9"/>
  <c r="AP850" i="9"/>
  <c r="AQ850" i="9" s="1"/>
  <c r="AC850" i="9"/>
  <c r="AP845" i="9"/>
  <c r="AQ845" i="9" s="1"/>
  <c r="AB845" i="9"/>
  <c r="AC845" i="9"/>
  <c r="AV840" i="9"/>
  <c r="AP840" i="9"/>
  <c r="AQ840" i="9" s="1"/>
  <c r="AB840" i="9"/>
  <c r="AC840" i="9"/>
  <c r="AV825" i="9"/>
  <c r="AP825" i="9"/>
  <c r="AQ825" i="9" s="1"/>
  <c r="AB825" i="9"/>
  <c r="AP820" i="9"/>
  <c r="AQ820" i="9" s="1"/>
  <c r="AB820" i="9"/>
  <c r="AC820" i="9"/>
  <c r="AP813" i="9"/>
  <c r="AQ813" i="9" s="1"/>
  <c r="AB813" i="9"/>
  <c r="AC813" i="9"/>
  <c r="AP811" i="9"/>
  <c r="AQ811" i="9" s="1"/>
  <c r="AB811" i="9"/>
  <c r="AC811" i="9"/>
  <c r="AP804" i="9"/>
  <c r="AQ804" i="9" s="1"/>
  <c r="AB804" i="9"/>
  <c r="AC804" i="9"/>
  <c r="AP797" i="9"/>
  <c r="AQ797" i="9" s="1"/>
  <c r="AB797" i="9"/>
  <c r="AP795" i="9"/>
  <c r="AQ795" i="9" s="1"/>
  <c r="AB795" i="9"/>
  <c r="AC795" i="9"/>
  <c r="AP788" i="9"/>
  <c r="AQ788" i="9" s="1"/>
  <c r="AB788" i="9"/>
  <c r="AC788" i="9"/>
  <c r="AP773" i="9"/>
  <c r="AQ773" i="9" s="1"/>
  <c r="AB773" i="9"/>
  <c r="AC773" i="9"/>
  <c r="AP771" i="9"/>
  <c r="AQ771" i="9" s="1"/>
  <c r="AB771" i="9"/>
  <c r="AC771" i="9"/>
  <c r="AP764" i="9"/>
  <c r="AQ764" i="9" s="1"/>
  <c r="AB764" i="9"/>
  <c r="AC764" i="9"/>
  <c r="AP757" i="9"/>
  <c r="AQ757" i="9" s="1"/>
  <c r="AB757" i="9"/>
  <c r="AC757" i="9"/>
  <c r="AP755" i="9"/>
  <c r="AQ755" i="9" s="1"/>
  <c r="AB755" i="9"/>
  <c r="AC755" i="9"/>
  <c r="AP748" i="9"/>
  <c r="AQ748" i="9" s="1"/>
  <c r="AB748" i="9"/>
  <c r="AC748" i="9"/>
  <c r="AP741" i="9"/>
  <c r="AQ741" i="9" s="1"/>
  <c r="AB741" i="9"/>
  <c r="AC741" i="9"/>
  <c r="AP739" i="9"/>
  <c r="AQ739" i="9" s="1"/>
  <c r="AB739" i="9"/>
  <c r="AC739" i="9"/>
  <c r="AP732" i="9"/>
  <c r="AQ732" i="9" s="1"/>
  <c r="AB732" i="9"/>
  <c r="AC732" i="9"/>
  <c r="AP725" i="9"/>
  <c r="AQ725" i="9" s="1"/>
  <c r="AB725" i="9"/>
  <c r="AC725" i="9"/>
  <c r="AP723" i="9"/>
  <c r="AQ723" i="9" s="1"/>
  <c r="AB723" i="9"/>
  <c r="AC723" i="9"/>
  <c r="AP716" i="9"/>
  <c r="AQ716" i="9" s="1"/>
  <c r="AB716" i="9"/>
  <c r="AP709" i="9"/>
  <c r="AQ709" i="9" s="1"/>
  <c r="AB709" i="9"/>
  <c r="AC709" i="9"/>
  <c r="AP707" i="9"/>
  <c r="AQ707" i="9" s="1"/>
  <c r="AB707" i="9"/>
  <c r="AC707" i="9"/>
  <c r="AP702" i="9"/>
  <c r="AQ702" i="9" s="1"/>
  <c r="AC702" i="9"/>
  <c r="AB702" i="9"/>
  <c r="AV695" i="9"/>
  <c r="AP695" i="9"/>
  <c r="AQ695" i="9" s="1"/>
  <c r="AC695" i="9"/>
  <c r="AP678" i="9"/>
  <c r="AQ678" i="9" s="1"/>
  <c r="AC678" i="9"/>
  <c r="AP667" i="9"/>
  <c r="AQ667" i="9" s="1"/>
  <c r="AB667" i="9"/>
  <c r="AC667" i="9"/>
  <c r="AP658" i="9"/>
  <c r="AQ658" i="9" s="1"/>
  <c r="AC658" i="9"/>
  <c r="AB658" i="9"/>
  <c r="AP647" i="9"/>
  <c r="AQ647" i="9" s="1"/>
  <c r="AB647" i="9"/>
  <c r="AC647" i="9"/>
  <c r="AP645" i="9"/>
  <c r="AQ645" i="9" s="1"/>
  <c r="AB645" i="9"/>
  <c r="AC645" i="9"/>
  <c r="AP640" i="9"/>
  <c r="AQ640" i="9" s="1"/>
  <c r="AB640" i="9"/>
  <c r="AC640" i="9"/>
  <c r="AP638" i="9"/>
  <c r="AQ638" i="9" s="1"/>
  <c r="AC638" i="9"/>
  <c r="AB638" i="9"/>
  <c r="AV626" i="9"/>
  <c r="AP626" i="9"/>
  <c r="AQ626" i="9" s="1"/>
  <c r="AC626" i="9"/>
  <c r="AB626" i="9"/>
  <c r="AV617" i="9"/>
  <c r="AP617" i="9"/>
  <c r="AQ617" i="9" s="1"/>
  <c r="AC617" i="9"/>
  <c r="AB617" i="9"/>
  <c r="AP615" i="9"/>
  <c r="AQ615" i="9" s="1"/>
  <c r="AB615" i="9"/>
  <c r="AC615" i="9"/>
  <c r="AP610" i="9"/>
  <c r="AQ610" i="9" s="1"/>
  <c r="AC610" i="9"/>
  <c r="AB610" i="9"/>
  <c r="AP603" i="9"/>
  <c r="AQ603" i="9" s="1"/>
  <c r="AB603" i="9"/>
  <c r="AC603" i="9"/>
  <c r="AP596" i="9"/>
  <c r="AQ596" i="9" s="1"/>
  <c r="AB596" i="9"/>
  <c r="AC596" i="9"/>
  <c r="AP587" i="9"/>
  <c r="AQ587" i="9" s="1"/>
  <c r="AB587" i="9"/>
  <c r="AC587" i="9"/>
  <c r="AP578" i="9"/>
  <c r="AQ578" i="9" s="1"/>
  <c r="AC578" i="9"/>
  <c r="AB578" i="9"/>
  <c r="AP576" i="9"/>
  <c r="AQ576" i="9" s="1"/>
  <c r="AB576" i="9"/>
  <c r="AC576" i="9"/>
  <c r="AP571" i="9"/>
  <c r="AQ571" i="9" s="1"/>
  <c r="AC571" i="9"/>
  <c r="AB571" i="9"/>
  <c r="AP562" i="9"/>
  <c r="AQ562" i="9" s="1"/>
  <c r="AB562" i="9"/>
  <c r="AC562" i="9"/>
  <c r="AP560" i="9"/>
  <c r="AQ560" i="9" s="1"/>
  <c r="AC560" i="9"/>
  <c r="AB560" i="9"/>
  <c r="AP546" i="9"/>
  <c r="AQ546" i="9" s="1"/>
  <c r="AB546" i="9"/>
  <c r="AC546" i="9"/>
  <c r="AP544" i="9"/>
  <c r="AQ544" i="9" s="1"/>
  <c r="AC544" i="9"/>
  <c r="AB544" i="9"/>
  <c r="AP542" i="9"/>
  <c r="AQ542" i="9" s="1"/>
  <c r="AB542" i="9"/>
  <c r="AC542" i="9"/>
  <c r="AP535" i="9"/>
  <c r="AQ535" i="9" s="1"/>
  <c r="AC535" i="9"/>
  <c r="AB535" i="9"/>
  <c r="AP530" i="9"/>
  <c r="AQ530" i="9" s="1"/>
  <c r="AB530" i="9"/>
  <c r="AC530" i="9"/>
  <c r="AP528" i="9"/>
  <c r="AQ528" i="9" s="1"/>
  <c r="AB528" i="9"/>
  <c r="AC528" i="9"/>
  <c r="AP519" i="9"/>
  <c r="AQ519" i="9" s="1"/>
  <c r="AC519" i="9"/>
  <c r="AB519" i="9"/>
  <c r="AV510" i="9"/>
  <c r="AP510" i="9"/>
  <c r="AQ510" i="9" s="1"/>
  <c r="AB510" i="9"/>
  <c r="AC510" i="9"/>
  <c r="AP489" i="9"/>
  <c r="AQ489" i="9" s="1"/>
  <c r="AB489" i="9"/>
  <c r="AC489" i="9"/>
  <c r="AP480" i="9"/>
  <c r="AQ480" i="9" s="1"/>
  <c r="AC480" i="9"/>
  <c r="AB480" i="9"/>
  <c r="AV470" i="9"/>
  <c r="AP470" i="9"/>
  <c r="AQ470" i="9" s="1"/>
  <c r="AB470" i="9"/>
  <c r="AC470" i="9"/>
  <c r="AV463" i="9"/>
  <c r="AP463" i="9"/>
  <c r="AQ463" i="9" s="1"/>
  <c r="AC463" i="9"/>
  <c r="AB463" i="9"/>
  <c r="AP440" i="9"/>
  <c r="AQ440" i="9" s="1"/>
  <c r="AC440" i="9"/>
  <c r="AV433" i="9"/>
  <c r="AP433" i="9"/>
  <c r="AQ433" i="9" s="1"/>
  <c r="AC433" i="9"/>
  <c r="AB433" i="9"/>
  <c r="AP428" i="9"/>
  <c r="AQ428" i="9" s="1"/>
  <c r="AB428" i="9"/>
  <c r="AC428" i="9"/>
  <c r="AP426" i="9"/>
  <c r="AQ426" i="9" s="1"/>
  <c r="AB426" i="9"/>
  <c r="AC426" i="9"/>
  <c r="AP415" i="9"/>
  <c r="AQ415" i="9" s="1"/>
  <c r="AC415" i="9"/>
  <c r="AB415" i="9"/>
  <c r="AP413" i="9"/>
  <c r="AQ413" i="9" s="1"/>
  <c r="AB413" i="9"/>
  <c r="AC413" i="9"/>
  <c r="AP404" i="9"/>
  <c r="AQ404" i="9" s="1"/>
  <c r="AC404" i="9"/>
  <c r="AB404" i="9"/>
  <c r="AP399" i="9"/>
  <c r="AQ399" i="9" s="1"/>
  <c r="AC399" i="9"/>
  <c r="AB399" i="9"/>
  <c r="AP390" i="9"/>
  <c r="AQ390" i="9" s="1"/>
  <c r="AB390" i="9"/>
  <c r="AC390" i="9"/>
  <c r="AP369" i="9"/>
  <c r="AQ369" i="9" s="1"/>
  <c r="AC369" i="9"/>
  <c r="AB369" i="9"/>
  <c r="AP357" i="9"/>
  <c r="AQ357" i="9" s="1"/>
  <c r="AC357" i="9"/>
  <c r="AB357" i="9"/>
  <c r="AP355" i="9"/>
  <c r="AQ355" i="9" s="1"/>
  <c r="AB355" i="9"/>
  <c r="AC355" i="9"/>
  <c r="AV346" i="9"/>
  <c r="AP346" i="9"/>
  <c r="AQ346" i="9" s="1"/>
  <c r="AB346" i="9"/>
  <c r="AC346" i="9"/>
  <c r="AP337" i="9"/>
  <c r="AQ337" i="9" s="1"/>
  <c r="AB337" i="9"/>
  <c r="AC337" i="9"/>
  <c r="AV328" i="9"/>
  <c r="AP328" i="9"/>
  <c r="AQ328" i="9" s="1"/>
  <c r="AC328" i="9"/>
  <c r="AB328" i="9"/>
  <c r="AP326" i="9"/>
  <c r="AQ326" i="9" s="1"/>
  <c r="AB326" i="9"/>
  <c r="AC326" i="9"/>
  <c r="AP324" i="9"/>
  <c r="AQ324" i="9" s="1"/>
  <c r="AB324" i="9"/>
  <c r="AC324" i="9"/>
  <c r="AP313" i="9"/>
  <c r="AQ313" i="9" s="1"/>
  <c r="AB313" i="9"/>
  <c r="AC313" i="9"/>
  <c r="AP311" i="9"/>
  <c r="AQ311" i="9" s="1"/>
  <c r="AC311" i="9"/>
  <c r="AB311" i="9"/>
  <c r="AP306" i="9"/>
  <c r="AQ306" i="9" s="1"/>
  <c r="AB306" i="9"/>
  <c r="AC306" i="9"/>
  <c r="AP304" i="9"/>
  <c r="AQ304" i="9" s="1"/>
  <c r="AB304" i="9"/>
  <c r="AC304" i="9"/>
  <c r="AP278" i="9"/>
  <c r="AQ278" i="9" s="1"/>
  <c r="AC278" i="9"/>
  <c r="AB278" i="9"/>
  <c r="AV271" i="9"/>
  <c r="AP271" i="9"/>
  <c r="AQ271" i="9" s="1"/>
  <c r="AB271" i="9"/>
  <c r="AC271" i="9"/>
  <c r="AV266" i="9"/>
  <c r="AP266" i="9"/>
  <c r="AQ266" i="9" s="1"/>
  <c r="AC266" i="9"/>
  <c r="AB266" i="9"/>
  <c r="AP264" i="9"/>
  <c r="AQ264" i="9" s="1"/>
  <c r="AB264" i="9"/>
  <c r="AC264" i="9"/>
  <c r="AP259" i="9"/>
  <c r="AQ259" i="9" s="1"/>
  <c r="AC259" i="9"/>
  <c r="AB259" i="9"/>
  <c r="AV252" i="9"/>
  <c r="AP252" i="9"/>
  <c r="AQ252" i="9" s="1"/>
  <c r="AC252" i="9"/>
  <c r="AB252" i="9"/>
  <c r="AP238" i="9"/>
  <c r="AQ238" i="9" s="1"/>
  <c r="AC238" i="9"/>
  <c r="AB238" i="9"/>
  <c r="AV231" i="9"/>
  <c r="AP231" i="9"/>
  <c r="AQ231" i="9" s="1"/>
  <c r="AB231" i="9"/>
  <c r="AC231" i="9"/>
  <c r="AP228" i="9"/>
  <c r="AQ228" i="9" s="1"/>
  <c r="AC228" i="9"/>
  <c r="AB228" i="9"/>
  <c r="AP212" i="9"/>
  <c r="AQ212" i="9" s="1"/>
  <c r="AB212" i="9"/>
  <c r="AC212" i="9"/>
  <c r="AP204" i="9"/>
  <c r="AQ204" i="9" s="1"/>
  <c r="AB204" i="9"/>
  <c r="AC204" i="9"/>
  <c r="AP189" i="9"/>
  <c r="AQ189" i="9" s="1"/>
  <c r="AB189" i="9"/>
  <c r="AC189" i="9"/>
  <c r="AP181" i="9"/>
  <c r="AQ181" i="9" s="1"/>
  <c r="AB181" i="9"/>
  <c r="AC181" i="9"/>
  <c r="AP170" i="9"/>
  <c r="AQ170" i="9" s="1"/>
  <c r="AC170" i="9"/>
  <c r="AB170" i="9"/>
  <c r="AP165" i="9"/>
  <c r="AQ165" i="9" s="1"/>
  <c r="AB165" i="9"/>
  <c r="AC165" i="9"/>
  <c r="AP157" i="9"/>
  <c r="AQ157" i="9" s="1"/>
  <c r="AB157" i="9"/>
  <c r="AC157" i="9"/>
  <c r="AV146" i="9"/>
  <c r="AP146" i="9"/>
  <c r="AQ146" i="9" s="1"/>
  <c r="AC146" i="9"/>
  <c r="AB146" i="9"/>
  <c r="AP143" i="9"/>
  <c r="AQ143" i="9" s="1"/>
  <c r="AB143" i="9"/>
  <c r="AC143" i="9"/>
  <c r="AP140" i="9"/>
  <c r="AQ140" i="9" s="1"/>
  <c r="AB140" i="9"/>
  <c r="AC140" i="9"/>
  <c r="AP132" i="9"/>
  <c r="AQ132" i="9" s="1"/>
  <c r="AB132" i="9"/>
  <c r="AC132" i="9"/>
  <c r="AP124" i="9"/>
  <c r="AQ124" i="9" s="1"/>
  <c r="AB124" i="9"/>
  <c r="AC124" i="9"/>
  <c r="AP119" i="9"/>
  <c r="AQ119" i="9" s="1"/>
  <c r="AC119" i="9"/>
  <c r="AB119" i="9"/>
  <c r="AD119" i="9"/>
  <c r="AC115" i="9"/>
  <c r="AP115" i="9"/>
  <c r="AQ115" i="9" s="1"/>
  <c r="AB115" i="9"/>
  <c r="AD115" i="9"/>
  <c r="AP104" i="9"/>
  <c r="AQ104" i="9" s="1"/>
  <c r="AD104" i="9"/>
  <c r="AC104" i="9"/>
  <c r="AB104" i="9"/>
  <c r="AP102" i="9"/>
  <c r="AQ102" i="9" s="1"/>
  <c r="AB102" i="9"/>
  <c r="AD102" i="9"/>
  <c r="AC102" i="9"/>
  <c r="AP93" i="9"/>
  <c r="AQ93" i="9" s="1"/>
  <c r="AC93" i="9"/>
  <c r="AD93" i="9"/>
  <c r="AB93" i="9"/>
  <c r="AP86" i="9"/>
  <c r="AQ86" i="9" s="1"/>
  <c r="AB86" i="9"/>
  <c r="AD86" i="9"/>
  <c r="AC86" i="9"/>
  <c r="AP79" i="9"/>
  <c r="AQ79" i="9" s="1"/>
  <c r="AC79" i="9"/>
  <c r="AB79" i="9"/>
  <c r="AD79" i="9"/>
  <c r="AP72" i="9"/>
  <c r="AQ72" i="9" s="1"/>
  <c r="AD72" i="9"/>
  <c r="AB72" i="9"/>
  <c r="AC72" i="9"/>
  <c r="AP70" i="9"/>
  <c r="AQ70" i="9" s="1"/>
  <c r="AB70" i="9"/>
  <c r="AD70" i="9"/>
  <c r="AC70" i="9"/>
  <c r="AB843" i="9"/>
  <c r="AC780" i="9"/>
  <c r="AB746" i="9"/>
  <c r="AB712" i="9"/>
  <c r="AB678" i="9"/>
  <c r="AB634" i="9"/>
  <c r="AC478" i="9"/>
  <c r="AP5" i="9"/>
  <c r="AQ5" i="9" s="1"/>
  <c r="AB5" i="9"/>
  <c r="AC5" i="9"/>
  <c r="AV862" i="9"/>
  <c r="AP862" i="9"/>
  <c r="AQ862" i="9" s="1"/>
  <c r="AC862" i="9"/>
  <c r="AB862" i="9"/>
  <c r="AV857" i="9"/>
  <c r="AP857" i="9"/>
  <c r="AQ857" i="9" s="1"/>
  <c r="AB857" i="9"/>
  <c r="AP852" i="9"/>
  <c r="AQ852" i="9" s="1"/>
  <c r="AB852" i="9"/>
  <c r="AC852" i="9"/>
  <c r="AV839" i="9"/>
  <c r="AP835" i="9"/>
  <c r="AQ835" i="9" s="1"/>
  <c r="AB835" i="9"/>
  <c r="AC835" i="9"/>
  <c r="AV830" i="9"/>
  <c r="AP830" i="9"/>
  <c r="AQ830" i="9" s="1"/>
  <c r="AC830" i="9"/>
  <c r="AB830" i="9"/>
  <c r="AP806" i="9"/>
  <c r="AQ806" i="9" s="1"/>
  <c r="AC806" i="9"/>
  <c r="AP790" i="9"/>
  <c r="AQ790" i="9" s="1"/>
  <c r="AC790" i="9"/>
  <c r="AB790" i="9"/>
  <c r="AV772" i="9"/>
  <c r="AP766" i="9"/>
  <c r="AQ766" i="9" s="1"/>
  <c r="AC766" i="9"/>
  <c r="AB766" i="9"/>
  <c r="AP750" i="9"/>
  <c r="AQ750" i="9" s="1"/>
  <c r="AC750" i="9"/>
  <c r="AB750" i="9"/>
  <c r="AP734" i="9"/>
  <c r="AQ734" i="9" s="1"/>
  <c r="AC734" i="9"/>
  <c r="AB734" i="9"/>
  <c r="AP718" i="9"/>
  <c r="AQ718" i="9" s="1"/>
  <c r="AC718" i="9"/>
  <c r="AB718" i="9"/>
  <c r="AV708" i="9"/>
  <c r="AV697" i="9"/>
  <c r="AP697" i="9"/>
  <c r="AQ697" i="9" s="1"/>
  <c r="AB697" i="9"/>
  <c r="AC697" i="9"/>
  <c r="AV690" i="9"/>
  <c r="AP690" i="9"/>
  <c r="AQ690" i="9" s="1"/>
  <c r="AC690" i="9"/>
  <c r="AB690" i="9"/>
  <c r="AV687" i="9"/>
  <c r="AP687" i="9"/>
  <c r="AQ687" i="9" s="1"/>
  <c r="AB687" i="9"/>
  <c r="AC687" i="9"/>
  <c r="AP680" i="9"/>
  <c r="AQ680" i="9" s="1"/>
  <c r="AC680" i="9"/>
  <c r="AB680" i="9"/>
  <c r="AP671" i="9"/>
  <c r="AQ671" i="9" s="1"/>
  <c r="AB671" i="9"/>
  <c r="AC671" i="9"/>
  <c r="AP669" i="9"/>
  <c r="AQ669" i="9" s="1"/>
  <c r="AB669" i="9"/>
  <c r="AP660" i="9"/>
  <c r="AQ660" i="9" s="1"/>
  <c r="AB660" i="9"/>
  <c r="AP649" i="9"/>
  <c r="AQ649" i="9" s="1"/>
  <c r="AC649" i="9"/>
  <c r="AB649" i="9"/>
  <c r="AV633" i="9"/>
  <c r="AP633" i="9"/>
  <c r="AQ633" i="9" s="1"/>
  <c r="AC633" i="9"/>
  <c r="AB633" i="9"/>
  <c r="AV628" i="9"/>
  <c r="AP628" i="9"/>
  <c r="AQ628" i="9" s="1"/>
  <c r="AB628" i="9"/>
  <c r="AC628" i="9"/>
  <c r="AP612" i="9"/>
  <c r="AQ612" i="9" s="1"/>
  <c r="AB612" i="9"/>
  <c r="AC612" i="9"/>
  <c r="AP605" i="9"/>
  <c r="AQ605" i="9" s="1"/>
  <c r="AB605" i="9"/>
  <c r="AC605" i="9"/>
  <c r="AP598" i="9"/>
  <c r="AQ598" i="9" s="1"/>
  <c r="AC598" i="9"/>
  <c r="AB598" i="9"/>
  <c r="AP589" i="9"/>
  <c r="AQ589" i="9" s="1"/>
  <c r="AB589" i="9"/>
  <c r="AC589" i="9"/>
  <c r="AP580" i="9"/>
  <c r="AQ580" i="9" s="1"/>
  <c r="AB580" i="9"/>
  <c r="AC580" i="9"/>
  <c r="AP564" i="9"/>
  <c r="AQ564" i="9" s="1"/>
  <c r="AB564" i="9"/>
  <c r="AC564" i="9"/>
  <c r="AV559" i="9"/>
  <c r="AP553" i="9"/>
  <c r="AQ553" i="9" s="1"/>
  <c r="AC553" i="9"/>
  <c r="AB553" i="9"/>
  <c r="AP537" i="9"/>
  <c r="AQ537" i="9" s="1"/>
  <c r="AC537" i="9"/>
  <c r="AP523" i="9"/>
  <c r="AQ523" i="9" s="1"/>
  <c r="AC523" i="9"/>
  <c r="AB523" i="9"/>
  <c r="AP521" i="9"/>
  <c r="AQ521" i="9" s="1"/>
  <c r="AC521" i="9"/>
  <c r="AB521" i="9"/>
  <c r="AP505" i="9"/>
  <c r="AQ505" i="9" s="1"/>
  <c r="AB505" i="9"/>
  <c r="AC505" i="9"/>
  <c r="AP496" i="9"/>
  <c r="AQ496" i="9" s="1"/>
  <c r="AC496" i="9"/>
  <c r="AB496" i="9"/>
  <c r="AP491" i="9"/>
  <c r="AQ491" i="9" s="1"/>
  <c r="AB491" i="9"/>
  <c r="AC491" i="9"/>
  <c r="AP484" i="9"/>
  <c r="AQ484" i="9" s="1"/>
  <c r="AC484" i="9"/>
  <c r="AB484" i="9"/>
  <c r="AP482" i="9"/>
  <c r="AQ482" i="9" s="1"/>
  <c r="AB482" i="9"/>
  <c r="AC482" i="9"/>
  <c r="AP477" i="9"/>
  <c r="AQ477" i="9" s="1"/>
  <c r="AB477" i="9"/>
  <c r="AC477" i="9"/>
  <c r="AP475" i="9"/>
  <c r="AQ475" i="9" s="1"/>
  <c r="AB475" i="9"/>
  <c r="AC475" i="9"/>
  <c r="AP456" i="9"/>
  <c r="AQ456" i="9" s="1"/>
  <c r="AC456" i="9"/>
  <c r="AB456" i="9"/>
  <c r="AV449" i="9"/>
  <c r="AP449" i="9"/>
  <c r="AQ449" i="9" s="1"/>
  <c r="AC449" i="9"/>
  <c r="AB449" i="9"/>
  <c r="AP444" i="9"/>
  <c r="AQ444" i="9" s="1"/>
  <c r="AC444" i="9"/>
  <c r="AB444" i="9"/>
  <c r="AP442" i="9"/>
  <c r="AQ442" i="9" s="1"/>
  <c r="AB442" i="9"/>
  <c r="AC442" i="9"/>
  <c r="AP437" i="9"/>
  <c r="AQ437" i="9" s="1"/>
  <c r="AC437" i="9"/>
  <c r="AB437" i="9"/>
  <c r="AP435" i="9"/>
  <c r="AQ435" i="9" s="1"/>
  <c r="AB435" i="9"/>
  <c r="AC435" i="9"/>
  <c r="AV430" i="9"/>
  <c r="AP430" i="9"/>
  <c r="AQ430" i="9" s="1"/>
  <c r="AB430" i="9"/>
  <c r="AC430" i="9"/>
  <c r="AP417" i="9"/>
  <c r="AQ417" i="9" s="1"/>
  <c r="AC417" i="9"/>
  <c r="AB417" i="9"/>
  <c r="AV396" i="9"/>
  <c r="AP396" i="9"/>
  <c r="AQ396" i="9" s="1"/>
  <c r="AB396" i="9"/>
  <c r="AC396" i="9"/>
  <c r="AP394" i="9"/>
  <c r="AQ394" i="9" s="1"/>
  <c r="AB394" i="9"/>
  <c r="AC394" i="9"/>
  <c r="AP392" i="9"/>
  <c r="AQ392" i="9" s="1"/>
  <c r="AC392" i="9"/>
  <c r="AB392" i="9"/>
  <c r="AP385" i="9"/>
  <c r="AQ385" i="9" s="1"/>
  <c r="AC385" i="9"/>
  <c r="AB385" i="9"/>
  <c r="AV380" i="9"/>
  <c r="AP380" i="9"/>
  <c r="AQ380" i="9" s="1"/>
  <c r="AB380" i="9"/>
  <c r="AC380" i="9"/>
  <c r="AP371" i="9"/>
  <c r="AQ371" i="9" s="1"/>
  <c r="AB371" i="9"/>
  <c r="AC371" i="9"/>
  <c r="AP364" i="9"/>
  <c r="AQ364" i="9" s="1"/>
  <c r="AB364" i="9"/>
  <c r="AC364" i="9"/>
  <c r="AP359" i="9"/>
  <c r="AQ359" i="9" s="1"/>
  <c r="AC359" i="9"/>
  <c r="AB359" i="9"/>
  <c r="AP352" i="9"/>
  <c r="AQ352" i="9" s="1"/>
  <c r="AC352" i="9"/>
  <c r="AB352" i="9"/>
  <c r="AP350" i="9"/>
  <c r="AQ350" i="9" s="1"/>
  <c r="AB350" i="9"/>
  <c r="AC350" i="9"/>
  <c r="AP348" i="9"/>
  <c r="AQ348" i="9" s="1"/>
  <c r="AB348" i="9"/>
  <c r="AC348" i="9"/>
  <c r="AP319" i="9"/>
  <c r="AQ319" i="9" s="1"/>
  <c r="AC319" i="9"/>
  <c r="AB319" i="9"/>
  <c r="AP317" i="9"/>
  <c r="AQ317" i="9" s="1"/>
  <c r="AB317" i="9"/>
  <c r="AC317" i="9"/>
  <c r="AP315" i="9"/>
  <c r="AQ315" i="9" s="1"/>
  <c r="AB315" i="9"/>
  <c r="AC315" i="9"/>
  <c r="AV292" i="9"/>
  <c r="AP292" i="9"/>
  <c r="AQ292" i="9" s="1"/>
  <c r="AB292" i="9"/>
  <c r="AC292" i="9"/>
  <c r="AP285" i="9"/>
  <c r="AQ285" i="9" s="1"/>
  <c r="AB285" i="9"/>
  <c r="AC285" i="9"/>
  <c r="AP273" i="9"/>
  <c r="AQ273" i="9" s="1"/>
  <c r="AB273" i="9"/>
  <c r="AC273" i="9"/>
  <c r="AV254" i="9"/>
  <c r="AP254" i="9"/>
  <c r="AQ254" i="9" s="1"/>
  <c r="AC254" i="9"/>
  <c r="AB254" i="9"/>
  <c r="AP243" i="9"/>
  <c r="AQ243" i="9" s="1"/>
  <c r="AB243" i="9"/>
  <c r="AC243" i="9"/>
  <c r="AP236" i="9"/>
  <c r="AQ236" i="9" s="1"/>
  <c r="AB236" i="9"/>
  <c r="AC236" i="9"/>
  <c r="AP234" i="9"/>
  <c r="AQ234" i="9" s="1"/>
  <c r="AC234" i="9"/>
  <c r="AB234" i="9"/>
  <c r="AP226" i="9"/>
  <c r="AQ226" i="9" s="1"/>
  <c r="AC226" i="9"/>
  <c r="AB226" i="9"/>
  <c r="AP223" i="9"/>
  <c r="AQ223" i="9" s="1"/>
  <c r="AB223" i="9"/>
  <c r="AC223" i="9"/>
  <c r="AP220" i="9"/>
  <c r="AQ220" i="9" s="1"/>
  <c r="AC220" i="9"/>
  <c r="AB220" i="9"/>
  <c r="AP215" i="9"/>
  <c r="AQ215" i="9" s="1"/>
  <c r="AB215" i="9"/>
  <c r="AC215" i="9"/>
  <c r="AP207" i="9"/>
  <c r="AQ207" i="9" s="1"/>
  <c r="AB207" i="9"/>
  <c r="AC207" i="9"/>
  <c r="AP202" i="9"/>
  <c r="AQ202" i="9" s="1"/>
  <c r="AC202" i="9"/>
  <c r="AB202" i="9"/>
  <c r="AP197" i="9"/>
  <c r="AQ197" i="9" s="1"/>
  <c r="AB197" i="9"/>
  <c r="AC197" i="9"/>
  <c r="AP184" i="9"/>
  <c r="AQ184" i="9" s="1"/>
  <c r="AB184" i="9"/>
  <c r="AC184" i="9"/>
  <c r="AP176" i="9"/>
  <c r="AQ176" i="9" s="1"/>
  <c r="AC176" i="9"/>
  <c r="AB176" i="9"/>
  <c r="AP173" i="9"/>
  <c r="AQ173" i="9" s="1"/>
  <c r="AB173" i="9"/>
  <c r="AC173" i="9"/>
  <c r="AP149" i="9"/>
  <c r="AQ149" i="9" s="1"/>
  <c r="AB149" i="9"/>
  <c r="AC149" i="9"/>
  <c r="AP141" i="9"/>
  <c r="AQ141" i="9" s="1"/>
  <c r="AB141" i="9"/>
  <c r="AC141" i="9"/>
  <c r="AP138" i="9"/>
  <c r="AQ138" i="9" s="1"/>
  <c r="AC138" i="9"/>
  <c r="AB138" i="9"/>
  <c r="AP135" i="9"/>
  <c r="AQ135" i="9" s="1"/>
  <c r="AB135" i="9"/>
  <c r="AC135" i="9"/>
  <c r="AP127" i="9"/>
  <c r="AQ127" i="9" s="1"/>
  <c r="AC127" i="9"/>
  <c r="AB127" i="9"/>
  <c r="AP113" i="9"/>
  <c r="AQ113" i="9" s="1"/>
  <c r="AB113" i="9"/>
  <c r="AC113" i="9"/>
  <c r="AD113" i="9"/>
  <c r="AP95" i="9"/>
  <c r="AQ95" i="9" s="1"/>
  <c r="AC95" i="9"/>
  <c r="AB95" i="9"/>
  <c r="AD95" i="9"/>
  <c r="AP88" i="9"/>
  <c r="AQ88" i="9" s="1"/>
  <c r="AD88" i="9"/>
  <c r="AB88" i="9"/>
  <c r="AC88" i="9"/>
  <c r="AP81" i="9"/>
  <c r="AQ81" i="9" s="1"/>
  <c r="AC81" i="9"/>
  <c r="AB81" i="9"/>
  <c r="AD81" i="9"/>
  <c r="AV65" i="9"/>
  <c r="AP65" i="9"/>
  <c r="AQ65" i="9" s="1"/>
  <c r="AC65" i="9"/>
  <c r="AB65" i="9"/>
  <c r="AD65" i="9"/>
  <c r="AP61" i="9"/>
  <c r="AQ61" i="9" s="1"/>
  <c r="AB61" i="9"/>
  <c r="AC61" i="9"/>
  <c r="AV46" i="9"/>
  <c r="AP46" i="9"/>
  <c r="AQ46" i="9" s="1"/>
  <c r="AB46" i="9"/>
  <c r="AC46" i="9"/>
  <c r="AV9" i="9"/>
  <c r="AP9" i="9"/>
  <c r="AQ9" i="9" s="1"/>
  <c r="AC9" i="9"/>
  <c r="AB9" i="9"/>
  <c r="AV6" i="9"/>
  <c r="AP6" i="9"/>
  <c r="AQ6" i="9" s="1"/>
  <c r="AB6" i="9"/>
  <c r="AC6" i="9"/>
  <c r="AB776" i="9"/>
  <c r="AP847" i="9"/>
  <c r="AQ847" i="9" s="1"/>
  <c r="AB847" i="9"/>
  <c r="AC847" i="9"/>
  <c r="AP842" i="9"/>
  <c r="AQ842" i="9" s="1"/>
  <c r="AC842" i="9"/>
  <c r="AB842" i="9"/>
  <c r="AP837" i="9"/>
  <c r="AQ837" i="9" s="1"/>
  <c r="AB837" i="9"/>
  <c r="AC837" i="9"/>
  <c r="AV832" i="9"/>
  <c r="AP832" i="9"/>
  <c r="AQ832" i="9" s="1"/>
  <c r="AB832" i="9"/>
  <c r="AV822" i="9"/>
  <c r="AP822" i="9"/>
  <c r="AQ822" i="9" s="1"/>
  <c r="AC822" i="9"/>
  <c r="AB822" i="9"/>
  <c r="AP815" i="9"/>
  <c r="AQ815" i="9" s="1"/>
  <c r="AB815" i="9"/>
  <c r="AC815" i="9"/>
  <c r="AP808" i="9"/>
  <c r="AQ808" i="9" s="1"/>
  <c r="AC808" i="9"/>
  <c r="AB808" i="9"/>
  <c r="AP799" i="9"/>
  <c r="AQ799" i="9" s="1"/>
  <c r="AB799" i="9"/>
  <c r="AC799" i="9"/>
  <c r="AP792" i="9"/>
  <c r="AQ792" i="9" s="1"/>
  <c r="AC792" i="9"/>
  <c r="AB792" i="9"/>
  <c r="AP781" i="9"/>
  <c r="AQ781" i="9" s="1"/>
  <c r="AB781" i="9"/>
  <c r="AC781" i="9"/>
  <c r="AP779" i="9"/>
  <c r="AQ779" i="9" s="1"/>
  <c r="AB779" i="9"/>
  <c r="AC779" i="9"/>
  <c r="AP777" i="9"/>
  <c r="AQ777" i="9" s="1"/>
  <c r="AB777" i="9"/>
  <c r="AC777" i="9"/>
  <c r="AP775" i="9"/>
  <c r="AQ775" i="9" s="1"/>
  <c r="AB775" i="9"/>
  <c r="AC775" i="9"/>
  <c r="AP768" i="9"/>
  <c r="AQ768" i="9" s="1"/>
  <c r="AC768" i="9"/>
  <c r="AB768" i="9"/>
  <c r="AP761" i="9"/>
  <c r="AQ761" i="9" s="1"/>
  <c r="AB761" i="9"/>
  <c r="AC761" i="9"/>
  <c r="AP759" i="9"/>
  <c r="AQ759" i="9" s="1"/>
  <c r="AC759" i="9"/>
  <c r="AP752" i="9"/>
  <c r="AQ752" i="9" s="1"/>
  <c r="AC752" i="9"/>
  <c r="AB752" i="9"/>
  <c r="AV745" i="9"/>
  <c r="AP745" i="9"/>
  <c r="AQ745" i="9" s="1"/>
  <c r="AB745" i="9"/>
  <c r="AC745" i="9"/>
  <c r="AP743" i="9"/>
  <c r="AQ743" i="9" s="1"/>
  <c r="AB743" i="9"/>
  <c r="AC743" i="9"/>
  <c r="AP736" i="9"/>
  <c r="AQ736" i="9" s="1"/>
  <c r="AC736" i="9"/>
  <c r="AB736" i="9"/>
  <c r="AV729" i="9"/>
  <c r="AP729" i="9"/>
  <c r="AQ729" i="9" s="1"/>
  <c r="AB729" i="9"/>
  <c r="AP727" i="9"/>
  <c r="AQ727" i="9" s="1"/>
  <c r="AB727" i="9"/>
  <c r="AC727" i="9"/>
  <c r="AP720" i="9"/>
  <c r="AQ720" i="9" s="1"/>
  <c r="AC720" i="9"/>
  <c r="AB720" i="9"/>
  <c r="AV713" i="9"/>
  <c r="AP713" i="9"/>
  <c r="AQ713" i="9" s="1"/>
  <c r="AB713" i="9"/>
  <c r="AC713" i="9"/>
  <c r="AP711" i="9"/>
  <c r="AQ711" i="9" s="1"/>
  <c r="AB711" i="9"/>
  <c r="AC711" i="9"/>
  <c r="AP704" i="9"/>
  <c r="AQ704" i="9" s="1"/>
  <c r="AC704" i="9"/>
  <c r="AB704" i="9"/>
  <c r="AP692" i="9"/>
  <c r="AQ692" i="9" s="1"/>
  <c r="AB692" i="9"/>
  <c r="AC692" i="9"/>
  <c r="AP682" i="9"/>
  <c r="AQ682" i="9" s="1"/>
  <c r="AC682" i="9"/>
  <c r="AP673" i="9"/>
  <c r="AQ673" i="9" s="1"/>
  <c r="AB673" i="9"/>
  <c r="AC673" i="9"/>
  <c r="AP664" i="9"/>
  <c r="AQ664" i="9" s="1"/>
  <c r="AC664" i="9"/>
  <c r="AB664" i="9"/>
  <c r="AP662" i="9"/>
  <c r="AQ662" i="9" s="1"/>
  <c r="AC662" i="9"/>
  <c r="AB662" i="9"/>
  <c r="AP651" i="9"/>
  <c r="AQ651" i="9" s="1"/>
  <c r="AB651" i="9"/>
  <c r="AC651" i="9"/>
  <c r="AV642" i="9"/>
  <c r="AP642" i="9"/>
  <c r="AQ642" i="9" s="1"/>
  <c r="AC642" i="9"/>
  <c r="AB642" i="9"/>
  <c r="AP630" i="9"/>
  <c r="AQ630" i="9" s="1"/>
  <c r="AC630" i="9"/>
  <c r="AB630" i="9"/>
  <c r="AP619" i="9"/>
  <c r="AQ619" i="9" s="1"/>
  <c r="AB619" i="9"/>
  <c r="AC619" i="9"/>
  <c r="AV600" i="9"/>
  <c r="AP600" i="9"/>
  <c r="AQ600" i="9" s="1"/>
  <c r="AB600" i="9"/>
  <c r="AC600" i="9"/>
  <c r="AP591" i="9"/>
  <c r="AQ591" i="9" s="1"/>
  <c r="AB591" i="9"/>
  <c r="AP582" i="9"/>
  <c r="AQ582" i="9" s="1"/>
  <c r="AC582" i="9"/>
  <c r="AB582" i="9"/>
  <c r="AP573" i="9"/>
  <c r="AQ573" i="9" s="1"/>
  <c r="AB573" i="9"/>
  <c r="AC573" i="9"/>
  <c r="AV566" i="9"/>
  <c r="AP566" i="9"/>
  <c r="AQ566" i="9" s="1"/>
  <c r="AB566" i="9"/>
  <c r="AC566" i="9"/>
  <c r="AP555" i="9"/>
  <c r="AQ555" i="9" s="1"/>
  <c r="AC555" i="9"/>
  <c r="AB555" i="9"/>
  <c r="AP550" i="9"/>
  <c r="AQ550" i="9" s="1"/>
  <c r="AB550" i="9"/>
  <c r="AP548" i="9"/>
  <c r="AQ548" i="9" s="1"/>
  <c r="AC548" i="9"/>
  <c r="AB548" i="9"/>
  <c r="AP539" i="9"/>
  <c r="AQ539" i="9" s="1"/>
  <c r="AC539" i="9"/>
  <c r="AB539" i="9"/>
  <c r="AP532" i="9"/>
  <c r="AQ532" i="9" s="1"/>
  <c r="AC532" i="9"/>
  <c r="AB532" i="9"/>
  <c r="AP525" i="9"/>
  <c r="AQ525" i="9" s="1"/>
  <c r="AC525" i="9"/>
  <c r="AP516" i="9"/>
  <c r="AQ516" i="9" s="1"/>
  <c r="AC516" i="9"/>
  <c r="AB516" i="9"/>
  <c r="AP514" i="9"/>
  <c r="AQ514" i="9" s="1"/>
  <c r="AB514" i="9"/>
  <c r="AC514" i="9"/>
  <c r="AP512" i="9"/>
  <c r="AQ512" i="9" s="1"/>
  <c r="AB512" i="9"/>
  <c r="AP507" i="9"/>
  <c r="AQ507" i="9" s="1"/>
  <c r="AC507" i="9"/>
  <c r="AB507" i="9"/>
  <c r="AV493" i="9"/>
  <c r="AP493" i="9"/>
  <c r="AQ493" i="9" s="1"/>
  <c r="AB493" i="9"/>
  <c r="AC493" i="9"/>
  <c r="AP486" i="9"/>
  <c r="AQ486" i="9" s="1"/>
  <c r="AB486" i="9"/>
  <c r="AC486" i="9"/>
  <c r="AP472" i="9"/>
  <c r="AQ472" i="9" s="1"/>
  <c r="AC472" i="9"/>
  <c r="AB472" i="9"/>
  <c r="AV465" i="9"/>
  <c r="AP465" i="9"/>
  <c r="AQ465" i="9" s="1"/>
  <c r="AC465" i="9"/>
  <c r="AB465" i="9"/>
  <c r="AP460" i="9"/>
  <c r="AQ460" i="9" s="1"/>
  <c r="AB460" i="9"/>
  <c r="AP458" i="9"/>
  <c r="AQ458" i="9" s="1"/>
  <c r="AB458" i="9"/>
  <c r="AC458" i="9"/>
  <c r="AP453" i="9"/>
  <c r="AQ453" i="9" s="1"/>
  <c r="AC453" i="9"/>
  <c r="AB453" i="9"/>
  <c r="AP451" i="9"/>
  <c r="AQ451" i="9" s="1"/>
  <c r="AB451" i="9"/>
  <c r="AC451" i="9"/>
  <c r="AV446" i="9"/>
  <c r="AP446" i="9"/>
  <c r="AQ446" i="9" s="1"/>
  <c r="AB446" i="9"/>
  <c r="AC446" i="9"/>
  <c r="AV423" i="9"/>
  <c r="AP423" i="9"/>
  <c r="AQ423" i="9" s="1"/>
  <c r="AC423" i="9"/>
  <c r="AP421" i="9"/>
  <c r="AQ421" i="9" s="1"/>
  <c r="AC421" i="9"/>
  <c r="AB421" i="9"/>
  <c r="AP419" i="9"/>
  <c r="AQ419" i="9" s="1"/>
  <c r="AB419" i="9"/>
  <c r="AC419" i="9"/>
  <c r="AP410" i="9"/>
  <c r="AQ410" i="9" s="1"/>
  <c r="AB410" i="9"/>
  <c r="AC410" i="9"/>
  <c r="AP406" i="9"/>
  <c r="AQ406" i="9" s="1"/>
  <c r="AB406" i="9"/>
  <c r="AC406" i="9"/>
  <c r="AP401" i="9"/>
  <c r="AQ401" i="9" s="1"/>
  <c r="AB401" i="9"/>
  <c r="AC401" i="9"/>
  <c r="AP387" i="9"/>
  <c r="AQ387" i="9" s="1"/>
  <c r="AB387" i="9"/>
  <c r="AC387" i="9"/>
  <c r="AP366" i="9"/>
  <c r="AQ366" i="9" s="1"/>
  <c r="AB366" i="9"/>
  <c r="AC366" i="9"/>
  <c r="AP361" i="9"/>
  <c r="AQ361" i="9" s="1"/>
  <c r="AB361" i="9"/>
  <c r="AC361" i="9"/>
  <c r="AP343" i="9"/>
  <c r="AQ343" i="9" s="1"/>
  <c r="AC343" i="9"/>
  <c r="AB343" i="9"/>
  <c r="AP341" i="9"/>
  <c r="AQ341" i="9" s="1"/>
  <c r="AB341" i="9"/>
  <c r="AC341" i="9"/>
  <c r="AP339" i="9"/>
  <c r="AQ339" i="9" s="1"/>
  <c r="AB339" i="9"/>
  <c r="AC339" i="9"/>
  <c r="AV330" i="9"/>
  <c r="AP330" i="9"/>
  <c r="AQ330" i="9" s="1"/>
  <c r="AB330" i="9"/>
  <c r="AC330" i="9"/>
  <c r="AP321" i="9"/>
  <c r="AQ321" i="9" s="1"/>
  <c r="AC321" i="9"/>
  <c r="AB321" i="9"/>
  <c r="AV308" i="9"/>
  <c r="AP308" i="9"/>
  <c r="AQ308" i="9" s="1"/>
  <c r="AB308" i="9"/>
  <c r="AC308" i="9"/>
  <c r="AP301" i="9"/>
  <c r="AQ301" i="9" s="1"/>
  <c r="AC301" i="9"/>
  <c r="AB301" i="9"/>
  <c r="AP294" i="9"/>
  <c r="AQ294" i="9" s="1"/>
  <c r="AB294" i="9"/>
  <c r="AC294" i="9"/>
  <c r="AV287" i="9"/>
  <c r="AP287" i="9"/>
  <c r="AQ287" i="9" s="1"/>
  <c r="AC287" i="9"/>
  <c r="AB287" i="9"/>
  <c r="AP282" i="9"/>
  <c r="AQ282" i="9" s="1"/>
  <c r="AC282" i="9"/>
  <c r="AB282" i="9"/>
  <c r="AP280" i="9"/>
  <c r="AQ280" i="9" s="1"/>
  <c r="AB280" i="9"/>
  <c r="AC280" i="9"/>
  <c r="AP275" i="9"/>
  <c r="AQ275" i="9" s="1"/>
  <c r="AB275" i="9"/>
  <c r="AC275" i="9"/>
  <c r="AV268" i="9"/>
  <c r="AP268" i="9"/>
  <c r="AQ268" i="9" s="1"/>
  <c r="AB268" i="9"/>
  <c r="AC268" i="9"/>
  <c r="AP261" i="9"/>
  <c r="AQ261" i="9" s="1"/>
  <c r="AB261" i="9"/>
  <c r="AC261" i="9"/>
  <c r="AP249" i="9"/>
  <c r="AQ249" i="9" s="1"/>
  <c r="AB249" i="9"/>
  <c r="AC249" i="9"/>
  <c r="AP247" i="9"/>
  <c r="AQ247" i="9" s="1"/>
  <c r="AB247" i="9"/>
  <c r="AC247" i="9"/>
  <c r="AP245" i="9"/>
  <c r="AQ245" i="9" s="1"/>
  <c r="AB245" i="9"/>
  <c r="AC245" i="9"/>
  <c r="AV239" i="9"/>
  <c r="AP239" i="9"/>
  <c r="AQ239" i="9" s="1"/>
  <c r="AB239" i="9"/>
  <c r="AC239" i="9"/>
  <c r="AP229" i="9"/>
  <c r="AQ229" i="9" s="1"/>
  <c r="AB229" i="9"/>
  <c r="AC229" i="9"/>
  <c r="AV218" i="9"/>
  <c r="AP218" i="9"/>
  <c r="AQ218" i="9" s="1"/>
  <c r="AC218" i="9"/>
  <c r="AB218" i="9"/>
  <c r="AP210" i="9"/>
  <c r="AQ210" i="9" s="1"/>
  <c r="AC210" i="9"/>
  <c r="AB210" i="9"/>
  <c r="AP192" i="9"/>
  <c r="AQ192" i="9" s="1"/>
  <c r="AB192" i="9"/>
  <c r="AC192" i="9"/>
  <c r="AC187" i="9"/>
  <c r="AP187" i="9"/>
  <c r="AQ187" i="9" s="1"/>
  <c r="AB187" i="9"/>
  <c r="AP179" i="9"/>
  <c r="AQ179" i="9" s="1"/>
  <c r="AC179" i="9"/>
  <c r="AB179" i="9"/>
  <c r="AP168" i="9"/>
  <c r="AQ168" i="9" s="1"/>
  <c r="AB168" i="9"/>
  <c r="AC168" i="9"/>
  <c r="AP166" i="9"/>
  <c r="AQ166" i="9" s="1"/>
  <c r="AB166" i="9"/>
  <c r="AC166" i="9"/>
  <c r="AP163" i="9"/>
  <c r="AQ163" i="9" s="1"/>
  <c r="AC163" i="9"/>
  <c r="AB163" i="9"/>
  <c r="AP160" i="9"/>
  <c r="AQ160" i="9" s="1"/>
  <c r="AB160" i="9"/>
  <c r="AC160" i="9"/>
  <c r="AP155" i="9"/>
  <c r="AQ155" i="9" s="1"/>
  <c r="AC155" i="9"/>
  <c r="AB155" i="9"/>
  <c r="AP152" i="9"/>
  <c r="AQ152" i="9" s="1"/>
  <c r="AB152" i="9"/>
  <c r="AC152" i="9"/>
  <c r="AP144" i="9"/>
  <c r="AQ144" i="9" s="1"/>
  <c r="AB144" i="9"/>
  <c r="AC144" i="9"/>
  <c r="AP130" i="9"/>
  <c r="AQ130" i="9" s="1"/>
  <c r="AB130" i="9"/>
  <c r="AC130" i="9"/>
  <c r="AP125" i="9"/>
  <c r="AQ125" i="9" s="1"/>
  <c r="AB125" i="9"/>
  <c r="AC125" i="9"/>
  <c r="AP122" i="9"/>
  <c r="AQ122" i="9" s="1"/>
  <c r="AB122" i="9"/>
  <c r="AC122" i="9"/>
  <c r="AV108" i="9"/>
  <c r="AP108" i="9"/>
  <c r="AQ108" i="9" s="1"/>
  <c r="AD108" i="9"/>
  <c r="AB108" i="9"/>
  <c r="AC108" i="9"/>
  <c r="AP106" i="9"/>
  <c r="AQ106" i="9" s="1"/>
  <c r="AB106" i="9"/>
  <c r="AC106" i="9"/>
  <c r="AD106" i="9"/>
  <c r="AP90" i="9"/>
  <c r="AQ90" i="9" s="1"/>
  <c r="AB90" i="9"/>
  <c r="AC90" i="9"/>
  <c r="AD90" i="9"/>
  <c r="AP83" i="9"/>
  <c r="AQ83" i="9" s="1"/>
  <c r="AC83" i="9"/>
  <c r="AB83" i="9"/>
  <c r="AD83" i="9"/>
  <c r="AP74" i="9"/>
  <c r="AQ74" i="9" s="1"/>
  <c r="AB74" i="9"/>
  <c r="AD74" i="9"/>
  <c r="AC74" i="9"/>
  <c r="AP39" i="9"/>
  <c r="AQ39" i="9" s="1"/>
  <c r="AC39" i="9"/>
  <c r="AB39" i="9"/>
  <c r="AV14" i="9"/>
  <c r="AP14" i="9"/>
  <c r="AQ14" i="9" s="1"/>
  <c r="AB14" i="9"/>
  <c r="AC14" i="9"/>
  <c r="AB806" i="9"/>
  <c r="AC669" i="9"/>
  <c r="AC620" i="9"/>
  <c r="AB440" i="9"/>
  <c r="AP859" i="9"/>
  <c r="AQ859" i="9" s="1"/>
  <c r="AB859" i="9"/>
  <c r="AC859" i="9"/>
  <c r="AV854" i="9"/>
  <c r="AP854" i="9"/>
  <c r="AQ854" i="9" s="1"/>
  <c r="AC854" i="9"/>
  <c r="AB854" i="9"/>
  <c r="AV849" i="9"/>
  <c r="AP849" i="9"/>
  <c r="AQ849" i="9" s="1"/>
  <c r="AB849" i="9"/>
  <c r="AC849" i="9"/>
  <c r="AP844" i="9"/>
  <c r="AQ844" i="9" s="1"/>
  <c r="AB844" i="9"/>
  <c r="AC844" i="9"/>
  <c r="AP827" i="9"/>
  <c r="AQ827" i="9" s="1"/>
  <c r="AB827" i="9"/>
  <c r="AC827" i="9"/>
  <c r="AV824" i="9"/>
  <c r="AP824" i="9"/>
  <c r="AQ824" i="9" s="1"/>
  <c r="AB824" i="9"/>
  <c r="AC824" i="9"/>
  <c r="AP817" i="9"/>
  <c r="AQ817" i="9" s="1"/>
  <c r="AB817" i="9"/>
  <c r="AC817" i="9"/>
  <c r="AP810" i="9"/>
  <c r="AQ810" i="9" s="1"/>
  <c r="AC810" i="9"/>
  <c r="AP801" i="9"/>
  <c r="AQ801" i="9" s="1"/>
  <c r="AB801" i="9"/>
  <c r="AC801" i="9"/>
  <c r="AP794" i="9"/>
  <c r="AQ794" i="9" s="1"/>
  <c r="AC794" i="9"/>
  <c r="AB794" i="9"/>
  <c r="AP785" i="9"/>
  <c r="AQ785" i="9" s="1"/>
  <c r="AB785" i="9"/>
  <c r="AC785" i="9"/>
  <c r="AP783" i="9"/>
  <c r="AQ783" i="9" s="1"/>
  <c r="AB783" i="9"/>
  <c r="AC783" i="9"/>
  <c r="AV770" i="9"/>
  <c r="AP770" i="9"/>
  <c r="AQ770" i="9" s="1"/>
  <c r="AC770" i="9"/>
  <c r="AB770" i="9"/>
  <c r="AV754" i="9"/>
  <c r="AP754" i="9"/>
  <c r="AQ754" i="9" s="1"/>
  <c r="AC754" i="9"/>
  <c r="AB754" i="9"/>
  <c r="AV738" i="9"/>
  <c r="AP738" i="9"/>
  <c r="AQ738" i="9" s="1"/>
  <c r="AC738" i="9"/>
  <c r="AB738" i="9"/>
  <c r="AV722" i="9"/>
  <c r="AP722" i="9"/>
  <c r="AQ722" i="9" s="1"/>
  <c r="AC722" i="9"/>
  <c r="AB722" i="9"/>
  <c r="AV706" i="9"/>
  <c r="AP706" i="9"/>
  <c r="AQ706" i="9" s="1"/>
  <c r="AC706" i="9"/>
  <c r="AB706" i="9"/>
  <c r="AP701" i="9"/>
  <c r="AQ701" i="9" s="1"/>
  <c r="AB701" i="9"/>
  <c r="AC701" i="9"/>
  <c r="AP699" i="9"/>
  <c r="AQ699" i="9" s="1"/>
  <c r="AB699" i="9"/>
  <c r="AP694" i="9"/>
  <c r="AQ694" i="9" s="1"/>
  <c r="AC694" i="9"/>
  <c r="AB694" i="9"/>
  <c r="AV689" i="9"/>
  <c r="AP689" i="9"/>
  <c r="AQ689" i="9" s="1"/>
  <c r="AB689" i="9"/>
  <c r="AC689" i="9"/>
  <c r="AV684" i="9"/>
  <c r="AP684" i="9"/>
  <c r="AQ684" i="9" s="1"/>
  <c r="AB684" i="9"/>
  <c r="AC684" i="9"/>
  <c r="AP675" i="9"/>
  <c r="AQ675" i="9" s="1"/>
  <c r="AB675" i="9"/>
  <c r="AC675" i="9"/>
  <c r="AP666" i="9"/>
  <c r="AQ666" i="9" s="1"/>
  <c r="AC666" i="9"/>
  <c r="AB666" i="9"/>
  <c r="AP655" i="9"/>
  <c r="AQ655" i="9" s="1"/>
  <c r="AC655" i="9"/>
  <c r="AP653" i="9"/>
  <c r="AQ653" i="9" s="1"/>
  <c r="AB653" i="9"/>
  <c r="AC653" i="9"/>
  <c r="AP644" i="9"/>
  <c r="AQ644" i="9" s="1"/>
  <c r="AB644" i="9"/>
  <c r="AC644" i="9"/>
  <c r="AP635" i="9"/>
  <c r="AQ635" i="9" s="1"/>
  <c r="AB635" i="9"/>
  <c r="AC635" i="9"/>
  <c r="AP623" i="9"/>
  <c r="AQ623" i="9" s="1"/>
  <c r="AB623" i="9"/>
  <c r="AC623" i="9"/>
  <c r="AP621" i="9"/>
  <c r="AQ621" i="9" s="1"/>
  <c r="AB621" i="9"/>
  <c r="AC621" i="9"/>
  <c r="AP614" i="9"/>
  <c r="AQ614" i="9" s="1"/>
  <c r="AC614" i="9"/>
  <c r="AB614" i="9"/>
  <c r="AP609" i="9"/>
  <c r="AQ609" i="9" s="1"/>
  <c r="AC609" i="9"/>
  <c r="AB609" i="9"/>
  <c r="AP607" i="9"/>
  <c r="AQ607" i="9" s="1"/>
  <c r="AB607" i="9"/>
  <c r="AC607" i="9"/>
  <c r="AP602" i="9"/>
  <c r="AQ602" i="9" s="1"/>
  <c r="AC602" i="9"/>
  <c r="AB602" i="9"/>
  <c r="AP593" i="9"/>
  <c r="AQ593" i="9" s="1"/>
  <c r="AC593" i="9"/>
  <c r="AB593" i="9"/>
  <c r="AP586" i="9"/>
  <c r="AQ586" i="9" s="1"/>
  <c r="AC586" i="9"/>
  <c r="AB586" i="9"/>
  <c r="AP584" i="9"/>
  <c r="AQ584" i="9" s="1"/>
  <c r="AB584" i="9"/>
  <c r="AC584" i="9"/>
  <c r="AP570" i="9"/>
  <c r="AQ570" i="9" s="1"/>
  <c r="AB570" i="9"/>
  <c r="AC570" i="9"/>
  <c r="AP568" i="9"/>
  <c r="AQ568" i="9" s="1"/>
  <c r="AB568" i="9"/>
  <c r="AP557" i="9"/>
  <c r="AQ557" i="9" s="1"/>
  <c r="AB557" i="9"/>
  <c r="AC557" i="9"/>
  <c r="AP543" i="9"/>
  <c r="AQ543" i="9" s="1"/>
  <c r="AC543" i="9"/>
  <c r="AB543" i="9"/>
  <c r="AP541" i="9"/>
  <c r="AQ541" i="9" s="1"/>
  <c r="AC541" i="9"/>
  <c r="AB541" i="9"/>
  <c r="AP534" i="9"/>
  <c r="AQ534" i="9" s="1"/>
  <c r="AB534" i="9"/>
  <c r="AC534" i="9"/>
  <c r="AV527" i="9"/>
  <c r="AP527" i="9"/>
  <c r="AQ527" i="9" s="1"/>
  <c r="AC527" i="9"/>
  <c r="AB527" i="9"/>
  <c r="AP518" i="9"/>
  <c r="AQ518" i="9" s="1"/>
  <c r="AB518" i="9"/>
  <c r="AC518" i="9"/>
  <c r="AV509" i="9"/>
  <c r="AP509" i="9"/>
  <c r="AQ509" i="9" s="1"/>
  <c r="AC509" i="9"/>
  <c r="AB509" i="9"/>
  <c r="AP502" i="9"/>
  <c r="AQ502" i="9" s="1"/>
  <c r="AB502" i="9"/>
  <c r="AC502" i="9"/>
  <c r="AP500" i="9"/>
  <c r="AQ500" i="9" s="1"/>
  <c r="AC500" i="9"/>
  <c r="AB500" i="9"/>
  <c r="AP498" i="9"/>
  <c r="AQ498" i="9" s="1"/>
  <c r="AB498" i="9"/>
  <c r="AC498" i="9"/>
  <c r="AV479" i="9"/>
  <c r="AP479" i="9"/>
  <c r="AQ479" i="9" s="1"/>
  <c r="AC479" i="9"/>
  <c r="AB479" i="9"/>
  <c r="AP469" i="9"/>
  <c r="AQ469" i="9" s="1"/>
  <c r="AB469" i="9"/>
  <c r="AC469" i="9"/>
  <c r="AP467" i="9"/>
  <c r="AQ467" i="9" s="1"/>
  <c r="AB467" i="9"/>
  <c r="AC467" i="9"/>
  <c r="AV462" i="9"/>
  <c r="AP462" i="9"/>
  <c r="AQ462" i="9" s="1"/>
  <c r="AB462" i="9"/>
  <c r="AC462" i="9"/>
  <c r="AV439" i="9"/>
  <c r="AP439" i="9"/>
  <c r="AQ439" i="9" s="1"/>
  <c r="AC439" i="9"/>
  <c r="AB439" i="9"/>
  <c r="AV432" i="9"/>
  <c r="AP432" i="9"/>
  <c r="AQ432" i="9" s="1"/>
  <c r="AC432" i="9"/>
  <c r="AB432" i="9"/>
  <c r="AV425" i="9"/>
  <c r="AP425" i="9"/>
  <c r="AQ425" i="9" s="1"/>
  <c r="AB425" i="9"/>
  <c r="AC425" i="9"/>
  <c r="AP408" i="9"/>
  <c r="AQ408" i="9" s="1"/>
  <c r="AC408" i="9"/>
  <c r="AB408" i="9"/>
  <c r="AP403" i="9"/>
  <c r="AQ403" i="9" s="1"/>
  <c r="AB403" i="9"/>
  <c r="AC403" i="9"/>
  <c r="AP398" i="9"/>
  <c r="AQ398" i="9" s="1"/>
  <c r="AB398" i="9"/>
  <c r="AC398" i="9"/>
  <c r="AP382" i="9"/>
  <c r="AQ382" i="9" s="1"/>
  <c r="AB382" i="9"/>
  <c r="AC382" i="9"/>
  <c r="AP377" i="9"/>
  <c r="AQ377" i="9" s="1"/>
  <c r="AB377" i="9"/>
  <c r="AC377" i="9"/>
  <c r="AP373" i="9"/>
  <c r="AQ373" i="9" s="1"/>
  <c r="AC373" i="9"/>
  <c r="AB373" i="9"/>
  <c r="AV368" i="9"/>
  <c r="AP368" i="9"/>
  <c r="AQ368" i="9" s="1"/>
  <c r="AC368" i="9"/>
  <c r="AB368" i="9"/>
  <c r="AV354" i="9"/>
  <c r="AP354" i="9"/>
  <c r="AQ354" i="9" s="1"/>
  <c r="AB354" i="9"/>
  <c r="AC354" i="9"/>
  <c r="AP345" i="9"/>
  <c r="AQ345" i="9" s="1"/>
  <c r="AB345" i="9"/>
  <c r="AC345" i="9"/>
  <c r="AV336" i="9"/>
  <c r="AP336" i="9"/>
  <c r="AQ336" i="9" s="1"/>
  <c r="AC336" i="9"/>
  <c r="AB336" i="9"/>
  <c r="AP334" i="9"/>
  <c r="AQ334" i="9" s="1"/>
  <c r="AB334" i="9"/>
  <c r="AC334" i="9"/>
  <c r="AP332" i="9"/>
  <c r="AQ332" i="9" s="1"/>
  <c r="AB332" i="9"/>
  <c r="AC332" i="9"/>
  <c r="AP303" i="9"/>
  <c r="AQ303" i="9" s="1"/>
  <c r="AC303" i="9"/>
  <c r="AB303" i="9"/>
  <c r="AP298" i="9"/>
  <c r="AQ298" i="9" s="1"/>
  <c r="AB298" i="9"/>
  <c r="AC298" i="9"/>
  <c r="AP296" i="9"/>
  <c r="AQ296" i="9" s="1"/>
  <c r="AB296" i="9"/>
  <c r="AC296" i="9"/>
  <c r="AP289" i="9"/>
  <c r="AQ289" i="9" s="1"/>
  <c r="AC289" i="9"/>
  <c r="AB289" i="9"/>
  <c r="AV270" i="9"/>
  <c r="AP270" i="9"/>
  <c r="AQ270" i="9" s="1"/>
  <c r="AC270" i="9"/>
  <c r="AB270" i="9"/>
  <c r="AV263" i="9"/>
  <c r="AP263" i="9"/>
  <c r="AQ263" i="9" s="1"/>
  <c r="AB263" i="9"/>
  <c r="AC263" i="9"/>
  <c r="AV258" i="9"/>
  <c r="AP258" i="9"/>
  <c r="AQ258" i="9" s="1"/>
  <c r="AC258" i="9"/>
  <c r="AB258" i="9"/>
  <c r="AP256" i="9"/>
  <c r="AQ256" i="9" s="1"/>
  <c r="AB256" i="9"/>
  <c r="AC256" i="9"/>
  <c r="AC251" i="9"/>
  <c r="AP251" i="9"/>
  <c r="AQ251" i="9" s="1"/>
  <c r="AB251" i="9"/>
  <c r="AV242" i="9"/>
  <c r="AP242" i="9"/>
  <c r="AQ242" i="9" s="1"/>
  <c r="AC242" i="9"/>
  <c r="AB242" i="9"/>
  <c r="AP213" i="9"/>
  <c r="AQ213" i="9" s="1"/>
  <c r="AB213" i="9"/>
  <c r="AC213" i="9"/>
  <c r="AP205" i="9"/>
  <c r="AQ205" i="9" s="1"/>
  <c r="AB205" i="9"/>
  <c r="AC205" i="9"/>
  <c r="AP200" i="9"/>
  <c r="AQ200" i="9" s="1"/>
  <c r="AB200" i="9"/>
  <c r="AC200" i="9"/>
  <c r="AP198" i="9"/>
  <c r="AQ198" i="9" s="1"/>
  <c r="AB198" i="9"/>
  <c r="AC198" i="9"/>
  <c r="AP195" i="9"/>
  <c r="AQ195" i="9" s="1"/>
  <c r="AC195" i="9"/>
  <c r="AB195" i="9"/>
  <c r="AP190" i="9"/>
  <c r="AQ190" i="9" s="1"/>
  <c r="AB190" i="9"/>
  <c r="AC190" i="9"/>
  <c r="AP182" i="9"/>
  <c r="AQ182" i="9" s="1"/>
  <c r="AB182" i="9"/>
  <c r="AC182" i="9"/>
  <c r="AP177" i="9"/>
  <c r="AQ177" i="9" s="1"/>
  <c r="AB177" i="9"/>
  <c r="AC177" i="9"/>
  <c r="AP174" i="9"/>
  <c r="AQ174" i="9" s="1"/>
  <c r="AB174" i="9"/>
  <c r="AC174" i="9"/>
  <c r="AP158" i="9"/>
  <c r="AQ158" i="9" s="1"/>
  <c r="AB158" i="9"/>
  <c r="AC158" i="9"/>
  <c r="AP136" i="9"/>
  <c r="AQ136" i="9" s="1"/>
  <c r="AB136" i="9"/>
  <c r="AC136" i="9"/>
  <c r="AP133" i="9"/>
  <c r="AQ133" i="9" s="1"/>
  <c r="AB133" i="9"/>
  <c r="AC133" i="9"/>
  <c r="AP116" i="9"/>
  <c r="AQ116" i="9" s="1"/>
  <c r="AD116" i="9"/>
  <c r="AC116" i="9"/>
  <c r="AB116" i="9"/>
  <c r="AP110" i="9"/>
  <c r="AQ110" i="9" s="1"/>
  <c r="AB110" i="9"/>
  <c r="AC110" i="9"/>
  <c r="AD110" i="9"/>
  <c r="AP103" i="9"/>
  <c r="AQ103" i="9" s="1"/>
  <c r="AC103" i="9"/>
  <c r="AB103" i="9"/>
  <c r="AD103" i="9"/>
  <c r="AC99" i="9"/>
  <c r="AP99" i="9"/>
  <c r="AQ99" i="9" s="1"/>
  <c r="AB99" i="9"/>
  <c r="AD99" i="9"/>
  <c r="AV97" i="9"/>
  <c r="AP97" i="9"/>
  <c r="AQ97" i="9" s="1"/>
  <c r="AC97" i="9"/>
  <c r="AD97" i="9"/>
  <c r="AB97" i="9"/>
  <c r="AP76" i="9"/>
  <c r="AQ76" i="9" s="1"/>
  <c r="AB76" i="9"/>
  <c r="AD76" i="9"/>
  <c r="AC76" i="9"/>
  <c r="AP69" i="9"/>
  <c r="AQ69" i="9" s="1"/>
  <c r="AB69" i="9"/>
  <c r="AC69" i="9"/>
  <c r="AD69" i="9"/>
  <c r="AP67" i="9"/>
  <c r="AQ67" i="9" s="1"/>
  <c r="AC67" i="9"/>
  <c r="AD67" i="9"/>
  <c r="AB67" i="9"/>
  <c r="AP54" i="9"/>
  <c r="AQ54" i="9" s="1"/>
  <c r="AB54" i="9"/>
  <c r="AC54" i="9"/>
  <c r="AP20" i="9"/>
  <c r="AQ20" i="9" s="1"/>
  <c r="AB20" i="9"/>
  <c r="AC20" i="9"/>
  <c r="AV20" i="9"/>
  <c r="AC832" i="9"/>
  <c r="AC767" i="9"/>
  <c r="AC699" i="9"/>
  <c r="AC665" i="9"/>
  <c r="AC550" i="9"/>
  <c r="AB423" i="9"/>
  <c r="AP861" i="9"/>
  <c r="AQ861" i="9" s="1"/>
  <c r="AB861" i="9"/>
  <c r="AC861" i="9"/>
  <c r="AV856" i="9"/>
  <c r="AP856" i="9"/>
  <c r="AQ856" i="9" s="1"/>
  <c r="AB856" i="9"/>
  <c r="AC856" i="9"/>
  <c r="AV843" i="9"/>
  <c r="AP839" i="9"/>
  <c r="AQ839" i="9" s="1"/>
  <c r="AB839" i="9"/>
  <c r="AP834" i="9"/>
  <c r="AQ834" i="9" s="1"/>
  <c r="AC834" i="9"/>
  <c r="AB834" i="9"/>
  <c r="AP829" i="9"/>
  <c r="AQ829" i="9" s="1"/>
  <c r="AB829" i="9"/>
  <c r="AC829" i="9"/>
  <c r="AV823" i="9"/>
  <c r="AP819" i="9"/>
  <c r="AQ819" i="9" s="1"/>
  <c r="AB819" i="9"/>
  <c r="AC819" i="9"/>
  <c r="AP812" i="9"/>
  <c r="AQ812" i="9" s="1"/>
  <c r="AB812" i="9"/>
  <c r="AC812" i="9"/>
  <c r="AV809" i="9"/>
  <c r="AP803" i="9"/>
  <c r="AQ803" i="9" s="1"/>
  <c r="AB803" i="9"/>
  <c r="AC803" i="9"/>
  <c r="AP796" i="9"/>
  <c r="AQ796" i="9" s="1"/>
  <c r="AB796" i="9"/>
  <c r="AC796" i="9"/>
  <c r="AP789" i="9"/>
  <c r="AQ789" i="9" s="1"/>
  <c r="AB789" i="9"/>
  <c r="AC789" i="9"/>
  <c r="AP787" i="9"/>
  <c r="AQ787" i="9" s="1"/>
  <c r="AB787" i="9"/>
  <c r="AC787" i="9"/>
  <c r="AV784" i="9"/>
  <c r="AP772" i="9"/>
  <c r="AQ772" i="9" s="1"/>
  <c r="AC772" i="9"/>
  <c r="AP765" i="9"/>
  <c r="AQ765" i="9" s="1"/>
  <c r="AB765" i="9"/>
  <c r="AC765" i="9"/>
  <c r="AP763" i="9"/>
  <c r="AQ763" i="9" s="1"/>
  <c r="AB763" i="9"/>
  <c r="AP756" i="9"/>
  <c r="AQ756" i="9" s="1"/>
  <c r="AB756" i="9"/>
  <c r="AC756" i="9"/>
  <c r="AP749" i="9"/>
  <c r="AQ749" i="9" s="1"/>
  <c r="AB749" i="9"/>
  <c r="AC749" i="9"/>
  <c r="AP747" i="9"/>
  <c r="AQ747" i="9" s="1"/>
  <c r="AB747" i="9"/>
  <c r="AC747" i="9"/>
  <c r="AP740" i="9"/>
  <c r="AQ740" i="9" s="1"/>
  <c r="AB740" i="9"/>
  <c r="AC740" i="9"/>
  <c r="AP733" i="9"/>
  <c r="AQ733" i="9" s="1"/>
  <c r="AB733" i="9"/>
  <c r="AP731" i="9"/>
  <c r="AQ731" i="9" s="1"/>
  <c r="AB731" i="9"/>
  <c r="AC731" i="9"/>
  <c r="AP724" i="9"/>
  <c r="AQ724" i="9" s="1"/>
  <c r="AB724" i="9"/>
  <c r="AC724" i="9"/>
  <c r="AP717" i="9"/>
  <c r="AQ717" i="9" s="1"/>
  <c r="AB717" i="9"/>
  <c r="AC717" i="9"/>
  <c r="AP715" i="9"/>
  <c r="AQ715" i="9" s="1"/>
  <c r="AB715" i="9"/>
  <c r="AC715" i="9"/>
  <c r="AP708" i="9"/>
  <c r="AQ708" i="9" s="1"/>
  <c r="AC708" i="9"/>
  <c r="AV700" i="9"/>
  <c r="AV688" i="9"/>
  <c r="AP686" i="9"/>
  <c r="AQ686" i="9" s="1"/>
  <c r="AC686" i="9"/>
  <c r="AB686" i="9"/>
  <c r="AP679" i="9"/>
  <c r="AQ679" i="9" s="1"/>
  <c r="AB679" i="9"/>
  <c r="AC679" i="9"/>
  <c r="AP677" i="9"/>
  <c r="AQ677" i="9" s="1"/>
  <c r="AB677" i="9"/>
  <c r="AC677" i="9"/>
  <c r="AP668" i="9"/>
  <c r="AQ668" i="9" s="1"/>
  <c r="AB668" i="9"/>
  <c r="AC668" i="9"/>
  <c r="AV665" i="9"/>
  <c r="AP657" i="9"/>
  <c r="AQ657" i="9" s="1"/>
  <c r="AB657" i="9"/>
  <c r="AC657" i="9"/>
  <c r="AV654" i="9"/>
  <c r="AP648" i="9"/>
  <c r="AQ648" i="9" s="1"/>
  <c r="AB648" i="9"/>
  <c r="AC648" i="9"/>
  <c r="AP646" i="9"/>
  <c r="AQ646" i="9" s="1"/>
  <c r="AC646" i="9"/>
  <c r="AB646" i="9"/>
  <c r="AV643" i="9"/>
  <c r="AP639" i="9"/>
  <c r="AQ639" i="9" s="1"/>
  <c r="AB639" i="9"/>
  <c r="AC639" i="9"/>
  <c r="AP637" i="9"/>
  <c r="AQ637" i="9" s="1"/>
  <c r="AB637" i="9"/>
  <c r="AC637" i="9"/>
  <c r="AP632" i="9"/>
  <c r="AQ632" i="9" s="1"/>
  <c r="AB632" i="9"/>
  <c r="AC632" i="9"/>
  <c r="AP625" i="9"/>
  <c r="AQ625" i="9" s="1"/>
  <c r="AC625" i="9"/>
  <c r="AB625" i="9"/>
  <c r="AV622" i="9"/>
  <c r="AP616" i="9"/>
  <c r="AQ616" i="9" s="1"/>
  <c r="AB616" i="9"/>
  <c r="AC616" i="9"/>
  <c r="AV608" i="9"/>
  <c r="AP604" i="9"/>
  <c r="AQ604" i="9" s="1"/>
  <c r="AB604" i="9"/>
  <c r="AC604" i="9"/>
  <c r="AV601" i="9"/>
  <c r="AP595" i="9"/>
  <c r="AQ595" i="9" s="1"/>
  <c r="AB595" i="9"/>
  <c r="AC595" i="9"/>
  <c r="AP588" i="9"/>
  <c r="AQ588" i="9" s="1"/>
  <c r="AB588" i="9"/>
  <c r="AC588" i="9"/>
  <c r="AV585" i="9"/>
  <c r="AV583" i="9"/>
  <c r="AP577" i="9"/>
  <c r="AQ577" i="9" s="1"/>
  <c r="AC577" i="9"/>
  <c r="AB577" i="9"/>
  <c r="AP575" i="9"/>
  <c r="AQ575" i="9" s="1"/>
  <c r="AB575" i="9"/>
  <c r="AC575" i="9"/>
  <c r="AP572" i="9"/>
  <c r="AQ572" i="9" s="1"/>
  <c r="AC572" i="9"/>
  <c r="AB572" i="9"/>
  <c r="AV569" i="9"/>
  <c r="AV567" i="9"/>
  <c r="AP561" i="9"/>
  <c r="AQ561" i="9" s="1"/>
  <c r="AB561" i="9"/>
  <c r="AC561" i="9"/>
  <c r="AP559" i="9"/>
  <c r="AQ559" i="9" s="1"/>
  <c r="AC559" i="9"/>
  <c r="AB559" i="9"/>
  <c r="AP552" i="9"/>
  <c r="AQ552" i="9" s="1"/>
  <c r="AB552" i="9"/>
  <c r="AC552" i="9"/>
  <c r="AP545" i="9"/>
  <c r="AQ545" i="9" s="1"/>
  <c r="AB545" i="9"/>
  <c r="AC545" i="9"/>
  <c r="AV542" i="9"/>
  <c r="AV540" i="9"/>
  <c r="AP529" i="9"/>
  <c r="AQ529" i="9" s="1"/>
  <c r="AB529" i="9"/>
  <c r="AC529" i="9"/>
  <c r="AV508" i="9"/>
  <c r="AV504" i="9"/>
  <c r="AP504" i="9"/>
  <c r="AQ504" i="9" s="1"/>
  <c r="AB504" i="9"/>
  <c r="AC504" i="9"/>
  <c r="AV499" i="9"/>
  <c r="AP495" i="9"/>
  <c r="AQ495" i="9" s="1"/>
  <c r="AC495" i="9"/>
  <c r="AP488" i="9"/>
  <c r="AQ488" i="9" s="1"/>
  <c r="AC488" i="9"/>
  <c r="AB488" i="9"/>
  <c r="AV481" i="9"/>
  <c r="AP481" i="9"/>
  <c r="AQ481" i="9" s="1"/>
  <c r="AC481" i="9"/>
  <c r="AB481" i="9"/>
  <c r="AP474" i="9"/>
  <c r="AQ474" i="9" s="1"/>
  <c r="AB474" i="9"/>
  <c r="AC474" i="9"/>
  <c r="AV468" i="9"/>
  <c r="AV466" i="9"/>
  <c r="AV455" i="9"/>
  <c r="AP455" i="9"/>
  <c r="AQ455" i="9" s="1"/>
  <c r="AC455" i="9"/>
  <c r="AB455" i="9"/>
  <c r="AP448" i="9"/>
  <c r="AQ448" i="9" s="1"/>
  <c r="AC448" i="9"/>
  <c r="AB448" i="9"/>
  <c r="AV441" i="9"/>
  <c r="AP441" i="9"/>
  <c r="AQ441" i="9" s="1"/>
  <c r="AB441" i="9"/>
  <c r="AC441" i="9"/>
  <c r="AP429" i="9"/>
  <c r="AQ429" i="9" s="1"/>
  <c r="AB429" i="9"/>
  <c r="AC429" i="9"/>
  <c r="AP427" i="9"/>
  <c r="AQ427" i="9" s="1"/>
  <c r="AB427" i="9"/>
  <c r="AC427" i="9"/>
  <c r="AV424" i="9"/>
  <c r="AP416" i="9"/>
  <c r="AQ416" i="9" s="1"/>
  <c r="AC416" i="9"/>
  <c r="AB416" i="9"/>
  <c r="AP414" i="9"/>
  <c r="AQ414" i="9" s="1"/>
  <c r="AB414" i="9"/>
  <c r="AC414" i="9"/>
  <c r="AV412" i="9"/>
  <c r="AP412" i="9"/>
  <c r="AQ412" i="9" s="1"/>
  <c r="AB412" i="9"/>
  <c r="AC412" i="9"/>
  <c r="AV391" i="9"/>
  <c r="AP391" i="9"/>
  <c r="AQ391" i="9" s="1"/>
  <c r="AC391" i="9"/>
  <c r="AB391" i="9"/>
  <c r="AP389" i="9"/>
  <c r="AQ389" i="9" s="1"/>
  <c r="AC389" i="9"/>
  <c r="AB389" i="9"/>
  <c r="AP384" i="9"/>
  <c r="AQ384" i="9" s="1"/>
  <c r="AC384" i="9"/>
  <c r="AB384" i="9"/>
  <c r="AP379" i="9"/>
  <c r="AQ379" i="9" s="1"/>
  <c r="AB379" i="9"/>
  <c r="AC379" i="9"/>
  <c r="AV376" i="9"/>
  <c r="AP375" i="9"/>
  <c r="AQ375" i="9" s="1"/>
  <c r="AC375" i="9"/>
  <c r="AB375" i="9"/>
  <c r="AP370" i="9"/>
  <c r="AQ370" i="9" s="1"/>
  <c r="AB370" i="9"/>
  <c r="AC370" i="9"/>
  <c r="AV367" i="9"/>
  <c r="AP363" i="9"/>
  <c r="AQ363" i="9" s="1"/>
  <c r="AB363" i="9"/>
  <c r="AC363" i="9"/>
  <c r="AP358" i="9"/>
  <c r="AQ358" i="9" s="1"/>
  <c r="AB358" i="9"/>
  <c r="AC358" i="9"/>
  <c r="AP356" i="9"/>
  <c r="AQ356" i="9" s="1"/>
  <c r="AC356" i="9"/>
  <c r="AB356" i="9"/>
  <c r="AV335" i="9"/>
  <c r="AV333" i="9"/>
  <c r="AV331" i="9"/>
  <c r="AP327" i="9"/>
  <c r="AQ327" i="9" s="1"/>
  <c r="AC327" i="9"/>
  <c r="AB327" i="9"/>
  <c r="AP325" i="9"/>
  <c r="AQ325" i="9" s="1"/>
  <c r="AC325" i="9"/>
  <c r="AB325" i="9"/>
  <c r="AP323" i="9"/>
  <c r="AQ323" i="9" s="1"/>
  <c r="AB323" i="9"/>
  <c r="AC323" i="9"/>
  <c r="AP314" i="9"/>
  <c r="AQ314" i="9" s="1"/>
  <c r="AB314" i="9"/>
  <c r="AC314" i="9"/>
  <c r="AP312" i="9"/>
  <c r="AQ312" i="9" s="1"/>
  <c r="AC312" i="9"/>
  <c r="AB312" i="9"/>
  <c r="AP310" i="9"/>
  <c r="AQ310" i="9" s="1"/>
  <c r="AB310" i="9"/>
  <c r="AC310" i="9"/>
  <c r="AP305" i="9"/>
  <c r="AQ305" i="9" s="1"/>
  <c r="AC305" i="9"/>
  <c r="AB305" i="9"/>
  <c r="AV302" i="9"/>
  <c r="AV300" i="9"/>
  <c r="AP300" i="9"/>
  <c r="AQ300" i="9" s="1"/>
  <c r="AB300" i="9"/>
  <c r="AC300" i="9"/>
  <c r="AV297" i="9"/>
  <c r="AP291" i="9"/>
  <c r="AQ291" i="9" s="1"/>
  <c r="AB291" i="9"/>
  <c r="AC291" i="9"/>
  <c r="AV288" i="9"/>
  <c r="AV284" i="9"/>
  <c r="AP284" i="9"/>
  <c r="AQ284" i="9" s="1"/>
  <c r="AC284" i="9"/>
  <c r="AB284" i="9"/>
  <c r="AP277" i="9"/>
  <c r="AQ277" i="9" s="1"/>
  <c r="AB277" i="9"/>
  <c r="AC277" i="9"/>
  <c r="AV269" i="9"/>
  <c r="AP265" i="9"/>
  <c r="AQ265" i="9" s="1"/>
  <c r="AB265" i="9"/>
  <c r="AC265" i="9"/>
  <c r="AV257" i="9"/>
  <c r="AV241" i="9"/>
  <c r="AP237" i="9"/>
  <c r="AQ237" i="9" s="1"/>
  <c r="AB237" i="9"/>
  <c r="AC237" i="9"/>
  <c r="AV233" i="9"/>
  <c r="AV232" i="9"/>
  <c r="AP232" i="9"/>
  <c r="AQ232" i="9" s="1"/>
  <c r="AB232" i="9"/>
  <c r="AC232" i="9"/>
  <c r="AV230" i="9"/>
  <c r="AP230" i="9"/>
  <c r="AQ230" i="9" s="1"/>
  <c r="AC230" i="9"/>
  <c r="AB230" i="9"/>
  <c r="AP227" i="9"/>
  <c r="AQ227" i="9" s="1"/>
  <c r="AC227" i="9"/>
  <c r="AB227" i="9"/>
  <c r="AV225" i="9"/>
  <c r="AP224" i="9"/>
  <c r="AQ224" i="9" s="1"/>
  <c r="AB224" i="9"/>
  <c r="AC224" i="9"/>
  <c r="AP221" i="9"/>
  <c r="AQ221" i="9" s="1"/>
  <c r="AB221" i="9"/>
  <c r="AC221" i="9"/>
  <c r="AV217" i="9"/>
  <c r="AP216" i="9"/>
  <c r="AQ216" i="9" s="1"/>
  <c r="AB216" i="9"/>
  <c r="AC216" i="9"/>
  <c r="AV196" i="9"/>
  <c r="AP185" i="9"/>
  <c r="AQ185" i="9" s="1"/>
  <c r="AB185" i="9"/>
  <c r="AC185" i="9"/>
  <c r="AV172" i="9"/>
  <c r="AP171" i="9"/>
  <c r="AQ171" i="9" s="1"/>
  <c r="AC171" i="9"/>
  <c r="AB171" i="9"/>
  <c r="AP161" i="9"/>
  <c r="AQ161" i="9" s="1"/>
  <c r="AB161" i="9"/>
  <c r="AC161" i="9"/>
  <c r="AP153" i="9"/>
  <c r="AQ153" i="9" s="1"/>
  <c r="AB153" i="9"/>
  <c r="AC153" i="9"/>
  <c r="AP150" i="9"/>
  <c r="AQ150" i="9" s="1"/>
  <c r="AB150" i="9"/>
  <c r="AC150" i="9"/>
  <c r="AP147" i="9"/>
  <c r="AQ147" i="9" s="1"/>
  <c r="AC147" i="9"/>
  <c r="AB147" i="9"/>
  <c r="AV145" i="9"/>
  <c r="AP145" i="9"/>
  <c r="AQ145" i="9" s="1"/>
  <c r="AB145" i="9"/>
  <c r="AC145" i="9"/>
  <c r="AP128" i="9"/>
  <c r="AQ128" i="9" s="1"/>
  <c r="AC128" i="9"/>
  <c r="AB128" i="9"/>
  <c r="AV118" i="9"/>
  <c r="AP118" i="9"/>
  <c r="AQ118" i="9" s="1"/>
  <c r="AB118" i="9"/>
  <c r="AD118" i="9"/>
  <c r="AC118" i="9"/>
  <c r="AP114" i="9"/>
  <c r="AQ114" i="9" s="1"/>
  <c r="AB114" i="9"/>
  <c r="AC114" i="9"/>
  <c r="AD114" i="9"/>
  <c r="AP112" i="9"/>
  <c r="AQ112" i="9" s="1"/>
  <c r="AD112" i="9"/>
  <c r="AB112" i="9"/>
  <c r="AC112" i="9"/>
  <c r="AV109" i="9"/>
  <c r="AP101" i="9"/>
  <c r="AQ101" i="9" s="1"/>
  <c r="AD101" i="9"/>
  <c r="AB101" i="9"/>
  <c r="AC101" i="9"/>
  <c r="AV98" i="9"/>
  <c r="AP92" i="9"/>
  <c r="AQ92" i="9" s="1"/>
  <c r="AB92" i="9"/>
  <c r="AD92" i="9"/>
  <c r="AC92" i="9"/>
  <c r="AP87" i="9"/>
  <c r="AQ87" i="9" s="1"/>
  <c r="AC87" i="9"/>
  <c r="AD87" i="9"/>
  <c r="AB87" i="9"/>
  <c r="AP85" i="9"/>
  <c r="AQ85" i="9" s="1"/>
  <c r="AB85" i="9"/>
  <c r="AC85" i="9"/>
  <c r="AD85" i="9"/>
  <c r="AP80" i="9"/>
  <c r="AQ80" i="9" s="1"/>
  <c r="AD80" i="9"/>
  <c r="AC80" i="9"/>
  <c r="AB80" i="9"/>
  <c r="AP78" i="9"/>
  <c r="AQ78" i="9" s="1"/>
  <c r="AB78" i="9"/>
  <c r="AD78" i="9"/>
  <c r="AC78" i="9"/>
  <c r="AV75" i="9"/>
  <c r="AP71" i="9"/>
  <c r="AQ71" i="9" s="1"/>
  <c r="AC71" i="9"/>
  <c r="AD71" i="9"/>
  <c r="AB71" i="9"/>
  <c r="AV60" i="9"/>
  <c r="AV47" i="9"/>
  <c r="AP47" i="9"/>
  <c r="AQ47" i="9" s="1"/>
  <c r="AC47" i="9"/>
  <c r="AB47" i="9"/>
  <c r="AC857" i="9"/>
  <c r="AC797" i="9"/>
  <c r="AC763" i="9"/>
  <c r="AC729" i="9"/>
  <c r="AB695" i="9"/>
  <c r="AC660" i="9"/>
  <c r="AB606" i="9"/>
  <c r="AB537" i="9"/>
  <c r="AV855" i="9"/>
  <c r="AP851" i="9"/>
  <c r="AQ851" i="9" s="1"/>
  <c r="AB851" i="9"/>
  <c r="AC851" i="9"/>
  <c r="AV846" i="9"/>
  <c r="AP846" i="9"/>
  <c r="AQ846" i="9" s="1"/>
  <c r="AC846" i="9"/>
  <c r="AB846" i="9"/>
  <c r="AV841" i="9"/>
  <c r="AP841" i="9"/>
  <c r="AQ841" i="9" s="1"/>
  <c r="AB841" i="9"/>
  <c r="AC841" i="9"/>
  <c r="AP836" i="9"/>
  <c r="AQ836" i="9" s="1"/>
  <c r="AC836" i="9"/>
  <c r="AP826" i="9"/>
  <c r="AQ826" i="9" s="1"/>
  <c r="AC826" i="9"/>
  <c r="AB826" i="9"/>
  <c r="AP821" i="9"/>
  <c r="AQ821" i="9" s="1"/>
  <c r="AB821" i="9"/>
  <c r="AC821" i="9"/>
  <c r="AP814" i="9"/>
  <c r="AQ814" i="9" s="1"/>
  <c r="AC814" i="9"/>
  <c r="AB814" i="9"/>
  <c r="AV811" i="9"/>
  <c r="AP805" i="9"/>
  <c r="AQ805" i="9" s="1"/>
  <c r="AB805" i="9"/>
  <c r="AC805" i="9"/>
  <c r="AP798" i="9"/>
  <c r="AQ798" i="9" s="1"/>
  <c r="AC798" i="9"/>
  <c r="AB798" i="9"/>
  <c r="AV795" i="9"/>
  <c r="AV788" i="9"/>
  <c r="AP778" i="9"/>
  <c r="AQ778" i="9" s="1"/>
  <c r="AC778" i="9"/>
  <c r="AB778" i="9"/>
  <c r="AP774" i="9"/>
  <c r="AQ774" i="9" s="1"/>
  <c r="AC774" i="9"/>
  <c r="AB774" i="9"/>
  <c r="AV771" i="9"/>
  <c r="AV764" i="9"/>
  <c r="AP758" i="9"/>
  <c r="AQ758" i="9" s="1"/>
  <c r="AC758" i="9"/>
  <c r="AB758" i="9"/>
  <c r="AV755" i="9"/>
  <c r="AV748" i="9"/>
  <c r="AP742" i="9"/>
  <c r="AQ742" i="9" s="1"/>
  <c r="AC742" i="9"/>
  <c r="AV739" i="9"/>
  <c r="AV732" i="9"/>
  <c r="AP726" i="9"/>
  <c r="AQ726" i="9" s="1"/>
  <c r="AC726" i="9"/>
  <c r="AB726" i="9"/>
  <c r="AV723" i="9"/>
  <c r="AV716" i="9"/>
  <c r="AP710" i="9"/>
  <c r="AQ710" i="9" s="1"/>
  <c r="AC710" i="9"/>
  <c r="AB710" i="9"/>
  <c r="AV707" i="9"/>
  <c r="AV703" i="9"/>
  <c r="AP703" i="9"/>
  <c r="AQ703" i="9" s="1"/>
  <c r="AB703" i="9"/>
  <c r="AP696" i="9"/>
  <c r="AQ696" i="9" s="1"/>
  <c r="AC696" i="9"/>
  <c r="AB696" i="9"/>
  <c r="AV678" i="9"/>
  <c r="AP672" i="9"/>
  <c r="AQ672" i="9" s="1"/>
  <c r="AC672" i="9"/>
  <c r="AB672" i="9"/>
  <c r="AP670" i="9"/>
  <c r="AQ670" i="9" s="1"/>
  <c r="AC670" i="9"/>
  <c r="AB670" i="9"/>
  <c r="AV667" i="9"/>
  <c r="AP659" i="9"/>
  <c r="AQ659" i="9" s="1"/>
  <c r="AB659" i="9"/>
  <c r="AC659" i="9"/>
  <c r="AP650" i="9"/>
  <c r="AQ650" i="9" s="1"/>
  <c r="AC650" i="9"/>
  <c r="AB650" i="9"/>
  <c r="AV647" i="9"/>
  <c r="AV645" i="9"/>
  <c r="AV641" i="9"/>
  <c r="AP641" i="9"/>
  <c r="AQ641" i="9" s="1"/>
  <c r="AC641" i="9"/>
  <c r="AB641" i="9"/>
  <c r="AV638" i="9"/>
  <c r="AV631" i="9"/>
  <c r="AP627" i="9"/>
  <c r="AQ627" i="9" s="1"/>
  <c r="AB627" i="9"/>
  <c r="AV618" i="9"/>
  <c r="AP618" i="9"/>
  <c r="AQ618" i="9" s="1"/>
  <c r="AC618" i="9"/>
  <c r="AB618" i="9"/>
  <c r="AV615" i="9"/>
  <c r="AP611" i="9"/>
  <c r="AQ611" i="9" s="1"/>
  <c r="AB611" i="9"/>
  <c r="AC611" i="9"/>
  <c r="AV603" i="9"/>
  <c r="AP597" i="9"/>
  <c r="AQ597" i="9" s="1"/>
  <c r="AB597" i="9"/>
  <c r="AC597" i="9"/>
  <c r="AP590" i="9"/>
  <c r="AQ590" i="9" s="1"/>
  <c r="AC590" i="9"/>
  <c r="AB590" i="9"/>
  <c r="AV587" i="9"/>
  <c r="AP579" i="9"/>
  <c r="AQ579" i="9" s="1"/>
  <c r="AB579" i="9"/>
  <c r="AC579" i="9"/>
  <c r="AV576" i="9"/>
  <c r="AV571" i="9"/>
  <c r="AP563" i="9"/>
  <c r="AQ563" i="9" s="1"/>
  <c r="AC563" i="9"/>
  <c r="AB563" i="9"/>
  <c r="AV560" i="9"/>
  <c r="AP554" i="9"/>
  <c r="AQ554" i="9" s="1"/>
  <c r="AB554" i="9"/>
  <c r="AC554" i="9"/>
  <c r="AP547" i="9"/>
  <c r="AQ547" i="9" s="1"/>
  <c r="AC547" i="9"/>
  <c r="AB547" i="9"/>
  <c r="AV544" i="9"/>
  <c r="AP538" i="9"/>
  <c r="AQ538" i="9" s="1"/>
  <c r="AB538" i="9"/>
  <c r="AC538" i="9"/>
  <c r="AP536" i="9"/>
  <c r="AQ536" i="9" s="1"/>
  <c r="AB536" i="9"/>
  <c r="AC536" i="9"/>
  <c r="AP531" i="9"/>
  <c r="AQ531" i="9" s="1"/>
  <c r="AC531" i="9"/>
  <c r="AB531" i="9"/>
  <c r="AV528" i="9"/>
  <c r="AP522" i="9"/>
  <c r="AQ522" i="9" s="1"/>
  <c r="AB522" i="9"/>
  <c r="AC522" i="9"/>
  <c r="AP520" i="9"/>
  <c r="AQ520" i="9" s="1"/>
  <c r="AB520" i="9"/>
  <c r="AC520" i="9"/>
  <c r="AV513" i="9"/>
  <c r="AP513" i="9"/>
  <c r="AQ513" i="9" s="1"/>
  <c r="AB513" i="9"/>
  <c r="AC513" i="9"/>
  <c r="AP511" i="9"/>
  <c r="AQ511" i="9" s="1"/>
  <c r="AC511" i="9"/>
  <c r="AB511" i="9"/>
  <c r="AP490" i="9"/>
  <c r="AQ490" i="9" s="1"/>
  <c r="AB490" i="9"/>
  <c r="AC490" i="9"/>
  <c r="AP485" i="9"/>
  <c r="AQ485" i="9" s="1"/>
  <c r="AC485" i="9"/>
  <c r="AB485" i="9"/>
  <c r="AP483" i="9"/>
  <c r="AQ483" i="9" s="1"/>
  <c r="AB483" i="9"/>
  <c r="AC483" i="9"/>
  <c r="AV480" i="9"/>
  <c r="AP476" i="9"/>
  <c r="AQ476" i="9" s="1"/>
  <c r="AB476" i="9"/>
  <c r="AC476" i="9"/>
  <c r="AV471" i="9"/>
  <c r="AP471" i="9"/>
  <c r="AQ471" i="9" s="1"/>
  <c r="AC471" i="9"/>
  <c r="AB471" i="9"/>
  <c r="AV464" i="9"/>
  <c r="AP464" i="9"/>
  <c r="AQ464" i="9" s="1"/>
  <c r="AC464" i="9"/>
  <c r="AB464" i="9"/>
  <c r="AV457" i="9"/>
  <c r="AP457" i="9"/>
  <c r="AQ457" i="9" s="1"/>
  <c r="AB457" i="9"/>
  <c r="AC457" i="9"/>
  <c r="AP445" i="9"/>
  <c r="AQ445" i="9" s="1"/>
  <c r="AB445" i="9"/>
  <c r="AC445" i="9"/>
  <c r="AP443" i="9"/>
  <c r="AQ443" i="9" s="1"/>
  <c r="AB443" i="9"/>
  <c r="AC443" i="9"/>
  <c r="AV440" i="9"/>
  <c r="AP436" i="9"/>
  <c r="AQ436" i="9" s="1"/>
  <c r="AC436" i="9"/>
  <c r="AB436" i="9"/>
  <c r="AP434" i="9"/>
  <c r="AQ434" i="9" s="1"/>
  <c r="AB434" i="9"/>
  <c r="AC434" i="9"/>
  <c r="AV428" i="9"/>
  <c r="AV426" i="9"/>
  <c r="AV420" i="9"/>
  <c r="AP420" i="9"/>
  <c r="AQ420" i="9" s="1"/>
  <c r="AC420" i="9"/>
  <c r="AB420" i="9"/>
  <c r="AP418" i="9"/>
  <c r="AQ418" i="9" s="1"/>
  <c r="AB418" i="9"/>
  <c r="AC418" i="9"/>
  <c r="AV415" i="9"/>
  <c r="AV413" i="9"/>
  <c r="AP405" i="9"/>
  <c r="AQ405" i="9" s="1"/>
  <c r="AB405" i="9"/>
  <c r="AP400" i="9"/>
  <c r="AQ400" i="9" s="1"/>
  <c r="AC400" i="9"/>
  <c r="AB400" i="9"/>
  <c r="AP395" i="9"/>
  <c r="AQ395" i="9" s="1"/>
  <c r="AB395" i="9"/>
  <c r="AC395" i="9"/>
  <c r="AP393" i="9"/>
  <c r="AQ393" i="9" s="1"/>
  <c r="AB393" i="9"/>
  <c r="AC393" i="9"/>
  <c r="AV390" i="9"/>
  <c r="AP386" i="9"/>
  <c r="AQ386" i="9" s="1"/>
  <c r="AB386" i="9"/>
  <c r="AC386" i="9"/>
  <c r="AV369" i="9"/>
  <c r="AP360" i="9"/>
  <c r="AQ360" i="9" s="1"/>
  <c r="AC360" i="9"/>
  <c r="AB360" i="9"/>
  <c r="AV357" i="9"/>
  <c r="AV355" i="9"/>
  <c r="AP351" i="9"/>
  <c r="AQ351" i="9" s="1"/>
  <c r="AC351" i="9"/>
  <c r="AB351" i="9"/>
  <c r="AP349" i="9"/>
  <c r="AQ349" i="9" s="1"/>
  <c r="AB349" i="9"/>
  <c r="AC349" i="9"/>
  <c r="AP347" i="9"/>
  <c r="AQ347" i="9" s="1"/>
  <c r="AB347" i="9"/>
  <c r="AC347" i="9"/>
  <c r="AV338" i="9"/>
  <c r="AP338" i="9"/>
  <c r="AQ338" i="9" s="1"/>
  <c r="AB338" i="9"/>
  <c r="AC338" i="9"/>
  <c r="AP329" i="9"/>
  <c r="AQ329" i="9" s="1"/>
  <c r="AC329" i="9"/>
  <c r="AB329" i="9"/>
  <c r="AV326" i="9"/>
  <c r="AV324" i="9"/>
  <c r="AV320" i="9"/>
  <c r="AP320" i="9"/>
  <c r="AQ320" i="9" s="1"/>
  <c r="AC320" i="9"/>
  <c r="AB320" i="9"/>
  <c r="AP318" i="9"/>
  <c r="AQ318" i="9" s="1"/>
  <c r="AB318" i="9"/>
  <c r="AC318" i="9"/>
  <c r="AP316" i="9"/>
  <c r="AQ316" i="9" s="1"/>
  <c r="AB316" i="9"/>
  <c r="AC316" i="9"/>
  <c r="AV313" i="9"/>
  <c r="AV311" i="9"/>
  <c r="AP307" i="9"/>
  <c r="AQ307" i="9" s="1"/>
  <c r="AB307" i="9"/>
  <c r="AC307" i="9"/>
  <c r="AV304" i="9"/>
  <c r="AP286" i="9"/>
  <c r="AQ286" i="9" s="1"/>
  <c r="AB286" i="9"/>
  <c r="AC286" i="9"/>
  <c r="AV279" i="9"/>
  <c r="AP279" i="9"/>
  <c r="AQ279" i="9" s="1"/>
  <c r="AB279" i="9"/>
  <c r="AC279" i="9"/>
  <c r="AP274" i="9"/>
  <c r="AQ274" i="9" s="1"/>
  <c r="AC274" i="9"/>
  <c r="AB274" i="9"/>
  <c r="AP272" i="9"/>
  <c r="AQ272" i="9" s="1"/>
  <c r="AB272" i="9"/>
  <c r="AC272" i="9"/>
  <c r="AP267" i="9"/>
  <c r="AQ267" i="9" s="1"/>
  <c r="AC267" i="9"/>
  <c r="AB267" i="9"/>
  <c r="AV264" i="9"/>
  <c r="AV260" i="9"/>
  <c r="AP260" i="9"/>
  <c r="AQ260" i="9" s="1"/>
  <c r="AC260" i="9"/>
  <c r="AB260" i="9"/>
  <c r="AP253" i="9"/>
  <c r="AQ253" i="9" s="1"/>
  <c r="AB253" i="9"/>
  <c r="AC253" i="9"/>
  <c r="AP240" i="9"/>
  <c r="AQ240" i="9" s="1"/>
  <c r="AB240" i="9"/>
  <c r="AC240" i="9"/>
  <c r="AV238" i="9"/>
  <c r="AP235" i="9"/>
  <c r="AQ235" i="9" s="1"/>
  <c r="AC235" i="9"/>
  <c r="AB235" i="9"/>
  <c r="AV228" i="9"/>
  <c r="AV212" i="9"/>
  <c r="AP211" i="9"/>
  <c r="AQ211" i="9" s="1"/>
  <c r="AC211" i="9"/>
  <c r="AB211" i="9"/>
  <c r="AP208" i="9"/>
  <c r="AQ208" i="9" s="1"/>
  <c r="AB208" i="9"/>
  <c r="AC208" i="9"/>
  <c r="AV204" i="9"/>
  <c r="AC203" i="9"/>
  <c r="AP203" i="9"/>
  <c r="AQ203" i="9" s="1"/>
  <c r="AB203" i="9"/>
  <c r="AP193" i="9"/>
  <c r="AQ193" i="9" s="1"/>
  <c r="AB193" i="9"/>
  <c r="AC193" i="9"/>
  <c r="AP175" i="9"/>
  <c r="AQ175" i="9" s="1"/>
  <c r="AB175" i="9"/>
  <c r="AC175" i="9"/>
  <c r="AP169" i="9"/>
  <c r="AQ169" i="9" s="1"/>
  <c r="AB169" i="9"/>
  <c r="AC169" i="9"/>
  <c r="AV165" i="9"/>
  <c r="AV143" i="9"/>
  <c r="AP142" i="9"/>
  <c r="AQ142" i="9" s="1"/>
  <c r="AB142" i="9"/>
  <c r="AC142" i="9"/>
  <c r="AV140" i="9"/>
  <c r="AP139" i="9"/>
  <c r="AQ139" i="9" s="1"/>
  <c r="AC139" i="9"/>
  <c r="AB139" i="9"/>
  <c r="AP131" i="9"/>
  <c r="AQ131" i="9" s="1"/>
  <c r="AC131" i="9"/>
  <c r="AB131" i="9"/>
  <c r="AP126" i="9"/>
  <c r="AQ126" i="9" s="1"/>
  <c r="AB126" i="9"/>
  <c r="AC126" i="9"/>
  <c r="AV124" i="9"/>
  <c r="AC123" i="9"/>
  <c r="AP123" i="9"/>
  <c r="AQ123" i="9" s="1"/>
  <c r="AB123" i="9"/>
  <c r="AP120" i="9"/>
  <c r="AQ120" i="9" s="1"/>
  <c r="AD120" i="9"/>
  <c r="AB120" i="9"/>
  <c r="AC120" i="9"/>
  <c r="AV115" i="9"/>
  <c r="AV105" i="9"/>
  <c r="AP105" i="9"/>
  <c r="AQ105" i="9" s="1"/>
  <c r="AD105" i="9"/>
  <c r="AC105" i="9"/>
  <c r="AB105" i="9"/>
  <c r="AP94" i="9"/>
  <c r="AQ94" i="9" s="1"/>
  <c r="AB94" i="9"/>
  <c r="AD94" i="9"/>
  <c r="AC94" i="9"/>
  <c r="AV89" i="9"/>
  <c r="AP89" i="9"/>
  <c r="AQ89" i="9" s="1"/>
  <c r="AC89" i="9"/>
  <c r="AB89" i="9"/>
  <c r="AD89" i="9"/>
  <c r="AV86" i="9"/>
  <c r="AV79" i="9"/>
  <c r="AP73" i="9"/>
  <c r="AQ73" i="9" s="1"/>
  <c r="AC73" i="9"/>
  <c r="AB73" i="9"/>
  <c r="AD73" i="9"/>
  <c r="AP52" i="9"/>
  <c r="AQ52" i="9" s="1"/>
  <c r="AB52" i="9"/>
  <c r="AC52" i="9"/>
  <c r="AP28" i="9"/>
  <c r="AQ28" i="9" s="1"/>
  <c r="AB28" i="9"/>
  <c r="AC28" i="9"/>
  <c r="AC825" i="9"/>
  <c r="AC793" i="9"/>
  <c r="AB759" i="9"/>
  <c r="AB655" i="9"/>
  <c r="AB599" i="9"/>
  <c r="AB525" i="9"/>
  <c r="AP68" i="9"/>
  <c r="AQ68" i="9" s="1"/>
  <c r="AB68" i="9"/>
  <c r="AD68" i="9"/>
  <c r="AC68" i="9"/>
  <c r="AP62" i="9"/>
  <c r="AQ62" i="9" s="1"/>
  <c r="AB62" i="9"/>
  <c r="AC62" i="9"/>
  <c r="AC59" i="9"/>
  <c r="AP59" i="9"/>
  <c r="AQ59" i="9" s="1"/>
  <c r="AB59" i="9"/>
  <c r="AC51" i="9"/>
  <c r="AP51" i="9"/>
  <c r="AQ51" i="9" s="1"/>
  <c r="AB51" i="9"/>
  <c r="AP36" i="9"/>
  <c r="AQ36" i="9" s="1"/>
  <c r="AB36" i="9"/>
  <c r="AC36" i="9"/>
  <c r="AP23" i="9"/>
  <c r="AQ23" i="9" s="1"/>
  <c r="AC23" i="9"/>
  <c r="AB23" i="9"/>
  <c r="AV12" i="9"/>
  <c r="AP12" i="9"/>
  <c r="AQ12" i="9" s="1"/>
  <c r="AB12" i="9"/>
  <c r="AC12" i="9"/>
  <c r="AV57" i="9"/>
  <c r="AP57" i="9"/>
  <c r="AQ57" i="9" s="1"/>
  <c r="AC57" i="9"/>
  <c r="AB57" i="9"/>
  <c r="AP49" i="9"/>
  <c r="AQ49" i="9" s="1"/>
  <c r="AC49" i="9"/>
  <c r="AB49" i="9"/>
  <c r="AP44" i="9"/>
  <c r="AQ44" i="9" s="1"/>
  <c r="AB44" i="9"/>
  <c r="AC44" i="9"/>
  <c r="AP26" i="9"/>
  <c r="AQ26" i="9" s="1"/>
  <c r="AB26" i="9"/>
  <c r="AC26" i="9"/>
  <c r="AP21" i="9"/>
  <c r="AQ21" i="9" s="1"/>
  <c r="AB21" i="9"/>
  <c r="AC21" i="9"/>
  <c r="AP34" i="9"/>
  <c r="AQ34" i="9" s="1"/>
  <c r="AB34" i="9"/>
  <c r="AC34" i="9"/>
  <c r="AP31" i="9"/>
  <c r="AQ31" i="9" s="1"/>
  <c r="AC31" i="9"/>
  <c r="AB31" i="9"/>
  <c r="AP29" i="9"/>
  <c r="AQ29" i="9" s="1"/>
  <c r="AC29" i="9"/>
  <c r="AB29" i="9"/>
  <c r="AP24" i="9"/>
  <c r="AQ24" i="9" s="1"/>
  <c r="AB24" i="9"/>
  <c r="AC24" i="9"/>
  <c r="AP18" i="9"/>
  <c r="AQ18" i="9" s="1"/>
  <c r="AB18" i="9"/>
  <c r="AC18" i="9"/>
  <c r="AP15" i="9"/>
  <c r="AQ15" i="9" s="1"/>
  <c r="AC15" i="9"/>
  <c r="AB15" i="9"/>
  <c r="AP10" i="9"/>
  <c r="AQ10" i="9" s="1"/>
  <c r="AB10" i="9"/>
  <c r="AC10" i="9"/>
  <c r="AV7" i="9"/>
  <c r="AP7" i="9"/>
  <c r="AQ7" i="9" s="1"/>
  <c r="AC7" i="9"/>
  <c r="AB7" i="9"/>
  <c r="AP63" i="9"/>
  <c r="AQ63" i="9" s="1"/>
  <c r="AC63" i="9"/>
  <c r="AB63" i="9"/>
  <c r="AP42" i="9"/>
  <c r="AQ42" i="9" s="1"/>
  <c r="AB42" i="9"/>
  <c r="AC42" i="9"/>
  <c r="AP37" i="9"/>
  <c r="AQ37" i="9" s="1"/>
  <c r="AC37" i="9"/>
  <c r="AB37" i="9"/>
  <c r="AP13" i="9"/>
  <c r="AQ13" i="9" s="1"/>
  <c r="AB13" i="9"/>
  <c r="AC13" i="9"/>
  <c r="AP45" i="9"/>
  <c r="AQ45" i="9" s="1"/>
  <c r="AB45" i="9"/>
  <c r="AC45" i="9"/>
  <c r="AP40" i="9"/>
  <c r="AQ40" i="9" s="1"/>
  <c r="AC40" i="9"/>
  <c r="AB40" i="9"/>
  <c r="AP32" i="9"/>
  <c r="AQ32" i="9" s="1"/>
  <c r="AB32" i="9"/>
  <c r="AC32" i="9"/>
  <c r="AP16" i="9"/>
  <c r="AQ16" i="9" s="1"/>
  <c r="AC16" i="9"/>
  <c r="AB16" i="9"/>
  <c r="AP64" i="9"/>
  <c r="AQ64" i="9" s="1"/>
  <c r="AB64" i="9"/>
  <c r="AC64" i="9"/>
  <c r="AV62" i="9"/>
  <c r="AV59" i="9"/>
  <c r="AV58" i="9"/>
  <c r="AP58" i="9"/>
  <c r="AQ58" i="9" s="1"/>
  <c r="AB58" i="9"/>
  <c r="AC58" i="9"/>
  <c r="AP56" i="9"/>
  <c r="AQ56" i="9" s="1"/>
  <c r="AB56" i="9"/>
  <c r="AC56" i="9"/>
  <c r="AV51" i="9"/>
  <c r="AP50" i="9"/>
  <c r="AQ50" i="9" s="1"/>
  <c r="AB50" i="9"/>
  <c r="AC50" i="9"/>
  <c r="AC27" i="9"/>
  <c r="AB27" i="9"/>
  <c r="AP27" i="9"/>
  <c r="AQ27" i="9" s="1"/>
  <c r="AP25" i="9"/>
  <c r="AQ25" i="9" s="1"/>
  <c r="AC25" i="9"/>
  <c r="AB25" i="9"/>
  <c r="AV23" i="9"/>
  <c r="AV22" i="9"/>
  <c r="AP22" i="9"/>
  <c r="AQ22" i="9" s="1"/>
  <c r="AB22" i="9"/>
  <c r="AC22" i="9"/>
  <c r="AP19" i="9"/>
  <c r="AQ19" i="9" s="1"/>
  <c r="AC19" i="9"/>
  <c r="AB19" i="9"/>
  <c r="AP48" i="9"/>
  <c r="AQ48" i="9" s="1"/>
  <c r="AB48" i="9"/>
  <c r="AC48" i="9"/>
  <c r="AC43" i="9"/>
  <c r="AP43" i="9"/>
  <c r="AQ43" i="9" s="1"/>
  <c r="AB43" i="9"/>
  <c r="AC35" i="9"/>
  <c r="AP35" i="9"/>
  <c r="AQ35" i="9" s="1"/>
  <c r="AB35" i="9"/>
  <c r="AP33" i="9"/>
  <c r="AQ33" i="9" s="1"/>
  <c r="AC33" i="9"/>
  <c r="AB33" i="9"/>
  <c r="AV30" i="9"/>
  <c r="AP30" i="9"/>
  <c r="AQ30" i="9" s="1"/>
  <c r="AB30" i="9"/>
  <c r="AV17" i="9"/>
  <c r="AP17" i="9"/>
  <c r="AQ17" i="9" s="1"/>
  <c r="AC17" i="9"/>
  <c r="AB17" i="9"/>
  <c r="AC11" i="9"/>
  <c r="AP11" i="9"/>
  <c r="AQ11" i="9" s="1"/>
  <c r="AB11" i="9"/>
  <c r="AP8" i="9"/>
  <c r="AQ8" i="9" s="1"/>
  <c r="AB8" i="9"/>
  <c r="AC8" i="9"/>
  <c r="K279" i="14"/>
  <c r="L8" i="20"/>
  <c r="K279" i="20"/>
  <c r="L8" i="14"/>
  <c r="K357" i="11"/>
  <c r="L8" i="11"/>
  <c r="AO689" i="9"/>
  <c r="Q21" i="26" a="1"/>
  <c r="Q21" i="26" s="1"/>
  <c r="AI21" i="26" s="1"/>
  <c r="X689" i="9"/>
  <c r="Y689" i="9" s="1"/>
  <c r="Z689" i="9" s="1" a="1"/>
  <c r="Z689" i="9" s="1"/>
  <c r="X631" i="9"/>
  <c r="Y631" i="9" s="1"/>
  <c r="Z631" i="9" s="1" a="1"/>
  <c r="Z631" i="9" s="1"/>
  <c r="V31" i="26"/>
  <c r="W31" i="26" s="1"/>
  <c r="X31" i="26" s="1" a="1"/>
  <c r="X31" i="26" s="1"/>
  <c r="AI31" i="26"/>
  <c r="V35" i="26"/>
  <c r="W35" i="26" s="1"/>
  <c r="X35" i="26" s="1" a="1"/>
  <c r="X35" i="26" s="1"/>
  <c r="AI35" i="26"/>
  <c r="X474" i="9"/>
  <c r="Y474" i="9" s="1"/>
  <c r="Z474" i="9" s="1" a="1"/>
  <c r="Z474" i="9" s="1"/>
  <c r="Z38" i="26"/>
  <c r="AJ6" i="26"/>
  <c r="AK6" i="26" s="1"/>
  <c r="AA34" i="26"/>
  <c r="Q38" i="26" a="1"/>
  <c r="Q38" i="26" s="1"/>
  <c r="AI38" i="26" s="1"/>
  <c r="Q22" i="26" a="1"/>
  <c r="Q22" i="26" s="1"/>
  <c r="AI22" i="26" s="1"/>
  <c r="AJ14" i="26"/>
  <c r="AK14" i="26" s="1"/>
  <c r="Z30" i="26"/>
  <c r="AJ32" i="26"/>
  <c r="P3" i="8"/>
  <c r="AA10" i="26"/>
  <c r="AA12" i="26"/>
  <c r="AA26" i="26"/>
  <c r="Q34" i="26" a="1"/>
  <c r="Q34" i="26" s="1"/>
  <c r="AI34" i="26" s="1"/>
  <c r="P6" i="8"/>
  <c r="AA11" i="26"/>
  <c r="AV861" i="9"/>
  <c r="AV853" i="9"/>
  <c r="AV845" i="9"/>
  <c r="AV837" i="9"/>
  <c r="AV829" i="9"/>
  <c r="AV821" i="9"/>
  <c r="AV806" i="9"/>
  <c r="AV761" i="9"/>
  <c r="AV858" i="9"/>
  <c r="AV850" i="9"/>
  <c r="AV842" i="9"/>
  <c r="AV834" i="9"/>
  <c r="AV826" i="9"/>
  <c r="AV818" i="9"/>
  <c r="AV813" i="9"/>
  <c r="AV800" i="9"/>
  <c r="AV773" i="9"/>
  <c r="AV769" i="9"/>
  <c r="AV766" i="9"/>
  <c r="AV798" i="9"/>
  <c r="AV753" i="9"/>
  <c r="AV860" i="9"/>
  <c r="AV852" i="9"/>
  <c r="AV844" i="9"/>
  <c r="AV836" i="9"/>
  <c r="AV828" i="9"/>
  <c r="AV820" i="9"/>
  <c r="AV810" i="9"/>
  <c r="AV786" i="9"/>
  <c r="AV765" i="9"/>
  <c r="AV804" i="9"/>
  <c r="AV790" i="9"/>
  <c r="AV782" i="9"/>
  <c r="AV816" i="9"/>
  <c r="AV802" i="9"/>
  <c r="AV797" i="9"/>
  <c r="AV778" i="9"/>
  <c r="AV757" i="9"/>
  <c r="AV814" i="9"/>
  <c r="AV794" i="9"/>
  <c r="AV774" i="9"/>
  <c r="AV808" i="9"/>
  <c r="AV789" i="9"/>
  <c r="AV758" i="9"/>
  <c r="AV750" i="9"/>
  <c r="AV742" i="9"/>
  <c r="AV734" i="9"/>
  <c r="AV726" i="9"/>
  <c r="AV718" i="9"/>
  <c r="AV710" i="9"/>
  <c r="AV702" i="9"/>
  <c r="AV694" i="9"/>
  <c r="AV686" i="9"/>
  <c r="AV680" i="9"/>
  <c r="AV674" i="9"/>
  <c r="AV640" i="9"/>
  <c r="AV685" i="9"/>
  <c r="AV644" i="9"/>
  <c r="AV749" i="9"/>
  <c r="AV741" i="9"/>
  <c r="AV733" i="9"/>
  <c r="AV725" i="9"/>
  <c r="AV717" i="9"/>
  <c r="AV709" i="9"/>
  <c r="AV701" i="9"/>
  <c r="AV683" i="9"/>
  <c r="AV679" i="9"/>
  <c r="AV672" i="9"/>
  <c r="AV648" i="9"/>
  <c r="AV632" i="9"/>
  <c r="AV676" i="9"/>
  <c r="AV666" i="9"/>
  <c r="AV664" i="9"/>
  <c r="AV658" i="9"/>
  <c r="AV656" i="9"/>
  <c r="AV650" i="9"/>
  <c r="AV624" i="9"/>
  <c r="AV668" i="9"/>
  <c r="AV660" i="9"/>
  <c r="AV652" i="9"/>
  <c r="AV605" i="9"/>
  <c r="AV582" i="9"/>
  <c r="AV570" i="9"/>
  <c r="AV614" i="9"/>
  <c r="AV609" i="9"/>
  <c r="AV606" i="9"/>
  <c r="AV574" i="9"/>
  <c r="AV586" i="9"/>
  <c r="AV598" i="9"/>
  <c r="AV578" i="9"/>
  <c r="AV613" i="9"/>
  <c r="AV604" i="9"/>
  <c r="AV594" i="9"/>
  <c r="AV612" i="9"/>
  <c r="AV602" i="9"/>
  <c r="AV610" i="9"/>
  <c r="AV596" i="9"/>
  <c r="AV590" i="9"/>
  <c r="AV562" i="9"/>
  <c r="AV554" i="9"/>
  <c r="AV541" i="9"/>
  <c r="AV531" i="9"/>
  <c r="AV517" i="9"/>
  <c r="AV539" i="9"/>
  <c r="AV534" i="9"/>
  <c r="AV526" i="9"/>
  <c r="AV588" i="9"/>
  <c r="AV580" i="9"/>
  <c r="AV572" i="9"/>
  <c r="AV564" i="9"/>
  <c r="AV556" i="9"/>
  <c r="AV546" i="9"/>
  <c r="AV533" i="9"/>
  <c r="AV523" i="9"/>
  <c r="AV487" i="9"/>
  <c r="AV552" i="9"/>
  <c r="AV543" i="9"/>
  <c r="AV538" i="9"/>
  <c r="AV550" i="9"/>
  <c r="AV535" i="9"/>
  <c r="AV530" i="9"/>
  <c r="AV505" i="9"/>
  <c r="AV547" i="9"/>
  <c r="AV494" i="9"/>
  <c r="AV491" i="9"/>
  <c r="AV485" i="9"/>
  <c r="AV473" i="9"/>
  <c r="AV453" i="9"/>
  <c r="AV411" i="9"/>
  <c r="AV519" i="9"/>
  <c r="AV402" i="9"/>
  <c r="AV400" i="9"/>
  <c r="AV477" i="9"/>
  <c r="AV445" i="9"/>
  <c r="AV511" i="9"/>
  <c r="AV486" i="9"/>
  <c r="AV403" i="9"/>
  <c r="AV518" i="9"/>
  <c r="AV507" i="9"/>
  <c r="AV496" i="9"/>
  <c r="AV472" i="9"/>
  <c r="AV437" i="9"/>
  <c r="AV503" i="9"/>
  <c r="AV497" i="9"/>
  <c r="AV448" i="9"/>
  <c r="AV404" i="9"/>
  <c r="AV398" i="9"/>
  <c r="AV386" i="9"/>
  <c r="AV461" i="9"/>
  <c r="AV429" i="9"/>
  <c r="AV418" i="9"/>
  <c r="AV495" i="9"/>
  <c r="AV489" i="9"/>
  <c r="AV469" i="9"/>
  <c r="AV410" i="9"/>
  <c r="AV399" i="9"/>
  <c r="AV387" i="9"/>
  <c r="AV374" i="9"/>
  <c r="AV405" i="9"/>
  <c r="AV379" i="9"/>
  <c r="AV345" i="9"/>
  <c r="AV397" i="9"/>
  <c r="AV381" i="9"/>
  <c r="AV384" i="9"/>
  <c r="AV378" i="9"/>
  <c r="AV370" i="9"/>
  <c r="AV361" i="9"/>
  <c r="AV371" i="9"/>
  <c r="AV362" i="9"/>
  <c r="AV344" i="9"/>
  <c r="AV363" i="9"/>
  <c r="AV360" i="9"/>
  <c r="AV353" i="9"/>
  <c r="AV364" i="9"/>
  <c r="AV337" i="9"/>
  <c r="AV329" i="9"/>
  <c r="AV321" i="9"/>
  <c r="AV366" i="9"/>
  <c r="AV352" i="9"/>
  <c r="AV306" i="9"/>
  <c r="AV301" i="9"/>
  <c r="AV290" i="9"/>
  <c r="AV275" i="9"/>
  <c r="AV267" i="9"/>
  <c r="AV251" i="9"/>
  <c r="AV234" i="9"/>
  <c r="AV299" i="9"/>
  <c r="AV278" i="9"/>
  <c r="AV274" i="9"/>
  <c r="AV309" i="9"/>
  <c r="AV283" i="9"/>
  <c r="AV262" i="9"/>
  <c r="AV314" i="9"/>
  <c r="AV307" i="9"/>
  <c r="AV303" i="9"/>
  <c r="AV286" i="9"/>
  <c r="AV259" i="9"/>
  <c r="AV235" i="9"/>
  <c r="AV291" i="9"/>
  <c r="AV282" i="9"/>
  <c r="AV219" i="9"/>
  <c r="AV214" i="9"/>
  <c r="AV209" i="9"/>
  <c r="AV243" i="9"/>
  <c r="AV171" i="9"/>
  <c r="AV237" i="9"/>
  <c r="AV226" i="9"/>
  <c r="AV220" i="9"/>
  <c r="AV227" i="9"/>
  <c r="AV213" i="9"/>
  <c r="AV211" i="9"/>
  <c r="AV198" i="9"/>
  <c r="AV194" i="9"/>
  <c r="AV186" i="9"/>
  <c r="AV169" i="9"/>
  <c r="AV189" i="9"/>
  <c r="AV181" i="9"/>
  <c r="AV177" i="9"/>
  <c r="AV205" i="9"/>
  <c r="AV201" i="9"/>
  <c r="AV179" i="9"/>
  <c r="AV154" i="9"/>
  <c r="AV148" i="9"/>
  <c r="AV166" i="9"/>
  <c r="AV157" i="9"/>
  <c r="AV121" i="9"/>
  <c r="AV195" i="9"/>
  <c r="AV178" i="9"/>
  <c r="AV141" i="9"/>
  <c r="AV203" i="9"/>
  <c r="AV155" i="9"/>
  <c r="AV149" i="9"/>
  <c r="AV130" i="9"/>
  <c r="AV129" i="9"/>
  <c r="AV162" i="9"/>
  <c r="AV136" i="9"/>
  <c r="AV207" i="9"/>
  <c r="AV202" i="9"/>
  <c r="AV163" i="9"/>
  <c r="AV187" i="9"/>
  <c r="AV170" i="9"/>
  <c r="AV126" i="9"/>
  <c r="AV138" i="9"/>
  <c r="AV103" i="9"/>
  <c r="AV96" i="9"/>
  <c r="AV199" i="9"/>
  <c r="AV191" i="9"/>
  <c r="AV183" i="9"/>
  <c r="AV175" i="9"/>
  <c r="AV167" i="9"/>
  <c r="AV159" i="9"/>
  <c r="AV151" i="9"/>
  <c r="AV132" i="9"/>
  <c r="AV104" i="9"/>
  <c r="AV111" i="9"/>
  <c r="AV134" i="9"/>
  <c r="AV117" i="9"/>
  <c r="AV95" i="9"/>
  <c r="AV56" i="9"/>
  <c r="AV122" i="9"/>
  <c r="AV83" i="9"/>
  <c r="AV119" i="9"/>
  <c r="AV90" i="9"/>
  <c r="AV28" i="9"/>
  <c r="AV112" i="9"/>
  <c r="AV87" i="9"/>
  <c r="AV64" i="9"/>
  <c r="AV93" i="9"/>
  <c r="AV50" i="9"/>
  <c r="AV81" i="9"/>
  <c r="AV73" i="9"/>
  <c r="AV72" i="9"/>
  <c r="AV91" i="9"/>
  <c r="AV80" i="9"/>
  <c r="AV24" i="9"/>
  <c r="AV13" i="9"/>
  <c r="AV36" i="9"/>
  <c r="AV77" i="9"/>
  <c r="AV69" i="9"/>
  <c r="AV61" i="9"/>
  <c r="AV44" i="9"/>
  <c r="AV21" i="9"/>
  <c r="AV74" i="9"/>
  <c r="AV66" i="9"/>
  <c r="AV29" i="9"/>
  <c r="AV25" i="9"/>
  <c r="AV49" i="9"/>
  <c r="AV33" i="9"/>
  <c r="AV40" i="9"/>
  <c r="AV37" i="9"/>
  <c r="AV48" i="9"/>
  <c r="AV41" i="9"/>
  <c r="AV42" i="9"/>
  <c r="AV34" i="9"/>
  <c r="AV26" i="9"/>
  <c r="AV18" i="9"/>
  <c r="AV10" i="9"/>
  <c r="Y758" i="9"/>
  <c r="Z758" i="9" s="1" a="1"/>
  <c r="Z758" i="9" s="1"/>
  <c r="Y770" i="9"/>
  <c r="Z770" i="9" s="1" a="1"/>
  <c r="Z770" i="9" s="1"/>
  <c r="Y775" i="9"/>
  <c r="Z775" i="9" s="1" a="1"/>
  <c r="Z775" i="9" s="1"/>
  <c r="Y755" i="9"/>
  <c r="Z755" i="9" s="1" a="1"/>
  <c r="Z755" i="9" s="1"/>
  <c r="Y697" i="9"/>
  <c r="Z697" i="9" s="1" a="1"/>
  <c r="Z697" i="9" s="1"/>
  <c r="Y673" i="9"/>
  <c r="Z673" i="9" s="1" a="1"/>
  <c r="Z673" i="9" s="1"/>
  <c r="Y643" i="9"/>
  <c r="Z643" i="9" s="1" a="1"/>
  <c r="Z643" i="9" s="1"/>
  <c r="Y623" i="9"/>
  <c r="Z623" i="9" s="1" a="1"/>
  <c r="Z623" i="9" s="1"/>
  <c r="Y587" i="9"/>
  <c r="Z587" i="9" s="1" a="1"/>
  <c r="Z587" i="9" s="1"/>
  <c r="Y565" i="9"/>
  <c r="Z565" i="9" s="1" a="1"/>
  <c r="Z565" i="9" s="1"/>
  <c r="Y701" i="9"/>
  <c r="Z701" i="9" s="1" a="1"/>
  <c r="Z701" i="9" s="1"/>
  <c r="Y741" i="9"/>
  <c r="Z741" i="9" s="1" a="1"/>
  <c r="Z741" i="9" s="1"/>
  <c r="Y717" i="9"/>
  <c r="Z717" i="9" s="1" a="1"/>
  <c r="Z717" i="9" s="1"/>
  <c r="Y600" i="9"/>
  <c r="Z600" i="9" s="1" a="1"/>
  <c r="Z600" i="9" s="1"/>
  <c r="Y582" i="9"/>
  <c r="Z582" i="9" s="1" a="1"/>
  <c r="Z582" i="9" s="1"/>
  <c r="Y560" i="9"/>
  <c r="Z560" i="9" s="1" a="1"/>
  <c r="Z560" i="9" s="1"/>
  <c r="Y458" i="9"/>
  <c r="Z458" i="9" s="1" a="1"/>
  <c r="Z458" i="9" s="1"/>
  <c r="Y479" i="9"/>
  <c r="Z479" i="9" s="1" a="1"/>
  <c r="Z479" i="9" s="1"/>
  <c r="Y427" i="9"/>
  <c r="Z427" i="9" s="1" a="1"/>
  <c r="Z427" i="9" s="1"/>
  <c r="Y283" i="9"/>
  <c r="Z283" i="9" s="1" a="1"/>
  <c r="Z283" i="9" s="1"/>
  <c r="Y366" i="9"/>
  <c r="Z366" i="9" s="1" a="1"/>
  <c r="Z366" i="9" s="1"/>
  <c r="Y339" i="9"/>
  <c r="Z339" i="9" s="1" a="1"/>
  <c r="Z339" i="9" s="1"/>
  <c r="Y234" i="9"/>
  <c r="Z234" i="9" s="1" a="1"/>
  <c r="Z234" i="9" s="1"/>
  <c r="Y220" i="9"/>
  <c r="Z220" i="9" s="1" a="1"/>
  <c r="Z220" i="9" s="1"/>
  <c r="Y214" i="9"/>
  <c r="Z214" i="9" s="1" a="1"/>
  <c r="Z214" i="9" s="1"/>
  <c r="Y217" i="9"/>
  <c r="Z217" i="9" s="1" a="1"/>
  <c r="Z217" i="9" s="1"/>
  <c r="Y201" i="9"/>
  <c r="Z201" i="9" s="1" a="1"/>
  <c r="Z201" i="9" s="1"/>
  <c r="Y82" i="9"/>
  <c r="Y140" i="9"/>
  <c r="Z140" i="9" s="1" a="1"/>
  <c r="Z140" i="9" s="1"/>
  <c r="Y87" i="9"/>
  <c r="Y28" i="9"/>
  <c r="Z28" i="9" s="1" a="1"/>
  <c r="Z28" i="9" s="1"/>
  <c r="Y24" i="9"/>
  <c r="Z24" i="9" s="1" a="1"/>
  <c r="Z24" i="9" s="1"/>
  <c r="Y80" i="9"/>
  <c r="Y144" i="9"/>
  <c r="Z144" i="9" s="1" a="1"/>
  <c r="Z144" i="9" s="1"/>
  <c r="V19" i="26"/>
  <c r="W19" i="26" s="1"/>
  <c r="X19" i="26" s="1" a="1"/>
  <c r="X19" i="26" s="1"/>
  <c r="V39" i="26"/>
  <c r="V7" i="26"/>
  <c r="W7" i="26" s="1"/>
  <c r="X7" i="26" s="1" a="1"/>
  <c r="X7" i="26" s="1"/>
  <c r="V37" i="26"/>
  <c r="W37" i="26" s="1"/>
  <c r="X37" i="26" s="1" a="1"/>
  <c r="X37" i="26" s="1"/>
  <c r="V18" i="26"/>
  <c r="W18" i="26" s="1"/>
  <c r="X18" i="26" s="1" a="1"/>
  <c r="X18" i="26" s="1"/>
  <c r="V33" i="26"/>
  <c r="W33" i="26" s="1"/>
  <c r="X33" i="26" s="1" a="1"/>
  <c r="X33" i="26" s="1"/>
  <c r="V27" i="26"/>
  <c r="W27" i="26" s="1"/>
  <c r="V14" i="26"/>
  <c r="W14" i="26" s="1"/>
  <c r="X14" i="26" s="1" a="1"/>
  <c r="X14" i="26" s="1"/>
  <c r="V30" i="26"/>
  <c r="W30" i="26" s="1"/>
  <c r="X30" i="26" s="1" a="1"/>
  <c r="X30" i="26" s="1"/>
  <c r="AV5" i="9"/>
  <c r="V10" i="26"/>
  <c r="W10" i="26" s="1"/>
  <c r="X10" i="26" s="1" a="1"/>
  <c r="X10" i="26" s="1"/>
  <c r="J9" i="26"/>
  <c r="V6" i="26"/>
  <c r="W6" i="26" s="1"/>
  <c r="X6" i="26" s="1" a="1"/>
  <c r="X6" i="26" s="1"/>
  <c r="J5" i="26"/>
  <c r="V26" i="26"/>
  <c r="W26" i="26" s="1"/>
  <c r="J25" i="26"/>
  <c r="J13" i="26"/>
  <c r="J29" i="26"/>
  <c r="J17" i="26"/>
  <c r="W20" i="26"/>
  <c r="X20" i="26" s="1" a="1"/>
  <c r="X20" i="26" s="1"/>
  <c r="AJ40" i="26"/>
  <c r="AK40" i="26" s="1"/>
  <c r="AA40" i="26"/>
  <c r="AA21" i="26"/>
  <c r="Z26" i="26"/>
  <c r="AJ38" i="26"/>
  <c r="AJ26" i="26"/>
  <c r="AK26" i="26" s="1"/>
  <c r="AA37" i="26"/>
  <c r="Z40" i="26"/>
  <c r="AA39" i="26"/>
  <c r="AJ39" i="26"/>
  <c r="AK39" i="26" s="1"/>
  <c r="AN40" i="26"/>
  <c r="AO40" i="26" s="1"/>
  <c r="W11" i="26"/>
  <c r="X11" i="26" s="1" a="1"/>
  <c r="X11" i="26" s="1"/>
  <c r="W12" i="26"/>
  <c r="X12" i="26" s="1" a="1"/>
  <c r="X12" i="26" s="1"/>
  <c r="AJ5" i="26"/>
  <c r="Z5" i="26"/>
  <c r="Z7" i="26"/>
  <c r="AJ7" i="26"/>
  <c r="AK7" i="26" s="1"/>
  <c r="AJ13" i="26"/>
  <c r="Z13" i="26"/>
  <c r="AJ15" i="26"/>
  <c r="Z15" i="26"/>
  <c r="AJ17" i="26"/>
  <c r="AA17" i="26"/>
  <c r="AJ16" i="26"/>
  <c r="Z16" i="26"/>
  <c r="AA18" i="26"/>
  <c r="AJ18" i="26"/>
  <c r="Z14" i="26"/>
  <c r="AA25" i="26"/>
  <c r="AN25" i="26"/>
  <c r="AO25" i="26" s="1"/>
  <c r="AJ25" i="26"/>
  <c r="Z25" i="26"/>
  <c r="AN26" i="26"/>
  <c r="AO26" i="26" s="1"/>
  <c r="AA27" i="26"/>
  <c r="Z27" i="26"/>
  <c r="AJ27" i="26"/>
  <c r="AA28" i="26"/>
  <c r="Z28" i="26"/>
  <c r="AJ28" i="26"/>
  <c r="AN27" i="26"/>
  <c r="AO27" i="26" s="1"/>
  <c r="AO29" i="26"/>
  <c r="AO28" i="26"/>
  <c r="AJ37" i="26"/>
  <c r="Z39" i="26"/>
  <c r="W40" i="26"/>
  <c r="Z37" i="26"/>
  <c r="Z6" i="26"/>
  <c r="AA6" i="26"/>
  <c r="AN6" i="26"/>
  <c r="AO6" i="26" s="1"/>
  <c r="W8" i="26"/>
  <c r="X8" i="26" s="1" a="1"/>
  <c r="X8" i="26" s="1"/>
  <c r="AJ8" i="26"/>
  <c r="AA8" i="26"/>
  <c r="Z8" i="26"/>
  <c r="AN8" i="26"/>
  <c r="AO8" i="26" s="1"/>
  <c r="AN7" i="26"/>
  <c r="AO7" i="26" s="1"/>
  <c r="AA7" i="26"/>
  <c r="AN5" i="26"/>
  <c r="AO5" i="26" s="1"/>
  <c r="AA5" i="26"/>
  <c r="AJ9" i="26"/>
  <c r="Z9" i="26"/>
  <c r="AN9" i="26"/>
  <c r="AO9" i="26" s="1"/>
  <c r="AA9" i="26"/>
  <c r="AJ11" i="26"/>
  <c r="Z11" i="26"/>
  <c r="AN11" i="26"/>
  <c r="AO11" i="26" s="1"/>
  <c r="AJ10" i="26"/>
  <c r="Z10" i="26"/>
  <c r="AN10" i="26"/>
  <c r="AO10" i="26" s="1"/>
  <c r="W15" i="26"/>
  <c r="X15" i="26" s="1" a="1"/>
  <c r="X15" i="26" s="1"/>
  <c r="AJ12" i="26"/>
  <c r="Z12" i="26"/>
  <c r="AN12" i="26"/>
  <c r="AO12" i="26" s="1"/>
  <c r="Z19" i="26"/>
  <c r="AN19" i="26"/>
  <c r="AO19" i="26" s="1"/>
  <c r="AJ19" i="26"/>
  <c r="AK19" i="26" s="1"/>
  <c r="AA19" i="26"/>
  <c r="AJ20" i="26"/>
  <c r="Z20" i="26"/>
  <c r="AN20" i="26"/>
  <c r="AO20" i="26" s="1"/>
  <c r="AA20" i="26"/>
  <c r="W16" i="26"/>
  <c r="X16" i="26" s="1" a="1"/>
  <c r="X16" i="26" s="1"/>
  <c r="AN13" i="26"/>
  <c r="AO13" i="26" s="1"/>
  <c r="AN15" i="26"/>
  <c r="AO15" i="26" s="1"/>
  <c r="AN14" i="26"/>
  <c r="AO14" i="26" s="1"/>
  <c r="AN16" i="26"/>
  <c r="AO16" i="26" s="1"/>
  <c r="Z18" i="26"/>
  <c r="AN18" i="26"/>
  <c r="AO18" i="26" s="1"/>
  <c r="AA13" i="26"/>
  <c r="AA15" i="26"/>
  <c r="AA14" i="26"/>
  <c r="AA16" i="26"/>
  <c r="W23" i="26"/>
  <c r="X23" i="26" s="1" a="1"/>
  <c r="X23" i="26" s="1"/>
  <c r="Z17" i="26"/>
  <c r="AN17" i="26"/>
  <c r="AO17" i="26" s="1"/>
  <c r="AA22" i="26"/>
  <c r="Z22" i="26"/>
  <c r="AN22" i="26"/>
  <c r="AO22" i="26" s="1"/>
  <c r="AJ22" i="26"/>
  <c r="AA24" i="26"/>
  <c r="Z24" i="26"/>
  <c r="AN24" i="26"/>
  <c r="AO24" i="26" s="1"/>
  <c r="AJ24" i="26"/>
  <c r="AK24" i="26" s="1"/>
  <c r="AA23" i="26"/>
  <c r="W24" i="26"/>
  <c r="X24" i="26" s="1" a="1"/>
  <c r="X24" i="26" s="1"/>
  <c r="Z21" i="26"/>
  <c r="AN21" i="26"/>
  <c r="AO21" i="26" s="1"/>
  <c r="AJ21" i="26"/>
  <c r="Z23" i="26"/>
  <c r="AN23" i="26"/>
  <c r="AO23" i="26" s="1"/>
  <c r="AJ23" i="26"/>
  <c r="W28" i="26"/>
  <c r="X28" i="26" s="1" a="1"/>
  <c r="X28" i="26" s="1"/>
  <c r="Z31" i="26"/>
  <c r="AN31" i="26"/>
  <c r="AO31" i="26" s="1"/>
  <c r="AJ31" i="26"/>
  <c r="AA31" i="26"/>
  <c r="W32" i="26"/>
  <c r="X32" i="26" s="1" a="1"/>
  <c r="X32" i="26" s="1"/>
  <c r="AJ35" i="26"/>
  <c r="AA35" i="26"/>
  <c r="Z35" i="26"/>
  <c r="AN35" i="26"/>
  <c r="AO35" i="26" s="1"/>
  <c r="AN32" i="26"/>
  <c r="AO32" i="26" s="1"/>
  <c r="Z32" i="26"/>
  <c r="Z29" i="26"/>
  <c r="AJ29" i="26"/>
  <c r="AA29" i="26"/>
  <c r="AJ30" i="26"/>
  <c r="AA30" i="26"/>
  <c r="AN30" i="26"/>
  <c r="AO30" i="26" s="1"/>
  <c r="AA32" i="26"/>
  <c r="AA33" i="26"/>
  <c r="AO36" i="26"/>
  <c r="AJ34" i="26"/>
  <c r="Z34" i="26"/>
  <c r="AN34" i="26"/>
  <c r="AO34" i="26" s="1"/>
  <c r="AA36" i="26"/>
  <c r="AJ36" i="26"/>
  <c r="Z36" i="26"/>
  <c r="AJ33" i="26"/>
  <c r="AO33" i="26"/>
  <c r="Z33" i="26"/>
  <c r="W36" i="26"/>
  <c r="X36" i="26" s="1" a="1"/>
  <c r="X36" i="26" s="1"/>
  <c r="W39" i="26"/>
  <c r="X39" i="26" s="1" a="1"/>
  <c r="X39" i="26" s="1"/>
  <c r="AO39" i="26"/>
  <c r="AN38" i="26"/>
  <c r="AO38" i="26" s="1"/>
  <c r="AA38" i="26"/>
  <c r="AO37" i="26"/>
  <c r="K280" i="20"/>
  <c r="F16" i="8"/>
  <c r="F17" i="8" s="1"/>
  <c r="F18" i="8" s="1"/>
  <c r="F19" i="8" s="1"/>
  <c r="F20" i="8" s="1"/>
  <c r="F21" i="8" s="1"/>
  <c r="F22" i="8" s="1"/>
  <c r="F23" i="8" s="1"/>
  <c r="F24" i="8" s="1"/>
  <c r="F25" i="8" s="1"/>
  <c r="F26" i="8" s="1"/>
  <c r="F27" i="8" s="1"/>
  <c r="H16" i="8"/>
  <c r="H17" i="8" s="1"/>
  <c r="H18" i="8" s="1"/>
  <c r="H19" i="8" s="1"/>
  <c r="H20" i="8" s="1"/>
  <c r="H21" i="8" s="1"/>
  <c r="H22" i="8" s="1"/>
  <c r="H23" i="8" s="1"/>
  <c r="H24" i="8" s="1"/>
  <c r="H25" i="8" s="1"/>
  <c r="H26" i="8" s="1"/>
  <c r="H27" i="8" s="1"/>
  <c r="G16" i="8"/>
  <c r="G17" i="8" s="1"/>
  <c r="G18" i="8" s="1"/>
  <c r="G19" i="8" s="1"/>
  <c r="G20" i="8" s="1"/>
  <c r="G21" i="8" s="1"/>
  <c r="G22" i="8" s="1"/>
  <c r="G23" i="8" s="1"/>
  <c r="G24" i="8" s="1"/>
  <c r="G25" i="8" s="1"/>
  <c r="G26" i="8" s="1"/>
  <c r="G27" i="8" s="1"/>
  <c r="P4" i="8"/>
  <c r="P5" i="8"/>
  <c r="P12" i="8"/>
  <c r="P7" i="8"/>
  <c r="P13" i="8"/>
  <c r="P8" i="8"/>
  <c r="P10" i="8"/>
  <c r="P9" i="8"/>
  <c r="P11" i="8"/>
  <c r="K9" i="14"/>
  <c r="K9" i="20"/>
  <c r="K9" i="11"/>
  <c r="E896" i="39" l="1"/>
  <c r="F896" i="39" s="1"/>
  <c r="V38" i="26"/>
  <c r="W38" i="26" s="1"/>
  <c r="X38" i="26" s="1" a="1"/>
  <c r="X38" i="26" s="1"/>
  <c r="AE117" i="9"/>
  <c r="AF117" i="9" s="1"/>
  <c r="AE66" i="9"/>
  <c r="AF66" i="9" s="1"/>
  <c r="AE98" i="9"/>
  <c r="AF98" i="9" s="1"/>
  <c r="AE93" i="9"/>
  <c r="AF93" i="9" s="1"/>
  <c r="AE85" i="9"/>
  <c r="AF85" i="9" s="1"/>
  <c r="AK32" i="26"/>
  <c r="AE100" i="9"/>
  <c r="AF100" i="9" s="1"/>
  <c r="AE119" i="9"/>
  <c r="AF119" i="9" s="1"/>
  <c r="AE90" i="9"/>
  <c r="AF90" i="9" s="1"/>
  <c r="AE112" i="9"/>
  <c r="AF112" i="9" s="1"/>
  <c r="AE65" i="9"/>
  <c r="AF65" i="9" s="1"/>
  <c r="AE99" i="9"/>
  <c r="AF99" i="9" s="1"/>
  <c r="AE83" i="9"/>
  <c r="AF83" i="9" s="1"/>
  <c r="AE103" i="9"/>
  <c r="AF103" i="9" s="1"/>
  <c r="AE104" i="9"/>
  <c r="AF104" i="9" s="1"/>
  <c r="AE76" i="9"/>
  <c r="AF76" i="9" s="1"/>
  <c r="AE74" i="9"/>
  <c r="AF74" i="9" s="1"/>
  <c r="AE108" i="9"/>
  <c r="AF108" i="9" s="1"/>
  <c r="AE95" i="9"/>
  <c r="AF95" i="9" s="1"/>
  <c r="AE118" i="9"/>
  <c r="AF118" i="9" s="1"/>
  <c r="AE81" i="9"/>
  <c r="AF81" i="9" s="1"/>
  <c r="AE89" i="9"/>
  <c r="AF89" i="9" s="1"/>
  <c r="AE77" i="9"/>
  <c r="AF77" i="9" s="1"/>
  <c r="AE116" i="9"/>
  <c r="AF116" i="9" s="1"/>
  <c r="AE101" i="9"/>
  <c r="AF101" i="9" s="1"/>
  <c r="AE69" i="9"/>
  <c r="AF69" i="9" s="1"/>
  <c r="AE109" i="9"/>
  <c r="AF109" i="9" s="1"/>
  <c r="AE84" i="9"/>
  <c r="AF84" i="9" s="1"/>
  <c r="AE68" i="9"/>
  <c r="AF68" i="9" s="1"/>
  <c r="AE106" i="9"/>
  <c r="AF106" i="9" s="1"/>
  <c r="AE110" i="9"/>
  <c r="AF110" i="9" s="1"/>
  <c r="AE73" i="9"/>
  <c r="AF73" i="9" s="1"/>
  <c r="AE80" i="9"/>
  <c r="AF80" i="9" s="1"/>
  <c r="AE114" i="9"/>
  <c r="AF114" i="9" s="1"/>
  <c r="AE115" i="9"/>
  <c r="AF115" i="9" s="1"/>
  <c r="AE111" i="9"/>
  <c r="AF111" i="9" s="1"/>
  <c r="AE96" i="9"/>
  <c r="AF96" i="9" s="1"/>
  <c r="AE105" i="9"/>
  <c r="AF105" i="9" s="1"/>
  <c r="AE86" i="9"/>
  <c r="AF86" i="9" s="1"/>
  <c r="AE102" i="9"/>
  <c r="AF102" i="9" s="1"/>
  <c r="X826" i="9"/>
  <c r="Y826" i="9" s="1"/>
  <c r="Z826" i="9" s="1" a="1"/>
  <c r="Z826" i="9" s="1"/>
  <c r="AO826" i="9"/>
  <c r="AE72" i="9"/>
  <c r="AF72" i="9" s="1"/>
  <c r="AE75" i="9"/>
  <c r="AF75" i="9" s="1"/>
  <c r="AE82" i="9"/>
  <c r="AF82" i="9" s="1"/>
  <c r="AE107" i="9"/>
  <c r="AF107" i="9" s="1"/>
  <c r="AO688" i="9"/>
  <c r="AE78" i="9"/>
  <c r="AF78" i="9" s="1"/>
  <c r="AE92" i="9"/>
  <c r="AF92" i="9" s="1"/>
  <c r="AE67" i="9"/>
  <c r="AF67" i="9" s="1"/>
  <c r="AE94" i="9"/>
  <c r="AF94" i="9" s="1"/>
  <c r="AE79" i="9"/>
  <c r="AF79" i="9" s="1"/>
  <c r="AE113" i="9"/>
  <c r="AF113" i="9" s="1"/>
  <c r="AE70" i="9"/>
  <c r="AF70" i="9" s="1"/>
  <c r="X573" i="9"/>
  <c r="Y573" i="9" s="1"/>
  <c r="Z573" i="9" s="1" a="1"/>
  <c r="Z573" i="9" s="1"/>
  <c r="AO573" i="9"/>
  <c r="AE71" i="9"/>
  <c r="AF71" i="9" s="1"/>
  <c r="AE120" i="9"/>
  <c r="AF120" i="9" s="1"/>
  <c r="AE87" i="9"/>
  <c r="AF87" i="9" s="1"/>
  <c r="AE97" i="9"/>
  <c r="AF97" i="9" s="1"/>
  <c r="AE88" i="9"/>
  <c r="AF88" i="9" s="1"/>
  <c r="AE91" i="9"/>
  <c r="AF91" i="9" s="1"/>
  <c r="K280" i="14"/>
  <c r="K358" i="11"/>
  <c r="L9" i="20"/>
  <c r="L9" i="14"/>
  <c r="L9" i="11"/>
  <c r="X688" i="9"/>
  <c r="Y688" i="9" s="1"/>
  <c r="Z688" i="9" s="1" a="1"/>
  <c r="Z688" i="9" s="1"/>
  <c r="V21" i="26"/>
  <c r="W21" i="26" s="1"/>
  <c r="X21" i="26" s="1" a="1"/>
  <c r="X21" i="26" s="1"/>
  <c r="Q5" i="26" a="1"/>
  <c r="Q5" i="26" s="1"/>
  <c r="AI5" i="26" s="1"/>
  <c r="AK5" i="26" s="1"/>
  <c r="AO242" i="9"/>
  <c r="AO300" i="9"/>
  <c r="Q9" i="26" a="1"/>
  <c r="Q9" i="26" s="1"/>
  <c r="AI9" i="26" s="1"/>
  <c r="AK9" i="26" s="1"/>
  <c r="AO416" i="9"/>
  <c r="Q17" i="26" a="1"/>
  <c r="Q17" i="26" s="1"/>
  <c r="AI17" i="26" s="1"/>
  <c r="AK17" i="26" s="1"/>
  <c r="AO630" i="9"/>
  <c r="Q29" i="26" a="1"/>
  <c r="Q29" i="26" s="1"/>
  <c r="AI29" i="26" s="1"/>
  <c r="AK29" i="26" s="1"/>
  <c r="AO358" i="9"/>
  <c r="Q13" i="26" a="1"/>
  <c r="Q13" i="26" s="1"/>
  <c r="AI13" i="26" s="1"/>
  <c r="AK13" i="26" s="1"/>
  <c r="Q25" i="26" a="1"/>
  <c r="Q25" i="26" s="1"/>
  <c r="AO572" i="9"/>
  <c r="V34" i="26"/>
  <c r="W34" i="26" s="1"/>
  <c r="X34" i="26" s="1" a="1"/>
  <c r="X34" i="26" s="1"/>
  <c r="V22" i="26"/>
  <c r="W22" i="26" s="1"/>
  <c r="AK22" i="26"/>
  <c r="AK27" i="26"/>
  <c r="AK37" i="26"/>
  <c r="AK16" i="26"/>
  <c r="AK15" i="26"/>
  <c r="AK12" i="26"/>
  <c r="AK28" i="26"/>
  <c r="AK23" i="26"/>
  <c r="AK21" i="26"/>
  <c r="AK38" i="26"/>
  <c r="AK11" i="26"/>
  <c r="X40" i="26" a="1"/>
  <c r="X40" i="26" s="1"/>
  <c r="AK33" i="26"/>
  <c r="AK30" i="26"/>
  <c r="AK31" i="26"/>
  <c r="AK18" i="26"/>
  <c r="X26" i="26" a="1"/>
  <c r="X26" i="26" s="1"/>
  <c r="X27" i="26" a="1"/>
  <c r="X27" i="26" s="1"/>
  <c r="AK35" i="26"/>
  <c r="AK20" i="26"/>
  <c r="AK10" i="26"/>
  <c r="AK34" i="26"/>
  <c r="AK36" i="26"/>
  <c r="AK8" i="26"/>
  <c r="K281" i="20"/>
  <c r="A3" i="8"/>
  <c r="A4" i="8" s="1"/>
  <c r="A5" i="8" s="1"/>
  <c r="A6" i="8" s="1"/>
  <c r="A7" i="8" s="1"/>
  <c r="A8" i="8" s="1"/>
  <c r="A9" i="8" s="1"/>
  <c r="A10" i="8" s="1"/>
  <c r="A11" i="8" s="1"/>
  <c r="A12" i="8" s="1"/>
  <c r="A13" i="8" s="1"/>
  <c r="P2" i="8"/>
  <c r="N2" i="8"/>
  <c r="M2" i="8"/>
  <c r="H178" i="7"/>
  <c r="H177" i="7"/>
  <c r="H183" i="7"/>
  <c r="H182" i="7"/>
  <c r="K10" i="20"/>
  <c r="K10" i="11"/>
  <c r="K10" i="14"/>
  <c r="E897" i="39" l="1"/>
  <c r="F897" i="39" s="1"/>
  <c r="AJ94" i="9"/>
  <c r="AI94" i="9"/>
  <c r="AL94" i="9" s="1"/>
  <c r="AH94" i="9"/>
  <c r="AK94" i="9" s="1"/>
  <c r="AI67" i="9"/>
  <c r="AL67" i="9" s="1"/>
  <c r="AH67" i="9"/>
  <c r="AK67" i="9" s="1"/>
  <c r="AJ78" i="9"/>
  <c r="AI78" i="9"/>
  <c r="AL78" i="9" s="1"/>
  <c r="AH78" i="9"/>
  <c r="AK78" i="9" s="1"/>
  <c r="AG102" i="9"/>
  <c r="AM102" i="9" s="1"/>
  <c r="AI102" i="9"/>
  <c r="AL102" i="9" s="1"/>
  <c r="AH102" i="9"/>
  <c r="AK102" i="9" s="1"/>
  <c r="AG115" i="9"/>
  <c r="AM115" i="9" s="1"/>
  <c r="AI115" i="9"/>
  <c r="AL115" i="9" s="1"/>
  <c r="AH115" i="9"/>
  <c r="AK115" i="9" s="1"/>
  <c r="AG106" i="9"/>
  <c r="AM106" i="9" s="1"/>
  <c r="AI106" i="9"/>
  <c r="AL106" i="9" s="1"/>
  <c r="AH106" i="9"/>
  <c r="AK106" i="9" s="1"/>
  <c r="AJ84" i="9"/>
  <c r="AH84" i="9"/>
  <c r="AK84" i="9" s="1"/>
  <c r="AI84" i="9"/>
  <c r="AL84" i="9" s="1"/>
  <c r="AJ101" i="9"/>
  <c r="AI101" i="9"/>
  <c r="AL101" i="9" s="1"/>
  <c r="AH101" i="9"/>
  <c r="AK101" i="9" s="1"/>
  <c r="AG118" i="9"/>
  <c r="AM118" i="9" s="1"/>
  <c r="AI118" i="9"/>
  <c r="AL118" i="9" s="1"/>
  <c r="AH118" i="9"/>
  <c r="AK118" i="9" s="1"/>
  <c r="AG74" i="9"/>
  <c r="AM74" i="9" s="1"/>
  <c r="AI74" i="9"/>
  <c r="AL74" i="9" s="1"/>
  <c r="AH74" i="9"/>
  <c r="AK74" i="9" s="1"/>
  <c r="AG72" i="9"/>
  <c r="AM72" i="9" s="1"/>
  <c r="AI72" i="9"/>
  <c r="AL72" i="9" s="1"/>
  <c r="AH72" i="9"/>
  <c r="AK72" i="9" s="1"/>
  <c r="AG90" i="9"/>
  <c r="AM90" i="9" s="1"/>
  <c r="AI90" i="9"/>
  <c r="AL90" i="9" s="1"/>
  <c r="AH90" i="9"/>
  <c r="AK90" i="9" s="1"/>
  <c r="AG89" i="9"/>
  <c r="AM89" i="9" s="1"/>
  <c r="AI89" i="9"/>
  <c r="AL89" i="9" s="1"/>
  <c r="AH89" i="9"/>
  <c r="AK89" i="9" s="1"/>
  <c r="AG98" i="9"/>
  <c r="AM98" i="9" s="1"/>
  <c r="AI98" i="9"/>
  <c r="AL98" i="9" s="1"/>
  <c r="AH98" i="9"/>
  <c r="AK98" i="9" s="1"/>
  <c r="AJ86" i="9"/>
  <c r="AI86" i="9"/>
  <c r="AL86" i="9" s="1"/>
  <c r="AH86" i="9"/>
  <c r="AK86" i="9" s="1"/>
  <c r="AG114" i="9"/>
  <c r="AM114" i="9" s="1"/>
  <c r="AI114" i="9"/>
  <c r="AL114" i="9" s="1"/>
  <c r="AH114" i="9"/>
  <c r="AK114" i="9" s="1"/>
  <c r="AG116" i="9"/>
  <c r="AM116" i="9" s="1"/>
  <c r="AH116" i="9"/>
  <c r="AK116" i="9" s="1"/>
  <c r="AI116" i="9"/>
  <c r="AL116" i="9" s="1"/>
  <c r="AI76" i="9"/>
  <c r="AL76" i="9" s="1"/>
  <c r="AH76" i="9"/>
  <c r="AK76" i="9" s="1"/>
  <c r="AG69" i="9"/>
  <c r="AM69" i="9" s="1"/>
  <c r="AI69" i="9"/>
  <c r="AL69" i="9" s="1"/>
  <c r="AH69" i="9"/>
  <c r="AK69" i="9" s="1"/>
  <c r="AJ120" i="9"/>
  <c r="AI120" i="9"/>
  <c r="AL120" i="9" s="1"/>
  <c r="AH120" i="9"/>
  <c r="AK120" i="9" s="1"/>
  <c r="AG92" i="9"/>
  <c r="AM92" i="9" s="1"/>
  <c r="AH92" i="9"/>
  <c r="AK92" i="9" s="1"/>
  <c r="AS92" i="9" s="1"/>
  <c r="AI92" i="9"/>
  <c r="AL92" i="9" s="1"/>
  <c r="AG93" i="9"/>
  <c r="AM93" i="9" s="1"/>
  <c r="AI93" i="9"/>
  <c r="AL93" i="9" s="1"/>
  <c r="AH93" i="9"/>
  <c r="AK93" i="9" s="1"/>
  <c r="AJ70" i="9"/>
  <c r="AI70" i="9"/>
  <c r="AL70" i="9" s="1"/>
  <c r="AH70" i="9"/>
  <c r="AK70" i="9" s="1"/>
  <c r="AI80" i="9"/>
  <c r="AL80" i="9" s="1"/>
  <c r="AH80" i="9"/>
  <c r="AK80" i="9" s="1"/>
  <c r="AI103" i="9"/>
  <c r="AL103" i="9" s="1"/>
  <c r="AH103" i="9"/>
  <c r="AK103" i="9" s="1"/>
  <c r="AI85" i="9"/>
  <c r="AL85" i="9" s="1"/>
  <c r="AH85" i="9"/>
  <c r="AK85" i="9" s="1"/>
  <c r="AI104" i="9"/>
  <c r="AL104" i="9" s="1"/>
  <c r="AH104" i="9"/>
  <c r="AK104" i="9" s="1"/>
  <c r="AJ119" i="9"/>
  <c r="AI119" i="9"/>
  <c r="AL119" i="9" s="1"/>
  <c r="AH119" i="9"/>
  <c r="AK119" i="9" s="1"/>
  <c r="AJ71" i="9"/>
  <c r="AI71" i="9"/>
  <c r="AL71" i="9" s="1"/>
  <c r="AH71" i="9"/>
  <c r="AK71" i="9" s="1"/>
  <c r="AI81" i="9"/>
  <c r="AL81" i="9" s="1"/>
  <c r="AH81" i="9"/>
  <c r="AK81" i="9" s="1"/>
  <c r="AG91" i="9"/>
  <c r="AM91" i="9" s="1"/>
  <c r="AI91" i="9"/>
  <c r="AL91" i="9" s="1"/>
  <c r="AH91" i="9"/>
  <c r="AK91" i="9" s="1"/>
  <c r="AI107" i="9"/>
  <c r="AL107" i="9" s="1"/>
  <c r="AH107" i="9"/>
  <c r="AK107" i="9" s="1"/>
  <c r="AG105" i="9"/>
  <c r="AM105" i="9" s="1"/>
  <c r="AI105" i="9"/>
  <c r="AL105" i="9" s="1"/>
  <c r="AH105" i="9"/>
  <c r="AK105" i="9" s="1"/>
  <c r="AG88" i="9"/>
  <c r="AM88" i="9" s="1"/>
  <c r="AI88" i="9"/>
  <c r="AL88" i="9" s="1"/>
  <c r="AH88" i="9"/>
  <c r="AK88" i="9" s="1"/>
  <c r="AG113" i="9"/>
  <c r="AM113" i="9" s="1"/>
  <c r="AI113" i="9"/>
  <c r="AL113" i="9" s="1"/>
  <c r="AH113" i="9"/>
  <c r="AK113" i="9" s="1"/>
  <c r="AG82" i="9"/>
  <c r="AM82" i="9" s="1"/>
  <c r="AI82" i="9"/>
  <c r="AL82" i="9" s="1"/>
  <c r="AH82" i="9"/>
  <c r="AK82" i="9" s="1"/>
  <c r="AI96" i="9"/>
  <c r="AL96" i="9" s="1"/>
  <c r="AH96" i="9"/>
  <c r="AK96" i="9" s="1"/>
  <c r="AI73" i="9"/>
  <c r="AL73" i="9" s="1"/>
  <c r="AH73" i="9"/>
  <c r="AK73" i="9" s="1"/>
  <c r="AG68" i="9"/>
  <c r="AM68" i="9" s="1"/>
  <c r="AH68" i="9"/>
  <c r="AK68" i="9" s="1"/>
  <c r="AI68" i="9"/>
  <c r="AL68" i="9" s="1"/>
  <c r="AG95" i="9"/>
  <c r="AM95" i="9" s="1"/>
  <c r="AI95" i="9"/>
  <c r="AL95" i="9" s="1"/>
  <c r="AH95" i="9"/>
  <c r="AK95" i="9" s="1"/>
  <c r="AJ83" i="9"/>
  <c r="AI83" i="9"/>
  <c r="AL83" i="9" s="1"/>
  <c r="AH83" i="9"/>
  <c r="AK83" i="9" s="1"/>
  <c r="AG65" i="9"/>
  <c r="AM65" i="9" s="1"/>
  <c r="AI65" i="9"/>
  <c r="AL65" i="9" s="1"/>
  <c r="AH65" i="9"/>
  <c r="AK65" i="9" s="1"/>
  <c r="AG87" i="9"/>
  <c r="AM87" i="9" s="1"/>
  <c r="AI87" i="9"/>
  <c r="AL87" i="9" s="1"/>
  <c r="AH87" i="9"/>
  <c r="AK87" i="9" s="1"/>
  <c r="AG108" i="9"/>
  <c r="AM108" i="9" s="1"/>
  <c r="AH108" i="9"/>
  <c r="AK108" i="9" s="1"/>
  <c r="AI108" i="9"/>
  <c r="AL108" i="9" s="1"/>
  <c r="AG77" i="9"/>
  <c r="AM77" i="9" s="1"/>
  <c r="AI77" i="9"/>
  <c r="AL77" i="9" s="1"/>
  <c r="AH77" i="9"/>
  <c r="AK77" i="9" s="1"/>
  <c r="AI117" i="9"/>
  <c r="AL117" i="9" s="1"/>
  <c r="AH117" i="9"/>
  <c r="AK117" i="9" s="1"/>
  <c r="AJ97" i="9"/>
  <c r="AI97" i="9"/>
  <c r="AL97" i="9" s="1"/>
  <c r="AH97" i="9"/>
  <c r="AK97" i="9" s="1"/>
  <c r="AG79" i="9"/>
  <c r="AM79" i="9" s="1"/>
  <c r="AI79" i="9"/>
  <c r="AL79" i="9" s="1"/>
  <c r="AH79" i="9"/>
  <c r="AK79" i="9" s="1"/>
  <c r="AG75" i="9"/>
  <c r="AM75" i="9" s="1"/>
  <c r="AI75" i="9"/>
  <c r="AL75" i="9" s="1"/>
  <c r="AH75" i="9"/>
  <c r="AK75" i="9" s="1"/>
  <c r="AI111" i="9"/>
  <c r="AL111" i="9" s="1"/>
  <c r="AH111" i="9"/>
  <c r="AK111" i="9" s="1"/>
  <c r="AG110" i="9"/>
  <c r="AM110" i="9" s="1"/>
  <c r="AI110" i="9"/>
  <c r="AL110" i="9" s="1"/>
  <c r="AH110" i="9"/>
  <c r="AK110" i="9" s="1"/>
  <c r="AG109" i="9"/>
  <c r="AM109" i="9" s="1"/>
  <c r="AI109" i="9"/>
  <c r="AL109" i="9" s="1"/>
  <c r="AH109" i="9"/>
  <c r="AK109" i="9" s="1"/>
  <c r="AG99" i="9"/>
  <c r="AM99" i="9" s="1"/>
  <c r="AI99" i="9"/>
  <c r="AL99" i="9" s="1"/>
  <c r="AH99" i="9"/>
  <c r="AK99" i="9" s="1"/>
  <c r="AG112" i="9"/>
  <c r="AM112" i="9" s="1"/>
  <c r="AI112" i="9"/>
  <c r="AL112" i="9" s="1"/>
  <c r="AH112" i="9"/>
  <c r="AK112" i="9" s="1"/>
  <c r="AJ100" i="9"/>
  <c r="AH100" i="9"/>
  <c r="AK100" i="9" s="1"/>
  <c r="AI100" i="9"/>
  <c r="AL100" i="9" s="1"/>
  <c r="AG66" i="9"/>
  <c r="AM66" i="9" s="1"/>
  <c r="AI66" i="9"/>
  <c r="AL66" i="9" s="1"/>
  <c r="AH66" i="9"/>
  <c r="AK66" i="9" s="1"/>
  <c r="AD641" i="9"/>
  <c r="AE641" i="9" s="1"/>
  <c r="AF641" i="9" s="1"/>
  <c r="AD744" i="9"/>
  <c r="AE744" i="9" s="1"/>
  <c r="AF744" i="9" s="1"/>
  <c r="AD244" i="9"/>
  <c r="AE244" i="9" s="1"/>
  <c r="AF244" i="9" s="1"/>
  <c r="AD162" i="9"/>
  <c r="AE162" i="9" s="1"/>
  <c r="AF162" i="9" s="1"/>
  <c r="AD156" i="9"/>
  <c r="AE156" i="9" s="1"/>
  <c r="AF156" i="9" s="1"/>
  <c r="AD622" i="9"/>
  <c r="AD503" i="9"/>
  <c r="AE503" i="9" s="1"/>
  <c r="AF503" i="9" s="1"/>
  <c r="AD204" i="9"/>
  <c r="AE204" i="9" s="1"/>
  <c r="AF204" i="9" s="1"/>
  <c r="AD181" i="9"/>
  <c r="AE181" i="9" s="1"/>
  <c r="AF181" i="9" s="1"/>
  <c r="AD336" i="9"/>
  <c r="AE336" i="9" s="1"/>
  <c r="AF336" i="9" s="1"/>
  <c r="AD258" i="9"/>
  <c r="AE258" i="9" s="1"/>
  <c r="AF258" i="9" s="1"/>
  <c r="AD200" i="9"/>
  <c r="AE200" i="9" s="1"/>
  <c r="AF200" i="9" s="1"/>
  <c r="AD136" i="9"/>
  <c r="AE136" i="9" s="1"/>
  <c r="AF136" i="9" s="1"/>
  <c r="AD55" i="9"/>
  <c r="AE55" i="9" s="1"/>
  <c r="AF55" i="9" s="1"/>
  <c r="AD656" i="9"/>
  <c r="AD574" i="9"/>
  <c r="AE574" i="9" s="1"/>
  <c r="AF574" i="9" s="1"/>
  <c r="AD567" i="9"/>
  <c r="AD667" i="9"/>
  <c r="AE667" i="9" s="1"/>
  <c r="AF667" i="9" s="1"/>
  <c r="AD647" i="9"/>
  <c r="AD596" i="9"/>
  <c r="AE596" i="9" s="1"/>
  <c r="AF596" i="9" s="1"/>
  <c r="AD571" i="9"/>
  <c r="AE571" i="9" s="1"/>
  <c r="AF571" i="9" s="1"/>
  <c r="AD410" i="9"/>
  <c r="AD819" i="9"/>
  <c r="AE819" i="9" s="1"/>
  <c r="AF819" i="9" s="1"/>
  <c r="AD683" i="9"/>
  <c r="AE683" i="9" s="1"/>
  <c r="AF683" i="9" s="1"/>
  <c r="AD592" i="9"/>
  <c r="AD526" i="9"/>
  <c r="AE526" i="9" s="1"/>
  <c r="AF526" i="9" s="1"/>
  <c r="AD262" i="9"/>
  <c r="AE262" i="9" s="1"/>
  <c r="AF262" i="9" s="1"/>
  <c r="AD159" i="9"/>
  <c r="AE159" i="9" s="1"/>
  <c r="AF159" i="9" s="1"/>
  <c r="AD676" i="9"/>
  <c r="AE676" i="9" s="1"/>
  <c r="AF676" i="9" s="1"/>
  <c r="AD585" i="9"/>
  <c r="AE585" i="9" s="1"/>
  <c r="AF585" i="9" s="1"/>
  <c r="AD299" i="9"/>
  <c r="AE299" i="9" s="1"/>
  <c r="AF299" i="9" s="1"/>
  <c r="AD241" i="9"/>
  <c r="AE241" i="9" s="1"/>
  <c r="AF241" i="9" s="1"/>
  <c r="AD38" i="9"/>
  <c r="AE38" i="9" s="1"/>
  <c r="AF38" i="9" s="1"/>
  <c r="AD739" i="9"/>
  <c r="AE739" i="9" s="1"/>
  <c r="AF739" i="9" s="1"/>
  <c r="AD695" i="9"/>
  <c r="AE695" i="9" s="1"/>
  <c r="AF695" i="9" s="1"/>
  <c r="AD535" i="9"/>
  <c r="AE535" i="9" s="1"/>
  <c r="AF535" i="9" s="1"/>
  <c r="AD394" i="9"/>
  <c r="AD184" i="9"/>
  <c r="AE184" i="9" s="1"/>
  <c r="AF184" i="9" s="1"/>
  <c r="AD135" i="9"/>
  <c r="AE135" i="9" s="1"/>
  <c r="AF135" i="9" s="1"/>
  <c r="AD401" i="9"/>
  <c r="AE401" i="9" s="1"/>
  <c r="AF401" i="9" s="1"/>
  <c r="AD54" i="9"/>
  <c r="AE54" i="9" s="1"/>
  <c r="AF54" i="9" s="1"/>
  <c r="AD793" i="9"/>
  <c r="AE793" i="9" s="1"/>
  <c r="AF793" i="9" s="1"/>
  <c r="AD661" i="9"/>
  <c r="AE661" i="9" s="1"/>
  <c r="AF661" i="9" s="1"/>
  <c r="AD620" i="9"/>
  <c r="AD640" i="9"/>
  <c r="AE640" i="9" s="1"/>
  <c r="AF640" i="9" s="1"/>
  <c r="AD615" i="9"/>
  <c r="AE615" i="9" s="1"/>
  <c r="AF615" i="9" s="1"/>
  <c r="AD313" i="9"/>
  <c r="AE313" i="9" s="1"/>
  <c r="AF313" i="9" s="1"/>
  <c r="AD143" i="9"/>
  <c r="AE143" i="9" s="1"/>
  <c r="AF143" i="9" s="1"/>
  <c r="AD385" i="9"/>
  <c r="AE385" i="9" s="1"/>
  <c r="AF385" i="9" s="1"/>
  <c r="AD781" i="9"/>
  <c r="AE781" i="9" s="1"/>
  <c r="AF781" i="9" s="1"/>
  <c r="AD555" i="9"/>
  <c r="AE555" i="9" s="1"/>
  <c r="AF555" i="9" s="1"/>
  <c r="AD801" i="9"/>
  <c r="AE801" i="9" s="1"/>
  <c r="AF801" i="9" s="1"/>
  <c r="AD789" i="9"/>
  <c r="AE789" i="9" s="1"/>
  <c r="AF789" i="9" s="1"/>
  <c r="AD575" i="9"/>
  <c r="AE575" i="9" s="1"/>
  <c r="AF575" i="9" s="1"/>
  <c r="AD728" i="9"/>
  <c r="AE728" i="9" s="1"/>
  <c r="AF728" i="9" s="1"/>
  <c r="AD599" i="9"/>
  <c r="AE599" i="9" s="1"/>
  <c r="AF599" i="9" s="1"/>
  <c r="AD201" i="9"/>
  <c r="AE201" i="9" s="1"/>
  <c r="AF201" i="9" s="1"/>
  <c r="AD188" i="9"/>
  <c r="AE188" i="9" s="1"/>
  <c r="AF188" i="9" s="1"/>
  <c r="AD178" i="9"/>
  <c r="AE178" i="9" s="1"/>
  <c r="AF178" i="9" s="1"/>
  <c r="AD551" i="9"/>
  <c r="AE551" i="9" s="1"/>
  <c r="AF551" i="9" s="1"/>
  <c r="AD374" i="9"/>
  <c r="AE374" i="9" s="1"/>
  <c r="AF374" i="9" s="1"/>
  <c r="AD362" i="9"/>
  <c r="AD302" i="9"/>
  <c r="AE302" i="9" s="1"/>
  <c r="AF302" i="9" s="1"/>
  <c r="AD278" i="9"/>
  <c r="AE278" i="9" s="1"/>
  <c r="AF278" i="9" s="1"/>
  <c r="AD687" i="9"/>
  <c r="AE687" i="9" s="1"/>
  <c r="AF687" i="9" s="1"/>
  <c r="AD173" i="9"/>
  <c r="AE173" i="9" s="1"/>
  <c r="AF173" i="9" s="1"/>
  <c r="AD768" i="9"/>
  <c r="AE768" i="9" s="1"/>
  <c r="AF768" i="9" s="1"/>
  <c r="AD301" i="9"/>
  <c r="AD769" i="9"/>
  <c r="AE769" i="9" s="1"/>
  <c r="AF769" i="9" s="1"/>
  <c r="AD255" i="9"/>
  <c r="AD784" i="9"/>
  <c r="AE784" i="9" s="1"/>
  <c r="AF784" i="9" s="1"/>
  <c r="AD820" i="9"/>
  <c r="AE820" i="9" s="1"/>
  <c r="AF820" i="9" s="1"/>
  <c r="AD562" i="9"/>
  <c r="AD346" i="9"/>
  <c r="AE346" i="9" s="1"/>
  <c r="AF346" i="9" s="1"/>
  <c r="AD371" i="9"/>
  <c r="AE371" i="9" s="1"/>
  <c r="AF371" i="9" s="1"/>
  <c r="AD539" i="9"/>
  <c r="AE539" i="9" s="1"/>
  <c r="AF539" i="9" s="1"/>
  <c r="AD361" i="9"/>
  <c r="AE361" i="9" s="1"/>
  <c r="AF361" i="9" s="1"/>
  <c r="AD122" i="9"/>
  <c r="AE122" i="9" s="1"/>
  <c r="AF122" i="9" s="1"/>
  <c r="AD827" i="9"/>
  <c r="AD694" i="9"/>
  <c r="AE694" i="9" s="1"/>
  <c r="AF694" i="9" s="1"/>
  <c r="AD133" i="9"/>
  <c r="AE133" i="9" s="1"/>
  <c r="AF133" i="9" s="1"/>
  <c r="AD353" i="9"/>
  <c r="AD295" i="9"/>
  <c r="AE295" i="9" s="1"/>
  <c r="AF295" i="9" s="1"/>
  <c r="AD714" i="9"/>
  <c r="AE714" i="9" s="1"/>
  <c r="AF714" i="9" s="1"/>
  <c r="AD608" i="9"/>
  <c r="AE608" i="9" s="1"/>
  <c r="AF608" i="9" s="1"/>
  <c r="AD41" i="9"/>
  <c r="AE41" i="9" s="1"/>
  <c r="AF41" i="9" s="1"/>
  <c r="AD546" i="9"/>
  <c r="AE546" i="9" s="1"/>
  <c r="AF546" i="9" s="1"/>
  <c r="AD463" i="9"/>
  <c r="AD413" i="9"/>
  <c r="AE413" i="9" s="1"/>
  <c r="AF413" i="9" s="1"/>
  <c r="AD176" i="9"/>
  <c r="AE176" i="9" s="1"/>
  <c r="AF176" i="9" s="1"/>
  <c r="AD775" i="9"/>
  <c r="AE775" i="9" s="1"/>
  <c r="AF775" i="9" s="1"/>
  <c r="AD785" i="9"/>
  <c r="AE785" i="9" s="1"/>
  <c r="AF785" i="9" s="1"/>
  <c r="AD205" i="9"/>
  <c r="AE205" i="9" s="1"/>
  <c r="AF205" i="9" s="1"/>
  <c r="AD158" i="9"/>
  <c r="AE158" i="9" s="1"/>
  <c r="AF158" i="9" s="1"/>
  <c r="AD468" i="9"/>
  <c r="AE468" i="9" s="1"/>
  <c r="AF468" i="9" s="1"/>
  <c r="AD276" i="9"/>
  <c r="AD217" i="9"/>
  <c r="AE217" i="9" s="1"/>
  <c r="AF217" i="9" s="1"/>
  <c r="AD855" i="9"/>
  <c r="AE855" i="9" s="1"/>
  <c r="AF855" i="9" s="1"/>
  <c r="AD795" i="9"/>
  <c r="AE795" i="9" s="1"/>
  <c r="AF795" i="9" s="1"/>
  <c r="AD732" i="9"/>
  <c r="AE732" i="9" s="1"/>
  <c r="AF732" i="9" s="1"/>
  <c r="AD560" i="9"/>
  <c r="AE560" i="9" s="1"/>
  <c r="AF560" i="9" s="1"/>
  <c r="AD542" i="9"/>
  <c r="AD220" i="9"/>
  <c r="AE220" i="9" s="1"/>
  <c r="AF220" i="9" s="1"/>
  <c r="AD197" i="9"/>
  <c r="AE197" i="9" s="1"/>
  <c r="AF197" i="9" s="1"/>
  <c r="AD61" i="9"/>
  <c r="AE61" i="9" s="1"/>
  <c r="AF61" i="9" s="1"/>
  <c r="AD39" i="9"/>
  <c r="AE39" i="9" s="1"/>
  <c r="AF39" i="9" s="1"/>
  <c r="AD715" i="9"/>
  <c r="AE715" i="9" s="1"/>
  <c r="AF715" i="9" s="1"/>
  <c r="AD300" i="9"/>
  <c r="AD260" i="9"/>
  <c r="AD142" i="9"/>
  <c r="AD724" i="9"/>
  <c r="AE724" i="9" s="1"/>
  <c r="AF724" i="9" s="1"/>
  <c r="AD677" i="9"/>
  <c r="AE677" i="9" s="1"/>
  <c r="AF677" i="9" s="1"/>
  <c r="AD690" i="9"/>
  <c r="AE690" i="9" s="1"/>
  <c r="AF690" i="9" s="1"/>
  <c r="AD59" i="9"/>
  <c r="AE59" i="9" s="1"/>
  <c r="AF59" i="9" s="1"/>
  <c r="AD547" i="9"/>
  <c r="AE547" i="9" s="1"/>
  <c r="AF547" i="9" s="1"/>
  <c r="AD28" i="9"/>
  <c r="AE28" i="9" s="1"/>
  <c r="AF28" i="9" s="1"/>
  <c r="AD48" i="9"/>
  <c r="AE48" i="9" s="1"/>
  <c r="AF48" i="9" s="1"/>
  <c r="AD588" i="9"/>
  <c r="AE588" i="9" s="1"/>
  <c r="AF588" i="9" s="1"/>
  <c r="AD153" i="9"/>
  <c r="AE153" i="9" s="1"/>
  <c r="AF153" i="9" s="1"/>
  <c r="AD758" i="9"/>
  <c r="AE758" i="9" s="1"/>
  <c r="AF758" i="9" s="1"/>
  <c r="AD627" i="9"/>
  <c r="AE627" i="9" s="1"/>
  <c r="AF627" i="9" s="1"/>
  <c r="AD445" i="9"/>
  <c r="AE445" i="9" s="1"/>
  <c r="AF445" i="9" s="1"/>
  <c r="AD64" i="9"/>
  <c r="AE64" i="9" s="1"/>
  <c r="AF64" i="9" s="1"/>
  <c r="AD221" i="9"/>
  <c r="AE221" i="9" s="1"/>
  <c r="AF221" i="9" s="1"/>
  <c r="AD826" i="9"/>
  <c r="AD62" i="9"/>
  <c r="AE62" i="9" s="1"/>
  <c r="AF62" i="9" s="1"/>
  <c r="AD708" i="9"/>
  <c r="AE708" i="9" s="1"/>
  <c r="AF708" i="9" s="1"/>
  <c r="AD774" i="9"/>
  <c r="AE774" i="9" s="1"/>
  <c r="AF774" i="9" s="1"/>
  <c r="AD316" i="9"/>
  <c r="AE316" i="9" s="1"/>
  <c r="AF316" i="9" s="1"/>
  <c r="AD279" i="9"/>
  <c r="AE279" i="9" s="1"/>
  <c r="AF279" i="9" s="1"/>
  <c r="AD24" i="9"/>
  <c r="AE24" i="9" s="1"/>
  <c r="AF24" i="9" s="1"/>
  <c r="AD45" i="9"/>
  <c r="AE45" i="9" s="1"/>
  <c r="AF45" i="9" s="1"/>
  <c r="AD50" i="9"/>
  <c r="AE50" i="9" s="1"/>
  <c r="AF50" i="9" s="1"/>
  <c r="AD856" i="9"/>
  <c r="AE856" i="9" s="1"/>
  <c r="AF856" i="9" s="1"/>
  <c r="AD765" i="9"/>
  <c r="AE765" i="9" s="1"/>
  <c r="AF765" i="9" s="1"/>
  <c r="AD185" i="9"/>
  <c r="AE185" i="9" s="1"/>
  <c r="AF185" i="9" s="1"/>
  <c r="AD47" i="9"/>
  <c r="AE47" i="9" s="1"/>
  <c r="AF47" i="9" s="1"/>
  <c r="AD320" i="9"/>
  <c r="AE320" i="9" s="1"/>
  <c r="AF320" i="9" s="1"/>
  <c r="AD44" i="9"/>
  <c r="AE44" i="9" s="1"/>
  <c r="AF44" i="9" s="1"/>
  <c r="AD25" i="9"/>
  <c r="AE25" i="9" s="1"/>
  <c r="AF25" i="9" s="1"/>
  <c r="AD538" i="9"/>
  <c r="AE538" i="9" s="1"/>
  <c r="AF538" i="9" s="1"/>
  <c r="AD531" i="9"/>
  <c r="AE531" i="9" s="1"/>
  <c r="AF531" i="9" s="1"/>
  <c r="AD208" i="9"/>
  <c r="AE208" i="9" s="1"/>
  <c r="AF208" i="9" s="1"/>
  <c r="AD8" i="9"/>
  <c r="AE8" i="9" s="1"/>
  <c r="AF8" i="9" s="1"/>
  <c r="AJ66" i="9"/>
  <c r="AG119" i="9"/>
  <c r="AM119" i="9" s="1"/>
  <c r="V390" i="9"/>
  <c r="Y390" i="9" s="1"/>
  <c r="Z390" i="9" s="1" a="1"/>
  <c r="Z390" i="9" s="1"/>
  <c r="V655" i="9"/>
  <c r="Y655" i="9" s="1"/>
  <c r="Z655" i="9" s="1" a="1"/>
  <c r="Z655" i="9" s="1"/>
  <c r="V386" i="9"/>
  <c r="Y386" i="9" s="1"/>
  <c r="Z386" i="9" s="1" a="1"/>
  <c r="Z386" i="9" s="1"/>
  <c r="V659" i="9"/>
  <c r="Y659" i="9" s="1"/>
  <c r="Z659" i="9" s="1" a="1"/>
  <c r="Z659" i="9" s="1"/>
  <c r="V651" i="9"/>
  <c r="Y651" i="9" s="1"/>
  <c r="Z651" i="9" s="1" a="1"/>
  <c r="Z651" i="9" s="1"/>
  <c r="V378" i="9"/>
  <c r="Y378" i="9" s="1"/>
  <c r="Z378" i="9" s="1" a="1"/>
  <c r="Z378" i="9" s="1"/>
  <c r="V382" i="9"/>
  <c r="Y382" i="9" s="1"/>
  <c r="Z382" i="9" s="1" a="1"/>
  <c r="Z382" i="9" s="1"/>
  <c r="V647" i="9"/>
  <c r="Y647" i="9" s="1"/>
  <c r="Z647" i="9" s="1" a="1"/>
  <c r="Z647" i="9" s="1"/>
  <c r="V663" i="9"/>
  <c r="Y663" i="9" s="1"/>
  <c r="Z663" i="9" s="1" a="1"/>
  <c r="Z663" i="9" s="1"/>
  <c r="V394" i="9"/>
  <c r="Y394" i="9" s="1"/>
  <c r="Z394" i="9" s="1" a="1"/>
  <c r="Z394" i="9" s="1"/>
  <c r="V467" i="9"/>
  <c r="Y467" i="9" s="1"/>
  <c r="Z467" i="9" s="1" a="1"/>
  <c r="Z467" i="9" s="1"/>
  <c r="V652" i="9"/>
  <c r="Y652" i="9" s="1"/>
  <c r="Z652" i="9" s="1" a="1"/>
  <c r="Z652" i="9" s="1"/>
  <c r="V260" i="9"/>
  <c r="Y260" i="9" s="1"/>
  <c r="Z260" i="9" s="1" a="1"/>
  <c r="Z260" i="9" s="1"/>
  <c r="V272" i="9"/>
  <c r="Y272" i="9" s="1"/>
  <c r="Z272" i="9" s="1" a="1"/>
  <c r="Z272" i="9" s="1"/>
  <c r="V562" i="9"/>
  <c r="Y562" i="9" s="1"/>
  <c r="Z562" i="9" s="1" a="1"/>
  <c r="Z562" i="9" s="1"/>
  <c r="V648" i="9"/>
  <c r="Y648" i="9" s="1"/>
  <c r="Z648" i="9" s="1" a="1"/>
  <c r="Z648" i="9" s="1"/>
  <c r="V664" i="9"/>
  <c r="Y664" i="9" s="1"/>
  <c r="Z664" i="9" s="1" a="1"/>
  <c r="Z664" i="9" s="1"/>
  <c r="V268" i="9"/>
  <c r="Y268" i="9" s="1"/>
  <c r="Z268" i="9" s="1" a="1"/>
  <c r="Z268" i="9" s="1"/>
  <c r="V463" i="9"/>
  <c r="Y463" i="9" s="1"/>
  <c r="Z463" i="9" s="1" a="1"/>
  <c r="Z463" i="9" s="1"/>
  <c r="V558" i="9"/>
  <c r="Y558" i="9" s="1"/>
  <c r="Z558" i="9" s="1" a="1"/>
  <c r="Z558" i="9" s="1"/>
  <c r="V455" i="9"/>
  <c r="Y455" i="9" s="1"/>
  <c r="Z455" i="9" s="1" a="1"/>
  <c r="Z455" i="9" s="1"/>
  <c r="V471" i="9"/>
  <c r="Y471" i="9" s="1"/>
  <c r="Z471" i="9" s="1" a="1"/>
  <c r="Z471" i="9" s="1"/>
  <c r="V459" i="9"/>
  <c r="Y459" i="9" s="1"/>
  <c r="Z459" i="9" s="1" a="1"/>
  <c r="Z459" i="9" s="1"/>
  <c r="V660" i="9"/>
  <c r="Y660" i="9" s="1"/>
  <c r="Z660" i="9" s="1" a="1"/>
  <c r="Z660" i="9" s="1"/>
  <c r="V276" i="9"/>
  <c r="Y276" i="9" s="1"/>
  <c r="Z276" i="9" s="1" a="1"/>
  <c r="Z276" i="9" s="1"/>
  <c r="V570" i="9"/>
  <c r="Y570" i="9" s="1"/>
  <c r="Z570" i="9" s="1" a="1"/>
  <c r="Z570" i="9" s="1"/>
  <c r="V566" i="9"/>
  <c r="Y566" i="9" s="1"/>
  <c r="Z566" i="9" s="1" a="1"/>
  <c r="Z566" i="9" s="1"/>
  <c r="V554" i="9"/>
  <c r="Y554" i="9" s="1"/>
  <c r="Z554" i="9" s="1" a="1"/>
  <c r="Z554" i="9" s="1"/>
  <c r="V656" i="9"/>
  <c r="Y656" i="9" s="1"/>
  <c r="Z656" i="9" s="1" a="1"/>
  <c r="Z656" i="9" s="1"/>
  <c r="V264" i="9"/>
  <c r="Y264" i="9" s="1"/>
  <c r="Z264" i="9" s="1" a="1"/>
  <c r="Z264" i="9" s="1"/>
  <c r="V297" i="9"/>
  <c r="Y297" i="9" s="1"/>
  <c r="Z297" i="9" s="1" a="1"/>
  <c r="Z297" i="9" s="1"/>
  <c r="V593" i="9"/>
  <c r="Y593" i="9" s="1"/>
  <c r="Z593" i="9" s="1" a="1"/>
  <c r="Z593" i="9" s="1"/>
  <c r="V624" i="9"/>
  <c r="Y624" i="9" s="1"/>
  <c r="Z624" i="9" s="1" a="1"/>
  <c r="Z624" i="9" s="1"/>
  <c r="V438" i="9"/>
  <c r="Y438" i="9" s="1"/>
  <c r="Z438" i="9" s="1" a="1"/>
  <c r="Z438" i="9" s="1"/>
  <c r="V293" i="9"/>
  <c r="Y293" i="9" s="1"/>
  <c r="Z293" i="9" s="1" a="1"/>
  <c r="Z293" i="9" s="1"/>
  <c r="V589" i="9"/>
  <c r="Y589" i="9" s="1"/>
  <c r="Z589" i="9" s="1" a="1"/>
  <c r="Z589" i="9" s="1"/>
  <c r="V601" i="9"/>
  <c r="Y601" i="9" s="1"/>
  <c r="Z601" i="9" s="1" a="1"/>
  <c r="Z601" i="9" s="1"/>
  <c r="V620" i="9"/>
  <c r="Y620" i="9" s="1"/>
  <c r="Z620" i="9" s="1" a="1"/>
  <c r="Z620" i="9" s="1"/>
  <c r="V289" i="9"/>
  <c r="Y289" i="9" s="1"/>
  <c r="Z289" i="9" s="1" a="1"/>
  <c r="Z289" i="9" s="1"/>
  <c r="V434" i="9"/>
  <c r="Y434" i="9" s="1"/>
  <c r="Z434" i="9" s="1" a="1"/>
  <c r="Z434" i="9" s="1"/>
  <c r="V450" i="9"/>
  <c r="Y450" i="9" s="1"/>
  <c r="Z450" i="9" s="1" a="1"/>
  <c r="Z450" i="9" s="1"/>
  <c r="V616" i="9"/>
  <c r="Y616" i="9" s="1"/>
  <c r="Z616" i="9" s="1" a="1"/>
  <c r="Z616" i="9" s="1"/>
  <c r="V285" i="9"/>
  <c r="Y285" i="9" s="1"/>
  <c r="Z285" i="9" s="1" a="1"/>
  <c r="Z285" i="9" s="1"/>
  <c r="V446" i="9"/>
  <c r="Y446" i="9" s="1"/>
  <c r="Z446" i="9" s="1" a="1"/>
  <c r="Z446" i="9" s="1"/>
  <c r="V597" i="9"/>
  <c r="Y597" i="9" s="1"/>
  <c r="Z597" i="9" s="1" a="1"/>
  <c r="Z597" i="9" s="1"/>
  <c r="V442" i="9"/>
  <c r="Y442" i="9" s="1"/>
  <c r="Z442" i="9" s="1" a="1"/>
  <c r="Z442" i="9" s="1"/>
  <c r="V605" i="9"/>
  <c r="Y605" i="9" s="1"/>
  <c r="Z605" i="9" s="1" a="1"/>
  <c r="Z605" i="9" s="1"/>
  <c r="V612" i="9"/>
  <c r="Y612" i="9" s="1"/>
  <c r="Z612" i="9" s="1" a="1"/>
  <c r="Z612" i="9" s="1"/>
  <c r="V628" i="9"/>
  <c r="Y628" i="9" s="1"/>
  <c r="Z628" i="9" s="1" a="1"/>
  <c r="Z628" i="9" s="1"/>
  <c r="V281" i="9"/>
  <c r="Y281" i="9" s="1"/>
  <c r="Z281" i="9" s="1" a="1"/>
  <c r="Z281" i="9" s="1"/>
  <c r="V337" i="9"/>
  <c r="Y337" i="9" s="1"/>
  <c r="Z337" i="9" s="1" a="1"/>
  <c r="Z337" i="9" s="1"/>
  <c r="V353" i="9"/>
  <c r="Y353" i="9" s="1"/>
  <c r="Z353" i="9" s="1" a="1"/>
  <c r="Z353" i="9" s="1"/>
  <c r="V349" i="9"/>
  <c r="Y349" i="9" s="1"/>
  <c r="Z349" i="9" s="1" a="1"/>
  <c r="Z349" i="9" s="1"/>
  <c r="V345" i="9"/>
  <c r="Y345" i="9" s="1"/>
  <c r="Z345" i="9" s="1" a="1"/>
  <c r="Z345" i="9" s="1"/>
  <c r="V341" i="9"/>
  <c r="Y341" i="9" s="1"/>
  <c r="Z341" i="9" s="1" a="1"/>
  <c r="Z341" i="9" s="1"/>
  <c r="AJ93" i="9"/>
  <c r="AN93" i="9" s="1"/>
  <c r="AJ116" i="9"/>
  <c r="AJ112" i="9"/>
  <c r="AJ99" i="9"/>
  <c r="AN99" i="9" s="1"/>
  <c r="AJ77" i="9"/>
  <c r="AJ89" i="9"/>
  <c r="AG84" i="9"/>
  <c r="AM84" i="9" s="1"/>
  <c r="AJ98" i="9"/>
  <c r="AG97" i="9"/>
  <c r="AM97" i="9" s="1"/>
  <c r="AJ90" i="9"/>
  <c r="AJ115" i="9"/>
  <c r="AJ118" i="9"/>
  <c r="AJ81" i="9"/>
  <c r="AG81" i="9"/>
  <c r="AM81" i="9" s="1"/>
  <c r="AJ106" i="9"/>
  <c r="AJ109" i="9"/>
  <c r="AJ87" i="9"/>
  <c r="AJ72" i="9"/>
  <c r="AG120" i="9"/>
  <c r="AM120" i="9" s="1"/>
  <c r="AJ110" i="9"/>
  <c r="AJ105" i="9"/>
  <c r="AJ79" i="9"/>
  <c r="AN79" i="9" s="1"/>
  <c r="AJ75" i="9"/>
  <c r="V5" i="26"/>
  <c r="W5" i="26" s="1"/>
  <c r="X5" i="26" s="1" a="1"/>
  <c r="X5" i="26" s="1"/>
  <c r="AJ88" i="9"/>
  <c r="AJ67" i="9"/>
  <c r="AG67" i="9"/>
  <c r="AM67" i="9" s="1"/>
  <c r="AJ74" i="9"/>
  <c r="AG86" i="9"/>
  <c r="AM86" i="9" s="1"/>
  <c r="AJ91" i="9"/>
  <c r="AJ102" i="9"/>
  <c r="AG71" i="9"/>
  <c r="AM71" i="9" s="1"/>
  <c r="V17" i="26"/>
  <c r="W17" i="26" s="1"/>
  <c r="X17" i="26" s="1" a="1"/>
  <c r="X17" i="26" s="1"/>
  <c r="AJ113" i="9"/>
  <c r="AN113" i="9" s="1"/>
  <c r="AJ82" i="9"/>
  <c r="AG70" i="9"/>
  <c r="AM70" i="9" s="1"/>
  <c r="AJ114" i="9"/>
  <c r="AJ68" i="9"/>
  <c r="AG101" i="9"/>
  <c r="AM101" i="9" s="1"/>
  <c r="AG100" i="9"/>
  <c r="AM100" i="9" s="1"/>
  <c r="AJ108" i="9"/>
  <c r="AJ92" i="9"/>
  <c r="AG78" i="9"/>
  <c r="AM78" i="9" s="1"/>
  <c r="AJ69" i="9"/>
  <c r="AG94" i="9"/>
  <c r="AM94" i="9" s="1"/>
  <c r="V13" i="26"/>
  <c r="W13" i="26" s="1"/>
  <c r="X13" i="26" s="1" a="1"/>
  <c r="X13" i="26" s="1"/>
  <c r="K281" i="14"/>
  <c r="K359" i="11"/>
  <c r="L10" i="20"/>
  <c r="L10" i="14"/>
  <c r="L10" i="11"/>
  <c r="AJ65" i="9"/>
  <c r="AN65" i="9" s="1"/>
  <c r="V9" i="26"/>
  <c r="W9" i="26" s="1"/>
  <c r="X9" i="26" s="1" a="1"/>
  <c r="X9" i="26" s="1"/>
  <c r="AJ95" i="9"/>
  <c r="AG83" i="9"/>
  <c r="AM83" i="9" s="1"/>
  <c r="V29" i="26"/>
  <c r="W29" i="26" s="1"/>
  <c r="X29" i="26" s="1" a="1"/>
  <c r="X29" i="26" s="1"/>
  <c r="AI25" i="26"/>
  <c r="AK25" i="26" s="1"/>
  <c r="V25" i="26"/>
  <c r="W25" i="26" s="1"/>
  <c r="X25" i="26" s="1" a="1"/>
  <c r="X25" i="26" s="1"/>
  <c r="X242" i="9"/>
  <c r="Y242" i="9" s="1"/>
  <c r="Z242" i="9" s="1" a="1"/>
  <c r="Z242" i="9" s="1"/>
  <c r="Q2" i="8"/>
  <c r="AE362" i="9"/>
  <c r="AF362" i="9" s="1"/>
  <c r="AE542" i="9"/>
  <c r="AF542" i="9" s="1"/>
  <c r="AE567" i="9"/>
  <c r="AF567" i="9" s="1"/>
  <c r="AE622" i="9"/>
  <c r="AF622" i="9" s="1"/>
  <c r="AB18" i="26"/>
  <c r="AC18" i="26" s="1"/>
  <c r="AD18" i="26" s="1"/>
  <c r="AE592" i="9"/>
  <c r="AF592" i="9" s="1"/>
  <c r="AE410" i="9"/>
  <c r="AF410" i="9" s="1"/>
  <c r="AB20" i="26"/>
  <c r="AC20" i="26" s="1"/>
  <c r="AD20" i="26" s="1"/>
  <c r="AF20" i="26" s="1"/>
  <c r="AE255" i="9"/>
  <c r="AF255" i="9" s="1"/>
  <c r="AE142" i="9"/>
  <c r="AF142" i="9" s="1"/>
  <c r="X358" i="9"/>
  <c r="Y358" i="9" s="1"/>
  <c r="Z358" i="9" s="1" a="1"/>
  <c r="Z358" i="9" s="1"/>
  <c r="X300" i="9"/>
  <c r="Y300" i="9" s="1"/>
  <c r="Z300" i="9" s="1" a="1"/>
  <c r="Z300" i="9" s="1"/>
  <c r="X630" i="9"/>
  <c r="Y630" i="9" s="1"/>
  <c r="Z630" i="9" s="1" a="1"/>
  <c r="Z630" i="9" s="1"/>
  <c r="X416" i="9"/>
  <c r="Y416" i="9" s="1"/>
  <c r="Z416" i="9" s="1" a="1"/>
  <c r="Z416" i="9" s="1"/>
  <c r="X572" i="9"/>
  <c r="Y572" i="9" s="1"/>
  <c r="Z572" i="9" s="1" a="1"/>
  <c r="Z572" i="9" s="1"/>
  <c r="AG107" i="9"/>
  <c r="AM107" i="9" s="1"/>
  <c r="AJ107" i="9"/>
  <c r="AG76" i="9"/>
  <c r="AM76" i="9" s="1"/>
  <c r="AJ76" i="9"/>
  <c r="AG96" i="9"/>
  <c r="AM96" i="9" s="1"/>
  <c r="AJ96" i="9"/>
  <c r="AJ85" i="9"/>
  <c r="AG85" i="9"/>
  <c r="AM85" i="9" s="1"/>
  <c r="AG73" i="9"/>
  <c r="AM73" i="9" s="1"/>
  <c r="AJ73" i="9"/>
  <c r="AG80" i="9"/>
  <c r="AM80" i="9" s="1"/>
  <c r="AJ80" i="9"/>
  <c r="AJ104" i="9"/>
  <c r="AG104" i="9"/>
  <c r="AM104" i="9" s="1"/>
  <c r="AG103" i="9"/>
  <c r="AM103" i="9" s="1"/>
  <c r="AJ103" i="9"/>
  <c r="AG117" i="9"/>
  <c r="AM117" i="9" s="1"/>
  <c r="AJ117" i="9"/>
  <c r="AG111" i="9"/>
  <c r="AM111" i="9" s="1"/>
  <c r="AJ111" i="9"/>
  <c r="X22" i="26" a="1"/>
  <c r="X22" i="26" s="1"/>
  <c r="K282" i="20"/>
  <c r="O2" i="8"/>
  <c r="L1064" i="5"/>
  <c r="G1064" i="5"/>
  <c r="I1063" i="5"/>
  <c r="F1063" i="5"/>
  <c r="I1062" i="5"/>
  <c r="F1062" i="5"/>
  <c r="I1061" i="5"/>
  <c r="F1061" i="5"/>
  <c r="I1060" i="5"/>
  <c r="F1060" i="5"/>
  <c r="I1059" i="5"/>
  <c r="F1059" i="5"/>
  <c r="I1058" i="5"/>
  <c r="F1058" i="5"/>
  <c r="I1057" i="5"/>
  <c r="F1057" i="5"/>
  <c r="I1056" i="5"/>
  <c r="F1056" i="5"/>
  <c r="I1055" i="5"/>
  <c r="F1055" i="5"/>
  <c r="I1054" i="5"/>
  <c r="F1054" i="5"/>
  <c r="I1053" i="5"/>
  <c r="F1053" i="5"/>
  <c r="I1052" i="5"/>
  <c r="F1052" i="5"/>
  <c r="I1051" i="5"/>
  <c r="F1051" i="5"/>
  <c r="I1050" i="5"/>
  <c r="F1050" i="5"/>
  <c r="I1049" i="5"/>
  <c r="F1049" i="5"/>
  <c r="I1048" i="5"/>
  <c r="F1048" i="5"/>
  <c r="I1047" i="5"/>
  <c r="F1047" i="5"/>
  <c r="I1046" i="5"/>
  <c r="F1046" i="5"/>
  <c r="I1045" i="5"/>
  <c r="F1045" i="5"/>
  <c r="K1044" i="5"/>
  <c r="K1064" i="5" s="1"/>
  <c r="L1065" i="5" s="1"/>
  <c r="I1044" i="5"/>
  <c r="F1044" i="5"/>
  <c r="L1040" i="5"/>
  <c r="G1040" i="5"/>
  <c r="I1039" i="5"/>
  <c r="F1039" i="5"/>
  <c r="I1038" i="5"/>
  <c r="F1038" i="5"/>
  <c r="I1037" i="5"/>
  <c r="F1037" i="5"/>
  <c r="I1036" i="5"/>
  <c r="F1036" i="5"/>
  <c r="I1035" i="5"/>
  <c r="F1035" i="5"/>
  <c r="I1034" i="5"/>
  <c r="F1034" i="5"/>
  <c r="I1033" i="5"/>
  <c r="F1033" i="5"/>
  <c r="I1032" i="5"/>
  <c r="F1032" i="5"/>
  <c r="I1031" i="5"/>
  <c r="F1031" i="5"/>
  <c r="I1030" i="5"/>
  <c r="F1030" i="5"/>
  <c r="I1029" i="5"/>
  <c r="F1029" i="5"/>
  <c r="I1028" i="5"/>
  <c r="F1028" i="5"/>
  <c r="I1027" i="5"/>
  <c r="F1027" i="5"/>
  <c r="I1026" i="5"/>
  <c r="F1026" i="5"/>
  <c r="I1025" i="5"/>
  <c r="F1025" i="5"/>
  <c r="I1024" i="5"/>
  <c r="F1024" i="5"/>
  <c r="I1023" i="5"/>
  <c r="F1023" i="5"/>
  <c r="I1022" i="5"/>
  <c r="F1022" i="5"/>
  <c r="I1021" i="5"/>
  <c r="F1021" i="5"/>
  <c r="K1020" i="5"/>
  <c r="K1040" i="5" s="1"/>
  <c r="L1041" i="5" s="1"/>
  <c r="I1020" i="5"/>
  <c r="I1040" i="5" s="1"/>
  <c r="F1020" i="5"/>
  <c r="L1016" i="5"/>
  <c r="K1016" i="5"/>
  <c r="L1017" i="5" s="1"/>
  <c r="G1016" i="5"/>
  <c r="I1015" i="5"/>
  <c r="F1015" i="5"/>
  <c r="I1014" i="5"/>
  <c r="F1014" i="5"/>
  <c r="I1013" i="5"/>
  <c r="F1013" i="5"/>
  <c r="I1012" i="5"/>
  <c r="F1012" i="5"/>
  <c r="I1011" i="5"/>
  <c r="F1011" i="5"/>
  <c r="I1010" i="5"/>
  <c r="F1010" i="5"/>
  <c r="I1009" i="5"/>
  <c r="F1009" i="5"/>
  <c r="I1008" i="5"/>
  <c r="F1008" i="5"/>
  <c r="I1007" i="5"/>
  <c r="F1007" i="5"/>
  <c r="I1006" i="5"/>
  <c r="F1006" i="5"/>
  <c r="I1005" i="5"/>
  <c r="F1005" i="5"/>
  <c r="I1004" i="5"/>
  <c r="F1004" i="5"/>
  <c r="I1003" i="5"/>
  <c r="F1003" i="5"/>
  <c r="I1002" i="5"/>
  <c r="F1002" i="5"/>
  <c r="I1001" i="5"/>
  <c r="F1001" i="5"/>
  <c r="I1000" i="5"/>
  <c r="F1000" i="5"/>
  <c r="I999" i="5"/>
  <c r="F999" i="5"/>
  <c r="I998" i="5"/>
  <c r="F998" i="5"/>
  <c r="I997" i="5"/>
  <c r="F997" i="5"/>
  <c r="K996" i="5"/>
  <c r="I996" i="5"/>
  <c r="I1016" i="5" s="1"/>
  <c r="F996" i="5"/>
  <c r="L992" i="5"/>
  <c r="K992" i="5"/>
  <c r="L993" i="5" s="1"/>
  <c r="G992" i="5"/>
  <c r="I991" i="5"/>
  <c r="F991" i="5"/>
  <c r="I990" i="5"/>
  <c r="F990" i="5"/>
  <c r="I989" i="5"/>
  <c r="F989" i="5"/>
  <c r="I988" i="5"/>
  <c r="F988" i="5"/>
  <c r="I987" i="5"/>
  <c r="F987" i="5"/>
  <c r="I986" i="5"/>
  <c r="F986" i="5"/>
  <c r="I985" i="5"/>
  <c r="F985" i="5"/>
  <c r="I984" i="5"/>
  <c r="F984" i="5"/>
  <c r="I983" i="5"/>
  <c r="F983" i="5"/>
  <c r="I982" i="5"/>
  <c r="F982" i="5"/>
  <c r="I981" i="5"/>
  <c r="F981" i="5"/>
  <c r="I980" i="5"/>
  <c r="F980" i="5"/>
  <c r="I979" i="5"/>
  <c r="F979" i="5"/>
  <c r="I978" i="5"/>
  <c r="F978" i="5"/>
  <c r="I977" i="5"/>
  <c r="F977" i="5"/>
  <c r="I976" i="5"/>
  <c r="F976" i="5"/>
  <c r="I975" i="5"/>
  <c r="F975" i="5"/>
  <c r="I974" i="5"/>
  <c r="F974" i="5"/>
  <c r="I973" i="5"/>
  <c r="F973" i="5"/>
  <c r="K972" i="5"/>
  <c r="I972" i="5"/>
  <c r="I992" i="5" s="1"/>
  <c r="F972" i="5"/>
  <c r="G969" i="5"/>
  <c r="L968" i="5"/>
  <c r="K968" i="5"/>
  <c r="L969" i="5" s="1"/>
  <c r="G968" i="5"/>
  <c r="I967" i="5"/>
  <c r="F967" i="5"/>
  <c r="I966" i="5"/>
  <c r="F966" i="5"/>
  <c r="I965" i="5"/>
  <c r="F965" i="5"/>
  <c r="I964" i="5"/>
  <c r="F964" i="5"/>
  <c r="I963" i="5"/>
  <c r="F963" i="5"/>
  <c r="I962" i="5"/>
  <c r="F962" i="5"/>
  <c r="I961" i="5"/>
  <c r="F961" i="5"/>
  <c r="I960" i="5"/>
  <c r="F960" i="5"/>
  <c r="I959" i="5"/>
  <c r="F959" i="5"/>
  <c r="I958" i="5"/>
  <c r="F958" i="5"/>
  <c r="I957" i="5"/>
  <c r="F957" i="5"/>
  <c r="I956" i="5"/>
  <c r="F956" i="5"/>
  <c r="I955" i="5"/>
  <c r="F955" i="5"/>
  <c r="I954" i="5"/>
  <c r="F954" i="5"/>
  <c r="I953" i="5"/>
  <c r="F953" i="5"/>
  <c r="I952" i="5"/>
  <c r="F952" i="5"/>
  <c r="I951" i="5"/>
  <c r="F951" i="5"/>
  <c r="I950" i="5"/>
  <c r="F950" i="5"/>
  <c r="I949" i="5"/>
  <c r="I968" i="5" s="1"/>
  <c r="F949" i="5"/>
  <c r="K948" i="5"/>
  <c r="I948" i="5"/>
  <c r="F948" i="5"/>
  <c r="L944" i="5"/>
  <c r="G944" i="5"/>
  <c r="I943" i="5"/>
  <c r="F943" i="5"/>
  <c r="I942" i="5"/>
  <c r="F942" i="5"/>
  <c r="I941" i="5"/>
  <c r="F941" i="5"/>
  <c r="I940" i="5"/>
  <c r="F940" i="5"/>
  <c r="I939" i="5"/>
  <c r="F939" i="5"/>
  <c r="I938" i="5"/>
  <c r="F938" i="5"/>
  <c r="I937" i="5"/>
  <c r="F937" i="5"/>
  <c r="I936" i="5"/>
  <c r="F936" i="5"/>
  <c r="I935" i="5"/>
  <c r="F935" i="5"/>
  <c r="I934" i="5"/>
  <c r="F934" i="5"/>
  <c r="I933" i="5"/>
  <c r="F933" i="5"/>
  <c r="I932" i="5"/>
  <c r="F932" i="5"/>
  <c r="I931" i="5"/>
  <c r="F931" i="5"/>
  <c r="I930" i="5"/>
  <c r="F930" i="5"/>
  <c r="I929" i="5"/>
  <c r="F929" i="5"/>
  <c r="I928" i="5"/>
  <c r="F928" i="5"/>
  <c r="I927" i="5"/>
  <c r="F927" i="5"/>
  <c r="I926" i="5"/>
  <c r="F926" i="5"/>
  <c r="I925" i="5"/>
  <c r="F925" i="5"/>
  <c r="K924" i="5"/>
  <c r="K944" i="5" s="1"/>
  <c r="L945" i="5" s="1"/>
  <c r="I924" i="5"/>
  <c r="F924" i="5"/>
  <c r="L920" i="5"/>
  <c r="G920" i="5"/>
  <c r="I919" i="5"/>
  <c r="F919" i="5"/>
  <c r="I918" i="5"/>
  <c r="F918" i="5"/>
  <c r="I917" i="5"/>
  <c r="F917" i="5"/>
  <c r="I916" i="5"/>
  <c r="F916" i="5"/>
  <c r="I915" i="5"/>
  <c r="F915" i="5"/>
  <c r="I914" i="5"/>
  <c r="F914" i="5"/>
  <c r="I913" i="5"/>
  <c r="F913" i="5"/>
  <c r="I912" i="5"/>
  <c r="F912" i="5"/>
  <c r="I911" i="5"/>
  <c r="F911" i="5"/>
  <c r="I910" i="5"/>
  <c r="F910" i="5"/>
  <c r="I909" i="5"/>
  <c r="F909" i="5"/>
  <c r="I908" i="5"/>
  <c r="F908" i="5"/>
  <c r="I907" i="5"/>
  <c r="F907" i="5"/>
  <c r="I906" i="5"/>
  <c r="F906" i="5"/>
  <c r="I905" i="5"/>
  <c r="F905" i="5"/>
  <c r="I904" i="5"/>
  <c r="F904" i="5"/>
  <c r="I903" i="5"/>
  <c r="F903" i="5"/>
  <c r="I902" i="5"/>
  <c r="F902" i="5"/>
  <c r="I901" i="5"/>
  <c r="F901" i="5"/>
  <c r="K900" i="5"/>
  <c r="K920" i="5" s="1"/>
  <c r="I900" i="5"/>
  <c r="F900" i="5"/>
  <c r="L896" i="5"/>
  <c r="G896" i="5"/>
  <c r="I895" i="5"/>
  <c r="F895" i="5"/>
  <c r="I894" i="5"/>
  <c r="F894" i="5"/>
  <c r="I893" i="5"/>
  <c r="F893" i="5"/>
  <c r="I892" i="5"/>
  <c r="F892" i="5"/>
  <c r="I891" i="5"/>
  <c r="F891" i="5"/>
  <c r="I890" i="5"/>
  <c r="F890" i="5"/>
  <c r="I889" i="5"/>
  <c r="F889" i="5"/>
  <c r="I888" i="5"/>
  <c r="F888" i="5"/>
  <c r="I887" i="5"/>
  <c r="F887" i="5"/>
  <c r="I886" i="5"/>
  <c r="F886" i="5"/>
  <c r="I885" i="5"/>
  <c r="F885" i="5"/>
  <c r="I884" i="5"/>
  <c r="F884" i="5"/>
  <c r="I883" i="5"/>
  <c r="F883" i="5"/>
  <c r="I882" i="5"/>
  <c r="F882" i="5"/>
  <c r="I881" i="5"/>
  <c r="F881" i="5"/>
  <c r="I880" i="5"/>
  <c r="F880" i="5"/>
  <c r="I879" i="5"/>
  <c r="F879" i="5"/>
  <c r="I878" i="5"/>
  <c r="F878" i="5"/>
  <c r="I877" i="5"/>
  <c r="F877" i="5"/>
  <c r="K876" i="5"/>
  <c r="K896" i="5" s="1"/>
  <c r="L897" i="5" s="1"/>
  <c r="I876" i="5"/>
  <c r="F876" i="5"/>
  <c r="L872" i="5"/>
  <c r="G872" i="5"/>
  <c r="I871" i="5"/>
  <c r="F871" i="5"/>
  <c r="I870" i="5"/>
  <c r="F870" i="5"/>
  <c r="I869" i="5"/>
  <c r="F869" i="5"/>
  <c r="I868" i="5"/>
  <c r="F868" i="5"/>
  <c r="I867" i="5"/>
  <c r="F867" i="5"/>
  <c r="I866" i="5"/>
  <c r="F866" i="5"/>
  <c r="I865" i="5"/>
  <c r="F865" i="5"/>
  <c r="I864" i="5"/>
  <c r="F864" i="5"/>
  <c r="I863" i="5"/>
  <c r="F863" i="5"/>
  <c r="I862" i="5"/>
  <c r="F862" i="5"/>
  <c r="I861" i="5"/>
  <c r="F861" i="5"/>
  <c r="I860" i="5"/>
  <c r="F860" i="5"/>
  <c r="I859" i="5"/>
  <c r="F859" i="5"/>
  <c r="I858" i="5"/>
  <c r="F858" i="5"/>
  <c r="I857" i="5"/>
  <c r="F857" i="5"/>
  <c r="I856" i="5"/>
  <c r="F856" i="5"/>
  <c r="I855" i="5"/>
  <c r="F855" i="5"/>
  <c r="I854" i="5"/>
  <c r="F854" i="5"/>
  <c r="I853" i="5"/>
  <c r="F853" i="5"/>
  <c r="K852" i="5"/>
  <c r="K872" i="5" s="1"/>
  <c r="L873" i="5" s="1"/>
  <c r="I852" i="5"/>
  <c r="I872" i="5" s="1"/>
  <c r="F852" i="5"/>
  <c r="L848" i="5"/>
  <c r="K848" i="5"/>
  <c r="L849" i="5" s="1"/>
  <c r="G848" i="5"/>
  <c r="I847" i="5"/>
  <c r="F847" i="5"/>
  <c r="I846" i="5"/>
  <c r="F846" i="5"/>
  <c r="I845" i="5"/>
  <c r="F845" i="5"/>
  <c r="I844" i="5"/>
  <c r="F844" i="5"/>
  <c r="I843" i="5"/>
  <c r="F843" i="5"/>
  <c r="I842" i="5"/>
  <c r="F842" i="5"/>
  <c r="I841" i="5"/>
  <c r="F841" i="5"/>
  <c r="I840" i="5"/>
  <c r="F840" i="5"/>
  <c r="I839" i="5"/>
  <c r="F839" i="5"/>
  <c r="I838" i="5"/>
  <c r="F838" i="5"/>
  <c r="I837" i="5"/>
  <c r="F837" i="5"/>
  <c r="I836" i="5"/>
  <c r="F836" i="5"/>
  <c r="I835" i="5"/>
  <c r="F835" i="5"/>
  <c r="I834" i="5"/>
  <c r="F834" i="5"/>
  <c r="I833" i="5"/>
  <c r="F833" i="5"/>
  <c r="I832" i="5"/>
  <c r="F832" i="5"/>
  <c r="I831" i="5"/>
  <c r="F831" i="5"/>
  <c r="I830" i="5"/>
  <c r="F830" i="5"/>
  <c r="I829" i="5"/>
  <c r="F829" i="5"/>
  <c r="K828" i="5"/>
  <c r="I828" i="5"/>
  <c r="I848" i="5" s="1"/>
  <c r="F828" i="5"/>
  <c r="L824" i="5"/>
  <c r="G824" i="5"/>
  <c r="I823" i="5"/>
  <c r="F823" i="5"/>
  <c r="I822" i="5"/>
  <c r="F822" i="5"/>
  <c r="I821" i="5"/>
  <c r="F821" i="5"/>
  <c r="I820" i="5"/>
  <c r="F820" i="5"/>
  <c r="I819" i="5"/>
  <c r="F819" i="5"/>
  <c r="I818" i="5"/>
  <c r="F818" i="5"/>
  <c r="I817" i="5"/>
  <c r="F817" i="5"/>
  <c r="I816" i="5"/>
  <c r="F816" i="5"/>
  <c r="I815" i="5"/>
  <c r="F815" i="5"/>
  <c r="I814" i="5"/>
  <c r="F814" i="5"/>
  <c r="I813" i="5"/>
  <c r="F813" i="5"/>
  <c r="I812" i="5"/>
  <c r="F812" i="5"/>
  <c r="I811" i="5"/>
  <c r="F811" i="5"/>
  <c r="I810" i="5"/>
  <c r="F810" i="5"/>
  <c r="I809" i="5"/>
  <c r="F809" i="5"/>
  <c r="I808" i="5"/>
  <c r="F808" i="5"/>
  <c r="I807" i="5"/>
  <c r="F807" i="5"/>
  <c r="I806" i="5"/>
  <c r="F806" i="5"/>
  <c r="I805" i="5"/>
  <c r="F805" i="5"/>
  <c r="K804" i="5"/>
  <c r="K824" i="5" s="1"/>
  <c r="I804" i="5"/>
  <c r="I824" i="5" s="1"/>
  <c r="F804" i="5"/>
  <c r="L801" i="5"/>
  <c r="L800" i="5"/>
  <c r="K800" i="5"/>
  <c r="G800" i="5"/>
  <c r="I799" i="5"/>
  <c r="F799" i="5"/>
  <c r="I798" i="5"/>
  <c r="F798" i="5"/>
  <c r="I797" i="5"/>
  <c r="F797" i="5"/>
  <c r="I796" i="5"/>
  <c r="F796" i="5"/>
  <c r="I795" i="5"/>
  <c r="F795" i="5"/>
  <c r="I794" i="5"/>
  <c r="F794" i="5"/>
  <c r="I793" i="5"/>
  <c r="F793" i="5"/>
  <c r="I792" i="5"/>
  <c r="F792" i="5"/>
  <c r="I791" i="5"/>
  <c r="F791" i="5"/>
  <c r="I790" i="5"/>
  <c r="F790" i="5"/>
  <c r="I789" i="5"/>
  <c r="F789" i="5"/>
  <c r="I788" i="5"/>
  <c r="F788" i="5"/>
  <c r="I787" i="5"/>
  <c r="F787" i="5"/>
  <c r="I786" i="5"/>
  <c r="F786" i="5"/>
  <c r="I785" i="5"/>
  <c r="F785" i="5"/>
  <c r="I784" i="5"/>
  <c r="F784" i="5"/>
  <c r="I783" i="5"/>
  <c r="F783" i="5"/>
  <c r="I782" i="5"/>
  <c r="F782" i="5"/>
  <c r="I781" i="5"/>
  <c r="F781" i="5"/>
  <c r="K780" i="5"/>
  <c r="I780" i="5"/>
  <c r="I800" i="5" s="1"/>
  <c r="F780" i="5"/>
  <c r="L776" i="5"/>
  <c r="K776" i="5"/>
  <c r="L777" i="5" s="1"/>
  <c r="G776" i="5"/>
  <c r="I775" i="5"/>
  <c r="F775" i="5"/>
  <c r="I774" i="5"/>
  <c r="F774" i="5"/>
  <c r="I773" i="5"/>
  <c r="F773" i="5"/>
  <c r="I772" i="5"/>
  <c r="F772" i="5"/>
  <c r="I771" i="5"/>
  <c r="F771" i="5"/>
  <c r="I770" i="5"/>
  <c r="F770" i="5"/>
  <c r="I769" i="5"/>
  <c r="F769" i="5"/>
  <c r="I768" i="5"/>
  <c r="F768" i="5"/>
  <c r="I767" i="5"/>
  <c r="F767" i="5"/>
  <c r="I766" i="5"/>
  <c r="F766" i="5"/>
  <c r="I765" i="5"/>
  <c r="F765" i="5"/>
  <c r="I764" i="5"/>
  <c r="F764" i="5"/>
  <c r="I763" i="5"/>
  <c r="F763" i="5"/>
  <c r="I762" i="5"/>
  <c r="F762" i="5"/>
  <c r="I761" i="5"/>
  <c r="F761" i="5"/>
  <c r="I760" i="5"/>
  <c r="F760" i="5"/>
  <c r="I759" i="5"/>
  <c r="F759" i="5"/>
  <c r="I758" i="5"/>
  <c r="F758" i="5"/>
  <c r="I757" i="5"/>
  <c r="F757" i="5"/>
  <c r="K756" i="5"/>
  <c r="I756" i="5"/>
  <c r="I776" i="5" s="1"/>
  <c r="F756" i="5"/>
  <c r="L751" i="5"/>
  <c r="G751" i="5"/>
  <c r="I750" i="5"/>
  <c r="F750" i="5"/>
  <c r="I749" i="5"/>
  <c r="F749" i="5"/>
  <c r="I748" i="5"/>
  <c r="F748" i="5"/>
  <c r="I747" i="5"/>
  <c r="F747" i="5"/>
  <c r="I746" i="5"/>
  <c r="F746" i="5"/>
  <c r="I745" i="5"/>
  <c r="F745" i="5"/>
  <c r="I744" i="5"/>
  <c r="F744" i="5"/>
  <c r="I743" i="5"/>
  <c r="F743" i="5"/>
  <c r="I742" i="5"/>
  <c r="F742" i="5"/>
  <c r="I741" i="5"/>
  <c r="F741" i="5"/>
  <c r="I740" i="5"/>
  <c r="F740" i="5"/>
  <c r="I739" i="5"/>
  <c r="F739" i="5"/>
  <c r="I738" i="5"/>
  <c r="F738" i="5"/>
  <c r="I737" i="5"/>
  <c r="F737" i="5"/>
  <c r="I736" i="5"/>
  <c r="F736" i="5"/>
  <c r="I735" i="5"/>
  <c r="F735" i="5"/>
  <c r="I734" i="5"/>
  <c r="F734" i="5"/>
  <c r="I733" i="5"/>
  <c r="F733" i="5"/>
  <c r="I732" i="5"/>
  <c r="F732" i="5"/>
  <c r="K731" i="5"/>
  <c r="K751" i="5" s="1"/>
  <c r="I731" i="5"/>
  <c r="I751" i="5" s="1"/>
  <c r="F731" i="5"/>
  <c r="L728" i="5"/>
  <c r="L727" i="5"/>
  <c r="K727" i="5"/>
  <c r="G727" i="5"/>
  <c r="I726" i="5"/>
  <c r="F726" i="5"/>
  <c r="I725" i="5"/>
  <c r="F725" i="5"/>
  <c r="I724" i="5"/>
  <c r="F724" i="5"/>
  <c r="I723" i="5"/>
  <c r="F723" i="5"/>
  <c r="I722" i="5"/>
  <c r="F722" i="5"/>
  <c r="I721" i="5"/>
  <c r="F721" i="5"/>
  <c r="I720" i="5"/>
  <c r="F720" i="5"/>
  <c r="I719" i="5"/>
  <c r="F719" i="5"/>
  <c r="I718" i="5"/>
  <c r="F718" i="5"/>
  <c r="I717" i="5"/>
  <c r="F717" i="5"/>
  <c r="I716" i="5"/>
  <c r="F716" i="5"/>
  <c r="I715" i="5"/>
  <c r="F715" i="5"/>
  <c r="I714" i="5"/>
  <c r="F714" i="5"/>
  <c r="I713" i="5"/>
  <c r="F713" i="5"/>
  <c r="I712" i="5"/>
  <c r="F712" i="5"/>
  <c r="I711" i="5"/>
  <c r="F711" i="5"/>
  <c r="I710" i="5"/>
  <c r="F710" i="5"/>
  <c r="I709" i="5"/>
  <c r="F709" i="5"/>
  <c r="I708" i="5"/>
  <c r="F708" i="5"/>
  <c r="K707" i="5"/>
  <c r="I707" i="5"/>
  <c r="I727" i="5" s="1"/>
  <c r="F707" i="5"/>
  <c r="L704" i="5"/>
  <c r="L703" i="5"/>
  <c r="K703" i="5"/>
  <c r="G703" i="5"/>
  <c r="I702" i="5"/>
  <c r="F702" i="5"/>
  <c r="I701" i="5"/>
  <c r="F701" i="5"/>
  <c r="I700" i="5"/>
  <c r="F700" i="5"/>
  <c r="I699" i="5"/>
  <c r="F699" i="5"/>
  <c r="I698" i="5"/>
  <c r="F698" i="5"/>
  <c r="I697" i="5"/>
  <c r="F697" i="5"/>
  <c r="I696" i="5"/>
  <c r="F696" i="5"/>
  <c r="I695" i="5"/>
  <c r="F695" i="5"/>
  <c r="I694" i="5"/>
  <c r="F694" i="5"/>
  <c r="I693" i="5"/>
  <c r="F693" i="5"/>
  <c r="I692" i="5"/>
  <c r="F692" i="5"/>
  <c r="I691" i="5"/>
  <c r="F691" i="5"/>
  <c r="I690" i="5"/>
  <c r="F690" i="5"/>
  <c r="I689" i="5"/>
  <c r="F689" i="5"/>
  <c r="I688" i="5"/>
  <c r="F688" i="5"/>
  <c r="I687" i="5"/>
  <c r="F687" i="5"/>
  <c r="I686" i="5"/>
  <c r="F686" i="5"/>
  <c r="I685" i="5"/>
  <c r="F685" i="5"/>
  <c r="I684" i="5"/>
  <c r="F684" i="5"/>
  <c r="K683" i="5"/>
  <c r="I683" i="5"/>
  <c r="I703" i="5" s="1"/>
  <c r="F683" i="5"/>
  <c r="I252" i="5"/>
  <c r="I253" i="5"/>
  <c r="I254" i="5"/>
  <c r="I255" i="5"/>
  <c r="I665" i="5"/>
  <c r="I666" i="5"/>
  <c r="F660" i="5"/>
  <c r="F661" i="5"/>
  <c r="F662" i="5"/>
  <c r="F663" i="5"/>
  <c r="F664" i="5"/>
  <c r="F665" i="5"/>
  <c r="F666" i="5"/>
  <c r="F667" i="5"/>
  <c r="F668" i="5"/>
  <c r="F669" i="5"/>
  <c r="F670" i="5"/>
  <c r="F671" i="5"/>
  <c r="F672" i="5"/>
  <c r="F673" i="5"/>
  <c r="F674" i="5"/>
  <c r="F675" i="5"/>
  <c r="F676" i="5"/>
  <c r="F677" i="5"/>
  <c r="F678" i="5"/>
  <c r="F659" i="5"/>
  <c r="F635" i="5"/>
  <c r="F636" i="5"/>
  <c r="F637" i="5"/>
  <c r="F638" i="5"/>
  <c r="F639" i="5"/>
  <c r="F640" i="5"/>
  <c r="F641" i="5"/>
  <c r="F642" i="5"/>
  <c r="F643" i="5"/>
  <c r="F644" i="5"/>
  <c r="F645" i="5"/>
  <c r="F646" i="5"/>
  <c r="F647" i="5"/>
  <c r="F648" i="5"/>
  <c r="F649" i="5"/>
  <c r="F650" i="5"/>
  <c r="F651" i="5"/>
  <c r="F652" i="5"/>
  <c r="F653" i="5"/>
  <c r="F634" i="5"/>
  <c r="L679" i="5"/>
  <c r="G679" i="5"/>
  <c r="I678" i="5"/>
  <c r="I677" i="5"/>
  <c r="I676" i="5"/>
  <c r="I675" i="5"/>
  <c r="I674" i="5"/>
  <c r="I673" i="5"/>
  <c r="I672" i="5"/>
  <c r="I671" i="5"/>
  <c r="I670" i="5"/>
  <c r="I669" i="5"/>
  <c r="I668" i="5"/>
  <c r="I667" i="5"/>
  <c r="I664" i="5"/>
  <c r="I663" i="5"/>
  <c r="I662" i="5"/>
  <c r="I661" i="5"/>
  <c r="I660" i="5"/>
  <c r="K659" i="5"/>
  <c r="K679" i="5" s="1"/>
  <c r="I659" i="5"/>
  <c r="L654" i="5"/>
  <c r="G654" i="5"/>
  <c r="I653" i="5"/>
  <c r="I652" i="5"/>
  <c r="I651" i="5"/>
  <c r="I650" i="5"/>
  <c r="I649" i="5"/>
  <c r="I648" i="5"/>
  <c r="I647" i="5"/>
  <c r="I646" i="5"/>
  <c r="I645" i="5"/>
  <c r="I644" i="5"/>
  <c r="I643" i="5"/>
  <c r="I642" i="5"/>
  <c r="I641" i="5"/>
  <c r="I640" i="5"/>
  <c r="I639" i="5"/>
  <c r="I638" i="5"/>
  <c r="I654" i="5" s="1"/>
  <c r="I637" i="5"/>
  <c r="I636" i="5"/>
  <c r="I635" i="5"/>
  <c r="K634" i="5"/>
  <c r="K654" i="5" s="1"/>
  <c r="I634" i="5"/>
  <c r="F611" i="5"/>
  <c r="F612" i="5"/>
  <c r="F613" i="5"/>
  <c r="F614" i="5"/>
  <c r="F615" i="5"/>
  <c r="F616" i="5"/>
  <c r="F617" i="5"/>
  <c r="F618" i="5"/>
  <c r="F619" i="5"/>
  <c r="F620" i="5"/>
  <c r="F621" i="5"/>
  <c r="F622" i="5"/>
  <c r="F623" i="5"/>
  <c r="F624" i="5"/>
  <c r="F625" i="5"/>
  <c r="F626" i="5"/>
  <c r="F627" i="5"/>
  <c r="F628" i="5"/>
  <c r="F629" i="5"/>
  <c r="F610" i="5"/>
  <c r="F587" i="5"/>
  <c r="F588" i="5"/>
  <c r="F589" i="5"/>
  <c r="F590" i="5"/>
  <c r="F591" i="5"/>
  <c r="F592" i="5"/>
  <c r="F593" i="5"/>
  <c r="F594" i="5"/>
  <c r="F595" i="5"/>
  <c r="F596" i="5"/>
  <c r="F597" i="5"/>
  <c r="F598" i="5"/>
  <c r="F599" i="5"/>
  <c r="F600" i="5"/>
  <c r="F601" i="5"/>
  <c r="F602" i="5"/>
  <c r="F603" i="5"/>
  <c r="F604" i="5"/>
  <c r="F605" i="5"/>
  <c r="F586" i="5"/>
  <c r="F563" i="5"/>
  <c r="F564" i="5"/>
  <c r="F565" i="5"/>
  <c r="F566" i="5"/>
  <c r="F567" i="5"/>
  <c r="F568" i="5"/>
  <c r="F569" i="5"/>
  <c r="F570" i="5"/>
  <c r="F571" i="5"/>
  <c r="F572" i="5"/>
  <c r="F573" i="5"/>
  <c r="F574" i="5"/>
  <c r="F575" i="5"/>
  <c r="F576" i="5"/>
  <c r="F577" i="5"/>
  <c r="F578" i="5"/>
  <c r="F579" i="5"/>
  <c r="F580" i="5"/>
  <c r="F581" i="5"/>
  <c r="F562" i="5"/>
  <c r="L630" i="5"/>
  <c r="G630" i="5"/>
  <c r="I629" i="5"/>
  <c r="I628" i="5"/>
  <c r="I627" i="5"/>
  <c r="I626" i="5"/>
  <c r="I625" i="5"/>
  <c r="I624" i="5"/>
  <c r="I623" i="5"/>
  <c r="I622" i="5"/>
  <c r="I621" i="5"/>
  <c r="I620" i="5"/>
  <c r="I619" i="5"/>
  <c r="I618" i="5"/>
  <c r="I617" i="5"/>
  <c r="I616" i="5"/>
  <c r="I615" i="5"/>
  <c r="I614" i="5"/>
  <c r="I613" i="5"/>
  <c r="I612" i="5"/>
  <c r="I611" i="5"/>
  <c r="K610" i="5"/>
  <c r="K630" i="5" s="1"/>
  <c r="L631" i="5" s="1"/>
  <c r="I610" i="5"/>
  <c r="L606" i="5"/>
  <c r="K606" i="5"/>
  <c r="L607" i="5" s="1"/>
  <c r="G606" i="5"/>
  <c r="I605" i="5"/>
  <c r="I604" i="5"/>
  <c r="I603" i="5"/>
  <c r="I602" i="5"/>
  <c r="I601" i="5"/>
  <c r="I600" i="5"/>
  <c r="I599" i="5"/>
  <c r="I598" i="5"/>
  <c r="I597" i="5"/>
  <c r="I596" i="5"/>
  <c r="I595" i="5"/>
  <c r="I594" i="5"/>
  <c r="I593" i="5"/>
  <c r="I592" i="5"/>
  <c r="I591" i="5"/>
  <c r="I590" i="5"/>
  <c r="I589" i="5"/>
  <c r="I588" i="5"/>
  <c r="I587" i="5"/>
  <c r="K586" i="5"/>
  <c r="I586" i="5"/>
  <c r="I606" i="5" s="1"/>
  <c r="L582" i="5"/>
  <c r="G582" i="5"/>
  <c r="I581" i="5"/>
  <c r="I580" i="5"/>
  <c r="I579" i="5"/>
  <c r="I578" i="5"/>
  <c r="I577" i="5"/>
  <c r="I576" i="5"/>
  <c r="I575" i="5"/>
  <c r="I574" i="5"/>
  <c r="I573" i="5"/>
  <c r="I572" i="5"/>
  <c r="I571" i="5"/>
  <c r="I570" i="5"/>
  <c r="I569" i="5"/>
  <c r="I568" i="5"/>
  <c r="I567" i="5"/>
  <c r="I566" i="5"/>
  <c r="I582" i="5" s="1"/>
  <c r="I565" i="5"/>
  <c r="I564" i="5"/>
  <c r="I563" i="5"/>
  <c r="K562" i="5"/>
  <c r="K582" i="5" s="1"/>
  <c r="I562" i="5"/>
  <c r="F491" i="5"/>
  <c r="F492" i="5"/>
  <c r="F493" i="5"/>
  <c r="F494" i="5"/>
  <c r="F495" i="5"/>
  <c r="F496" i="5"/>
  <c r="F497" i="5"/>
  <c r="F498" i="5"/>
  <c r="F499" i="5"/>
  <c r="F500" i="5"/>
  <c r="F501" i="5"/>
  <c r="F502" i="5"/>
  <c r="F503" i="5"/>
  <c r="F504" i="5"/>
  <c r="F505" i="5"/>
  <c r="F506" i="5"/>
  <c r="F507" i="5"/>
  <c r="F508" i="5"/>
  <c r="F509" i="5"/>
  <c r="F490" i="5"/>
  <c r="L558" i="5"/>
  <c r="G558" i="5"/>
  <c r="I557" i="5"/>
  <c r="F557" i="5"/>
  <c r="I556" i="5"/>
  <c r="F556" i="5"/>
  <c r="I555" i="5"/>
  <c r="F555" i="5"/>
  <c r="I554" i="5"/>
  <c r="F554" i="5"/>
  <c r="I553" i="5"/>
  <c r="F553" i="5"/>
  <c r="I552" i="5"/>
  <c r="F552" i="5"/>
  <c r="I551" i="5"/>
  <c r="F551" i="5"/>
  <c r="I550" i="5"/>
  <c r="F550" i="5"/>
  <c r="I549" i="5"/>
  <c r="F549" i="5"/>
  <c r="I548" i="5"/>
  <c r="F548" i="5"/>
  <c r="I547" i="5"/>
  <c r="F547" i="5"/>
  <c r="I546" i="5"/>
  <c r="F546" i="5"/>
  <c r="I545" i="5"/>
  <c r="F545" i="5"/>
  <c r="I544" i="5"/>
  <c r="F544" i="5"/>
  <c r="I543" i="5"/>
  <c r="F543" i="5"/>
  <c r="I542" i="5"/>
  <c r="F542" i="5"/>
  <c r="I541" i="5"/>
  <c r="F541" i="5"/>
  <c r="I540" i="5"/>
  <c r="F540" i="5"/>
  <c r="I539" i="5"/>
  <c r="F539" i="5"/>
  <c r="K538" i="5"/>
  <c r="K558" i="5" s="1"/>
  <c r="I538" i="5"/>
  <c r="I558" i="5" s="1"/>
  <c r="F538" i="5"/>
  <c r="L534" i="5"/>
  <c r="K534" i="5"/>
  <c r="L535" i="5" s="1"/>
  <c r="G534" i="5"/>
  <c r="I533" i="5"/>
  <c r="F533" i="5"/>
  <c r="I532" i="5"/>
  <c r="F532" i="5"/>
  <c r="I531" i="5"/>
  <c r="F531" i="5"/>
  <c r="I530" i="5"/>
  <c r="F530" i="5"/>
  <c r="I529" i="5"/>
  <c r="F529" i="5"/>
  <c r="I528" i="5"/>
  <c r="F528" i="5"/>
  <c r="I527" i="5"/>
  <c r="F527" i="5"/>
  <c r="I526" i="5"/>
  <c r="F526" i="5"/>
  <c r="I525" i="5"/>
  <c r="F525" i="5"/>
  <c r="I524" i="5"/>
  <c r="F524" i="5"/>
  <c r="I523" i="5"/>
  <c r="F523" i="5"/>
  <c r="I522" i="5"/>
  <c r="F522" i="5"/>
  <c r="I521" i="5"/>
  <c r="F521" i="5"/>
  <c r="I520" i="5"/>
  <c r="F520" i="5"/>
  <c r="I519" i="5"/>
  <c r="F519" i="5"/>
  <c r="I518" i="5"/>
  <c r="F518" i="5"/>
  <c r="I517" i="5"/>
  <c r="F517" i="5"/>
  <c r="I516" i="5"/>
  <c r="I534" i="5" s="1"/>
  <c r="F516" i="5"/>
  <c r="I515" i="5"/>
  <c r="F515" i="5"/>
  <c r="K514" i="5"/>
  <c r="I514" i="5"/>
  <c r="F514" i="5"/>
  <c r="L510" i="5"/>
  <c r="G510" i="5"/>
  <c r="I509" i="5"/>
  <c r="I508" i="5"/>
  <c r="I507" i="5"/>
  <c r="I506" i="5"/>
  <c r="I505" i="5"/>
  <c r="I504" i="5"/>
  <c r="I503" i="5"/>
  <c r="I502" i="5"/>
  <c r="I501" i="5"/>
  <c r="I500" i="5"/>
  <c r="I499" i="5"/>
  <c r="I498" i="5"/>
  <c r="I497" i="5"/>
  <c r="I496" i="5"/>
  <c r="I495" i="5"/>
  <c r="I494" i="5"/>
  <c r="I493" i="5"/>
  <c r="I492" i="5"/>
  <c r="I491" i="5"/>
  <c r="K490" i="5"/>
  <c r="K510" i="5" s="1"/>
  <c r="L511" i="5" s="1"/>
  <c r="I490" i="5"/>
  <c r="I510" i="5" s="1"/>
  <c r="F466" i="5"/>
  <c r="F467" i="5"/>
  <c r="F468" i="5"/>
  <c r="F469" i="5"/>
  <c r="F470" i="5"/>
  <c r="F471" i="5"/>
  <c r="F472" i="5"/>
  <c r="F473" i="5"/>
  <c r="F474" i="5"/>
  <c r="F475" i="5"/>
  <c r="F476" i="5"/>
  <c r="F477" i="5"/>
  <c r="F478" i="5"/>
  <c r="F479" i="5"/>
  <c r="F480" i="5"/>
  <c r="F481" i="5"/>
  <c r="F482" i="5"/>
  <c r="F483" i="5"/>
  <c r="F484" i="5"/>
  <c r="F465" i="5"/>
  <c r="F442" i="5"/>
  <c r="F443" i="5"/>
  <c r="F444" i="5"/>
  <c r="F445" i="5"/>
  <c r="F446" i="5"/>
  <c r="F447" i="5"/>
  <c r="F448" i="5"/>
  <c r="F449" i="5"/>
  <c r="F450" i="5"/>
  <c r="F451" i="5"/>
  <c r="F452" i="5"/>
  <c r="F453" i="5"/>
  <c r="F454" i="5"/>
  <c r="F455" i="5"/>
  <c r="F456" i="5"/>
  <c r="F457" i="5"/>
  <c r="F458" i="5"/>
  <c r="F459" i="5"/>
  <c r="F460" i="5"/>
  <c r="F441" i="5"/>
  <c r="L485" i="5"/>
  <c r="G485" i="5"/>
  <c r="I484" i="5"/>
  <c r="I483" i="5"/>
  <c r="I482" i="5"/>
  <c r="I481" i="5"/>
  <c r="I480" i="5"/>
  <c r="I479" i="5"/>
  <c r="I478" i="5"/>
  <c r="I477" i="5"/>
  <c r="I476" i="5"/>
  <c r="I475" i="5"/>
  <c r="I474" i="5"/>
  <c r="I473" i="5"/>
  <c r="I472" i="5"/>
  <c r="I471" i="5"/>
  <c r="I470" i="5"/>
  <c r="I469" i="5"/>
  <c r="I468" i="5"/>
  <c r="I467" i="5"/>
  <c r="I466" i="5"/>
  <c r="K465" i="5"/>
  <c r="K485" i="5" s="1"/>
  <c r="I465" i="5"/>
  <c r="I485" i="5" s="1"/>
  <c r="L462" i="5"/>
  <c r="L461" i="5"/>
  <c r="K461" i="5"/>
  <c r="G461" i="5"/>
  <c r="I460" i="5"/>
  <c r="I459" i="5"/>
  <c r="I458" i="5"/>
  <c r="I457" i="5"/>
  <c r="I456" i="5"/>
  <c r="I455" i="5"/>
  <c r="I454" i="5"/>
  <c r="I453" i="5"/>
  <c r="I452" i="5"/>
  <c r="I451" i="5"/>
  <c r="I450" i="5"/>
  <c r="I449" i="5"/>
  <c r="I448" i="5"/>
  <c r="I447" i="5"/>
  <c r="I446" i="5"/>
  <c r="I445" i="5"/>
  <c r="I444" i="5"/>
  <c r="I443" i="5"/>
  <c r="I442" i="5"/>
  <c r="K441" i="5"/>
  <c r="I441" i="5"/>
  <c r="I461" i="5" s="1"/>
  <c r="L437" i="5"/>
  <c r="K437" i="5"/>
  <c r="L438" i="5" s="1"/>
  <c r="G437" i="5"/>
  <c r="I436" i="5"/>
  <c r="F436" i="5"/>
  <c r="I435" i="5"/>
  <c r="F435" i="5"/>
  <c r="I434" i="5"/>
  <c r="F434" i="5"/>
  <c r="I433" i="5"/>
  <c r="F433" i="5"/>
  <c r="I432" i="5"/>
  <c r="F432" i="5"/>
  <c r="I431" i="5"/>
  <c r="F431" i="5"/>
  <c r="I430" i="5"/>
  <c r="F430" i="5"/>
  <c r="I429" i="5"/>
  <c r="F429" i="5"/>
  <c r="I428" i="5"/>
  <c r="F428" i="5"/>
  <c r="I427" i="5"/>
  <c r="F427" i="5"/>
  <c r="I426" i="5"/>
  <c r="F426" i="5"/>
  <c r="I425" i="5"/>
  <c r="F425" i="5"/>
  <c r="I424" i="5"/>
  <c r="F424" i="5"/>
  <c r="I423" i="5"/>
  <c r="F423" i="5"/>
  <c r="I422" i="5"/>
  <c r="F422" i="5"/>
  <c r="I421" i="5"/>
  <c r="F421" i="5"/>
  <c r="I420" i="5"/>
  <c r="F420" i="5"/>
  <c r="I419" i="5"/>
  <c r="F419" i="5"/>
  <c r="I418" i="5"/>
  <c r="F418" i="5"/>
  <c r="K417" i="5"/>
  <c r="I417" i="5"/>
  <c r="I437" i="5" s="1"/>
  <c r="F417" i="5"/>
  <c r="K412" i="5"/>
  <c r="I412" i="5"/>
  <c r="I393" i="5"/>
  <c r="I394" i="5"/>
  <c r="I395" i="5"/>
  <c r="I396" i="5"/>
  <c r="I397" i="5"/>
  <c r="I398" i="5"/>
  <c r="I399" i="5"/>
  <c r="I400" i="5"/>
  <c r="I401" i="5"/>
  <c r="I402" i="5"/>
  <c r="I403" i="5"/>
  <c r="I404" i="5"/>
  <c r="I405" i="5"/>
  <c r="I406" i="5"/>
  <c r="I407" i="5"/>
  <c r="I408" i="5"/>
  <c r="I409" i="5"/>
  <c r="I410" i="5"/>
  <c r="I411" i="5"/>
  <c r="I392" i="5"/>
  <c r="K388" i="5"/>
  <c r="G388" i="5"/>
  <c r="I388" i="5"/>
  <c r="I369" i="5"/>
  <c r="I370" i="5"/>
  <c r="I371" i="5"/>
  <c r="I372" i="5"/>
  <c r="I373" i="5"/>
  <c r="I374" i="5"/>
  <c r="I375" i="5"/>
  <c r="I376" i="5"/>
  <c r="I377" i="5"/>
  <c r="I378" i="5"/>
  <c r="I379" i="5"/>
  <c r="I380" i="5"/>
  <c r="I381" i="5"/>
  <c r="I382" i="5"/>
  <c r="I383" i="5"/>
  <c r="I384" i="5"/>
  <c r="I385" i="5"/>
  <c r="I386" i="5"/>
  <c r="I387" i="5"/>
  <c r="I368" i="5"/>
  <c r="K364" i="5"/>
  <c r="G364" i="5"/>
  <c r="I364" i="5"/>
  <c r="I345" i="5"/>
  <c r="I346" i="5"/>
  <c r="I347" i="5"/>
  <c r="I348" i="5"/>
  <c r="I349" i="5"/>
  <c r="I350" i="5"/>
  <c r="I351" i="5"/>
  <c r="I352" i="5"/>
  <c r="I353" i="5"/>
  <c r="I354" i="5"/>
  <c r="I355" i="5"/>
  <c r="I356" i="5"/>
  <c r="I357" i="5"/>
  <c r="I358" i="5"/>
  <c r="I359" i="5"/>
  <c r="I360" i="5"/>
  <c r="I361" i="5"/>
  <c r="I362" i="5"/>
  <c r="I363" i="5"/>
  <c r="I344" i="5"/>
  <c r="F345" i="5"/>
  <c r="F346" i="5"/>
  <c r="F347" i="5"/>
  <c r="F348" i="5"/>
  <c r="F349" i="5"/>
  <c r="F350" i="5"/>
  <c r="F351" i="5"/>
  <c r="F352" i="5"/>
  <c r="F353" i="5"/>
  <c r="F354" i="5"/>
  <c r="F355" i="5"/>
  <c r="F356" i="5"/>
  <c r="F357" i="5"/>
  <c r="F358" i="5"/>
  <c r="F359" i="5"/>
  <c r="F360" i="5"/>
  <c r="F361" i="5"/>
  <c r="F362" i="5"/>
  <c r="F363" i="5"/>
  <c r="F369" i="5"/>
  <c r="F370" i="5"/>
  <c r="F371" i="5"/>
  <c r="F372" i="5"/>
  <c r="F373" i="5"/>
  <c r="F374" i="5"/>
  <c r="F375" i="5"/>
  <c r="F376" i="5"/>
  <c r="F377" i="5"/>
  <c r="F378" i="5"/>
  <c r="F379" i="5"/>
  <c r="F380" i="5"/>
  <c r="F381" i="5"/>
  <c r="F382" i="5"/>
  <c r="F383" i="5"/>
  <c r="F384" i="5"/>
  <c r="F385" i="5"/>
  <c r="F386" i="5"/>
  <c r="F387" i="5"/>
  <c r="F393" i="5"/>
  <c r="F394" i="5"/>
  <c r="F395" i="5"/>
  <c r="F396" i="5"/>
  <c r="F397" i="5"/>
  <c r="F398" i="5"/>
  <c r="F399" i="5"/>
  <c r="F400" i="5"/>
  <c r="F401" i="5"/>
  <c r="F402" i="5"/>
  <c r="F403" i="5"/>
  <c r="F404" i="5"/>
  <c r="F405" i="5"/>
  <c r="F406" i="5"/>
  <c r="F407" i="5"/>
  <c r="F408" i="5"/>
  <c r="F409" i="5"/>
  <c r="F410" i="5"/>
  <c r="F411" i="5"/>
  <c r="F392" i="5"/>
  <c r="F368" i="5"/>
  <c r="F344" i="5"/>
  <c r="L364" i="5"/>
  <c r="K320" i="5"/>
  <c r="K340" i="5" s="1"/>
  <c r="G340" i="5"/>
  <c r="F321" i="5"/>
  <c r="F322" i="5"/>
  <c r="F323" i="5"/>
  <c r="F324" i="5"/>
  <c r="F325" i="5"/>
  <c r="F326" i="5"/>
  <c r="F327" i="5"/>
  <c r="F328" i="5"/>
  <c r="F329" i="5"/>
  <c r="F330" i="5"/>
  <c r="F331" i="5"/>
  <c r="F332" i="5"/>
  <c r="F333" i="5"/>
  <c r="F334" i="5"/>
  <c r="F335" i="5"/>
  <c r="F336" i="5"/>
  <c r="F337" i="5"/>
  <c r="F338" i="5"/>
  <c r="F339" i="5"/>
  <c r="F320" i="5"/>
  <c r="I321" i="5"/>
  <c r="I322" i="5"/>
  <c r="I323" i="5"/>
  <c r="I324" i="5"/>
  <c r="I325" i="5"/>
  <c r="I326" i="5"/>
  <c r="I327" i="5"/>
  <c r="I328" i="5"/>
  <c r="I329" i="5"/>
  <c r="I330" i="5"/>
  <c r="I331" i="5"/>
  <c r="I332" i="5"/>
  <c r="I333" i="5"/>
  <c r="I334" i="5"/>
  <c r="I335" i="5"/>
  <c r="I336" i="5"/>
  <c r="I337" i="5"/>
  <c r="I338" i="5"/>
  <c r="I339" i="5"/>
  <c r="I320" i="5"/>
  <c r="F297" i="5"/>
  <c r="F298" i="5"/>
  <c r="F299" i="5"/>
  <c r="F300" i="5"/>
  <c r="F301" i="5"/>
  <c r="F302" i="5"/>
  <c r="F303" i="5"/>
  <c r="F304" i="5"/>
  <c r="F305" i="5"/>
  <c r="F306" i="5"/>
  <c r="F307" i="5"/>
  <c r="F308" i="5"/>
  <c r="F309" i="5"/>
  <c r="F310" i="5"/>
  <c r="F311" i="5"/>
  <c r="F312" i="5"/>
  <c r="F313" i="5"/>
  <c r="F314" i="5"/>
  <c r="F315" i="5"/>
  <c r="F296" i="5"/>
  <c r="I297" i="5"/>
  <c r="I298" i="5"/>
  <c r="I299" i="5"/>
  <c r="I300" i="5"/>
  <c r="I301" i="5"/>
  <c r="I302" i="5"/>
  <c r="I303" i="5"/>
  <c r="I304" i="5"/>
  <c r="I305" i="5"/>
  <c r="I306" i="5"/>
  <c r="I307" i="5"/>
  <c r="I308" i="5"/>
  <c r="I309" i="5"/>
  <c r="I310" i="5"/>
  <c r="I311" i="5"/>
  <c r="I312" i="5"/>
  <c r="I313" i="5"/>
  <c r="I314" i="5"/>
  <c r="I315" i="5"/>
  <c r="I296" i="5"/>
  <c r="K296" i="5"/>
  <c r="K316" i="5" s="1"/>
  <c r="G316" i="5"/>
  <c r="F273" i="5"/>
  <c r="F274" i="5"/>
  <c r="F275" i="5"/>
  <c r="F276" i="5"/>
  <c r="F277" i="5"/>
  <c r="F278" i="5"/>
  <c r="F279" i="5"/>
  <c r="F280" i="5"/>
  <c r="F281" i="5"/>
  <c r="F282" i="5"/>
  <c r="F283" i="5"/>
  <c r="F284" i="5"/>
  <c r="F285" i="5"/>
  <c r="F286" i="5"/>
  <c r="F287" i="5"/>
  <c r="F288" i="5"/>
  <c r="F289" i="5"/>
  <c r="F290" i="5"/>
  <c r="F291" i="5"/>
  <c r="F272" i="5"/>
  <c r="G292" i="5"/>
  <c r="K272" i="5"/>
  <c r="K292" i="5" s="1"/>
  <c r="I273" i="5"/>
  <c r="I274" i="5"/>
  <c r="I275" i="5"/>
  <c r="I276" i="5"/>
  <c r="I277" i="5"/>
  <c r="I278" i="5"/>
  <c r="I279" i="5"/>
  <c r="I280" i="5"/>
  <c r="I281" i="5"/>
  <c r="I282" i="5"/>
  <c r="I283" i="5"/>
  <c r="I284" i="5"/>
  <c r="I285" i="5"/>
  <c r="I286" i="5"/>
  <c r="I287" i="5"/>
  <c r="I288" i="5"/>
  <c r="I289" i="5"/>
  <c r="I290" i="5"/>
  <c r="I291" i="5"/>
  <c r="I272" i="5"/>
  <c r="G267" i="5"/>
  <c r="F248" i="5"/>
  <c r="F249" i="5"/>
  <c r="F250" i="5"/>
  <c r="F251" i="5"/>
  <c r="F252" i="5"/>
  <c r="F253" i="5"/>
  <c r="F254" i="5"/>
  <c r="F255" i="5"/>
  <c r="F256" i="5"/>
  <c r="F257" i="5"/>
  <c r="F258" i="5"/>
  <c r="F259" i="5"/>
  <c r="F260" i="5"/>
  <c r="F261" i="5"/>
  <c r="F262" i="5"/>
  <c r="F263" i="5"/>
  <c r="F264" i="5"/>
  <c r="F265" i="5"/>
  <c r="F266" i="5"/>
  <c r="F247" i="5"/>
  <c r="K247" i="5"/>
  <c r="K267" i="5" s="1"/>
  <c r="I248" i="5"/>
  <c r="I249" i="5"/>
  <c r="I250" i="5"/>
  <c r="I251" i="5"/>
  <c r="I256" i="5"/>
  <c r="I257" i="5"/>
  <c r="I258" i="5"/>
  <c r="I259" i="5"/>
  <c r="I260" i="5"/>
  <c r="I261" i="5"/>
  <c r="I262" i="5"/>
  <c r="I263" i="5"/>
  <c r="I264" i="5"/>
  <c r="I265" i="5"/>
  <c r="I266" i="5"/>
  <c r="I247" i="5"/>
  <c r="K222" i="5"/>
  <c r="K242" i="5" s="1"/>
  <c r="I223" i="5"/>
  <c r="I224" i="5"/>
  <c r="I225" i="5"/>
  <c r="I226" i="5"/>
  <c r="I227" i="5"/>
  <c r="I228" i="5"/>
  <c r="I229" i="5"/>
  <c r="I230" i="5"/>
  <c r="I231" i="5"/>
  <c r="I232" i="5"/>
  <c r="I233" i="5"/>
  <c r="I234" i="5"/>
  <c r="I235" i="5"/>
  <c r="I236" i="5"/>
  <c r="I237" i="5"/>
  <c r="I238" i="5"/>
  <c r="I239" i="5"/>
  <c r="I240" i="5"/>
  <c r="I241" i="5"/>
  <c r="I222" i="5"/>
  <c r="F223" i="5"/>
  <c r="F224" i="5"/>
  <c r="F225" i="5"/>
  <c r="F226" i="5"/>
  <c r="F227" i="5"/>
  <c r="F228" i="5"/>
  <c r="F229" i="5"/>
  <c r="F230" i="5"/>
  <c r="F231" i="5"/>
  <c r="F232" i="5"/>
  <c r="F233" i="5"/>
  <c r="F234" i="5"/>
  <c r="F235" i="5"/>
  <c r="F236" i="5"/>
  <c r="F237" i="5"/>
  <c r="F238" i="5"/>
  <c r="F239" i="5"/>
  <c r="F240" i="5"/>
  <c r="F241" i="5"/>
  <c r="F222" i="5"/>
  <c r="G242" i="5"/>
  <c r="F199" i="5"/>
  <c r="F200" i="5"/>
  <c r="F201" i="5"/>
  <c r="F202" i="5"/>
  <c r="F203" i="5"/>
  <c r="F204" i="5"/>
  <c r="F205" i="5"/>
  <c r="F206" i="5"/>
  <c r="F207" i="5"/>
  <c r="F208" i="5"/>
  <c r="F209" i="5"/>
  <c r="F210" i="5"/>
  <c r="F211" i="5"/>
  <c r="F212" i="5"/>
  <c r="F213" i="5"/>
  <c r="F214" i="5"/>
  <c r="F215" i="5"/>
  <c r="F216" i="5"/>
  <c r="F217" i="5"/>
  <c r="F174" i="5"/>
  <c r="F175" i="5"/>
  <c r="F176" i="5"/>
  <c r="F177" i="5"/>
  <c r="F178" i="5"/>
  <c r="F179" i="5"/>
  <c r="F180" i="5"/>
  <c r="F181" i="5"/>
  <c r="F182" i="5"/>
  <c r="F183" i="5"/>
  <c r="F184" i="5"/>
  <c r="F185" i="5"/>
  <c r="F186" i="5"/>
  <c r="F187" i="5"/>
  <c r="F188" i="5"/>
  <c r="F189" i="5"/>
  <c r="F190" i="5"/>
  <c r="F191" i="5"/>
  <c r="F192" i="5"/>
  <c r="F149" i="5"/>
  <c r="F150" i="5"/>
  <c r="F151" i="5"/>
  <c r="F152" i="5"/>
  <c r="F153" i="5"/>
  <c r="F154" i="5"/>
  <c r="F155" i="5"/>
  <c r="F156" i="5"/>
  <c r="F157" i="5"/>
  <c r="F158" i="5"/>
  <c r="F159" i="5"/>
  <c r="F160" i="5"/>
  <c r="F161" i="5"/>
  <c r="F162" i="5"/>
  <c r="F163" i="5"/>
  <c r="F164" i="5"/>
  <c r="F165" i="5"/>
  <c r="F166" i="5"/>
  <c r="F167"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58" i="5"/>
  <c r="F59" i="5"/>
  <c r="F60" i="5"/>
  <c r="F61" i="5"/>
  <c r="F62" i="5"/>
  <c r="F63" i="5"/>
  <c r="F64" i="5"/>
  <c r="F65" i="5"/>
  <c r="F66" i="5"/>
  <c r="F67" i="5"/>
  <c r="F68" i="5"/>
  <c r="F69" i="5"/>
  <c r="F70" i="5"/>
  <c r="F71" i="5"/>
  <c r="F72" i="5"/>
  <c r="F73" i="5"/>
  <c r="F74" i="5"/>
  <c r="F75" i="5"/>
  <c r="F76" i="5"/>
  <c r="F198" i="5"/>
  <c r="F173" i="5"/>
  <c r="F148" i="5"/>
  <c r="F115" i="5"/>
  <c r="F82" i="5"/>
  <c r="F57" i="5"/>
  <c r="F32" i="5"/>
  <c r="F33" i="5"/>
  <c r="F34" i="5"/>
  <c r="F35" i="5"/>
  <c r="F36" i="5"/>
  <c r="F37" i="5"/>
  <c r="F38" i="5"/>
  <c r="F39" i="5"/>
  <c r="F40" i="5"/>
  <c r="F41" i="5"/>
  <c r="F42" i="5"/>
  <c r="F43" i="5"/>
  <c r="F44" i="5"/>
  <c r="F45" i="5"/>
  <c r="F46" i="5"/>
  <c r="F47" i="5"/>
  <c r="F48" i="5"/>
  <c r="F49" i="5"/>
  <c r="F50" i="5"/>
  <c r="F31" i="5"/>
  <c r="F6" i="5"/>
  <c r="F7" i="5"/>
  <c r="F8" i="5"/>
  <c r="F9" i="5"/>
  <c r="F10" i="5"/>
  <c r="F11" i="5"/>
  <c r="F12" i="5"/>
  <c r="F13" i="5"/>
  <c r="F14" i="5"/>
  <c r="F15" i="5"/>
  <c r="F16" i="5"/>
  <c r="F17" i="5"/>
  <c r="F18" i="5"/>
  <c r="F19" i="5"/>
  <c r="F20" i="5"/>
  <c r="F21" i="5"/>
  <c r="F22" i="5"/>
  <c r="F23" i="5"/>
  <c r="F24" i="5"/>
  <c r="F5" i="5"/>
  <c r="K11" i="20"/>
  <c r="K11" i="14"/>
  <c r="K11" i="11"/>
  <c r="AS105" i="9" l="1"/>
  <c r="AS69" i="9"/>
  <c r="AS90" i="9"/>
  <c r="AS102" i="9"/>
  <c r="AS110" i="9"/>
  <c r="AS79" i="9"/>
  <c r="AS74" i="9"/>
  <c r="AN88" i="9"/>
  <c r="AS112" i="9"/>
  <c r="AS95" i="9"/>
  <c r="AS88" i="9"/>
  <c r="AS91" i="9"/>
  <c r="AS89" i="9"/>
  <c r="AS115" i="9"/>
  <c r="AN95" i="9"/>
  <c r="AN91" i="9"/>
  <c r="AN89" i="9"/>
  <c r="AS68" i="9"/>
  <c r="AS113" i="9"/>
  <c r="AS98" i="9"/>
  <c r="AS106" i="9"/>
  <c r="AN115" i="9"/>
  <c r="AS93" i="9"/>
  <c r="AS72" i="9"/>
  <c r="AR104" i="9"/>
  <c r="AT104" i="9"/>
  <c r="AS117" i="9"/>
  <c r="AS87" i="9"/>
  <c r="AT113" i="9"/>
  <c r="AR113" i="9"/>
  <c r="AS103" i="9"/>
  <c r="AS114" i="9"/>
  <c r="AT98" i="9"/>
  <c r="AR98" i="9"/>
  <c r="AS101" i="9"/>
  <c r="AT106" i="9"/>
  <c r="AR106" i="9"/>
  <c r="AT96" i="9"/>
  <c r="AR96" i="9"/>
  <c r="AT97" i="9"/>
  <c r="AR97" i="9"/>
  <c r="AT119" i="9"/>
  <c r="AR119" i="9"/>
  <c r="AT109" i="9"/>
  <c r="AR109" i="9"/>
  <c r="AT75" i="9"/>
  <c r="AR75" i="9"/>
  <c r="AS96" i="9"/>
  <c r="AS119" i="9"/>
  <c r="AT93" i="9"/>
  <c r="AR93" i="9"/>
  <c r="AT72" i="9"/>
  <c r="AR72" i="9"/>
  <c r="AR100" i="9"/>
  <c r="AT100" i="9"/>
  <c r="AR71" i="9"/>
  <c r="AT71" i="9"/>
  <c r="AS77" i="9"/>
  <c r="AR87" i="9"/>
  <c r="AT87" i="9"/>
  <c r="AS80" i="9"/>
  <c r="AR69" i="9"/>
  <c r="AT69" i="9"/>
  <c r="AR114" i="9"/>
  <c r="AT114" i="9"/>
  <c r="AS67" i="9"/>
  <c r="AT111" i="9"/>
  <c r="AR111" i="9"/>
  <c r="AT80" i="9"/>
  <c r="AR80" i="9"/>
  <c r="AT76" i="9"/>
  <c r="AR76" i="9"/>
  <c r="AT83" i="9"/>
  <c r="AR83" i="9"/>
  <c r="AT101" i="9"/>
  <c r="AR101" i="9"/>
  <c r="AT84" i="9"/>
  <c r="AR84" i="9"/>
  <c r="AS66" i="9"/>
  <c r="AR112" i="9"/>
  <c r="AT112" i="9"/>
  <c r="AS65" i="9"/>
  <c r="AT95" i="9"/>
  <c r="AR95" i="9"/>
  <c r="AS82" i="9"/>
  <c r="AT88" i="9"/>
  <c r="AR88" i="9"/>
  <c r="AT91" i="9"/>
  <c r="AR91" i="9"/>
  <c r="AS76" i="9"/>
  <c r="AS86" i="9"/>
  <c r="AT89" i="9"/>
  <c r="AR89" i="9"/>
  <c r="AR115" i="9"/>
  <c r="AT115" i="9"/>
  <c r="AT81" i="9"/>
  <c r="AR81" i="9"/>
  <c r="AS99" i="9"/>
  <c r="AT110" i="9"/>
  <c r="AR110" i="9"/>
  <c r="AT79" i="9"/>
  <c r="AR79" i="9"/>
  <c r="AT77" i="9"/>
  <c r="AR77" i="9"/>
  <c r="AS81" i="9"/>
  <c r="AS104" i="9"/>
  <c r="AS70" i="9"/>
  <c r="AT92" i="9"/>
  <c r="AR92" i="9"/>
  <c r="AT74" i="9"/>
  <c r="AR74" i="9"/>
  <c r="AS84" i="9"/>
  <c r="AS94" i="9"/>
  <c r="AT117" i="9"/>
  <c r="AR117" i="9"/>
  <c r="AT73" i="9"/>
  <c r="AR73" i="9"/>
  <c r="AT107" i="9"/>
  <c r="AR107" i="9"/>
  <c r="AT94" i="9"/>
  <c r="AR94" i="9"/>
  <c r="AN86" i="9"/>
  <c r="AR86" i="9"/>
  <c r="AT86" i="9"/>
  <c r="AR66" i="9"/>
  <c r="AT66" i="9"/>
  <c r="AS111" i="9"/>
  <c r="AS97" i="9"/>
  <c r="AR65" i="9"/>
  <c r="AT65" i="9"/>
  <c r="AT82" i="9"/>
  <c r="AR82" i="9"/>
  <c r="AS120" i="9"/>
  <c r="AS118" i="9"/>
  <c r="AR85" i="9"/>
  <c r="AT85" i="9"/>
  <c r="AN70" i="9"/>
  <c r="AR70" i="9"/>
  <c r="AT70" i="9"/>
  <c r="AR99" i="9"/>
  <c r="AT99" i="9"/>
  <c r="AS108" i="9"/>
  <c r="AS83" i="9"/>
  <c r="AR68" i="9"/>
  <c r="AT68" i="9"/>
  <c r="AT105" i="9"/>
  <c r="AR105" i="9"/>
  <c r="AS71" i="9"/>
  <c r="AS85" i="9"/>
  <c r="AS116" i="9"/>
  <c r="AT90" i="9"/>
  <c r="AR90" i="9"/>
  <c r="AT102" i="9"/>
  <c r="AR102" i="9"/>
  <c r="AR103" i="9"/>
  <c r="AT103" i="9"/>
  <c r="AT78" i="9"/>
  <c r="AR78" i="9"/>
  <c r="AT67" i="9"/>
  <c r="AR67" i="9"/>
  <c r="AN120" i="9"/>
  <c r="AR120" i="9"/>
  <c r="AT120" i="9"/>
  <c r="AS100" i="9"/>
  <c r="AS109" i="9"/>
  <c r="AS75" i="9"/>
  <c r="AT108" i="9"/>
  <c r="AR108" i="9"/>
  <c r="AS73" i="9"/>
  <c r="AS107" i="9"/>
  <c r="AT116" i="9"/>
  <c r="AR116" i="9"/>
  <c r="AR118" i="9"/>
  <c r="AT118" i="9"/>
  <c r="AS78" i="9"/>
  <c r="E898" i="39"/>
  <c r="F898" i="39" s="1"/>
  <c r="AN69" i="9"/>
  <c r="AN112" i="9"/>
  <c r="AN92" i="9"/>
  <c r="AN87" i="9"/>
  <c r="AN101" i="9"/>
  <c r="AN102" i="9"/>
  <c r="AN94" i="9"/>
  <c r="AN114" i="9"/>
  <c r="AN105" i="9"/>
  <c r="AN82" i="9"/>
  <c r="AN72" i="9"/>
  <c r="AN90" i="9"/>
  <c r="AN84" i="9"/>
  <c r="AN68" i="9"/>
  <c r="AN66" i="9"/>
  <c r="AN119" i="9"/>
  <c r="AN108" i="9"/>
  <c r="AN97" i="9"/>
  <c r="AN116" i="9"/>
  <c r="AN118" i="9"/>
  <c r="AH44" i="9"/>
  <c r="AK44" i="9" s="1"/>
  <c r="AI44" i="9"/>
  <c r="AL44" i="9" s="1"/>
  <c r="AI715" i="9"/>
  <c r="AL715" i="9" s="1"/>
  <c r="AH715" i="9"/>
  <c r="AK715" i="9" s="1"/>
  <c r="AI295" i="9"/>
  <c r="AL295" i="9" s="1"/>
  <c r="AH295" i="9"/>
  <c r="AK295" i="9" s="1"/>
  <c r="AI262" i="9"/>
  <c r="AL262" i="9" s="1"/>
  <c r="AH262" i="9"/>
  <c r="AK262" i="9" s="1"/>
  <c r="AG24" i="9"/>
  <c r="AM24" i="9" s="1"/>
  <c r="AI24" i="9"/>
  <c r="AL24" i="9" s="1"/>
  <c r="AH24" i="9"/>
  <c r="AK24" i="9" s="1"/>
  <c r="AI775" i="9"/>
  <c r="AL775" i="9" s="1"/>
  <c r="AH775" i="9"/>
  <c r="AK775" i="9" s="1"/>
  <c r="AI661" i="9"/>
  <c r="AL661" i="9" s="1"/>
  <c r="AH661" i="9"/>
  <c r="AK661" i="9" s="1"/>
  <c r="AI258" i="9"/>
  <c r="AL258" i="9" s="1"/>
  <c r="AH258" i="9"/>
  <c r="AK258" i="9" s="1"/>
  <c r="AG64" i="9"/>
  <c r="AM64" i="9" s="1"/>
  <c r="AI64" i="9"/>
  <c r="AL64" i="9" s="1"/>
  <c r="AH64" i="9"/>
  <c r="AK64" i="9" s="1"/>
  <c r="AI795" i="9"/>
  <c r="AL795" i="9" s="1"/>
  <c r="AH795" i="9"/>
  <c r="AK795" i="9" s="1"/>
  <c r="AI768" i="9"/>
  <c r="AL768" i="9" s="1"/>
  <c r="AH768" i="9"/>
  <c r="AK768" i="9" s="1"/>
  <c r="AI695" i="9"/>
  <c r="AL695" i="9" s="1"/>
  <c r="AH695" i="9"/>
  <c r="AK695" i="9" s="1"/>
  <c r="AI547" i="9"/>
  <c r="AL547" i="9" s="1"/>
  <c r="AH547" i="9"/>
  <c r="AK547" i="9" s="1"/>
  <c r="AI371" i="9"/>
  <c r="AL371" i="9" s="1"/>
  <c r="AH371" i="9"/>
  <c r="AK371" i="9" s="1"/>
  <c r="AH244" i="9"/>
  <c r="AK244" i="9" s="1"/>
  <c r="AI244" i="9"/>
  <c r="AL244" i="9" s="1"/>
  <c r="AI622" i="9"/>
  <c r="AL622" i="9" s="1"/>
  <c r="AH622" i="9"/>
  <c r="AK622" i="9" s="1"/>
  <c r="AI41" i="9"/>
  <c r="AL41" i="9" s="1"/>
  <c r="AH41" i="9"/>
  <c r="AK41" i="9" s="1"/>
  <c r="AI615" i="9"/>
  <c r="AL615" i="9" s="1"/>
  <c r="AH615" i="9"/>
  <c r="AK615" i="9" s="1"/>
  <c r="AI585" i="9"/>
  <c r="AL585" i="9" s="1"/>
  <c r="AH585" i="9"/>
  <c r="AK585" i="9" s="1"/>
  <c r="AI133" i="9"/>
  <c r="AL133" i="9" s="1"/>
  <c r="AH133" i="9"/>
  <c r="AK133" i="9" s="1"/>
  <c r="AN78" i="9"/>
  <c r="AI45" i="9"/>
  <c r="AL45" i="9" s="1"/>
  <c r="AH45" i="9"/>
  <c r="AK45" i="9" s="1"/>
  <c r="AG28" i="9"/>
  <c r="AM28" i="9" s="1"/>
  <c r="AH28" i="9"/>
  <c r="AK28" i="9" s="1"/>
  <c r="AI28" i="9"/>
  <c r="AL28" i="9" s="1"/>
  <c r="AI785" i="9"/>
  <c r="AL785" i="9" s="1"/>
  <c r="AH785" i="9"/>
  <c r="AK785" i="9" s="1"/>
  <c r="AI551" i="9"/>
  <c r="AL551" i="9" s="1"/>
  <c r="AH551" i="9"/>
  <c r="AK551" i="9" s="1"/>
  <c r="AI801" i="9"/>
  <c r="AL801" i="9" s="1"/>
  <c r="AH801" i="9"/>
  <c r="AK801" i="9" s="1"/>
  <c r="AI596" i="9"/>
  <c r="AL596" i="9" s="1"/>
  <c r="AH596" i="9"/>
  <c r="AK596" i="9" s="1"/>
  <c r="AI200" i="9"/>
  <c r="AL200" i="9" s="1"/>
  <c r="AH200" i="9"/>
  <c r="AK200" i="9" s="1"/>
  <c r="AJ856" i="9"/>
  <c r="AI856" i="9"/>
  <c r="AL856" i="9" s="1"/>
  <c r="AH856" i="9"/>
  <c r="AK856" i="9" s="1"/>
  <c r="AI627" i="9"/>
  <c r="AL627" i="9" s="1"/>
  <c r="AH627" i="9"/>
  <c r="AK627" i="9" s="1"/>
  <c r="AI538" i="9"/>
  <c r="AL538" i="9" s="1"/>
  <c r="AH538" i="9"/>
  <c r="AK538" i="9" s="1"/>
  <c r="AI320" i="9"/>
  <c r="AL320" i="9" s="1"/>
  <c r="AH320" i="9"/>
  <c r="AK320" i="9" s="1"/>
  <c r="AI279" i="9"/>
  <c r="AL279" i="9" s="1"/>
  <c r="AH279" i="9"/>
  <c r="AK279" i="9" s="1"/>
  <c r="AI445" i="9"/>
  <c r="AL445" i="9" s="1"/>
  <c r="AH445" i="9"/>
  <c r="AK445" i="9" s="1"/>
  <c r="AI39" i="9"/>
  <c r="AL39" i="9" s="1"/>
  <c r="AH39" i="9"/>
  <c r="AK39" i="9" s="1"/>
  <c r="AI176" i="9"/>
  <c r="AL176" i="9" s="1"/>
  <c r="AH176" i="9"/>
  <c r="AK176" i="9" s="1"/>
  <c r="AI173" i="9"/>
  <c r="AL173" i="9" s="1"/>
  <c r="AH173" i="9"/>
  <c r="AK173" i="9" s="1"/>
  <c r="AH781" i="9"/>
  <c r="AK781" i="9" s="1"/>
  <c r="AI781" i="9"/>
  <c r="AL781" i="9" s="1"/>
  <c r="AI739" i="9"/>
  <c r="AL739" i="9" s="1"/>
  <c r="AH739" i="9"/>
  <c r="AK739" i="9" s="1"/>
  <c r="AI667" i="9"/>
  <c r="AL667" i="9" s="1"/>
  <c r="AH667" i="9"/>
  <c r="AK667" i="9" s="1"/>
  <c r="AI744" i="9"/>
  <c r="AL744" i="9" s="1"/>
  <c r="AH744" i="9"/>
  <c r="AK744" i="9" s="1"/>
  <c r="AJ47" i="9"/>
  <c r="AI47" i="9"/>
  <c r="AL47" i="9" s="1"/>
  <c r="AH47" i="9"/>
  <c r="AK47" i="9" s="1"/>
  <c r="AI255" i="9"/>
  <c r="AL255" i="9" s="1"/>
  <c r="AH255" i="9"/>
  <c r="AK255" i="9" s="1"/>
  <c r="AI410" i="9"/>
  <c r="AL410" i="9" s="1"/>
  <c r="AH410" i="9"/>
  <c r="AK410" i="9" s="1"/>
  <c r="AI732" i="9"/>
  <c r="AL732" i="9" s="1"/>
  <c r="AH732" i="9"/>
  <c r="AK732" i="9" s="1"/>
  <c r="AI542" i="9"/>
  <c r="AL542" i="9" s="1"/>
  <c r="AH542" i="9"/>
  <c r="AK542" i="9" s="1"/>
  <c r="AN100" i="9"/>
  <c r="AN71" i="9"/>
  <c r="AN109" i="9"/>
  <c r="AN98" i="9"/>
  <c r="AI158" i="9"/>
  <c r="AL158" i="9" s="1"/>
  <c r="AH158" i="9"/>
  <c r="AK158" i="9" s="1"/>
  <c r="AI178" i="9"/>
  <c r="AL178" i="9" s="1"/>
  <c r="AH178" i="9"/>
  <c r="AK178" i="9" s="1"/>
  <c r="AI181" i="9"/>
  <c r="AL181" i="9" s="1"/>
  <c r="AH181" i="9"/>
  <c r="AK181" i="9" s="1"/>
  <c r="AI55" i="9"/>
  <c r="AL55" i="9" s="1"/>
  <c r="AH55" i="9"/>
  <c r="AK55" i="9" s="1"/>
  <c r="AI59" i="9"/>
  <c r="AL59" i="9" s="1"/>
  <c r="AH59" i="9"/>
  <c r="AK59" i="9" s="1"/>
  <c r="AI855" i="9"/>
  <c r="AL855" i="9" s="1"/>
  <c r="AH855" i="9"/>
  <c r="AK855" i="9" s="1"/>
  <c r="AG346" i="9"/>
  <c r="AM346" i="9" s="1"/>
  <c r="AI346" i="9"/>
  <c r="AL346" i="9" s="1"/>
  <c r="AH346" i="9"/>
  <c r="AK346" i="9" s="1"/>
  <c r="AH188" i="9"/>
  <c r="AK188" i="9" s="1"/>
  <c r="AI188" i="9"/>
  <c r="AL188" i="9" s="1"/>
  <c r="AI793" i="9"/>
  <c r="AL793" i="9" s="1"/>
  <c r="AH793" i="9"/>
  <c r="AK793" i="9" s="1"/>
  <c r="AI526" i="9"/>
  <c r="AL526" i="9" s="1"/>
  <c r="AH526" i="9"/>
  <c r="AK526" i="9" s="1"/>
  <c r="AI336" i="9"/>
  <c r="AL336" i="9" s="1"/>
  <c r="AH336" i="9"/>
  <c r="AK336" i="9" s="1"/>
  <c r="AI531" i="9"/>
  <c r="AL531" i="9" s="1"/>
  <c r="AH531" i="9"/>
  <c r="AK531" i="9" s="1"/>
  <c r="AI535" i="9"/>
  <c r="AL535" i="9" s="1"/>
  <c r="AH535" i="9"/>
  <c r="AK535" i="9" s="1"/>
  <c r="AI683" i="9"/>
  <c r="AL683" i="9" s="1"/>
  <c r="AH683" i="9"/>
  <c r="AK683" i="9" s="1"/>
  <c r="AI385" i="9"/>
  <c r="AL385" i="9" s="1"/>
  <c r="AH385" i="9"/>
  <c r="AK385" i="9" s="1"/>
  <c r="AI641" i="9"/>
  <c r="AL641" i="9" s="1"/>
  <c r="AH641" i="9"/>
  <c r="AK641" i="9" s="1"/>
  <c r="AI362" i="9"/>
  <c r="AL362" i="9" s="1"/>
  <c r="AH362" i="9"/>
  <c r="AK362" i="9" s="1"/>
  <c r="AI217" i="9"/>
  <c r="AL217" i="9" s="1"/>
  <c r="AH217" i="9"/>
  <c r="AK217" i="9" s="1"/>
  <c r="AN83" i="9"/>
  <c r="AN75" i="9"/>
  <c r="AN106" i="9"/>
  <c r="AI8" i="9"/>
  <c r="AL8" i="9" s="1"/>
  <c r="AH8" i="9"/>
  <c r="AK8" i="9" s="1"/>
  <c r="AI185" i="9"/>
  <c r="AL185" i="9" s="1"/>
  <c r="AH185" i="9"/>
  <c r="AK185" i="9" s="1"/>
  <c r="AI774" i="9"/>
  <c r="AL774" i="9" s="1"/>
  <c r="AH774" i="9"/>
  <c r="AK774" i="9" s="1"/>
  <c r="AI758" i="9"/>
  <c r="AL758" i="9" s="1"/>
  <c r="AH758" i="9"/>
  <c r="AK758" i="9" s="1"/>
  <c r="AI677" i="9"/>
  <c r="AL677" i="9" s="1"/>
  <c r="AH677" i="9"/>
  <c r="AK677" i="9" s="1"/>
  <c r="AI694" i="9"/>
  <c r="AL694" i="9" s="1"/>
  <c r="AH694" i="9"/>
  <c r="AK694" i="9" s="1"/>
  <c r="AI820" i="9"/>
  <c r="AL820" i="9" s="1"/>
  <c r="AH820" i="9"/>
  <c r="AK820" i="9" s="1"/>
  <c r="AG278" i="9"/>
  <c r="AM278" i="9" s="1"/>
  <c r="AI278" i="9"/>
  <c r="AL278" i="9" s="1"/>
  <c r="AH278" i="9"/>
  <c r="AK278" i="9" s="1"/>
  <c r="AI599" i="9"/>
  <c r="AL599" i="9" s="1"/>
  <c r="AH599" i="9"/>
  <c r="AK599" i="9" s="1"/>
  <c r="AI143" i="9"/>
  <c r="AL143" i="9" s="1"/>
  <c r="AH143" i="9"/>
  <c r="AK143" i="9" s="1"/>
  <c r="AI401" i="9"/>
  <c r="AL401" i="9" s="1"/>
  <c r="AH401" i="9"/>
  <c r="AK401" i="9" s="1"/>
  <c r="AI241" i="9"/>
  <c r="AL241" i="9" s="1"/>
  <c r="AH241" i="9"/>
  <c r="AK241" i="9" s="1"/>
  <c r="AG574" i="9"/>
  <c r="AM574" i="9" s="1"/>
  <c r="AI574" i="9"/>
  <c r="AL574" i="9" s="1"/>
  <c r="AH574" i="9"/>
  <c r="AK574" i="9" s="1"/>
  <c r="AI204" i="9"/>
  <c r="AL204" i="9" s="1"/>
  <c r="AH204" i="9"/>
  <c r="AK204" i="9" s="1"/>
  <c r="AI142" i="9"/>
  <c r="AL142" i="9" s="1"/>
  <c r="AH142" i="9"/>
  <c r="AK142" i="9" s="1"/>
  <c r="AI413" i="9"/>
  <c r="AL413" i="9" s="1"/>
  <c r="AH413" i="9"/>
  <c r="AK413" i="9" s="1"/>
  <c r="AI555" i="9"/>
  <c r="AL555" i="9" s="1"/>
  <c r="AH555" i="9"/>
  <c r="AK555" i="9" s="1"/>
  <c r="AI61" i="9"/>
  <c r="AL61" i="9" s="1"/>
  <c r="AH61" i="9"/>
  <c r="AK61" i="9" s="1"/>
  <c r="AI122" i="9"/>
  <c r="AL122" i="9" s="1"/>
  <c r="AH122" i="9"/>
  <c r="AK122" i="9" s="1"/>
  <c r="AI567" i="9"/>
  <c r="AL567" i="9" s="1"/>
  <c r="AH567" i="9"/>
  <c r="AK567" i="9" s="1"/>
  <c r="AI201" i="9"/>
  <c r="AL201" i="9" s="1"/>
  <c r="AH201" i="9"/>
  <c r="AK201" i="9" s="1"/>
  <c r="AI208" i="9"/>
  <c r="AL208" i="9" s="1"/>
  <c r="AH208" i="9"/>
  <c r="AK208" i="9" s="1"/>
  <c r="AI708" i="9"/>
  <c r="AL708" i="9" s="1"/>
  <c r="AH708" i="9"/>
  <c r="AK708" i="9" s="1"/>
  <c r="AI724" i="9"/>
  <c r="AL724" i="9" s="1"/>
  <c r="AH724" i="9"/>
  <c r="AK724" i="9" s="1"/>
  <c r="AI468" i="9"/>
  <c r="AL468" i="9" s="1"/>
  <c r="AH468" i="9"/>
  <c r="AK468" i="9" s="1"/>
  <c r="AI302" i="9"/>
  <c r="AL302" i="9" s="1"/>
  <c r="AH302" i="9"/>
  <c r="AK302" i="9" s="1"/>
  <c r="AI135" i="9"/>
  <c r="AL135" i="9" s="1"/>
  <c r="AH135" i="9"/>
  <c r="AK135" i="9" s="1"/>
  <c r="AI819" i="9"/>
  <c r="AL819" i="9" s="1"/>
  <c r="AH819" i="9"/>
  <c r="AK819" i="9" s="1"/>
  <c r="AH316" i="9"/>
  <c r="AK316" i="9" s="1"/>
  <c r="AI316" i="9"/>
  <c r="AL316" i="9" s="1"/>
  <c r="AI539" i="9"/>
  <c r="AL539" i="9" s="1"/>
  <c r="AH539" i="9"/>
  <c r="AK539" i="9" s="1"/>
  <c r="AI50" i="9"/>
  <c r="AL50" i="9" s="1"/>
  <c r="AH50" i="9"/>
  <c r="AK50" i="9" s="1"/>
  <c r="AI159" i="9"/>
  <c r="AL159" i="9" s="1"/>
  <c r="AH159" i="9"/>
  <c r="AK159" i="9" s="1"/>
  <c r="AI588" i="9"/>
  <c r="AL588" i="9" s="1"/>
  <c r="AH588" i="9"/>
  <c r="AK588" i="9" s="1"/>
  <c r="AI687" i="9"/>
  <c r="AL687" i="9" s="1"/>
  <c r="AH687" i="9"/>
  <c r="AK687" i="9" s="1"/>
  <c r="AI221" i="9"/>
  <c r="AL221" i="9" s="1"/>
  <c r="AH221" i="9"/>
  <c r="AK221" i="9" s="1"/>
  <c r="AI54" i="9"/>
  <c r="AL54" i="9" s="1"/>
  <c r="AH54" i="9"/>
  <c r="AK54" i="9" s="1"/>
  <c r="AN77" i="9"/>
  <c r="AH690" i="9"/>
  <c r="AK690" i="9" s="1"/>
  <c r="AI690" i="9"/>
  <c r="AL690" i="9" s="1"/>
  <c r="AI62" i="9"/>
  <c r="AL62" i="9" s="1"/>
  <c r="AH62" i="9"/>
  <c r="AK62" i="9" s="1"/>
  <c r="AG592" i="9"/>
  <c r="AM592" i="9" s="1"/>
  <c r="AI592" i="9"/>
  <c r="AL592" i="9" s="1"/>
  <c r="AH592" i="9"/>
  <c r="AK592" i="9" s="1"/>
  <c r="AI184" i="9"/>
  <c r="AL184" i="9" s="1"/>
  <c r="AH184" i="9"/>
  <c r="AK184" i="9" s="1"/>
  <c r="AI765" i="9"/>
  <c r="AL765" i="9" s="1"/>
  <c r="AH765" i="9"/>
  <c r="AK765" i="9" s="1"/>
  <c r="AI153" i="9"/>
  <c r="AL153" i="9" s="1"/>
  <c r="AH153" i="9"/>
  <c r="AK153" i="9" s="1"/>
  <c r="AH220" i="9"/>
  <c r="AK220" i="9" s="1"/>
  <c r="AI220" i="9"/>
  <c r="AL220" i="9" s="1"/>
  <c r="AG546" i="9"/>
  <c r="AM546" i="9" s="1"/>
  <c r="AI546" i="9"/>
  <c r="AL546" i="9" s="1"/>
  <c r="AH546" i="9"/>
  <c r="AK546" i="9" s="1"/>
  <c r="AI784" i="9"/>
  <c r="AL784" i="9" s="1"/>
  <c r="AH784" i="9"/>
  <c r="AK784" i="9" s="1"/>
  <c r="AI728" i="9"/>
  <c r="AL728" i="9" s="1"/>
  <c r="AH728" i="9"/>
  <c r="AK728" i="9" s="1"/>
  <c r="AI313" i="9"/>
  <c r="AL313" i="9" s="1"/>
  <c r="AH313" i="9"/>
  <c r="AK313" i="9" s="1"/>
  <c r="AI299" i="9"/>
  <c r="AL299" i="9" s="1"/>
  <c r="AH299" i="9"/>
  <c r="AK299" i="9" s="1"/>
  <c r="AI503" i="9"/>
  <c r="AL503" i="9" s="1"/>
  <c r="AH503" i="9"/>
  <c r="AK503" i="9" s="1"/>
  <c r="AI38" i="9"/>
  <c r="AL38" i="9" s="1"/>
  <c r="AH38" i="9"/>
  <c r="AK38" i="9" s="1"/>
  <c r="AI25" i="9"/>
  <c r="AL25" i="9" s="1"/>
  <c r="AH25" i="9"/>
  <c r="AK25" i="9" s="1"/>
  <c r="AI162" i="9"/>
  <c r="AL162" i="9" s="1"/>
  <c r="AH162" i="9"/>
  <c r="AK162" i="9" s="1"/>
  <c r="AH714" i="9"/>
  <c r="AK714" i="9" s="1"/>
  <c r="AI714" i="9"/>
  <c r="AL714" i="9" s="1"/>
  <c r="AI575" i="9"/>
  <c r="AL575" i="9" s="1"/>
  <c r="AH575" i="9"/>
  <c r="AK575" i="9" s="1"/>
  <c r="AI197" i="9"/>
  <c r="AL197" i="9" s="1"/>
  <c r="AH197" i="9"/>
  <c r="AK197" i="9" s="1"/>
  <c r="AN74" i="9"/>
  <c r="AN110" i="9"/>
  <c r="AI48" i="9"/>
  <c r="AL48" i="9" s="1"/>
  <c r="AH48" i="9"/>
  <c r="AK48" i="9" s="1"/>
  <c r="AI560" i="9"/>
  <c r="AL560" i="9" s="1"/>
  <c r="AH560" i="9"/>
  <c r="AK560" i="9" s="1"/>
  <c r="AI205" i="9"/>
  <c r="AL205" i="9" s="1"/>
  <c r="AH205" i="9"/>
  <c r="AK205" i="9" s="1"/>
  <c r="AI608" i="9"/>
  <c r="AL608" i="9" s="1"/>
  <c r="AH608" i="9"/>
  <c r="AK608" i="9" s="1"/>
  <c r="AI361" i="9"/>
  <c r="AL361" i="9" s="1"/>
  <c r="AH361" i="9"/>
  <c r="AK361" i="9" s="1"/>
  <c r="AG769" i="9"/>
  <c r="AM769" i="9" s="1"/>
  <c r="AI769" i="9"/>
  <c r="AL769" i="9" s="1"/>
  <c r="AH769" i="9"/>
  <c r="AK769" i="9" s="1"/>
  <c r="AI374" i="9"/>
  <c r="AL374" i="9" s="1"/>
  <c r="AH374" i="9"/>
  <c r="AK374" i="9" s="1"/>
  <c r="AJ789" i="9"/>
  <c r="AI789" i="9"/>
  <c r="AL789" i="9" s="1"/>
  <c r="AH789" i="9"/>
  <c r="AK789" i="9" s="1"/>
  <c r="AI640" i="9"/>
  <c r="AL640" i="9" s="1"/>
  <c r="AH640" i="9"/>
  <c r="AK640" i="9" s="1"/>
  <c r="AH676" i="9"/>
  <c r="AK676" i="9" s="1"/>
  <c r="AI676" i="9"/>
  <c r="AL676" i="9" s="1"/>
  <c r="AI571" i="9"/>
  <c r="AL571" i="9" s="1"/>
  <c r="AH571" i="9"/>
  <c r="AK571" i="9" s="1"/>
  <c r="AG136" i="9"/>
  <c r="AM136" i="9" s="1"/>
  <c r="AI136" i="9"/>
  <c r="AL136" i="9" s="1"/>
  <c r="AH136" i="9"/>
  <c r="AK136" i="9" s="1"/>
  <c r="AH156" i="9"/>
  <c r="AK156" i="9" s="1"/>
  <c r="AI156" i="9"/>
  <c r="AL156" i="9" s="1"/>
  <c r="AE276" i="9"/>
  <c r="AF276" i="9" s="1"/>
  <c r="AJ276" i="9" s="1"/>
  <c r="AE647" i="9"/>
  <c r="AF647" i="9" s="1"/>
  <c r="AE620" i="9"/>
  <c r="AF620" i="9" s="1"/>
  <c r="AE562" i="9"/>
  <c r="AF562" i="9" s="1"/>
  <c r="AE394" i="9"/>
  <c r="AF394" i="9" s="1"/>
  <c r="AE463" i="9"/>
  <c r="AF463" i="9" s="1"/>
  <c r="AE353" i="9"/>
  <c r="AF353" i="9" s="1"/>
  <c r="AE656" i="9"/>
  <c r="AF656" i="9" s="1"/>
  <c r="AE260" i="9"/>
  <c r="AF260" i="9" s="1"/>
  <c r="AN81" i="9"/>
  <c r="AN67" i="9"/>
  <c r="K282" i="14"/>
  <c r="K360" i="11"/>
  <c r="L11" i="20"/>
  <c r="L11" i="14"/>
  <c r="L11" i="11"/>
  <c r="AJ346" i="9"/>
  <c r="AJ574" i="9"/>
  <c r="AJ28" i="9"/>
  <c r="AG856" i="9"/>
  <c r="AM856" i="9" s="1"/>
  <c r="AJ64" i="9"/>
  <c r="AG47" i="9"/>
  <c r="AM47" i="9" s="1"/>
  <c r="AJ136" i="9"/>
  <c r="AJ546" i="9"/>
  <c r="AG789" i="9"/>
  <c r="AM789" i="9" s="1"/>
  <c r="AJ278" i="9"/>
  <c r="AN80" i="9"/>
  <c r="AJ592" i="9"/>
  <c r="AJ24" i="9"/>
  <c r="AN85" i="9"/>
  <c r="AG221" i="9"/>
  <c r="AM221" i="9" s="1"/>
  <c r="AJ221" i="9"/>
  <c r="AG61" i="9"/>
  <c r="AM61" i="9" s="1"/>
  <c r="AJ61" i="9"/>
  <c r="AE18" i="26"/>
  <c r="AG18" i="26" s="1"/>
  <c r="AF18" i="26"/>
  <c r="AG220" i="9"/>
  <c r="AM220" i="9" s="1"/>
  <c r="AJ220" i="9"/>
  <c r="AG205" i="9"/>
  <c r="AM205" i="9" s="1"/>
  <c r="AJ205" i="9"/>
  <c r="AG608" i="9"/>
  <c r="AM608" i="9" s="1"/>
  <c r="AJ608" i="9"/>
  <c r="AG785" i="9"/>
  <c r="AM785" i="9" s="1"/>
  <c r="AJ785" i="9"/>
  <c r="AJ503" i="9"/>
  <c r="AG503" i="9"/>
  <c r="AM503" i="9" s="1"/>
  <c r="AJ362" i="9"/>
  <c r="AG362" i="9"/>
  <c r="AM362" i="9" s="1"/>
  <c r="AG133" i="9"/>
  <c r="AM133" i="9" s="1"/>
  <c r="AJ133" i="9"/>
  <c r="AG336" i="9"/>
  <c r="AM336" i="9" s="1"/>
  <c r="AJ336" i="9"/>
  <c r="AG201" i="9"/>
  <c r="AM201" i="9" s="1"/>
  <c r="AJ201" i="9"/>
  <c r="AG181" i="9"/>
  <c r="AM181" i="9" s="1"/>
  <c r="AJ181" i="9"/>
  <c r="AG371" i="9"/>
  <c r="AM371" i="9" s="1"/>
  <c r="AJ371" i="9"/>
  <c r="AJ819" i="9"/>
  <c r="AG819" i="9"/>
  <c r="AM819" i="9" s="1"/>
  <c r="AG784" i="9"/>
  <c r="AM784" i="9" s="1"/>
  <c r="AJ784" i="9"/>
  <c r="AG188" i="9"/>
  <c r="AM188" i="9" s="1"/>
  <c r="AJ188" i="9"/>
  <c r="AG677" i="9"/>
  <c r="AM677" i="9" s="1"/>
  <c r="AJ677" i="9"/>
  <c r="AG255" i="9"/>
  <c r="AM255" i="9" s="1"/>
  <c r="AJ255" i="9"/>
  <c r="AG162" i="9"/>
  <c r="AM162" i="9" s="1"/>
  <c r="AJ162" i="9"/>
  <c r="AG410" i="9"/>
  <c r="AM410" i="9" s="1"/>
  <c r="AJ410" i="9"/>
  <c r="AG694" i="9"/>
  <c r="AM694" i="9" s="1"/>
  <c r="AJ694" i="9"/>
  <c r="AJ588" i="9"/>
  <c r="AG588" i="9"/>
  <c r="AM588" i="9" s="1"/>
  <c r="AG855" i="9"/>
  <c r="AM855" i="9" s="1"/>
  <c r="AJ855" i="9"/>
  <c r="AJ313" i="9"/>
  <c r="AG313" i="9"/>
  <c r="AM313" i="9" s="1"/>
  <c r="AG781" i="9"/>
  <c r="AM781" i="9" s="1"/>
  <c r="AJ781" i="9"/>
  <c r="AG765" i="9"/>
  <c r="AM765" i="9" s="1"/>
  <c r="AJ765" i="9"/>
  <c r="AG575" i="9"/>
  <c r="AM575" i="9" s="1"/>
  <c r="AJ575" i="9"/>
  <c r="AG571" i="9"/>
  <c r="AM571" i="9" s="1"/>
  <c r="AJ571" i="9"/>
  <c r="AJ184" i="9"/>
  <c r="AG184" i="9"/>
  <c r="AM184" i="9" s="1"/>
  <c r="AG320" i="9"/>
  <c r="AM320" i="9" s="1"/>
  <c r="AJ320" i="9"/>
  <c r="AJ217" i="9"/>
  <c r="AG217" i="9"/>
  <c r="AM217" i="9" s="1"/>
  <c r="AG45" i="9"/>
  <c r="AM45" i="9" s="1"/>
  <c r="AJ45" i="9"/>
  <c r="AG50" i="9"/>
  <c r="AM50" i="9" s="1"/>
  <c r="AJ50" i="9"/>
  <c r="AG627" i="9"/>
  <c r="AM627" i="9" s="1"/>
  <c r="AJ627" i="9"/>
  <c r="AJ39" i="9"/>
  <c r="AG39" i="9"/>
  <c r="AM39" i="9" s="1"/>
  <c r="AE20" i="26"/>
  <c r="AG20" i="26" s="1"/>
  <c r="AH20" i="26" s="1"/>
  <c r="AL20" i="26" s="1"/>
  <c r="AJ769" i="9"/>
  <c r="AG38" i="9"/>
  <c r="AM38" i="9" s="1"/>
  <c r="AJ38" i="9"/>
  <c r="AG279" i="9"/>
  <c r="AM279" i="9" s="1"/>
  <c r="AJ279" i="9"/>
  <c r="AG262" i="9"/>
  <c r="AM262" i="9" s="1"/>
  <c r="AJ262" i="9"/>
  <c r="AG445" i="9"/>
  <c r="AM445" i="9" s="1"/>
  <c r="AJ445" i="9"/>
  <c r="AJ185" i="9"/>
  <c r="AG185" i="9"/>
  <c r="AM185" i="9" s="1"/>
  <c r="AJ774" i="9"/>
  <c r="AG774" i="9"/>
  <c r="AM774" i="9" s="1"/>
  <c r="AG596" i="9"/>
  <c r="AM596" i="9" s="1"/>
  <c r="AJ596" i="9"/>
  <c r="AG801" i="9"/>
  <c r="AM801" i="9" s="1"/>
  <c r="AJ801" i="9"/>
  <c r="AJ744" i="9"/>
  <c r="AG744" i="9"/>
  <c r="AM744" i="9" s="1"/>
  <c r="AJ775" i="9"/>
  <c r="AG775" i="9"/>
  <c r="AM775" i="9" s="1"/>
  <c r="AG732" i="9"/>
  <c r="AM732" i="9" s="1"/>
  <c r="AJ732" i="9"/>
  <c r="AG585" i="9"/>
  <c r="AM585" i="9" s="1"/>
  <c r="AJ585" i="9"/>
  <c r="AJ551" i="9"/>
  <c r="AG551" i="9"/>
  <c r="AM551" i="9" s="1"/>
  <c r="AG135" i="9"/>
  <c r="AM135" i="9" s="1"/>
  <c r="AJ135" i="9"/>
  <c r="AJ62" i="9"/>
  <c r="AG62" i="9"/>
  <c r="AM62" i="9" s="1"/>
  <c r="AJ173" i="9"/>
  <c r="AG173" i="9"/>
  <c r="AM173" i="9" s="1"/>
  <c r="AG122" i="9"/>
  <c r="AM122" i="9" s="1"/>
  <c r="AJ122" i="9"/>
  <c r="AG385" i="9"/>
  <c r="AM385" i="9" s="1"/>
  <c r="AJ385" i="9"/>
  <c r="AG241" i="9"/>
  <c r="AM241" i="9" s="1"/>
  <c r="AJ241" i="9"/>
  <c r="AG41" i="9"/>
  <c r="AM41" i="9" s="1"/>
  <c r="AJ41" i="9"/>
  <c r="AJ25" i="9"/>
  <c r="AG25" i="9"/>
  <c r="AM25" i="9" s="1"/>
  <c r="AG526" i="9"/>
  <c r="AM526" i="9" s="1"/>
  <c r="AJ526" i="9"/>
  <c r="AG535" i="9"/>
  <c r="AM535" i="9" s="1"/>
  <c r="AJ535" i="9"/>
  <c r="AG153" i="9"/>
  <c r="AM153" i="9" s="1"/>
  <c r="AJ153" i="9"/>
  <c r="AG661" i="9"/>
  <c r="AM661" i="9" s="1"/>
  <c r="AJ661" i="9"/>
  <c r="AG640" i="9"/>
  <c r="AM640" i="9" s="1"/>
  <c r="AJ640" i="9"/>
  <c r="AG739" i="9"/>
  <c r="AM739" i="9" s="1"/>
  <c r="AJ739" i="9"/>
  <c r="AG728" i="9"/>
  <c r="AM728" i="9" s="1"/>
  <c r="AJ728" i="9"/>
  <c r="AG667" i="9"/>
  <c r="AM667" i="9" s="1"/>
  <c r="AJ667" i="9"/>
  <c r="AG724" i="9"/>
  <c r="AM724" i="9" s="1"/>
  <c r="AJ724" i="9"/>
  <c r="AG555" i="9"/>
  <c r="AM555" i="9" s="1"/>
  <c r="AJ555" i="9"/>
  <c r="AJ361" i="9"/>
  <c r="AG361" i="9"/>
  <c r="AM361" i="9" s="1"/>
  <c r="AG54" i="9"/>
  <c r="AM54" i="9" s="1"/>
  <c r="AJ54" i="9"/>
  <c r="AG258" i="9"/>
  <c r="AM258" i="9" s="1"/>
  <c r="AJ258" i="9"/>
  <c r="AJ208" i="9"/>
  <c r="AG208" i="9"/>
  <c r="AM208" i="9" s="1"/>
  <c r="AG599" i="9"/>
  <c r="AM599" i="9" s="1"/>
  <c r="AJ599" i="9"/>
  <c r="AG158" i="9"/>
  <c r="AM158" i="9" s="1"/>
  <c r="AJ158" i="9"/>
  <c r="AJ299" i="9"/>
  <c r="AG299" i="9"/>
  <c r="AM299" i="9" s="1"/>
  <c r="AG44" i="9"/>
  <c r="AM44" i="9" s="1"/>
  <c r="AJ44" i="9"/>
  <c r="AJ531" i="9"/>
  <c r="AG531" i="9"/>
  <c r="AM531" i="9" s="1"/>
  <c r="AG413" i="9"/>
  <c r="AM413" i="9" s="1"/>
  <c r="AJ413" i="9"/>
  <c r="AG302" i="9"/>
  <c r="AM302" i="9" s="1"/>
  <c r="AJ302" i="9"/>
  <c r="AG683" i="9"/>
  <c r="AM683" i="9" s="1"/>
  <c r="AJ683" i="9"/>
  <c r="AG714" i="9"/>
  <c r="AM714" i="9" s="1"/>
  <c r="AJ714" i="9"/>
  <c r="AJ178" i="9"/>
  <c r="AG178" i="9"/>
  <c r="AM178" i="9" s="1"/>
  <c r="AG695" i="9"/>
  <c r="AM695" i="9" s="1"/>
  <c r="AJ695" i="9"/>
  <c r="AG708" i="9"/>
  <c r="AM708" i="9" s="1"/>
  <c r="AJ708" i="9"/>
  <c r="AG468" i="9"/>
  <c r="AM468" i="9" s="1"/>
  <c r="AJ468" i="9"/>
  <c r="AG59" i="9"/>
  <c r="AM59" i="9" s="1"/>
  <c r="AJ59" i="9"/>
  <c r="AG244" i="9"/>
  <c r="AM244" i="9" s="1"/>
  <c r="AJ244" i="9"/>
  <c r="AJ200" i="9"/>
  <c r="AG200" i="9"/>
  <c r="AM200" i="9" s="1"/>
  <c r="AG539" i="9"/>
  <c r="AM539" i="9" s="1"/>
  <c r="AJ539" i="9"/>
  <c r="AG295" i="9"/>
  <c r="AM295" i="9" s="1"/>
  <c r="AJ295" i="9"/>
  <c r="AG48" i="9"/>
  <c r="AM48" i="9" s="1"/>
  <c r="AJ48" i="9"/>
  <c r="AG758" i="9"/>
  <c r="AM758" i="9" s="1"/>
  <c r="AJ758" i="9"/>
  <c r="AG820" i="9"/>
  <c r="AM820" i="9" s="1"/>
  <c r="AJ820" i="9"/>
  <c r="AG715" i="9"/>
  <c r="AM715" i="9" s="1"/>
  <c r="AJ715" i="9"/>
  <c r="AG687" i="9"/>
  <c r="AM687" i="9" s="1"/>
  <c r="AJ687" i="9"/>
  <c r="AJ622" i="9"/>
  <c r="AG622" i="9"/>
  <c r="AM622" i="9" s="1"/>
  <c r="AJ641" i="9"/>
  <c r="AG641" i="9"/>
  <c r="AM641" i="9" s="1"/>
  <c r="AG55" i="9"/>
  <c r="AM55" i="9" s="1"/>
  <c r="AJ55" i="9"/>
  <c r="AG197" i="9"/>
  <c r="AM197" i="9" s="1"/>
  <c r="AJ197" i="9"/>
  <c r="AG204" i="9"/>
  <c r="AM204" i="9" s="1"/>
  <c r="AJ204" i="9"/>
  <c r="AG176" i="9"/>
  <c r="AM176" i="9" s="1"/>
  <c r="AJ176" i="9"/>
  <c r="AG793" i="9"/>
  <c r="AM793" i="9" s="1"/>
  <c r="AJ793" i="9"/>
  <c r="AJ316" i="9"/>
  <c r="AG316" i="9"/>
  <c r="AM316" i="9" s="1"/>
  <c r="AJ560" i="9"/>
  <c r="AG560" i="9"/>
  <c r="AM560" i="9" s="1"/>
  <c r="AJ547" i="9"/>
  <c r="AG547" i="9"/>
  <c r="AM547" i="9" s="1"/>
  <c r="AJ142" i="9"/>
  <c r="AG142" i="9"/>
  <c r="AM142" i="9" s="1"/>
  <c r="AG8" i="9"/>
  <c r="AM8" i="9" s="1"/>
  <c r="AJ8" i="9"/>
  <c r="AG374" i="9"/>
  <c r="AM374" i="9" s="1"/>
  <c r="AJ374" i="9"/>
  <c r="AJ159" i="9"/>
  <c r="AG159" i="9"/>
  <c r="AM159" i="9" s="1"/>
  <c r="AG690" i="9"/>
  <c r="AM690" i="9" s="1"/>
  <c r="AJ690" i="9"/>
  <c r="AJ676" i="9"/>
  <c r="AG676" i="9"/>
  <c r="AM676" i="9" s="1"/>
  <c r="AJ615" i="9"/>
  <c r="AG615" i="9"/>
  <c r="AM615" i="9" s="1"/>
  <c r="AJ768" i="9"/>
  <c r="AG768" i="9"/>
  <c r="AM768" i="9" s="1"/>
  <c r="AG795" i="9"/>
  <c r="AM795" i="9" s="1"/>
  <c r="AJ795" i="9"/>
  <c r="AG538" i="9"/>
  <c r="AM538" i="9" s="1"/>
  <c r="AJ538" i="9"/>
  <c r="AG567" i="9"/>
  <c r="AM567" i="9" s="1"/>
  <c r="AJ567" i="9"/>
  <c r="AG542" i="9"/>
  <c r="AM542" i="9" s="1"/>
  <c r="AJ542" i="9"/>
  <c r="AG401" i="9"/>
  <c r="AM401" i="9" s="1"/>
  <c r="AJ401" i="9"/>
  <c r="AJ143" i="9"/>
  <c r="AG143" i="9"/>
  <c r="AM143" i="9" s="1"/>
  <c r="AG156" i="9"/>
  <c r="AM156" i="9" s="1"/>
  <c r="AJ156" i="9"/>
  <c r="AN117" i="9"/>
  <c r="AN111" i="9"/>
  <c r="AN103" i="9"/>
  <c r="AN107" i="9"/>
  <c r="AN104" i="9"/>
  <c r="AN73" i="9"/>
  <c r="AN96" i="9"/>
  <c r="AN76" i="9"/>
  <c r="K283" i="20"/>
  <c r="G1017" i="5"/>
  <c r="I944" i="5"/>
  <c r="I920" i="5"/>
  <c r="G921" i="5"/>
  <c r="L921" i="5"/>
  <c r="G849" i="5"/>
  <c r="L825" i="5"/>
  <c r="G825" i="5"/>
  <c r="L752" i="5"/>
  <c r="G752" i="5"/>
  <c r="L680" i="5"/>
  <c r="G680" i="5"/>
  <c r="L655" i="5"/>
  <c r="G655" i="5"/>
  <c r="L583" i="5"/>
  <c r="G583" i="5"/>
  <c r="L559" i="5"/>
  <c r="G559" i="5"/>
  <c r="L486" i="5"/>
  <c r="G486" i="5"/>
  <c r="I316" i="5"/>
  <c r="L389" i="5"/>
  <c r="G412" i="5"/>
  <c r="G413" i="5" s="1"/>
  <c r="L365" i="5"/>
  <c r="L388" i="5"/>
  <c r="L413" i="5"/>
  <c r="I292" i="5"/>
  <c r="L412" i="5"/>
  <c r="K392" i="5"/>
  <c r="G293" i="5"/>
  <c r="K368" i="5" s="1"/>
  <c r="I242" i="5"/>
  <c r="L293" i="5"/>
  <c r="G268" i="5"/>
  <c r="K344" i="5" s="1"/>
  <c r="L316" i="5"/>
  <c r="L341" i="5"/>
  <c r="L340" i="5"/>
  <c r="L317" i="5"/>
  <c r="L292" i="5"/>
  <c r="G243" i="5"/>
  <c r="L267" i="5"/>
  <c r="L268" i="5"/>
  <c r="L243" i="5"/>
  <c r="L242" i="5"/>
  <c r="K12" i="20"/>
  <c r="K12" i="11"/>
  <c r="K12" i="14"/>
  <c r="AS769" i="9" l="1"/>
  <c r="AS592" i="9"/>
  <c r="AS765" i="9"/>
  <c r="AS61" i="9"/>
  <c r="AS546" i="9"/>
  <c r="AS278" i="9"/>
  <c r="AT547" i="9"/>
  <c r="AR547" i="9"/>
  <c r="AT542" i="9"/>
  <c r="AR542" i="9"/>
  <c r="AT176" i="9"/>
  <c r="AR176" i="9"/>
  <c r="AT539" i="9"/>
  <c r="AR539" i="9"/>
  <c r="AT560" i="9"/>
  <c r="AR560" i="9"/>
  <c r="AT622" i="9"/>
  <c r="AR622" i="9"/>
  <c r="AR200" i="9"/>
  <c r="AT200" i="9"/>
  <c r="AT208" i="9"/>
  <c r="AR208" i="9"/>
  <c r="AR62" i="9"/>
  <c r="AT62" i="9"/>
  <c r="AT39" i="9"/>
  <c r="AR39" i="9"/>
  <c r="AR217" i="9"/>
  <c r="AT217" i="9"/>
  <c r="AT503" i="9"/>
  <c r="AR503" i="9"/>
  <c r="AR47" i="9"/>
  <c r="AT47" i="9"/>
  <c r="AS136" i="9"/>
  <c r="AR769" i="9"/>
  <c r="AT769" i="9"/>
  <c r="AS153" i="9"/>
  <c r="AT592" i="9"/>
  <c r="AR592" i="9"/>
  <c r="AS221" i="9"/>
  <c r="AS50" i="9"/>
  <c r="AS135" i="9"/>
  <c r="AS708" i="9"/>
  <c r="AS122" i="9"/>
  <c r="AS142" i="9"/>
  <c r="AS758" i="9"/>
  <c r="AS188" i="9"/>
  <c r="AS55" i="9"/>
  <c r="AS410" i="9"/>
  <c r="AS551" i="9"/>
  <c r="AS41" i="9"/>
  <c r="AS547" i="9"/>
  <c r="AS64" i="9"/>
  <c r="AS715" i="9"/>
  <c r="AT316" i="9"/>
  <c r="AR316" i="9"/>
  <c r="AT159" i="9"/>
  <c r="AR159" i="9"/>
  <c r="AR531" i="9"/>
  <c r="AT531" i="9"/>
  <c r="AT820" i="9"/>
  <c r="AR820" i="9"/>
  <c r="AT714" i="9"/>
  <c r="AR714" i="9"/>
  <c r="AT615" i="9"/>
  <c r="AR615" i="9"/>
  <c r="AR156" i="9"/>
  <c r="AT156" i="9"/>
  <c r="AT567" i="9"/>
  <c r="AR567" i="9"/>
  <c r="AT374" i="9"/>
  <c r="AR374" i="9"/>
  <c r="AT204" i="9"/>
  <c r="AR204" i="9"/>
  <c r="AT758" i="9"/>
  <c r="AR758" i="9"/>
  <c r="AT708" i="9"/>
  <c r="AR708" i="9"/>
  <c r="AT683" i="9"/>
  <c r="AR683" i="9"/>
  <c r="AR44" i="9"/>
  <c r="AT44" i="9"/>
  <c r="AT555" i="9"/>
  <c r="AR555" i="9"/>
  <c r="AT739" i="9"/>
  <c r="AR739" i="9"/>
  <c r="AT535" i="9"/>
  <c r="AR535" i="9"/>
  <c r="AR241" i="9"/>
  <c r="AT241" i="9"/>
  <c r="AT732" i="9"/>
  <c r="AR732" i="9"/>
  <c r="AR596" i="9"/>
  <c r="AT596" i="9"/>
  <c r="AT262" i="9"/>
  <c r="AR262" i="9"/>
  <c r="AR575" i="9"/>
  <c r="AT575" i="9"/>
  <c r="AR855" i="9"/>
  <c r="AT855" i="9"/>
  <c r="AR162" i="9"/>
  <c r="AT162" i="9"/>
  <c r="AT784" i="9"/>
  <c r="AR784" i="9"/>
  <c r="AT201" i="9"/>
  <c r="AR201" i="9"/>
  <c r="AT220" i="9"/>
  <c r="AR220" i="9"/>
  <c r="AS789" i="9"/>
  <c r="AS361" i="9"/>
  <c r="AS48" i="9"/>
  <c r="AS503" i="9"/>
  <c r="AS784" i="9"/>
  <c r="AS62" i="9"/>
  <c r="AS401" i="9"/>
  <c r="AR278" i="9"/>
  <c r="AT278" i="9"/>
  <c r="AS385" i="9"/>
  <c r="AS336" i="9"/>
  <c r="AS346" i="9"/>
  <c r="AS667" i="9"/>
  <c r="AS176" i="9"/>
  <c r="AS320" i="9"/>
  <c r="AS24" i="9"/>
  <c r="AT856" i="9"/>
  <c r="AR856" i="9"/>
  <c r="AT136" i="9"/>
  <c r="AR136" i="9"/>
  <c r="AS714" i="9"/>
  <c r="AS687" i="9"/>
  <c r="AS539" i="9"/>
  <c r="AS302" i="9"/>
  <c r="AS208" i="9"/>
  <c r="AS204" i="9"/>
  <c r="AS820" i="9"/>
  <c r="AS774" i="9"/>
  <c r="AS181" i="9"/>
  <c r="AS255" i="9"/>
  <c r="AS200" i="9"/>
  <c r="AS785" i="9"/>
  <c r="AS133" i="9"/>
  <c r="AS622" i="9"/>
  <c r="AS695" i="9"/>
  <c r="AT64" i="9"/>
  <c r="AR64" i="9"/>
  <c r="AT819" i="9"/>
  <c r="AR819" i="9"/>
  <c r="AT8" i="9"/>
  <c r="AR8" i="9"/>
  <c r="AT687" i="9"/>
  <c r="AR687" i="9"/>
  <c r="AT244" i="9"/>
  <c r="AR244" i="9"/>
  <c r="AT302" i="9"/>
  <c r="AR302" i="9"/>
  <c r="AT258" i="9"/>
  <c r="AR258" i="9"/>
  <c r="AT724" i="9"/>
  <c r="AR724" i="9"/>
  <c r="AR640" i="9"/>
  <c r="AT640" i="9"/>
  <c r="AT526" i="9"/>
  <c r="AR526" i="9"/>
  <c r="AR385" i="9"/>
  <c r="AT385" i="9"/>
  <c r="AT135" i="9"/>
  <c r="AR135" i="9"/>
  <c r="AT279" i="9"/>
  <c r="AR279" i="9"/>
  <c r="AT627" i="9"/>
  <c r="AR627" i="9"/>
  <c r="AT320" i="9"/>
  <c r="AR320" i="9"/>
  <c r="AR765" i="9"/>
  <c r="AT765" i="9"/>
  <c r="AT255" i="9"/>
  <c r="AR255" i="9"/>
  <c r="AT336" i="9"/>
  <c r="AR336" i="9"/>
  <c r="AT785" i="9"/>
  <c r="AR785" i="9"/>
  <c r="AS571" i="9"/>
  <c r="AS608" i="9"/>
  <c r="AS162" i="9"/>
  <c r="AS299" i="9"/>
  <c r="AS143" i="9"/>
  <c r="AS217" i="9"/>
  <c r="AS683" i="9"/>
  <c r="AS526" i="9"/>
  <c r="AT346" i="9"/>
  <c r="AR346" i="9"/>
  <c r="AS739" i="9"/>
  <c r="AS39" i="9"/>
  <c r="AS538" i="9"/>
  <c r="AS258" i="9"/>
  <c r="AT24" i="9"/>
  <c r="AR24" i="9"/>
  <c r="AS44" i="9"/>
  <c r="AR775" i="9"/>
  <c r="AT775" i="9"/>
  <c r="AT588" i="9"/>
  <c r="AR588" i="9"/>
  <c r="AT197" i="9"/>
  <c r="AR197" i="9"/>
  <c r="AT48" i="9"/>
  <c r="AR48" i="9"/>
  <c r="AR142" i="9"/>
  <c r="AT142" i="9"/>
  <c r="AT178" i="9"/>
  <c r="AR178" i="9"/>
  <c r="AR25" i="9"/>
  <c r="AT25" i="9"/>
  <c r="AR551" i="9"/>
  <c r="AT551" i="9"/>
  <c r="AT744" i="9"/>
  <c r="AR744" i="9"/>
  <c r="AR185" i="9"/>
  <c r="AT185" i="9"/>
  <c r="AT184" i="9"/>
  <c r="AR184" i="9"/>
  <c r="AS374" i="9"/>
  <c r="AS184" i="9"/>
  <c r="AS690" i="9"/>
  <c r="AS588" i="9"/>
  <c r="AS468" i="9"/>
  <c r="AS201" i="9"/>
  <c r="AS555" i="9"/>
  <c r="AS574" i="9"/>
  <c r="AS694" i="9"/>
  <c r="AS185" i="9"/>
  <c r="AS855" i="9"/>
  <c r="AS178" i="9"/>
  <c r="AS542" i="9"/>
  <c r="AS47" i="9"/>
  <c r="AS596" i="9"/>
  <c r="AS585" i="9"/>
  <c r="AS768" i="9"/>
  <c r="AS262" i="9"/>
  <c r="AR143" i="9"/>
  <c r="AT143" i="9"/>
  <c r="AT774" i="9"/>
  <c r="AR774" i="9"/>
  <c r="AT538" i="9"/>
  <c r="AR538" i="9"/>
  <c r="AT695" i="9"/>
  <c r="AR695" i="9"/>
  <c r="AT401" i="9"/>
  <c r="AR401" i="9"/>
  <c r="AR795" i="9"/>
  <c r="AT795" i="9"/>
  <c r="AR690" i="9"/>
  <c r="AT690" i="9"/>
  <c r="AR793" i="9"/>
  <c r="AT793" i="9"/>
  <c r="AT55" i="9"/>
  <c r="AR55" i="9"/>
  <c r="AR715" i="9"/>
  <c r="AT715" i="9"/>
  <c r="AT295" i="9"/>
  <c r="AR295" i="9"/>
  <c r="AT59" i="9"/>
  <c r="AR59" i="9"/>
  <c r="AT413" i="9"/>
  <c r="AR413" i="9"/>
  <c r="AT158" i="9"/>
  <c r="AR158" i="9"/>
  <c r="AT54" i="9"/>
  <c r="AR54" i="9"/>
  <c r="AT667" i="9"/>
  <c r="AR667" i="9"/>
  <c r="AT661" i="9"/>
  <c r="AR661" i="9"/>
  <c r="AR122" i="9"/>
  <c r="AT122" i="9"/>
  <c r="AT38" i="9"/>
  <c r="AR38" i="9"/>
  <c r="AT50" i="9"/>
  <c r="AR50" i="9"/>
  <c r="AT781" i="9"/>
  <c r="AR781" i="9"/>
  <c r="AT694" i="9"/>
  <c r="AR694" i="9"/>
  <c r="AT677" i="9"/>
  <c r="AR677" i="9"/>
  <c r="AT371" i="9"/>
  <c r="AR371" i="9"/>
  <c r="AT133" i="9"/>
  <c r="AR133" i="9"/>
  <c r="AT608" i="9"/>
  <c r="AR608" i="9"/>
  <c r="AR61" i="9"/>
  <c r="AT61" i="9"/>
  <c r="AT789" i="9"/>
  <c r="AR789" i="9"/>
  <c r="AS205" i="9"/>
  <c r="AS197" i="9"/>
  <c r="AS25" i="9"/>
  <c r="AS313" i="9"/>
  <c r="AT546" i="9"/>
  <c r="AR546" i="9"/>
  <c r="AS316" i="9"/>
  <c r="AS599" i="9"/>
  <c r="AS362" i="9"/>
  <c r="AS535" i="9"/>
  <c r="AS793" i="9"/>
  <c r="AS445" i="9"/>
  <c r="AS627" i="9"/>
  <c r="AS28" i="9"/>
  <c r="AS244" i="9"/>
  <c r="AS661" i="9"/>
  <c r="AT299" i="9"/>
  <c r="AR299" i="9"/>
  <c r="AT768" i="9"/>
  <c r="AR768" i="9"/>
  <c r="AT361" i="9"/>
  <c r="AR361" i="9"/>
  <c r="AT173" i="9"/>
  <c r="AR173" i="9"/>
  <c r="AT313" i="9"/>
  <c r="AR313" i="9"/>
  <c r="AT362" i="9"/>
  <c r="AR362" i="9"/>
  <c r="AS676" i="9"/>
  <c r="AS54" i="9"/>
  <c r="AS159" i="9"/>
  <c r="AS819" i="9"/>
  <c r="AS724" i="9"/>
  <c r="AS567" i="9"/>
  <c r="AS413" i="9"/>
  <c r="AR574" i="9"/>
  <c r="AT574" i="9"/>
  <c r="AS677" i="9"/>
  <c r="AS8" i="9"/>
  <c r="AS59" i="9"/>
  <c r="AS158" i="9"/>
  <c r="AS732" i="9"/>
  <c r="AS781" i="9"/>
  <c r="AS801" i="9"/>
  <c r="AT28" i="9"/>
  <c r="AR28" i="9"/>
  <c r="AS615" i="9"/>
  <c r="AS371" i="9"/>
  <c r="AS795" i="9"/>
  <c r="AS295" i="9"/>
  <c r="AT676" i="9"/>
  <c r="AR676" i="9"/>
  <c r="AT641" i="9"/>
  <c r="AR641" i="9"/>
  <c r="AR468" i="9"/>
  <c r="AT468" i="9"/>
  <c r="AR599" i="9"/>
  <c r="AT599" i="9"/>
  <c r="AT728" i="9"/>
  <c r="AR728" i="9"/>
  <c r="AT153" i="9"/>
  <c r="AR153" i="9"/>
  <c r="AT41" i="9"/>
  <c r="AR41" i="9"/>
  <c r="AT585" i="9"/>
  <c r="AR585" i="9"/>
  <c r="AT801" i="9"/>
  <c r="AR801" i="9"/>
  <c r="AT445" i="9"/>
  <c r="AR445" i="9"/>
  <c r="AT45" i="9"/>
  <c r="AR45" i="9"/>
  <c r="AT571" i="9"/>
  <c r="AR571" i="9"/>
  <c r="AT410" i="9"/>
  <c r="AR410" i="9"/>
  <c r="AT188" i="9"/>
  <c r="AR188" i="9"/>
  <c r="AT181" i="9"/>
  <c r="AR181" i="9"/>
  <c r="AR205" i="9"/>
  <c r="AT205" i="9"/>
  <c r="AT221" i="9"/>
  <c r="AR221" i="9"/>
  <c r="AS156" i="9"/>
  <c r="AS640" i="9"/>
  <c r="AS560" i="9"/>
  <c r="AS575" i="9"/>
  <c r="AS38" i="9"/>
  <c r="AS728" i="9"/>
  <c r="AS220" i="9"/>
  <c r="AS241" i="9"/>
  <c r="AS641" i="9"/>
  <c r="AS531" i="9"/>
  <c r="AS744" i="9"/>
  <c r="AS173" i="9"/>
  <c r="AS279" i="9"/>
  <c r="AS856" i="9"/>
  <c r="AS45" i="9"/>
  <c r="AS775" i="9"/>
  <c r="E899" i="39"/>
  <c r="F899" i="39" s="1"/>
  <c r="AN789" i="9"/>
  <c r="AN346" i="9"/>
  <c r="AN24" i="9"/>
  <c r="AN64" i="9"/>
  <c r="AN592" i="9"/>
  <c r="AN769" i="9"/>
  <c r="AN278" i="9"/>
  <c r="AN856" i="9"/>
  <c r="AN136" i="9"/>
  <c r="AN574" i="9"/>
  <c r="AN47" i="9"/>
  <c r="AG276" i="9"/>
  <c r="AM276" i="9" s="1"/>
  <c r="AN28" i="9"/>
  <c r="AG260" i="9"/>
  <c r="AM260" i="9" s="1"/>
  <c r="AH260" i="9"/>
  <c r="AK260" i="9" s="1"/>
  <c r="AI260" i="9"/>
  <c r="AL260" i="9" s="1"/>
  <c r="AH276" i="9"/>
  <c r="AK276" i="9" s="1"/>
  <c r="AI276" i="9"/>
  <c r="AL276" i="9" s="1"/>
  <c r="AG647" i="9"/>
  <c r="AM647" i="9" s="1"/>
  <c r="AI647" i="9"/>
  <c r="AL647" i="9" s="1"/>
  <c r="AH647" i="9"/>
  <c r="AK647" i="9" s="1"/>
  <c r="AN546" i="9"/>
  <c r="AJ656" i="9"/>
  <c r="AI656" i="9"/>
  <c r="AL656" i="9" s="1"/>
  <c r="AH656" i="9"/>
  <c r="AK656" i="9" s="1"/>
  <c r="AJ463" i="9"/>
  <c r="AI463" i="9"/>
  <c r="AL463" i="9" s="1"/>
  <c r="AH463" i="9"/>
  <c r="AK463" i="9" s="1"/>
  <c r="AJ394" i="9"/>
  <c r="AI394" i="9"/>
  <c r="AL394" i="9" s="1"/>
  <c r="AH394" i="9"/>
  <c r="AK394" i="9" s="1"/>
  <c r="AG353" i="9"/>
  <c r="AM353" i="9" s="1"/>
  <c r="AI353" i="9"/>
  <c r="AL353" i="9" s="1"/>
  <c r="AH353" i="9"/>
  <c r="AK353" i="9" s="1"/>
  <c r="AJ562" i="9"/>
  <c r="AI562" i="9"/>
  <c r="AL562" i="9" s="1"/>
  <c r="AH562" i="9"/>
  <c r="AK562" i="9" s="1"/>
  <c r="AG620" i="9"/>
  <c r="AM620" i="9" s="1"/>
  <c r="AI620" i="9"/>
  <c r="AL620" i="9" s="1"/>
  <c r="AH620" i="9"/>
  <c r="AK620" i="9" s="1"/>
  <c r="AG394" i="9"/>
  <c r="AM394" i="9" s="1"/>
  <c r="AJ647" i="9"/>
  <c r="AG562" i="9"/>
  <c r="AM562" i="9" s="1"/>
  <c r="AJ620" i="9"/>
  <c r="AJ260" i="9"/>
  <c r="AG463" i="9"/>
  <c r="AM463" i="9" s="1"/>
  <c r="AG656" i="9"/>
  <c r="AM656" i="9" s="1"/>
  <c r="AJ353" i="9"/>
  <c r="K283" i="14"/>
  <c r="K361" i="11"/>
  <c r="L12" i="20"/>
  <c r="L12" i="14"/>
  <c r="L12" i="11"/>
  <c r="AN683" i="9"/>
  <c r="AN41" i="9"/>
  <c r="AN801" i="9"/>
  <c r="AN38" i="9"/>
  <c r="AN44" i="9"/>
  <c r="AN535" i="9"/>
  <c r="AN445" i="9"/>
  <c r="AN739" i="9"/>
  <c r="AN555" i="9"/>
  <c r="AN615" i="9"/>
  <c r="AN560" i="9"/>
  <c r="AN641" i="9"/>
  <c r="AN200" i="9"/>
  <c r="AN178" i="9"/>
  <c r="AN775" i="9"/>
  <c r="AN774" i="9"/>
  <c r="AN39" i="9"/>
  <c r="AN217" i="9"/>
  <c r="AN362" i="9"/>
  <c r="AN538" i="9"/>
  <c r="AN8" i="9"/>
  <c r="AN197" i="9"/>
  <c r="AN820" i="9"/>
  <c r="AN295" i="9"/>
  <c r="AN708" i="9"/>
  <c r="AN714" i="9"/>
  <c r="AN599" i="9"/>
  <c r="AN153" i="9"/>
  <c r="AN122" i="9"/>
  <c r="AN627" i="9"/>
  <c r="AN320" i="9"/>
  <c r="AN765" i="9"/>
  <c r="AN255" i="9"/>
  <c r="AN201" i="9"/>
  <c r="AH18" i="26"/>
  <c r="AL18" i="26" s="1"/>
  <c r="AN542" i="9"/>
  <c r="AN176" i="9"/>
  <c r="AN55" i="9"/>
  <c r="AN715" i="9"/>
  <c r="AN539" i="9"/>
  <c r="AN59" i="9"/>
  <c r="AN695" i="9"/>
  <c r="AN302" i="9"/>
  <c r="AN258" i="9"/>
  <c r="AN724" i="9"/>
  <c r="AN640" i="9"/>
  <c r="AN241" i="9"/>
  <c r="AN732" i="9"/>
  <c r="AN596" i="9"/>
  <c r="AN262" i="9"/>
  <c r="AN571" i="9"/>
  <c r="AN410" i="9"/>
  <c r="AN142" i="9"/>
  <c r="AN50" i="9"/>
  <c r="AN781" i="9"/>
  <c r="AN694" i="9"/>
  <c r="AN677" i="9"/>
  <c r="AN371" i="9"/>
  <c r="AN336" i="9"/>
  <c r="AN608" i="9"/>
  <c r="AN188" i="9"/>
  <c r="AN181" i="9"/>
  <c r="AN133" i="9"/>
  <c r="AN205" i="9"/>
  <c r="AN795" i="9"/>
  <c r="AN793" i="9"/>
  <c r="AN687" i="9"/>
  <c r="AN768" i="9"/>
  <c r="AN159" i="9"/>
  <c r="AN547" i="9"/>
  <c r="AN299" i="9"/>
  <c r="AN62" i="9"/>
  <c r="AN45" i="9"/>
  <c r="AN313" i="9"/>
  <c r="AN156" i="9"/>
  <c r="AN567" i="9"/>
  <c r="AN374" i="9"/>
  <c r="AN204" i="9"/>
  <c r="AN48" i="9"/>
  <c r="AN468" i="9"/>
  <c r="AN413" i="9"/>
  <c r="AN158" i="9"/>
  <c r="AN54" i="9"/>
  <c r="AN667" i="9"/>
  <c r="AN661" i="9"/>
  <c r="AN526" i="9"/>
  <c r="AN385" i="9"/>
  <c r="AN135" i="9"/>
  <c r="AN279" i="9"/>
  <c r="AN575" i="9"/>
  <c r="AN855" i="9"/>
  <c r="AN162" i="9"/>
  <c r="AN784" i="9"/>
  <c r="AN785" i="9"/>
  <c r="AN220" i="9"/>
  <c r="AN143" i="9"/>
  <c r="AN676" i="9"/>
  <c r="AN316" i="9"/>
  <c r="AN622" i="9"/>
  <c r="AN244" i="9"/>
  <c r="AN531" i="9"/>
  <c r="AN361" i="9"/>
  <c r="AN728" i="9"/>
  <c r="AN25" i="9"/>
  <c r="AN551" i="9"/>
  <c r="AN744" i="9"/>
  <c r="AN185" i="9"/>
  <c r="AN588" i="9"/>
  <c r="AN819" i="9"/>
  <c r="AN208" i="9"/>
  <c r="AN173" i="9"/>
  <c r="AN585" i="9"/>
  <c r="AN184" i="9"/>
  <c r="AN503" i="9"/>
  <c r="AN221" i="9"/>
  <c r="AN401" i="9"/>
  <c r="AN690" i="9"/>
  <c r="AN758" i="9"/>
  <c r="AN61" i="9"/>
  <c r="K284" i="20"/>
  <c r="I199" i="5"/>
  <c r="I200" i="5"/>
  <c r="I201" i="5"/>
  <c r="I202" i="5"/>
  <c r="I203" i="5"/>
  <c r="I204" i="5"/>
  <c r="I205" i="5"/>
  <c r="I206" i="5"/>
  <c r="I207" i="5"/>
  <c r="I208" i="5"/>
  <c r="I209" i="5"/>
  <c r="I210" i="5"/>
  <c r="I211" i="5"/>
  <c r="I212" i="5"/>
  <c r="I213" i="5"/>
  <c r="I214" i="5"/>
  <c r="I215" i="5"/>
  <c r="I216" i="5"/>
  <c r="I217" i="5"/>
  <c r="I198" i="5"/>
  <c r="I174" i="5"/>
  <c r="I175" i="5"/>
  <c r="I176" i="5"/>
  <c r="I177" i="5"/>
  <c r="I178" i="5"/>
  <c r="I179" i="5"/>
  <c r="I180" i="5"/>
  <c r="I181" i="5"/>
  <c r="I182" i="5"/>
  <c r="I183" i="5"/>
  <c r="I184" i="5"/>
  <c r="I185" i="5"/>
  <c r="I186" i="5"/>
  <c r="I187" i="5"/>
  <c r="I188" i="5"/>
  <c r="I189" i="5"/>
  <c r="I190" i="5"/>
  <c r="I191" i="5"/>
  <c r="I192" i="5"/>
  <c r="I173" i="5"/>
  <c r="I149" i="5"/>
  <c r="I150" i="5"/>
  <c r="I151" i="5"/>
  <c r="I152" i="5"/>
  <c r="I153" i="5"/>
  <c r="I154" i="5"/>
  <c r="I155" i="5"/>
  <c r="I156" i="5"/>
  <c r="I157" i="5"/>
  <c r="I158" i="5"/>
  <c r="I159" i="5"/>
  <c r="I160" i="5"/>
  <c r="I161" i="5"/>
  <c r="I162" i="5"/>
  <c r="I163" i="5"/>
  <c r="I164" i="5"/>
  <c r="I165" i="5"/>
  <c r="I166" i="5"/>
  <c r="I167" i="5"/>
  <c r="I148"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15" i="5"/>
  <c r="K198" i="5"/>
  <c r="K218" i="5" s="1"/>
  <c r="G218" i="5"/>
  <c r="K173" i="5"/>
  <c r="K193" i="5" s="1"/>
  <c r="G193" i="5"/>
  <c r="K148" i="5"/>
  <c r="K168" i="5" s="1"/>
  <c r="G168"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82" i="5"/>
  <c r="I58" i="5"/>
  <c r="I59" i="5"/>
  <c r="I60" i="5"/>
  <c r="I61" i="5"/>
  <c r="I62" i="5"/>
  <c r="I63" i="5"/>
  <c r="I64" i="5"/>
  <c r="I65" i="5"/>
  <c r="I66" i="5"/>
  <c r="I67" i="5"/>
  <c r="I68" i="5"/>
  <c r="I69" i="5"/>
  <c r="I70" i="5"/>
  <c r="I71" i="5"/>
  <c r="I72" i="5"/>
  <c r="I73" i="5"/>
  <c r="I74" i="5"/>
  <c r="I75" i="5"/>
  <c r="I76" i="5"/>
  <c r="I57" i="5"/>
  <c r="I32" i="5"/>
  <c r="I33" i="5"/>
  <c r="I34" i="5"/>
  <c r="I35" i="5"/>
  <c r="I36" i="5"/>
  <c r="I37" i="5"/>
  <c r="I38" i="5"/>
  <c r="I39" i="5"/>
  <c r="I40" i="5"/>
  <c r="I41" i="5"/>
  <c r="I42" i="5"/>
  <c r="I43" i="5"/>
  <c r="I44" i="5"/>
  <c r="I45" i="5"/>
  <c r="I46" i="5"/>
  <c r="I47" i="5"/>
  <c r="I48" i="5"/>
  <c r="I49" i="5"/>
  <c r="I50" i="5"/>
  <c r="I31" i="5"/>
  <c r="L47" i="5"/>
  <c r="L43" i="5"/>
  <c r="L39" i="5"/>
  <c r="L35" i="5"/>
  <c r="L31" i="5"/>
  <c r="I6" i="5"/>
  <c r="I7" i="5"/>
  <c r="I8" i="5"/>
  <c r="I9" i="5"/>
  <c r="I10" i="5"/>
  <c r="I11" i="5"/>
  <c r="I12" i="5"/>
  <c r="I13" i="5"/>
  <c r="I14" i="5"/>
  <c r="I15" i="5"/>
  <c r="I16" i="5"/>
  <c r="I17" i="5"/>
  <c r="I18" i="5"/>
  <c r="I19" i="5"/>
  <c r="I20" i="5"/>
  <c r="I21" i="5"/>
  <c r="I22" i="5"/>
  <c r="I23" i="5"/>
  <c r="I24" i="5"/>
  <c r="I5" i="5"/>
  <c r="K82" i="5"/>
  <c r="K110" i="5" s="1"/>
  <c r="G110" i="5"/>
  <c r="L69" i="5"/>
  <c r="L65" i="5"/>
  <c r="K57" i="5"/>
  <c r="K77" i="5" s="1"/>
  <c r="G77" i="5"/>
  <c r="G51" i="5"/>
  <c r="L25" i="5"/>
  <c r="L73" i="5"/>
  <c r="L61" i="5"/>
  <c r="L57" i="5"/>
  <c r="K5" i="5"/>
  <c r="K25" i="5" s="1"/>
  <c r="K285" i="4"/>
  <c r="K850" i="4" s="1"/>
  <c r="F572" i="4"/>
  <c r="F723" i="4" s="1"/>
  <c r="G572" i="4"/>
  <c r="G723" i="4" s="1"/>
  <c r="F573" i="4"/>
  <c r="F724" i="4" s="1"/>
  <c r="G573" i="4"/>
  <c r="G724" i="4" s="1"/>
  <c r="F574" i="4"/>
  <c r="F725" i="4" s="1"/>
  <c r="G574" i="4"/>
  <c r="G725" i="4" s="1"/>
  <c r="F575" i="4"/>
  <c r="F726" i="4" s="1"/>
  <c r="G575" i="4"/>
  <c r="G726" i="4" s="1"/>
  <c r="F576" i="4"/>
  <c r="F727" i="4" s="1"/>
  <c r="G576" i="4"/>
  <c r="G727" i="4" s="1"/>
  <c r="F577" i="4"/>
  <c r="F728" i="4" s="1"/>
  <c r="G577" i="4"/>
  <c r="G728" i="4" s="1"/>
  <c r="F578" i="4"/>
  <c r="F729" i="4" s="1"/>
  <c r="G578" i="4"/>
  <c r="G729" i="4" s="1"/>
  <c r="F579" i="4"/>
  <c r="F730" i="4" s="1"/>
  <c r="G579" i="4"/>
  <c r="G730" i="4" s="1"/>
  <c r="F580" i="4"/>
  <c r="F731" i="4" s="1"/>
  <c r="G580" i="4"/>
  <c r="G731" i="4" s="1"/>
  <c r="F581" i="4"/>
  <c r="F732" i="4" s="1"/>
  <c r="G581" i="4"/>
  <c r="G732" i="4" s="1"/>
  <c r="F582" i="4"/>
  <c r="F733" i="4" s="1"/>
  <c r="G582" i="4"/>
  <c r="G733" i="4" s="1"/>
  <c r="F583" i="4"/>
  <c r="F734" i="4" s="1"/>
  <c r="G583" i="4"/>
  <c r="G734" i="4" s="1"/>
  <c r="F584" i="4"/>
  <c r="F735" i="4" s="1"/>
  <c r="G584" i="4"/>
  <c r="G735" i="4" s="1"/>
  <c r="F585" i="4"/>
  <c r="F736" i="4" s="1"/>
  <c r="G585" i="4"/>
  <c r="G736" i="4" s="1"/>
  <c r="F586" i="4"/>
  <c r="F737" i="4" s="1"/>
  <c r="G586" i="4"/>
  <c r="G737" i="4" s="1"/>
  <c r="F587" i="4"/>
  <c r="F738" i="4" s="1"/>
  <c r="G587" i="4"/>
  <c r="G738" i="4" s="1"/>
  <c r="F588" i="4"/>
  <c r="F739" i="4" s="1"/>
  <c r="G588" i="4"/>
  <c r="G739" i="4" s="1"/>
  <c r="F589" i="4"/>
  <c r="F740" i="4" s="1"/>
  <c r="G589" i="4"/>
  <c r="G740" i="4" s="1"/>
  <c r="F590" i="4"/>
  <c r="F741" i="4" s="1"/>
  <c r="G590" i="4"/>
  <c r="G741" i="4" s="1"/>
  <c r="F591" i="4"/>
  <c r="F742" i="4" s="1"/>
  <c r="G591" i="4"/>
  <c r="G742" i="4" s="1"/>
  <c r="E573" i="4"/>
  <c r="E724" i="4" s="1"/>
  <c r="E574" i="4"/>
  <c r="E725" i="4" s="1"/>
  <c r="E575" i="4"/>
  <c r="E726" i="4" s="1"/>
  <c r="E576" i="4"/>
  <c r="E727" i="4" s="1"/>
  <c r="E577" i="4"/>
  <c r="E728" i="4" s="1"/>
  <c r="E578" i="4"/>
  <c r="E729" i="4" s="1"/>
  <c r="E579" i="4"/>
  <c r="E730" i="4" s="1"/>
  <c r="E580" i="4"/>
  <c r="E731" i="4" s="1"/>
  <c r="E581" i="4"/>
  <c r="E732" i="4" s="1"/>
  <c r="E582" i="4"/>
  <c r="E733" i="4" s="1"/>
  <c r="E583" i="4"/>
  <c r="E734" i="4" s="1"/>
  <c r="E584" i="4"/>
  <c r="E735" i="4" s="1"/>
  <c r="E585" i="4"/>
  <c r="E736" i="4" s="1"/>
  <c r="E586" i="4"/>
  <c r="E737" i="4" s="1"/>
  <c r="E587" i="4"/>
  <c r="E738" i="4" s="1"/>
  <c r="E588" i="4"/>
  <c r="E739" i="4" s="1"/>
  <c r="E589" i="4"/>
  <c r="E740" i="4" s="1"/>
  <c r="E590" i="4"/>
  <c r="E741" i="4" s="1"/>
  <c r="E591" i="4"/>
  <c r="E742" i="4" s="1"/>
  <c r="E572" i="4"/>
  <c r="E723" i="4" s="1"/>
  <c r="K550" i="4"/>
  <c r="K701" i="4" s="1"/>
  <c r="K554" i="4"/>
  <c r="K705" i="4" s="1"/>
  <c r="K558" i="4"/>
  <c r="K709" i="4" s="1"/>
  <c r="K562" i="4"/>
  <c r="K588" i="4" s="1"/>
  <c r="K739" i="4" s="1"/>
  <c r="K546" i="4"/>
  <c r="K697" i="4" s="1"/>
  <c r="J550" i="4"/>
  <c r="J701" i="4" s="1"/>
  <c r="J554" i="4"/>
  <c r="J705" i="4" s="1"/>
  <c r="J558" i="4"/>
  <c r="J709" i="4" s="1"/>
  <c r="J562" i="4"/>
  <c r="J713" i="4" s="1"/>
  <c r="J546" i="4"/>
  <c r="J697" i="4" s="1"/>
  <c r="F546" i="4"/>
  <c r="F697" i="4" s="1"/>
  <c r="G546" i="4"/>
  <c r="G697" i="4" s="1"/>
  <c r="F547" i="4"/>
  <c r="F698" i="4" s="1"/>
  <c r="G547" i="4"/>
  <c r="G698" i="4" s="1"/>
  <c r="F548" i="4"/>
  <c r="F699" i="4" s="1"/>
  <c r="G548" i="4"/>
  <c r="G699" i="4" s="1"/>
  <c r="F549" i="4"/>
  <c r="F700" i="4" s="1"/>
  <c r="G549" i="4"/>
  <c r="G700" i="4" s="1"/>
  <c r="F550" i="4"/>
  <c r="F701" i="4" s="1"/>
  <c r="G550" i="4"/>
  <c r="G701" i="4" s="1"/>
  <c r="F551" i="4"/>
  <c r="F702" i="4" s="1"/>
  <c r="G551" i="4"/>
  <c r="G702" i="4" s="1"/>
  <c r="F552" i="4"/>
  <c r="F703" i="4" s="1"/>
  <c r="G552" i="4"/>
  <c r="G703" i="4" s="1"/>
  <c r="F553" i="4"/>
  <c r="F704" i="4" s="1"/>
  <c r="G553" i="4"/>
  <c r="G704" i="4" s="1"/>
  <c r="F554" i="4"/>
  <c r="F705" i="4" s="1"/>
  <c r="G554" i="4"/>
  <c r="G705" i="4" s="1"/>
  <c r="F555" i="4"/>
  <c r="F706" i="4" s="1"/>
  <c r="G555" i="4"/>
  <c r="G706" i="4" s="1"/>
  <c r="F556" i="4"/>
  <c r="F707" i="4" s="1"/>
  <c r="G556" i="4"/>
  <c r="G707" i="4" s="1"/>
  <c r="F557" i="4"/>
  <c r="F708" i="4" s="1"/>
  <c r="G557" i="4"/>
  <c r="G708" i="4" s="1"/>
  <c r="F558" i="4"/>
  <c r="F709" i="4" s="1"/>
  <c r="G558" i="4"/>
  <c r="G709" i="4" s="1"/>
  <c r="F559" i="4"/>
  <c r="F710" i="4" s="1"/>
  <c r="G559" i="4"/>
  <c r="G710" i="4" s="1"/>
  <c r="F560" i="4"/>
  <c r="F711" i="4" s="1"/>
  <c r="G560" i="4"/>
  <c r="G711" i="4" s="1"/>
  <c r="F561" i="4"/>
  <c r="F712" i="4" s="1"/>
  <c r="G561" i="4"/>
  <c r="G712" i="4" s="1"/>
  <c r="F562" i="4"/>
  <c r="F713" i="4" s="1"/>
  <c r="G562" i="4"/>
  <c r="G713" i="4" s="1"/>
  <c r="F563" i="4"/>
  <c r="F714" i="4" s="1"/>
  <c r="G563" i="4"/>
  <c r="G714" i="4" s="1"/>
  <c r="F564" i="4"/>
  <c r="F715" i="4" s="1"/>
  <c r="G564" i="4"/>
  <c r="G715" i="4" s="1"/>
  <c r="F565" i="4"/>
  <c r="F716" i="4" s="1"/>
  <c r="G565" i="4"/>
  <c r="G716" i="4" s="1"/>
  <c r="E547" i="4"/>
  <c r="E698" i="4" s="1"/>
  <c r="E548" i="4"/>
  <c r="E699" i="4" s="1"/>
  <c r="E549" i="4"/>
  <c r="E700" i="4" s="1"/>
  <c r="E550" i="4"/>
  <c r="E701" i="4" s="1"/>
  <c r="E551" i="4"/>
  <c r="E702" i="4" s="1"/>
  <c r="E552" i="4"/>
  <c r="E703" i="4" s="1"/>
  <c r="E553" i="4"/>
  <c r="E704" i="4" s="1"/>
  <c r="E554" i="4"/>
  <c r="E705" i="4" s="1"/>
  <c r="E555" i="4"/>
  <c r="E706" i="4" s="1"/>
  <c r="E556" i="4"/>
  <c r="E707" i="4" s="1"/>
  <c r="E557" i="4"/>
  <c r="E708" i="4" s="1"/>
  <c r="E558" i="4"/>
  <c r="E709" i="4" s="1"/>
  <c r="E559" i="4"/>
  <c r="E710" i="4" s="1"/>
  <c r="E560" i="4"/>
  <c r="E711" i="4" s="1"/>
  <c r="E561" i="4"/>
  <c r="E712" i="4" s="1"/>
  <c r="E562" i="4"/>
  <c r="E713" i="4" s="1"/>
  <c r="E563" i="4"/>
  <c r="E714" i="4" s="1"/>
  <c r="E564" i="4"/>
  <c r="E715" i="4" s="1"/>
  <c r="E565" i="4"/>
  <c r="E716" i="4" s="1"/>
  <c r="E546" i="4"/>
  <c r="E697" i="4" s="1"/>
  <c r="K13" i="14"/>
  <c r="K13" i="11"/>
  <c r="K13" i="20"/>
  <c r="AS620" i="9" l="1"/>
  <c r="AS562" i="9"/>
  <c r="AS647" i="9"/>
  <c r="AN353" i="9"/>
  <c r="AS656" i="9"/>
  <c r="AS276" i="9"/>
  <c r="AT394" i="9"/>
  <c r="AR394" i="9"/>
  <c r="AS463" i="9"/>
  <c r="AN276" i="9"/>
  <c r="AT276" i="9"/>
  <c r="AR276" i="9"/>
  <c r="AR562" i="9"/>
  <c r="AT562" i="9"/>
  <c r="AR647" i="9"/>
  <c r="AT647" i="9"/>
  <c r="AS353" i="9"/>
  <c r="AT353" i="9"/>
  <c r="AR353" i="9"/>
  <c r="AT656" i="9"/>
  <c r="AR656" i="9"/>
  <c r="AS394" i="9"/>
  <c r="AS260" i="9"/>
  <c r="AT463" i="9"/>
  <c r="AR463" i="9"/>
  <c r="AT620" i="9"/>
  <c r="AR620" i="9"/>
  <c r="AR260" i="9"/>
  <c r="AT260" i="9"/>
  <c r="E900" i="39"/>
  <c r="F900" i="39" s="1"/>
  <c r="AN562" i="9"/>
  <c r="AN620" i="9"/>
  <c r="AN260" i="9"/>
  <c r="AN394" i="9"/>
  <c r="AN647" i="9"/>
  <c r="AN656" i="9"/>
  <c r="AN463" i="9"/>
  <c r="K939" i="4"/>
  <c r="K284" i="14"/>
  <c r="K362" i="11"/>
  <c r="L13" i="20"/>
  <c r="L13" i="14"/>
  <c r="L13" i="11"/>
  <c r="K285" i="20"/>
  <c r="I143" i="5"/>
  <c r="I218" i="5"/>
  <c r="I193" i="5"/>
  <c r="I168" i="5"/>
  <c r="G219" i="5"/>
  <c r="G194" i="5"/>
  <c r="G169" i="5"/>
  <c r="G143" i="5"/>
  <c r="I25" i="5"/>
  <c r="I77" i="5"/>
  <c r="I51" i="5"/>
  <c r="K115" i="5"/>
  <c r="K143" i="5" s="1"/>
  <c r="L144" i="5" s="1"/>
  <c r="L143" i="5"/>
  <c r="L218" i="5"/>
  <c r="L219" i="5"/>
  <c r="I110" i="5"/>
  <c r="K31" i="5"/>
  <c r="K51" i="5" s="1"/>
  <c r="G52" i="5" s="1"/>
  <c r="L110" i="5"/>
  <c r="G78" i="5"/>
  <c r="L77" i="5"/>
  <c r="G26" i="5"/>
  <c r="L111" i="5"/>
  <c r="G111" i="5"/>
  <c r="L26" i="5"/>
  <c r="L51" i="5"/>
  <c r="K713" i="4"/>
  <c r="I717" i="4" s="1"/>
  <c r="J718" i="4" s="1"/>
  <c r="I697" i="4"/>
  <c r="I723" i="4"/>
  <c r="F717" i="4"/>
  <c r="J717" i="4"/>
  <c r="F743" i="4"/>
  <c r="K14" i="14"/>
  <c r="K14" i="20"/>
  <c r="K14" i="11"/>
  <c r="E901" i="39" l="1"/>
  <c r="F901" i="39" s="1"/>
  <c r="K285" i="14"/>
  <c r="K363" i="11"/>
  <c r="L14" i="20"/>
  <c r="L14" i="14"/>
  <c r="L14" i="11"/>
  <c r="K286" i="20"/>
  <c r="G144" i="5"/>
  <c r="L169" i="5"/>
  <c r="L168" i="5"/>
  <c r="L194" i="5"/>
  <c r="L193" i="5"/>
  <c r="L52" i="5"/>
  <c r="L78" i="5"/>
  <c r="F718" i="4"/>
  <c r="K15" i="14"/>
  <c r="K15" i="20"/>
  <c r="K15" i="11"/>
  <c r="E902" i="39" l="1"/>
  <c r="F902" i="39" s="1"/>
  <c r="K286" i="14"/>
  <c r="K364" i="11"/>
  <c r="L15" i="20"/>
  <c r="L15" i="14"/>
  <c r="L15" i="11"/>
  <c r="K287" i="20"/>
  <c r="F133" i="4"/>
  <c r="F1109" i="4" s="1"/>
  <c r="G133" i="4"/>
  <c r="G1109" i="4" s="1"/>
  <c r="F134" i="4"/>
  <c r="F1110" i="4" s="1"/>
  <c r="G134" i="4"/>
  <c r="G1110" i="4" s="1"/>
  <c r="F135" i="4"/>
  <c r="F1111" i="4" s="1"/>
  <c r="G135" i="4"/>
  <c r="G1111" i="4" s="1"/>
  <c r="F136" i="4"/>
  <c r="F1112" i="4" s="1"/>
  <c r="G136" i="4"/>
  <c r="G1112" i="4" s="1"/>
  <c r="F137" i="4"/>
  <c r="F1113" i="4" s="1"/>
  <c r="G137" i="4"/>
  <c r="G1113" i="4" s="1"/>
  <c r="F138" i="4"/>
  <c r="F1114" i="4" s="1"/>
  <c r="G138" i="4"/>
  <c r="G1114" i="4" s="1"/>
  <c r="F139" i="4"/>
  <c r="F1115" i="4" s="1"/>
  <c r="G139" i="4"/>
  <c r="G1115" i="4" s="1"/>
  <c r="F140" i="4"/>
  <c r="F1116" i="4" s="1"/>
  <c r="G140" i="4"/>
  <c r="G1116" i="4" s="1"/>
  <c r="F141" i="4"/>
  <c r="F1117" i="4" s="1"/>
  <c r="G141" i="4"/>
  <c r="G1117" i="4" s="1"/>
  <c r="F142" i="4"/>
  <c r="F1118" i="4" s="1"/>
  <c r="G142" i="4"/>
  <c r="G1118" i="4" s="1"/>
  <c r="F143" i="4"/>
  <c r="F1119" i="4" s="1"/>
  <c r="G143" i="4"/>
  <c r="G1119" i="4" s="1"/>
  <c r="F144" i="4"/>
  <c r="F1120" i="4" s="1"/>
  <c r="G144" i="4"/>
  <c r="G1120" i="4" s="1"/>
  <c r="F145" i="4"/>
  <c r="F1121" i="4" s="1"/>
  <c r="G145" i="4"/>
  <c r="G1121" i="4" s="1"/>
  <c r="F146" i="4"/>
  <c r="F1122" i="4" s="1"/>
  <c r="G146" i="4"/>
  <c r="G1122" i="4" s="1"/>
  <c r="F147" i="4"/>
  <c r="F1123" i="4" s="1"/>
  <c r="G147" i="4"/>
  <c r="G1123" i="4" s="1"/>
  <c r="F148" i="4"/>
  <c r="F1124" i="4" s="1"/>
  <c r="G148" i="4"/>
  <c r="G1124" i="4" s="1"/>
  <c r="F149" i="4"/>
  <c r="F1125" i="4" s="1"/>
  <c r="G149" i="4"/>
  <c r="G1125" i="4" s="1"/>
  <c r="F150" i="4"/>
  <c r="F1126" i="4" s="1"/>
  <c r="G150" i="4"/>
  <c r="G1126" i="4" s="1"/>
  <c r="F151" i="4"/>
  <c r="F1127" i="4" s="1"/>
  <c r="G151" i="4"/>
  <c r="G1127" i="4" s="1"/>
  <c r="F152" i="4"/>
  <c r="F1128" i="4" s="1"/>
  <c r="G152" i="4"/>
  <c r="G1128" i="4" s="1"/>
  <c r="E134" i="4"/>
  <c r="E1110" i="4" s="1"/>
  <c r="E135" i="4"/>
  <c r="E1111" i="4" s="1"/>
  <c r="E136" i="4"/>
  <c r="E1112" i="4" s="1"/>
  <c r="E137" i="4"/>
  <c r="E1113" i="4" s="1"/>
  <c r="E138" i="4"/>
  <c r="E1114" i="4" s="1"/>
  <c r="E139" i="4"/>
  <c r="E1115" i="4" s="1"/>
  <c r="E140" i="4"/>
  <c r="E1116" i="4" s="1"/>
  <c r="E141" i="4"/>
  <c r="E1117" i="4" s="1"/>
  <c r="E142" i="4"/>
  <c r="E1118" i="4" s="1"/>
  <c r="E143" i="4"/>
  <c r="E1119" i="4" s="1"/>
  <c r="E144" i="4"/>
  <c r="E1120" i="4" s="1"/>
  <c r="E145" i="4"/>
  <c r="E1121" i="4" s="1"/>
  <c r="E146" i="4"/>
  <c r="E1122" i="4" s="1"/>
  <c r="E147" i="4"/>
  <c r="E1123" i="4" s="1"/>
  <c r="E148" i="4"/>
  <c r="E1124" i="4" s="1"/>
  <c r="E149" i="4"/>
  <c r="E1125" i="4" s="1"/>
  <c r="E150" i="4"/>
  <c r="E1126" i="4" s="1"/>
  <c r="E151" i="4"/>
  <c r="E1127" i="4" s="1"/>
  <c r="E152" i="4"/>
  <c r="E1128" i="4" s="1"/>
  <c r="E133" i="4"/>
  <c r="E1109" i="4" s="1"/>
  <c r="K16" i="11"/>
  <c r="K16" i="20"/>
  <c r="K16" i="14"/>
  <c r="E903" i="39" l="1"/>
  <c r="F903" i="39" s="1"/>
  <c r="K287" i="14"/>
  <c r="K365" i="11"/>
  <c r="L16" i="20"/>
  <c r="L16" i="14"/>
  <c r="L16" i="11"/>
  <c r="K288" i="20"/>
  <c r="F1129" i="4"/>
  <c r="I1109" i="4"/>
  <c r="K337" i="4"/>
  <c r="K341" i="4"/>
  <c r="K345" i="4"/>
  <c r="K349" i="4"/>
  <c r="K333" i="4"/>
  <c r="J337" i="4"/>
  <c r="J341" i="4"/>
  <c r="J345" i="4"/>
  <c r="J349" i="4"/>
  <c r="J333" i="4"/>
  <c r="F333" i="4"/>
  <c r="G333" i="4"/>
  <c r="F334" i="4"/>
  <c r="G334" i="4"/>
  <c r="F335" i="4"/>
  <c r="G335" i="4"/>
  <c r="F336" i="4"/>
  <c r="G336" i="4"/>
  <c r="F337" i="4"/>
  <c r="G337" i="4"/>
  <c r="F338" i="4"/>
  <c r="G338" i="4"/>
  <c r="F339" i="4"/>
  <c r="G339" i="4"/>
  <c r="F340" i="4"/>
  <c r="G340" i="4"/>
  <c r="F341" i="4"/>
  <c r="G341" i="4"/>
  <c r="F342" i="4"/>
  <c r="G342" i="4"/>
  <c r="F343" i="4"/>
  <c r="G343" i="4"/>
  <c r="F344" i="4"/>
  <c r="G344" i="4"/>
  <c r="F345" i="4"/>
  <c r="G345" i="4"/>
  <c r="F346" i="4"/>
  <c r="G346" i="4"/>
  <c r="F347" i="4"/>
  <c r="G347" i="4"/>
  <c r="F348" i="4"/>
  <c r="G348" i="4"/>
  <c r="F349" i="4"/>
  <c r="G349" i="4"/>
  <c r="F350" i="4"/>
  <c r="G350" i="4"/>
  <c r="F351" i="4"/>
  <c r="G351" i="4"/>
  <c r="F352" i="4"/>
  <c r="G352" i="4"/>
  <c r="E334" i="4"/>
  <c r="E335" i="4"/>
  <c r="E336" i="4"/>
  <c r="E337" i="4"/>
  <c r="E338" i="4"/>
  <c r="E339" i="4"/>
  <c r="E340" i="4"/>
  <c r="E341" i="4"/>
  <c r="E342" i="4"/>
  <c r="E343" i="4"/>
  <c r="E344" i="4"/>
  <c r="E345" i="4"/>
  <c r="E346" i="4"/>
  <c r="E347" i="4"/>
  <c r="E348" i="4"/>
  <c r="E349" i="4"/>
  <c r="E350" i="4"/>
  <c r="E351" i="4"/>
  <c r="E352" i="4"/>
  <c r="E333" i="4"/>
  <c r="K311" i="4"/>
  <c r="K315" i="4"/>
  <c r="K319" i="4"/>
  <c r="K323" i="4"/>
  <c r="K307" i="4"/>
  <c r="J311" i="4"/>
  <c r="J315" i="4"/>
  <c r="J319" i="4"/>
  <c r="J323" i="4"/>
  <c r="J307" i="4"/>
  <c r="F307" i="4"/>
  <c r="G307" i="4"/>
  <c r="F308" i="4"/>
  <c r="G308" i="4"/>
  <c r="F309" i="4"/>
  <c r="G309" i="4"/>
  <c r="F310" i="4"/>
  <c r="G310" i="4"/>
  <c r="F311" i="4"/>
  <c r="G311" i="4"/>
  <c r="F312" i="4"/>
  <c r="G312" i="4"/>
  <c r="F313" i="4"/>
  <c r="G313" i="4"/>
  <c r="F314" i="4"/>
  <c r="G314" i="4"/>
  <c r="F315" i="4"/>
  <c r="G315" i="4"/>
  <c r="F316" i="4"/>
  <c r="G316" i="4"/>
  <c r="F317" i="4"/>
  <c r="G317" i="4"/>
  <c r="F318" i="4"/>
  <c r="G318" i="4"/>
  <c r="F319" i="4"/>
  <c r="G319" i="4"/>
  <c r="F320" i="4"/>
  <c r="G320" i="4"/>
  <c r="F321" i="4"/>
  <c r="G321" i="4"/>
  <c r="F322" i="4"/>
  <c r="G322" i="4"/>
  <c r="F323" i="4"/>
  <c r="G323" i="4"/>
  <c r="F324" i="4"/>
  <c r="G324" i="4"/>
  <c r="F325" i="4"/>
  <c r="G325" i="4"/>
  <c r="F326" i="4"/>
  <c r="G326" i="4"/>
  <c r="E308" i="4"/>
  <c r="E309" i="4"/>
  <c r="E310" i="4"/>
  <c r="E311" i="4"/>
  <c r="E312" i="4"/>
  <c r="E313" i="4"/>
  <c r="E314" i="4"/>
  <c r="E315" i="4"/>
  <c r="E316" i="4"/>
  <c r="E317" i="4"/>
  <c r="E318" i="4"/>
  <c r="E319" i="4"/>
  <c r="E320" i="4"/>
  <c r="E321" i="4"/>
  <c r="E322" i="4"/>
  <c r="E323" i="4"/>
  <c r="E324" i="4"/>
  <c r="E325" i="4"/>
  <c r="E326" i="4"/>
  <c r="E307" i="4"/>
  <c r="K374" i="4"/>
  <c r="K289" i="4"/>
  <c r="K293" i="4"/>
  <c r="K297" i="4"/>
  <c r="K281" i="4"/>
  <c r="J285" i="4"/>
  <c r="J289" i="4"/>
  <c r="J293" i="4"/>
  <c r="J297" i="4"/>
  <c r="J281" i="4"/>
  <c r="F281" i="4"/>
  <c r="G281" i="4"/>
  <c r="F282" i="4"/>
  <c r="G282" i="4"/>
  <c r="F283" i="4"/>
  <c r="G283" i="4"/>
  <c r="F284" i="4"/>
  <c r="G284" i="4"/>
  <c r="F285" i="4"/>
  <c r="G285" i="4"/>
  <c r="F286" i="4"/>
  <c r="G286" i="4"/>
  <c r="F287" i="4"/>
  <c r="G287" i="4"/>
  <c r="F288" i="4"/>
  <c r="G288" i="4"/>
  <c r="F289" i="4"/>
  <c r="G289" i="4"/>
  <c r="F290" i="4"/>
  <c r="G290" i="4"/>
  <c r="F291" i="4"/>
  <c r="G291" i="4"/>
  <c r="F292" i="4"/>
  <c r="G292" i="4"/>
  <c r="F293" i="4"/>
  <c r="G293" i="4"/>
  <c r="F294" i="4"/>
  <c r="G294" i="4"/>
  <c r="F295" i="4"/>
  <c r="G295" i="4"/>
  <c r="F296" i="4"/>
  <c r="G296" i="4"/>
  <c r="F297" i="4"/>
  <c r="G297" i="4"/>
  <c r="F298" i="4"/>
  <c r="G298" i="4"/>
  <c r="F299" i="4"/>
  <c r="G299" i="4"/>
  <c r="F300" i="4"/>
  <c r="G300" i="4"/>
  <c r="E282" i="4"/>
  <c r="E283" i="4"/>
  <c r="E284" i="4"/>
  <c r="E285" i="4"/>
  <c r="E286" i="4"/>
  <c r="E287" i="4"/>
  <c r="E288" i="4"/>
  <c r="E289" i="4"/>
  <c r="E290" i="4"/>
  <c r="E291" i="4"/>
  <c r="E292" i="4"/>
  <c r="E293" i="4"/>
  <c r="E294" i="4"/>
  <c r="E295" i="4"/>
  <c r="E296" i="4"/>
  <c r="E297" i="4"/>
  <c r="E298" i="4"/>
  <c r="E299" i="4"/>
  <c r="E300" i="4"/>
  <c r="E281" i="4"/>
  <c r="K17" i="20"/>
  <c r="K17" i="14"/>
  <c r="K17" i="11"/>
  <c r="E904" i="39" l="1"/>
  <c r="F904" i="39" s="1"/>
  <c r="K288" i="14"/>
  <c r="K366" i="11"/>
  <c r="L17" i="20"/>
  <c r="L17" i="14"/>
  <c r="L17" i="11"/>
  <c r="K289" i="20"/>
  <c r="E879" i="4"/>
  <c r="E968" i="4"/>
  <c r="F875" i="4"/>
  <c r="F964" i="4"/>
  <c r="E878" i="4"/>
  <c r="E967" i="4"/>
  <c r="G886" i="4"/>
  <c r="G975" i="4"/>
  <c r="G882" i="4"/>
  <c r="G971" i="4"/>
  <c r="G874" i="4"/>
  <c r="G963" i="4"/>
  <c r="E885" i="4"/>
  <c r="E974" i="4"/>
  <c r="E877" i="4"/>
  <c r="E966" i="4"/>
  <c r="F890" i="4"/>
  <c r="F979" i="4"/>
  <c r="F886" i="4"/>
  <c r="F975" i="4"/>
  <c r="F882" i="4"/>
  <c r="F971" i="4"/>
  <c r="F878" i="4"/>
  <c r="F967" i="4"/>
  <c r="F874" i="4"/>
  <c r="F963" i="4"/>
  <c r="E887" i="4"/>
  <c r="E976" i="4"/>
  <c r="F887" i="4"/>
  <c r="F976" i="4"/>
  <c r="E886" i="4"/>
  <c r="E975" i="4"/>
  <c r="G885" i="4"/>
  <c r="G974" i="4"/>
  <c r="E891" i="4"/>
  <c r="E980" i="4"/>
  <c r="E883" i="4"/>
  <c r="E972" i="4"/>
  <c r="E875" i="4"/>
  <c r="E964" i="4"/>
  <c r="F889" i="4"/>
  <c r="F978" i="4"/>
  <c r="F885" i="4"/>
  <c r="F974" i="4"/>
  <c r="F881" i="4"/>
  <c r="F970" i="4"/>
  <c r="F877" i="4"/>
  <c r="F966" i="4"/>
  <c r="F873" i="4"/>
  <c r="F962" i="4"/>
  <c r="F883" i="4"/>
  <c r="F972" i="4"/>
  <c r="E876" i="4"/>
  <c r="E965" i="4"/>
  <c r="G877" i="4"/>
  <c r="G966" i="4"/>
  <c r="E890" i="4"/>
  <c r="E979" i="4"/>
  <c r="E882" i="4"/>
  <c r="E971" i="4"/>
  <c r="E874" i="4"/>
  <c r="E963" i="4"/>
  <c r="G888" i="4"/>
  <c r="G977" i="4"/>
  <c r="G884" i="4"/>
  <c r="G973" i="4"/>
  <c r="G880" i="4"/>
  <c r="G969" i="4"/>
  <c r="G876" i="4"/>
  <c r="G965" i="4"/>
  <c r="G872" i="4"/>
  <c r="G961" i="4"/>
  <c r="F891" i="4"/>
  <c r="F980" i="4"/>
  <c r="F879" i="4"/>
  <c r="F968" i="4"/>
  <c r="G890" i="4"/>
  <c r="G979" i="4"/>
  <c r="G878" i="4"/>
  <c r="G967" i="4"/>
  <c r="G889" i="4"/>
  <c r="G978" i="4"/>
  <c r="G873" i="4"/>
  <c r="G962" i="4"/>
  <c r="E889" i="4"/>
  <c r="E978" i="4"/>
  <c r="E881" i="4"/>
  <c r="E970" i="4"/>
  <c r="E873" i="4"/>
  <c r="E962" i="4"/>
  <c r="F888" i="4"/>
  <c r="F977" i="4"/>
  <c r="F884" i="4"/>
  <c r="F973" i="4"/>
  <c r="F880" i="4"/>
  <c r="F969" i="4"/>
  <c r="F876" i="4"/>
  <c r="F965" i="4"/>
  <c r="F872" i="4"/>
  <c r="F961" i="4"/>
  <c r="E884" i="4"/>
  <c r="E973" i="4"/>
  <c r="G881" i="4"/>
  <c r="G970" i="4"/>
  <c r="E888" i="4"/>
  <c r="E977" i="4"/>
  <c r="E880" i="4"/>
  <c r="E969" i="4"/>
  <c r="G891" i="4"/>
  <c r="G980" i="4"/>
  <c r="G887" i="4"/>
  <c r="G976" i="4"/>
  <c r="G883" i="4"/>
  <c r="G972" i="4"/>
  <c r="G879" i="4"/>
  <c r="G968" i="4"/>
  <c r="G875" i="4"/>
  <c r="G964" i="4"/>
  <c r="E952" i="4"/>
  <c r="E863" i="4"/>
  <c r="F939" i="4"/>
  <c r="F850" i="4"/>
  <c r="K400" i="4"/>
  <c r="K876" i="4"/>
  <c r="K965" i="4"/>
  <c r="F993" i="4"/>
  <c r="F904" i="4"/>
  <c r="G865" i="4"/>
  <c r="G954" i="4"/>
  <c r="E953" i="4"/>
  <c r="E864" i="4"/>
  <c r="E945" i="4"/>
  <c r="E856" i="4"/>
  <c r="E937" i="4"/>
  <c r="E848" i="4"/>
  <c r="G951" i="4"/>
  <c r="G862" i="4"/>
  <c r="G947" i="4"/>
  <c r="G858" i="4"/>
  <c r="G943" i="4"/>
  <c r="G854" i="4"/>
  <c r="G939" i="4"/>
  <c r="G850" i="4"/>
  <c r="G935" i="4"/>
  <c r="G846" i="4"/>
  <c r="K386" i="4"/>
  <c r="K951" i="4"/>
  <c r="K862" i="4"/>
  <c r="J872" i="4"/>
  <c r="J961" i="4"/>
  <c r="K404" i="4"/>
  <c r="K969" i="4"/>
  <c r="K880" i="4"/>
  <c r="E912" i="4"/>
  <c r="E1001" i="4"/>
  <c r="E904" i="4"/>
  <c r="E993" i="4"/>
  <c r="G916" i="4"/>
  <c r="G1005" i="4"/>
  <c r="G912" i="4"/>
  <c r="G1001" i="4"/>
  <c r="G908" i="4"/>
  <c r="G997" i="4"/>
  <c r="G904" i="4"/>
  <c r="G993" i="4"/>
  <c r="G900" i="4"/>
  <c r="G989" i="4"/>
  <c r="J999" i="4"/>
  <c r="J910" i="4"/>
  <c r="E847" i="4"/>
  <c r="E936" i="4"/>
  <c r="F1005" i="4"/>
  <c r="F916" i="4"/>
  <c r="G938" i="4"/>
  <c r="G849" i="4"/>
  <c r="G1000" i="4"/>
  <c r="G911" i="4"/>
  <c r="E950" i="4"/>
  <c r="E861" i="4"/>
  <c r="F938" i="4"/>
  <c r="F849" i="4"/>
  <c r="J880" i="4"/>
  <c r="J969" i="4"/>
  <c r="E917" i="4"/>
  <c r="E1006" i="4"/>
  <c r="E909" i="4"/>
  <c r="E998" i="4"/>
  <c r="E901" i="4"/>
  <c r="E990" i="4"/>
  <c r="F915" i="4"/>
  <c r="F1004" i="4"/>
  <c r="F911" i="4"/>
  <c r="F1000" i="4"/>
  <c r="F907" i="4"/>
  <c r="F996" i="4"/>
  <c r="F903" i="4"/>
  <c r="F992" i="4"/>
  <c r="F899" i="4"/>
  <c r="F988" i="4"/>
  <c r="K987" i="4"/>
  <c r="K898" i="4"/>
  <c r="F947" i="4"/>
  <c r="F858" i="4"/>
  <c r="K382" i="4"/>
  <c r="K947" i="4"/>
  <c r="K858" i="4"/>
  <c r="E1000" i="4"/>
  <c r="E911" i="4"/>
  <c r="J995" i="4"/>
  <c r="J906" i="4"/>
  <c r="E854" i="4"/>
  <c r="E943" i="4"/>
  <c r="J370" i="4"/>
  <c r="J935" i="4"/>
  <c r="J846" i="4"/>
  <c r="E910" i="4"/>
  <c r="E999" i="4"/>
  <c r="J902" i="4"/>
  <c r="J991" i="4"/>
  <c r="F950" i="4"/>
  <c r="F861" i="4"/>
  <c r="F942" i="4"/>
  <c r="F853" i="4"/>
  <c r="E949" i="4"/>
  <c r="E860" i="4"/>
  <c r="E941" i="4"/>
  <c r="E852" i="4"/>
  <c r="G953" i="4"/>
  <c r="G864" i="4"/>
  <c r="G949" i="4"/>
  <c r="G860" i="4"/>
  <c r="G945" i="4"/>
  <c r="G856" i="4"/>
  <c r="G941" i="4"/>
  <c r="G852" i="4"/>
  <c r="G937" i="4"/>
  <c r="G848" i="4"/>
  <c r="J382" i="4"/>
  <c r="J858" i="4"/>
  <c r="J947" i="4"/>
  <c r="E872" i="4"/>
  <c r="E961" i="4"/>
  <c r="J876" i="4"/>
  <c r="J965" i="4"/>
  <c r="E916" i="4"/>
  <c r="E1005" i="4"/>
  <c r="E908" i="4"/>
  <c r="E997" i="4"/>
  <c r="E900" i="4"/>
  <c r="E989" i="4"/>
  <c r="G914" i="4"/>
  <c r="G1003" i="4"/>
  <c r="G910" i="4"/>
  <c r="G999" i="4"/>
  <c r="G906" i="4"/>
  <c r="G995" i="4"/>
  <c r="G902" i="4"/>
  <c r="G991" i="4"/>
  <c r="G898" i="4"/>
  <c r="G987" i="4"/>
  <c r="K914" i="4"/>
  <c r="K1003" i="4"/>
  <c r="F943" i="4"/>
  <c r="F854" i="4"/>
  <c r="F1001" i="4"/>
  <c r="F912" i="4"/>
  <c r="G853" i="4"/>
  <c r="G942" i="4"/>
  <c r="G996" i="4"/>
  <c r="G907" i="4"/>
  <c r="F954" i="4"/>
  <c r="F865" i="4"/>
  <c r="J386" i="4"/>
  <c r="J862" i="4"/>
  <c r="J951" i="4"/>
  <c r="E948" i="4"/>
  <c r="E859" i="4"/>
  <c r="E940" i="4"/>
  <c r="E851" i="4"/>
  <c r="F953" i="4"/>
  <c r="F864" i="4"/>
  <c r="F949" i="4"/>
  <c r="F860" i="4"/>
  <c r="F945" i="4"/>
  <c r="F856" i="4"/>
  <c r="F941" i="4"/>
  <c r="F852" i="4"/>
  <c r="F937" i="4"/>
  <c r="F848" i="4"/>
  <c r="J378" i="4"/>
  <c r="J943" i="4"/>
  <c r="J854" i="4"/>
  <c r="K396" i="4"/>
  <c r="K872" i="4"/>
  <c r="K961" i="4"/>
  <c r="E915" i="4"/>
  <c r="E1004" i="4"/>
  <c r="E907" i="4"/>
  <c r="E996" i="4"/>
  <c r="E899" i="4"/>
  <c r="E988" i="4"/>
  <c r="F914" i="4"/>
  <c r="F1003" i="4"/>
  <c r="F910" i="4"/>
  <c r="F999" i="4"/>
  <c r="F906" i="4"/>
  <c r="F995" i="4"/>
  <c r="F902" i="4"/>
  <c r="F991" i="4"/>
  <c r="F898" i="4"/>
  <c r="F987" i="4"/>
  <c r="K910" i="4"/>
  <c r="K999" i="4"/>
  <c r="E944" i="4"/>
  <c r="E855" i="4"/>
  <c r="F935" i="4"/>
  <c r="F846" i="4"/>
  <c r="J977" i="4"/>
  <c r="J888" i="4"/>
  <c r="F997" i="4"/>
  <c r="F908" i="4"/>
  <c r="G857" i="4"/>
  <c r="G946" i="4"/>
  <c r="J884" i="4"/>
  <c r="J973" i="4"/>
  <c r="E991" i="4"/>
  <c r="E902" i="4"/>
  <c r="G903" i="4"/>
  <c r="G992" i="4"/>
  <c r="E942" i="4"/>
  <c r="E853" i="4"/>
  <c r="E935" i="4"/>
  <c r="E846" i="4"/>
  <c r="E939" i="4"/>
  <c r="E850" i="4"/>
  <c r="G948" i="4"/>
  <c r="G859" i="4"/>
  <c r="G940" i="4"/>
  <c r="G851" i="4"/>
  <c r="J374" i="4"/>
  <c r="J850" i="4"/>
  <c r="J939" i="4"/>
  <c r="K412" i="4"/>
  <c r="K977" i="4"/>
  <c r="K888" i="4"/>
  <c r="E914" i="4"/>
  <c r="E1003" i="4"/>
  <c r="E906" i="4"/>
  <c r="E995" i="4"/>
  <c r="G917" i="4"/>
  <c r="G1006" i="4"/>
  <c r="G913" i="4"/>
  <c r="G1002" i="4"/>
  <c r="G909" i="4"/>
  <c r="G998" i="4"/>
  <c r="G905" i="4"/>
  <c r="G994" i="4"/>
  <c r="G901" i="4"/>
  <c r="G990" i="4"/>
  <c r="J987" i="4"/>
  <c r="J898" i="4"/>
  <c r="K995" i="4"/>
  <c r="K906" i="4"/>
  <c r="F862" i="4"/>
  <c r="F951" i="4"/>
  <c r="E992" i="4"/>
  <c r="E903" i="4"/>
  <c r="F989" i="4"/>
  <c r="F900" i="4"/>
  <c r="E862" i="4"/>
  <c r="E951" i="4"/>
  <c r="G950" i="4"/>
  <c r="G861" i="4"/>
  <c r="K378" i="4"/>
  <c r="K943" i="4"/>
  <c r="K854" i="4"/>
  <c r="E898" i="4"/>
  <c r="E987" i="4"/>
  <c r="G915" i="4"/>
  <c r="G1004" i="4"/>
  <c r="G988" i="4"/>
  <c r="G899" i="4"/>
  <c r="F946" i="4"/>
  <c r="F857" i="4"/>
  <c r="E947" i="4"/>
  <c r="E858" i="4"/>
  <c r="G952" i="4"/>
  <c r="G863" i="4"/>
  <c r="G944" i="4"/>
  <c r="G855" i="4"/>
  <c r="G936" i="4"/>
  <c r="G847" i="4"/>
  <c r="E954" i="4"/>
  <c r="E865" i="4"/>
  <c r="E946" i="4"/>
  <c r="E857" i="4"/>
  <c r="E938" i="4"/>
  <c r="E849" i="4"/>
  <c r="F952" i="4"/>
  <c r="F863" i="4"/>
  <c r="F948" i="4"/>
  <c r="F859" i="4"/>
  <c r="F944" i="4"/>
  <c r="F855" i="4"/>
  <c r="F940" i="4"/>
  <c r="F851" i="4"/>
  <c r="F936" i="4"/>
  <c r="F847" i="4"/>
  <c r="K370" i="4"/>
  <c r="K935" i="4"/>
  <c r="K846" i="4"/>
  <c r="K408" i="4"/>
  <c r="K973" i="4"/>
  <c r="K884" i="4"/>
  <c r="E913" i="4"/>
  <c r="E1002" i="4"/>
  <c r="E905" i="4"/>
  <c r="E994" i="4"/>
  <c r="F917" i="4"/>
  <c r="F1006" i="4"/>
  <c r="F913" i="4"/>
  <c r="F1002" i="4"/>
  <c r="F909" i="4"/>
  <c r="F998" i="4"/>
  <c r="F905" i="4"/>
  <c r="F994" i="4"/>
  <c r="F901" i="4"/>
  <c r="F990" i="4"/>
  <c r="J1003" i="4"/>
  <c r="J914" i="4"/>
  <c r="K991" i="4"/>
  <c r="K902" i="4"/>
  <c r="E388" i="4"/>
  <c r="E626" i="4"/>
  <c r="G382" i="4"/>
  <c r="G620" i="4"/>
  <c r="E412" i="4"/>
  <c r="E650" i="4"/>
  <c r="G407" i="4"/>
  <c r="G645" i="4"/>
  <c r="E428" i="4"/>
  <c r="E666" i="4"/>
  <c r="G432" i="4"/>
  <c r="G670" i="4"/>
  <c r="E387" i="4"/>
  <c r="E625" i="4"/>
  <c r="F386" i="4"/>
  <c r="F624" i="4"/>
  <c r="F370" i="4"/>
  <c r="F608" i="4"/>
  <c r="E403" i="4"/>
  <c r="E641" i="4"/>
  <c r="F403" i="4"/>
  <c r="F641" i="4"/>
  <c r="J412" i="4"/>
  <c r="J650" i="4"/>
  <c r="E435" i="4"/>
  <c r="E673" i="4"/>
  <c r="F428" i="4"/>
  <c r="F666" i="4"/>
  <c r="G385" i="4"/>
  <c r="G623" i="4"/>
  <c r="E410" i="4"/>
  <c r="E648" i="4"/>
  <c r="E402" i="4"/>
  <c r="E640" i="4"/>
  <c r="G414" i="4"/>
  <c r="G652" i="4"/>
  <c r="G410" i="4"/>
  <c r="G648" i="4"/>
  <c r="G406" i="4"/>
  <c r="G644" i="4"/>
  <c r="G402" i="4"/>
  <c r="G640" i="4"/>
  <c r="G398" i="4"/>
  <c r="G636" i="4"/>
  <c r="J408" i="4"/>
  <c r="J646" i="4"/>
  <c r="E422" i="4"/>
  <c r="E660" i="4"/>
  <c r="E434" i="4"/>
  <c r="E672" i="4"/>
  <c r="E426" i="4"/>
  <c r="E664" i="4"/>
  <c r="G439" i="4"/>
  <c r="G677" i="4"/>
  <c r="G435" i="4"/>
  <c r="G673" i="4"/>
  <c r="G431" i="4"/>
  <c r="G669" i="4"/>
  <c r="G427" i="4"/>
  <c r="G665" i="4"/>
  <c r="G423" i="4"/>
  <c r="G661" i="4"/>
  <c r="J426" i="4"/>
  <c r="J612" i="4"/>
  <c r="J664" i="4"/>
  <c r="E372" i="4"/>
  <c r="E610" i="4"/>
  <c r="G374" i="4"/>
  <c r="G612" i="4"/>
  <c r="E404" i="4"/>
  <c r="E642" i="4"/>
  <c r="G399" i="4"/>
  <c r="G637" i="4"/>
  <c r="G424" i="4"/>
  <c r="G662" i="4"/>
  <c r="F378" i="4"/>
  <c r="F616" i="4"/>
  <c r="E411" i="4"/>
  <c r="E649" i="4"/>
  <c r="F399" i="4"/>
  <c r="F637" i="4"/>
  <c r="F436" i="4"/>
  <c r="F674" i="4"/>
  <c r="E386" i="4"/>
  <c r="E624" i="4"/>
  <c r="G377" i="4"/>
  <c r="G615" i="4"/>
  <c r="F389" i="4"/>
  <c r="F627" i="4"/>
  <c r="F381" i="4"/>
  <c r="F619" i="4"/>
  <c r="F377" i="4"/>
  <c r="F615" i="4"/>
  <c r="F373" i="4"/>
  <c r="F611" i="4"/>
  <c r="E409" i="4"/>
  <c r="E647" i="4"/>
  <c r="E401" i="4"/>
  <c r="E639" i="4"/>
  <c r="F414" i="4"/>
  <c r="F652" i="4"/>
  <c r="F410" i="4"/>
  <c r="F648" i="4"/>
  <c r="F406" i="4"/>
  <c r="F644" i="4"/>
  <c r="F402" i="4"/>
  <c r="F640" i="4"/>
  <c r="F398" i="4"/>
  <c r="F636" i="4"/>
  <c r="J404" i="4"/>
  <c r="J642" i="4"/>
  <c r="E441" i="4"/>
  <c r="E679" i="4"/>
  <c r="E433" i="4"/>
  <c r="E671" i="4"/>
  <c r="E425" i="4"/>
  <c r="E663" i="4"/>
  <c r="F439" i="4"/>
  <c r="F677" i="4"/>
  <c r="F435" i="4"/>
  <c r="F673" i="4"/>
  <c r="F431" i="4"/>
  <c r="F669" i="4"/>
  <c r="F427" i="4"/>
  <c r="F665" i="4"/>
  <c r="F423" i="4"/>
  <c r="F661" i="4"/>
  <c r="K422" i="4"/>
  <c r="K660" i="4"/>
  <c r="K634" i="4"/>
  <c r="K608" i="4"/>
  <c r="G378" i="4"/>
  <c r="G616" i="4"/>
  <c r="G411" i="4"/>
  <c r="G649" i="4"/>
  <c r="G436" i="4"/>
  <c r="G674" i="4"/>
  <c r="E379" i="4"/>
  <c r="E617" i="4"/>
  <c r="F407" i="4"/>
  <c r="F645" i="4"/>
  <c r="F424" i="4"/>
  <c r="F662" i="4"/>
  <c r="E378" i="4"/>
  <c r="E616" i="4"/>
  <c r="E377" i="4"/>
  <c r="E615" i="4"/>
  <c r="E384" i="4"/>
  <c r="E622" i="4"/>
  <c r="E376" i="4"/>
  <c r="E614" i="4"/>
  <c r="G388" i="4"/>
  <c r="G626" i="4"/>
  <c r="G384" i="4"/>
  <c r="G622" i="4"/>
  <c r="G380" i="4"/>
  <c r="G618" i="4"/>
  <c r="G376" i="4"/>
  <c r="G614" i="4"/>
  <c r="G372" i="4"/>
  <c r="G610" i="4"/>
  <c r="E396" i="4"/>
  <c r="E634" i="4"/>
  <c r="E408" i="4"/>
  <c r="E646" i="4"/>
  <c r="E400" i="4"/>
  <c r="E638" i="4"/>
  <c r="G413" i="4"/>
  <c r="G651" i="4"/>
  <c r="G409" i="4"/>
  <c r="G647" i="4"/>
  <c r="G405" i="4"/>
  <c r="G643" i="4"/>
  <c r="G401" i="4"/>
  <c r="G639" i="4"/>
  <c r="G397" i="4"/>
  <c r="G635" i="4"/>
  <c r="J400" i="4"/>
  <c r="J638" i="4"/>
  <c r="E440" i="4"/>
  <c r="E678" i="4"/>
  <c r="E432" i="4"/>
  <c r="E670" i="4"/>
  <c r="E424" i="4"/>
  <c r="E662" i="4"/>
  <c r="G438" i="4"/>
  <c r="G676" i="4"/>
  <c r="G434" i="4"/>
  <c r="G672" i="4"/>
  <c r="G430" i="4"/>
  <c r="G668" i="4"/>
  <c r="G426" i="4"/>
  <c r="G664" i="4"/>
  <c r="G422" i="4"/>
  <c r="G660" i="4"/>
  <c r="K438" i="4"/>
  <c r="K624" i="4"/>
  <c r="K676" i="4"/>
  <c r="K650" i="4"/>
  <c r="E380" i="4"/>
  <c r="E618" i="4"/>
  <c r="G403" i="4"/>
  <c r="G641" i="4"/>
  <c r="G440" i="4"/>
  <c r="G678" i="4"/>
  <c r="F440" i="4"/>
  <c r="F678" i="4"/>
  <c r="G373" i="4"/>
  <c r="G611" i="4"/>
  <c r="E383" i="4"/>
  <c r="E621" i="4"/>
  <c r="E375" i="4"/>
  <c r="E613" i="4"/>
  <c r="F388" i="4"/>
  <c r="F626" i="4"/>
  <c r="F384" i="4"/>
  <c r="F622" i="4"/>
  <c r="F380" i="4"/>
  <c r="F618" i="4"/>
  <c r="F376" i="4"/>
  <c r="F614" i="4"/>
  <c r="F372" i="4"/>
  <c r="F610" i="4"/>
  <c r="E415" i="4"/>
  <c r="E653" i="4"/>
  <c r="E407" i="4"/>
  <c r="E645" i="4"/>
  <c r="E399" i="4"/>
  <c r="E637" i="4"/>
  <c r="F413" i="4"/>
  <c r="F651" i="4"/>
  <c r="F409" i="4"/>
  <c r="F647" i="4"/>
  <c r="F405" i="4"/>
  <c r="F643" i="4"/>
  <c r="F401" i="4"/>
  <c r="F639" i="4"/>
  <c r="F397" i="4"/>
  <c r="F635" i="4"/>
  <c r="E439" i="4"/>
  <c r="E677" i="4"/>
  <c r="E431" i="4"/>
  <c r="E669" i="4"/>
  <c r="E423" i="4"/>
  <c r="E661" i="4"/>
  <c r="F438" i="4"/>
  <c r="F676" i="4"/>
  <c r="F434" i="4"/>
  <c r="F672" i="4"/>
  <c r="F430" i="4"/>
  <c r="F668" i="4"/>
  <c r="F426" i="4"/>
  <c r="F664" i="4"/>
  <c r="F422" i="4"/>
  <c r="F660" i="4"/>
  <c r="K434" i="4"/>
  <c r="K672" i="4"/>
  <c r="K646" i="4"/>
  <c r="K620" i="4"/>
  <c r="E436" i="4"/>
  <c r="E674" i="4"/>
  <c r="J434" i="4"/>
  <c r="J672" i="4"/>
  <c r="J620" i="4"/>
  <c r="E371" i="4"/>
  <c r="E609" i="4"/>
  <c r="F374" i="4"/>
  <c r="F612" i="4"/>
  <c r="F411" i="4"/>
  <c r="F649" i="4"/>
  <c r="E427" i="4"/>
  <c r="E665" i="4"/>
  <c r="F432" i="4"/>
  <c r="F670" i="4"/>
  <c r="G381" i="4"/>
  <c r="G619" i="4"/>
  <c r="E385" i="4"/>
  <c r="E623" i="4"/>
  <c r="E370" i="4"/>
  <c r="E608" i="4"/>
  <c r="E374" i="4"/>
  <c r="E612" i="4"/>
  <c r="G383" i="4"/>
  <c r="G621" i="4"/>
  <c r="G379" i="4"/>
  <c r="G617" i="4"/>
  <c r="G375" i="4"/>
  <c r="G613" i="4"/>
  <c r="G371" i="4"/>
  <c r="G609" i="4"/>
  <c r="E414" i="4"/>
  <c r="E652" i="4"/>
  <c r="E406" i="4"/>
  <c r="E644" i="4"/>
  <c r="E398" i="4"/>
  <c r="E636" i="4"/>
  <c r="G412" i="4"/>
  <c r="G650" i="4"/>
  <c r="G408" i="4"/>
  <c r="G646" i="4"/>
  <c r="G404" i="4"/>
  <c r="G642" i="4"/>
  <c r="G400" i="4"/>
  <c r="G638" i="4"/>
  <c r="G396" i="4"/>
  <c r="G634" i="4"/>
  <c r="E438" i="4"/>
  <c r="E676" i="4"/>
  <c r="E430" i="4"/>
  <c r="E668" i="4"/>
  <c r="G441" i="4"/>
  <c r="G679" i="4"/>
  <c r="G437" i="4"/>
  <c r="G675" i="4"/>
  <c r="G433" i="4"/>
  <c r="G671" i="4"/>
  <c r="G429" i="4"/>
  <c r="G667" i="4"/>
  <c r="G425" i="4"/>
  <c r="G663" i="4"/>
  <c r="J422" i="4"/>
  <c r="J660" i="4"/>
  <c r="J608" i="4"/>
  <c r="K430" i="4"/>
  <c r="K668" i="4"/>
  <c r="K642" i="4"/>
  <c r="K616" i="4"/>
  <c r="G386" i="4"/>
  <c r="G624" i="4"/>
  <c r="G370" i="4"/>
  <c r="G608" i="4"/>
  <c r="G415" i="4"/>
  <c r="G653" i="4"/>
  <c r="J396" i="4"/>
  <c r="J634" i="4"/>
  <c r="G428" i="4"/>
  <c r="G666" i="4"/>
  <c r="F382" i="4"/>
  <c r="F620" i="4"/>
  <c r="F415" i="4"/>
  <c r="F653" i="4"/>
  <c r="J430" i="4"/>
  <c r="J616" i="4"/>
  <c r="J668" i="4"/>
  <c r="G389" i="4"/>
  <c r="G627" i="4"/>
  <c r="F385" i="4"/>
  <c r="F623" i="4"/>
  <c r="E382" i="4"/>
  <c r="E620" i="4"/>
  <c r="G387" i="4"/>
  <c r="G625" i="4"/>
  <c r="E389" i="4"/>
  <c r="E627" i="4"/>
  <c r="E381" i="4"/>
  <c r="E619" i="4"/>
  <c r="E373" i="4"/>
  <c r="E611" i="4"/>
  <c r="F387" i="4"/>
  <c r="F625" i="4"/>
  <c r="F383" i="4"/>
  <c r="F621" i="4"/>
  <c r="F379" i="4"/>
  <c r="F617" i="4"/>
  <c r="F375" i="4"/>
  <c r="F613" i="4"/>
  <c r="F371" i="4"/>
  <c r="F609" i="4"/>
  <c r="E413" i="4"/>
  <c r="E651" i="4"/>
  <c r="E405" i="4"/>
  <c r="E643" i="4"/>
  <c r="E397" i="4"/>
  <c r="E635" i="4"/>
  <c r="F412" i="4"/>
  <c r="F650" i="4"/>
  <c r="F408" i="4"/>
  <c r="F646" i="4"/>
  <c r="F404" i="4"/>
  <c r="F642" i="4"/>
  <c r="F400" i="4"/>
  <c r="F638" i="4"/>
  <c r="F396" i="4"/>
  <c r="F634" i="4"/>
  <c r="E437" i="4"/>
  <c r="E675" i="4"/>
  <c r="E429" i="4"/>
  <c r="E667" i="4"/>
  <c r="F441" i="4"/>
  <c r="F679" i="4"/>
  <c r="F437" i="4"/>
  <c r="F675" i="4"/>
  <c r="F433" i="4"/>
  <c r="F671" i="4"/>
  <c r="F429" i="4"/>
  <c r="F667" i="4"/>
  <c r="F425" i="4"/>
  <c r="F663" i="4"/>
  <c r="J438" i="4"/>
  <c r="J624" i="4"/>
  <c r="J676" i="4"/>
  <c r="K426" i="4"/>
  <c r="K664" i="4"/>
  <c r="K638" i="4"/>
  <c r="K612" i="4"/>
  <c r="K249" i="4"/>
  <c r="K1078" i="4" s="1"/>
  <c r="K253" i="4"/>
  <c r="K1082" i="4" s="1"/>
  <c r="K257" i="4"/>
  <c r="K1086" i="4" s="1"/>
  <c r="K261" i="4"/>
  <c r="K1090" i="4" s="1"/>
  <c r="K245" i="4"/>
  <c r="K1074" i="4" s="1"/>
  <c r="J249" i="4"/>
  <c r="J1078" i="4" s="1"/>
  <c r="J253" i="4"/>
  <c r="J1082" i="4" s="1"/>
  <c r="J257" i="4"/>
  <c r="J1086" i="4" s="1"/>
  <c r="J261" i="4"/>
  <c r="J1090" i="4" s="1"/>
  <c r="J245" i="4"/>
  <c r="J1074" i="4" s="1"/>
  <c r="F245" i="4"/>
  <c r="F1074" i="4" s="1"/>
  <c r="G245" i="4"/>
  <c r="G1074" i="4" s="1"/>
  <c r="F246" i="4"/>
  <c r="F1075" i="4" s="1"/>
  <c r="G246" i="4"/>
  <c r="G1075" i="4" s="1"/>
  <c r="F247" i="4"/>
  <c r="F1076" i="4" s="1"/>
  <c r="G247" i="4"/>
  <c r="G1076" i="4" s="1"/>
  <c r="F248" i="4"/>
  <c r="F1077" i="4" s="1"/>
  <c r="G248" i="4"/>
  <c r="G1077" i="4" s="1"/>
  <c r="F249" i="4"/>
  <c r="F1078" i="4" s="1"/>
  <c r="G249" i="4"/>
  <c r="G1078" i="4" s="1"/>
  <c r="F250" i="4"/>
  <c r="F1079" i="4" s="1"/>
  <c r="G250" i="4"/>
  <c r="G1079" i="4" s="1"/>
  <c r="F251" i="4"/>
  <c r="F1080" i="4" s="1"/>
  <c r="G251" i="4"/>
  <c r="G1080" i="4" s="1"/>
  <c r="F252" i="4"/>
  <c r="F1081" i="4" s="1"/>
  <c r="G252" i="4"/>
  <c r="G1081" i="4" s="1"/>
  <c r="F253" i="4"/>
  <c r="F1082" i="4" s="1"/>
  <c r="G253" i="4"/>
  <c r="G1082" i="4" s="1"/>
  <c r="F254" i="4"/>
  <c r="F1083" i="4" s="1"/>
  <c r="G254" i="4"/>
  <c r="G1083" i="4" s="1"/>
  <c r="F255" i="4"/>
  <c r="F1084" i="4" s="1"/>
  <c r="G255" i="4"/>
  <c r="G1084" i="4" s="1"/>
  <c r="F256" i="4"/>
  <c r="F1085" i="4" s="1"/>
  <c r="G256" i="4"/>
  <c r="G1085" i="4" s="1"/>
  <c r="F257" i="4"/>
  <c r="F1086" i="4" s="1"/>
  <c r="G257" i="4"/>
  <c r="G1086" i="4" s="1"/>
  <c r="F258" i="4"/>
  <c r="F1087" i="4" s="1"/>
  <c r="G258" i="4"/>
  <c r="G1087" i="4" s="1"/>
  <c r="F259" i="4"/>
  <c r="F1088" i="4" s="1"/>
  <c r="G259" i="4"/>
  <c r="G1088" i="4" s="1"/>
  <c r="F260" i="4"/>
  <c r="F1089" i="4" s="1"/>
  <c r="G260" i="4"/>
  <c r="G1089" i="4" s="1"/>
  <c r="F261" i="4"/>
  <c r="F1090" i="4" s="1"/>
  <c r="G261" i="4"/>
  <c r="G1090" i="4" s="1"/>
  <c r="F262" i="4"/>
  <c r="F1091" i="4" s="1"/>
  <c r="G262" i="4"/>
  <c r="G1091" i="4" s="1"/>
  <c r="F263" i="4"/>
  <c r="F1092" i="4" s="1"/>
  <c r="G263" i="4"/>
  <c r="G1092" i="4" s="1"/>
  <c r="F264" i="4"/>
  <c r="F1093" i="4" s="1"/>
  <c r="G264" i="4"/>
  <c r="G1093" i="4" s="1"/>
  <c r="E264" i="4"/>
  <c r="E1093" i="4" s="1"/>
  <c r="E246" i="4"/>
  <c r="E1075" i="4" s="1"/>
  <c r="E247" i="4"/>
  <c r="E1076" i="4" s="1"/>
  <c r="E248" i="4"/>
  <c r="E1077" i="4" s="1"/>
  <c r="E249" i="4"/>
  <c r="E1078" i="4" s="1"/>
  <c r="E250" i="4"/>
  <c r="E1079" i="4" s="1"/>
  <c r="E251" i="4"/>
  <c r="E1080" i="4" s="1"/>
  <c r="E252" i="4"/>
  <c r="E1081" i="4" s="1"/>
  <c r="E253" i="4"/>
  <c r="E1082" i="4" s="1"/>
  <c r="E254" i="4"/>
  <c r="E1083" i="4" s="1"/>
  <c r="E255" i="4"/>
  <c r="E1084" i="4" s="1"/>
  <c r="E256" i="4"/>
  <c r="E1085" i="4" s="1"/>
  <c r="E257" i="4"/>
  <c r="E1086" i="4" s="1"/>
  <c r="E258" i="4"/>
  <c r="E1087" i="4" s="1"/>
  <c r="E259" i="4"/>
  <c r="E1088" i="4" s="1"/>
  <c r="E260" i="4"/>
  <c r="E1089" i="4" s="1"/>
  <c r="E261" i="4"/>
  <c r="E1090" i="4" s="1"/>
  <c r="E262" i="4"/>
  <c r="E1091" i="4" s="1"/>
  <c r="E263" i="4"/>
  <c r="E1092" i="4" s="1"/>
  <c r="E245" i="4"/>
  <c r="E1074" i="4" s="1"/>
  <c r="K223" i="4"/>
  <c r="K1052" i="4" s="1"/>
  <c r="K227" i="4"/>
  <c r="K1056" i="4" s="1"/>
  <c r="K231" i="4"/>
  <c r="K1060" i="4" s="1"/>
  <c r="K235" i="4"/>
  <c r="K1064" i="4" s="1"/>
  <c r="K219" i="4"/>
  <c r="K1048" i="4" s="1"/>
  <c r="J223" i="4"/>
  <c r="J1052" i="4" s="1"/>
  <c r="J227" i="4"/>
  <c r="J1056" i="4" s="1"/>
  <c r="J231" i="4"/>
  <c r="J1060" i="4" s="1"/>
  <c r="J235" i="4"/>
  <c r="J1064" i="4" s="1"/>
  <c r="J219" i="4"/>
  <c r="J1048" i="4" s="1"/>
  <c r="F219" i="4"/>
  <c r="F1048" i="4" s="1"/>
  <c r="G219" i="4"/>
  <c r="G1048" i="4" s="1"/>
  <c r="F220" i="4"/>
  <c r="F1049" i="4" s="1"/>
  <c r="G220" i="4"/>
  <c r="G1049" i="4" s="1"/>
  <c r="F221" i="4"/>
  <c r="F1050" i="4" s="1"/>
  <c r="G221" i="4"/>
  <c r="G1050" i="4" s="1"/>
  <c r="F222" i="4"/>
  <c r="F1051" i="4" s="1"/>
  <c r="G222" i="4"/>
  <c r="G1051" i="4" s="1"/>
  <c r="F223" i="4"/>
  <c r="F1052" i="4" s="1"/>
  <c r="G223" i="4"/>
  <c r="G1052" i="4" s="1"/>
  <c r="F224" i="4"/>
  <c r="F1053" i="4" s="1"/>
  <c r="G224" i="4"/>
  <c r="G1053" i="4" s="1"/>
  <c r="F225" i="4"/>
  <c r="F1054" i="4" s="1"/>
  <c r="G225" i="4"/>
  <c r="G1054" i="4" s="1"/>
  <c r="F226" i="4"/>
  <c r="F1055" i="4" s="1"/>
  <c r="G226" i="4"/>
  <c r="G1055" i="4" s="1"/>
  <c r="F227" i="4"/>
  <c r="F1056" i="4" s="1"/>
  <c r="G227" i="4"/>
  <c r="G1056" i="4" s="1"/>
  <c r="F228" i="4"/>
  <c r="F1057" i="4" s="1"/>
  <c r="G228" i="4"/>
  <c r="G1057" i="4" s="1"/>
  <c r="F229" i="4"/>
  <c r="F1058" i="4" s="1"/>
  <c r="G229" i="4"/>
  <c r="G1058" i="4" s="1"/>
  <c r="F230" i="4"/>
  <c r="F1059" i="4" s="1"/>
  <c r="G230" i="4"/>
  <c r="G1059" i="4" s="1"/>
  <c r="F231" i="4"/>
  <c r="F1060" i="4" s="1"/>
  <c r="G231" i="4"/>
  <c r="G1060" i="4" s="1"/>
  <c r="F232" i="4"/>
  <c r="F1061" i="4" s="1"/>
  <c r="G232" i="4"/>
  <c r="G1061" i="4" s="1"/>
  <c r="F233" i="4"/>
  <c r="F1062" i="4" s="1"/>
  <c r="G233" i="4"/>
  <c r="G1062" i="4" s="1"/>
  <c r="F234" i="4"/>
  <c r="F1063" i="4" s="1"/>
  <c r="G234" i="4"/>
  <c r="G1063" i="4" s="1"/>
  <c r="F235" i="4"/>
  <c r="F1064" i="4" s="1"/>
  <c r="G235" i="4"/>
  <c r="G1064" i="4" s="1"/>
  <c r="F236" i="4"/>
  <c r="F1065" i="4" s="1"/>
  <c r="G236" i="4"/>
  <c r="G1065" i="4" s="1"/>
  <c r="F237" i="4"/>
  <c r="F1066" i="4" s="1"/>
  <c r="G237" i="4"/>
  <c r="G1066" i="4" s="1"/>
  <c r="F238" i="4"/>
  <c r="F1067" i="4" s="1"/>
  <c r="G238" i="4"/>
  <c r="G1067" i="4" s="1"/>
  <c r="E220" i="4"/>
  <c r="E1049" i="4" s="1"/>
  <c r="E221" i="4"/>
  <c r="E1050" i="4" s="1"/>
  <c r="E222" i="4"/>
  <c r="E1051" i="4" s="1"/>
  <c r="E223" i="4"/>
  <c r="E1052" i="4" s="1"/>
  <c r="E224" i="4"/>
  <c r="E1053" i="4" s="1"/>
  <c r="E225" i="4"/>
  <c r="E1054" i="4" s="1"/>
  <c r="E226" i="4"/>
  <c r="E1055" i="4" s="1"/>
  <c r="E227" i="4"/>
  <c r="E1056" i="4" s="1"/>
  <c r="E228" i="4"/>
  <c r="E1057" i="4" s="1"/>
  <c r="E229" i="4"/>
  <c r="E1058" i="4" s="1"/>
  <c r="E230" i="4"/>
  <c r="E1059" i="4" s="1"/>
  <c r="E231" i="4"/>
  <c r="E1060" i="4" s="1"/>
  <c r="E232" i="4"/>
  <c r="E1061" i="4" s="1"/>
  <c r="E233" i="4"/>
  <c r="E1062" i="4" s="1"/>
  <c r="E234" i="4"/>
  <c r="E1063" i="4" s="1"/>
  <c r="E235" i="4"/>
  <c r="E1064" i="4" s="1"/>
  <c r="E236" i="4"/>
  <c r="E1065" i="4" s="1"/>
  <c r="E237" i="4"/>
  <c r="E1066" i="4" s="1"/>
  <c r="E238" i="4"/>
  <c r="E1067" i="4" s="1"/>
  <c r="E219" i="4"/>
  <c r="E1048" i="4" s="1"/>
  <c r="K197" i="4"/>
  <c r="K1026" i="4" s="1"/>
  <c r="K201" i="4"/>
  <c r="K1030" i="4" s="1"/>
  <c r="K205" i="4"/>
  <c r="K1034" i="4" s="1"/>
  <c r="K209" i="4"/>
  <c r="K1038" i="4" s="1"/>
  <c r="K193" i="4"/>
  <c r="K1022" i="4" s="1"/>
  <c r="J197" i="4"/>
  <c r="J201" i="4"/>
  <c r="J205" i="4"/>
  <c r="J209" i="4"/>
  <c r="J193" i="4"/>
  <c r="F193" i="4"/>
  <c r="F1022" i="4" s="1"/>
  <c r="G193" i="4"/>
  <c r="G1022" i="4" s="1"/>
  <c r="F194" i="4"/>
  <c r="F1023" i="4" s="1"/>
  <c r="G194" i="4"/>
  <c r="G1023" i="4" s="1"/>
  <c r="F195" i="4"/>
  <c r="F1024" i="4" s="1"/>
  <c r="G195" i="4"/>
  <c r="G1024" i="4" s="1"/>
  <c r="F196" i="4"/>
  <c r="F1025" i="4" s="1"/>
  <c r="G196" i="4"/>
  <c r="G1025" i="4" s="1"/>
  <c r="F197" i="4"/>
  <c r="F1026" i="4" s="1"/>
  <c r="G197" i="4"/>
  <c r="G1026" i="4" s="1"/>
  <c r="F198" i="4"/>
  <c r="F1027" i="4" s="1"/>
  <c r="G198" i="4"/>
  <c r="G1027" i="4" s="1"/>
  <c r="F199" i="4"/>
  <c r="F1028" i="4" s="1"/>
  <c r="G199" i="4"/>
  <c r="G1028" i="4" s="1"/>
  <c r="F200" i="4"/>
  <c r="F1029" i="4" s="1"/>
  <c r="G200" i="4"/>
  <c r="G1029" i="4" s="1"/>
  <c r="F201" i="4"/>
  <c r="F1030" i="4" s="1"/>
  <c r="G201" i="4"/>
  <c r="G1030" i="4" s="1"/>
  <c r="F202" i="4"/>
  <c r="F1031" i="4" s="1"/>
  <c r="G202" i="4"/>
  <c r="G1031" i="4" s="1"/>
  <c r="F203" i="4"/>
  <c r="F1032" i="4" s="1"/>
  <c r="G203" i="4"/>
  <c r="G1032" i="4" s="1"/>
  <c r="F204" i="4"/>
  <c r="F1033" i="4" s="1"/>
  <c r="G204" i="4"/>
  <c r="G1033" i="4" s="1"/>
  <c r="F205" i="4"/>
  <c r="F1034" i="4" s="1"/>
  <c r="G205" i="4"/>
  <c r="G1034" i="4" s="1"/>
  <c r="F206" i="4"/>
  <c r="F1035" i="4" s="1"/>
  <c r="G206" i="4"/>
  <c r="G1035" i="4" s="1"/>
  <c r="F207" i="4"/>
  <c r="F1036" i="4" s="1"/>
  <c r="G207" i="4"/>
  <c r="G1036" i="4" s="1"/>
  <c r="F208" i="4"/>
  <c r="F1037" i="4" s="1"/>
  <c r="G208" i="4"/>
  <c r="G1037" i="4" s="1"/>
  <c r="F209" i="4"/>
  <c r="F1038" i="4" s="1"/>
  <c r="G209" i="4"/>
  <c r="G1038" i="4" s="1"/>
  <c r="F210" i="4"/>
  <c r="F1039" i="4" s="1"/>
  <c r="G210" i="4"/>
  <c r="G1039" i="4" s="1"/>
  <c r="F211" i="4"/>
  <c r="F1040" i="4" s="1"/>
  <c r="G211" i="4"/>
  <c r="G1040" i="4" s="1"/>
  <c r="F212" i="4"/>
  <c r="F1041" i="4" s="1"/>
  <c r="G212" i="4"/>
  <c r="G1041" i="4" s="1"/>
  <c r="E194" i="4"/>
  <c r="E1023" i="4" s="1"/>
  <c r="E195" i="4"/>
  <c r="E1024" i="4" s="1"/>
  <c r="E196" i="4"/>
  <c r="E1025" i="4" s="1"/>
  <c r="E197" i="4"/>
  <c r="E1026" i="4" s="1"/>
  <c r="E198" i="4"/>
  <c r="E1027" i="4" s="1"/>
  <c r="E199" i="4"/>
  <c r="E1028" i="4" s="1"/>
  <c r="E200" i="4"/>
  <c r="E1029" i="4" s="1"/>
  <c r="E201" i="4"/>
  <c r="E1030" i="4" s="1"/>
  <c r="E202" i="4"/>
  <c r="E1031" i="4" s="1"/>
  <c r="E203" i="4"/>
  <c r="E1032" i="4" s="1"/>
  <c r="E204" i="4"/>
  <c r="E1033" i="4" s="1"/>
  <c r="E205" i="4"/>
  <c r="E1034" i="4" s="1"/>
  <c r="E206" i="4"/>
  <c r="E1035" i="4" s="1"/>
  <c r="E207" i="4"/>
  <c r="E1036" i="4" s="1"/>
  <c r="E208" i="4"/>
  <c r="E1037" i="4" s="1"/>
  <c r="E209" i="4"/>
  <c r="E1038" i="4" s="1"/>
  <c r="E210" i="4"/>
  <c r="E1039" i="4" s="1"/>
  <c r="E211" i="4"/>
  <c r="E1040" i="4" s="1"/>
  <c r="E212" i="4"/>
  <c r="E1041" i="4" s="1"/>
  <c r="E193" i="4"/>
  <c r="E1022" i="4" s="1"/>
  <c r="K18" i="11"/>
  <c r="K18" i="20"/>
  <c r="K18" i="14"/>
  <c r="E905" i="39" l="1"/>
  <c r="F905" i="39" s="1"/>
  <c r="I390" i="4"/>
  <c r="F892" i="4"/>
  <c r="I872" i="4"/>
  <c r="K289" i="14"/>
  <c r="K367" i="11"/>
  <c r="L18" i="20"/>
  <c r="L18" i="14"/>
  <c r="L18" i="11"/>
  <c r="K290" i="20"/>
  <c r="J918" i="4"/>
  <c r="J1007" i="4"/>
  <c r="F981" i="4"/>
  <c r="I961" i="4"/>
  <c r="F1007" i="4"/>
  <c r="J981" i="4"/>
  <c r="F918" i="4"/>
  <c r="I892" i="4"/>
  <c r="J390" i="4"/>
  <c r="J774" i="4"/>
  <c r="J1038" i="4"/>
  <c r="I1094" i="4"/>
  <c r="J1095" i="4" s="1"/>
  <c r="I416" i="4"/>
  <c r="J417" i="4" s="1"/>
  <c r="J770" i="4"/>
  <c r="J1034" i="4"/>
  <c r="J758" i="4"/>
  <c r="J1022" i="4"/>
  <c r="J766" i="4"/>
  <c r="J1030" i="4"/>
  <c r="I1068" i="4"/>
  <c r="J1069" i="4" s="1"/>
  <c r="J762" i="4"/>
  <c r="J1026" i="4"/>
  <c r="I1042" i="4"/>
  <c r="J1094" i="4"/>
  <c r="J1068" i="4"/>
  <c r="I866" i="4"/>
  <c r="J867" i="4" s="1"/>
  <c r="F955" i="4"/>
  <c r="I955" i="4"/>
  <c r="J955" i="4"/>
  <c r="F866" i="4"/>
  <c r="J866" i="4"/>
  <c r="J391" i="4"/>
  <c r="J442" i="4"/>
  <c r="F416" i="4"/>
  <c r="I918" i="4"/>
  <c r="J919" i="4" s="1"/>
  <c r="I846" i="4"/>
  <c r="I987" i="4"/>
  <c r="I1007" i="4"/>
  <c r="I935" i="4"/>
  <c r="I898" i="4"/>
  <c r="J892" i="4"/>
  <c r="I981" i="4"/>
  <c r="J628" i="4"/>
  <c r="I660" i="4"/>
  <c r="I396" i="4"/>
  <c r="J654" i="4"/>
  <c r="F442" i="4"/>
  <c r="G461" i="4"/>
  <c r="G761" i="4"/>
  <c r="G498" i="4"/>
  <c r="G798" i="4"/>
  <c r="E513" i="4"/>
  <c r="E813" i="4"/>
  <c r="G511" i="4"/>
  <c r="G811" i="4"/>
  <c r="F477" i="4"/>
  <c r="F777" i="4"/>
  <c r="F469" i="4"/>
  <c r="F769" i="4"/>
  <c r="K462" i="4"/>
  <c r="K762" i="4"/>
  <c r="E497" i="4"/>
  <c r="E797" i="4"/>
  <c r="E489" i="4"/>
  <c r="E789" i="4"/>
  <c r="F502" i="4"/>
  <c r="F802" i="4"/>
  <c r="F498" i="4"/>
  <c r="F798" i="4"/>
  <c r="F494" i="4"/>
  <c r="F794" i="4"/>
  <c r="F490" i="4"/>
  <c r="F790" i="4"/>
  <c r="F486" i="4"/>
  <c r="F786" i="4"/>
  <c r="J492" i="4"/>
  <c r="J792" i="4"/>
  <c r="E528" i="4"/>
  <c r="E828" i="4"/>
  <c r="E520" i="4"/>
  <c r="E820" i="4"/>
  <c r="E512" i="4"/>
  <c r="E812" i="4"/>
  <c r="F527" i="4"/>
  <c r="F827" i="4"/>
  <c r="F523" i="4"/>
  <c r="F823" i="4"/>
  <c r="F519" i="4"/>
  <c r="F819" i="4"/>
  <c r="F515" i="4"/>
  <c r="F815" i="4"/>
  <c r="F511" i="4"/>
  <c r="F811" i="4"/>
  <c r="K510" i="4"/>
  <c r="K810" i="4"/>
  <c r="F390" i="4"/>
  <c r="F391" i="4" s="1"/>
  <c r="J416" i="4"/>
  <c r="E466" i="4"/>
  <c r="E766" i="4"/>
  <c r="G469" i="4"/>
  <c r="G769" i="4"/>
  <c r="K466" i="4"/>
  <c r="K766" i="4"/>
  <c r="G502" i="4"/>
  <c r="G802" i="4"/>
  <c r="J496" i="4"/>
  <c r="J796" i="4"/>
  <c r="G519" i="4"/>
  <c r="G819" i="4"/>
  <c r="I422" i="4"/>
  <c r="E473" i="4"/>
  <c r="E773" i="4"/>
  <c r="E465" i="4"/>
  <c r="E765" i="4"/>
  <c r="F473" i="4"/>
  <c r="F773" i="4"/>
  <c r="F465" i="4"/>
  <c r="F765" i="4"/>
  <c r="F461" i="4"/>
  <c r="F761" i="4"/>
  <c r="E472" i="4"/>
  <c r="E772" i="4"/>
  <c r="E464" i="4"/>
  <c r="E764" i="4"/>
  <c r="G476" i="4"/>
  <c r="G776" i="4"/>
  <c r="G472" i="4"/>
  <c r="G772" i="4"/>
  <c r="G468" i="4"/>
  <c r="G768" i="4"/>
  <c r="G464" i="4"/>
  <c r="G764" i="4"/>
  <c r="G460" i="4"/>
  <c r="G760" i="4"/>
  <c r="E484" i="4"/>
  <c r="E784" i="4"/>
  <c r="E496" i="4"/>
  <c r="E796" i="4"/>
  <c r="E488" i="4"/>
  <c r="E788" i="4"/>
  <c r="G501" i="4"/>
  <c r="G801" i="4"/>
  <c r="G497" i="4"/>
  <c r="G797" i="4"/>
  <c r="G493" i="4"/>
  <c r="G793" i="4"/>
  <c r="G489" i="4"/>
  <c r="G789" i="4"/>
  <c r="G485" i="4"/>
  <c r="G785" i="4"/>
  <c r="J488" i="4"/>
  <c r="J788" i="4"/>
  <c r="E527" i="4"/>
  <c r="E827" i="4"/>
  <c r="E519" i="4"/>
  <c r="E819" i="4"/>
  <c r="E511" i="4"/>
  <c r="E811" i="4"/>
  <c r="G526" i="4"/>
  <c r="G826" i="4"/>
  <c r="G522" i="4"/>
  <c r="G822" i="4"/>
  <c r="G518" i="4"/>
  <c r="G818" i="4"/>
  <c r="G514" i="4"/>
  <c r="G814" i="4"/>
  <c r="G510" i="4"/>
  <c r="G810" i="4"/>
  <c r="K526" i="4"/>
  <c r="K826" i="4"/>
  <c r="G477" i="4"/>
  <c r="G777" i="4"/>
  <c r="E498" i="4"/>
  <c r="E798" i="4"/>
  <c r="E510" i="4"/>
  <c r="E810" i="4"/>
  <c r="G515" i="4"/>
  <c r="G815" i="4"/>
  <c r="F464" i="4"/>
  <c r="F764" i="4"/>
  <c r="F501" i="4"/>
  <c r="F801" i="4"/>
  <c r="K484" i="4"/>
  <c r="K784" i="4"/>
  <c r="F518" i="4"/>
  <c r="F818" i="4"/>
  <c r="K522" i="4"/>
  <c r="K822" i="4"/>
  <c r="G523" i="4"/>
  <c r="G823" i="4"/>
  <c r="F472" i="4"/>
  <c r="F772" i="4"/>
  <c r="F497" i="4"/>
  <c r="F797" i="4"/>
  <c r="F485" i="4"/>
  <c r="F785" i="4"/>
  <c r="F522" i="4"/>
  <c r="F822" i="4"/>
  <c r="F510" i="4"/>
  <c r="F810" i="4"/>
  <c r="E458" i="4"/>
  <c r="E758" i="4"/>
  <c r="E470" i="4"/>
  <c r="E770" i="4"/>
  <c r="E462" i="4"/>
  <c r="E762" i="4"/>
  <c r="G475" i="4"/>
  <c r="G775" i="4"/>
  <c r="G471" i="4"/>
  <c r="G771" i="4"/>
  <c r="G467" i="4"/>
  <c r="G767" i="4"/>
  <c r="G463" i="4"/>
  <c r="G763" i="4"/>
  <c r="G459" i="4"/>
  <c r="G759" i="4"/>
  <c r="E502" i="4"/>
  <c r="E802" i="4"/>
  <c r="E494" i="4"/>
  <c r="E794" i="4"/>
  <c r="E486" i="4"/>
  <c r="E786" i="4"/>
  <c r="G500" i="4"/>
  <c r="G800" i="4"/>
  <c r="G496" i="4"/>
  <c r="G796" i="4"/>
  <c r="G492" i="4"/>
  <c r="G792" i="4"/>
  <c r="G488" i="4"/>
  <c r="G788" i="4"/>
  <c r="G484" i="4"/>
  <c r="G784" i="4"/>
  <c r="K500" i="4"/>
  <c r="K800" i="4"/>
  <c r="E525" i="4"/>
  <c r="E825" i="4"/>
  <c r="E517" i="4"/>
  <c r="E817" i="4"/>
  <c r="G529" i="4"/>
  <c r="G829" i="4"/>
  <c r="G525" i="4"/>
  <c r="G825" i="4"/>
  <c r="G521" i="4"/>
  <c r="G821" i="4"/>
  <c r="G517" i="4"/>
  <c r="G817" i="4"/>
  <c r="G513" i="4"/>
  <c r="G813" i="4"/>
  <c r="J510" i="4"/>
  <c r="J810" i="4"/>
  <c r="K518" i="4"/>
  <c r="K818" i="4"/>
  <c r="G465" i="4"/>
  <c r="G765" i="4"/>
  <c r="G494" i="4"/>
  <c r="G794" i="4"/>
  <c r="E463" i="4"/>
  <c r="E763" i="4"/>
  <c r="F460" i="4"/>
  <c r="F760" i="4"/>
  <c r="E487" i="4"/>
  <c r="E787" i="4"/>
  <c r="F493" i="4"/>
  <c r="F793" i="4"/>
  <c r="F489" i="4"/>
  <c r="F789" i="4"/>
  <c r="E526" i="4"/>
  <c r="E826" i="4"/>
  <c r="F526" i="4"/>
  <c r="F826" i="4"/>
  <c r="F514" i="4"/>
  <c r="F814" i="4"/>
  <c r="E477" i="4"/>
  <c r="E777" i="4"/>
  <c r="E469" i="4"/>
  <c r="E769" i="4"/>
  <c r="E461" i="4"/>
  <c r="E761" i="4"/>
  <c r="F475" i="4"/>
  <c r="F775" i="4"/>
  <c r="F471" i="4"/>
  <c r="F771" i="4"/>
  <c r="F467" i="4"/>
  <c r="F767" i="4"/>
  <c r="F463" i="4"/>
  <c r="F763" i="4"/>
  <c r="F459" i="4"/>
  <c r="F759" i="4"/>
  <c r="K458" i="4"/>
  <c r="K758" i="4"/>
  <c r="E501" i="4"/>
  <c r="E801" i="4"/>
  <c r="E493" i="4"/>
  <c r="E793" i="4"/>
  <c r="E485" i="4"/>
  <c r="E785" i="4"/>
  <c r="F500" i="4"/>
  <c r="F800" i="4"/>
  <c r="F496" i="4"/>
  <c r="F796" i="4"/>
  <c r="F492" i="4"/>
  <c r="F792" i="4"/>
  <c r="F488" i="4"/>
  <c r="F788" i="4"/>
  <c r="F484" i="4"/>
  <c r="F784" i="4"/>
  <c r="K496" i="4"/>
  <c r="K796" i="4"/>
  <c r="E524" i="4"/>
  <c r="E824" i="4"/>
  <c r="E516" i="4"/>
  <c r="E816" i="4"/>
  <c r="F529" i="4"/>
  <c r="F829" i="4"/>
  <c r="F525" i="4"/>
  <c r="F825" i="4"/>
  <c r="F521" i="4"/>
  <c r="F821" i="4"/>
  <c r="F517" i="4"/>
  <c r="F817" i="4"/>
  <c r="F513" i="4"/>
  <c r="F813" i="4"/>
  <c r="J526" i="4"/>
  <c r="J826" i="4"/>
  <c r="K514" i="4"/>
  <c r="K814" i="4"/>
  <c r="E474" i="4"/>
  <c r="E774" i="4"/>
  <c r="E490" i="4"/>
  <c r="E790" i="4"/>
  <c r="G490" i="4"/>
  <c r="G790" i="4"/>
  <c r="E521" i="4"/>
  <c r="E821" i="4"/>
  <c r="G527" i="4"/>
  <c r="G827" i="4"/>
  <c r="J514" i="4"/>
  <c r="J814" i="4"/>
  <c r="I370" i="4"/>
  <c r="E471" i="4"/>
  <c r="E771" i="4"/>
  <c r="E503" i="4"/>
  <c r="E803" i="4"/>
  <c r="E529" i="4"/>
  <c r="E829" i="4"/>
  <c r="E476" i="4"/>
  <c r="E776" i="4"/>
  <c r="E468" i="4"/>
  <c r="E768" i="4"/>
  <c r="G474" i="4"/>
  <c r="G774" i="4"/>
  <c r="G466" i="4"/>
  <c r="G766" i="4"/>
  <c r="G462" i="4"/>
  <c r="G762" i="4"/>
  <c r="K474" i="4"/>
  <c r="K774" i="4"/>
  <c r="E492" i="4"/>
  <c r="E792" i="4"/>
  <c r="G499" i="4"/>
  <c r="G799" i="4"/>
  <c r="G491" i="4"/>
  <c r="G791" i="4"/>
  <c r="G487" i="4"/>
  <c r="G787" i="4"/>
  <c r="K492" i="4"/>
  <c r="K792" i="4"/>
  <c r="E523" i="4"/>
  <c r="E823" i="4"/>
  <c r="E515" i="4"/>
  <c r="E815" i="4"/>
  <c r="G528" i="4"/>
  <c r="G828" i="4"/>
  <c r="G520" i="4"/>
  <c r="G820" i="4"/>
  <c r="G516" i="4"/>
  <c r="G816" i="4"/>
  <c r="G512" i="4"/>
  <c r="G812" i="4"/>
  <c r="J522" i="4"/>
  <c r="J822" i="4"/>
  <c r="G473" i="4"/>
  <c r="G773" i="4"/>
  <c r="G486" i="4"/>
  <c r="G786" i="4"/>
  <c r="I442" i="4"/>
  <c r="J443" i="4" s="1"/>
  <c r="F476" i="4"/>
  <c r="F776" i="4"/>
  <c r="F468" i="4"/>
  <c r="F768" i="4"/>
  <c r="E495" i="4"/>
  <c r="E795" i="4"/>
  <c r="E518" i="4"/>
  <c r="E818" i="4"/>
  <c r="E460" i="4"/>
  <c r="E760" i="4"/>
  <c r="G470" i="4"/>
  <c r="G770" i="4"/>
  <c r="G458" i="4"/>
  <c r="G758" i="4"/>
  <c r="E500" i="4"/>
  <c r="E800" i="4"/>
  <c r="G503" i="4"/>
  <c r="G803" i="4"/>
  <c r="G495" i="4"/>
  <c r="G795" i="4"/>
  <c r="J484" i="4"/>
  <c r="J784" i="4"/>
  <c r="G524" i="4"/>
  <c r="G824" i="4"/>
  <c r="E475" i="4"/>
  <c r="E775" i="4"/>
  <c r="E467" i="4"/>
  <c r="E767" i="4"/>
  <c r="E459" i="4"/>
  <c r="E759" i="4"/>
  <c r="F474" i="4"/>
  <c r="F774" i="4"/>
  <c r="F470" i="4"/>
  <c r="F770" i="4"/>
  <c r="F466" i="4"/>
  <c r="F766" i="4"/>
  <c r="F462" i="4"/>
  <c r="F762" i="4"/>
  <c r="F458" i="4"/>
  <c r="F1042" i="4" s="1"/>
  <c r="F758" i="4"/>
  <c r="K470" i="4"/>
  <c r="K770" i="4"/>
  <c r="E499" i="4"/>
  <c r="E799" i="4"/>
  <c r="E491" i="4"/>
  <c r="E791" i="4"/>
  <c r="F503" i="4"/>
  <c r="F803" i="4"/>
  <c r="F499" i="4"/>
  <c r="F799" i="4"/>
  <c r="F495" i="4"/>
  <c r="F795" i="4"/>
  <c r="F491" i="4"/>
  <c r="F791" i="4"/>
  <c r="F487" i="4"/>
  <c r="F787" i="4"/>
  <c r="J500" i="4"/>
  <c r="J800" i="4"/>
  <c r="K488" i="4"/>
  <c r="K788" i="4"/>
  <c r="E522" i="4"/>
  <c r="E822" i="4"/>
  <c r="E514" i="4"/>
  <c r="E814" i="4"/>
  <c r="F528" i="4"/>
  <c r="F828" i="4"/>
  <c r="F524" i="4"/>
  <c r="F824" i="4"/>
  <c r="F520" i="4"/>
  <c r="F820" i="4"/>
  <c r="F516" i="4"/>
  <c r="F816" i="4"/>
  <c r="F512" i="4"/>
  <c r="F812" i="4"/>
  <c r="J518" i="4"/>
  <c r="J818" i="4"/>
  <c r="F628" i="4"/>
  <c r="F680" i="4"/>
  <c r="I634" i="4"/>
  <c r="I628" i="4"/>
  <c r="I654" i="4"/>
  <c r="J680" i="4"/>
  <c r="I608" i="4"/>
  <c r="I680" i="4"/>
  <c r="F654" i="4"/>
  <c r="J466" i="4"/>
  <c r="J458" i="4"/>
  <c r="J474" i="4"/>
  <c r="J462" i="4"/>
  <c r="J470" i="4"/>
  <c r="K163" i="4"/>
  <c r="K1139" i="4" s="1"/>
  <c r="K167" i="4"/>
  <c r="K1143" i="4" s="1"/>
  <c r="K171" i="4"/>
  <c r="K1147" i="4" s="1"/>
  <c r="K175" i="4"/>
  <c r="K1151" i="4" s="1"/>
  <c r="K159" i="4"/>
  <c r="K1135" i="4" s="1"/>
  <c r="J163" i="4"/>
  <c r="J1139" i="4" s="1"/>
  <c r="J167" i="4"/>
  <c r="J1143" i="4" s="1"/>
  <c r="J171" i="4"/>
  <c r="J1147" i="4" s="1"/>
  <c r="J175" i="4"/>
  <c r="J1151" i="4" s="1"/>
  <c r="J159" i="4"/>
  <c r="J1135" i="4" s="1"/>
  <c r="F159" i="4"/>
  <c r="F1135" i="4" s="1"/>
  <c r="G159" i="4"/>
  <c r="G1135" i="4" s="1"/>
  <c r="F160" i="4"/>
  <c r="F1136" i="4" s="1"/>
  <c r="G160" i="4"/>
  <c r="G1136" i="4" s="1"/>
  <c r="F161" i="4"/>
  <c r="F1137" i="4" s="1"/>
  <c r="G161" i="4"/>
  <c r="G1137" i="4" s="1"/>
  <c r="F162" i="4"/>
  <c r="F1138" i="4" s="1"/>
  <c r="G162" i="4"/>
  <c r="G1138" i="4" s="1"/>
  <c r="F163" i="4"/>
  <c r="F1139" i="4" s="1"/>
  <c r="G163" i="4"/>
  <c r="G1139" i="4" s="1"/>
  <c r="F164" i="4"/>
  <c r="F1140" i="4" s="1"/>
  <c r="G164" i="4"/>
  <c r="G1140" i="4" s="1"/>
  <c r="F165" i="4"/>
  <c r="F1141" i="4" s="1"/>
  <c r="G165" i="4"/>
  <c r="G1141" i="4" s="1"/>
  <c r="F166" i="4"/>
  <c r="F1142" i="4" s="1"/>
  <c r="G166" i="4"/>
  <c r="G1142" i="4" s="1"/>
  <c r="F167" i="4"/>
  <c r="F1143" i="4" s="1"/>
  <c r="G167" i="4"/>
  <c r="G1143" i="4" s="1"/>
  <c r="F168" i="4"/>
  <c r="F1144" i="4" s="1"/>
  <c r="G168" i="4"/>
  <c r="G1144" i="4" s="1"/>
  <c r="F169" i="4"/>
  <c r="F1145" i="4" s="1"/>
  <c r="G169" i="4"/>
  <c r="G1145" i="4" s="1"/>
  <c r="F170" i="4"/>
  <c r="F1146" i="4" s="1"/>
  <c r="G170" i="4"/>
  <c r="G1146" i="4" s="1"/>
  <c r="F171" i="4"/>
  <c r="F1147" i="4" s="1"/>
  <c r="G171" i="4"/>
  <c r="G1147" i="4" s="1"/>
  <c r="F172" i="4"/>
  <c r="F1148" i="4" s="1"/>
  <c r="G172" i="4"/>
  <c r="G1148" i="4" s="1"/>
  <c r="F173" i="4"/>
  <c r="F1149" i="4" s="1"/>
  <c r="G173" i="4"/>
  <c r="G1149" i="4" s="1"/>
  <c r="F174" i="4"/>
  <c r="F1150" i="4" s="1"/>
  <c r="G174" i="4"/>
  <c r="G1150" i="4" s="1"/>
  <c r="F175" i="4"/>
  <c r="F1151" i="4" s="1"/>
  <c r="G175" i="4"/>
  <c r="G1151" i="4" s="1"/>
  <c r="F176" i="4"/>
  <c r="F1152" i="4" s="1"/>
  <c r="G176" i="4"/>
  <c r="G1152" i="4" s="1"/>
  <c r="F177" i="4"/>
  <c r="F1153" i="4" s="1"/>
  <c r="G177" i="4"/>
  <c r="G1153" i="4" s="1"/>
  <c r="F178" i="4"/>
  <c r="F1154" i="4" s="1"/>
  <c r="G178" i="4"/>
  <c r="G1154" i="4" s="1"/>
  <c r="E160" i="4"/>
  <c r="E1136" i="4" s="1"/>
  <c r="E161" i="4"/>
  <c r="E1137" i="4" s="1"/>
  <c r="E162" i="4"/>
  <c r="E1138" i="4" s="1"/>
  <c r="E163" i="4"/>
  <c r="E1139" i="4" s="1"/>
  <c r="E164" i="4"/>
  <c r="E1140" i="4" s="1"/>
  <c r="E165" i="4"/>
  <c r="E1141" i="4" s="1"/>
  <c r="E166" i="4"/>
  <c r="E1142" i="4" s="1"/>
  <c r="E167" i="4"/>
  <c r="E1143" i="4" s="1"/>
  <c r="E168" i="4"/>
  <c r="E1144" i="4" s="1"/>
  <c r="E169" i="4"/>
  <c r="E1145" i="4" s="1"/>
  <c r="E170" i="4"/>
  <c r="E1146" i="4" s="1"/>
  <c r="E171" i="4"/>
  <c r="E1147" i="4" s="1"/>
  <c r="E172" i="4"/>
  <c r="E1148" i="4" s="1"/>
  <c r="E173" i="4"/>
  <c r="E1149" i="4" s="1"/>
  <c r="E174" i="4"/>
  <c r="E1150" i="4" s="1"/>
  <c r="E175" i="4"/>
  <c r="E1151" i="4" s="1"/>
  <c r="E176" i="4"/>
  <c r="E1152" i="4" s="1"/>
  <c r="E177" i="4"/>
  <c r="E1153" i="4" s="1"/>
  <c r="E178" i="4"/>
  <c r="E1154" i="4" s="1"/>
  <c r="E159" i="4"/>
  <c r="E1135" i="4" s="1"/>
  <c r="E13" i="4"/>
  <c r="F13" i="4"/>
  <c r="G13" i="4"/>
  <c r="J13" i="4"/>
  <c r="K13" i="4"/>
  <c r="E14" i="4"/>
  <c r="F14" i="4"/>
  <c r="G14" i="4"/>
  <c r="E15" i="4"/>
  <c r="F15" i="4"/>
  <c r="G15" i="4"/>
  <c r="E16" i="4"/>
  <c r="F16" i="4"/>
  <c r="G16" i="4"/>
  <c r="E17" i="4"/>
  <c r="F17" i="4"/>
  <c r="G17" i="4"/>
  <c r="E18" i="4"/>
  <c r="F18" i="4"/>
  <c r="G18" i="4"/>
  <c r="J18" i="4"/>
  <c r="K18" i="4"/>
  <c r="E19" i="4"/>
  <c r="F19" i="4"/>
  <c r="G19" i="4"/>
  <c r="E20" i="4"/>
  <c r="F20" i="4"/>
  <c r="G20" i="4"/>
  <c r="E21" i="4"/>
  <c r="F21" i="4"/>
  <c r="G21" i="4"/>
  <c r="E22" i="4"/>
  <c r="F22" i="4"/>
  <c r="G22" i="4"/>
  <c r="E23" i="4"/>
  <c r="F23" i="4"/>
  <c r="G23" i="4"/>
  <c r="J23" i="4"/>
  <c r="K23" i="4"/>
  <c r="E24" i="4"/>
  <c r="F24" i="4"/>
  <c r="G24" i="4"/>
  <c r="E25" i="4"/>
  <c r="F25" i="4"/>
  <c r="G25" i="4"/>
  <c r="E26" i="4"/>
  <c r="F26" i="4"/>
  <c r="G26" i="4"/>
  <c r="E27" i="4"/>
  <c r="F27" i="4"/>
  <c r="G27" i="4"/>
  <c r="E28" i="4"/>
  <c r="F28" i="4"/>
  <c r="G28" i="4"/>
  <c r="E29" i="4"/>
  <c r="F29" i="4"/>
  <c r="G29" i="4"/>
  <c r="J29" i="4"/>
  <c r="K29" i="4"/>
  <c r="E30" i="4"/>
  <c r="F30" i="4"/>
  <c r="G30" i="4"/>
  <c r="E31" i="4"/>
  <c r="F31" i="4"/>
  <c r="G31" i="4"/>
  <c r="E32" i="4"/>
  <c r="F32" i="4"/>
  <c r="G32" i="4"/>
  <c r="E33" i="4"/>
  <c r="F33" i="4"/>
  <c r="G33" i="4"/>
  <c r="E34" i="4"/>
  <c r="F34" i="4"/>
  <c r="G34" i="4"/>
  <c r="E35" i="4"/>
  <c r="F35" i="4"/>
  <c r="G35" i="4"/>
  <c r="J35" i="4"/>
  <c r="K35" i="4"/>
  <c r="E36" i="4"/>
  <c r="F36" i="4"/>
  <c r="G36" i="4"/>
  <c r="E37" i="4"/>
  <c r="F37" i="4"/>
  <c r="G37" i="4"/>
  <c r="E38" i="4"/>
  <c r="F38" i="4"/>
  <c r="G38" i="4"/>
  <c r="E39" i="4"/>
  <c r="F39" i="4"/>
  <c r="G39" i="4"/>
  <c r="E40" i="4"/>
  <c r="F40" i="4"/>
  <c r="G40" i="4"/>
  <c r="E47" i="4"/>
  <c r="F47" i="4"/>
  <c r="G47" i="4"/>
  <c r="K47" i="4"/>
  <c r="K73" i="4" s="1"/>
  <c r="E48" i="4"/>
  <c r="F48" i="4"/>
  <c r="G48" i="4"/>
  <c r="E49" i="4"/>
  <c r="F49" i="4"/>
  <c r="G49" i="4"/>
  <c r="E50" i="4"/>
  <c r="F50" i="4"/>
  <c r="G50" i="4"/>
  <c r="E51" i="4"/>
  <c r="F51" i="4"/>
  <c r="G51" i="4"/>
  <c r="K51" i="4"/>
  <c r="K77" i="4" s="1"/>
  <c r="E52" i="4"/>
  <c r="F52" i="4"/>
  <c r="G52" i="4"/>
  <c r="E53" i="4"/>
  <c r="F53" i="4"/>
  <c r="G53" i="4"/>
  <c r="E54" i="4"/>
  <c r="F54" i="4"/>
  <c r="G54" i="4"/>
  <c r="E55" i="4"/>
  <c r="F55" i="4"/>
  <c r="G55" i="4"/>
  <c r="K55" i="4"/>
  <c r="K81" i="4" s="1"/>
  <c r="E56" i="4"/>
  <c r="F56" i="4"/>
  <c r="G56" i="4"/>
  <c r="E57" i="4"/>
  <c r="F57" i="4"/>
  <c r="G57" i="4"/>
  <c r="E58" i="4"/>
  <c r="F58" i="4"/>
  <c r="G58" i="4"/>
  <c r="E59" i="4"/>
  <c r="F59" i="4"/>
  <c r="G59" i="4"/>
  <c r="K59" i="4"/>
  <c r="K85" i="4" s="1"/>
  <c r="E60" i="4"/>
  <c r="F60" i="4"/>
  <c r="G60" i="4"/>
  <c r="E61" i="4"/>
  <c r="F61" i="4"/>
  <c r="G61" i="4"/>
  <c r="E62" i="4"/>
  <c r="F62" i="4"/>
  <c r="G62" i="4"/>
  <c r="E63" i="4"/>
  <c r="F63" i="4"/>
  <c r="G63" i="4"/>
  <c r="K63" i="4"/>
  <c r="K89" i="4" s="1"/>
  <c r="E64" i="4"/>
  <c r="F64" i="4"/>
  <c r="G64" i="4"/>
  <c r="E65" i="4"/>
  <c r="F65" i="4"/>
  <c r="G65" i="4"/>
  <c r="E66" i="4"/>
  <c r="F66" i="4"/>
  <c r="G66" i="4"/>
  <c r="E73" i="4"/>
  <c r="F73" i="4"/>
  <c r="G73" i="4"/>
  <c r="E74" i="4"/>
  <c r="F74" i="4"/>
  <c r="G74" i="4"/>
  <c r="E75" i="4"/>
  <c r="F75" i="4"/>
  <c r="G75" i="4"/>
  <c r="E76" i="4"/>
  <c r="F76" i="4"/>
  <c r="G76" i="4"/>
  <c r="E77" i="4"/>
  <c r="F77" i="4"/>
  <c r="G77" i="4"/>
  <c r="E78" i="4"/>
  <c r="F78" i="4"/>
  <c r="G78" i="4"/>
  <c r="E79" i="4"/>
  <c r="F79" i="4"/>
  <c r="G79" i="4"/>
  <c r="E80" i="4"/>
  <c r="F80" i="4"/>
  <c r="G80" i="4"/>
  <c r="E81" i="4"/>
  <c r="F81" i="4"/>
  <c r="G81" i="4"/>
  <c r="E82" i="4"/>
  <c r="F82" i="4"/>
  <c r="G82" i="4"/>
  <c r="E83" i="4"/>
  <c r="F83" i="4"/>
  <c r="G83" i="4"/>
  <c r="E84" i="4"/>
  <c r="F84" i="4"/>
  <c r="G84" i="4"/>
  <c r="E85" i="4"/>
  <c r="F85" i="4"/>
  <c r="G85" i="4"/>
  <c r="E86" i="4"/>
  <c r="F86" i="4"/>
  <c r="G86" i="4"/>
  <c r="E87" i="4"/>
  <c r="F87" i="4"/>
  <c r="G87" i="4"/>
  <c r="E88" i="4"/>
  <c r="F88" i="4"/>
  <c r="G88" i="4"/>
  <c r="E89" i="4"/>
  <c r="F89" i="4"/>
  <c r="G89" i="4"/>
  <c r="E90" i="4"/>
  <c r="F90" i="4"/>
  <c r="G90" i="4"/>
  <c r="E91" i="4"/>
  <c r="F91" i="4"/>
  <c r="G91" i="4"/>
  <c r="E92" i="4"/>
  <c r="F92" i="4"/>
  <c r="G92" i="4"/>
  <c r="E99" i="4"/>
  <c r="F99" i="4"/>
  <c r="G99" i="4"/>
  <c r="J99" i="4"/>
  <c r="J47" i="4" s="1"/>
  <c r="K99" i="4"/>
  <c r="E100" i="4"/>
  <c r="F100" i="4"/>
  <c r="G100" i="4"/>
  <c r="E101" i="4"/>
  <c r="F101" i="4"/>
  <c r="G101" i="4"/>
  <c r="E102" i="4"/>
  <c r="F102" i="4"/>
  <c r="G102" i="4"/>
  <c r="E103" i="4"/>
  <c r="F103" i="4"/>
  <c r="G103" i="4"/>
  <c r="J103" i="4"/>
  <c r="J51" i="4" s="1"/>
  <c r="K103" i="4"/>
  <c r="E104" i="4"/>
  <c r="F104" i="4"/>
  <c r="G104" i="4"/>
  <c r="E105" i="4"/>
  <c r="F105" i="4"/>
  <c r="G105" i="4"/>
  <c r="E106" i="4"/>
  <c r="F106" i="4"/>
  <c r="G106" i="4"/>
  <c r="E107" i="4"/>
  <c r="F107" i="4"/>
  <c r="G107" i="4"/>
  <c r="J107" i="4"/>
  <c r="J81" i="4" s="1"/>
  <c r="K107" i="4"/>
  <c r="E108" i="4"/>
  <c r="F108" i="4"/>
  <c r="G108" i="4"/>
  <c r="E109" i="4"/>
  <c r="F109" i="4"/>
  <c r="G109" i="4"/>
  <c r="E110" i="4"/>
  <c r="F110" i="4"/>
  <c r="G110" i="4"/>
  <c r="E111" i="4"/>
  <c r="F111" i="4"/>
  <c r="G111" i="4"/>
  <c r="J111" i="4"/>
  <c r="J59" i="4" s="1"/>
  <c r="K111" i="4"/>
  <c r="E112" i="4"/>
  <c r="F112" i="4"/>
  <c r="G112" i="4"/>
  <c r="E113" i="4"/>
  <c r="F113" i="4"/>
  <c r="G113" i="4"/>
  <c r="E114" i="4"/>
  <c r="F114" i="4"/>
  <c r="G114" i="4"/>
  <c r="E115" i="4"/>
  <c r="F115" i="4"/>
  <c r="G115" i="4"/>
  <c r="J115" i="4"/>
  <c r="J63" i="4" s="1"/>
  <c r="K115" i="4"/>
  <c r="E116" i="4"/>
  <c r="F116" i="4"/>
  <c r="G116" i="4"/>
  <c r="E117" i="4"/>
  <c r="F117" i="4"/>
  <c r="G117" i="4"/>
  <c r="E118" i="4"/>
  <c r="F118" i="4"/>
  <c r="G118" i="4"/>
  <c r="K19" i="20"/>
  <c r="K19" i="14"/>
  <c r="K19" i="11"/>
  <c r="F982" i="4" l="1"/>
  <c r="E906" i="39"/>
  <c r="F906" i="39" s="1"/>
  <c r="F893" i="4"/>
  <c r="K290" i="14"/>
  <c r="K368" i="11"/>
  <c r="L19" i="20"/>
  <c r="L19" i="14"/>
  <c r="L19" i="11"/>
  <c r="K291" i="20"/>
  <c r="F417" i="4"/>
  <c r="J893" i="4"/>
  <c r="J1155" i="4"/>
  <c r="I1135" i="4"/>
  <c r="I1155" i="4"/>
  <c r="F956" i="4"/>
  <c r="F1155" i="4"/>
  <c r="F478" i="4"/>
  <c r="F919" i="4"/>
  <c r="J1043" i="4"/>
  <c r="F1043" i="4"/>
  <c r="F443" i="4"/>
  <c r="J1042" i="4"/>
  <c r="J956" i="4"/>
  <c r="F1068" i="4"/>
  <c r="F1069" i="4" s="1"/>
  <c r="I1022" i="4"/>
  <c r="I1048" i="4"/>
  <c r="F1094" i="4"/>
  <c r="F1095" i="4" s="1"/>
  <c r="I1074" i="4"/>
  <c r="J982" i="4"/>
  <c r="J1008" i="4"/>
  <c r="F1008" i="4"/>
  <c r="F867" i="4"/>
  <c r="F681" i="4"/>
  <c r="I478" i="4"/>
  <c r="J479" i="4" s="1"/>
  <c r="I530" i="4"/>
  <c r="J531" i="4" s="1"/>
  <c r="I510" i="4"/>
  <c r="J530" i="4"/>
  <c r="I504" i="4"/>
  <c r="J505" i="4" s="1"/>
  <c r="F530" i="4"/>
  <c r="F504" i="4"/>
  <c r="I484" i="4"/>
  <c r="I458" i="4"/>
  <c r="J681" i="4"/>
  <c r="F629" i="4"/>
  <c r="J655" i="4"/>
  <c r="F655" i="4"/>
  <c r="J629" i="4"/>
  <c r="J504" i="4"/>
  <c r="J478" i="4"/>
  <c r="J41" i="4"/>
  <c r="F41" i="4"/>
  <c r="I119" i="4"/>
  <c r="J120" i="4" s="1"/>
  <c r="F93" i="4"/>
  <c r="I99" i="4"/>
  <c r="I41" i="4"/>
  <c r="I13" i="4"/>
  <c r="F119" i="4"/>
  <c r="J85" i="4"/>
  <c r="I73" i="4"/>
  <c r="I47" i="4"/>
  <c r="F67" i="4"/>
  <c r="I93" i="4"/>
  <c r="J119" i="4"/>
  <c r="J89" i="4"/>
  <c r="J73" i="4"/>
  <c r="I67" i="4"/>
  <c r="J55" i="4"/>
  <c r="J67" i="4" s="1"/>
  <c r="J77" i="4"/>
  <c r="K137" i="4"/>
  <c r="K1113" i="4" s="1"/>
  <c r="K141" i="4"/>
  <c r="K1117" i="4" s="1"/>
  <c r="K145" i="4"/>
  <c r="K1121" i="4" s="1"/>
  <c r="K149" i="4"/>
  <c r="K1125" i="4" s="1"/>
  <c r="J137" i="4"/>
  <c r="J1113" i="4" s="1"/>
  <c r="J141" i="4"/>
  <c r="J1117" i="4" s="1"/>
  <c r="J145" i="4"/>
  <c r="J1121" i="4" s="1"/>
  <c r="J149" i="4"/>
  <c r="J1125" i="4" s="1"/>
  <c r="J133" i="4"/>
  <c r="J1109" i="4" s="1"/>
  <c r="K133" i="4"/>
  <c r="K1109" i="4" s="1"/>
  <c r="K20" i="11"/>
  <c r="K20" i="14"/>
  <c r="K20" i="20"/>
  <c r="E907" i="39" l="1"/>
  <c r="F907" i="39" s="1"/>
  <c r="K291" i="14"/>
  <c r="K369" i="11"/>
  <c r="L20" i="20"/>
  <c r="L20" i="14"/>
  <c r="L20" i="11"/>
  <c r="K292" i="20"/>
  <c r="F479" i="4"/>
  <c r="I1129" i="4"/>
  <c r="F1130" i="4" s="1"/>
  <c r="F531" i="4"/>
  <c r="J1156" i="4"/>
  <c r="F1156" i="4"/>
  <c r="J1129" i="4"/>
  <c r="F94" i="4"/>
  <c r="F505" i="4"/>
  <c r="F120" i="4"/>
  <c r="F42" i="4"/>
  <c r="F68" i="4"/>
  <c r="J68" i="4"/>
  <c r="J42" i="4"/>
  <c r="J93" i="4"/>
  <c r="J94" i="4"/>
  <c r="K21" i="14"/>
  <c r="K21" i="11"/>
  <c r="K21" i="20"/>
  <c r="E908" i="39" l="1"/>
  <c r="F908" i="39" s="1"/>
  <c r="J1130" i="4"/>
  <c r="K292" i="14"/>
  <c r="K370" i="11"/>
  <c r="L21" i="20"/>
  <c r="L21" i="14"/>
  <c r="L21" i="11"/>
  <c r="K293" i="20"/>
  <c r="J265" i="4"/>
  <c r="I265" i="4"/>
  <c r="J266" i="4" s="1"/>
  <c r="F265" i="4"/>
  <c r="J239" i="4"/>
  <c r="I239" i="4"/>
  <c r="J240" i="4" s="1"/>
  <c r="F239" i="4"/>
  <c r="J213" i="4"/>
  <c r="I213" i="4"/>
  <c r="J214" i="4" s="1"/>
  <c r="F213" i="4"/>
  <c r="K22" i="14"/>
  <c r="K22" i="11"/>
  <c r="K22" i="20"/>
  <c r="E909" i="39" l="1"/>
  <c r="F909" i="39" s="1"/>
  <c r="K293" i="14"/>
  <c r="K371" i="11"/>
  <c r="L22" i="20"/>
  <c r="L22" i="14"/>
  <c r="L22" i="11"/>
  <c r="K294" i="20"/>
  <c r="F214" i="4"/>
  <c r="F240" i="4"/>
  <c r="F266" i="4"/>
  <c r="K1262" i="4"/>
  <c r="K1268" i="4"/>
  <c r="K1256" i="4"/>
  <c r="K1251" i="4"/>
  <c r="K1246" i="4"/>
  <c r="J1262" i="4"/>
  <c r="J1268" i="4"/>
  <c r="J1256" i="4"/>
  <c r="J1251" i="4"/>
  <c r="J1246" i="4"/>
  <c r="F1246" i="4"/>
  <c r="G1246" i="4"/>
  <c r="F1247" i="4"/>
  <c r="G1247" i="4"/>
  <c r="F1248" i="4"/>
  <c r="G1248" i="4"/>
  <c r="F1249" i="4"/>
  <c r="G1249" i="4"/>
  <c r="F1250" i="4"/>
  <c r="G1250" i="4"/>
  <c r="F1251" i="4"/>
  <c r="G1251" i="4"/>
  <c r="F1252" i="4"/>
  <c r="G1252" i="4"/>
  <c r="F1253" i="4"/>
  <c r="G1253" i="4"/>
  <c r="F1254" i="4"/>
  <c r="G1254" i="4"/>
  <c r="F1255" i="4"/>
  <c r="G1255" i="4"/>
  <c r="F1256" i="4"/>
  <c r="G1256" i="4"/>
  <c r="F1257" i="4"/>
  <c r="G1257" i="4"/>
  <c r="F1258" i="4"/>
  <c r="G1258" i="4"/>
  <c r="F1259" i="4"/>
  <c r="G1259" i="4"/>
  <c r="F1260" i="4"/>
  <c r="G1260" i="4"/>
  <c r="F1261" i="4"/>
  <c r="G1261" i="4"/>
  <c r="F1262" i="4"/>
  <c r="G1262" i="4"/>
  <c r="F1263" i="4"/>
  <c r="G1263" i="4"/>
  <c r="F1264" i="4"/>
  <c r="G1264" i="4"/>
  <c r="F1265" i="4"/>
  <c r="G1265" i="4"/>
  <c r="F1266" i="4"/>
  <c r="G1266" i="4"/>
  <c r="F1267" i="4"/>
  <c r="G1267" i="4"/>
  <c r="F1268" i="4"/>
  <c r="G1268" i="4"/>
  <c r="F1269" i="4"/>
  <c r="G1269" i="4"/>
  <c r="F1270" i="4"/>
  <c r="G1270" i="4"/>
  <c r="F1271" i="4"/>
  <c r="G1271" i="4"/>
  <c r="F1272" i="4"/>
  <c r="G1272" i="4"/>
  <c r="F1273" i="4"/>
  <c r="G1273"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46" i="4"/>
  <c r="F1221" i="4"/>
  <c r="G1221" i="4"/>
  <c r="F1222" i="4"/>
  <c r="G1222" i="4"/>
  <c r="F1223" i="4"/>
  <c r="G1223" i="4"/>
  <c r="F1224" i="4"/>
  <c r="G1224" i="4"/>
  <c r="F1225" i="4"/>
  <c r="G1225" i="4"/>
  <c r="F1226" i="4"/>
  <c r="G1226" i="4"/>
  <c r="F1227" i="4"/>
  <c r="G1227" i="4"/>
  <c r="F1228" i="4"/>
  <c r="G1228" i="4"/>
  <c r="F1229" i="4"/>
  <c r="G1229" i="4"/>
  <c r="F1230" i="4"/>
  <c r="G1230" i="4"/>
  <c r="F1231" i="4"/>
  <c r="G1231" i="4"/>
  <c r="F1232" i="4"/>
  <c r="G1232" i="4"/>
  <c r="F1233" i="4"/>
  <c r="G1233" i="4"/>
  <c r="F1234" i="4"/>
  <c r="G1234" i="4"/>
  <c r="F1235" i="4"/>
  <c r="G1235" i="4"/>
  <c r="F1236" i="4"/>
  <c r="G1236" i="4"/>
  <c r="F1237" i="4"/>
  <c r="G1237" i="4"/>
  <c r="F1238" i="4"/>
  <c r="G1238" i="4"/>
  <c r="F1239" i="4"/>
  <c r="G1239" i="4"/>
  <c r="F1240" i="4"/>
  <c r="G1240" i="4"/>
  <c r="E1222" i="4"/>
  <c r="E1223" i="4"/>
  <c r="E1224" i="4"/>
  <c r="E1225" i="4"/>
  <c r="E1226" i="4"/>
  <c r="E1227" i="4"/>
  <c r="E1228" i="4"/>
  <c r="E1229" i="4"/>
  <c r="E1230" i="4"/>
  <c r="E1231" i="4"/>
  <c r="E1232" i="4"/>
  <c r="E1233" i="4"/>
  <c r="E1234" i="4"/>
  <c r="E1235" i="4"/>
  <c r="E1236" i="4"/>
  <c r="E1237" i="4"/>
  <c r="E1238" i="4"/>
  <c r="E1239" i="4"/>
  <c r="E1240" i="4"/>
  <c r="E1221" i="4"/>
  <c r="F1196" i="4"/>
  <c r="F1197" i="4"/>
  <c r="F1198" i="4"/>
  <c r="F1199" i="4"/>
  <c r="F1200" i="4"/>
  <c r="F1201" i="4"/>
  <c r="F1202" i="4"/>
  <c r="F1203" i="4"/>
  <c r="F1204" i="4"/>
  <c r="F1205" i="4"/>
  <c r="F1206" i="4"/>
  <c r="F1207" i="4"/>
  <c r="F1208" i="4"/>
  <c r="F1209" i="4"/>
  <c r="F1210" i="4"/>
  <c r="F1211" i="4"/>
  <c r="F1212" i="4"/>
  <c r="F1213" i="4"/>
  <c r="F1214" i="4"/>
  <c r="F1195" i="4"/>
  <c r="K1199" i="4"/>
  <c r="K1203" i="4"/>
  <c r="K1207" i="4"/>
  <c r="K1211" i="4"/>
  <c r="K1195" i="4"/>
  <c r="K1173" i="4"/>
  <c r="K1177" i="4"/>
  <c r="K1181" i="4"/>
  <c r="K1185" i="4"/>
  <c r="K1169" i="4"/>
  <c r="J1173" i="4"/>
  <c r="J1177" i="4"/>
  <c r="J1203" i="4" s="1"/>
  <c r="J1181" i="4"/>
  <c r="J1207" i="4" s="1"/>
  <c r="J1185" i="4"/>
  <c r="J1169" i="4"/>
  <c r="F1169" i="4"/>
  <c r="G1169" i="4"/>
  <c r="F1170" i="4"/>
  <c r="G1170" i="4"/>
  <c r="F1171" i="4"/>
  <c r="G1171" i="4"/>
  <c r="F1172" i="4"/>
  <c r="G1172" i="4"/>
  <c r="F1173" i="4"/>
  <c r="G1173" i="4"/>
  <c r="F1174" i="4"/>
  <c r="G1174" i="4"/>
  <c r="F1175" i="4"/>
  <c r="G1175" i="4"/>
  <c r="F1176" i="4"/>
  <c r="G1176" i="4"/>
  <c r="F1177" i="4"/>
  <c r="G1177" i="4"/>
  <c r="F1178" i="4"/>
  <c r="G1178" i="4"/>
  <c r="F1179" i="4"/>
  <c r="G1179" i="4"/>
  <c r="F1180" i="4"/>
  <c r="G1180" i="4"/>
  <c r="F1181" i="4"/>
  <c r="G1181" i="4"/>
  <c r="F1182" i="4"/>
  <c r="G1182" i="4"/>
  <c r="F1183" i="4"/>
  <c r="G1183" i="4"/>
  <c r="F1184" i="4"/>
  <c r="G1184" i="4"/>
  <c r="F1185" i="4"/>
  <c r="G1185" i="4"/>
  <c r="F1186" i="4"/>
  <c r="G1186" i="4"/>
  <c r="F1187" i="4"/>
  <c r="G1187" i="4"/>
  <c r="F1188" i="4"/>
  <c r="G1188" i="4"/>
  <c r="E1170" i="4"/>
  <c r="E1171" i="4"/>
  <c r="E1172" i="4"/>
  <c r="E1173" i="4"/>
  <c r="E1174" i="4"/>
  <c r="E1175" i="4"/>
  <c r="E1176" i="4"/>
  <c r="E1177" i="4"/>
  <c r="E1178" i="4"/>
  <c r="E1179" i="4"/>
  <c r="E1180" i="4"/>
  <c r="E1181" i="4"/>
  <c r="E1182" i="4"/>
  <c r="E1183" i="4"/>
  <c r="E1184" i="4"/>
  <c r="E1185" i="4"/>
  <c r="E1186" i="4"/>
  <c r="E1187" i="4"/>
  <c r="E1188" i="4"/>
  <c r="E1169" i="4"/>
  <c r="K23" i="11"/>
  <c r="K23" i="20"/>
  <c r="K23" i="14"/>
  <c r="E910" i="39" l="1"/>
  <c r="F910" i="39" s="1"/>
  <c r="K294" i="14"/>
  <c r="K372" i="11"/>
  <c r="L23" i="20"/>
  <c r="L23" i="14"/>
  <c r="L23" i="11"/>
  <c r="K295" i="20"/>
  <c r="G1195" i="4"/>
  <c r="G1196" i="4"/>
  <c r="G1197" i="4"/>
  <c r="G1198" i="4"/>
  <c r="K24" i="20"/>
  <c r="K24" i="14"/>
  <c r="K24" i="11"/>
  <c r="E911" i="39" l="1"/>
  <c r="F911" i="39" s="1"/>
  <c r="K295" i="14"/>
  <c r="K373" i="11"/>
  <c r="L24" i="20"/>
  <c r="L24" i="14"/>
  <c r="L24" i="11"/>
  <c r="K296" i="20"/>
  <c r="I245" i="4"/>
  <c r="G1203" i="4"/>
  <c r="G1214" i="4"/>
  <c r="G1213" i="4"/>
  <c r="G1209" i="4"/>
  <c r="G1201" i="4"/>
  <c r="G1199" i="4"/>
  <c r="G1212" i="4"/>
  <c r="G1202" i="4"/>
  <c r="G1207" i="4"/>
  <c r="G1211" i="4"/>
  <c r="G1208" i="4"/>
  <c r="G1204" i="4"/>
  <c r="G1210" i="4"/>
  <c r="G1205" i="4"/>
  <c r="G1200" i="4"/>
  <c r="G1206" i="4"/>
  <c r="K25" i="20"/>
  <c r="K25" i="14"/>
  <c r="K25" i="11"/>
  <c r="E912" i="39" l="1"/>
  <c r="F912" i="39" s="1"/>
  <c r="K296" i="14"/>
  <c r="K374" i="11"/>
  <c r="L25" i="20"/>
  <c r="L25" i="14"/>
  <c r="L25" i="11"/>
  <c r="K297" i="20"/>
  <c r="J830" i="4"/>
  <c r="I830" i="4"/>
  <c r="J831" i="4" s="1"/>
  <c r="F830" i="4"/>
  <c r="J804" i="4"/>
  <c r="I804" i="4"/>
  <c r="J805" i="4" s="1"/>
  <c r="F804" i="4"/>
  <c r="J778" i="4"/>
  <c r="I778" i="4"/>
  <c r="J779" i="4" s="1"/>
  <c r="F778" i="4"/>
  <c r="K26" i="14"/>
  <c r="K26" i="11"/>
  <c r="K26" i="20"/>
  <c r="E913" i="39" l="1"/>
  <c r="F913" i="39" s="1"/>
  <c r="K297" i="14"/>
  <c r="K375" i="11"/>
  <c r="L26" i="20"/>
  <c r="L26" i="14"/>
  <c r="L26" i="11"/>
  <c r="K298" i="20"/>
  <c r="F779" i="4"/>
  <c r="F805" i="4"/>
  <c r="F831" i="4"/>
  <c r="K27" i="20"/>
  <c r="K27" i="11"/>
  <c r="K27" i="14"/>
  <c r="E914" i="39" l="1"/>
  <c r="F914" i="39" s="1"/>
  <c r="K298" i="14"/>
  <c r="K376" i="11"/>
  <c r="L27" i="20"/>
  <c r="L27" i="14"/>
  <c r="L27" i="11"/>
  <c r="K299" i="20"/>
  <c r="I810" i="4"/>
  <c r="K28" i="14"/>
  <c r="K28" i="11"/>
  <c r="K28" i="20"/>
  <c r="E915" i="39" l="1"/>
  <c r="F915" i="39" s="1"/>
  <c r="K299" i="14"/>
  <c r="K377" i="11"/>
  <c r="L28" i="20"/>
  <c r="L28" i="14"/>
  <c r="L28" i="11"/>
  <c r="K300" i="20"/>
  <c r="F592" i="4"/>
  <c r="K584" i="4"/>
  <c r="K735" i="4" s="1"/>
  <c r="K580" i="4"/>
  <c r="K731" i="4" s="1"/>
  <c r="J580" i="4"/>
  <c r="J731" i="4" s="1"/>
  <c r="K576" i="4"/>
  <c r="K727" i="4" s="1"/>
  <c r="J576" i="4"/>
  <c r="J727" i="4" s="1"/>
  <c r="K572" i="4"/>
  <c r="K723" i="4" s="1"/>
  <c r="J572" i="4"/>
  <c r="J723" i="4" s="1"/>
  <c r="I566" i="4"/>
  <c r="F566" i="4"/>
  <c r="J588" i="4"/>
  <c r="J739" i="4" s="1"/>
  <c r="J584" i="4"/>
  <c r="J735" i="4" s="1"/>
  <c r="K29" i="14"/>
  <c r="K29" i="11"/>
  <c r="K29" i="20"/>
  <c r="I743" i="4" l="1"/>
  <c r="F744" i="4" s="1"/>
  <c r="K300" i="14"/>
  <c r="K378" i="11"/>
  <c r="L29" i="20"/>
  <c r="L29" i="14"/>
  <c r="L29" i="11"/>
  <c r="K301" i="20"/>
  <c r="J744" i="4"/>
  <c r="J743" i="4"/>
  <c r="F567" i="4"/>
  <c r="J566" i="4"/>
  <c r="J592" i="4"/>
  <c r="I592" i="4"/>
  <c r="F593" i="4" s="1"/>
  <c r="J567" i="4"/>
  <c r="K30" i="11"/>
  <c r="K30" i="14"/>
  <c r="K30" i="20"/>
  <c r="K301" i="14" l="1"/>
  <c r="K379" i="11"/>
  <c r="L30" i="20"/>
  <c r="L30" i="14"/>
  <c r="L30" i="11"/>
  <c r="K302" i="20"/>
  <c r="J593" i="4"/>
  <c r="J353" i="4"/>
  <c r="I353" i="4"/>
  <c r="J354" i="4" s="1"/>
  <c r="F353" i="4"/>
  <c r="J327" i="4"/>
  <c r="I327" i="4"/>
  <c r="J328" i="4" s="1"/>
  <c r="F327" i="4"/>
  <c r="J301" i="4"/>
  <c r="I301" i="4"/>
  <c r="F301" i="4"/>
  <c r="K31" i="11"/>
  <c r="K31" i="20"/>
  <c r="K31" i="14"/>
  <c r="K302" i="14" l="1"/>
  <c r="K380" i="11"/>
  <c r="L31" i="20"/>
  <c r="L31" i="14"/>
  <c r="L31" i="11"/>
  <c r="K303" i="20"/>
  <c r="F302" i="4"/>
  <c r="J302" i="4"/>
  <c r="F328" i="4"/>
  <c r="F354" i="4"/>
  <c r="K32" i="20"/>
  <c r="K32" i="14"/>
  <c r="K32" i="11"/>
  <c r="K303" i="14" l="1"/>
  <c r="K381" i="11"/>
  <c r="L32" i="20"/>
  <c r="L32" i="14"/>
  <c r="L32" i="11"/>
  <c r="K304" i="20"/>
  <c r="I333" i="4"/>
  <c r="K33" i="14"/>
  <c r="K33" i="11"/>
  <c r="K33" i="20"/>
  <c r="K304" i="14" l="1"/>
  <c r="K382" i="11"/>
  <c r="L33" i="20"/>
  <c r="L33" i="14"/>
  <c r="L33" i="11"/>
  <c r="K305" i="20"/>
  <c r="J179" i="4"/>
  <c r="I179" i="4"/>
  <c r="J180" i="4" s="1"/>
  <c r="F179" i="4"/>
  <c r="J153" i="4"/>
  <c r="I153" i="4"/>
  <c r="F153" i="4"/>
  <c r="K34" i="20"/>
  <c r="K34" i="11"/>
  <c r="K34" i="14"/>
  <c r="K305" i="14" l="1"/>
  <c r="K383" i="11"/>
  <c r="L34" i="20"/>
  <c r="L34" i="14"/>
  <c r="L34" i="11"/>
  <c r="K306" i="20"/>
  <c r="F154" i="4"/>
  <c r="J154" i="4"/>
  <c r="F180" i="4"/>
  <c r="K35" i="20"/>
  <c r="K35" i="11"/>
  <c r="K35" i="14"/>
  <c r="K306" i="14" l="1"/>
  <c r="K384" i="11"/>
  <c r="L35" i="20"/>
  <c r="L35" i="14"/>
  <c r="L35" i="11"/>
  <c r="K307" i="20"/>
  <c r="K1225" i="4"/>
  <c r="F1215" i="4"/>
  <c r="F1189" i="4"/>
  <c r="J1237" i="4"/>
  <c r="J1233" i="4"/>
  <c r="J1229" i="4"/>
  <c r="J1225" i="4"/>
  <c r="J1221" i="4"/>
  <c r="J1211" i="4"/>
  <c r="J1199" i="4"/>
  <c r="J1195" i="4"/>
  <c r="K1237" i="4"/>
  <c r="K1233" i="4"/>
  <c r="K1229" i="4"/>
  <c r="K1221" i="4"/>
  <c r="F1274" i="4"/>
  <c r="K36" i="20"/>
  <c r="K36" i="14"/>
  <c r="K36" i="11"/>
  <c r="K307" i="14" l="1"/>
  <c r="K385" i="11"/>
  <c r="L36" i="20"/>
  <c r="L36" i="14"/>
  <c r="L36" i="11"/>
  <c r="K308" i="20"/>
  <c r="J1274" i="4"/>
  <c r="I1274" i="4"/>
  <c r="J1275" i="4" s="1"/>
  <c r="J1241" i="4"/>
  <c r="I1241" i="4"/>
  <c r="J1242" i="4" s="1"/>
  <c r="F1241" i="4"/>
  <c r="I1215" i="4"/>
  <c r="I1189" i="4"/>
  <c r="K37" i="11"/>
  <c r="K37" i="14"/>
  <c r="K37" i="20"/>
  <c r="K308" i="14" l="1"/>
  <c r="K386" i="11"/>
  <c r="L37" i="20"/>
  <c r="L37" i="14"/>
  <c r="L37" i="11"/>
  <c r="K309" i="20"/>
  <c r="F1275" i="4"/>
  <c r="F1242" i="4"/>
  <c r="F1216" i="4"/>
  <c r="J1215" i="4"/>
  <c r="F1190" i="4"/>
  <c r="J1189" i="4"/>
  <c r="K38" i="20"/>
  <c r="K38" i="11"/>
  <c r="K38" i="14"/>
  <c r="K309" i="14" l="1"/>
  <c r="K387" i="11"/>
  <c r="L38" i="20"/>
  <c r="L38" i="14"/>
  <c r="L38" i="11"/>
  <c r="K310" i="20"/>
  <c r="J1190" i="4"/>
  <c r="K39" i="20"/>
  <c r="K39" i="14"/>
  <c r="K39" i="11"/>
  <c r="K310" i="14" l="1"/>
  <c r="K388" i="11"/>
  <c r="L39" i="20"/>
  <c r="L39" i="14"/>
  <c r="L39" i="11"/>
  <c r="K311" i="20"/>
  <c r="I193" i="4"/>
  <c r="I219" i="4"/>
  <c r="I546" i="4"/>
  <c r="I572" i="4"/>
  <c r="I159" i="4"/>
  <c r="I307" i="4"/>
  <c r="I784" i="4"/>
  <c r="I758" i="4"/>
  <c r="I281" i="4"/>
  <c r="I133" i="4"/>
  <c r="I1246" i="4"/>
  <c r="I1221" i="4"/>
  <c r="K40" i="11"/>
  <c r="K40" i="14"/>
  <c r="K40" i="20"/>
  <c r="K311" i="14" l="1"/>
  <c r="K389" i="11"/>
  <c r="L40" i="20"/>
  <c r="L40" i="14"/>
  <c r="L40" i="11"/>
  <c r="K312" i="20"/>
  <c r="I1169" i="4"/>
  <c r="J1216" i="4"/>
  <c r="K41" i="20"/>
  <c r="K41" i="14"/>
  <c r="K41" i="11"/>
  <c r="K312" i="14" l="1"/>
  <c r="K390" i="11"/>
  <c r="L41" i="20"/>
  <c r="L41" i="14"/>
  <c r="L41" i="11"/>
  <c r="K313" i="20"/>
  <c r="I1195" i="4"/>
  <c r="K42" i="11"/>
  <c r="K42" i="14"/>
  <c r="K42" i="20"/>
  <c r="K313" i="14" l="1"/>
  <c r="K391" i="11"/>
  <c r="L42" i="20"/>
  <c r="L42" i="14"/>
  <c r="L42" i="11"/>
  <c r="K314" i="20"/>
  <c r="M3" i="8"/>
  <c r="N3" i="8"/>
  <c r="M8" i="8"/>
  <c r="N12" i="8"/>
  <c r="N8" i="8"/>
  <c r="M11" i="8"/>
  <c r="M10" i="8"/>
  <c r="M4" i="8"/>
  <c r="M9" i="8"/>
  <c r="M14" i="8" s="1"/>
  <c r="N10" i="8"/>
  <c r="N13" i="8"/>
  <c r="N4" i="8"/>
  <c r="N9" i="8"/>
  <c r="N11" i="8"/>
  <c r="M12" i="8"/>
  <c r="M7" i="8"/>
  <c r="M6" i="8"/>
  <c r="M5" i="8"/>
  <c r="N7" i="8"/>
  <c r="M13" i="8"/>
  <c r="N5" i="8"/>
  <c r="N6" i="8"/>
  <c r="K43" i="14"/>
  <c r="K43" i="11"/>
  <c r="K43" i="20"/>
  <c r="Q3" i="8" l="1"/>
  <c r="AD365" i="9"/>
  <c r="AE365" i="9" s="1"/>
  <c r="AF365" i="9" s="1"/>
  <c r="AD631" i="9"/>
  <c r="AD578" i="9"/>
  <c r="AD146" i="9"/>
  <c r="AE146" i="9" s="1"/>
  <c r="AF146" i="9" s="1"/>
  <c r="AD5" i="9"/>
  <c r="AE5" i="9" s="1"/>
  <c r="AF5" i="9" s="1"/>
  <c r="AD475" i="9"/>
  <c r="AE475" i="9" s="1"/>
  <c r="AF475" i="9" s="1"/>
  <c r="AD317" i="9"/>
  <c r="AE317" i="9" s="1"/>
  <c r="AF317" i="9" s="1"/>
  <c r="AD163" i="9"/>
  <c r="AE163" i="9" s="1"/>
  <c r="AF163" i="9" s="1"/>
  <c r="AD335" i="9"/>
  <c r="AD691" i="9"/>
  <c r="AD404" i="9"/>
  <c r="AD264" i="9"/>
  <c r="AE264" i="9" s="1"/>
  <c r="AF264" i="9" s="1"/>
  <c r="AD366" i="9"/>
  <c r="AD282" i="9"/>
  <c r="AE282" i="9" s="1"/>
  <c r="AF282" i="9" s="1"/>
  <c r="AD543" i="9"/>
  <c r="AE543" i="9" s="1"/>
  <c r="AF543" i="9" s="1"/>
  <c r="AD559" i="9"/>
  <c r="AE559" i="9" s="1"/>
  <c r="AF559" i="9" s="1"/>
  <c r="AD337" i="9"/>
  <c r="AE337" i="9" s="1"/>
  <c r="AF337" i="9" s="1"/>
  <c r="AD378" i="9"/>
  <c r="AE378" i="9" s="1"/>
  <c r="AF378" i="9" s="1"/>
  <c r="AD797" i="9"/>
  <c r="AD259" i="9"/>
  <c r="AE259" i="9" s="1"/>
  <c r="AF259" i="9" s="1"/>
  <c r="AD212" i="9"/>
  <c r="AE212" i="9" s="1"/>
  <c r="AF212" i="9" s="1"/>
  <c r="AD189" i="9"/>
  <c r="AE189" i="9" s="1"/>
  <c r="AF189" i="9" s="1"/>
  <c r="AD651" i="9"/>
  <c r="AE651" i="9" s="1"/>
  <c r="AF651" i="9" s="1"/>
  <c r="AD630" i="9"/>
  <c r="AE630" i="9" s="1"/>
  <c r="AF630" i="9" s="1"/>
  <c r="AD341" i="9"/>
  <c r="AD179" i="9"/>
  <c r="AD705" i="9"/>
  <c r="AD663" i="9"/>
  <c r="AE663" i="9" s="1"/>
  <c r="AF663" i="9" s="1"/>
  <c r="AD576" i="9"/>
  <c r="AE576" i="9" s="1"/>
  <c r="AF576" i="9" s="1"/>
  <c r="AD736" i="9"/>
  <c r="AE736" i="9" s="1"/>
  <c r="AF736" i="9" s="1"/>
  <c r="AD280" i="9"/>
  <c r="AE280" i="9" s="1"/>
  <c r="AF280" i="9" s="1"/>
  <c r="AD166" i="9"/>
  <c r="AE166" i="9" s="1"/>
  <c r="AF166" i="9" s="1"/>
  <c r="AD701" i="9"/>
  <c r="AD319" i="9"/>
  <c r="AD704" i="9"/>
  <c r="AD382" i="9"/>
  <c r="AE382" i="9" s="1"/>
  <c r="AF382" i="9" s="1"/>
  <c r="AD303" i="9"/>
  <c r="AE303" i="9" s="1"/>
  <c r="AF303" i="9" s="1"/>
  <c r="AD364" i="9"/>
  <c r="AE364" i="9" s="1"/>
  <c r="AF364" i="9" s="1"/>
  <c r="AD600" i="9"/>
  <c r="AE600" i="9" s="1"/>
  <c r="AF600" i="9" s="1"/>
  <c r="AD245" i="9"/>
  <c r="AE245" i="9" s="1"/>
  <c r="AF245" i="9" s="1"/>
  <c r="AD19" i="9"/>
  <c r="AE19" i="9" s="1"/>
  <c r="AF19" i="9" s="1"/>
  <c r="AD625" i="9"/>
  <c r="AD443" i="9"/>
  <c r="AD147" i="9"/>
  <c r="AE147" i="9" s="1"/>
  <c r="AF147" i="9" s="1"/>
  <c r="AD579" i="9"/>
  <c r="AE579" i="9" s="1"/>
  <c r="AF579" i="9" s="1"/>
  <c r="AD772" i="9"/>
  <c r="AE772" i="9" s="1"/>
  <c r="AF772" i="9" s="1"/>
  <c r="AD474" i="9"/>
  <c r="AE474" i="9" s="1"/>
  <c r="AF474" i="9" s="1"/>
  <c r="AD363" i="9"/>
  <c r="AE363" i="9" s="1"/>
  <c r="AF363" i="9" s="1"/>
  <c r="AD49" i="9"/>
  <c r="AD32" i="9"/>
  <c r="AD237" i="9"/>
  <c r="AD58" i="9"/>
  <c r="AD224" i="9"/>
  <c r="AE224" i="9" s="1"/>
  <c r="AF224" i="9" s="1"/>
  <c r="AD670" i="9"/>
  <c r="AE670" i="9" s="1"/>
  <c r="AF670" i="9" s="1"/>
  <c r="Q10" i="8"/>
  <c r="AD673" i="9"/>
  <c r="AE673" i="9" s="1"/>
  <c r="AF673" i="9" s="1"/>
  <c r="AD753" i="9"/>
  <c r="AD461" i="9"/>
  <c r="AD186" i="9"/>
  <c r="AD148" i="9"/>
  <c r="AE148" i="9" s="1"/>
  <c r="AF148" i="9" s="1"/>
  <c r="AD813" i="9"/>
  <c r="AE813" i="9" s="1"/>
  <c r="AF813" i="9" s="1"/>
  <c r="AD311" i="9"/>
  <c r="AE311" i="9" s="1"/>
  <c r="AF311" i="9" s="1"/>
  <c r="AD165" i="9"/>
  <c r="AE165" i="9" s="1"/>
  <c r="AF165" i="9" s="1"/>
  <c r="AD482" i="9"/>
  <c r="AE482" i="9" s="1"/>
  <c r="AF482" i="9" s="1"/>
  <c r="AD254" i="9"/>
  <c r="AD127" i="9"/>
  <c r="AD720" i="9"/>
  <c r="AD309" i="9"/>
  <c r="AE309" i="9" s="1"/>
  <c r="AF309" i="9" s="1"/>
  <c r="AD435" i="9"/>
  <c r="AE435" i="9" s="1"/>
  <c r="AF435" i="9" s="1"/>
  <c r="AD815" i="9"/>
  <c r="AE815" i="9" s="1"/>
  <c r="AF815" i="9" s="1"/>
  <c r="AD183" i="9"/>
  <c r="AE183" i="9" s="1"/>
  <c r="AF183" i="9" s="1"/>
  <c r="AD700" i="9"/>
  <c r="AD223" i="9"/>
  <c r="AD239" i="9"/>
  <c r="AD854" i="9"/>
  <c r="AD794" i="9"/>
  <c r="AE794" i="9" s="1"/>
  <c r="AF794" i="9" s="1"/>
  <c r="AD556" i="9"/>
  <c r="AE556" i="9" s="1"/>
  <c r="AF556" i="9" s="1"/>
  <c r="AD524" i="9"/>
  <c r="AE524" i="9" s="1"/>
  <c r="AF524" i="9" s="1"/>
  <c r="AD372" i="9"/>
  <c r="AE372" i="9" s="1"/>
  <c r="AF372" i="9" s="1"/>
  <c r="AD60" i="9"/>
  <c r="AE60" i="9" s="1"/>
  <c r="AF60" i="9" s="1"/>
  <c r="AD587" i="9"/>
  <c r="AD202" i="9"/>
  <c r="AD502" i="9"/>
  <c r="AD373" i="9"/>
  <c r="AE373" i="9" s="1"/>
  <c r="AF373" i="9" s="1"/>
  <c r="AD754" i="9"/>
  <c r="AE754" i="9" s="1"/>
  <c r="AF754" i="9" s="1"/>
  <c r="AD342" i="9"/>
  <c r="AE342" i="9" s="1"/>
  <c r="AF342" i="9" s="1"/>
  <c r="AD199" i="9"/>
  <c r="AE199" i="9" s="1"/>
  <c r="AF199" i="9" s="1"/>
  <c r="AD697" i="9"/>
  <c r="AE697" i="9" s="1"/>
  <c r="AF697" i="9" s="1"/>
  <c r="AD396" i="9"/>
  <c r="AD459" i="9"/>
  <c r="AD180" i="9"/>
  <c r="AD636" i="9"/>
  <c r="AE636" i="9" s="1"/>
  <c r="AF636" i="9" s="1"/>
  <c r="AD233" i="9"/>
  <c r="AE233" i="9" s="1"/>
  <c r="AF233" i="9" s="1"/>
  <c r="AD207" i="9"/>
  <c r="AE207" i="9" s="1"/>
  <c r="AF207" i="9" s="1"/>
  <c r="AD330" i="9"/>
  <c r="AE330" i="9" s="1"/>
  <c r="AF330" i="9" s="1"/>
  <c r="AD602" i="9"/>
  <c r="AE602" i="9" s="1"/>
  <c r="AF602" i="9" s="1"/>
  <c r="AD586" i="9"/>
  <c r="AD557" i="9"/>
  <c r="AE557" i="9" s="1"/>
  <c r="AF557" i="9" s="1"/>
  <c r="AD500" i="9"/>
  <c r="AD20" i="9"/>
  <c r="AE20" i="9" s="1"/>
  <c r="AF20" i="9" s="1"/>
  <c r="AD767" i="9"/>
  <c r="AD381" i="9"/>
  <c r="AE381" i="9" s="1"/>
  <c r="AF381" i="9" s="1"/>
  <c r="AD125" i="9"/>
  <c r="AE125" i="9" s="1"/>
  <c r="AF125" i="9" s="1"/>
  <c r="AD545" i="9"/>
  <c r="AE545" i="9" s="1"/>
  <c r="AF545" i="9" s="1"/>
  <c r="AD637" i="9"/>
  <c r="AD455" i="9"/>
  <c r="AE455" i="9" s="1"/>
  <c r="AF455" i="9" s="1"/>
  <c r="AD312" i="9"/>
  <c r="AD37" i="9"/>
  <c r="AE37" i="9" s="1"/>
  <c r="AF37" i="9" s="1"/>
  <c r="AD733" i="9"/>
  <c r="AE733" i="9" s="1"/>
  <c r="AF733" i="9" s="1"/>
  <c r="AD679" i="9"/>
  <c r="AE679" i="9" s="1"/>
  <c r="AF679" i="9" s="1"/>
  <c r="AD265" i="9"/>
  <c r="AE265" i="9" s="1"/>
  <c r="AF265" i="9" s="1"/>
  <c r="AD710" i="9"/>
  <c r="AD332" i="9"/>
  <c r="AD310" i="9"/>
  <c r="AE310" i="9" s="1"/>
  <c r="AF310" i="9" s="1"/>
  <c r="AD834" i="9"/>
  <c r="AD616" i="9"/>
  <c r="AE616" i="9" s="1"/>
  <c r="AF616" i="9" s="1"/>
  <c r="AD595" i="9"/>
  <c r="AE595" i="9" s="1"/>
  <c r="AF595" i="9" s="1"/>
  <c r="AD57" i="9"/>
  <c r="AE57" i="9" s="1"/>
  <c r="AF57" i="9" s="1"/>
  <c r="AD40" i="9"/>
  <c r="AE40" i="9" s="1"/>
  <c r="AF40" i="9" s="1"/>
  <c r="Q5" i="8"/>
  <c r="AD549" i="9"/>
  <c r="AD452" i="9"/>
  <c r="AE452" i="9" s="1"/>
  <c r="AF452" i="9" s="1"/>
  <c r="AD786" i="9"/>
  <c r="AD762" i="9"/>
  <c r="AE762" i="9" s="1"/>
  <c r="AF762" i="9" s="1"/>
  <c r="AD643" i="9"/>
  <c r="AE643" i="9" s="1"/>
  <c r="AF643" i="9" s="1"/>
  <c r="AD792" i="9"/>
  <c r="AE792" i="9" s="1"/>
  <c r="AF792" i="9" s="1"/>
  <c r="AD432" i="9"/>
  <c r="AE432" i="9" s="1"/>
  <c r="AF432" i="9" s="1"/>
  <c r="AD807" i="9"/>
  <c r="AD776" i="9"/>
  <c r="AD721" i="9"/>
  <c r="AE721" i="9" s="1"/>
  <c r="AF721" i="9" s="1"/>
  <c r="AD606" i="9"/>
  <c r="AD730" i="9"/>
  <c r="AD528" i="9"/>
  <c r="AE528" i="9" s="1"/>
  <c r="AF528" i="9" s="1"/>
  <c r="AD605" i="9"/>
  <c r="AE605" i="9" s="1"/>
  <c r="AF605" i="9" s="1"/>
  <c r="AD564" i="9"/>
  <c r="AE564" i="9" s="1"/>
  <c r="AF564" i="9" s="1"/>
  <c r="AD619" i="9"/>
  <c r="AE619" i="9" s="1"/>
  <c r="AF619" i="9" s="1"/>
  <c r="AD860" i="9"/>
  <c r="AD751" i="9"/>
  <c r="AE751" i="9" s="1"/>
  <c r="AF751" i="9" s="1"/>
  <c r="AD438" i="9"/>
  <c r="AD725" i="9"/>
  <c r="AE725" i="9" s="1"/>
  <c r="AF725" i="9" s="1"/>
  <c r="AD689" i="9"/>
  <c r="AE689" i="9" s="1"/>
  <c r="AF689" i="9" s="1"/>
  <c r="AD655" i="9"/>
  <c r="AE655" i="9" s="1"/>
  <c r="AF655" i="9" s="1"/>
  <c r="AD467" i="9"/>
  <c r="AE467" i="9" s="1"/>
  <c r="AF467" i="9" s="1"/>
  <c r="AD263" i="9"/>
  <c r="AE263" i="9" s="1"/>
  <c r="AF263" i="9" s="1"/>
  <c r="AD846" i="9"/>
  <c r="AD674" i="9"/>
  <c r="AE674" i="9" s="1"/>
  <c r="AF674" i="9" s="1"/>
  <c r="AD626" i="9"/>
  <c r="AD660" i="9"/>
  <c r="AE660" i="9" s="1"/>
  <c r="AF660" i="9" s="1"/>
  <c r="AD9" i="9"/>
  <c r="AE9" i="9" s="1"/>
  <c r="AF9" i="9" s="1"/>
  <c r="AD727" i="9"/>
  <c r="AE727" i="9" s="1"/>
  <c r="AF727" i="9" s="1"/>
  <c r="AD321" i="9"/>
  <c r="AE321" i="9" s="1"/>
  <c r="AF321" i="9" s="1"/>
  <c r="AD192" i="9"/>
  <c r="AE192" i="9" s="1"/>
  <c r="AF192" i="9" s="1"/>
  <c r="AD844" i="9"/>
  <c r="AD810" i="9"/>
  <c r="AE810" i="9" s="1"/>
  <c r="AF810" i="9" s="1"/>
  <c r="AD593" i="9"/>
  <c r="AD802" i="9"/>
  <c r="AD746" i="9"/>
  <c r="AE746" i="9" s="1"/>
  <c r="AF746" i="9" s="1"/>
  <c r="AD603" i="9"/>
  <c r="AE603" i="9" s="1"/>
  <c r="AF603" i="9" s="1"/>
  <c r="AD170" i="9"/>
  <c r="AE170" i="9" s="1"/>
  <c r="AF170" i="9" s="1"/>
  <c r="AD577" i="9"/>
  <c r="AE577" i="9" s="1"/>
  <c r="AF577" i="9" s="1"/>
  <c r="AD345" i="9"/>
  <c r="AD686" i="9"/>
  <c r="AE686" i="9" s="1"/>
  <c r="AF686" i="9" s="1"/>
  <c r="AD665" i="9"/>
  <c r="AD654" i="9"/>
  <c r="AE654" i="9" s="1"/>
  <c r="AF654" i="9" s="1"/>
  <c r="AD494" i="9"/>
  <c r="AE494" i="9" s="1"/>
  <c r="AF494" i="9" s="1"/>
  <c r="AD151" i="9"/>
  <c r="AE151" i="9" s="1"/>
  <c r="AF151" i="9" s="1"/>
  <c r="AD350" i="9"/>
  <c r="AE350" i="9" s="1"/>
  <c r="AF350" i="9" s="1"/>
  <c r="AD334" i="9"/>
  <c r="AE334" i="9" s="1"/>
  <c r="AF334" i="9" s="1"/>
  <c r="AD533" i="9"/>
  <c r="AD624" i="9"/>
  <c r="AD709" i="9"/>
  <c r="AD580" i="9"/>
  <c r="AE580" i="9" s="1"/>
  <c r="AF580" i="9" s="1"/>
  <c r="AD315" i="9"/>
  <c r="AE315" i="9" s="1"/>
  <c r="AF315" i="9" s="1"/>
  <c r="AD688" i="9"/>
  <c r="AE688" i="9" s="1"/>
  <c r="AF688" i="9" s="1"/>
  <c r="AD613" i="9"/>
  <c r="AE613" i="9" s="1"/>
  <c r="AF613" i="9" s="1"/>
  <c r="AD823" i="9"/>
  <c r="AE823" i="9" s="1"/>
  <c r="AF823" i="9" s="1"/>
  <c r="AD411" i="9"/>
  <c r="AD228" i="9"/>
  <c r="AE228" i="9" s="1"/>
  <c r="AF228" i="9" s="1"/>
  <c r="AD752" i="9"/>
  <c r="AD743" i="9"/>
  <c r="AE743" i="9" s="1"/>
  <c r="AF743" i="9" s="1"/>
  <c r="AD566" i="9"/>
  <c r="AE566" i="9" s="1"/>
  <c r="AF566" i="9" s="1"/>
  <c r="AD453" i="9"/>
  <c r="AE453" i="9" s="1"/>
  <c r="AF453" i="9" s="1"/>
  <c r="AD849" i="9"/>
  <c r="AE849" i="9" s="1"/>
  <c r="AF849" i="9" s="1"/>
  <c r="AD828" i="9"/>
  <c r="AD476" i="9"/>
  <c r="AD286" i="9"/>
  <c r="AE286" i="9" s="1"/>
  <c r="AF286" i="9" s="1"/>
  <c r="AD7" i="9"/>
  <c r="AD27" i="9"/>
  <c r="AE27" i="9" s="1"/>
  <c r="AF27" i="9" s="1"/>
  <c r="AD511" i="9"/>
  <c r="AE511" i="9" s="1"/>
  <c r="AF511" i="9" s="1"/>
  <c r="AD405" i="9"/>
  <c r="AE405" i="9" s="1"/>
  <c r="AF405" i="9" s="1"/>
  <c r="AD527" i="9"/>
  <c r="AE527" i="9" s="1"/>
  <c r="AF527" i="9" s="1"/>
  <c r="AD395" i="9"/>
  <c r="AE395" i="9" s="1"/>
  <c r="AF395" i="9" s="1"/>
  <c r="AD389" i="9"/>
  <c r="AD323" i="9"/>
  <c r="AE323" i="9" s="1"/>
  <c r="AF323" i="9" s="1"/>
  <c r="AD284" i="9"/>
  <c r="AD386" i="9"/>
  <c r="AE386" i="9" s="1"/>
  <c r="AF386" i="9" s="1"/>
  <c r="AD318" i="9"/>
  <c r="AE318" i="9" s="1"/>
  <c r="AF318" i="9" s="1"/>
  <c r="AD26" i="9"/>
  <c r="AE26" i="9" s="1"/>
  <c r="AF26" i="9" s="1"/>
  <c r="AD590" i="9"/>
  <c r="AE590" i="9" s="1"/>
  <c r="AF590" i="9" s="1"/>
  <c r="AD436" i="9"/>
  <c r="AD632" i="9"/>
  <c r="AD418" i="9"/>
  <c r="AE418" i="9" s="1"/>
  <c r="AF418" i="9" s="1"/>
  <c r="AD314" i="9"/>
  <c r="AD805" i="9"/>
  <c r="AE805" i="9" s="1"/>
  <c r="AF805" i="9" s="1"/>
  <c r="AD646" i="9"/>
  <c r="AE646" i="9" s="1"/>
  <c r="AF646" i="9" s="1"/>
  <c r="AD429" i="9"/>
  <c r="AE429" i="9" s="1"/>
  <c r="AF429" i="9" s="1"/>
  <c r="AD150" i="9"/>
  <c r="AE150" i="9" s="1"/>
  <c r="AF150" i="9" s="1"/>
  <c r="AD240" i="9"/>
  <c r="AE240" i="9" s="1"/>
  <c r="AF240" i="9" s="1"/>
  <c r="Q8" i="8"/>
  <c r="AD492" i="9"/>
  <c r="AE492" i="9" s="1"/>
  <c r="AF492" i="9" s="1"/>
  <c r="AD409" i="9"/>
  <c r="AD809" i="9"/>
  <c r="AD426" i="9"/>
  <c r="AE426" i="9" s="1"/>
  <c r="AF426" i="9" s="1"/>
  <c r="AD830" i="9"/>
  <c r="AE830" i="9" s="1"/>
  <c r="AF830" i="9" s="1"/>
  <c r="AD442" i="9"/>
  <c r="AE442" i="9" s="1"/>
  <c r="AF442" i="9" s="1"/>
  <c r="AD832" i="9"/>
  <c r="AE832" i="9" s="1"/>
  <c r="AF832" i="9" s="1"/>
  <c r="AD472" i="9"/>
  <c r="AD796" i="9"/>
  <c r="AE796" i="9" s="1"/>
  <c r="AF796" i="9" s="1"/>
  <c r="AD617" i="9"/>
  <c r="AD399" i="9"/>
  <c r="AD140" i="9"/>
  <c r="AE140" i="9" s="1"/>
  <c r="AF140" i="9" s="1"/>
  <c r="AD449" i="9"/>
  <c r="AE449" i="9" s="1"/>
  <c r="AF449" i="9" s="1"/>
  <c r="AD729" i="9"/>
  <c r="AE729" i="9" s="1"/>
  <c r="AF729" i="9" s="1"/>
  <c r="AD591" i="9"/>
  <c r="AE591" i="9" s="1"/>
  <c r="AF591" i="9" s="1"/>
  <c r="AD623" i="9"/>
  <c r="AD377" i="9"/>
  <c r="AE377" i="9" s="1"/>
  <c r="AF377" i="9" s="1"/>
  <c r="AD517" i="9"/>
  <c r="AD833" i="9"/>
  <c r="AE833" i="9" s="1"/>
  <c r="AF833" i="9" s="1"/>
  <c r="AD508" i="9"/>
  <c r="AE508" i="9" s="1"/>
  <c r="AF508" i="9" s="1"/>
  <c r="AD782" i="9"/>
  <c r="AE782" i="9" s="1"/>
  <c r="AF782" i="9" s="1"/>
  <c r="AD634" i="9"/>
  <c r="AE634" i="9" s="1"/>
  <c r="AF634" i="9" s="1"/>
  <c r="AD121" i="9"/>
  <c r="AE121" i="9" s="1"/>
  <c r="AF121" i="9" s="1"/>
  <c r="AD440" i="9"/>
  <c r="AD306" i="9"/>
  <c r="AE306" i="9" s="1"/>
  <c r="AF306" i="9" s="1"/>
  <c r="AD734" i="9"/>
  <c r="AD496" i="9"/>
  <c r="AD507" i="9"/>
  <c r="AE507" i="9" s="1"/>
  <c r="AF507" i="9" s="1"/>
  <c r="AD859" i="9"/>
  <c r="AE859" i="9" s="1"/>
  <c r="AF859" i="9" s="1"/>
  <c r="AD803" i="9"/>
  <c r="AE803" i="9" s="1"/>
  <c r="AF803" i="9" s="1"/>
  <c r="AD137" i="9"/>
  <c r="AE137" i="9" s="1"/>
  <c r="AF137" i="9" s="1"/>
  <c r="AD850" i="9"/>
  <c r="AD157" i="9"/>
  <c r="AE157" i="9" s="1"/>
  <c r="AF157" i="9" s="1"/>
  <c r="AD777" i="9"/>
  <c r="AD458" i="9"/>
  <c r="AE458" i="9" s="1"/>
  <c r="AF458" i="9" s="1"/>
  <c r="AD824" i="9"/>
  <c r="AE824" i="9" s="1"/>
  <c r="AF824" i="9" s="1"/>
  <c r="AD498" i="9"/>
  <c r="AE498" i="9" s="1"/>
  <c r="AF498" i="9" s="1"/>
  <c r="AD664" i="9"/>
  <c r="AE664" i="9" s="1"/>
  <c r="AF664" i="9" s="1"/>
  <c r="AD515" i="9"/>
  <c r="AE515" i="9" s="1"/>
  <c r="AF515" i="9" s="1"/>
  <c r="AD497" i="9"/>
  <c r="AD478" i="9"/>
  <c r="AE478" i="9" s="1"/>
  <c r="AF478" i="9" s="1"/>
  <c r="AD297" i="9"/>
  <c r="AD288" i="9"/>
  <c r="AE288" i="9" s="1"/>
  <c r="AF288" i="9" s="1"/>
  <c r="AD755" i="9"/>
  <c r="AE755" i="9" s="1"/>
  <c r="AF755" i="9" s="1"/>
  <c r="AD723" i="9"/>
  <c r="AE723" i="9" s="1"/>
  <c r="AF723" i="9" s="1"/>
  <c r="AD658" i="9"/>
  <c r="AE658" i="9" s="1"/>
  <c r="AF658" i="9" s="1"/>
  <c r="AD530" i="9"/>
  <c r="AE530" i="9" s="1"/>
  <c r="AF530" i="9" s="1"/>
  <c r="AD177" i="9"/>
  <c r="AD814" i="9"/>
  <c r="AE814" i="9" s="1"/>
  <c r="AF814" i="9" s="1"/>
  <c r="AD790" i="9"/>
  <c r="AD684" i="9"/>
  <c r="AE684" i="9" s="1"/>
  <c r="AF684" i="9" s="1"/>
  <c r="AD749" i="9"/>
  <c r="AE749" i="9" s="1"/>
  <c r="AF749" i="9" s="1"/>
  <c r="AD703" i="9"/>
  <c r="AE703" i="9" s="1"/>
  <c r="AF703" i="9" s="1"/>
  <c r="AD123" i="9"/>
  <c r="AE123" i="9" s="1"/>
  <c r="AF123" i="9" s="1"/>
  <c r="AD536" i="9"/>
  <c r="AE536" i="9" s="1"/>
  <c r="AF536" i="9" s="1"/>
  <c r="AD552" i="9"/>
  <c r="AD327" i="9"/>
  <c r="AE327" i="9" s="1"/>
  <c r="AF327" i="9" s="1"/>
  <c r="AD338" i="9"/>
  <c r="AD612" i="9"/>
  <c r="AD853" i="9"/>
  <c r="AE853" i="9" s="1"/>
  <c r="AF853" i="9" s="1"/>
  <c r="AD427" i="9"/>
  <c r="AE427" i="9" s="1"/>
  <c r="AF427" i="9" s="1"/>
  <c r="AD307" i="9"/>
  <c r="AE307" i="9" s="1"/>
  <c r="AF307" i="9" s="1"/>
  <c r="AD520" i="9"/>
  <c r="AE520" i="9" s="1"/>
  <c r="AF520" i="9" s="1"/>
  <c r="AD414" i="9"/>
  <c r="AD457" i="9"/>
  <c r="AE457" i="9" s="1"/>
  <c r="AF457" i="9" s="1"/>
  <c r="AD420" i="9"/>
  <c r="Q6" i="8"/>
  <c r="AD487" i="9"/>
  <c r="AE487" i="9" s="1"/>
  <c r="AF487" i="9" s="1"/>
  <c r="AD369" i="9"/>
  <c r="AE369" i="9" s="1"/>
  <c r="AF369" i="9" s="1"/>
  <c r="AD532" i="9"/>
  <c r="AE532" i="9" s="1"/>
  <c r="AF532" i="9" s="1"/>
  <c r="AD308" i="9"/>
  <c r="AE308" i="9" s="1"/>
  <c r="AF308" i="9" s="1"/>
  <c r="AD454" i="9"/>
  <c r="AD367" i="9"/>
  <c r="AE367" i="9" s="1"/>
  <c r="AF367" i="9" s="1"/>
  <c r="AD842" i="9"/>
  <c r="AD247" i="9"/>
  <c r="AE247" i="9" s="1"/>
  <c r="AF247" i="9" s="1"/>
  <c r="AD614" i="9"/>
  <c r="AE614" i="9" s="1"/>
  <c r="AF614" i="9" s="1"/>
  <c r="AD537" i="9"/>
  <c r="AE537" i="9" s="1"/>
  <c r="AF537" i="9" s="1"/>
  <c r="AD477" i="9"/>
  <c r="AE477" i="9" s="1"/>
  <c r="AF477" i="9" s="1"/>
  <c r="AD573" i="9"/>
  <c r="AE573" i="9" s="1"/>
  <c r="AF573" i="9" s="1"/>
  <c r="AD368" i="9"/>
  <c r="AD209" i="9"/>
  <c r="AE209" i="9" s="1"/>
  <c r="AF209" i="9" s="1"/>
  <c r="AD510" i="9"/>
  <c r="AD357" i="9"/>
  <c r="AE357" i="9" s="1"/>
  <c r="AF357" i="9" s="1"/>
  <c r="AD456" i="9"/>
  <c r="AE456" i="9" s="1"/>
  <c r="AF456" i="9" s="1"/>
  <c r="AD644" i="9"/>
  <c r="AE644" i="9" s="1"/>
  <c r="AF644" i="9" s="1"/>
  <c r="AD740" i="9"/>
  <c r="AE740" i="9" s="1"/>
  <c r="AF740" i="9" s="1"/>
  <c r="AD583" i="9"/>
  <c r="AE583" i="9" s="1"/>
  <c r="AF583" i="9" s="1"/>
  <c r="AD811" i="9"/>
  <c r="AD359" i="9"/>
  <c r="AE359" i="9" s="1"/>
  <c r="AF359" i="9" s="1"/>
  <c r="AD582" i="9"/>
  <c r="AD469" i="9"/>
  <c r="AE469" i="9" s="1"/>
  <c r="AF469" i="9" s="1"/>
  <c r="AD594" i="9"/>
  <c r="AE594" i="9" s="1"/>
  <c r="AF594" i="9" s="1"/>
  <c r="AD633" i="9"/>
  <c r="AE633" i="9" s="1"/>
  <c r="AF633" i="9" s="1"/>
  <c r="AD821" i="9"/>
  <c r="AE821" i="9" s="1"/>
  <c r="AF821" i="9" s="1"/>
  <c r="AD693" i="9"/>
  <c r="AE693" i="9" s="1"/>
  <c r="AF693" i="9" s="1"/>
  <c r="AD322" i="9"/>
  <c r="AD741" i="9"/>
  <c r="AE741" i="9" s="1"/>
  <c r="AF741" i="9" s="1"/>
  <c r="AD862" i="9"/>
  <c r="AD419" i="9"/>
  <c r="AE419" i="9" s="1"/>
  <c r="AF419" i="9" s="1"/>
  <c r="AD287" i="9"/>
  <c r="AE287" i="9" s="1"/>
  <c r="AF287" i="9" s="1"/>
  <c r="AD829" i="9"/>
  <c r="AE829" i="9" s="1"/>
  <c r="AF829" i="9" s="1"/>
  <c r="AD848" i="9"/>
  <c r="AE848" i="9" s="1"/>
  <c r="AF848" i="9" s="1"/>
  <c r="AD681" i="9"/>
  <c r="AE681" i="9" s="1"/>
  <c r="AF681" i="9" s="1"/>
  <c r="AD645" i="9"/>
  <c r="AD328" i="9"/>
  <c r="AE328" i="9" s="1"/>
  <c r="AF328" i="9" s="1"/>
  <c r="AD718" i="9"/>
  <c r="AD779" i="9"/>
  <c r="AD516" i="9"/>
  <c r="AE516" i="9" s="1"/>
  <c r="AF516" i="9" s="1"/>
  <c r="AD493" i="9"/>
  <c r="AE493" i="9" s="1"/>
  <c r="AF493" i="9" s="1"/>
  <c r="AD268" i="9"/>
  <c r="AE268" i="9" s="1"/>
  <c r="AF268" i="9" s="1"/>
  <c r="AD653" i="9"/>
  <c r="AE653" i="9" s="1"/>
  <c r="AF653" i="9" s="1"/>
  <c r="AD42" i="9"/>
  <c r="AD43" i="9"/>
  <c r="AE43" i="9" s="1"/>
  <c r="AF43" i="9" s="1"/>
  <c r="AD839" i="9"/>
  <c r="AD305" i="9"/>
  <c r="AD171" i="9"/>
  <c r="AE171" i="9" s="1"/>
  <c r="AF171" i="9" s="1"/>
  <c r="AD488" i="9"/>
  <c r="AE488" i="9" s="1"/>
  <c r="AF488" i="9" s="1"/>
  <c r="AD513" i="9"/>
  <c r="AE513" i="9" s="1"/>
  <c r="AF513" i="9" s="1"/>
  <c r="AD23" i="9"/>
  <c r="AE23" i="9" s="1"/>
  <c r="AF23" i="9" s="1"/>
  <c r="AD30" i="9"/>
  <c r="AD490" i="9"/>
  <c r="AE490" i="9" s="1"/>
  <c r="AF490" i="9" s="1"/>
  <c r="AD126" i="9"/>
  <c r="AD11" i="9"/>
  <c r="AE11" i="9" s="1"/>
  <c r="AF11" i="9" s="1"/>
  <c r="AD370" i="9"/>
  <c r="AE370" i="9" s="1"/>
  <c r="AF370" i="9" s="1"/>
  <c r="AD56" i="9"/>
  <c r="AE56" i="9" s="1"/>
  <c r="AF56" i="9" s="1"/>
  <c r="AD358" i="9"/>
  <c r="AE358" i="9" s="1"/>
  <c r="AF358" i="9" s="1"/>
  <c r="AD31" i="9"/>
  <c r="AE31" i="9" s="1"/>
  <c r="AF31" i="9" s="1"/>
  <c r="AD16" i="9"/>
  <c r="Q4" i="8"/>
  <c r="AD712" i="9"/>
  <c r="AD845" i="9"/>
  <c r="AE845" i="9" s="1"/>
  <c r="AF845" i="9" s="1"/>
  <c r="AD610" i="9"/>
  <c r="AE610" i="9" s="1"/>
  <c r="AF610" i="9" s="1"/>
  <c r="AD304" i="9"/>
  <c r="AE304" i="9" s="1"/>
  <c r="AF304" i="9" s="1"/>
  <c r="AD649" i="9"/>
  <c r="AE649" i="9" s="1"/>
  <c r="AF649" i="9" s="1"/>
  <c r="AD138" i="9"/>
  <c r="AE138" i="9" s="1"/>
  <c r="AF138" i="9" s="1"/>
  <c r="AD275" i="9"/>
  <c r="AD666" i="9"/>
  <c r="AE666" i="9" s="1"/>
  <c r="AF666" i="9" s="1"/>
  <c r="AD788" i="9"/>
  <c r="AD383" i="9"/>
  <c r="AE383" i="9" s="1"/>
  <c r="AF383" i="9" s="1"/>
  <c r="AD825" i="9"/>
  <c r="AE825" i="9" s="1"/>
  <c r="AF825" i="9" s="1"/>
  <c r="AD804" i="9"/>
  <c r="AE804" i="9" s="1"/>
  <c r="AF804" i="9" s="1"/>
  <c r="AD589" i="9"/>
  <c r="AE589" i="9" s="1"/>
  <c r="AF589" i="9" s="1"/>
  <c r="AD799" i="9"/>
  <c r="AE799" i="9" s="1"/>
  <c r="AF799" i="9" s="1"/>
  <c r="AD699" i="9"/>
  <c r="AD298" i="9"/>
  <c r="AE298" i="9" s="1"/>
  <c r="AF298" i="9" s="1"/>
  <c r="AD698" i="9"/>
  <c r="AD293" i="9"/>
  <c r="AE293" i="9" s="1"/>
  <c r="AF293" i="9" s="1"/>
  <c r="AD680" i="9"/>
  <c r="AE680" i="9" s="1"/>
  <c r="AF680" i="9" s="1"/>
  <c r="AD692" i="9"/>
  <c r="AE692" i="9" s="1"/>
  <c r="AF692" i="9" s="1"/>
  <c r="AD719" i="9"/>
  <c r="AE719" i="9" s="1"/>
  <c r="AF719" i="9" s="1"/>
  <c r="AD333" i="9"/>
  <c r="AE333" i="9" s="1"/>
  <c r="AF333" i="9" s="1"/>
  <c r="AD225" i="9"/>
  <c r="AD748" i="9"/>
  <c r="AE748" i="9" s="1"/>
  <c r="AF748" i="9" s="1"/>
  <c r="AD806" i="9"/>
  <c r="AD763" i="9"/>
  <c r="AD422" i="9"/>
  <c r="AE422" i="9" s="1"/>
  <c r="AF422" i="9" s="1"/>
  <c r="AD246" i="9"/>
  <c r="AE246" i="9" s="1"/>
  <c r="AF246" i="9" s="1"/>
  <c r="AD415" i="9"/>
  <c r="AE415" i="9" s="1"/>
  <c r="AF415" i="9" s="1"/>
  <c r="AD671" i="9"/>
  <c r="AE671" i="9" s="1"/>
  <c r="AF671" i="9" s="1"/>
  <c r="AD473" i="9"/>
  <c r="AD840" i="9"/>
  <c r="AE840" i="9" s="1"/>
  <c r="AF840" i="9" s="1"/>
  <c r="AD266" i="9"/>
  <c r="AD745" i="9"/>
  <c r="AE745" i="9" s="1"/>
  <c r="AF745" i="9" s="1"/>
  <c r="AD861" i="9"/>
  <c r="AE861" i="9" s="1"/>
  <c r="AF861" i="9" s="1"/>
  <c r="AD450" i="9"/>
  <c r="AE450" i="9" s="1"/>
  <c r="AF450" i="9" s="1"/>
  <c r="AD167" i="9"/>
  <c r="AE167" i="9" s="1"/>
  <c r="AF167" i="9" s="1"/>
  <c r="AD773" i="9"/>
  <c r="AE773" i="9" s="1"/>
  <c r="AF773" i="9" s="1"/>
  <c r="AD324" i="9"/>
  <c r="AD822" i="9"/>
  <c r="AE822" i="9" s="1"/>
  <c r="AF822" i="9" s="1"/>
  <c r="AD423" i="9"/>
  <c r="AD296" i="9"/>
  <c r="AE296" i="9" s="1"/>
  <c r="AF296" i="9" s="1"/>
  <c r="AD629" i="9"/>
  <c r="AE629" i="9" s="1"/>
  <c r="AF629" i="9" s="1"/>
  <c r="AD283" i="9"/>
  <c r="AE283" i="9" s="1"/>
  <c r="AF283" i="9" s="1"/>
  <c r="AD764" i="9"/>
  <c r="AE764" i="9" s="1"/>
  <c r="AF764" i="9" s="1"/>
  <c r="AD348" i="9"/>
  <c r="AE348" i="9" s="1"/>
  <c r="AF348" i="9" s="1"/>
  <c r="AD512" i="9"/>
  <c r="AD609" i="9"/>
  <c r="AE609" i="9" s="1"/>
  <c r="AF609" i="9" s="1"/>
  <c r="AD384" i="9"/>
  <c r="AD742" i="9"/>
  <c r="AE742" i="9" s="1"/>
  <c r="AF742" i="9" s="1"/>
  <c r="AD778" i="9"/>
  <c r="AE778" i="9" s="1"/>
  <c r="AF778" i="9" s="1"/>
  <c r="AD12" i="9"/>
  <c r="AE12" i="9" s="1"/>
  <c r="AF12" i="9" s="1"/>
  <c r="AD434" i="9"/>
  <c r="AE434" i="9" s="1"/>
  <c r="AF434" i="9" s="1"/>
  <c r="AD29" i="9"/>
  <c r="AE29" i="9" s="1"/>
  <c r="AF29" i="9" s="1"/>
  <c r="AD18" i="9"/>
  <c r="AD747" i="9"/>
  <c r="AE747" i="9" s="1"/>
  <c r="AF747" i="9" s="1"/>
  <c r="AD841" i="9"/>
  <c r="AD726" i="9"/>
  <c r="AE726" i="9" s="1"/>
  <c r="AF726" i="9" s="1"/>
  <c r="AD347" i="9"/>
  <c r="AE347" i="9" s="1"/>
  <c r="AF347" i="9" s="1"/>
  <c r="AD52" i="9"/>
  <c r="AE52" i="9" s="1"/>
  <c r="AF52" i="9" s="1"/>
  <c r="AD650" i="9"/>
  <c r="AE650" i="9" s="1"/>
  <c r="AF650" i="9" s="1"/>
  <c r="AD21" i="9"/>
  <c r="AE21" i="9" s="1"/>
  <c r="AF21" i="9" s="1"/>
  <c r="Q12" i="8"/>
  <c r="AD236" i="9"/>
  <c r="AE236" i="9" s="1"/>
  <c r="AF236" i="9" s="1"/>
  <c r="AD544" i="9"/>
  <c r="AD355" i="9"/>
  <c r="AE355" i="9" s="1"/>
  <c r="AF355" i="9" s="1"/>
  <c r="AD717" i="9"/>
  <c r="AE717" i="9" s="1"/>
  <c r="AF717" i="9" s="1"/>
  <c r="AD466" i="9"/>
  <c r="AE466" i="9" s="1"/>
  <c r="AF466" i="9" s="1"/>
  <c r="AD682" i="9"/>
  <c r="AE682" i="9" s="1"/>
  <c r="AF682" i="9" s="1"/>
  <c r="AD525" i="9"/>
  <c r="AE525" i="9" s="1"/>
  <c r="AF525" i="9" s="1"/>
  <c r="AD451" i="9"/>
  <c r="AD505" i="9"/>
  <c r="AE505" i="9" s="1"/>
  <c r="AF505" i="9" s="1"/>
  <c r="AD392" i="9"/>
  <c r="AD190" i="9"/>
  <c r="AE190" i="9" s="1"/>
  <c r="AF190" i="9" s="1"/>
  <c r="AD294" i="9"/>
  <c r="AE294" i="9" s="1"/>
  <c r="AF294" i="9" s="1"/>
  <c r="AD391" i="9"/>
  <c r="AE391" i="9" s="1"/>
  <c r="AF391" i="9" s="1"/>
  <c r="AD356" i="9"/>
  <c r="AE356" i="9" s="1"/>
  <c r="AF356" i="9" s="1"/>
  <c r="AD17" i="9"/>
  <c r="AE17" i="9" s="1"/>
  <c r="AF17" i="9" s="1"/>
  <c r="AD412" i="9"/>
  <c r="AD464" i="9"/>
  <c r="AD441" i="9"/>
  <c r="AD522" i="9"/>
  <c r="AE522" i="9" s="1"/>
  <c r="AF522" i="9" s="1"/>
  <c r="AD211" i="9"/>
  <c r="AE211" i="9" s="1"/>
  <c r="AF211" i="9" s="1"/>
  <c r="AD329" i="9"/>
  <c r="AE329" i="9" s="1"/>
  <c r="AF329" i="9" s="1"/>
  <c r="Q11" i="8"/>
  <c r="AD340" i="9"/>
  <c r="AE340" i="9" s="1"/>
  <c r="AF340" i="9" s="1"/>
  <c r="AD206" i="9"/>
  <c r="AD376" i="9"/>
  <c r="AE376" i="9" s="1"/>
  <c r="AF376" i="9" s="1"/>
  <c r="AD187" i="9"/>
  <c r="AD499" i="9"/>
  <c r="AE499" i="9" s="1"/>
  <c r="AF499" i="9" s="1"/>
  <c r="AD662" i="9"/>
  <c r="AE662" i="9" s="1"/>
  <c r="AF662" i="9" s="1"/>
  <c r="AD484" i="9"/>
  <c r="AE484" i="9" s="1"/>
  <c r="AF484" i="9" s="1"/>
  <c r="AD339" i="9"/>
  <c r="AE339" i="9" s="1"/>
  <c r="AF339" i="9" s="1"/>
  <c r="AD406" i="9"/>
  <c r="AE406" i="9" s="1"/>
  <c r="AF406" i="9" s="1"/>
  <c r="AD218" i="9"/>
  <c r="AD816" i="9"/>
  <c r="AE816" i="9" s="1"/>
  <c r="AF816" i="9" s="1"/>
  <c r="AD558" i="9"/>
  <c r="AD168" i="9"/>
  <c r="AE168" i="9" s="1"/>
  <c r="AF168" i="9" s="1"/>
  <c r="AD621" i="9"/>
  <c r="AE621" i="9" s="1"/>
  <c r="AF621" i="9" s="1"/>
  <c r="AD227" i="9"/>
  <c r="AE227" i="9" s="1"/>
  <c r="AF227" i="9" s="1"/>
  <c r="AD375" i="9"/>
  <c r="AE375" i="9" s="1"/>
  <c r="AF375" i="9" s="1"/>
  <c r="AD851" i="9"/>
  <c r="AE851" i="9" s="1"/>
  <c r="AF851" i="9" s="1"/>
  <c r="AD274" i="9"/>
  <c r="AD34" i="9"/>
  <c r="AE34" i="9" s="1"/>
  <c r="AF34" i="9" s="1"/>
  <c r="AD63" i="9"/>
  <c r="AD35" i="9"/>
  <c r="AE35" i="9" s="1"/>
  <c r="AF35" i="9" s="1"/>
  <c r="AD51" i="9"/>
  <c r="AE51" i="9" s="1"/>
  <c r="AF51" i="9" s="1"/>
  <c r="AD485" i="9"/>
  <c r="AE485" i="9" s="1"/>
  <c r="AF485" i="9" s="1"/>
  <c r="AD15" i="9"/>
  <c r="AE15" i="9" s="1"/>
  <c r="AF15" i="9" s="1"/>
  <c r="Q9" i="8"/>
  <c r="AD553" i="9"/>
  <c r="AE553" i="9" s="1"/>
  <c r="AF553" i="9" s="1"/>
  <c r="AD711" i="9"/>
  <c r="AE711" i="9" s="1"/>
  <c r="AF711" i="9" s="1"/>
  <c r="AD460" i="9"/>
  <c r="AD421" i="9"/>
  <c r="AE421" i="9" s="1"/>
  <c r="AF421" i="9" s="1"/>
  <c r="AD783" i="9"/>
  <c r="AE783" i="9" s="1"/>
  <c r="AF783" i="9" s="1"/>
  <c r="AD568" i="9"/>
  <c r="AE568" i="9" s="1"/>
  <c r="AF568" i="9" s="1"/>
  <c r="AD657" i="9"/>
  <c r="AE657" i="9" s="1"/>
  <c r="AF657" i="9" s="1"/>
  <c r="AD831" i="9"/>
  <c r="AE831" i="9" s="1"/>
  <c r="AF831" i="9" s="1"/>
  <c r="AD402" i="9"/>
  <c r="AE402" i="9" s="1"/>
  <c r="AF402" i="9" s="1"/>
  <c r="AD331" i="9"/>
  <c r="AE331" i="9" s="1"/>
  <c r="AF331" i="9" s="1"/>
  <c r="AD290" i="9"/>
  <c r="AD669" i="9"/>
  <c r="AE669" i="9" s="1"/>
  <c r="AF669" i="9" s="1"/>
  <c r="AD521" i="9"/>
  <c r="AE521" i="9" s="1"/>
  <c r="AF521" i="9" s="1"/>
  <c r="AD417" i="9"/>
  <c r="AE417" i="9" s="1"/>
  <c r="AF417" i="9" s="1"/>
  <c r="AD607" i="9"/>
  <c r="AE607" i="9" s="1"/>
  <c r="AF607" i="9" s="1"/>
  <c r="AD479" i="9"/>
  <c r="AE479" i="9" s="1"/>
  <c r="AF479" i="9" s="1"/>
  <c r="AD424" i="9"/>
  <c r="AD628" i="9"/>
  <c r="AE628" i="9" s="1"/>
  <c r="AF628" i="9" s="1"/>
  <c r="AD292" i="9"/>
  <c r="AD706" i="9"/>
  <c r="AE706" i="9" s="1"/>
  <c r="AF706" i="9" s="1"/>
  <c r="AD213" i="9"/>
  <c r="AE213" i="9" s="1"/>
  <c r="AF213" i="9" s="1"/>
  <c r="AD182" i="9"/>
  <c r="AE182" i="9" s="1"/>
  <c r="AF182" i="9" s="1"/>
  <c r="AD196" i="9"/>
  <c r="AE196" i="9" s="1"/>
  <c r="AF196" i="9" s="1"/>
  <c r="AD480" i="9"/>
  <c r="AE480" i="9" s="1"/>
  <c r="AF480" i="9" s="1"/>
  <c r="AD326" i="9"/>
  <c r="AD598" i="9"/>
  <c r="AE598" i="9" s="1"/>
  <c r="AF598" i="9" s="1"/>
  <c r="AD444" i="9"/>
  <c r="AD437" i="9"/>
  <c r="AE437" i="9" s="1"/>
  <c r="AF437" i="9" s="1"/>
  <c r="AD847" i="9"/>
  <c r="AE847" i="9" s="1"/>
  <c r="AF847" i="9" s="1"/>
  <c r="AD261" i="9"/>
  <c r="AE261" i="9" s="1"/>
  <c r="AF261" i="9" s="1"/>
  <c r="AD160" i="9"/>
  <c r="AE160" i="9" s="1"/>
  <c r="AF160" i="9" s="1"/>
  <c r="AD518" i="9"/>
  <c r="AE518" i="9" s="1"/>
  <c r="AF518" i="9" s="1"/>
  <c r="AD481" i="9"/>
  <c r="AD222" i="9"/>
  <c r="AE222" i="9" s="1"/>
  <c r="AF222" i="9" s="1"/>
  <c r="AD164" i="9"/>
  <c r="AD130" i="9"/>
  <c r="AE130" i="9" s="1"/>
  <c r="AF130" i="9" s="1"/>
  <c r="AD256" i="9"/>
  <c r="AE256" i="9" s="1"/>
  <c r="AF256" i="9" s="1"/>
  <c r="AD791" i="9"/>
  <c r="AE791" i="9" s="1"/>
  <c r="AF791" i="9" s="1"/>
  <c r="AD780" i="9"/>
  <c r="AE780" i="9" s="1"/>
  <c r="AF780" i="9" s="1"/>
  <c r="AD685" i="9"/>
  <c r="AE685" i="9" s="1"/>
  <c r="AF685" i="9" s="1"/>
  <c r="AD501" i="9"/>
  <c r="AE501" i="9" s="1"/>
  <c r="AF501" i="9" s="1"/>
  <c r="AD638" i="9"/>
  <c r="AE638" i="9" s="1"/>
  <c r="AF638" i="9" s="1"/>
  <c r="AD722" i="9"/>
  <c r="AD570" i="9"/>
  <c r="AE570" i="9" s="1"/>
  <c r="AF570" i="9" s="1"/>
  <c r="AD584" i="9"/>
  <c r="AE584" i="9" s="1"/>
  <c r="AF584" i="9" s="1"/>
  <c r="AD735" i="9"/>
  <c r="AE735" i="9" s="1"/>
  <c r="AF735" i="9" s="1"/>
  <c r="AD581" i="9"/>
  <c r="AE581" i="9" s="1"/>
  <c r="AF581" i="9" s="1"/>
  <c r="AD569" i="9"/>
  <c r="AE569" i="9" s="1"/>
  <c r="AF569" i="9" s="1"/>
  <c r="AD540" i="9"/>
  <c r="AD678" i="9"/>
  <c r="AE678" i="9" s="1"/>
  <c r="AF678" i="9" s="1"/>
  <c r="AD852" i="9"/>
  <c r="AD713" i="9"/>
  <c r="AE713" i="9" s="1"/>
  <c r="AF713" i="9" s="1"/>
  <c r="AD635" i="9"/>
  <c r="AE635" i="9" s="1"/>
  <c r="AF635" i="9" s="1"/>
  <c r="AD541" i="9"/>
  <c r="AE541" i="9" s="1"/>
  <c r="AF541" i="9" s="1"/>
  <c r="AD403" i="9"/>
  <c r="AE403" i="9" s="1"/>
  <c r="AF403" i="9" s="1"/>
  <c r="AD251" i="9"/>
  <c r="AD198" i="9"/>
  <c r="AD652" i="9"/>
  <c r="AE652" i="9" s="1"/>
  <c r="AF652" i="9" s="1"/>
  <c r="AD219" i="9"/>
  <c r="AD257" i="9"/>
  <c r="AD519" i="9"/>
  <c r="AE519" i="9" s="1"/>
  <c r="AF519" i="9" s="1"/>
  <c r="AD238" i="9"/>
  <c r="AE238" i="9" s="1"/>
  <c r="AF238" i="9" s="1"/>
  <c r="AD285" i="9"/>
  <c r="AE285" i="9" s="1"/>
  <c r="AF285" i="9" s="1"/>
  <c r="AD226" i="9"/>
  <c r="AE226" i="9" s="1"/>
  <c r="AF226" i="9" s="1"/>
  <c r="AD144" i="9"/>
  <c r="AE144" i="9" s="1"/>
  <c r="AF144" i="9" s="1"/>
  <c r="AD770" i="9"/>
  <c r="AE770" i="9" s="1"/>
  <c r="AF770" i="9" s="1"/>
  <c r="AD495" i="9"/>
  <c r="AE495" i="9" s="1"/>
  <c r="AF495" i="9" s="1"/>
  <c r="AD277" i="9"/>
  <c r="AE277" i="9" s="1"/>
  <c r="AF277" i="9" s="1"/>
  <c r="AD145" i="9"/>
  <c r="AE145" i="9" s="1"/>
  <c r="AF145" i="9" s="1"/>
  <c r="AD812" i="9"/>
  <c r="AE812" i="9" s="1"/>
  <c r="AF812" i="9" s="1"/>
  <c r="AD267" i="9"/>
  <c r="AE267" i="9" s="1"/>
  <c r="AF267" i="9" s="1"/>
  <c r="AD13" i="9"/>
  <c r="AE13" i="9" s="1"/>
  <c r="AF13" i="9" s="1"/>
  <c r="AD462" i="9"/>
  <c r="AE462" i="9" s="1"/>
  <c r="AF462" i="9" s="1"/>
  <c r="AD416" i="9"/>
  <c r="AE416" i="9" s="1"/>
  <c r="AF416" i="9" s="1"/>
  <c r="AD232" i="9"/>
  <c r="AE232" i="9" s="1"/>
  <c r="AF232" i="9" s="1"/>
  <c r="AD128" i="9"/>
  <c r="AE128" i="9" s="1"/>
  <c r="AF128" i="9" s="1"/>
  <c r="AD597" i="9"/>
  <c r="AE597" i="9" s="1"/>
  <c r="AF597" i="9" s="1"/>
  <c r="AD10" i="9"/>
  <c r="AE10" i="9" s="1"/>
  <c r="AF10" i="9" s="1"/>
  <c r="AD672" i="9"/>
  <c r="AE672" i="9" s="1"/>
  <c r="AF672" i="9" s="1"/>
  <c r="AD393" i="9"/>
  <c r="AE393" i="9" s="1"/>
  <c r="AF393" i="9" s="1"/>
  <c r="AD203" i="9"/>
  <c r="AD175" i="9"/>
  <c r="AE175" i="9" s="1"/>
  <c r="AF175" i="9" s="1"/>
  <c r="AD139" i="9"/>
  <c r="AD756" i="9"/>
  <c r="AE756" i="9" s="1"/>
  <c r="AF756" i="9" s="1"/>
  <c r="AD325" i="9"/>
  <c r="AE325" i="9" s="1"/>
  <c r="AF325" i="9" s="1"/>
  <c r="AD554" i="9"/>
  <c r="AE554" i="9" s="1"/>
  <c r="AF554" i="9" s="1"/>
  <c r="AD272" i="9"/>
  <c r="AE272" i="9" s="1"/>
  <c r="AF272" i="9" s="1"/>
  <c r="AD354" i="9"/>
  <c r="AE354" i="9" s="1"/>
  <c r="AF354" i="9" s="1"/>
  <c r="AD291" i="9"/>
  <c r="AD471" i="9"/>
  <c r="AE471" i="9" s="1"/>
  <c r="AF471" i="9" s="1"/>
  <c r="AD161" i="9"/>
  <c r="AD618" i="9"/>
  <c r="AE618" i="9" s="1"/>
  <c r="AF618" i="9" s="1"/>
  <c r="Q7" i="8"/>
  <c r="AD750" i="9"/>
  <c r="AE750" i="9" s="1"/>
  <c r="AF750" i="9" s="1"/>
  <c r="AD470" i="9"/>
  <c r="AE470" i="9" s="1"/>
  <c r="AF470" i="9" s="1"/>
  <c r="AD433" i="9"/>
  <c r="AE433" i="9" s="1"/>
  <c r="AF433" i="9" s="1"/>
  <c r="AD491" i="9"/>
  <c r="AE491" i="9" s="1"/>
  <c r="AF491" i="9" s="1"/>
  <c r="AD352" i="9"/>
  <c r="AE352" i="9" s="1"/>
  <c r="AF352" i="9" s="1"/>
  <c r="AD761" i="9"/>
  <c r="AE761" i="9" s="1"/>
  <c r="AF761" i="9" s="1"/>
  <c r="AD548" i="9"/>
  <c r="AE548" i="9" s="1"/>
  <c r="AF548" i="9" s="1"/>
  <c r="AD229" i="9"/>
  <c r="AE229" i="9" s="1"/>
  <c r="AF229" i="9" s="1"/>
  <c r="AD155" i="9"/>
  <c r="AE155" i="9" s="1"/>
  <c r="AF155" i="9" s="1"/>
  <c r="AD509" i="9"/>
  <c r="AE509" i="9" s="1"/>
  <c r="AF509" i="9" s="1"/>
  <c r="AD53" i="9"/>
  <c r="AE53" i="9" s="1"/>
  <c r="AF53" i="9" s="1"/>
  <c r="AD716" i="9"/>
  <c r="AE716" i="9" s="1"/>
  <c r="AF716" i="9" s="1"/>
  <c r="AD408" i="9"/>
  <c r="AE408" i="9" s="1"/>
  <c r="AF408" i="9" s="1"/>
  <c r="AD731" i="9"/>
  <c r="AD648" i="9"/>
  <c r="AE648" i="9" s="1"/>
  <c r="AF648" i="9" s="1"/>
  <c r="AD388" i="9"/>
  <c r="AE388" i="9" s="1"/>
  <c r="AF388" i="9" s="1"/>
  <c r="AD707" i="9"/>
  <c r="AE707" i="9" s="1"/>
  <c r="AF707" i="9" s="1"/>
  <c r="AD243" i="9"/>
  <c r="AE243" i="9" s="1"/>
  <c r="AF243" i="9" s="1"/>
  <c r="AD675" i="9"/>
  <c r="AE675" i="9" s="1"/>
  <c r="AF675" i="9" s="1"/>
  <c r="AD398" i="9"/>
  <c r="AE398" i="9" s="1"/>
  <c r="AF398" i="9" s="1"/>
  <c r="AD174" i="9"/>
  <c r="AE174" i="9" s="1"/>
  <c r="AF174" i="9" s="1"/>
  <c r="AD668" i="9"/>
  <c r="AE668" i="9" s="1"/>
  <c r="AF668" i="9" s="1"/>
  <c r="AD604" i="9"/>
  <c r="AE604" i="9" s="1"/>
  <c r="AF604" i="9" s="1"/>
  <c r="AD250" i="9"/>
  <c r="AE250" i="9" s="1"/>
  <c r="AF250" i="9" s="1"/>
  <c r="AD154" i="9"/>
  <c r="AE154" i="9" s="1"/>
  <c r="AF154" i="9" s="1"/>
  <c r="AD390" i="9"/>
  <c r="AE390" i="9" s="1"/>
  <c r="AF390" i="9" s="1"/>
  <c r="AD766" i="9"/>
  <c r="AE766" i="9" s="1"/>
  <c r="AF766" i="9" s="1"/>
  <c r="AD141" i="9"/>
  <c r="AE141" i="9" s="1"/>
  <c r="AF141" i="9" s="1"/>
  <c r="AD514" i="9"/>
  <c r="AE514" i="9" s="1"/>
  <c r="AF514" i="9" s="1"/>
  <c r="AD281" i="9"/>
  <c r="AD242" i="9"/>
  <c r="AE242" i="9" s="1"/>
  <c r="AF242" i="9" s="1"/>
  <c r="AD387" i="9"/>
  <c r="AE387" i="9" s="1"/>
  <c r="AF387" i="9" s="1"/>
  <c r="AD843" i="9"/>
  <c r="AE843" i="9" s="1"/>
  <c r="AF843" i="9" s="1"/>
  <c r="AD447" i="9"/>
  <c r="AE447" i="9" s="1"/>
  <c r="AF447" i="9" s="1"/>
  <c r="AD702" i="9"/>
  <c r="AE702" i="9" s="1"/>
  <c r="AF702" i="9" s="1"/>
  <c r="AD489" i="9"/>
  <c r="AD124" i="9"/>
  <c r="AE124" i="9" s="1"/>
  <c r="AF124" i="9" s="1"/>
  <c r="AD6" i="9"/>
  <c r="AE6" i="9" s="1"/>
  <c r="AF6" i="9" s="1"/>
  <c r="AD808" i="9"/>
  <c r="AE808" i="9" s="1"/>
  <c r="AF808" i="9" s="1"/>
  <c r="AD563" i="9"/>
  <c r="AE563" i="9" s="1"/>
  <c r="AF563" i="9" s="1"/>
  <c r="AD349" i="9"/>
  <c r="AE349" i="9" s="1"/>
  <c r="AF349" i="9" s="1"/>
  <c r="AD36" i="9"/>
  <c r="AE36" i="9" s="1"/>
  <c r="AF36" i="9" s="1"/>
  <c r="AD270" i="9"/>
  <c r="AE270" i="9" s="1"/>
  <c r="AF270" i="9" s="1"/>
  <c r="AD193" i="9"/>
  <c r="AE193" i="9" s="1"/>
  <c r="AF193" i="9" s="1"/>
  <c r="AD659" i="9"/>
  <c r="AE659" i="9" s="1"/>
  <c r="AF659" i="9" s="1"/>
  <c r="AD22" i="9"/>
  <c r="AD572" i="9"/>
  <c r="AE572" i="9" s="1"/>
  <c r="AF572" i="9" s="1"/>
  <c r="AD696" i="9"/>
  <c r="AE696" i="9" s="1"/>
  <c r="AF696" i="9" s="1"/>
  <c r="AD787" i="9"/>
  <c r="AE787" i="9" s="1"/>
  <c r="AF787" i="9" s="1"/>
  <c r="AD529" i="9"/>
  <c r="AE529" i="9" s="1"/>
  <c r="AF529" i="9" s="1"/>
  <c r="AD351" i="9"/>
  <c r="AE351" i="9" s="1"/>
  <c r="AF351" i="9" s="1"/>
  <c r="AD216" i="9"/>
  <c r="AE216" i="9" s="1"/>
  <c r="AF216" i="9" s="1"/>
  <c r="AD360" i="9"/>
  <c r="AE360" i="9" s="1"/>
  <c r="AF360" i="9" s="1"/>
  <c r="AD33" i="9"/>
  <c r="AE33" i="9" s="1"/>
  <c r="AF33" i="9" s="1"/>
  <c r="Q13" i="8"/>
  <c r="AD134" i="9"/>
  <c r="AE134" i="9" s="1"/>
  <c r="AF134" i="9" s="1"/>
  <c r="AD149" i="9"/>
  <c r="AE149" i="9" s="1"/>
  <c r="AF149" i="9" s="1"/>
  <c r="AD210" i="9"/>
  <c r="AE210" i="9" s="1"/>
  <c r="AF210" i="9" s="1"/>
  <c r="AD817" i="9"/>
  <c r="AE817" i="9" s="1"/>
  <c r="AF817" i="9" s="1"/>
  <c r="AD738" i="9"/>
  <c r="AE738" i="9" s="1"/>
  <c r="AF738" i="9" s="1"/>
  <c r="AD565" i="9"/>
  <c r="AE565" i="9" s="1"/>
  <c r="AF565" i="9" s="1"/>
  <c r="AD344" i="9"/>
  <c r="AD835" i="9"/>
  <c r="AE835" i="9" s="1"/>
  <c r="AF835" i="9" s="1"/>
  <c r="AD642" i="9"/>
  <c r="AE642" i="9" s="1"/>
  <c r="AF642" i="9" s="1"/>
  <c r="AD343" i="9"/>
  <c r="AE343" i="9" s="1"/>
  <c r="AF343" i="9" s="1"/>
  <c r="AD195" i="9"/>
  <c r="AE195" i="9" s="1"/>
  <c r="AF195" i="9" s="1"/>
  <c r="AD506" i="9"/>
  <c r="AE506" i="9" s="1"/>
  <c r="AF506" i="9" s="1"/>
  <c r="AD601" i="9"/>
  <c r="AE601" i="9" s="1"/>
  <c r="AF601" i="9" s="1"/>
  <c r="AD172" i="9"/>
  <c r="AE172" i="9" s="1"/>
  <c r="AF172" i="9" s="1"/>
  <c r="AD771" i="9"/>
  <c r="AE771" i="9" s="1"/>
  <c r="AF771" i="9" s="1"/>
  <c r="AD757" i="9"/>
  <c r="AE757" i="9" s="1"/>
  <c r="AF757" i="9" s="1"/>
  <c r="AD428" i="9"/>
  <c r="AE428" i="9" s="1"/>
  <c r="AF428" i="9" s="1"/>
  <c r="AD231" i="9"/>
  <c r="AE231" i="9" s="1"/>
  <c r="AF231" i="9" s="1"/>
  <c r="AD857" i="9"/>
  <c r="AE857" i="9" s="1"/>
  <c r="AF857" i="9" s="1"/>
  <c r="AD273" i="9"/>
  <c r="AE273" i="9" s="1"/>
  <c r="AF273" i="9" s="1"/>
  <c r="AD215" i="9"/>
  <c r="AE215" i="9" s="1"/>
  <c r="AF215" i="9" s="1"/>
  <c r="AD759" i="9"/>
  <c r="AE759" i="9" s="1"/>
  <c r="AF759" i="9" s="1"/>
  <c r="AD446" i="9"/>
  <c r="AE446" i="9" s="1"/>
  <c r="AF446" i="9" s="1"/>
  <c r="AD534" i="9"/>
  <c r="AE534" i="9" s="1"/>
  <c r="AF534" i="9" s="1"/>
  <c r="AD289" i="9"/>
  <c r="AE289" i="9" s="1"/>
  <c r="AF289" i="9" s="1"/>
  <c r="AD397" i="9"/>
  <c r="AE397" i="9" s="1"/>
  <c r="AF397" i="9" s="1"/>
  <c r="AD269" i="9"/>
  <c r="AE269" i="9" s="1"/>
  <c r="AF269" i="9" s="1"/>
  <c r="AD252" i="9"/>
  <c r="AE252" i="9" s="1"/>
  <c r="AF252" i="9" s="1"/>
  <c r="AD132" i="9"/>
  <c r="AE132" i="9" s="1"/>
  <c r="AF132" i="9" s="1"/>
  <c r="AD234" i="9"/>
  <c r="AE234" i="9" s="1"/>
  <c r="AF234" i="9" s="1"/>
  <c r="AD152" i="9"/>
  <c r="AD14" i="9"/>
  <c r="AE14" i="9" s="1"/>
  <c r="AF14" i="9" s="1"/>
  <c r="AD639" i="9"/>
  <c r="AE639" i="9" s="1"/>
  <c r="AF639" i="9" s="1"/>
  <c r="AD760" i="9"/>
  <c r="AE760" i="9" s="1"/>
  <c r="AF760" i="9" s="1"/>
  <c r="AD407" i="9"/>
  <c r="AE407" i="9" s="1"/>
  <c r="AF407" i="9" s="1"/>
  <c r="AD214" i="9"/>
  <c r="AE214" i="9" s="1"/>
  <c r="AF214" i="9" s="1"/>
  <c r="AD129" i="9"/>
  <c r="AE129" i="9" s="1"/>
  <c r="AF129" i="9" s="1"/>
  <c r="AD818" i="9"/>
  <c r="AE818" i="9" s="1"/>
  <c r="AF818" i="9" s="1"/>
  <c r="AD486" i="9"/>
  <c r="AE486" i="9" s="1"/>
  <c r="AF486" i="9" s="1"/>
  <c r="AD465" i="9"/>
  <c r="AE465" i="9" s="1"/>
  <c r="AF465" i="9" s="1"/>
  <c r="AD439" i="9"/>
  <c r="AE439" i="9" s="1"/>
  <c r="AF439" i="9" s="1"/>
  <c r="AD838" i="9"/>
  <c r="AE838" i="9" s="1"/>
  <c r="AF838" i="9" s="1"/>
  <c r="AD46" i="9"/>
  <c r="AE46" i="9" s="1"/>
  <c r="AF46" i="9" s="1"/>
  <c r="AD837" i="9"/>
  <c r="AE837" i="9" s="1"/>
  <c r="AF837" i="9" s="1"/>
  <c r="AD425" i="9"/>
  <c r="AE425" i="9" s="1"/>
  <c r="AF425" i="9" s="1"/>
  <c r="AD191" i="9"/>
  <c r="AE191" i="9" s="1"/>
  <c r="AF191" i="9" s="1"/>
  <c r="AD523" i="9"/>
  <c r="AE523" i="9" s="1"/>
  <c r="AF523" i="9" s="1"/>
  <c r="AD430" i="9"/>
  <c r="AE430" i="9" s="1"/>
  <c r="AF430" i="9" s="1"/>
  <c r="AD550" i="9"/>
  <c r="AE550" i="9" s="1"/>
  <c r="AF550" i="9" s="1"/>
  <c r="AD249" i="9"/>
  <c r="AE249" i="9" s="1"/>
  <c r="AF249" i="9" s="1"/>
  <c r="AD737" i="9"/>
  <c r="AE737" i="9" s="1"/>
  <c r="AF737" i="9" s="1"/>
  <c r="AD858" i="9"/>
  <c r="AE858" i="9" s="1"/>
  <c r="AF858" i="9" s="1"/>
  <c r="AD800" i="9"/>
  <c r="AE800" i="9" s="1"/>
  <c r="AF800" i="9" s="1"/>
  <c r="AD431" i="9"/>
  <c r="AE431" i="9" s="1"/>
  <c r="AF431" i="9" s="1"/>
  <c r="AD248" i="9"/>
  <c r="AD194" i="9"/>
  <c r="AE194" i="9" s="1"/>
  <c r="AF194" i="9" s="1"/>
  <c r="AD271" i="9"/>
  <c r="AE271" i="9" s="1"/>
  <c r="AF271" i="9" s="1"/>
  <c r="AD380" i="9"/>
  <c r="AE380" i="9" s="1"/>
  <c r="AF380" i="9" s="1"/>
  <c r="AD836" i="9"/>
  <c r="AE836" i="9" s="1"/>
  <c r="AF836" i="9" s="1"/>
  <c r="AD131" i="9"/>
  <c r="AE131" i="9" s="1"/>
  <c r="AF131" i="9" s="1"/>
  <c r="AD504" i="9"/>
  <c r="AE504" i="9" s="1"/>
  <c r="AF504" i="9" s="1"/>
  <c r="AD169" i="9"/>
  <c r="AE169" i="9" s="1"/>
  <c r="AF169" i="9" s="1"/>
  <c r="AD561" i="9"/>
  <c r="AD798" i="9"/>
  <c r="AE798" i="9" s="1"/>
  <c r="AF798" i="9" s="1"/>
  <c r="AD611" i="9"/>
  <c r="AE611" i="9" s="1"/>
  <c r="AF611" i="9" s="1"/>
  <c r="AD235" i="9"/>
  <c r="AE235" i="9" s="1"/>
  <c r="AF235" i="9" s="1"/>
  <c r="AD379" i="9"/>
  <c r="AE379" i="9" s="1"/>
  <c r="AF379" i="9" s="1"/>
  <c r="AD483" i="9"/>
  <c r="AE483" i="9" s="1"/>
  <c r="AF483" i="9" s="1"/>
  <c r="AD400" i="9"/>
  <c r="AD253" i="9"/>
  <c r="AE253" i="9" s="1"/>
  <c r="AF253" i="9" s="1"/>
  <c r="AD448" i="9"/>
  <c r="AE448" i="9" s="1"/>
  <c r="AF448" i="9" s="1"/>
  <c r="AD230" i="9"/>
  <c r="AE230" i="9" s="1"/>
  <c r="AF230" i="9" s="1"/>
  <c r="K314" i="14"/>
  <c r="K392" i="11"/>
  <c r="L43" i="20"/>
  <c r="L43" i="14"/>
  <c r="L43" i="11"/>
  <c r="O3" i="8"/>
  <c r="AE301" i="9"/>
  <c r="AF301" i="9" s="1"/>
  <c r="AE300" i="9"/>
  <c r="AF300" i="9" s="1"/>
  <c r="AE335" i="9"/>
  <c r="AF335" i="9" s="1"/>
  <c r="AE341" i="9"/>
  <c r="AF341" i="9" s="1"/>
  <c r="AE319" i="9"/>
  <c r="AF319" i="9" s="1"/>
  <c r="AE32" i="9"/>
  <c r="AF32" i="9" s="1"/>
  <c r="AE58" i="9"/>
  <c r="AF58" i="9" s="1"/>
  <c r="AE625" i="9"/>
  <c r="AF625" i="9" s="1"/>
  <c r="AE704" i="9"/>
  <c r="AF704" i="9" s="1"/>
  <c r="AE827" i="9"/>
  <c r="AF827" i="9" s="1"/>
  <c r="AE691" i="9"/>
  <c r="AF691" i="9" s="1"/>
  <c r="AE443" i="9"/>
  <c r="AF443" i="9" s="1"/>
  <c r="AE705" i="9"/>
  <c r="AF705" i="9" s="1"/>
  <c r="AE701" i="9"/>
  <c r="AF701" i="9" s="1"/>
  <c r="AE49" i="9"/>
  <c r="AF49" i="9" s="1"/>
  <c r="AE797" i="9"/>
  <c r="AF797" i="9" s="1"/>
  <c r="AE578" i="9"/>
  <c r="AF578" i="9" s="1"/>
  <c r="AE366" i="9"/>
  <c r="AF366" i="9" s="1"/>
  <c r="AE404" i="9"/>
  <c r="AF404" i="9" s="1"/>
  <c r="AB37" i="26"/>
  <c r="AC37" i="26" s="1"/>
  <c r="AD37" i="26" s="1"/>
  <c r="AB9" i="26"/>
  <c r="AC9" i="26" s="1"/>
  <c r="AD9" i="26" s="1"/>
  <c r="AB11" i="26"/>
  <c r="AC11" i="26" s="1"/>
  <c r="AD11" i="26" s="1"/>
  <c r="AE826" i="9"/>
  <c r="AF826" i="9" s="1"/>
  <c r="AE237" i="9"/>
  <c r="AF237" i="9" s="1"/>
  <c r="AE179" i="9"/>
  <c r="AF179" i="9" s="1"/>
  <c r="AB39" i="26"/>
  <c r="AC39" i="26" s="1"/>
  <c r="AD39" i="26" s="1"/>
  <c r="AE384" i="9"/>
  <c r="AF384" i="9" s="1"/>
  <c r="O10" i="8"/>
  <c r="AE223" i="9"/>
  <c r="AF223" i="9" s="1"/>
  <c r="AE127" i="9"/>
  <c r="AF127" i="9" s="1"/>
  <c r="AE180" i="9"/>
  <c r="AF180" i="9" s="1"/>
  <c r="AE239" i="9"/>
  <c r="AF239" i="9" s="1"/>
  <c r="AE202" i="9"/>
  <c r="AF202" i="9" s="1"/>
  <c r="AE587" i="9"/>
  <c r="AF587" i="9" s="1"/>
  <c r="AE396" i="9"/>
  <c r="AF396" i="9" s="1"/>
  <c r="AE502" i="9"/>
  <c r="AF502" i="9" s="1"/>
  <c r="AE500" i="9"/>
  <c r="AF500" i="9" s="1"/>
  <c r="AE720" i="9"/>
  <c r="AF720" i="9" s="1"/>
  <c r="AE700" i="9"/>
  <c r="AF700" i="9" s="1"/>
  <c r="AE459" i="9"/>
  <c r="AF459" i="9" s="1"/>
  <c r="AE854" i="9"/>
  <c r="AF854" i="9" s="1"/>
  <c r="AE637" i="9"/>
  <c r="AF637" i="9" s="1"/>
  <c r="AE834" i="9"/>
  <c r="AF834" i="9" s="1"/>
  <c r="AE753" i="9"/>
  <c r="AF753" i="9" s="1"/>
  <c r="AE710" i="9"/>
  <c r="AF710" i="9" s="1"/>
  <c r="AE558" i="9"/>
  <c r="AF558" i="9" s="1"/>
  <c r="AE332" i="9"/>
  <c r="AF332" i="9" s="1"/>
  <c r="AE254" i="9"/>
  <c r="AF254" i="9" s="1"/>
  <c r="AE312" i="9"/>
  <c r="AF312" i="9" s="1"/>
  <c r="AE461" i="9"/>
  <c r="AF461" i="9" s="1"/>
  <c r="AB6" i="26"/>
  <c r="AC6" i="26" s="1"/>
  <c r="AD6" i="26" s="1"/>
  <c r="AE586" i="9"/>
  <c r="AF586" i="9" s="1"/>
  <c r="AE186" i="9"/>
  <c r="AF186" i="9" s="1"/>
  <c r="O7" i="8"/>
  <c r="AE297" i="9"/>
  <c r="AF297" i="9" s="1"/>
  <c r="AE612" i="9"/>
  <c r="AF612" i="9" s="1"/>
  <c r="AE734" i="9"/>
  <c r="AF734" i="9" s="1"/>
  <c r="AE22" i="9"/>
  <c r="AF22" i="9" s="1"/>
  <c r="AB24" i="26"/>
  <c r="AC24" i="26" s="1"/>
  <c r="AD24" i="26" s="1"/>
  <c r="AB22" i="26"/>
  <c r="AC22" i="26" s="1"/>
  <c r="AD22" i="26" s="1"/>
  <c r="AE497" i="9"/>
  <c r="AF497" i="9" s="1"/>
  <c r="AE489" i="9"/>
  <c r="AF489" i="9" s="1"/>
  <c r="O6" i="8"/>
  <c r="AE281" i="9"/>
  <c r="AF281" i="9" s="1"/>
  <c r="AE305" i="9"/>
  <c r="AF305" i="9" s="1"/>
  <c r="AE368" i="9"/>
  <c r="AF368" i="9" s="1"/>
  <c r="AE779" i="9"/>
  <c r="AF779" i="9" s="1"/>
  <c r="AE811" i="9"/>
  <c r="AF811" i="9" s="1"/>
  <c r="AE731" i="9"/>
  <c r="AF731" i="9" s="1"/>
  <c r="AE839" i="9"/>
  <c r="AF839" i="9" s="1"/>
  <c r="AE582" i="9"/>
  <c r="AF582" i="9" s="1"/>
  <c r="AE842" i="9"/>
  <c r="AF842" i="9" s="1"/>
  <c r="AE42" i="9"/>
  <c r="AF42" i="9" s="1"/>
  <c r="AB23" i="26"/>
  <c r="AC23" i="26" s="1"/>
  <c r="AD23" i="26" s="1"/>
  <c r="AE862" i="9"/>
  <c r="AF862" i="9" s="1"/>
  <c r="AE322" i="9"/>
  <c r="AF322" i="9" s="1"/>
  <c r="AE510" i="9"/>
  <c r="AF510" i="9" s="1"/>
  <c r="AE30" i="9"/>
  <c r="AF30" i="9" s="1"/>
  <c r="AB35" i="26"/>
  <c r="AC35" i="26" s="1"/>
  <c r="AD35" i="26" s="1"/>
  <c r="AE454" i="9"/>
  <c r="AF454" i="9" s="1"/>
  <c r="AE126" i="9"/>
  <c r="AF126" i="9" s="1"/>
  <c r="AE16" i="9"/>
  <c r="AF16" i="9" s="1"/>
  <c r="AB30" i="26"/>
  <c r="AC30" i="26" s="1"/>
  <c r="AD30" i="26" s="1"/>
  <c r="AB21" i="26"/>
  <c r="AC21" i="26" s="1"/>
  <c r="AD21" i="26" s="1"/>
  <c r="AB32" i="26"/>
  <c r="AC32" i="26" s="1"/>
  <c r="AD32" i="26" s="1"/>
  <c r="AB33" i="26"/>
  <c r="AC33" i="26" s="1"/>
  <c r="AD33" i="26" s="1"/>
  <c r="O5" i="8"/>
  <c r="AE7" i="9"/>
  <c r="AF7" i="9" s="1"/>
  <c r="AE436" i="9"/>
  <c r="AF436" i="9" s="1"/>
  <c r="AE593" i="9"/>
  <c r="AF593" i="9" s="1"/>
  <c r="AE549" i="9"/>
  <c r="AF549" i="9" s="1"/>
  <c r="AE389" i="9"/>
  <c r="AF389" i="9" s="1"/>
  <c r="AE476" i="9"/>
  <c r="AF476" i="9" s="1"/>
  <c r="AE626" i="9"/>
  <c r="AF626" i="9" s="1"/>
  <c r="AE807" i="9"/>
  <c r="AF807" i="9" s="1"/>
  <c r="AE631" i="9"/>
  <c r="AF631" i="9" s="1"/>
  <c r="AE776" i="9"/>
  <c r="AF776" i="9" s="1"/>
  <c r="AE752" i="9"/>
  <c r="AF752" i="9" s="1"/>
  <c r="AE665" i="9"/>
  <c r="AF665" i="9" s="1"/>
  <c r="AE730" i="9"/>
  <c r="AF730" i="9" s="1"/>
  <c r="AE606" i="9"/>
  <c r="AF606" i="9" s="1"/>
  <c r="AE645" i="9"/>
  <c r="AF645" i="9" s="1"/>
  <c r="AE802" i="9"/>
  <c r="AF802" i="9" s="1"/>
  <c r="AE718" i="9"/>
  <c r="AF718" i="9" s="1"/>
  <c r="AE709" i="9"/>
  <c r="AF709" i="9" s="1"/>
  <c r="AE860" i="9"/>
  <c r="AF860" i="9" s="1"/>
  <c r="AE632" i="9"/>
  <c r="AF632" i="9" s="1"/>
  <c r="AE828" i="9"/>
  <c r="AF828" i="9" s="1"/>
  <c r="AE786" i="9"/>
  <c r="AF786" i="9" s="1"/>
  <c r="AB40" i="26"/>
  <c r="AC40" i="26" s="1"/>
  <c r="AD40" i="26" s="1"/>
  <c r="AE411" i="9"/>
  <c r="AF411" i="9" s="1"/>
  <c r="AB10" i="26"/>
  <c r="AC10" i="26" s="1"/>
  <c r="AD10" i="26" s="1"/>
  <c r="AE438" i="9"/>
  <c r="AF438" i="9" s="1"/>
  <c r="AB31" i="26"/>
  <c r="AC31" i="26" s="1"/>
  <c r="AD31" i="26" s="1"/>
  <c r="AB38" i="26"/>
  <c r="AC38" i="26" s="1"/>
  <c r="AD38" i="26" s="1"/>
  <c r="AE844" i="9"/>
  <c r="AF844" i="9" s="1"/>
  <c r="AE624" i="9"/>
  <c r="AF624" i="9" s="1"/>
  <c r="AB12" i="26"/>
  <c r="AC12" i="26" s="1"/>
  <c r="AD12" i="26" s="1"/>
  <c r="AE846" i="9"/>
  <c r="AF846" i="9" s="1"/>
  <c r="AB29" i="26"/>
  <c r="AC29" i="26" s="1"/>
  <c r="AD29" i="26" s="1"/>
  <c r="O9" i="8"/>
  <c r="AE292" i="9"/>
  <c r="AF292" i="9" s="1"/>
  <c r="AE219" i="9"/>
  <c r="AF219" i="9" s="1"/>
  <c r="AE257" i="9"/>
  <c r="AF257" i="9" s="1"/>
  <c r="AE139" i="9"/>
  <c r="AF139" i="9" s="1"/>
  <c r="AE164" i="9"/>
  <c r="AF164" i="9" s="1"/>
  <c r="AE444" i="9"/>
  <c r="AF444" i="9" s="1"/>
  <c r="AE540" i="9"/>
  <c r="AF540" i="9" s="1"/>
  <c r="AE460" i="9"/>
  <c r="AF460" i="9" s="1"/>
  <c r="AE161" i="9"/>
  <c r="AF161" i="9" s="1"/>
  <c r="AE767" i="9"/>
  <c r="AF767" i="9" s="1"/>
  <c r="AE326" i="9"/>
  <c r="AF326" i="9" s="1"/>
  <c r="AE290" i="9"/>
  <c r="AF290" i="9" s="1"/>
  <c r="AE722" i="9"/>
  <c r="AF722" i="9" s="1"/>
  <c r="AE852" i="9"/>
  <c r="AF852" i="9" s="1"/>
  <c r="AE291" i="9"/>
  <c r="AF291" i="9" s="1"/>
  <c r="AB36" i="26"/>
  <c r="AC36" i="26" s="1"/>
  <c r="AD36" i="26" s="1"/>
  <c r="AB8" i="26"/>
  <c r="AC8" i="26" s="1"/>
  <c r="AD8" i="26" s="1"/>
  <c r="AE203" i="9"/>
  <c r="AF203" i="9" s="1"/>
  <c r="AB25" i="26"/>
  <c r="AC25" i="26" s="1"/>
  <c r="AD25" i="26" s="1"/>
  <c r="AB27" i="26"/>
  <c r="AC27" i="26" s="1"/>
  <c r="AD27" i="26" s="1"/>
  <c r="AB5" i="26"/>
  <c r="AC5" i="26" s="1"/>
  <c r="AD5" i="26" s="1"/>
  <c r="AB13" i="26"/>
  <c r="AC13" i="26" s="1"/>
  <c r="AD13" i="26" s="1"/>
  <c r="AE481" i="9"/>
  <c r="AF481" i="9" s="1"/>
  <c r="AB15" i="26"/>
  <c r="AC15" i="26" s="1"/>
  <c r="AD15" i="26" s="1"/>
  <c r="AE424" i="9"/>
  <c r="AF424" i="9" s="1"/>
  <c r="AE198" i="9"/>
  <c r="AF198" i="9" s="1"/>
  <c r="AB7" i="26"/>
  <c r="AC7" i="26" s="1"/>
  <c r="AD7" i="26" s="1"/>
  <c r="AE251" i="9"/>
  <c r="AF251" i="9" s="1"/>
  <c r="AE409" i="9"/>
  <c r="AF409" i="9" s="1"/>
  <c r="AE472" i="9"/>
  <c r="AF472" i="9" s="1"/>
  <c r="AE777" i="9"/>
  <c r="AF777" i="9" s="1"/>
  <c r="AE623" i="9"/>
  <c r="AF623" i="9" s="1"/>
  <c r="AE617" i="9"/>
  <c r="AF617" i="9" s="1"/>
  <c r="AE517" i="9"/>
  <c r="AF517" i="9" s="1"/>
  <c r="AE850" i="9"/>
  <c r="AF850" i="9" s="1"/>
  <c r="AE809" i="9"/>
  <c r="AF809" i="9" s="1"/>
  <c r="AE790" i="9"/>
  <c r="AF790" i="9" s="1"/>
  <c r="AE552" i="9"/>
  <c r="AF552" i="9" s="1"/>
  <c r="AE496" i="9"/>
  <c r="AF496" i="9" s="1"/>
  <c r="AE440" i="9"/>
  <c r="AF440" i="9" s="1"/>
  <c r="AE399" i="9"/>
  <c r="AF399" i="9" s="1"/>
  <c r="AE420" i="9"/>
  <c r="AF420" i="9" s="1"/>
  <c r="AE177" i="9"/>
  <c r="AF177" i="9" s="1"/>
  <c r="AE414" i="9"/>
  <c r="AF414" i="9" s="1"/>
  <c r="AB34" i="26"/>
  <c r="AC34" i="26" s="1"/>
  <c r="AD34" i="26" s="1"/>
  <c r="AE338" i="9"/>
  <c r="AF338" i="9" s="1"/>
  <c r="O11" i="8"/>
  <c r="AE206" i="9"/>
  <c r="AF206" i="9" s="1"/>
  <c r="AE274" i="9"/>
  <c r="AF274" i="9" s="1"/>
  <c r="AE63" i="9"/>
  <c r="AF63" i="9" s="1"/>
  <c r="AE218" i="9"/>
  <c r="AF218" i="9" s="1"/>
  <c r="AE451" i="9"/>
  <c r="AF451" i="9" s="1"/>
  <c r="AE187" i="9"/>
  <c r="AF187" i="9" s="1"/>
  <c r="AB17" i="26"/>
  <c r="AC17" i="26" s="1"/>
  <c r="AD17" i="26" s="1"/>
  <c r="AB14" i="26"/>
  <c r="AC14" i="26" s="1"/>
  <c r="AD14" i="26" s="1"/>
  <c r="AB28" i="26"/>
  <c r="AC28" i="26" s="1"/>
  <c r="AD28" i="26" s="1"/>
  <c r="AB16" i="26"/>
  <c r="AC16" i="26" s="1"/>
  <c r="AD16" i="26" s="1"/>
  <c r="O4" i="8"/>
  <c r="AE225" i="9"/>
  <c r="AF225" i="9" s="1"/>
  <c r="AE266" i="9"/>
  <c r="AF266" i="9" s="1"/>
  <c r="AE284" i="9"/>
  <c r="AF284" i="9" s="1"/>
  <c r="AE533" i="9"/>
  <c r="AF533" i="9" s="1"/>
  <c r="AE423" i="9"/>
  <c r="AF423" i="9" s="1"/>
  <c r="AE788" i="9"/>
  <c r="AF788" i="9" s="1"/>
  <c r="AE712" i="9"/>
  <c r="AF712" i="9" s="1"/>
  <c r="AE763" i="9"/>
  <c r="AF763" i="9" s="1"/>
  <c r="AE699" i="9"/>
  <c r="AF699" i="9" s="1"/>
  <c r="AE806" i="9"/>
  <c r="AF806" i="9" s="1"/>
  <c r="AE698" i="9"/>
  <c r="AF698" i="9" s="1"/>
  <c r="AE18" i="9"/>
  <c r="AF18" i="9" s="1"/>
  <c r="AE841" i="9"/>
  <c r="AF841" i="9" s="1"/>
  <c r="AE512" i="9"/>
  <c r="AF512" i="9" s="1"/>
  <c r="AE275" i="9"/>
  <c r="AF275" i="9" s="1"/>
  <c r="AE473" i="9"/>
  <c r="AF473" i="9" s="1"/>
  <c r="AE345" i="9"/>
  <c r="AF345" i="9" s="1"/>
  <c r="AE324" i="9"/>
  <c r="AF324" i="9" s="1"/>
  <c r="AE314" i="9"/>
  <c r="AF314" i="9" s="1"/>
  <c r="O12" i="8"/>
  <c r="AE544" i="9"/>
  <c r="AF544" i="9" s="1"/>
  <c r="AE464" i="9"/>
  <c r="AF464" i="9" s="1"/>
  <c r="AE412" i="9"/>
  <c r="AF412" i="9" s="1"/>
  <c r="AE441" i="9"/>
  <c r="AF441" i="9" s="1"/>
  <c r="AE392" i="9"/>
  <c r="AF392" i="9" s="1"/>
  <c r="AB26" i="26"/>
  <c r="AC26" i="26" s="1"/>
  <c r="AD26" i="26" s="1"/>
  <c r="AB19" i="26"/>
  <c r="AC19" i="26" s="1"/>
  <c r="AD19" i="26" s="1"/>
  <c r="O13" i="8"/>
  <c r="AE152" i="9"/>
  <c r="AF152" i="9" s="1"/>
  <c r="AE344" i="9"/>
  <c r="AF344" i="9" s="1"/>
  <c r="AE561" i="9"/>
  <c r="AF561" i="9" s="1"/>
  <c r="AE248" i="9"/>
  <c r="AF248" i="9" s="1"/>
  <c r="AE400" i="9"/>
  <c r="AF400" i="9" s="1"/>
  <c r="K315" i="20"/>
  <c r="O8" i="8"/>
  <c r="K44" i="20"/>
  <c r="K44" i="14"/>
  <c r="K44" i="11"/>
  <c r="AI358" i="9" l="1"/>
  <c r="AL358" i="9" s="1"/>
  <c r="AH358" i="9"/>
  <c r="AK358" i="9" s="1"/>
  <c r="AI750" i="9"/>
  <c r="AL750" i="9" s="1"/>
  <c r="AH750" i="9"/>
  <c r="AK750" i="9" s="1"/>
  <c r="AI195" i="9"/>
  <c r="AL195" i="9" s="1"/>
  <c r="AH195" i="9"/>
  <c r="AK195" i="9" s="1"/>
  <c r="AH821" i="9"/>
  <c r="AK821" i="9" s="1"/>
  <c r="AI821" i="9"/>
  <c r="AL821" i="9" s="1"/>
  <c r="AI803" i="9"/>
  <c r="AL803" i="9" s="1"/>
  <c r="AH803" i="9"/>
  <c r="AK803" i="9" s="1"/>
  <c r="AI849" i="9"/>
  <c r="AL849" i="9" s="1"/>
  <c r="AH849" i="9"/>
  <c r="AK849" i="9" s="1"/>
  <c r="AI432" i="9"/>
  <c r="AL432" i="9" s="1"/>
  <c r="AH432" i="9"/>
  <c r="AK432" i="9" s="1"/>
  <c r="AI369" i="9"/>
  <c r="AL369" i="9" s="1"/>
  <c r="AH369" i="9"/>
  <c r="AK369" i="9" s="1"/>
  <c r="AI434" i="9"/>
  <c r="AL434" i="9" s="1"/>
  <c r="AH434" i="9"/>
  <c r="AK434" i="9" s="1"/>
  <c r="AI740" i="9"/>
  <c r="AL740" i="9" s="1"/>
  <c r="AH740" i="9"/>
  <c r="AK740" i="9" s="1"/>
  <c r="AI442" i="9"/>
  <c r="AL442" i="9" s="1"/>
  <c r="AH442" i="9"/>
  <c r="AK442" i="9" s="1"/>
  <c r="AI564" i="9"/>
  <c r="AL564" i="9" s="1"/>
  <c r="AH564" i="9"/>
  <c r="AK564" i="9" s="1"/>
  <c r="AI235" i="9"/>
  <c r="AL235" i="9" s="1"/>
  <c r="AH235" i="9"/>
  <c r="AK235" i="9" s="1"/>
  <c r="AI56" i="9"/>
  <c r="AL56" i="9" s="1"/>
  <c r="AH56" i="9"/>
  <c r="AK56" i="9" s="1"/>
  <c r="AH252" i="9"/>
  <c r="AK252" i="9" s="1"/>
  <c r="AI252" i="9"/>
  <c r="AL252" i="9" s="1"/>
  <c r="AI499" i="9"/>
  <c r="AL499" i="9" s="1"/>
  <c r="AH499" i="9"/>
  <c r="AK499" i="9" s="1"/>
  <c r="AI251" i="9"/>
  <c r="AL251" i="9" s="1"/>
  <c r="AH251" i="9"/>
  <c r="AK251" i="9" s="1"/>
  <c r="AI847" i="9"/>
  <c r="AL847" i="9" s="1"/>
  <c r="AH847" i="9"/>
  <c r="AK847" i="9" s="1"/>
  <c r="AI16" i="9"/>
  <c r="AL16" i="9" s="1"/>
  <c r="AH16" i="9"/>
  <c r="AK16" i="9" s="1"/>
  <c r="AI710" i="9"/>
  <c r="AL710" i="9" s="1"/>
  <c r="AH710" i="9"/>
  <c r="AK710" i="9" s="1"/>
  <c r="AI379" i="9"/>
  <c r="AL379" i="9" s="1"/>
  <c r="AH379" i="9"/>
  <c r="AK379" i="9" s="1"/>
  <c r="AI857" i="9"/>
  <c r="AL857" i="9" s="1"/>
  <c r="AH857" i="9"/>
  <c r="AK857" i="9" s="1"/>
  <c r="AI390" i="9"/>
  <c r="AL390" i="9" s="1"/>
  <c r="AH390" i="9"/>
  <c r="AK390" i="9" s="1"/>
  <c r="AI267" i="9"/>
  <c r="AL267" i="9" s="1"/>
  <c r="AH267" i="9"/>
  <c r="AK267" i="9" s="1"/>
  <c r="AI160" i="9"/>
  <c r="AL160" i="9" s="1"/>
  <c r="AH160" i="9"/>
  <c r="AK160" i="9" s="1"/>
  <c r="AI339" i="9"/>
  <c r="AL339" i="9" s="1"/>
  <c r="AH339" i="9"/>
  <c r="AK339" i="9" s="1"/>
  <c r="AI649" i="9"/>
  <c r="AL649" i="9" s="1"/>
  <c r="AH649" i="9"/>
  <c r="AK649" i="9" s="1"/>
  <c r="AI123" i="9"/>
  <c r="AL123" i="9" s="1"/>
  <c r="AH123" i="9"/>
  <c r="AK123" i="9" s="1"/>
  <c r="AI729" i="9"/>
  <c r="AL729" i="9" s="1"/>
  <c r="AH729" i="9"/>
  <c r="AK729" i="9" s="1"/>
  <c r="AI613" i="9"/>
  <c r="AL613" i="9" s="1"/>
  <c r="AH613" i="9"/>
  <c r="AK613" i="9" s="1"/>
  <c r="AI467" i="9"/>
  <c r="AL467" i="9" s="1"/>
  <c r="AH467" i="9"/>
  <c r="AK467" i="9" s="1"/>
  <c r="AI199" i="9"/>
  <c r="AL199" i="9" s="1"/>
  <c r="AH199" i="9"/>
  <c r="AK199" i="9" s="1"/>
  <c r="AI317" i="9"/>
  <c r="AL317" i="9" s="1"/>
  <c r="AH317" i="9"/>
  <c r="AK317" i="9" s="1"/>
  <c r="AI837" i="9"/>
  <c r="AL837" i="9" s="1"/>
  <c r="AH837" i="9"/>
  <c r="AK837" i="9" s="1"/>
  <c r="AI522" i="9"/>
  <c r="AL522" i="9" s="1"/>
  <c r="AH522" i="9"/>
  <c r="AK522" i="9" s="1"/>
  <c r="AI406" i="9"/>
  <c r="AL406" i="9" s="1"/>
  <c r="AH406" i="9"/>
  <c r="AK406" i="9" s="1"/>
  <c r="AH770" i="9"/>
  <c r="AK770" i="9" s="1"/>
  <c r="AI770" i="9"/>
  <c r="AL770" i="9" s="1"/>
  <c r="AI472" i="9"/>
  <c r="AL472" i="9" s="1"/>
  <c r="AH472" i="9"/>
  <c r="AK472" i="9" s="1"/>
  <c r="AH685" i="9"/>
  <c r="AK685" i="9" s="1"/>
  <c r="AI685" i="9"/>
  <c r="AL685" i="9" s="1"/>
  <c r="AI479" i="9"/>
  <c r="AL479" i="9" s="1"/>
  <c r="AH479" i="9"/>
  <c r="AK479" i="9" s="1"/>
  <c r="AI438" i="9"/>
  <c r="AL438" i="9" s="1"/>
  <c r="AH438" i="9"/>
  <c r="AK438" i="9" s="1"/>
  <c r="AI631" i="9"/>
  <c r="AL631" i="9" s="1"/>
  <c r="AH631" i="9"/>
  <c r="AK631" i="9" s="1"/>
  <c r="AI811" i="9"/>
  <c r="AL811" i="9" s="1"/>
  <c r="AH811" i="9"/>
  <c r="AK811" i="9" s="1"/>
  <c r="AI591" i="9"/>
  <c r="AL591" i="9" s="1"/>
  <c r="AH591" i="9"/>
  <c r="AK591" i="9" s="1"/>
  <c r="AI587" i="9"/>
  <c r="AL587" i="9" s="1"/>
  <c r="AH587" i="9"/>
  <c r="AK587" i="9" s="1"/>
  <c r="AI335" i="9"/>
  <c r="AL335" i="9" s="1"/>
  <c r="AH335" i="9"/>
  <c r="AK335" i="9" s="1"/>
  <c r="AI249" i="9"/>
  <c r="AL249" i="9" s="1"/>
  <c r="AH249" i="9"/>
  <c r="AK249" i="9" s="1"/>
  <c r="AI343" i="9"/>
  <c r="AL343" i="9" s="1"/>
  <c r="AH343" i="9"/>
  <c r="AK343" i="9" s="1"/>
  <c r="AI155" i="9"/>
  <c r="AL155" i="9" s="1"/>
  <c r="AH155" i="9"/>
  <c r="AK155" i="9" s="1"/>
  <c r="AI541" i="9"/>
  <c r="AL541" i="9" s="1"/>
  <c r="AH541" i="9"/>
  <c r="AK541" i="9" s="1"/>
  <c r="AI417" i="9"/>
  <c r="AL417" i="9" s="1"/>
  <c r="AH417" i="9"/>
  <c r="AK417" i="9" s="1"/>
  <c r="AI391" i="9"/>
  <c r="AL391" i="9" s="1"/>
  <c r="AH391" i="9"/>
  <c r="AK391" i="9" s="1"/>
  <c r="AI450" i="9"/>
  <c r="AL450" i="9" s="1"/>
  <c r="AH450" i="9"/>
  <c r="AK450" i="9" s="1"/>
  <c r="AI493" i="9"/>
  <c r="AL493" i="9" s="1"/>
  <c r="AH493" i="9"/>
  <c r="AK493" i="9" s="1"/>
  <c r="AI703" i="9"/>
  <c r="AL703" i="9" s="1"/>
  <c r="AH703" i="9"/>
  <c r="AK703" i="9" s="1"/>
  <c r="AI449" i="9"/>
  <c r="AL449" i="9" s="1"/>
  <c r="AH449" i="9"/>
  <c r="AK449" i="9" s="1"/>
  <c r="AI453" i="9"/>
  <c r="AL453" i="9" s="1"/>
  <c r="AH453" i="9"/>
  <c r="AK453" i="9" s="1"/>
  <c r="AI605" i="9"/>
  <c r="AL605" i="9" s="1"/>
  <c r="AH605" i="9"/>
  <c r="AK605" i="9" s="1"/>
  <c r="AI207" i="9"/>
  <c r="AL207" i="9" s="1"/>
  <c r="AH207" i="9"/>
  <c r="AK207" i="9" s="1"/>
  <c r="AI772" i="9"/>
  <c r="AL772" i="9" s="1"/>
  <c r="AH772" i="9"/>
  <c r="AK772" i="9" s="1"/>
  <c r="AI248" i="9"/>
  <c r="AL248" i="9" s="1"/>
  <c r="AH248" i="9"/>
  <c r="AK248" i="9" s="1"/>
  <c r="AI759" i="9"/>
  <c r="AL759" i="9" s="1"/>
  <c r="AH759" i="9"/>
  <c r="AK759" i="9" s="1"/>
  <c r="AH132" i="9"/>
  <c r="AK132" i="9" s="1"/>
  <c r="AI132" i="9"/>
  <c r="AL132" i="9" s="1"/>
  <c r="AI190" i="9"/>
  <c r="AL190" i="9" s="1"/>
  <c r="AH190" i="9"/>
  <c r="AK190" i="9" s="1"/>
  <c r="AI355" i="9"/>
  <c r="AL355" i="9" s="1"/>
  <c r="AH355" i="9"/>
  <c r="AK355" i="9" s="1"/>
  <c r="AI345" i="9"/>
  <c r="AL345" i="9" s="1"/>
  <c r="AH345" i="9"/>
  <c r="AK345" i="9" s="1"/>
  <c r="AI745" i="9"/>
  <c r="AL745" i="9" s="1"/>
  <c r="AH745" i="9"/>
  <c r="AK745" i="9" s="1"/>
  <c r="AI799" i="9"/>
  <c r="AL799" i="9" s="1"/>
  <c r="AH799" i="9"/>
  <c r="AK799" i="9" s="1"/>
  <c r="AI383" i="9"/>
  <c r="AL383" i="9" s="1"/>
  <c r="AH383" i="9"/>
  <c r="AK383" i="9" s="1"/>
  <c r="AI851" i="9"/>
  <c r="AL851" i="9" s="1"/>
  <c r="AH851" i="9"/>
  <c r="AK851" i="9" s="1"/>
  <c r="AI121" i="9"/>
  <c r="AL121" i="9" s="1"/>
  <c r="AH121" i="9"/>
  <c r="AK121" i="9" s="1"/>
  <c r="AI520" i="9"/>
  <c r="AL520" i="9" s="1"/>
  <c r="AH520" i="9"/>
  <c r="AK520" i="9" s="1"/>
  <c r="AI617" i="9"/>
  <c r="AL617" i="9" s="1"/>
  <c r="AH617" i="9"/>
  <c r="AK617" i="9" s="1"/>
  <c r="AI597" i="9"/>
  <c r="AL597" i="9" s="1"/>
  <c r="AH597" i="9"/>
  <c r="AK597" i="9" s="1"/>
  <c r="AI232" i="9"/>
  <c r="AL232" i="9" s="1"/>
  <c r="AH232" i="9"/>
  <c r="AK232" i="9" s="1"/>
  <c r="AI144" i="9"/>
  <c r="AL144" i="9" s="1"/>
  <c r="AH144" i="9"/>
  <c r="AK144" i="9" s="1"/>
  <c r="AI291" i="9"/>
  <c r="AL291" i="9" s="1"/>
  <c r="AH291" i="9"/>
  <c r="AK291" i="9" s="1"/>
  <c r="AI669" i="9"/>
  <c r="AL669" i="9" s="1"/>
  <c r="AH669" i="9"/>
  <c r="AK669" i="9" s="1"/>
  <c r="AI767" i="9"/>
  <c r="AL767" i="9" s="1"/>
  <c r="AH767" i="9"/>
  <c r="AK767" i="9" s="1"/>
  <c r="AI460" i="9"/>
  <c r="AL460" i="9" s="1"/>
  <c r="AH460" i="9"/>
  <c r="AK460" i="9" s="1"/>
  <c r="AI325" i="9"/>
  <c r="AL325" i="9" s="1"/>
  <c r="AH325" i="9"/>
  <c r="AK325" i="9" s="1"/>
  <c r="AH292" i="9"/>
  <c r="AK292" i="9" s="1"/>
  <c r="AI292" i="9"/>
  <c r="AL292" i="9" s="1"/>
  <c r="AI334" i="9"/>
  <c r="AL334" i="9" s="1"/>
  <c r="AH334" i="9"/>
  <c r="AK334" i="9" s="1"/>
  <c r="AI580" i="9"/>
  <c r="AL580" i="9" s="1"/>
  <c r="AH580" i="9"/>
  <c r="AK580" i="9" s="1"/>
  <c r="AI860" i="9"/>
  <c r="AL860" i="9" s="1"/>
  <c r="AH860" i="9"/>
  <c r="AK860" i="9" s="1"/>
  <c r="AH802" i="9"/>
  <c r="AK802" i="9" s="1"/>
  <c r="AI802" i="9"/>
  <c r="AL802" i="9" s="1"/>
  <c r="AI823" i="9"/>
  <c r="AL823" i="9" s="1"/>
  <c r="AH823" i="9"/>
  <c r="AK823" i="9" s="1"/>
  <c r="AI807" i="9"/>
  <c r="AL807" i="9" s="1"/>
  <c r="AH807" i="9"/>
  <c r="AK807" i="9" s="1"/>
  <c r="AI549" i="9"/>
  <c r="AL549" i="9" s="1"/>
  <c r="AH549" i="9"/>
  <c r="AK549" i="9" s="1"/>
  <c r="AI487" i="9"/>
  <c r="AL487" i="9" s="1"/>
  <c r="AH487" i="9"/>
  <c r="AK487" i="9" s="1"/>
  <c r="AI171" i="9"/>
  <c r="AL171" i="9" s="1"/>
  <c r="AH171" i="9"/>
  <c r="AK171" i="9" s="1"/>
  <c r="AI42" i="9"/>
  <c r="AL42" i="9" s="1"/>
  <c r="AH42" i="9"/>
  <c r="AK42" i="9" s="1"/>
  <c r="AI779" i="9"/>
  <c r="AL779" i="9" s="1"/>
  <c r="AH779" i="9"/>
  <c r="AK779" i="9" s="1"/>
  <c r="AI419" i="9"/>
  <c r="AL419" i="9" s="1"/>
  <c r="AH419" i="9"/>
  <c r="AK419" i="9" s="1"/>
  <c r="AI489" i="9"/>
  <c r="AL489" i="9" s="1"/>
  <c r="AH489" i="9"/>
  <c r="AK489" i="9" s="1"/>
  <c r="AI22" i="9"/>
  <c r="AL22" i="9" s="1"/>
  <c r="AH22" i="9"/>
  <c r="AK22" i="9" s="1"/>
  <c r="AI766" i="9"/>
  <c r="AL766" i="9" s="1"/>
  <c r="AH766" i="9"/>
  <c r="AK766" i="9" s="1"/>
  <c r="AI548" i="9"/>
  <c r="AL548" i="9" s="1"/>
  <c r="AH548" i="9"/>
  <c r="AK548" i="9" s="1"/>
  <c r="AI186" i="9"/>
  <c r="AL186" i="9" s="1"/>
  <c r="AH186" i="9"/>
  <c r="AK186" i="9" s="1"/>
  <c r="AH340" i="9"/>
  <c r="AK340" i="9" s="1"/>
  <c r="AI340" i="9"/>
  <c r="AL340" i="9" s="1"/>
  <c r="AI753" i="9"/>
  <c r="AL753" i="9" s="1"/>
  <c r="AH753" i="9"/>
  <c r="AK753" i="9" s="1"/>
  <c r="AI700" i="9"/>
  <c r="AL700" i="9" s="1"/>
  <c r="AH700" i="9"/>
  <c r="AK700" i="9" s="1"/>
  <c r="AI557" i="9"/>
  <c r="AL557" i="9" s="1"/>
  <c r="AH557" i="9"/>
  <c r="AK557" i="9" s="1"/>
  <c r="AI223" i="9"/>
  <c r="AL223" i="9" s="1"/>
  <c r="AH223" i="9"/>
  <c r="AK223" i="9" s="1"/>
  <c r="AI826" i="9"/>
  <c r="AL826" i="9" s="1"/>
  <c r="AH826" i="9"/>
  <c r="AK826" i="9" s="1"/>
  <c r="AI163" i="9"/>
  <c r="AL163" i="9" s="1"/>
  <c r="AH163" i="9"/>
  <c r="AK163" i="9" s="1"/>
  <c r="AI705" i="9"/>
  <c r="AL705" i="9" s="1"/>
  <c r="AH705" i="9"/>
  <c r="AK705" i="9" s="1"/>
  <c r="AI58" i="9"/>
  <c r="AL58" i="9" s="1"/>
  <c r="AH58" i="9"/>
  <c r="AK58" i="9" s="1"/>
  <c r="AH300" i="9"/>
  <c r="AK300" i="9" s="1"/>
  <c r="AI300" i="9"/>
  <c r="AL300" i="9" s="1"/>
  <c r="AI611" i="9"/>
  <c r="AL611" i="9" s="1"/>
  <c r="AH611" i="9"/>
  <c r="AK611" i="9" s="1"/>
  <c r="AI271" i="9"/>
  <c r="AL271" i="9" s="1"/>
  <c r="AH271" i="9"/>
  <c r="AK271" i="9" s="1"/>
  <c r="AI550" i="9"/>
  <c r="AL550" i="9" s="1"/>
  <c r="AH550" i="9"/>
  <c r="AK550" i="9" s="1"/>
  <c r="AI439" i="9"/>
  <c r="AL439" i="9" s="1"/>
  <c r="AH439" i="9"/>
  <c r="AK439" i="9" s="1"/>
  <c r="AH428" i="9"/>
  <c r="AK428" i="9" s="1"/>
  <c r="AI428" i="9"/>
  <c r="AL428" i="9" s="1"/>
  <c r="AI642" i="9"/>
  <c r="AL642" i="9" s="1"/>
  <c r="AH642" i="9"/>
  <c r="AK642" i="9" s="1"/>
  <c r="AI134" i="9"/>
  <c r="AL134" i="9" s="1"/>
  <c r="AH134" i="9"/>
  <c r="AK134" i="9" s="1"/>
  <c r="AI696" i="9"/>
  <c r="AL696" i="9" s="1"/>
  <c r="AH696" i="9"/>
  <c r="AK696" i="9" s="1"/>
  <c r="AI563" i="9"/>
  <c r="AL563" i="9" s="1"/>
  <c r="AH563" i="9"/>
  <c r="AK563" i="9" s="1"/>
  <c r="AI387" i="9"/>
  <c r="AL387" i="9" s="1"/>
  <c r="AH387" i="9"/>
  <c r="AK387" i="9" s="1"/>
  <c r="AI250" i="9"/>
  <c r="AL250" i="9" s="1"/>
  <c r="AH250" i="9"/>
  <c r="AK250" i="9" s="1"/>
  <c r="AH388" i="9"/>
  <c r="AK388" i="9" s="1"/>
  <c r="AI388" i="9"/>
  <c r="AL388" i="9" s="1"/>
  <c r="AI229" i="9"/>
  <c r="AL229" i="9" s="1"/>
  <c r="AH229" i="9"/>
  <c r="AK229" i="9" s="1"/>
  <c r="AI145" i="9"/>
  <c r="AL145" i="9" s="1"/>
  <c r="AH145" i="9"/>
  <c r="AK145" i="9" s="1"/>
  <c r="AI519" i="9"/>
  <c r="AL519" i="9" s="1"/>
  <c r="AH519" i="9"/>
  <c r="AK519" i="9" s="1"/>
  <c r="AI635" i="9"/>
  <c r="AL635" i="9" s="1"/>
  <c r="AH635" i="9"/>
  <c r="AK635" i="9" s="1"/>
  <c r="AI584" i="9"/>
  <c r="AL584" i="9" s="1"/>
  <c r="AH584" i="9"/>
  <c r="AK584" i="9" s="1"/>
  <c r="AI256" i="9"/>
  <c r="AL256" i="9" s="1"/>
  <c r="AH256" i="9"/>
  <c r="AK256" i="9" s="1"/>
  <c r="AI213" i="9"/>
  <c r="AL213" i="9" s="1"/>
  <c r="AH213" i="9"/>
  <c r="AK213" i="9" s="1"/>
  <c r="AI783" i="9"/>
  <c r="AL783" i="9" s="1"/>
  <c r="AH783" i="9"/>
  <c r="AK783" i="9" s="1"/>
  <c r="AI621" i="9"/>
  <c r="AL621" i="9" s="1"/>
  <c r="AH621" i="9"/>
  <c r="AK621" i="9" s="1"/>
  <c r="AI662" i="9"/>
  <c r="AL662" i="9" s="1"/>
  <c r="AH662" i="9"/>
  <c r="AK662" i="9" s="1"/>
  <c r="AI211" i="9"/>
  <c r="AL211" i="9" s="1"/>
  <c r="AH211" i="9"/>
  <c r="AK211" i="9" s="1"/>
  <c r="AI294" i="9"/>
  <c r="AL294" i="9" s="1"/>
  <c r="AH294" i="9"/>
  <c r="AK294" i="9" s="1"/>
  <c r="AH717" i="9"/>
  <c r="AK717" i="9" s="1"/>
  <c r="AI717" i="9"/>
  <c r="AL717" i="9" s="1"/>
  <c r="AI347" i="9"/>
  <c r="AL347" i="9" s="1"/>
  <c r="AH347" i="9"/>
  <c r="AK347" i="9" s="1"/>
  <c r="AH778" i="9"/>
  <c r="AK778" i="9" s="1"/>
  <c r="AI778" i="9"/>
  <c r="AL778" i="9" s="1"/>
  <c r="AI629" i="9"/>
  <c r="AL629" i="9" s="1"/>
  <c r="AH629" i="9"/>
  <c r="AK629" i="9" s="1"/>
  <c r="AI861" i="9"/>
  <c r="AL861" i="9" s="1"/>
  <c r="AH861" i="9"/>
  <c r="AK861" i="9" s="1"/>
  <c r="AI422" i="9"/>
  <c r="AL422" i="9" s="1"/>
  <c r="AH422" i="9"/>
  <c r="AK422" i="9" s="1"/>
  <c r="AI680" i="9"/>
  <c r="AL680" i="9" s="1"/>
  <c r="AH680" i="9"/>
  <c r="AK680" i="9" s="1"/>
  <c r="AI610" i="9"/>
  <c r="AL610" i="9" s="1"/>
  <c r="AH610" i="9"/>
  <c r="AK610" i="9" s="1"/>
  <c r="AI370" i="9"/>
  <c r="AL370" i="9" s="1"/>
  <c r="AH370" i="9"/>
  <c r="AK370" i="9" s="1"/>
  <c r="AH516" i="9"/>
  <c r="AK516" i="9" s="1"/>
  <c r="AI516" i="9"/>
  <c r="AL516" i="9" s="1"/>
  <c r="AI456" i="9"/>
  <c r="AL456" i="9" s="1"/>
  <c r="AH456" i="9"/>
  <c r="AK456" i="9" s="1"/>
  <c r="AI614" i="9"/>
  <c r="AL614" i="9" s="1"/>
  <c r="AH614" i="9"/>
  <c r="AK614" i="9" s="1"/>
  <c r="AH749" i="9"/>
  <c r="AK749" i="9" s="1"/>
  <c r="AI749" i="9"/>
  <c r="AL749" i="9" s="1"/>
  <c r="AI755" i="9"/>
  <c r="AL755" i="9" s="1"/>
  <c r="AH755" i="9"/>
  <c r="AK755" i="9" s="1"/>
  <c r="AI824" i="9"/>
  <c r="AL824" i="9" s="1"/>
  <c r="AH824" i="9"/>
  <c r="AK824" i="9" s="1"/>
  <c r="AI508" i="9"/>
  <c r="AL508" i="9" s="1"/>
  <c r="AH508" i="9"/>
  <c r="AK508" i="9" s="1"/>
  <c r="AI140" i="9"/>
  <c r="AL140" i="9" s="1"/>
  <c r="AH140" i="9"/>
  <c r="AK140" i="9" s="1"/>
  <c r="AI646" i="9"/>
  <c r="AL646" i="9" s="1"/>
  <c r="AH646" i="9"/>
  <c r="AK646" i="9" s="1"/>
  <c r="AI511" i="9"/>
  <c r="AL511" i="9" s="1"/>
  <c r="AH511" i="9"/>
  <c r="AK511" i="9" s="1"/>
  <c r="AI315" i="9"/>
  <c r="AL315" i="9" s="1"/>
  <c r="AH315" i="9"/>
  <c r="AK315" i="9" s="1"/>
  <c r="AI494" i="9"/>
  <c r="AL494" i="9" s="1"/>
  <c r="AH494" i="9"/>
  <c r="AK494" i="9" s="1"/>
  <c r="AI689" i="9"/>
  <c r="AL689" i="9" s="1"/>
  <c r="AH689" i="9"/>
  <c r="AK689" i="9" s="1"/>
  <c r="AI528" i="9"/>
  <c r="AL528" i="9" s="1"/>
  <c r="AH528" i="9"/>
  <c r="AK528" i="9" s="1"/>
  <c r="AI643" i="9"/>
  <c r="AL643" i="9" s="1"/>
  <c r="AH643" i="9"/>
  <c r="AK643" i="9" s="1"/>
  <c r="AI595" i="9"/>
  <c r="AL595" i="9" s="1"/>
  <c r="AH595" i="9"/>
  <c r="AK595" i="9" s="1"/>
  <c r="AH754" i="9"/>
  <c r="AK754" i="9" s="1"/>
  <c r="AI754" i="9"/>
  <c r="AL754" i="9" s="1"/>
  <c r="AI556" i="9"/>
  <c r="AL556" i="9" s="1"/>
  <c r="AH556" i="9"/>
  <c r="AK556" i="9" s="1"/>
  <c r="AI435" i="9"/>
  <c r="AL435" i="9" s="1"/>
  <c r="AH435" i="9"/>
  <c r="AK435" i="9" s="1"/>
  <c r="AH813" i="9"/>
  <c r="AK813" i="9" s="1"/>
  <c r="AI813" i="9"/>
  <c r="AL813" i="9" s="1"/>
  <c r="AI224" i="9"/>
  <c r="AL224" i="9" s="1"/>
  <c r="AH224" i="9"/>
  <c r="AK224" i="9" s="1"/>
  <c r="AI579" i="9"/>
  <c r="AL579" i="9" s="1"/>
  <c r="AH579" i="9"/>
  <c r="AK579" i="9" s="1"/>
  <c r="AI303" i="9"/>
  <c r="AL303" i="9" s="1"/>
  <c r="AH303" i="9"/>
  <c r="AK303" i="9" s="1"/>
  <c r="AH212" i="9"/>
  <c r="AK212" i="9" s="1"/>
  <c r="AI212" i="9"/>
  <c r="AL212" i="9" s="1"/>
  <c r="AI5" i="9"/>
  <c r="AL5" i="9" s="1"/>
  <c r="AH5" i="9"/>
  <c r="AK5" i="9" s="1"/>
  <c r="AI446" i="9"/>
  <c r="AL446" i="9" s="1"/>
  <c r="AH446" i="9"/>
  <c r="AK446" i="9" s="1"/>
  <c r="AI17" i="9"/>
  <c r="AL17" i="9" s="1"/>
  <c r="AH17" i="9"/>
  <c r="AK17" i="9" s="1"/>
  <c r="AI333" i="9"/>
  <c r="AL333" i="9" s="1"/>
  <c r="AH333" i="9"/>
  <c r="AK333" i="9" s="1"/>
  <c r="AI530" i="9"/>
  <c r="AL530" i="9" s="1"/>
  <c r="AH530" i="9"/>
  <c r="AK530" i="9" s="1"/>
  <c r="AH722" i="9"/>
  <c r="AK722" i="9" s="1"/>
  <c r="AI722" i="9"/>
  <c r="AL722" i="9" s="1"/>
  <c r="AH810" i="9"/>
  <c r="AK810" i="9" s="1"/>
  <c r="AI810" i="9"/>
  <c r="AL810" i="9" s="1"/>
  <c r="AI476" i="9"/>
  <c r="AL476" i="9" s="1"/>
  <c r="AH476" i="9"/>
  <c r="AK476" i="9" s="1"/>
  <c r="AI305" i="9"/>
  <c r="AL305" i="9" s="1"/>
  <c r="AH305" i="9"/>
  <c r="AK305" i="9" s="1"/>
  <c r="AH404" i="9"/>
  <c r="AK404" i="9" s="1"/>
  <c r="AI404" i="9"/>
  <c r="AL404" i="9" s="1"/>
  <c r="AI836" i="9"/>
  <c r="AL836" i="9" s="1"/>
  <c r="AH836" i="9"/>
  <c r="AK836" i="9" s="1"/>
  <c r="AI269" i="9"/>
  <c r="AL269" i="9" s="1"/>
  <c r="AH269" i="9"/>
  <c r="AK269" i="9" s="1"/>
  <c r="AH36" i="9"/>
  <c r="AK36" i="9" s="1"/>
  <c r="AI36" i="9"/>
  <c r="AL36" i="9" s="1"/>
  <c r="AI470" i="9"/>
  <c r="AL470" i="9" s="1"/>
  <c r="AH470" i="9"/>
  <c r="AK470" i="9" s="1"/>
  <c r="AI403" i="9"/>
  <c r="AL403" i="9" s="1"/>
  <c r="AH403" i="9"/>
  <c r="AK403" i="9" s="1"/>
  <c r="AH196" i="9"/>
  <c r="AK196" i="9" s="1"/>
  <c r="AI196" i="9"/>
  <c r="AL196" i="9" s="1"/>
  <c r="AI375" i="9"/>
  <c r="AL375" i="9" s="1"/>
  <c r="AH375" i="9"/>
  <c r="AK375" i="9" s="1"/>
  <c r="AI764" i="9"/>
  <c r="AL764" i="9" s="1"/>
  <c r="AH764" i="9"/>
  <c r="AK764" i="9" s="1"/>
  <c r="AI589" i="9"/>
  <c r="AL589" i="9" s="1"/>
  <c r="AH589" i="9"/>
  <c r="AK589" i="9" s="1"/>
  <c r="AI848" i="9"/>
  <c r="AL848" i="9" s="1"/>
  <c r="AH848" i="9"/>
  <c r="AK848" i="9" s="1"/>
  <c r="AI307" i="9"/>
  <c r="AL307" i="9" s="1"/>
  <c r="AH307" i="9"/>
  <c r="AK307" i="9" s="1"/>
  <c r="AI634" i="9"/>
  <c r="AL634" i="9" s="1"/>
  <c r="AH634" i="9"/>
  <c r="AK634" i="9" s="1"/>
  <c r="AI590" i="9"/>
  <c r="AL590" i="9" s="1"/>
  <c r="AH590" i="9"/>
  <c r="AK590" i="9" s="1"/>
  <c r="AI170" i="9"/>
  <c r="AL170" i="9" s="1"/>
  <c r="AH170" i="9"/>
  <c r="AK170" i="9" s="1"/>
  <c r="AI125" i="9"/>
  <c r="AL125" i="9" s="1"/>
  <c r="AH125" i="9"/>
  <c r="AK125" i="9" s="1"/>
  <c r="AI165" i="9"/>
  <c r="AL165" i="9" s="1"/>
  <c r="AH165" i="9"/>
  <c r="AK165" i="9" s="1"/>
  <c r="AI543" i="9"/>
  <c r="AL543" i="9" s="1"/>
  <c r="AH543" i="9"/>
  <c r="AK543" i="9" s="1"/>
  <c r="AI448" i="9"/>
  <c r="AL448" i="9" s="1"/>
  <c r="AH448" i="9"/>
  <c r="AK448" i="9" s="1"/>
  <c r="AI601" i="9"/>
  <c r="AL601" i="9" s="1"/>
  <c r="AH601" i="9"/>
  <c r="AK601" i="9" s="1"/>
  <c r="AH324" i="9"/>
  <c r="AK324" i="9" s="1"/>
  <c r="AI324" i="9"/>
  <c r="AL324" i="9" s="1"/>
  <c r="AI451" i="9"/>
  <c r="AL451" i="9" s="1"/>
  <c r="AH451" i="9"/>
  <c r="AK451" i="9" s="1"/>
  <c r="AI517" i="9"/>
  <c r="AL517" i="9" s="1"/>
  <c r="AH517" i="9"/>
  <c r="AK517" i="9" s="1"/>
  <c r="AI501" i="9"/>
  <c r="AL501" i="9" s="1"/>
  <c r="AH501" i="9"/>
  <c r="AK501" i="9" s="1"/>
  <c r="AI831" i="9"/>
  <c r="AL831" i="9" s="1"/>
  <c r="AH831" i="9"/>
  <c r="AK831" i="9" s="1"/>
  <c r="AI128" i="9"/>
  <c r="AL128" i="9" s="1"/>
  <c r="AH128" i="9"/>
  <c r="AK128" i="9" s="1"/>
  <c r="AI632" i="9"/>
  <c r="AL632" i="9" s="1"/>
  <c r="AH632" i="9"/>
  <c r="AK632" i="9" s="1"/>
  <c r="AI389" i="9"/>
  <c r="AL389" i="9" s="1"/>
  <c r="AH389" i="9"/>
  <c r="AK389" i="9" s="1"/>
  <c r="AI247" i="9"/>
  <c r="AL247" i="9" s="1"/>
  <c r="AH247" i="9"/>
  <c r="AK247" i="9" s="1"/>
  <c r="AI270" i="9"/>
  <c r="AL270" i="9" s="1"/>
  <c r="AH270" i="9"/>
  <c r="AK270" i="9" s="1"/>
  <c r="AH148" i="9"/>
  <c r="AK148" i="9" s="1"/>
  <c r="AI148" i="9"/>
  <c r="AL148" i="9" s="1"/>
  <c r="AH20" i="9"/>
  <c r="AK20" i="9" s="1"/>
  <c r="AI20" i="9"/>
  <c r="AL20" i="9" s="1"/>
  <c r="AI625" i="9"/>
  <c r="AL625" i="9" s="1"/>
  <c r="AH625" i="9"/>
  <c r="AK625" i="9" s="1"/>
  <c r="AI760" i="9"/>
  <c r="AL760" i="9" s="1"/>
  <c r="AH760" i="9"/>
  <c r="AK760" i="9" s="1"/>
  <c r="AI787" i="9"/>
  <c r="AL787" i="9" s="1"/>
  <c r="AH787" i="9"/>
  <c r="AK787" i="9" s="1"/>
  <c r="AI554" i="9"/>
  <c r="AL554" i="9" s="1"/>
  <c r="AH554" i="9"/>
  <c r="AK554" i="9" s="1"/>
  <c r="AI735" i="9"/>
  <c r="AL735" i="9" s="1"/>
  <c r="AH735" i="9"/>
  <c r="AK735" i="9" s="1"/>
  <c r="AI568" i="9"/>
  <c r="AL568" i="9" s="1"/>
  <c r="AH568" i="9"/>
  <c r="AK568" i="9" s="1"/>
  <c r="AI329" i="9"/>
  <c r="AL329" i="9" s="1"/>
  <c r="AH329" i="9"/>
  <c r="AK329" i="9" s="1"/>
  <c r="AH52" i="9"/>
  <c r="AK52" i="9" s="1"/>
  <c r="AI52" i="9"/>
  <c r="AL52" i="9" s="1"/>
  <c r="AI692" i="9"/>
  <c r="AL692" i="9" s="1"/>
  <c r="AH692" i="9"/>
  <c r="AK692" i="9" s="1"/>
  <c r="AI488" i="9"/>
  <c r="AL488" i="9" s="1"/>
  <c r="AH488" i="9"/>
  <c r="AK488" i="9" s="1"/>
  <c r="AI537" i="9"/>
  <c r="AL537" i="9" s="1"/>
  <c r="AH537" i="9"/>
  <c r="AK537" i="9" s="1"/>
  <c r="AI859" i="9"/>
  <c r="AL859" i="9" s="1"/>
  <c r="AH859" i="9"/>
  <c r="AK859" i="9" s="1"/>
  <c r="AI429" i="9"/>
  <c r="AL429" i="9" s="1"/>
  <c r="AH429" i="9"/>
  <c r="AK429" i="9" s="1"/>
  <c r="AI688" i="9"/>
  <c r="AL688" i="9" s="1"/>
  <c r="AH688" i="9"/>
  <c r="AK688" i="9" s="1"/>
  <c r="AI655" i="9"/>
  <c r="AL655" i="9" s="1"/>
  <c r="AH655" i="9"/>
  <c r="AK655" i="9" s="1"/>
  <c r="AI342" i="9"/>
  <c r="AL342" i="9" s="1"/>
  <c r="AH342" i="9"/>
  <c r="AK342" i="9" s="1"/>
  <c r="AH364" i="9"/>
  <c r="AK364" i="9" s="1"/>
  <c r="AI364" i="9"/>
  <c r="AL364" i="9" s="1"/>
  <c r="AI534" i="9"/>
  <c r="AL534" i="9" s="1"/>
  <c r="AH534" i="9"/>
  <c r="AK534" i="9" s="1"/>
  <c r="AI430" i="9"/>
  <c r="AL430" i="9" s="1"/>
  <c r="AH430" i="9"/>
  <c r="AK430" i="9" s="1"/>
  <c r="AI129" i="9"/>
  <c r="AL129" i="9" s="1"/>
  <c r="AH129" i="9"/>
  <c r="AK129" i="9" s="1"/>
  <c r="AI483" i="9"/>
  <c r="AL483" i="9" s="1"/>
  <c r="AH483" i="9"/>
  <c r="AK483" i="9" s="1"/>
  <c r="AI639" i="9"/>
  <c r="AL639" i="9" s="1"/>
  <c r="AH639" i="9"/>
  <c r="AK639" i="9" s="1"/>
  <c r="AI131" i="9"/>
  <c r="AL131" i="9" s="1"/>
  <c r="AH131" i="9"/>
  <c r="AK131" i="9" s="1"/>
  <c r="AI525" i="9"/>
  <c r="AL525" i="9" s="1"/>
  <c r="AH525" i="9"/>
  <c r="AK525" i="9" s="1"/>
  <c r="AI473" i="9"/>
  <c r="AL473" i="9" s="1"/>
  <c r="AH473" i="9"/>
  <c r="AK473" i="9" s="1"/>
  <c r="AI825" i="9"/>
  <c r="AL825" i="9" s="1"/>
  <c r="AH825" i="9"/>
  <c r="AK825" i="9" s="1"/>
  <c r="AI763" i="9"/>
  <c r="AL763" i="9" s="1"/>
  <c r="AH763" i="9"/>
  <c r="AK763" i="9" s="1"/>
  <c r="AI298" i="9"/>
  <c r="AL298" i="9" s="1"/>
  <c r="AH298" i="9"/>
  <c r="AK298" i="9" s="1"/>
  <c r="AI816" i="9"/>
  <c r="AL816" i="9" s="1"/>
  <c r="AH816" i="9"/>
  <c r="AK816" i="9" s="1"/>
  <c r="AI338" i="9"/>
  <c r="AL338" i="9" s="1"/>
  <c r="AH338" i="9"/>
  <c r="AK338" i="9" s="1"/>
  <c r="AI414" i="9"/>
  <c r="AL414" i="9" s="1"/>
  <c r="AH414" i="9"/>
  <c r="AK414" i="9" s="1"/>
  <c r="AH853" i="9"/>
  <c r="AK853" i="9" s="1"/>
  <c r="AI853" i="9"/>
  <c r="AL853" i="9" s="1"/>
  <c r="AI832" i="9"/>
  <c r="AL832" i="9" s="1"/>
  <c r="AH832" i="9"/>
  <c r="AK832" i="9" s="1"/>
  <c r="AI426" i="9"/>
  <c r="AL426" i="9" s="1"/>
  <c r="AH426" i="9"/>
  <c r="AK426" i="9" s="1"/>
  <c r="AI713" i="9"/>
  <c r="AL713" i="9" s="1"/>
  <c r="AH713" i="9"/>
  <c r="AK713" i="9" s="1"/>
  <c r="AI480" i="9"/>
  <c r="AL480" i="9" s="1"/>
  <c r="AH480" i="9"/>
  <c r="AK480" i="9" s="1"/>
  <c r="AI462" i="9"/>
  <c r="AL462" i="9" s="1"/>
  <c r="AH462" i="9"/>
  <c r="AK462" i="9" s="1"/>
  <c r="AI290" i="9"/>
  <c r="AL290" i="9" s="1"/>
  <c r="AH290" i="9"/>
  <c r="AK290" i="9" s="1"/>
  <c r="AI455" i="9"/>
  <c r="AL455" i="9" s="1"/>
  <c r="AH455" i="9"/>
  <c r="AK455" i="9" s="1"/>
  <c r="AI359" i="9"/>
  <c r="AL359" i="9" s="1"/>
  <c r="AH359" i="9"/>
  <c r="AK359" i="9" s="1"/>
  <c r="AI277" i="9"/>
  <c r="AL277" i="9" s="1"/>
  <c r="AH277" i="9"/>
  <c r="AK277" i="9" s="1"/>
  <c r="AI844" i="9"/>
  <c r="AL844" i="9" s="1"/>
  <c r="AH844" i="9"/>
  <c r="AK844" i="9" s="1"/>
  <c r="AI709" i="9"/>
  <c r="AL709" i="9" s="1"/>
  <c r="AH709" i="9"/>
  <c r="AK709" i="9" s="1"/>
  <c r="AI645" i="9"/>
  <c r="AL645" i="9" s="1"/>
  <c r="AH645" i="9"/>
  <c r="AK645" i="9" s="1"/>
  <c r="AI752" i="9"/>
  <c r="AL752" i="9" s="1"/>
  <c r="AH752" i="9"/>
  <c r="AK752" i="9" s="1"/>
  <c r="AI630" i="9"/>
  <c r="AL630" i="9" s="1"/>
  <c r="AH630" i="9"/>
  <c r="AK630" i="9" s="1"/>
  <c r="AI593" i="9"/>
  <c r="AL593" i="9" s="1"/>
  <c r="AH593" i="9"/>
  <c r="AK593" i="9" s="1"/>
  <c r="AI287" i="9"/>
  <c r="AL287" i="9" s="1"/>
  <c r="AH287" i="9"/>
  <c r="AK287" i="9" s="1"/>
  <c r="AH842" i="9"/>
  <c r="AK842" i="9" s="1"/>
  <c r="AI842" i="9"/>
  <c r="AL842" i="9" s="1"/>
  <c r="AI23" i="9"/>
  <c r="AL23" i="9" s="1"/>
  <c r="AH23" i="9"/>
  <c r="AK23" i="9" s="1"/>
  <c r="AI497" i="9"/>
  <c r="AL497" i="9" s="1"/>
  <c r="AH497" i="9"/>
  <c r="AK497" i="9" s="1"/>
  <c r="AI33" i="9"/>
  <c r="AL33" i="9" s="1"/>
  <c r="AH33" i="9"/>
  <c r="AK33" i="9" s="1"/>
  <c r="AI675" i="9"/>
  <c r="AL675" i="9" s="1"/>
  <c r="AH675" i="9"/>
  <c r="AK675" i="9" s="1"/>
  <c r="AI586" i="9"/>
  <c r="AL586" i="9" s="1"/>
  <c r="AH586" i="9"/>
  <c r="AK586" i="9" s="1"/>
  <c r="AI254" i="9"/>
  <c r="AL254" i="9" s="1"/>
  <c r="AH254" i="9"/>
  <c r="AK254" i="9" s="1"/>
  <c r="AI733" i="9"/>
  <c r="AL733" i="9" s="1"/>
  <c r="AH733" i="9"/>
  <c r="AK733" i="9" s="1"/>
  <c r="AI673" i="9"/>
  <c r="AL673" i="9" s="1"/>
  <c r="AH673" i="9"/>
  <c r="AK673" i="9" s="1"/>
  <c r="AI310" i="9"/>
  <c r="AL310" i="9" s="1"/>
  <c r="AH310" i="9"/>
  <c r="AK310" i="9" s="1"/>
  <c r="AI366" i="9"/>
  <c r="AL366" i="9" s="1"/>
  <c r="AH366" i="9"/>
  <c r="AK366" i="9" s="1"/>
  <c r="AI443" i="9"/>
  <c r="AL443" i="9" s="1"/>
  <c r="AH443" i="9"/>
  <c r="AK443" i="9" s="1"/>
  <c r="AI301" i="9"/>
  <c r="AL301" i="9" s="1"/>
  <c r="AH301" i="9"/>
  <c r="AK301" i="9" s="1"/>
  <c r="AI147" i="9"/>
  <c r="AL147" i="9" s="1"/>
  <c r="AH147" i="9"/>
  <c r="AK147" i="9" s="1"/>
  <c r="AI663" i="9"/>
  <c r="AL663" i="9" s="1"/>
  <c r="AH663" i="9"/>
  <c r="AK663" i="9" s="1"/>
  <c r="AI806" i="9"/>
  <c r="AL806" i="9" s="1"/>
  <c r="AH806" i="9"/>
  <c r="AK806" i="9" s="1"/>
  <c r="AI536" i="9"/>
  <c r="AL536" i="9" s="1"/>
  <c r="AH536" i="9"/>
  <c r="AK536" i="9" s="1"/>
  <c r="AI161" i="9"/>
  <c r="AL161" i="9" s="1"/>
  <c r="AH161" i="9"/>
  <c r="AK161" i="9" s="1"/>
  <c r="AI665" i="9"/>
  <c r="AL665" i="9" s="1"/>
  <c r="AH665" i="9"/>
  <c r="AK665" i="9" s="1"/>
  <c r="AI731" i="9"/>
  <c r="AL731" i="9" s="1"/>
  <c r="AH731" i="9"/>
  <c r="AK731" i="9" s="1"/>
  <c r="AI312" i="9"/>
  <c r="AL312" i="9" s="1"/>
  <c r="AH312" i="9"/>
  <c r="AK312" i="9" s="1"/>
  <c r="AI127" i="9"/>
  <c r="AL127" i="9" s="1"/>
  <c r="AH127" i="9"/>
  <c r="AK127" i="9" s="1"/>
  <c r="AI704" i="9"/>
  <c r="AL704" i="9" s="1"/>
  <c r="AH704" i="9"/>
  <c r="AK704" i="9" s="1"/>
  <c r="AI407" i="9"/>
  <c r="AL407" i="9" s="1"/>
  <c r="AH407" i="9"/>
  <c r="AK407" i="9" s="1"/>
  <c r="AI529" i="9"/>
  <c r="AL529" i="9" s="1"/>
  <c r="AH529" i="9"/>
  <c r="AK529" i="9" s="1"/>
  <c r="AI509" i="9"/>
  <c r="AL509" i="9" s="1"/>
  <c r="AH509" i="9"/>
  <c r="AK509" i="9" s="1"/>
  <c r="AI285" i="9"/>
  <c r="AL285" i="9" s="1"/>
  <c r="AH285" i="9"/>
  <c r="AK285" i="9" s="1"/>
  <c r="AI607" i="9"/>
  <c r="AL607" i="9" s="1"/>
  <c r="AH607" i="9"/>
  <c r="AK607" i="9" s="1"/>
  <c r="AH356" i="9"/>
  <c r="AK356" i="9" s="1"/>
  <c r="AI356" i="9"/>
  <c r="AL356" i="9" s="1"/>
  <c r="AI415" i="9"/>
  <c r="AL415" i="9" s="1"/>
  <c r="AH415" i="9"/>
  <c r="AK415" i="9" s="1"/>
  <c r="AI268" i="9"/>
  <c r="AL268" i="9" s="1"/>
  <c r="AH268" i="9"/>
  <c r="AK268" i="9" s="1"/>
  <c r="AI532" i="9"/>
  <c r="AL532" i="9" s="1"/>
  <c r="AH532" i="9"/>
  <c r="AK532" i="9" s="1"/>
  <c r="AI527" i="9"/>
  <c r="AL527" i="9" s="1"/>
  <c r="AH527" i="9"/>
  <c r="AK527" i="9" s="1"/>
  <c r="AI321" i="9"/>
  <c r="AL321" i="9" s="1"/>
  <c r="AH321" i="9"/>
  <c r="AK321" i="9" s="1"/>
  <c r="AI265" i="9"/>
  <c r="AL265" i="9" s="1"/>
  <c r="AH265" i="9"/>
  <c r="AK265" i="9" s="1"/>
  <c r="AI280" i="9"/>
  <c r="AL280" i="9" s="1"/>
  <c r="AH280" i="9"/>
  <c r="AK280" i="9" s="1"/>
  <c r="AI533" i="9"/>
  <c r="AL533" i="9" s="1"/>
  <c r="AH533" i="9"/>
  <c r="AK533" i="9" s="1"/>
  <c r="AI697" i="9"/>
  <c r="AL697" i="9" s="1"/>
  <c r="AH697" i="9"/>
  <c r="AK697" i="9" s="1"/>
  <c r="AI397" i="9"/>
  <c r="AL397" i="9" s="1"/>
  <c r="AH397" i="9"/>
  <c r="AK397" i="9" s="1"/>
  <c r="AI843" i="9"/>
  <c r="AL843" i="9" s="1"/>
  <c r="AH843" i="9"/>
  <c r="AK843" i="9" s="1"/>
  <c r="AI10" i="9"/>
  <c r="AL10" i="9" s="1"/>
  <c r="AH10" i="9"/>
  <c r="AK10" i="9" s="1"/>
  <c r="AI791" i="9"/>
  <c r="AL791" i="9" s="1"/>
  <c r="AH791" i="9"/>
  <c r="AK791" i="9" s="1"/>
  <c r="AI485" i="9"/>
  <c r="AL485" i="9" s="1"/>
  <c r="AH485" i="9"/>
  <c r="AK485" i="9" s="1"/>
  <c r="AI466" i="9"/>
  <c r="AL466" i="9" s="1"/>
  <c r="AH466" i="9"/>
  <c r="AK466" i="9" s="1"/>
  <c r="AI246" i="9"/>
  <c r="AL246" i="9" s="1"/>
  <c r="AH246" i="9"/>
  <c r="AK246" i="9" s="1"/>
  <c r="AH644" i="9"/>
  <c r="AK644" i="9" s="1"/>
  <c r="AI644" i="9"/>
  <c r="AL644" i="9" s="1"/>
  <c r="AI723" i="9"/>
  <c r="AL723" i="9" s="1"/>
  <c r="AH723" i="9"/>
  <c r="AK723" i="9" s="1"/>
  <c r="AI830" i="9"/>
  <c r="AL830" i="9" s="1"/>
  <c r="AH830" i="9"/>
  <c r="AK830" i="9" s="1"/>
  <c r="AI151" i="9"/>
  <c r="AL151" i="9" s="1"/>
  <c r="AH151" i="9"/>
  <c r="AK151" i="9" s="1"/>
  <c r="AI57" i="9"/>
  <c r="AL57" i="9" s="1"/>
  <c r="AH57" i="9"/>
  <c r="AK57" i="9" s="1"/>
  <c r="AI524" i="9"/>
  <c r="AL524" i="9" s="1"/>
  <c r="AH524" i="9"/>
  <c r="AK524" i="9" s="1"/>
  <c r="AI736" i="9"/>
  <c r="AL736" i="9" s="1"/>
  <c r="AH736" i="9"/>
  <c r="AK736" i="9" s="1"/>
  <c r="AI504" i="9"/>
  <c r="AL504" i="9" s="1"/>
  <c r="AH504" i="9"/>
  <c r="AK504" i="9" s="1"/>
  <c r="AI858" i="9"/>
  <c r="AL858" i="9" s="1"/>
  <c r="AH858" i="9"/>
  <c r="AK858" i="9" s="1"/>
  <c r="AI771" i="9"/>
  <c r="AL771" i="9" s="1"/>
  <c r="AH771" i="9"/>
  <c r="AK771" i="9" s="1"/>
  <c r="AI344" i="9"/>
  <c r="AL344" i="9" s="1"/>
  <c r="AH344" i="9"/>
  <c r="AK344" i="9" s="1"/>
  <c r="AI392" i="9"/>
  <c r="AL392" i="9" s="1"/>
  <c r="AH392" i="9"/>
  <c r="AK392" i="9" s="1"/>
  <c r="AI544" i="9"/>
  <c r="AL544" i="9" s="1"/>
  <c r="AH544" i="9"/>
  <c r="AK544" i="9" s="1"/>
  <c r="AI21" i="9"/>
  <c r="AL21" i="9" s="1"/>
  <c r="AH21" i="9"/>
  <c r="AK21" i="9" s="1"/>
  <c r="AI841" i="9"/>
  <c r="AL841" i="9" s="1"/>
  <c r="AH841" i="9"/>
  <c r="AK841" i="9" s="1"/>
  <c r="AI712" i="9"/>
  <c r="AL712" i="9" s="1"/>
  <c r="AH712" i="9"/>
  <c r="AK712" i="9" s="1"/>
  <c r="AH284" i="9"/>
  <c r="AK284" i="9" s="1"/>
  <c r="AI284" i="9"/>
  <c r="AL284" i="9" s="1"/>
  <c r="AI218" i="9"/>
  <c r="AL218" i="9" s="1"/>
  <c r="AH218" i="9"/>
  <c r="AK218" i="9" s="1"/>
  <c r="AI507" i="9"/>
  <c r="AL507" i="9" s="1"/>
  <c r="AH507" i="9"/>
  <c r="AK507" i="9" s="1"/>
  <c r="AI496" i="9"/>
  <c r="AL496" i="9" s="1"/>
  <c r="AH496" i="9"/>
  <c r="AK496" i="9" s="1"/>
  <c r="AI409" i="9"/>
  <c r="AL409" i="9" s="1"/>
  <c r="AH409" i="9"/>
  <c r="AK409" i="9" s="1"/>
  <c r="AI852" i="9"/>
  <c r="AL852" i="9" s="1"/>
  <c r="AH852" i="9"/>
  <c r="AK852" i="9" s="1"/>
  <c r="AI616" i="9"/>
  <c r="AL616" i="9" s="1"/>
  <c r="AH616" i="9"/>
  <c r="AK616" i="9" s="1"/>
  <c r="AI553" i="9"/>
  <c r="AL553" i="9" s="1"/>
  <c r="AH553" i="9"/>
  <c r="AK553" i="9" s="1"/>
  <c r="AI569" i="9"/>
  <c r="AL569" i="9" s="1"/>
  <c r="AH569" i="9"/>
  <c r="AK569" i="9" s="1"/>
  <c r="AI242" i="9"/>
  <c r="AL242" i="9" s="1"/>
  <c r="AH242" i="9"/>
  <c r="AK242" i="9" s="1"/>
  <c r="AI9" i="9"/>
  <c r="AL9" i="9" s="1"/>
  <c r="AH9" i="9"/>
  <c r="AK9" i="9" s="1"/>
  <c r="AI263" i="9"/>
  <c r="AL263" i="9" s="1"/>
  <c r="AH263" i="9"/>
  <c r="AK263" i="9" s="1"/>
  <c r="AI619" i="9"/>
  <c r="AL619" i="9" s="1"/>
  <c r="AH619" i="9"/>
  <c r="AK619" i="9" s="1"/>
  <c r="AI660" i="9"/>
  <c r="AL660" i="9" s="1"/>
  <c r="AH660" i="9"/>
  <c r="AK660" i="9" s="1"/>
  <c r="AI606" i="9"/>
  <c r="AL606" i="9" s="1"/>
  <c r="AH606" i="9"/>
  <c r="AK606" i="9" s="1"/>
  <c r="AI681" i="9"/>
  <c r="AL681" i="9" s="1"/>
  <c r="AH681" i="9"/>
  <c r="AK681" i="9" s="1"/>
  <c r="AI626" i="9"/>
  <c r="AL626" i="9" s="1"/>
  <c r="AH626" i="9"/>
  <c r="AK626" i="9" s="1"/>
  <c r="AH436" i="9"/>
  <c r="AK436" i="9" s="1"/>
  <c r="AI436" i="9"/>
  <c r="AL436" i="9" s="1"/>
  <c r="AI454" i="9"/>
  <c r="AL454" i="9" s="1"/>
  <c r="AH454" i="9"/>
  <c r="AK454" i="9" s="1"/>
  <c r="AH308" i="9"/>
  <c r="AK308" i="9" s="1"/>
  <c r="AI308" i="9"/>
  <c r="AL308" i="9" s="1"/>
  <c r="AI693" i="9"/>
  <c r="AL693" i="9" s="1"/>
  <c r="AH693" i="9"/>
  <c r="AK693" i="9" s="1"/>
  <c r="AI11" i="9"/>
  <c r="AL11" i="9" s="1"/>
  <c r="AH11" i="9"/>
  <c r="AK11" i="9" s="1"/>
  <c r="AI808" i="9"/>
  <c r="AL808" i="9" s="1"/>
  <c r="AH808" i="9"/>
  <c r="AK808" i="9" s="1"/>
  <c r="AI668" i="9"/>
  <c r="AL668" i="9" s="1"/>
  <c r="AH668" i="9"/>
  <c r="AK668" i="9" s="1"/>
  <c r="AI604" i="9"/>
  <c r="AL604" i="9" s="1"/>
  <c r="AH604" i="9"/>
  <c r="AK604" i="9" s="1"/>
  <c r="AI141" i="9"/>
  <c r="AL141" i="9" s="1"/>
  <c r="AH141" i="9"/>
  <c r="AK141" i="9" s="1"/>
  <c r="AI37" i="9"/>
  <c r="AL37" i="9" s="1"/>
  <c r="AH37" i="9"/>
  <c r="AK37" i="9" s="1"/>
  <c r="AI332" i="9"/>
  <c r="AL332" i="9" s="1"/>
  <c r="AH332" i="9"/>
  <c r="AK332" i="9" s="1"/>
  <c r="AH834" i="9"/>
  <c r="AK834" i="9" s="1"/>
  <c r="AI834" i="9"/>
  <c r="AL834" i="9" s="1"/>
  <c r="AI720" i="9"/>
  <c r="AL720" i="9" s="1"/>
  <c r="AH720" i="9"/>
  <c r="AK720" i="9" s="1"/>
  <c r="AI202" i="9"/>
  <c r="AL202" i="9" s="1"/>
  <c r="AH202" i="9"/>
  <c r="AK202" i="9" s="1"/>
  <c r="AH348" i="9"/>
  <c r="AK348" i="9" s="1"/>
  <c r="AI348" i="9"/>
  <c r="AL348" i="9" s="1"/>
  <c r="AI259" i="9"/>
  <c r="AL259" i="9" s="1"/>
  <c r="AH259" i="9"/>
  <c r="AK259" i="9" s="1"/>
  <c r="AI578" i="9"/>
  <c r="AL578" i="9" s="1"/>
  <c r="AH578" i="9"/>
  <c r="AK578" i="9" s="1"/>
  <c r="AI691" i="9"/>
  <c r="AL691" i="9" s="1"/>
  <c r="AH691" i="9"/>
  <c r="AK691" i="9" s="1"/>
  <c r="AI382" i="9"/>
  <c r="AL382" i="9" s="1"/>
  <c r="AH382" i="9"/>
  <c r="AK382" i="9" s="1"/>
  <c r="AI146" i="9"/>
  <c r="AL146" i="9" s="1"/>
  <c r="AH146" i="9"/>
  <c r="AK146" i="9" s="1"/>
  <c r="AI762" i="9"/>
  <c r="AL762" i="9" s="1"/>
  <c r="AH762" i="9"/>
  <c r="AK762" i="9" s="1"/>
  <c r="AI126" i="9"/>
  <c r="AL126" i="9" s="1"/>
  <c r="AH126" i="9"/>
  <c r="AK126" i="9" s="1"/>
  <c r="AI31" i="9"/>
  <c r="AL31" i="9" s="1"/>
  <c r="AH31" i="9"/>
  <c r="AK31" i="9" s="1"/>
  <c r="AI684" i="9"/>
  <c r="AL684" i="9" s="1"/>
  <c r="AH684" i="9"/>
  <c r="AK684" i="9" s="1"/>
  <c r="AI636" i="9"/>
  <c r="AL636" i="9" s="1"/>
  <c r="AH636" i="9"/>
  <c r="AK636" i="9" s="1"/>
  <c r="AI237" i="9"/>
  <c r="AL237" i="9" s="1"/>
  <c r="AH237" i="9"/>
  <c r="AK237" i="9" s="1"/>
  <c r="AI701" i="9"/>
  <c r="AL701" i="9" s="1"/>
  <c r="AH701" i="9"/>
  <c r="AK701" i="9" s="1"/>
  <c r="AI838" i="9"/>
  <c r="AL838" i="9" s="1"/>
  <c r="AH838" i="9"/>
  <c r="AK838" i="9" s="1"/>
  <c r="AI149" i="9"/>
  <c r="AL149" i="9" s="1"/>
  <c r="AH149" i="9"/>
  <c r="AK149" i="9" s="1"/>
  <c r="AI707" i="9"/>
  <c r="AL707" i="9" s="1"/>
  <c r="AH707" i="9"/>
  <c r="AK707" i="9" s="1"/>
  <c r="AI812" i="9"/>
  <c r="AL812" i="9" s="1"/>
  <c r="AH812" i="9"/>
  <c r="AK812" i="9" s="1"/>
  <c r="AI261" i="9"/>
  <c r="AL261" i="9" s="1"/>
  <c r="AH261" i="9"/>
  <c r="AK261" i="9" s="1"/>
  <c r="AI227" i="9"/>
  <c r="AL227" i="9" s="1"/>
  <c r="AH227" i="9"/>
  <c r="AK227" i="9" s="1"/>
  <c r="AI12" i="9"/>
  <c r="AL12" i="9" s="1"/>
  <c r="AH12" i="9"/>
  <c r="AK12" i="9" s="1"/>
  <c r="AI804" i="9"/>
  <c r="AL804" i="9" s="1"/>
  <c r="AH804" i="9"/>
  <c r="AK804" i="9" s="1"/>
  <c r="AI829" i="9"/>
  <c r="AL829" i="9" s="1"/>
  <c r="AH829" i="9"/>
  <c r="AK829" i="9" s="1"/>
  <c r="AI498" i="9"/>
  <c r="AL498" i="9" s="1"/>
  <c r="AH498" i="9"/>
  <c r="AK498" i="9" s="1"/>
  <c r="AI26" i="9"/>
  <c r="AL26" i="9" s="1"/>
  <c r="AH26" i="9"/>
  <c r="AK26" i="9" s="1"/>
  <c r="AI603" i="9"/>
  <c r="AL603" i="9" s="1"/>
  <c r="AH603" i="9"/>
  <c r="AK603" i="9" s="1"/>
  <c r="AI792" i="9"/>
  <c r="AL792" i="9" s="1"/>
  <c r="AH792" i="9"/>
  <c r="AK792" i="9" s="1"/>
  <c r="AI815" i="9"/>
  <c r="AL815" i="9" s="1"/>
  <c r="AH815" i="9"/>
  <c r="AK815" i="9" s="1"/>
  <c r="AI189" i="9"/>
  <c r="AL189" i="9" s="1"/>
  <c r="AH189" i="9"/>
  <c r="AK189" i="9" s="1"/>
  <c r="AI400" i="9"/>
  <c r="AL400" i="9" s="1"/>
  <c r="AH400" i="9"/>
  <c r="AK400" i="9" s="1"/>
  <c r="AI523" i="9"/>
  <c r="AL523" i="9" s="1"/>
  <c r="AH523" i="9"/>
  <c r="AK523" i="9" s="1"/>
  <c r="AI425" i="9"/>
  <c r="AL425" i="9" s="1"/>
  <c r="AH425" i="9"/>
  <c r="AK425" i="9" s="1"/>
  <c r="AI486" i="9"/>
  <c r="AL486" i="9" s="1"/>
  <c r="AH486" i="9"/>
  <c r="AK486" i="9" s="1"/>
  <c r="AI561" i="9"/>
  <c r="AL561" i="9" s="1"/>
  <c r="AH561" i="9"/>
  <c r="AK561" i="9" s="1"/>
  <c r="AI273" i="9"/>
  <c r="AL273" i="9" s="1"/>
  <c r="AH273" i="9"/>
  <c r="AK273" i="9" s="1"/>
  <c r="AI441" i="9"/>
  <c r="AL441" i="9" s="1"/>
  <c r="AH441" i="9"/>
  <c r="AK441" i="9" s="1"/>
  <c r="AI275" i="9"/>
  <c r="AL275" i="9" s="1"/>
  <c r="AH275" i="9"/>
  <c r="AK275" i="9" s="1"/>
  <c r="AI18" i="9"/>
  <c r="AL18" i="9" s="1"/>
  <c r="AH18" i="9"/>
  <c r="AK18" i="9" s="1"/>
  <c r="AI788" i="9"/>
  <c r="AL788" i="9" s="1"/>
  <c r="AH788" i="9"/>
  <c r="AK788" i="9" s="1"/>
  <c r="AI266" i="9"/>
  <c r="AL266" i="9" s="1"/>
  <c r="AH266" i="9"/>
  <c r="AK266" i="9" s="1"/>
  <c r="AI63" i="9"/>
  <c r="AL63" i="9" s="1"/>
  <c r="AH63" i="9"/>
  <c r="AK63" i="9" s="1"/>
  <c r="AI157" i="9"/>
  <c r="AL157" i="9" s="1"/>
  <c r="AH157" i="9"/>
  <c r="AK157" i="9" s="1"/>
  <c r="AI177" i="9"/>
  <c r="AL177" i="9" s="1"/>
  <c r="AH177" i="9"/>
  <c r="AK177" i="9" s="1"/>
  <c r="AI552" i="9"/>
  <c r="AL552" i="9" s="1"/>
  <c r="AH552" i="9"/>
  <c r="AK552" i="9" s="1"/>
  <c r="AI796" i="9"/>
  <c r="AL796" i="9" s="1"/>
  <c r="AH796" i="9"/>
  <c r="AK796" i="9" s="1"/>
  <c r="AI377" i="9"/>
  <c r="AL377" i="9" s="1"/>
  <c r="AH377" i="9"/>
  <c r="AK377" i="9" s="1"/>
  <c r="AI13" i="9"/>
  <c r="AL13" i="9" s="1"/>
  <c r="AH13" i="9"/>
  <c r="AK13" i="9" s="1"/>
  <c r="AI354" i="9"/>
  <c r="AL354" i="9" s="1"/>
  <c r="AH354" i="9"/>
  <c r="AK354" i="9" s="1"/>
  <c r="AI226" i="9"/>
  <c r="AL226" i="9" s="1"/>
  <c r="AH226" i="9"/>
  <c r="AK226" i="9" s="1"/>
  <c r="AI521" i="9"/>
  <c r="AL521" i="9" s="1"/>
  <c r="AH521" i="9"/>
  <c r="AK521" i="9" s="1"/>
  <c r="AI326" i="9"/>
  <c r="AL326" i="9" s="1"/>
  <c r="AH326" i="9"/>
  <c r="AK326" i="9" s="1"/>
  <c r="AI573" i="9"/>
  <c r="AL573" i="9" s="1"/>
  <c r="AH573" i="9"/>
  <c r="AK573" i="9" s="1"/>
  <c r="AI540" i="9"/>
  <c r="AL540" i="9" s="1"/>
  <c r="AH540" i="9"/>
  <c r="AK540" i="9" s="1"/>
  <c r="AH164" i="9"/>
  <c r="AK164" i="9" s="1"/>
  <c r="AI164" i="9"/>
  <c r="AL164" i="9" s="1"/>
  <c r="AI286" i="9"/>
  <c r="AL286" i="9" s="1"/>
  <c r="AH286" i="9"/>
  <c r="AK286" i="9" s="1"/>
  <c r="AI240" i="9"/>
  <c r="AL240" i="9" s="1"/>
  <c r="AH240" i="9"/>
  <c r="AK240" i="9" s="1"/>
  <c r="AI395" i="9"/>
  <c r="AL395" i="9" s="1"/>
  <c r="AH395" i="9"/>
  <c r="AK395" i="9" s="1"/>
  <c r="AH786" i="9"/>
  <c r="AK786" i="9" s="1"/>
  <c r="AI786" i="9"/>
  <c r="AL786" i="9" s="1"/>
  <c r="AI718" i="9"/>
  <c r="AL718" i="9" s="1"/>
  <c r="AH718" i="9"/>
  <c r="AK718" i="9" s="1"/>
  <c r="AI730" i="9"/>
  <c r="AL730" i="9" s="1"/>
  <c r="AH730" i="9"/>
  <c r="AK730" i="9" s="1"/>
  <c r="AI776" i="9"/>
  <c r="AL776" i="9" s="1"/>
  <c r="AH776" i="9"/>
  <c r="AK776" i="9" s="1"/>
  <c r="AH452" i="9"/>
  <c r="AK452" i="9" s="1"/>
  <c r="AI452" i="9"/>
  <c r="AL452" i="9" s="1"/>
  <c r="AI323" i="9"/>
  <c r="AL323" i="9" s="1"/>
  <c r="AH323" i="9"/>
  <c r="AK323" i="9" s="1"/>
  <c r="AI469" i="9"/>
  <c r="AL469" i="9" s="1"/>
  <c r="AH469" i="9"/>
  <c r="AK469" i="9" s="1"/>
  <c r="AI582" i="9"/>
  <c r="AL582" i="9" s="1"/>
  <c r="AH582" i="9"/>
  <c r="AK582" i="9" s="1"/>
  <c r="AI357" i="9"/>
  <c r="AL357" i="9" s="1"/>
  <c r="AH357" i="9"/>
  <c r="AK357" i="9" s="1"/>
  <c r="AI281" i="9"/>
  <c r="AL281" i="9" s="1"/>
  <c r="AH281" i="9"/>
  <c r="AK281" i="9" s="1"/>
  <c r="AI761" i="9"/>
  <c r="AL761" i="9" s="1"/>
  <c r="AH761" i="9"/>
  <c r="AK761" i="9" s="1"/>
  <c r="AI612" i="9"/>
  <c r="AL612" i="9" s="1"/>
  <c r="AH612" i="9"/>
  <c r="AK612" i="9" s="1"/>
  <c r="AI297" i="9"/>
  <c r="AL297" i="9" s="1"/>
  <c r="AH297" i="9"/>
  <c r="AK297" i="9" s="1"/>
  <c r="AH60" i="9"/>
  <c r="AK60" i="9" s="1"/>
  <c r="AI60" i="9"/>
  <c r="AL60" i="9" s="1"/>
  <c r="AI545" i="9"/>
  <c r="AL545" i="9" s="1"/>
  <c r="AH545" i="9"/>
  <c r="AK545" i="9" s="1"/>
  <c r="AI637" i="9"/>
  <c r="AL637" i="9" s="1"/>
  <c r="AH637" i="9"/>
  <c r="AK637" i="9" s="1"/>
  <c r="AI500" i="9"/>
  <c r="AL500" i="9" s="1"/>
  <c r="AH500" i="9"/>
  <c r="AK500" i="9" s="1"/>
  <c r="AI239" i="9"/>
  <c r="AL239" i="9" s="1"/>
  <c r="AH239" i="9"/>
  <c r="AK239" i="9" s="1"/>
  <c r="AI384" i="9"/>
  <c r="AL384" i="9" s="1"/>
  <c r="AH384" i="9"/>
  <c r="AK384" i="9" s="1"/>
  <c r="AI363" i="9"/>
  <c r="AL363" i="9" s="1"/>
  <c r="AH363" i="9"/>
  <c r="AK363" i="9" s="1"/>
  <c r="AI797" i="9"/>
  <c r="AL797" i="9" s="1"/>
  <c r="AH797" i="9"/>
  <c r="AK797" i="9" s="1"/>
  <c r="AH845" i="9"/>
  <c r="AK845" i="9" s="1"/>
  <c r="AI845" i="9"/>
  <c r="AL845" i="9" s="1"/>
  <c r="AI32" i="9"/>
  <c r="AL32" i="9" s="1"/>
  <c r="AH32" i="9"/>
  <c r="AK32" i="9" s="1"/>
  <c r="AI253" i="9"/>
  <c r="AL253" i="9" s="1"/>
  <c r="AH253" i="9"/>
  <c r="AK253" i="9" s="1"/>
  <c r="AI169" i="9"/>
  <c r="AL169" i="9" s="1"/>
  <c r="AH169" i="9"/>
  <c r="AK169" i="9" s="1"/>
  <c r="AI431" i="9"/>
  <c r="AL431" i="9" s="1"/>
  <c r="AH431" i="9"/>
  <c r="AK431" i="9" s="1"/>
  <c r="AI191" i="9"/>
  <c r="AL191" i="9" s="1"/>
  <c r="AH191" i="9"/>
  <c r="AK191" i="9" s="1"/>
  <c r="AI234" i="9"/>
  <c r="AL234" i="9" s="1"/>
  <c r="AH234" i="9"/>
  <c r="AK234" i="9" s="1"/>
  <c r="AH172" i="9"/>
  <c r="AK172" i="9" s="1"/>
  <c r="AI172" i="9"/>
  <c r="AL172" i="9" s="1"/>
  <c r="AI565" i="9"/>
  <c r="AL565" i="9" s="1"/>
  <c r="AH565" i="9"/>
  <c r="AK565" i="9" s="1"/>
  <c r="AI360" i="9"/>
  <c r="AL360" i="9" s="1"/>
  <c r="AH360" i="9"/>
  <c r="AK360" i="9" s="1"/>
  <c r="AI659" i="9"/>
  <c r="AL659" i="9" s="1"/>
  <c r="AH659" i="9"/>
  <c r="AK659" i="9" s="1"/>
  <c r="AH124" i="9"/>
  <c r="AK124" i="9" s="1"/>
  <c r="AI124" i="9"/>
  <c r="AL124" i="9" s="1"/>
  <c r="AI514" i="9"/>
  <c r="AL514" i="9" s="1"/>
  <c r="AH514" i="9"/>
  <c r="AK514" i="9" s="1"/>
  <c r="AI174" i="9"/>
  <c r="AL174" i="9" s="1"/>
  <c r="AH174" i="9"/>
  <c r="AK174" i="9" s="1"/>
  <c r="AI408" i="9"/>
  <c r="AL408" i="9" s="1"/>
  <c r="AH408" i="9"/>
  <c r="AK408" i="9" s="1"/>
  <c r="AI352" i="9"/>
  <c r="AL352" i="9" s="1"/>
  <c r="AH352" i="9"/>
  <c r="AK352" i="9" s="1"/>
  <c r="AI471" i="9"/>
  <c r="AL471" i="9" s="1"/>
  <c r="AH471" i="9"/>
  <c r="AK471" i="9" s="1"/>
  <c r="AI175" i="9"/>
  <c r="AL175" i="9" s="1"/>
  <c r="AH175" i="9"/>
  <c r="AK175" i="9" s="1"/>
  <c r="AI416" i="9"/>
  <c r="AL416" i="9" s="1"/>
  <c r="AH416" i="9"/>
  <c r="AK416" i="9" s="1"/>
  <c r="AI652" i="9"/>
  <c r="AL652" i="9" s="1"/>
  <c r="AH652" i="9"/>
  <c r="AK652" i="9" s="1"/>
  <c r="AI678" i="9"/>
  <c r="AL678" i="9" s="1"/>
  <c r="AH678" i="9"/>
  <c r="AK678" i="9" s="1"/>
  <c r="AI638" i="9"/>
  <c r="AL638" i="9" s="1"/>
  <c r="AH638" i="9"/>
  <c r="AK638" i="9" s="1"/>
  <c r="AI222" i="9"/>
  <c r="AL222" i="9" s="1"/>
  <c r="AH222" i="9"/>
  <c r="AK222" i="9" s="1"/>
  <c r="AI598" i="9"/>
  <c r="AL598" i="9" s="1"/>
  <c r="AH598" i="9"/>
  <c r="AK598" i="9" s="1"/>
  <c r="AI628" i="9"/>
  <c r="AL628" i="9" s="1"/>
  <c r="AH628" i="9"/>
  <c r="AK628" i="9" s="1"/>
  <c r="AI331" i="9"/>
  <c r="AL331" i="9" s="1"/>
  <c r="AH331" i="9"/>
  <c r="AK331" i="9" s="1"/>
  <c r="AI711" i="9"/>
  <c r="AL711" i="9" s="1"/>
  <c r="AH711" i="9"/>
  <c r="AK711" i="9" s="1"/>
  <c r="AI34" i="9"/>
  <c r="AL34" i="9" s="1"/>
  <c r="AH34" i="9"/>
  <c r="AK34" i="9" s="1"/>
  <c r="AI505" i="9"/>
  <c r="AL505" i="9" s="1"/>
  <c r="AH505" i="9"/>
  <c r="AK505" i="9" s="1"/>
  <c r="AH236" i="9"/>
  <c r="AK236" i="9" s="1"/>
  <c r="AI236" i="9"/>
  <c r="AL236" i="9" s="1"/>
  <c r="AI747" i="9"/>
  <c r="AL747" i="9" s="1"/>
  <c r="AH747" i="9"/>
  <c r="AK747" i="9" s="1"/>
  <c r="AI609" i="9"/>
  <c r="AL609" i="9" s="1"/>
  <c r="AH609" i="9"/>
  <c r="AK609" i="9" s="1"/>
  <c r="AI822" i="9"/>
  <c r="AL822" i="9" s="1"/>
  <c r="AH822" i="9"/>
  <c r="AK822" i="9" s="1"/>
  <c r="AI840" i="9"/>
  <c r="AL840" i="9" s="1"/>
  <c r="AH840" i="9"/>
  <c r="AK840" i="9" s="1"/>
  <c r="AI748" i="9"/>
  <c r="AL748" i="9" s="1"/>
  <c r="AH748" i="9"/>
  <c r="AK748" i="9" s="1"/>
  <c r="AI666" i="9"/>
  <c r="AL666" i="9" s="1"/>
  <c r="AH666" i="9"/>
  <c r="AK666" i="9" s="1"/>
  <c r="AI490" i="9"/>
  <c r="AL490" i="9" s="1"/>
  <c r="AH490" i="9"/>
  <c r="AK490" i="9" s="1"/>
  <c r="AI328" i="9"/>
  <c r="AL328" i="9" s="1"/>
  <c r="AH328" i="9"/>
  <c r="AK328" i="9" s="1"/>
  <c r="AI741" i="9"/>
  <c r="AL741" i="9" s="1"/>
  <c r="AH741" i="9"/>
  <c r="AK741" i="9" s="1"/>
  <c r="AI209" i="9"/>
  <c r="AL209" i="9" s="1"/>
  <c r="AH209" i="9"/>
  <c r="AK209" i="9" s="1"/>
  <c r="AI367" i="9"/>
  <c r="AL367" i="9" s="1"/>
  <c r="AH367" i="9"/>
  <c r="AK367" i="9" s="1"/>
  <c r="AI457" i="9"/>
  <c r="AL457" i="9" s="1"/>
  <c r="AH457" i="9"/>
  <c r="AK457" i="9" s="1"/>
  <c r="AI327" i="9"/>
  <c r="AL327" i="9" s="1"/>
  <c r="AH327" i="9"/>
  <c r="AK327" i="9" s="1"/>
  <c r="AI814" i="9"/>
  <c r="AL814" i="9" s="1"/>
  <c r="AH814" i="9"/>
  <c r="AK814" i="9" s="1"/>
  <c r="AI478" i="9"/>
  <c r="AL478" i="9" s="1"/>
  <c r="AH478" i="9"/>
  <c r="AK478" i="9" s="1"/>
  <c r="AI306" i="9"/>
  <c r="AL306" i="9" s="1"/>
  <c r="AH306" i="9"/>
  <c r="AK306" i="9" s="1"/>
  <c r="AI378" i="9"/>
  <c r="AL378" i="9" s="1"/>
  <c r="AH378" i="9"/>
  <c r="AK378" i="9" s="1"/>
  <c r="AI214" i="9"/>
  <c r="AL214" i="9" s="1"/>
  <c r="AH214" i="9"/>
  <c r="AK214" i="9" s="1"/>
  <c r="AI817" i="9"/>
  <c r="AL817" i="9" s="1"/>
  <c r="AH817" i="9"/>
  <c r="AK817" i="9" s="1"/>
  <c r="AI293" i="9"/>
  <c r="AL293" i="9" s="1"/>
  <c r="AH293" i="9"/>
  <c r="AK293" i="9" s="1"/>
  <c r="AI376" i="9"/>
  <c r="AL376" i="9" s="1"/>
  <c r="AH376" i="9"/>
  <c r="AK376" i="9" s="1"/>
  <c r="AI440" i="9"/>
  <c r="AL440" i="9" s="1"/>
  <c r="AH440" i="9"/>
  <c r="AK440" i="9" s="1"/>
  <c r="AI481" i="9"/>
  <c r="AL481" i="9" s="1"/>
  <c r="AH481" i="9"/>
  <c r="AK481" i="9" s="1"/>
  <c r="AI219" i="9"/>
  <c r="AL219" i="9" s="1"/>
  <c r="AH219" i="9"/>
  <c r="AK219" i="9" s="1"/>
  <c r="AI828" i="9"/>
  <c r="AL828" i="9" s="1"/>
  <c r="AH828" i="9"/>
  <c r="AK828" i="9" s="1"/>
  <c r="AI654" i="9"/>
  <c r="AL654" i="9" s="1"/>
  <c r="AH654" i="9"/>
  <c r="AK654" i="9" s="1"/>
  <c r="AI322" i="9"/>
  <c r="AL322" i="9" s="1"/>
  <c r="AH322" i="9"/>
  <c r="AK322" i="9" s="1"/>
  <c r="AI154" i="9"/>
  <c r="AL154" i="9" s="1"/>
  <c r="AH154" i="9"/>
  <c r="AK154" i="9" s="1"/>
  <c r="AI351" i="9"/>
  <c r="AL351" i="9" s="1"/>
  <c r="AH351" i="9"/>
  <c r="AK351" i="9" s="1"/>
  <c r="AI396" i="9"/>
  <c r="AL396" i="9" s="1"/>
  <c r="AH396" i="9"/>
  <c r="AK396" i="9" s="1"/>
  <c r="AI264" i="9"/>
  <c r="AL264" i="9" s="1"/>
  <c r="AH264" i="9"/>
  <c r="AK264" i="9" s="1"/>
  <c r="AI737" i="9"/>
  <c r="AL737" i="9" s="1"/>
  <c r="AH737" i="9"/>
  <c r="AK737" i="9" s="1"/>
  <c r="AI210" i="9"/>
  <c r="AL210" i="9" s="1"/>
  <c r="AH210" i="9"/>
  <c r="AK210" i="9" s="1"/>
  <c r="AI243" i="9"/>
  <c r="AL243" i="9" s="1"/>
  <c r="AH243" i="9"/>
  <c r="AK243" i="9" s="1"/>
  <c r="AI672" i="9"/>
  <c r="AL672" i="9" s="1"/>
  <c r="AH672" i="9"/>
  <c r="AK672" i="9" s="1"/>
  <c r="AI780" i="9"/>
  <c r="AL780" i="9" s="1"/>
  <c r="AH780" i="9"/>
  <c r="AK780" i="9" s="1"/>
  <c r="AI15" i="9"/>
  <c r="AL15" i="9" s="1"/>
  <c r="AH15" i="9"/>
  <c r="AK15" i="9" s="1"/>
  <c r="AI650" i="9"/>
  <c r="AL650" i="9" s="1"/>
  <c r="AH650" i="9"/>
  <c r="AK650" i="9" s="1"/>
  <c r="AI719" i="9"/>
  <c r="AL719" i="9" s="1"/>
  <c r="AH719" i="9"/>
  <c r="AK719" i="9" s="1"/>
  <c r="AI658" i="9"/>
  <c r="AL658" i="9" s="1"/>
  <c r="AH658" i="9"/>
  <c r="AK658" i="9" s="1"/>
  <c r="AI40" i="9"/>
  <c r="AL40" i="9" s="1"/>
  <c r="AH40" i="9"/>
  <c r="AK40" i="9" s="1"/>
  <c r="AH372" i="9"/>
  <c r="AK372" i="9" s="1"/>
  <c r="AI372" i="9"/>
  <c r="AL372" i="9" s="1"/>
  <c r="AI183" i="9"/>
  <c r="AL183" i="9" s="1"/>
  <c r="AH183" i="9"/>
  <c r="AK183" i="9" s="1"/>
  <c r="AI474" i="9"/>
  <c r="AL474" i="9" s="1"/>
  <c r="AH474" i="9"/>
  <c r="AK474" i="9" s="1"/>
  <c r="AI651" i="9"/>
  <c r="AL651" i="9" s="1"/>
  <c r="AH651" i="9"/>
  <c r="AK651" i="9" s="1"/>
  <c r="AI465" i="9"/>
  <c r="AL465" i="9" s="1"/>
  <c r="AH465" i="9"/>
  <c r="AK465" i="9" s="1"/>
  <c r="AI230" i="9"/>
  <c r="AL230" i="9" s="1"/>
  <c r="AH230" i="9"/>
  <c r="AK230" i="9" s="1"/>
  <c r="AI699" i="9"/>
  <c r="AL699" i="9" s="1"/>
  <c r="AH699" i="9"/>
  <c r="AK699" i="9" s="1"/>
  <c r="AI168" i="9"/>
  <c r="AL168" i="9" s="1"/>
  <c r="AH168" i="9"/>
  <c r="AK168" i="9" s="1"/>
  <c r="AI288" i="9"/>
  <c r="AL288" i="9" s="1"/>
  <c r="AH288" i="9"/>
  <c r="AK288" i="9" s="1"/>
  <c r="AI130" i="9"/>
  <c r="AL130" i="9" s="1"/>
  <c r="AH130" i="9"/>
  <c r="AK130" i="9" s="1"/>
  <c r="AH444" i="9"/>
  <c r="AK444" i="9" s="1"/>
  <c r="AI444" i="9"/>
  <c r="AL444" i="9" s="1"/>
  <c r="AI624" i="9"/>
  <c r="AL624" i="9" s="1"/>
  <c r="AH624" i="9"/>
  <c r="AK624" i="9" s="1"/>
  <c r="AI318" i="9"/>
  <c r="AL318" i="9" s="1"/>
  <c r="AH318" i="9"/>
  <c r="AK318" i="9" s="1"/>
  <c r="AI674" i="9"/>
  <c r="AL674" i="9" s="1"/>
  <c r="AH674" i="9"/>
  <c r="AK674" i="9" s="1"/>
  <c r="AI398" i="9"/>
  <c r="AL398" i="9" s="1"/>
  <c r="AH398" i="9"/>
  <c r="AK398" i="9" s="1"/>
  <c r="AI309" i="9"/>
  <c r="AL309" i="9" s="1"/>
  <c r="AH309" i="9"/>
  <c r="AK309" i="9" s="1"/>
  <c r="AI726" i="9"/>
  <c r="AL726" i="9" s="1"/>
  <c r="AH726" i="9"/>
  <c r="AK726" i="9" s="1"/>
  <c r="AH380" i="9"/>
  <c r="AK380" i="9" s="1"/>
  <c r="AI380" i="9"/>
  <c r="AL380" i="9" s="1"/>
  <c r="AI231" i="9"/>
  <c r="AL231" i="9" s="1"/>
  <c r="AH231" i="9"/>
  <c r="AK231" i="9" s="1"/>
  <c r="AI349" i="9"/>
  <c r="AL349" i="9" s="1"/>
  <c r="AH349" i="9"/>
  <c r="AK349" i="9" s="1"/>
  <c r="AI238" i="9"/>
  <c r="AL238" i="9" s="1"/>
  <c r="AH238" i="9"/>
  <c r="AK238" i="9" s="1"/>
  <c r="AI182" i="9"/>
  <c r="AL182" i="9" s="1"/>
  <c r="AH182" i="9"/>
  <c r="AK182" i="9" s="1"/>
  <c r="AI484" i="9"/>
  <c r="AL484" i="9" s="1"/>
  <c r="AH484" i="9"/>
  <c r="AK484" i="9" s="1"/>
  <c r="AI283" i="9"/>
  <c r="AL283" i="9" s="1"/>
  <c r="AH283" i="9"/>
  <c r="AK283" i="9" s="1"/>
  <c r="AI304" i="9"/>
  <c r="AL304" i="9" s="1"/>
  <c r="AH304" i="9"/>
  <c r="AK304" i="9" s="1"/>
  <c r="AI633" i="9"/>
  <c r="AL633" i="9" s="1"/>
  <c r="AH633" i="9"/>
  <c r="AK633" i="9" s="1"/>
  <c r="AI427" i="9"/>
  <c r="AL427" i="9" s="1"/>
  <c r="AH427" i="9"/>
  <c r="AK427" i="9" s="1"/>
  <c r="AI782" i="9"/>
  <c r="AL782" i="9" s="1"/>
  <c r="AH782" i="9"/>
  <c r="AK782" i="9" s="1"/>
  <c r="AI405" i="9"/>
  <c r="AL405" i="9" s="1"/>
  <c r="AH405" i="9"/>
  <c r="AK405" i="9" s="1"/>
  <c r="AI727" i="9"/>
  <c r="AL727" i="9" s="1"/>
  <c r="AH727" i="9"/>
  <c r="AK727" i="9" s="1"/>
  <c r="AI679" i="9"/>
  <c r="AL679" i="9" s="1"/>
  <c r="AH679" i="9"/>
  <c r="AK679" i="9" s="1"/>
  <c r="AI311" i="9"/>
  <c r="AL311" i="9" s="1"/>
  <c r="AH311" i="9"/>
  <c r="AK311" i="9" s="1"/>
  <c r="AI282" i="9"/>
  <c r="AL282" i="9" s="1"/>
  <c r="AH282" i="9"/>
  <c r="AK282" i="9" s="1"/>
  <c r="AH757" i="9"/>
  <c r="AK757" i="9" s="1"/>
  <c r="AI757" i="9"/>
  <c r="AL757" i="9" s="1"/>
  <c r="AI194" i="9"/>
  <c r="AL194" i="9" s="1"/>
  <c r="AH194" i="9"/>
  <c r="AK194" i="9" s="1"/>
  <c r="AH738" i="9"/>
  <c r="AK738" i="9" s="1"/>
  <c r="AI738" i="9"/>
  <c r="AL738" i="9" s="1"/>
  <c r="AI835" i="9"/>
  <c r="AL835" i="9" s="1"/>
  <c r="AH835" i="9"/>
  <c r="AK835" i="9" s="1"/>
  <c r="AI506" i="9"/>
  <c r="AL506" i="9" s="1"/>
  <c r="AH506" i="9"/>
  <c r="AK506" i="9" s="1"/>
  <c r="AI215" i="9"/>
  <c r="AL215" i="9" s="1"/>
  <c r="AH215" i="9"/>
  <c r="AK215" i="9" s="1"/>
  <c r="AH412" i="9"/>
  <c r="AK412" i="9" s="1"/>
  <c r="AI412" i="9"/>
  <c r="AL412" i="9" s="1"/>
  <c r="AI29" i="9"/>
  <c r="AL29" i="9" s="1"/>
  <c r="AH29" i="9"/>
  <c r="AK29" i="9" s="1"/>
  <c r="AI773" i="9"/>
  <c r="AL773" i="9" s="1"/>
  <c r="AH773" i="9"/>
  <c r="AK773" i="9" s="1"/>
  <c r="AI742" i="9"/>
  <c r="AL742" i="9" s="1"/>
  <c r="AH742" i="9"/>
  <c r="AK742" i="9" s="1"/>
  <c r="AI671" i="9"/>
  <c r="AL671" i="9" s="1"/>
  <c r="AH671" i="9"/>
  <c r="AK671" i="9" s="1"/>
  <c r="AI225" i="9"/>
  <c r="AL225" i="9" s="1"/>
  <c r="AH225" i="9"/>
  <c r="AK225" i="9" s="1"/>
  <c r="AI187" i="9"/>
  <c r="AL187" i="9" s="1"/>
  <c r="AH187" i="9"/>
  <c r="AK187" i="9" s="1"/>
  <c r="AI35" i="9"/>
  <c r="AL35" i="9" s="1"/>
  <c r="AH35" i="9"/>
  <c r="AK35" i="9" s="1"/>
  <c r="AI833" i="9"/>
  <c r="AL833" i="9" s="1"/>
  <c r="AH833" i="9"/>
  <c r="AK833" i="9" s="1"/>
  <c r="AH420" i="9"/>
  <c r="AK420" i="9" s="1"/>
  <c r="AI420" i="9"/>
  <c r="AL420" i="9" s="1"/>
  <c r="AI790" i="9"/>
  <c r="AL790" i="9" s="1"/>
  <c r="AH790" i="9"/>
  <c r="AK790" i="9" s="1"/>
  <c r="AI623" i="9"/>
  <c r="AL623" i="9" s="1"/>
  <c r="AH623" i="9"/>
  <c r="AK623" i="9" s="1"/>
  <c r="AH492" i="9"/>
  <c r="AK492" i="9" s="1"/>
  <c r="AI492" i="9"/>
  <c r="AL492" i="9" s="1"/>
  <c r="AI198" i="9"/>
  <c r="AL198" i="9" s="1"/>
  <c r="AH198" i="9"/>
  <c r="AK198" i="9" s="1"/>
  <c r="AI421" i="9"/>
  <c r="AL421" i="9" s="1"/>
  <c r="AH421" i="9"/>
  <c r="AK421" i="9" s="1"/>
  <c r="AI570" i="9"/>
  <c r="AL570" i="9" s="1"/>
  <c r="AH570" i="9"/>
  <c r="AK570" i="9" s="1"/>
  <c r="AI495" i="9"/>
  <c r="AL495" i="9" s="1"/>
  <c r="AH495" i="9"/>
  <c r="AK495" i="9" s="1"/>
  <c r="AI618" i="9"/>
  <c r="AL618" i="9" s="1"/>
  <c r="AH618" i="9"/>
  <c r="AK618" i="9" s="1"/>
  <c r="AI518" i="9"/>
  <c r="AL518" i="9" s="1"/>
  <c r="AH518" i="9"/>
  <c r="AK518" i="9" s="1"/>
  <c r="AI139" i="9"/>
  <c r="AL139" i="9" s="1"/>
  <c r="AH139" i="9"/>
  <c r="AK139" i="9" s="1"/>
  <c r="AI846" i="9"/>
  <c r="AL846" i="9" s="1"/>
  <c r="AH846" i="9"/>
  <c r="AK846" i="9" s="1"/>
  <c r="AI411" i="9"/>
  <c r="AL411" i="9" s="1"/>
  <c r="AH411" i="9"/>
  <c r="AK411" i="9" s="1"/>
  <c r="AI721" i="9"/>
  <c r="AL721" i="9" s="1"/>
  <c r="AH721" i="9"/>
  <c r="AK721" i="9" s="1"/>
  <c r="AI653" i="9"/>
  <c r="AL653" i="9" s="1"/>
  <c r="AH653" i="9"/>
  <c r="AK653" i="9" s="1"/>
  <c r="AH746" i="9"/>
  <c r="AK746" i="9" s="1"/>
  <c r="AI746" i="9"/>
  <c r="AL746" i="9" s="1"/>
  <c r="AI751" i="9"/>
  <c r="AL751" i="9" s="1"/>
  <c r="AH751" i="9"/>
  <c r="AK751" i="9" s="1"/>
  <c r="AI27" i="9"/>
  <c r="AL27" i="9" s="1"/>
  <c r="AH27" i="9"/>
  <c r="AK27" i="9" s="1"/>
  <c r="AH228" i="9"/>
  <c r="AK228" i="9" s="1"/>
  <c r="AI228" i="9"/>
  <c r="AL228" i="9" s="1"/>
  <c r="AI6" i="9"/>
  <c r="AL6" i="9" s="1"/>
  <c r="AH6" i="9"/>
  <c r="AK6" i="9" s="1"/>
  <c r="AI30" i="9"/>
  <c r="AL30" i="9" s="1"/>
  <c r="AH30" i="9"/>
  <c r="AK30" i="9" s="1"/>
  <c r="AI594" i="9"/>
  <c r="AL594" i="9" s="1"/>
  <c r="AH594" i="9"/>
  <c r="AK594" i="9" s="1"/>
  <c r="AI702" i="9"/>
  <c r="AL702" i="9" s="1"/>
  <c r="AH702" i="9"/>
  <c r="AK702" i="9" s="1"/>
  <c r="AI583" i="9"/>
  <c r="AL583" i="9" s="1"/>
  <c r="AH583" i="9"/>
  <c r="AK583" i="9" s="1"/>
  <c r="AI43" i="9"/>
  <c r="AL43" i="9" s="1"/>
  <c r="AH43" i="9"/>
  <c r="AK43" i="9" s="1"/>
  <c r="AI491" i="9"/>
  <c r="AL491" i="9" s="1"/>
  <c r="AH491" i="9"/>
  <c r="AK491" i="9" s="1"/>
  <c r="AI648" i="9"/>
  <c r="AL648" i="9" s="1"/>
  <c r="AH648" i="9"/>
  <c r="AK648" i="9" s="1"/>
  <c r="AI716" i="9"/>
  <c r="AL716" i="9" s="1"/>
  <c r="AH716" i="9"/>
  <c r="AK716" i="9" s="1"/>
  <c r="AI216" i="9"/>
  <c r="AL216" i="9" s="1"/>
  <c r="AH216" i="9"/>
  <c r="AK216" i="9" s="1"/>
  <c r="AI794" i="9"/>
  <c r="AL794" i="9" s="1"/>
  <c r="AH794" i="9"/>
  <c r="AK794" i="9" s="1"/>
  <c r="AI602" i="9"/>
  <c r="AL602" i="9" s="1"/>
  <c r="AH602" i="9"/>
  <c r="AK602" i="9" s="1"/>
  <c r="AI502" i="9"/>
  <c r="AL502" i="9" s="1"/>
  <c r="AH502" i="9"/>
  <c r="AK502" i="9" s="1"/>
  <c r="AI233" i="9"/>
  <c r="AL233" i="9" s="1"/>
  <c r="AH233" i="9"/>
  <c r="AK233" i="9" s="1"/>
  <c r="AI576" i="9"/>
  <c r="AL576" i="9" s="1"/>
  <c r="AH576" i="9"/>
  <c r="AK576" i="9" s="1"/>
  <c r="AI296" i="9"/>
  <c r="AL296" i="9" s="1"/>
  <c r="AH296" i="9"/>
  <c r="AK296" i="9" s="1"/>
  <c r="AI827" i="9"/>
  <c r="AL827" i="9" s="1"/>
  <c r="AH827" i="9"/>
  <c r="AK827" i="9" s="1"/>
  <c r="AI319" i="9"/>
  <c r="AL319" i="9" s="1"/>
  <c r="AH319" i="9"/>
  <c r="AK319" i="9" s="1"/>
  <c r="AI19" i="9"/>
  <c r="AL19" i="9" s="1"/>
  <c r="AH19" i="9"/>
  <c r="AK19" i="9" s="1"/>
  <c r="AI337" i="9"/>
  <c r="AL337" i="9" s="1"/>
  <c r="AH337" i="9"/>
  <c r="AK337" i="9" s="1"/>
  <c r="AI365" i="9"/>
  <c r="AL365" i="9" s="1"/>
  <c r="AH365" i="9"/>
  <c r="AK365" i="9" s="1"/>
  <c r="AH818" i="9"/>
  <c r="AK818" i="9" s="1"/>
  <c r="AI818" i="9"/>
  <c r="AL818" i="9" s="1"/>
  <c r="AI386" i="9"/>
  <c r="AL386" i="9" s="1"/>
  <c r="AH386" i="9"/>
  <c r="AK386" i="9" s="1"/>
  <c r="AI206" i="9"/>
  <c r="AL206" i="9" s="1"/>
  <c r="AH206" i="9"/>
  <c r="AK206" i="9" s="1"/>
  <c r="AH850" i="9"/>
  <c r="AK850" i="9" s="1"/>
  <c r="AI850" i="9"/>
  <c r="AL850" i="9" s="1"/>
  <c r="AI424" i="9"/>
  <c r="AL424" i="9" s="1"/>
  <c r="AH424" i="9"/>
  <c r="AK424" i="9" s="1"/>
  <c r="AI373" i="9"/>
  <c r="AL373" i="9" s="1"/>
  <c r="AH373" i="9"/>
  <c r="AK373" i="9" s="1"/>
  <c r="AI566" i="9"/>
  <c r="AL566" i="9" s="1"/>
  <c r="AH566" i="9"/>
  <c r="AK566" i="9" s="1"/>
  <c r="AI7" i="9"/>
  <c r="AL7" i="9" s="1"/>
  <c r="AH7" i="9"/>
  <c r="AK7" i="9" s="1"/>
  <c r="AI862" i="9"/>
  <c r="AL862" i="9" s="1"/>
  <c r="AH862" i="9"/>
  <c r="AK862" i="9" s="1"/>
  <c r="AI53" i="9"/>
  <c r="AL53" i="9" s="1"/>
  <c r="AH53" i="9"/>
  <c r="AK53" i="9" s="1"/>
  <c r="AI459" i="9"/>
  <c r="AL459" i="9" s="1"/>
  <c r="AH459" i="9"/>
  <c r="AK459" i="9" s="1"/>
  <c r="AI179" i="9"/>
  <c r="AL179" i="9" s="1"/>
  <c r="AH179" i="9"/>
  <c r="AK179" i="9" s="1"/>
  <c r="AI341" i="9"/>
  <c r="AL341" i="9" s="1"/>
  <c r="AH341" i="9"/>
  <c r="AK341" i="9" s="1"/>
  <c r="AI46" i="9"/>
  <c r="AL46" i="9" s="1"/>
  <c r="AH46" i="9"/>
  <c r="AK46" i="9" s="1"/>
  <c r="AI447" i="9"/>
  <c r="AL447" i="9" s="1"/>
  <c r="AH447" i="9"/>
  <c r="AK447" i="9" s="1"/>
  <c r="AI272" i="9"/>
  <c r="AL272" i="9" s="1"/>
  <c r="AH272" i="9"/>
  <c r="AK272" i="9" s="1"/>
  <c r="AI581" i="9"/>
  <c r="AL581" i="9" s="1"/>
  <c r="AH581" i="9"/>
  <c r="AK581" i="9" s="1"/>
  <c r="AI657" i="9"/>
  <c r="AL657" i="9" s="1"/>
  <c r="AH657" i="9"/>
  <c r="AK657" i="9" s="1"/>
  <c r="AI682" i="9"/>
  <c r="AL682" i="9" s="1"/>
  <c r="AH682" i="9"/>
  <c r="AK682" i="9" s="1"/>
  <c r="AI167" i="9"/>
  <c r="AL167" i="9" s="1"/>
  <c r="AH167" i="9"/>
  <c r="AK167" i="9" s="1"/>
  <c r="AI513" i="9"/>
  <c r="AL513" i="9" s="1"/>
  <c r="AH513" i="9"/>
  <c r="AK513" i="9" s="1"/>
  <c r="AI477" i="9"/>
  <c r="AL477" i="9" s="1"/>
  <c r="AH477" i="9"/>
  <c r="AK477" i="9" s="1"/>
  <c r="AI664" i="9"/>
  <c r="AL664" i="9" s="1"/>
  <c r="AH664" i="9"/>
  <c r="AK664" i="9" s="1"/>
  <c r="AI150" i="9"/>
  <c r="AL150" i="9" s="1"/>
  <c r="AH150" i="9"/>
  <c r="AK150" i="9" s="1"/>
  <c r="AI350" i="9"/>
  <c r="AL350" i="9" s="1"/>
  <c r="AH350" i="9"/>
  <c r="AK350" i="9" s="1"/>
  <c r="AI330" i="9"/>
  <c r="AL330" i="9" s="1"/>
  <c r="AH330" i="9"/>
  <c r="AK330" i="9" s="1"/>
  <c r="AI600" i="9"/>
  <c r="AL600" i="9" s="1"/>
  <c r="AH600" i="9"/>
  <c r="AK600" i="9" s="1"/>
  <c r="AI512" i="9"/>
  <c r="AL512" i="9" s="1"/>
  <c r="AH512" i="9"/>
  <c r="AK512" i="9" s="1"/>
  <c r="AI381" i="9"/>
  <c r="AL381" i="9" s="1"/>
  <c r="AH381" i="9"/>
  <c r="AK381" i="9" s="1"/>
  <c r="AI670" i="9"/>
  <c r="AL670" i="9" s="1"/>
  <c r="AH670" i="9"/>
  <c r="AK670" i="9" s="1"/>
  <c r="AI475" i="9"/>
  <c r="AL475" i="9" s="1"/>
  <c r="AH475" i="9"/>
  <c r="AK475" i="9" s="1"/>
  <c r="AI14" i="9"/>
  <c r="AL14" i="9" s="1"/>
  <c r="AH14" i="9"/>
  <c r="AK14" i="9" s="1"/>
  <c r="AI798" i="9"/>
  <c r="AL798" i="9" s="1"/>
  <c r="AH798" i="9"/>
  <c r="AK798" i="9" s="1"/>
  <c r="AI800" i="9"/>
  <c r="AL800" i="9" s="1"/>
  <c r="AH800" i="9"/>
  <c r="AK800" i="9" s="1"/>
  <c r="AI289" i="9"/>
  <c r="AL289" i="9" s="1"/>
  <c r="AH289" i="9"/>
  <c r="AK289" i="9" s="1"/>
  <c r="AI152" i="9"/>
  <c r="AL152" i="9" s="1"/>
  <c r="AH152" i="9"/>
  <c r="AK152" i="9" s="1"/>
  <c r="AI464" i="9"/>
  <c r="AL464" i="9" s="1"/>
  <c r="AH464" i="9"/>
  <c r="AK464" i="9" s="1"/>
  <c r="AI314" i="9"/>
  <c r="AL314" i="9" s="1"/>
  <c r="AH314" i="9"/>
  <c r="AK314" i="9" s="1"/>
  <c r="AI138" i="9"/>
  <c r="AL138" i="9" s="1"/>
  <c r="AH138" i="9"/>
  <c r="AK138" i="9" s="1"/>
  <c r="AI698" i="9"/>
  <c r="AL698" i="9" s="1"/>
  <c r="AH698" i="9"/>
  <c r="AK698" i="9" s="1"/>
  <c r="AI423" i="9"/>
  <c r="AL423" i="9" s="1"/>
  <c r="AH423" i="9"/>
  <c r="AK423" i="9" s="1"/>
  <c r="AI51" i="9"/>
  <c r="AL51" i="9" s="1"/>
  <c r="AH51" i="9"/>
  <c r="AK51" i="9" s="1"/>
  <c r="AI274" i="9"/>
  <c r="AL274" i="9" s="1"/>
  <c r="AH274" i="9"/>
  <c r="AK274" i="9" s="1"/>
  <c r="AI515" i="9"/>
  <c r="AL515" i="9" s="1"/>
  <c r="AH515" i="9"/>
  <c r="AK515" i="9" s="1"/>
  <c r="AI399" i="9"/>
  <c r="AL399" i="9" s="1"/>
  <c r="AH399" i="9"/>
  <c r="AK399" i="9" s="1"/>
  <c r="AI809" i="9"/>
  <c r="AL809" i="9" s="1"/>
  <c r="AH809" i="9"/>
  <c r="AK809" i="9" s="1"/>
  <c r="AI777" i="9"/>
  <c r="AL777" i="9" s="1"/>
  <c r="AH777" i="9"/>
  <c r="AK777" i="9" s="1"/>
  <c r="AI137" i="9"/>
  <c r="AL137" i="9" s="1"/>
  <c r="AH137" i="9"/>
  <c r="AK137" i="9" s="1"/>
  <c r="AI402" i="9"/>
  <c r="AL402" i="9" s="1"/>
  <c r="AH402" i="9"/>
  <c r="AK402" i="9" s="1"/>
  <c r="AI437" i="9"/>
  <c r="AL437" i="9" s="1"/>
  <c r="AH437" i="9"/>
  <c r="AK437" i="9" s="1"/>
  <c r="AI203" i="9"/>
  <c r="AL203" i="9" s="1"/>
  <c r="AH203" i="9"/>
  <c r="AK203" i="9" s="1"/>
  <c r="AH706" i="9"/>
  <c r="AK706" i="9" s="1"/>
  <c r="AI706" i="9"/>
  <c r="AL706" i="9" s="1"/>
  <c r="AI572" i="9"/>
  <c r="AL572" i="9" s="1"/>
  <c r="AH572" i="9"/>
  <c r="AK572" i="9" s="1"/>
  <c r="AI756" i="9"/>
  <c r="AL756" i="9" s="1"/>
  <c r="AH756" i="9"/>
  <c r="AK756" i="9" s="1"/>
  <c r="AI393" i="9"/>
  <c r="AL393" i="9" s="1"/>
  <c r="AH393" i="9"/>
  <c r="AK393" i="9" s="1"/>
  <c r="AI257" i="9"/>
  <c r="AL257" i="9" s="1"/>
  <c r="AH257" i="9"/>
  <c r="AK257" i="9" s="1"/>
  <c r="AI418" i="9"/>
  <c r="AL418" i="9" s="1"/>
  <c r="AH418" i="9"/>
  <c r="AK418" i="9" s="1"/>
  <c r="AI686" i="9"/>
  <c r="AL686" i="9" s="1"/>
  <c r="AH686" i="9"/>
  <c r="AK686" i="9" s="1"/>
  <c r="AI725" i="9"/>
  <c r="AL725" i="9" s="1"/>
  <c r="AH725" i="9"/>
  <c r="AK725" i="9" s="1"/>
  <c r="AI805" i="9"/>
  <c r="AL805" i="9" s="1"/>
  <c r="AH805" i="9"/>
  <c r="AK805" i="9" s="1"/>
  <c r="AI743" i="9"/>
  <c r="AL743" i="9" s="1"/>
  <c r="AH743" i="9"/>
  <c r="AK743" i="9" s="1"/>
  <c r="AI577" i="9"/>
  <c r="AL577" i="9" s="1"/>
  <c r="AH577" i="9"/>
  <c r="AK577" i="9" s="1"/>
  <c r="AI192" i="9"/>
  <c r="AL192" i="9" s="1"/>
  <c r="AH192" i="9"/>
  <c r="AK192" i="9" s="1"/>
  <c r="AI510" i="9"/>
  <c r="AL510" i="9" s="1"/>
  <c r="AH510" i="9"/>
  <c r="AK510" i="9" s="1"/>
  <c r="AI839" i="9"/>
  <c r="AL839" i="9" s="1"/>
  <c r="AH839" i="9"/>
  <c r="AK839" i="9" s="1"/>
  <c r="AI368" i="9"/>
  <c r="AL368" i="9" s="1"/>
  <c r="AH368" i="9"/>
  <c r="AK368" i="9" s="1"/>
  <c r="AI433" i="9"/>
  <c r="AL433" i="9" s="1"/>
  <c r="AH433" i="9"/>
  <c r="AK433" i="9" s="1"/>
  <c r="AI734" i="9"/>
  <c r="AL734" i="9" s="1"/>
  <c r="AH734" i="9"/>
  <c r="AK734" i="9" s="1"/>
  <c r="AI458" i="9"/>
  <c r="AL458" i="9" s="1"/>
  <c r="AH458" i="9"/>
  <c r="AK458" i="9" s="1"/>
  <c r="AI193" i="9"/>
  <c r="AL193" i="9" s="1"/>
  <c r="AH193" i="9"/>
  <c r="AK193" i="9" s="1"/>
  <c r="AI461" i="9"/>
  <c r="AL461" i="9" s="1"/>
  <c r="AH461" i="9"/>
  <c r="AK461" i="9" s="1"/>
  <c r="AI558" i="9"/>
  <c r="AL558" i="9" s="1"/>
  <c r="AH558" i="9"/>
  <c r="AK558" i="9" s="1"/>
  <c r="AI854" i="9"/>
  <c r="AL854" i="9" s="1"/>
  <c r="AH854" i="9"/>
  <c r="AK854" i="9" s="1"/>
  <c r="AI482" i="9"/>
  <c r="AL482" i="9" s="1"/>
  <c r="AH482" i="9"/>
  <c r="AK482" i="9" s="1"/>
  <c r="AH180" i="9"/>
  <c r="AK180" i="9" s="1"/>
  <c r="AI180" i="9"/>
  <c r="AL180" i="9" s="1"/>
  <c r="AI49" i="9"/>
  <c r="AL49" i="9" s="1"/>
  <c r="AH49" i="9"/>
  <c r="AK49" i="9" s="1"/>
  <c r="AI559" i="9"/>
  <c r="AL559" i="9" s="1"/>
  <c r="AH559" i="9"/>
  <c r="AK559" i="9" s="1"/>
  <c r="AI245" i="9"/>
  <c r="AL245" i="9" s="1"/>
  <c r="AH245" i="9"/>
  <c r="AK245" i="9" s="1"/>
  <c r="AI166" i="9"/>
  <c r="AL166" i="9" s="1"/>
  <c r="AH166" i="9"/>
  <c r="AK166" i="9" s="1"/>
  <c r="AJ579" i="9"/>
  <c r="AG579" i="9"/>
  <c r="AM579" i="9" s="1"/>
  <c r="AG147" i="9"/>
  <c r="AM147" i="9" s="1"/>
  <c r="AJ147" i="9"/>
  <c r="AG663" i="9"/>
  <c r="AM663" i="9" s="1"/>
  <c r="AJ663" i="9"/>
  <c r="AG378" i="9"/>
  <c r="AM378" i="9" s="1"/>
  <c r="AJ378" i="9"/>
  <c r="AG19" i="9"/>
  <c r="AM19" i="9" s="1"/>
  <c r="AJ19" i="9"/>
  <c r="AJ337" i="9"/>
  <c r="AG337" i="9"/>
  <c r="AM337" i="9" s="1"/>
  <c r="AJ365" i="9"/>
  <c r="AG365" i="9"/>
  <c r="AM365" i="9" s="1"/>
  <c r="AJ166" i="9"/>
  <c r="AG166" i="9"/>
  <c r="AM166" i="9" s="1"/>
  <c r="K315" i="14"/>
  <c r="K393" i="11"/>
  <c r="L44" i="20"/>
  <c r="L44" i="14"/>
  <c r="L44" i="11"/>
  <c r="AG210" i="9"/>
  <c r="AM210" i="9" s="1"/>
  <c r="AJ210" i="9"/>
  <c r="AJ800" i="9"/>
  <c r="AG800" i="9"/>
  <c r="AM800" i="9" s="1"/>
  <c r="AG525" i="9"/>
  <c r="AM525" i="9" s="1"/>
  <c r="AJ525" i="9"/>
  <c r="AG407" i="9"/>
  <c r="AM407" i="9" s="1"/>
  <c r="AJ407" i="9"/>
  <c r="AJ430" i="9"/>
  <c r="AG430" i="9"/>
  <c r="AM430" i="9" s="1"/>
  <c r="AG465" i="9"/>
  <c r="AM465" i="9" s="1"/>
  <c r="AJ465" i="9"/>
  <c r="AG169" i="9"/>
  <c r="AM169" i="9" s="1"/>
  <c r="AJ169" i="9"/>
  <c r="AG857" i="9"/>
  <c r="AM857" i="9" s="1"/>
  <c r="AJ857" i="9"/>
  <c r="AJ642" i="9"/>
  <c r="AG642" i="9"/>
  <c r="AM642" i="9" s="1"/>
  <c r="AG380" i="9"/>
  <c r="AM380" i="9" s="1"/>
  <c r="AJ380" i="9"/>
  <c r="AG269" i="9"/>
  <c r="AM269" i="9" s="1"/>
  <c r="AJ269" i="9"/>
  <c r="AG343" i="9"/>
  <c r="AM343" i="9" s="1"/>
  <c r="AJ343" i="9"/>
  <c r="AJ190" i="9"/>
  <c r="AG190" i="9"/>
  <c r="AM190" i="9" s="1"/>
  <c r="AG356" i="9"/>
  <c r="AM356" i="9" s="1"/>
  <c r="AJ356" i="9"/>
  <c r="AJ417" i="9"/>
  <c r="AG417" i="9"/>
  <c r="AM417" i="9" s="1"/>
  <c r="AG150" i="9"/>
  <c r="AM150" i="9" s="1"/>
  <c r="AJ150" i="9"/>
  <c r="AG422" i="9"/>
  <c r="AM422" i="9" s="1"/>
  <c r="AJ422" i="9"/>
  <c r="AG822" i="9"/>
  <c r="AM822" i="9" s="1"/>
  <c r="AJ822" i="9"/>
  <c r="AG841" i="9"/>
  <c r="AM841" i="9" s="1"/>
  <c r="AJ841" i="9"/>
  <c r="AG698" i="9"/>
  <c r="AM698" i="9" s="1"/>
  <c r="AJ698" i="9"/>
  <c r="AG719" i="9"/>
  <c r="AM719" i="9" s="1"/>
  <c r="AJ719" i="9"/>
  <c r="AG589" i="9"/>
  <c r="AM589" i="9" s="1"/>
  <c r="AJ589" i="9"/>
  <c r="AJ246" i="9"/>
  <c r="AG246" i="9"/>
  <c r="AM246" i="9" s="1"/>
  <c r="AJ406" i="9"/>
  <c r="AG406" i="9"/>
  <c r="AM406" i="9" s="1"/>
  <c r="AJ187" i="9"/>
  <c r="AG187" i="9"/>
  <c r="AM187" i="9" s="1"/>
  <c r="AJ662" i="9"/>
  <c r="AG662" i="9"/>
  <c r="AM662" i="9" s="1"/>
  <c r="AJ833" i="9"/>
  <c r="AG833" i="9"/>
  <c r="AM833" i="9" s="1"/>
  <c r="AG121" i="9"/>
  <c r="AM121" i="9" s="1"/>
  <c r="AJ121" i="9"/>
  <c r="AG520" i="9"/>
  <c r="AM520" i="9" s="1"/>
  <c r="AJ520" i="9"/>
  <c r="AJ809" i="9"/>
  <c r="AG809" i="9"/>
  <c r="AM809" i="9" s="1"/>
  <c r="AG598" i="9"/>
  <c r="AM598" i="9" s="1"/>
  <c r="AJ598" i="9"/>
  <c r="AJ607" i="9"/>
  <c r="AG607" i="9"/>
  <c r="AM607" i="9" s="1"/>
  <c r="AG498" i="9"/>
  <c r="AM498" i="9" s="1"/>
  <c r="AJ498" i="9"/>
  <c r="AG285" i="9"/>
  <c r="AM285" i="9" s="1"/>
  <c r="AJ285" i="9"/>
  <c r="AJ13" i="9"/>
  <c r="AG13" i="9"/>
  <c r="AM13" i="9" s="1"/>
  <c r="AG145" i="9"/>
  <c r="AM145" i="9" s="1"/>
  <c r="AJ145" i="9"/>
  <c r="AG437" i="9"/>
  <c r="AM437" i="9" s="1"/>
  <c r="AJ437" i="9"/>
  <c r="AJ568" i="9"/>
  <c r="AG568" i="9"/>
  <c r="AM568" i="9" s="1"/>
  <c r="AG852" i="9"/>
  <c r="AM852" i="9" s="1"/>
  <c r="AJ852" i="9"/>
  <c r="AG669" i="9"/>
  <c r="AM669" i="9" s="1"/>
  <c r="AJ669" i="9"/>
  <c r="AJ495" i="9"/>
  <c r="AG495" i="9"/>
  <c r="AM495" i="9" s="1"/>
  <c r="AG455" i="9"/>
  <c r="AM455" i="9" s="1"/>
  <c r="AJ455" i="9"/>
  <c r="AG638" i="9"/>
  <c r="AM638" i="9" s="1"/>
  <c r="AJ638" i="9"/>
  <c r="AJ460" i="9"/>
  <c r="AG460" i="9"/>
  <c r="AM460" i="9" s="1"/>
  <c r="AG444" i="9"/>
  <c r="AM444" i="9" s="1"/>
  <c r="AJ444" i="9"/>
  <c r="AG213" i="9"/>
  <c r="AM213" i="9" s="1"/>
  <c r="AJ213" i="9"/>
  <c r="AJ292" i="9"/>
  <c r="AG292" i="9"/>
  <c r="AM292" i="9" s="1"/>
  <c r="AG321" i="9"/>
  <c r="AM321" i="9" s="1"/>
  <c r="AJ321" i="9"/>
  <c r="AJ527" i="9"/>
  <c r="AG527" i="9"/>
  <c r="AM527" i="9" s="1"/>
  <c r="AE10" i="26"/>
  <c r="AG10" i="26" s="1"/>
  <c r="AF10" i="26"/>
  <c r="AJ580" i="9"/>
  <c r="AG580" i="9"/>
  <c r="AM580" i="9" s="1"/>
  <c r="AG467" i="9"/>
  <c r="AM467" i="9" s="1"/>
  <c r="AJ467" i="9"/>
  <c r="AG660" i="9"/>
  <c r="AM660" i="9" s="1"/>
  <c r="AJ660" i="9"/>
  <c r="AJ606" i="9"/>
  <c r="AG606" i="9"/>
  <c r="AM606" i="9" s="1"/>
  <c r="AG643" i="9"/>
  <c r="AM643" i="9" s="1"/>
  <c r="AJ643" i="9"/>
  <c r="AG654" i="9"/>
  <c r="AM654" i="9" s="1"/>
  <c r="AJ654" i="9"/>
  <c r="AJ452" i="9"/>
  <c r="AG452" i="9"/>
  <c r="AM452" i="9" s="1"/>
  <c r="AG367" i="9"/>
  <c r="AM367" i="9" s="1"/>
  <c r="AJ367" i="9"/>
  <c r="AF32" i="26"/>
  <c r="AE32" i="26"/>
  <c r="AG32" i="26" s="1"/>
  <c r="AG369" i="9"/>
  <c r="AM369" i="9" s="1"/>
  <c r="AJ369" i="9"/>
  <c r="AG56" i="9"/>
  <c r="AM56" i="9" s="1"/>
  <c r="AJ56" i="9"/>
  <c r="AJ594" i="9"/>
  <c r="AG594" i="9"/>
  <c r="AM594" i="9" s="1"/>
  <c r="AJ848" i="9"/>
  <c r="AG848" i="9"/>
  <c r="AM848" i="9" s="1"/>
  <c r="AG707" i="9"/>
  <c r="AM707" i="9" s="1"/>
  <c r="AJ707" i="9"/>
  <c r="AG633" i="9"/>
  <c r="AM633" i="9" s="1"/>
  <c r="AJ633" i="9"/>
  <c r="AG474" i="9"/>
  <c r="AM474" i="9" s="1"/>
  <c r="AJ474" i="9"/>
  <c r="AJ11" i="9"/>
  <c r="AG11" i="9"/>
  <c r="AM11" i="9" s="1"/>
  <c r="AJ489" i="9"/>
  <c r="AG489" i="9"/>
  <c r="AM489" i="9" s="1"/>
  <c r="AG36" i="9"/>
  <c r="AM36" i="9" s="1"/>
  <c r="AJ36" i="9"/>
  <c r="AG648" i="9"/>
  <c r="AM648" i="9" s="1"/>
  <c r="AJ648" i="9"/>
  <c r="AG659" i="9"/>
  <c r="AM659" i="9" s="1"/>
  <c r="AJ659" i="9"/>
  <c r="AG514" i="9"/>
  <c r="AM514" i="9" s="1"/>
  <c r="AJ514" i="9"/>
  <c r="AG563" i="9"/>
  <c r="AM563" i="9" s="1"/>
  <c r="AJ563" i="9"/>
  <c r="AJ124" i="9"/>
  <c r="AG124" i="9"/>
  <c r="AM124" i="9" s="1"/>
  <c r="AG586" i="9"/>
  <c r="AM586" i="9" s="1"/>
  <c r="AJ586" i="9"/>
  <c r="AG312" i="9"/>
  <c r="AM312" i="9" s="1"/>
  <c r="AJ312" i="9"/>
  <c r="AJ332" i="9"/>
  <c r="AG332" i="9"/>
  <c r="AM332" i="9" s="1"/>
  <c r="AG556" i="9"/>
  <c r="AM556" i="9" s="1"/>
  <c r="AJ556" i="9"/>
  <c r="AJ34" i="9"/>
  <c r="AG34" i="9"/>
  <c r="AM34" i="9" s="1"/>
  <c r="AG500" i="9"/>
  <c r="AM500" i="9" s="1"/>
  <c r="AJ500" i="9"/>
  <c r="AJ310" i="9"/>
  <c r="AG310" i="9"/>
  <c r="AM310" i="9" s="1"/>
  <c r="AG127" i="9"/>
  <c r="AM127" i="9" s="1"/>
  <c r="AJ127" i="9"/>
  <c r="AF39" i="26"/>
  <c r="AE39" i="26"/>
  <c r="AG39" i="26" s="1"/>
  <c r="AJ543" i="9"/>
  <c r="AG543" i="9"/>
  <c r="AM543" i="9" s="1"/>
  <c r="AG189" i="9"/>
  <c r="AM189" i="9" s="1"/>
  <c r="AJ189" i="9"/>
  <c r="AG264" i="9"/>
  <c r="AM264" i="9" s="1"/>
  <c r="AJ264" i="9"/>
  <c r="AJ827" i="9"/>
  <c r="AG827" i="9"/>
  <c r="AM827" i="9" s="1"/>
  <c r="AG347" i="9"/>
  <c r="AM347" i="9" s="1"/>
  <c r="AJ347" i="9"/>
  <c r="AG245" i="9"/>
  <c r="AM245" i="9" s="1"/>
  <c r="AJ245" i="9"/>
  <c r="AJ191" i="9"/>
  <c r="AG191" i="9"/>
  <c r="AM191" i="9" s="1"/>
  <c r="AF19" i="26"/>
  <c r="AE19" i="26"/>
  <c r="AG19" i="26" s="1"/>
  <c r="AJ757" i="9"/>
  <c r="AG757" i="9"/>
  <c r="AM757" i="9" s="1"/>
  <c r="AG504" i="9"/>
  <c r="AM504" i="9" s="1"/>
  <c r="AJ504" i="9"/>
  <c r="AJ534" i="9"/>
  <c r="AG534" i="9"/>
  <c r="AM534" i="9" s="1"/>
  <c r="AG836" i="9"/>
  <c r="AM836" i="9" s="1"/>
  <c r="AJ836" i="9"/>
  <c r="AG248" i="9"/>
  <c r="AM248" i="9" s="1"/>
  <c r="AJ248" i="9"/>
  <c r="AG817" i="9"/>
  <c r="AM817" i="9" s="1"/>
  <c r="AJ817" i="9"/>
  <c r="AJ771" i="9"/>
  <c r="AG771" i="9"/>
  <c r="AM771" i="9" s="1"/>
  <c r="AJ253" i="9"/>
  <c r="AG253" i="9"/>
  <c r="AM253" i="9" s="1"/>
  <c r="AG344" i="9"/>
  <c r="AM344" i="9" s="1"/>
  <c r="AJ344" i="9"/>
  <c r="AG329" i="9"/>
  <c r="AM329" i="9" s="1"/>
  <c r="AJ329" i="9"/>
  <c r="AJ17" i="9"/>
  <c r="AG17" i="9"/>
  <c r="AM17" i="9" s="1"/>
  <c r="AG391" i="9"/>
  <c r="AM391" i="9" s="1"/>
  <c r="AJ391" i="9"/>
  <c r="AG314" i="9"/>
  <c r="AM314" i="9" s="1"/>
  <c r="AJ314" i="9"/>
  <c r="AG21" i="9"/>
  <c r="AM21" i="9" s="1"/>
  <c r="AJ21" i="9"/>
  <c r="AG629" i="9"/>
  <c r="AM629" i="9" s="1"/>
  <c r="AJ629" i="9"/>
  <c r="AG18" i="9"/>
  <c r="AM18" i="9" s="1"/>
  <c r="AJ18" i="9"/>
  <c r="AJ806" i="9"/>
  <c r="AG806" i="9"/>
  <c r="AM806" i="9" s="1"/>
  <c r="AJ649" i="9"/>
  <c r="AG649" i="9"/>
  <c r="AM649" i="9" s="1"/>
  <c r="AG450" i="9"/>
  <c r="AM450" i="9" s="1"/>
  <c r="AJ450" i="9"/>
  <c r="AJ170" i="9"/>
  <c r="AG170" i="9"/>
  <c r="AM170" i="9" s="1"/>
  <c r="AJ505" i="9"/>
  <c r="AG505" i="9"/>
  <c r="AM505" i="9" s="1"/>
  <c r="AG621" i="9"/>
  <c r="AM621" i="9" s="1"/>
  <c r="AJ621" i="9"/>
  <c r="AG484" i="9"/>
  <c r="AM484" i="9" s="1"/>
  <c r="AJ484" i="9"/>
  <c r="AJ338" i="9"/>
  <c r="AG338" i="9"/>
  <c r="AM338" i="9" s="1"/>
  <c r="AG123" i="9"/>
  <c r="AM123" i="9" s="1"/>
  <c r="AJ123" i="9"/>
  <c r="AJ414" i="9"/>
  <c r="AG414" i="9"/>
  <c r="AM414" i="9" s="1"/>
  <c r="AG853" i="9"/>
  <c r="AM853" i="9" s="1"/>
  <c r="AJ853" i="9"/>
  <c r="AJ850" i="9"/>
  <c r="AG850" i="9"/>
  <c r="AM850" i="9" s="1"/>
  <c r="AJ664" i="9"/>
  <c r="AG664" i="9"/>
  <c r="AM664" i="9" s="1"/>
  <c r="AG796" i="9"/>
  <c r="AM796" i="9" s="1"/>
  <c r="AJ796" i="9"/>
  <c r="AG426" i="9"/>
  <c r="AM426" i="9" s="1"/>
  <c r="AJ426" i="9"/>
  <c r="AG306" i="9"/>
  <c r="AM306" i="9" s="1"/>
  <c r="AJ306" i="9"/>
  <c r="AG182" i="9"/>
  <c r="AM182" i="9" s="1"/>
  <c r="AJ182" i="9"/>
  <c r="AJ144" i="9"/>
  <c r="AG144" i="9"/>
  <c r="AM144" i="9" s="1"/>
  <c r="AG481" i="9"/>
  <c r="AM481" i="9" s="1"/>
  <c r="AJ481" i="9"/>
  <c r="AF25" i="26"/>
  <c r="AE25" i="26"/>
  <c r="AG25" i="26" s="1"/>
  <c r="AJ521" i="9"/>
  <c r="AG521" i="9"/>
  <c r="AM521" i="9" s="1"/>
  <c r="AJ175" i="9"/>
  <c r="AG175" i="9"/>
  <c r="AM175" i="9" s="1"/>
  <c r="AG572" i="9"/>
  <c r="AM572" i="9" s="1"/>
  <c r="AJ572" i="9"/>
  <c r="AJ780" i="9"/>
  <c r="AG780" i="9"/>
  <c r="AM780" i="9" s="1"/>
  <c r="AG618" i="9"/>
  <c r="AM618" i="9" s="1"/>
  <c r="AJ618" i="9"/>
  <c r="AG359" i="9"/>
  <c r="AM359" i="9" s="1"/>
  <c r="AJ359" i="9"/>
  <c r="AJ160" i="9"/>
  <c r="AG160" i="9"/>
  <c r="AM160" i="9" s="1"/>
  <c r="AJ164" i="9"/>
  <c r="AG164" i="9"/>
  <c r="AM164" i="9" s="1"/>
  <c r="AG429" i="9"/>
  <c r="AM429" i="9" s="1"/>
  <c r="AJ429" i="9"/>
  <c r="AJ453" i="9"/>
  <c r="AG453" i="9"/>
  <c r="AM453" i="9" s="1"/>
  <c r="AG263" i="9"/>
  <c r="AM263" i="9" s="1"/>
  <c r="AJ263" i="9"/>
  <c r="AF40" i="26"/>
  <c r="AE40" i="26"/>
  <c r="AG40" i="26" s="1"/>
  <c r="AG828" i="9"/>
  <c r="AM828" i="9" s="1"/>
  <c r="AJ828" i="9"/>
  <c r="AJ718" i="9"/>
  <c r="AG718" i="9"/>
  <c r="AM718" i="9" s="1"/>
  <c r="AG730" i="9"/>
  <c r="AM730" i="9" s="1"/>
  <c r="AJ730" i="9"/>
  <c r="AJ528" i="9"/>
  <c r="AG528" i="9"/>
  <c r="AM528" i="9" s="1"/>
  <c r="AJ646" i="9"/>
  <c r="AG646" i="9"/>
  <c r="AM646" i="9" s="1"/>
  <c r="AG27" i="9"/>
  <c r="AM27" i="9" s="1"/>
  <c r="AJ27" i="9"/>
  <c r="AG323" i="9"/>
  <c r="AM323" i="9" s="1"/>
  <c r="AJ323" i="9"/>
  <c r="AF21" i="26"/>
  <c r="AE21" i="26"/>
  <c r="AG21" i="26" s="1"/>
  <c r="AJ454" i="9"/>
  <c r="AG454" i="9"/>
  <c r="AM454" i="9" s="1"/>
  <c r="AG287" i="9"/>
  <c r="AM287" i="9" s="1"/>
  <c r="AJ287" i="9"/>
  <c r="AG750" i="9"/>
  <c r="AM750" i="9" s="1"/>
  <c r="AJ750" i="9"/>
  <c r="AG842" i="9"/>
  <c r="AM842" i="9" s="1"/>
  <c r="AJ842" i="9"/>
  <c r="AG811" i="9"/>
  <c r="AM811" i="9" s="1"/>
  <c r="AJ811" i="9"/>
  <c r="AJ357" i="9"/>
  <c r="AG357" i="9"/>
  <c r="AM357" i="9" s="1"/>
  <c r="AG368" i="9"/>
  <c r="AM368" i="9" s="1"/>
  <c r="AJ368" i="9"/>
  <c r="AG281" i="9"/>
  <c r="AM281" i="9" s="1"/>
  <c r="AJ281" i="9"/>
  <c r="AJ497" i="9"/>
  <c r="AG497" i="9"/>
  <c r="AM497" i="9" s="1"/>
  <c r="AJ433" i="9"/>
  <c r="AG433" i="9"/>
  <c r="AM433" i="9" s="1"/>
  <c r="AG734" i="9"/>
  <c r="AM734" i="9" s="1"/>
  <c r="AJ734" i="9"/>
  <c r="AG675" i="9"/>
  <c r="AM675" i="9" s="1"/>
  <c r="AJ675" i="9"/>
  <c r="AG458" i="9"/>
  <c r="AM458" i="9" s="1"/>
  <c r="AJ458" i="9"/>
  <c r="AG447" i="9"/>
  <c r="AM447" i="9" s="1"/>
  <c r="AJ447" i="9"/>
  <c r="AG250" i="9"/>
  <c r="AM250" i="9" s="1"/>
  <c r="AJ250" i="9"/>
  <c r="AG37" i="9"/>
  <c r="AM37" i="9" s="1"/>
  <c r="AJ37" i="9"/>
  <c r="AG125" i="9"/>
  <c r="AM125" i="9" s="1"/>
  <c r="AJ125" i="9"/>
  <c r="AG545" i="9"/>
  <c r="AM545" i="9" s="1"/>
  <c r="AJ545" i="9"/>
  <c r="AG733" i="9"/>
  <c r="AM733" i="9" s="1"/>
  <c r="AJ733" i="9"/>
  <c r="AJ459" i="9"/>
  <c r="AG459" i="9"/>
  <c r="AM459" i="9" s="1"/>
  <c r="AG524" i="9"/>
  <c r="AM524" i="9" s="1"/>
  <c r="AJ524" i="9"/>
  <c r="AG202" i="9"/>
  <c r="AM202" i="9" s="1"/>
  <c r="AJ202" i="9"/>
  <c r="AG20" i="9"/>
  <c r="AM20" i="9" s="1"/>
  <c r="AJ20" i="9"/>
  <c r="AJ5" i="9"/>
  <c r="AG5" i="9"/>
  <c r="AM5" i="9" s="1"/>
  <c r="AJ363" i="9"/>
  <c r="AG363" i="9"/>
  <c r="AM363" i="9" s="1"/>
  <c r="AG303" i="9"/>
  <c r="AM303" i="9" s="1"/>
  <c r="AJ303" i="9"/>
  <c r="AG701" i="9"/>
  <c r="AM701" i="9" s="1"/>
  <c r="AJ701" i="9"/>
  <c r="AG651" i="9"/>
  <c r="AM651" i="9" s="1"/>
  <c r="AJ651" i="9"/>
  <c r="AG58" i="9"/>
  <c r="AM58" i="9" s="1"/>
  <c r="AJ58" i="9"/>
  <c r="AJ341" i="9"/>
  <c r="AG341" i="9"/>
  <c r="AM341" i="9" s="1"/>
  <c r="AJ837" i="9"/>
  <c r="AG837" i="9"/>
  <c r="AM837" i="9" s="1"/>
  <c r="AG289" i="9"/>
  <c r="AM289" i="9" s="1"/>
  <c r="AJ289" i="9"/>
  <c r="AG235" i="9"/>
  <c r="AM235" i="9" s="1"/>
  <c r="AJ235" i="9"/>
  <c r="AJ523" i="9"/>
  <c r="AG523" i="9"/>
  <c r="AM523" i="9" s="1"/>
  <c r="AJ129" i="9"/>
  <c r="AG129" i="9"/>
  <c r="AM129" i="9" s="1"/>
  <c r="AG738" i="9"/>
  <c r="AM738" i="9" s="1"/>
  <c r="AJ738" i="9"/>
  <c r="AG397" i="9"/>
  <c r="AM397" i="9" s="1"/>
  <c r="AJ397" i="9"/>
  <c r="AJ565" i="9"/>
  <c r="AG565" i="9"/>
  <c r="AM565" i="9" s="1"/>
  <c r="AG611" i="9"/>
  <c r="AM611" i="9" s="1"/>
  <c r="AJ611" i="9"/>
  <c r="AJ252" i="9"/>
  <c r="AG252" i="9"/>
  <c r="AM252" i="9" s="1"/>
  <c r="AG273" i="9"/>
  <c r="AM273" i="9" s="1"/>
  <c r="AJ273" i="9"/>
  <c r="AF26" i="26"/>
  <c r="AE26" i="26"/>
  <c r="AG26" i="26" s="1"/>
  <c r="AJ211" i="9"/>
  <c r="AG211" i="9"/>
  <c r="AM211" i="9" s="1"/>
  <c r="AJ485" i="9"/>
  <c r="AG485" i="9"/>
  <c r="AM485" i="9" s="1"/>
  <c r="AJ293" i="9"/>
  <c r="AG293" i="9"/>
  <c r="AM293" i="9" s="1"/>
  <c r="AG52" i="9"/>
  <c r="AM52" i="9" s="1"/>
  <c r="AJ52" i="9"/>
  <c r="AG610" i="9"/>
  <c r="AM610" i="9" s="1"/>
  <c r="AJ610" i="9"/>
  <c r="AG778" i="9"/>
  <c r="AM778" i="9" s="1"/>
  <c r="AJ778" i="9"/>
  <c r="AG699" i="9"/>
  <c r="AM699" i="9" s="1"/>
  <c r="AJ699" i="9"/>
  <c r="AG788" i="9"/>
  <c r="AM788" i="9" s="1"/>
  <c r="AJ788" i="9"/>
  <c r="AG333" i="9"/>
  <c r="AM333" i="9" s="1"/>
  <c r="AJ333" i="9"/>
  <c r="AJ284" i="9"/>
  <c r="AG284" i="9"/>
  <c r="AM284" i="9" s="1"/>
  <c r="AF16" i="26"/>
  <c r="AE16" i="26"/>
  <c r="AG16" i="26" s="1"/>
  <c r="AG51" i="9"/>
  <c r="AM51" i="9" s="1"/>
  <c r="AJ51" i="9"/>
  <c r="AJ218" i="9"/>
  <c r="AG218" i="9"/>
  <c r="AM218" i="9" s="1"/>
  <c r="AG449" i="9"/>
  <c r="AM449" i="9" s="1"/>
  <c r="AJ449" i="9"/>
  <c r="AG457" i="9"/>
  <c r="AM457" i="9" s="1"/>
  <c r="AJ457" i="9"/>
  <c r="AG507" i="9"/>
  <c r="AM507" i="9" s="1"/>
  <c r="AJ507" i="9"/>
  <c r="AG496" i="9"/>
  <c r="AM496" i="9" s="1"/>
  <c r="AJ496" i="9"/>
  <c r="AJ517" i="9"/>
  <c r="AG517" i="9"/>
  <c r="AM517" i="9" s="1"/>
  <c r="AG832" i="9"/>
  <c r="AM832" i="9" s="1"/>
  <c r="AJ832" i="9"/>
  <c r="AG623" i="9"/>
  <c r="AM623" i="9" s="1"/>
  <c r="AJ623" i="9"/>
  <c r="AG409" i="9"/>
  <c r="AM409" i="9" s="1"/>
  <c r="AJ409" i="9"/>
  <c r="AG251" i="9"/>
  <c r="AM251" i="9" s="1"/>
  <c r="AJ251" i="9"/>
  <c r="AJ198" i="9"/>
  <c r="AG198" i="9"/>
  <c r="AM198" i="9" s="1"/>
  <c r="AG243" i="9"/>
  <c r="AM243" i="9" s="1"/>
  <c r="AJ243" i="9"/>
  <c r="AG685" i="9"/>
  <c r="AM685" i="9" s="1"/>
  <c r="AJ685" i="9"/>
  <c r="AJ203" i="9"/>
  <c r="AG203" i="9"/>
  <c r="AM203" i="9" s="1"/>
  <c r="AJ570" i="9"/>
  <c r="AG570" i="9"/>
  <c r="AM570" i="9" s="1"/>
  <c r="AJ272" i="9"/>
  <c r="AG272" i="9"/>
  <c r="AM272" i="9" s="1"/>
  <c r="AG815" i="9"/>
  <c r="AM815" i="9" s="1"/>
  <c r="AJ815" i="9"/>
  <c r="AG735" i="9"/>
  <c r="AM735" i="9" s="1"/>
  <c r="AJ735" i="9"/>
  <c r="AG581" i="9"/>
  <c r="AM581" i="9" s="1"/>
  <c r="AJ581" i="9"/>
  <c r="AG569" i="9"/>
  <c r="AM569" i="9" s="1"/>
  <c r="AJ569" i="9"/>
  <c r="AG261" i="9"/>
  <c r="AM261" i="9" s="1"/>
  <c r="AJ261" i="9"/>
  <c r="AG139" i="9"/>
  <c r="AM139" i="9" s="1"/>
  <c r="AJ139" i="9"/>
  <c r="AE29" i="26"/>
  <c r="AG29" i="26" s="1"/>
  <c r="AF29" i="26"/>
  <c r="AJ334" i="9"/>
  <c r="AG334" i="9"/>
  <c r="AM334" i="9" s="1"/>
  <c r="AE38" i="26"/>
  <c r="AG38" i="26" s="1"/>
  <c r="AF38" i="26"/>
  <c r="AG395" i="9"/>
  <c r="AM395" i="9" s="1"/>
  <c r="AJ395" i="9"/>
  <c r="AG619" i="9"/>
  <c r="AM619" i="9" s="1"/>
  <c r="AJ619" i="9"/>
  <c r="AJ605" i="9"/>
  <c r="AG605" i="9"/>
  <c r="AM605" i="9" s="1"/>
  <c r="AJ653" i="9"/>
  <c r="AG653" i="9"/>
  <c r="AM653" i="9" s="1"/>
  <c r="AG746" i="9"/>
  <c r="AM746" i="9" s="1"/>
  <c r="AJ746" i="9"/>
  <c r="AG752" i="9"/>
  <c r="AM752" i="9" s="1"/>
  <c r="AJ752" i="9"/>
  <c r="AG631" i="9"/>
  <c r="AM631" i="9" s="1"/>
  <c r="AJ631" i="9"/>
  <c r="AG577" i="9"/>
  <c r="AM577" i="9" s="1"/>
  <c r="AJ577" i="9"/>
  <c r="AJ228" i="9"/>
  <c r="AG228" i="9"/>
  <c r="AM228" i="9" s="1"/>
  <c r="AG6" i="9"/>
  <c r="AM6" i="9" s="1"/>
  <c r="AJ6" i="9"/>
  <c r="AE35" i="26"/>
  <c r="AG35" i="26" s="1"/>
  <c r="AF35" i="26"/>
  <c r="AJ477" i="9"/>
  <c r="AG477" i="9"/>
  <c r="AM477" i="9" s="1"/>
  <c r="AG829" i="9"/>
  <c r="AM829" i="9" s="1"/>
  <c r="AJ829" i="9"/>
  <c r="AG821" i="9"/>
  <c r="AM821" i="9" s="1"/>
  <c r="AJ821" i="9"/>
  <c r="AG688" i="9"/>
  <c r="AM688" i="9" s="1"/>
  <c r="AJ688" i="9"/>
  <c r="AG583" i="9"/>
  <c r="AM583" i="9" s="1"/>
  <c r="AJ583" i="9"/>
  <c r="AG305" i="9"/>
  <c r="AM305" i="9" s="1"/>
  <c r="AJ305" i="9"/>
  <c r="AJ43" i="9"/>
  <c r="AG43" i="9"/>
  <c r="AM43" i="9" s="1"/>
  <c r="AG387" i="9"/>
  <c r="AM387" i="9" s="1"/>
  <c r="AJ387" i="9"/>
  <c r="AE24" i="26"/>
  <c r="AG24" i="26" s="1"/>
  <c r="AF24" i="26"/>
  <c r="AG53" i="9"/>
  <c r="AM53" i="9" s="1"/>
  <c r="AJ53" i="9"/>
  <c r="AJ604" i="9"/>
  <c r="AG604" i="9"/>
  <c r="AM604" i="9" s="1"/>
  <c r="AJ351" i="9"/>
  <c r="AG351" i="9"/>
  <c r="AM351" i="9" s="1"/>
  <c r="AJ390" i="9"/>
  <c r="AG390" i="9"/>
  <c r="AM390" i="9" s="1"/>
  <c r="AG216" i="9"/>
  <c r="AM216" i="9" s="1"/>
  <c r="AJ216" i="9"/>
  <c r="AG57" i="9"/>
  <c r="AM57" i="9" s="1"/>
  <c r="AJ57" i="9"/>
  <c r="AG309" i="9"/>
  <c r="AM309" i="9" s="1"/>
  <c r="AJ309" i="9"/>
  <c r="AJ381" i="9"/>
  <c r="AG381" i="9"/>
  <c r="AM381" i="9" s="1"/>
  <c r="AJ834" i="9"/>
  <c r="AG834" i="9"/>
  <c r="AM834" i="9" s="1"/>
  <c r="AG636" i="9"/>
  <c r="AM636" i="9" s="1"/>
  <c r="AJ636" i="9"/>
  <c r="AG502" i="9"/>
  <c r="AM502" i="9" s="1"/>
  <c r="AJ502" i="9"/>
  <c r="AJ15" i="9"/>
  <c r="AG15" i="9"/>
  <c r="AM15" i="9" s="1"/>
  <c r="AG223" i="9"/>
  <c r="AM223" i="9" s="1"/>
  <c r="AJ223" i="9"/>
  <c r="AJ179" i="9"/>
  <c r="AG179" i="9"/>
  <c r="AM179" i="9" s="1"/>
  <c r="AF9" i="26"/>
  <c r="AE9" i="26"/>
  <c r="AG9" i="26" s="1"/>
  <c r="AG578" i="9"/>
  <c r="AM578" i="9" s="1"/>
  <c r="AJ578" i="9"/>
  <c r="AJ705" i="9"/>
  <c r="AG705" i="9"/>
  <c r="AM705" i="9" s="1"/>
  <c r="AG670" i="9"/>
  <c r="AM670" i="9" s="1"/>
  <c r="AJ670" i="9"/>
  <c r="AG434" i="9"/>
  <c r="AM434" i="9" s="1"/>
  <c r="AJ434" i="9"/>
  <c r="AJ335" i="9"/>
  <c r="AG335" i="9"/>
  <c r="AM335" i="9" s="1"/>
  <c r="AJ448" i="9"/>
  <c r="AG448" i="9"/>
  <c r="AM448" i="9" s="1"/>
  <c r="AG214" i="9"/>
  <c r="AM214" i="9" s="1"/>
  <c r="AJ214" i="9"/>
  <c r="AJ249" i="9"/>
  <c r="AG249" i="9"/>
  <c r="AM249" i="9" s="1"/>
  <c r="AJ446" i="9"/>
  <c r="AG446" i="9"/>
  <c r="AM446" i="9" s="1"/>
  <c r="AG234" i="9"/>
  <c r="AM234" i="9" s="1"/>
  <c r="AJ234" i="9"/>
  <c r="AJ195" i="9"/>
  <c r="AG195" i="9"/>
  <c r="AM195" i="9" s="1"/>
  <c r="AJ798" i="9"/>
  <c r="AG798" i="9"/>
  <c r="AM798" i="9" s="1"/>
  <c r="AG483" i="9"/>
  <c r="AM483" i="9" s="1"/>
  <c r="AJ483" i="9"/>
  <c r="AG431" i="9"/>
  <c r="AM431" i="9" s="1"/>
  <c r="AJ431" i="9"/>
  <c r="AG561" i="9"/>
  <c r="AM561" i="9" s="1"/>
  <c r="AJ561" i="9"/>
  <c r="AG231" i="9"/>
  <c r="AM231" i="9" s="1"/>
  <c r="AJ231" i="9"/>
  <c r="AG215" i="9"/>
  <c r="AM215" i="9" s="1"/>
  <c r="AJ215" i="9"/>
  <c r="AG294" i="9"/>
  <c r="AM294" i="9" s="1"/>
  <c r="AJ294" i="9"/>
  <c r="AG717" i="9"/>
  <c r="AM717" i="9" s="1"/>
  <c r="AJ717" i="9"/>
  <c r="AG466" i="9"/>
  <c r="AM466" i="9" s="1"/>
  <c r="AJ466" i="9"/>
  <c r="AG324" i="9"/>
  <c r="AM324" i="9" s="1"/>
  <c r="AJ324" i="9"/>
  <c r="AG275" i="9"/>
  <c r="AM275" i="9" s="1"/>
  <c r="AJ275" i="9"/>
  <c r="AG650" i="9"/>
  <c r="AM650" i="9" s="1"/>
  <c r="AJ650" i="9"/>
  <c r="AG861" i="9"/>
  <c r="AM861" i="9" s="1"/>
  <c r="AJ861" i="9"/>
  <c r="AG747" i="9"/>
  <c r="AM747" i="9" s="1"/>
  <c r="AJ747" i="9"/>
  <c r="AG764" i="9"/>
  <c r="AM764" i="9" s="1"/>
  <c r="AJ764" i="9"/>
  <c r="AG533" i="9"/>
  <c r="AM533" i="9" s="1"/>
  <c r="AJ533" i="9"/>
  <c r="AG266" i="9"/>
  <c r="AM266" i="9" s="1"/>
  <c r="AJ266" i="9"/>
  <c r="AF28" i="26"/>
  <c r="AE28" i="26"/>
  <c r="AG28" i="26" s="1"/>
  <c r="AG499" i="9"/>
  <c r="AM499" i="9" s="1"/>
  <c r="AJ499" i="9"/>
  <c r="AG63" i="9"/>
  <c r="AM63" i="9" s="1"/>
  <c r="AJ63" i="9"/>
  <c r="AG554" i="9"/>
  <c r="AM554" i="9" s="1"/>
  <c r="AJ554" i="9"/>
  <c r="AJ478" i="9"/>
  <c r="AG478" i="9"/>
  <c r="AM478" i="9" s="1"/>
  <c r="AJ177" i="9"/>
  <c r="AG177" i="9"/>
  <c r="AM177" i="9" s="1"/>
  <c r="AG628" i="9"/>
  <c r="AM628" i="9" s="1"/>
  <c r="AJ628" i="9"/>
  <c r="AG427" i="9"/>
  <c r="AM427" i="9" s="1"/>
  <c r="AJ427" i="9"/>
  <c r="AG859" i="9"/>
  <c r="AM859" i="9" s="1"/>
  <c r="AJ859" i="9"/>
  <c r="AG777" i="9"/>
  <c r="AM777" i="9" s="1"/>
  <c r="AJ777" i="9"/>
  <c r="AJ377" i="9"/>
  <c r="AG377" i="9"/>
  <c r="AM377" i="9" s="1"/>
  <c r="AJ130" i="9"/>
  <c r="AG130" i="9"/>
  <c r="AM130" i="9" s="1"/>
  <c r="AG402" i="9"/>
  <c r="AM402" i="9" s="1"/>
  <c r="AJ402" i="9"/>
  <c r="AG267" i="9"/>
  <c r="AM267" i="9" s="1"/>
  <c r="AJ267" i="9"/>
  <c r="AE13" i="26"/>
  <c r="AG13" i="26" s="1"/>
  <c r="AF13" i="26"/>
  <c r="AF8" i="26"/>
  <c r="AE8" i="26"/>
  <c r="AG8" i="26" s="1"/>
  <c r="AJ672" i="9"/>
  <c r="AG672" i="9"/>
  <c r="AM672" i="9" s="1"/>
  <c r="AJ342" i="9"/>
  <c r="AG342" i="9"/>
  <c r="AM342" i="9" s="1"/>
  <c r="AJ791" i="9"/>
  <c r="AG791" i="9"/>
  <c r="AM791" i="9" s="1"/>
  <c r="AJ711" i="9"/>
  <c r="AG711" i="9"/>
  <c r="AM711" i="9" s="1"/>
  <c r="AG756" i="9"/>
  <c r="AM756" i="9" s="1"/>
  <c r="AJ756" i="9"/>
  <c r="AG540" i="9"/>
  <c r="AM540" i="9" s="1"/>
  <c r="AJ540" i="9"/>
  <c r="AG325" i="9"/>
  <c r="AM325" i="9" s="1"/>
  <c r="AJ325" i="9"/>
  <c r="AG265" i="9"/>
  <c r="AM265" i="9" s="1"/>
  <c r="AJ265" i="9"/>
  <c r="AG286" i="9"/>
  <c r="AM286" i="9" s="1"/>
  <c r="AJ286" i="9"/>
  <c r="AJ350" i="9"/>
  <c r="AG350" i="9"/>
  <c r="AM350" i="9" s="1"/>
  <c r="AG418" i="9"/>
  <c r="AM418" i="9" s="1"/>
  <c r="AJ418" i="9"/>
  <c r="AG411" i="9"/>
  <c r="AM411" i="9" s="1"/>
  <c r="AJ411" i="9"/>
  <c r="AG786" i="9"/>
  <c r="AM786" i="9" s="1"/>
  <c r="AJ786" i="9"/>
  <c r="AG632" i="9"/>
  <c r="AM632" i="9" s="1"/>
  <c r="AJ632" i="9"/>
  <c r="AG725" i="9"/>
  <c r="AM725" i="9" s="1"/>
  <c r="AJ725" i="9"/>
  <c r="AG805" i="9"/>
  <c r="AM805" i="9" s="1"/>
  <c r="AJ805" i="9"/>
  <c r="AJ681" i="9"/>
  <c r="AG681" i="9"/>
  <c r="AM681" i="9" s="1"/>
  <c r="AG807" i="9"/>
  <c r="AM807" i="9" s="1"/>
  <c r="AJ807" i="9"/>
  <c r="AG476" i="9"/>
  <c r="AM476" i="9" s="1"/>
  <c r="AJ476" i="9"/>
  <c r="AG192" i="9"/>
  <c r="AM192" i="9" s="1"/>
  <c r="AJ192" i="9"/>
  <c r="AJ470" i="9"/>
  <c r="AG470" i="9"/>
  <c r="AM470" i="9" s="1"/>
  <c r="AJ30" i="9"/>
  <c r="AG30" i="9"/>
  <c r="AM30" i="9" s="1"/>
  <c r="AJ209" i="9"/>
  <c r="AG209" i="9"/>
  <c r="AM209" i="9" s="1"/>
  <c r="AG862" i="9"/>
  <c r="AM862" i="9" s="1"/>
  <c r="AJ862" i="9"/>
  <c r="AG741" i="9"/>
  <c r="AM741" i="9" s="1"/>
  <c r="AJ741" i="9"/>
  <c r="AG537" i="9"/>
  <c r="AM537" i="9" s="1"/>
  <c r="AJ537" i="9"/>
  <c r="AG532" i="9"/>
  <c r="AM532" i="9" s="1"/>
  <c r="AJ532" i="9"/>
  <c r="AG31" i="9"/>
  <c r="AM31" i="9" s="1"/>
  <c r="AJ31" i="9"/>
  <c r="AJ808" i="9"/>
  <c r="AG808" i="9"/>
  <c r="AM808" i="9" s="1"/>
  <c r="AG270" i="9"/>
  <c r="AM270" i="9" s="1"/>
  <c r="AJ270" i="9"/>
  <c r="AJ684" i="9"/>
  <c r="AG684" i="9"/>
  <c r="AM684" i="9" s="1"/>
  <c r="AG529" i="9"/>
  <c r="AM529" i="9" s="1"/>
  <c r="AJ529" i="9"/>
  <c r="AG591" i="9"/>
  <c r="AM591" i="9" s="1"/>
  <c r="AJ591" i="9"/>
  <c r="AJ509" i="9"/>
  <c r="AG509" i="9"/>
  <c r="AM509" i="9" s="1"/>
  <c r="AG193" i="9"/>
  <c r="AM193" i="9" s="1"/>
  <c r="AJ193" i="9"/>
  <c r="AG60" i="9"/>
  <c r="AM60" i="9" s="1"/>
  <c r="AJ60" i="9"/>
  <c r="AG330" i="9"/>
  <c r="AM330" i="9" s="1"/>
  <c r="AJ330" i="9"/>
  <c r="AG794" i="9"/>
  <c r="AM794" i="9" s="1"/>
  <c r="AJ794" i="9"/>
  <c r="AG637" i="9"/>
  <c r="AM637" i="9" s="1"/>
  <c r="AJ637" i="9"/>
  <c r="AJ679" i="9"/>
  <c r="AG679" i="9"/>
  <c r="AM679" i="9" s="1"/>
  <c r="AJ375" i="9"/>
  <c r="AG375" i="9"/>
  <c r="AM375" i="9" s="1"/>
  <c r="AG239" i="9"/>
  <c r="AM239" i="9" s="1"/>
  <c r="AJ239" i="9"/>
  <c r="AG237" i="9"/>
  <c r="AM237" i="9" s="1"/>
  <c r="AJ237" i="9"/>
  <c r="AF37" i="26"/>
  <c r="AE37" i="26"/>
  <c r="AG37" i="26" s="1"/>
  <c r="AG797" i="9"/>
  <c r="AM797" i="9" s="1"/>
  <c r="AJ797" i="9"/>
  <c r="AG443" i="9"/>
  <c r="AM443" i="9" s="1"/>
  <c r="AJ443" i="9"/>
  <c r="AJ736" i="9"/>
  <c r="AG736" i="9"/>
  <c r="AM736" i="9" s="1"/>
  <c r="AJ382" i="9"/>
  <c r="AG382" i="9"/>
  <c r="AM382" i="9" s="1"/>
  <c r="AJ300" i="9"/>
  <c r="AG300" i="9"/>
  <c r="AM300" i="9" s="1"/>
  <c r="AG149" i="9"/>
  <c r="AM149" i="9" s="1"/>
  <c r="AJ149" i="9"/>
  <c r="AJ858" i="9"/>
  <c r="AG858" i="9"/>
  <c r="AM858" i="9" s="1"/>
  <c r="AG230" i="9"/>
  <c r="AM230" i="9" s="1"/>
  <c r="AJ230" i="9"/>
  <c r="AJ682" i="9"/>
  <c r="AG682" i="9"/>
  <c r="AM682" i="9" s="1"/>
  <c r="AG283" i="9"/>
  <c r="AM283" i="9" s="1"/>
  <c r="AJ283" i="9"/>
  <c r="AG773" i="9"/>
  <c r="AM773" i="9" s="1"/>
  <c r="AJ773" i="9"/>
  <c r="AG304" i="9"/>
  <c r="AM304" i="9" s="1"/>
  <c r="AJ304" i="9"/>
  <c r="AG609" i="9"/>
  <c r="AM609" i="9" s="1"/>
  <c r="AJ609" i="9"/>
  <c r="AJ799" i="9"/>
  <c r="AG799" i="9"/>
  <c r="AM799" i="9" s="1"/>
  <c r="AG748" i="9"/>
  <c r="AM748" i="9" s="1"/>
  <c r="AJ748" i="9"/>
  <c r="AG415" i="9"/>
  <c r="AM415" i="9" s="1"/>
  <c r="AJ415" i="9"/>
  <c r="AG12" i="9"/>
  <c r="AM12" i="9" s="1"/>
  <c r="AJ12" i="9"/>
  <c r="AE14" i="26"/>
  <c r="AG14" i="26" s="1"/>
  <c r="AF14" i="26"/>
  <c r="AG451" i="9"/>
  <c r="AM451" i="9" s="1"/>
  <c r="AJ451" i="9"/>
  <c r="AG35" i="9"/>
  <c r="AM35" i="9" s="1"/>
  <c r="AJ35" i="9"/>
  <c r="AG10" i="9"/>
  <c r="AM10" i="9" s="1"/>
  <c r="AJ10" i="9"/>
  <c r="AG515" i="9"/>
  <c r="AM515" i="9" s="1"/>
  <c r="AJ515" i="9"/>
  <c r="AG420" i="9"/>
  <c r="AM420" i="9" s="1"/>
  <c r="AJ420" i="9"/>
  <c r="AG552" i="9"/>
  <c r="AM552" i="9" s="1"/>
  <c r="AJ552" i="9"/>
  <c r="AG617" i="9"/>
  <c r="AM617" i="9" s="1"/>
  <c r="AJ617" i="9"/>
  <c r="AG723" i="9"/>
  <c r="AM723" i="9" s="1"/>
  <c r="AJ723" i="9"/>
  <c r="AG508" i="9"/>
  <c r="AM508" i="9" s="1"/>
  <c r="AJ508" i="9"/>
  <c r="AG492" i="9"/>
  <c r="AM492" i="9" s="1"/>
  <c r="AJ492" i="9"/>
  <c r="AJ232" i="9"/>
  <c r="AG232" i="9"/>
  <c r="AM232" i="9" s="1"/>
  <c r="AG424" i="9"/>
  <c r="AM424" i="9" s="1"/>
  <c r="AJ424" i="9"/>
  <c r="AG480" i="9"/>
  <c r="AM480" i="9" s="1"/>
  <c r="AJ480" i="9"/>
  <c r="AE5" i="26"/>
  <c r="AG5" i="26" s="1"/>
  <c r="AF5" i="26"/>
  <c r="AF36" i="26"/>
  <c r="AE36" i="26"/>
  <c r="AG36" i="26" s="1"/>
  <c r="AG706" i="9"/>
  <c r="AM706" i="9" s="1"/>
  <c r="AJ706" i="9"/>
  <c r="AG290" i="9"/>
  <c r="AM290" i="9" s="1"/>
  <c r="AJ290" i="9"/>
  <c r="AG847" i="9"/>
  <c r="AM847" i="9" s="1"/>
  <c r="AJ847" i="9"/>
  <c r="AG553" i="9"/>
  <c r="AM553" i="9" s="1"/>
  <c r="AJ553" i="9"/>
  <c r="AG678" i="9"/>
  <c r="AM678" i="9" s="1"/>
  <c r="AJ678" i="9"/>
  <c r="AG518" i="9"/>
  <c r="AM518" i="9" s="1"/>
  <c r="AJ518" i="9"/>
  <c r="AG277" i="9"/>
  <c r="AM277" i="9" s="1"/>
  <c r="AJ277" i="9"/>
  <c r="AG257" i="9"/>
  <c r="AM257" i="9" s="1"/>
  <c r="AJ257" i="9"/>
  <c r="AG846" i="9"/>
  <c r="AM846" i="9" s="1"/>
  <c r="AJ846" i="9"/>
  <c r="AG844" i="9"/>
  <c r="AM844" i="9" s="1"/>
  <c r="AJ844" i="9"/>
  <c r="AJ494" i="9"/>
  <c r="AG494" i="9"/>
  <c r="AM494" i="9" s="1"/>
  <c r="AG590" i="9"/>
  <c r="AM590" i="9" s="1"/>
  <c r="AJ590" i="9"/>
  <c r="AJ511" i="9"/>
  <c r="AG511" i="9"/>
  <c r="AM511" i="9" s="1"/>
  <c r="AG644" i="9"/>
  <c r="AM644" i="9" s="1"/>
  <c r="AJ644" i="9"/>
  <c r="AJ566" i="9"/>
  <c r="AG566" i="9"/>
  <c r="AM566" i="9" s="1"/>
  <c r="AJ665" i="9"/>
  <c r="AG665" i="9"/>
  <c r="AM665" i="9" s="1"/>
  <c r="AG776" i="9"/>
  <c r="AM776" i="9" s="1"/>
  <c r="AJ776" i="9"/>
  <c r="AG630" i="9"/>
  <c r="AM630" i="9" s="1"/>
  <c r="AJ630" i="9"/>
  <c r="AG389" i="9"/>
  <c r="AM389" i="9" s="1"/>
  <c r="AJ389" i="9"/>
  <c r="AG7" i="9"/>
  <c r="AM7" i="9" s="1"/>
  <c r="AJ7" i="9"/>
  <c r="AF30" i="26"/>
  <c r="AE30" i="26"/>
  <c r="AG30" i="26" s="1"/>
  <c r="AJ510" i="9"/>
  <c r="AG510" i="9"/>
  <c r="AM510" i="9" s="1"/>
  <c r="AG689" i="9"/>
  <c r="AM689" i="9" s="1"/>
  <c r="AJ689" i="9"/>
  <c r="AF23" i="26"/>
  <c r="AE23" i="26"/>
  <c r="AG23" i="26" s="1"/>
  <c r="AG582" i="9"/>
  <c r="AM582" i="9" s="1"/>
  <c r="AJ582" i="9"/>
  <c r="AJ779" i="9"/>
  <c r="AG779" i="9"/>
  <c r="AM779" i="9" s="1"/>
  <c r="AG516" i="9"/>
  <c r="AM516" i="9" s="1"/>
  <c r="AJ516" i="9"/>
  <c r="AG419" i="9"/>
  <c r="AM419" i="9" s="1"/>
  <c r="AJ419" i="9"/>
  <c r="AG154" i="9"/>
  <c r="AM154" i="9" s="1"/>
  <c r="AJ154" i="9"/>
  <c r="AG408" i="9"/>
  <c r="AM408" i="9" s="1"/>
  <c r="AJ408" i="9"/>
  <c r="AJ22" i="9"/>
  <c r="AG22" i="9"/>
  <c r="AM22" i="9" s="1"/>
  <c r="AJ814" i="9"/>
  <c r="AG814" i="9"/>
  <c r="AM814" i="9" s="1"/>
  <c r="AG696" i="9"/>
  <c r="AM696" i="9" s="1"/>
  <c r="AJ696" i="9"/>
  <c r="AG548" i="9"/>
  <c r="AM548" i="9" s="1"/>
  <c r="AJ548" i="9"/>
  <c r="AG442" i="9"/>
  <c r="AM442" i="9" s="1"/>
  <c r="AJ442" i="9"/>
  <c r="AF6" i="26"/>
  <c r="AE6" i="26"/>
  <c r="AG6" i="26" s="1"/>
  <c r="AG372" i="9"/>
  <c r="AM372" i="9" s="1"/>
  <c r="AJ372" i="9"/>
  <c r="AG558" i="9"/>
  <c r="AM558" i="9" s="1"/>
  <c r="AJ558" i="9"/>
  <c r="AG813" i="9"/>
  <c r="AM813" i="9" s="1"/>
  <c r="AJ813" i="9"/>
  <c r="AG700" i="9"/>
  <c r="AM700" i="9" s="1"/>
  <c r="AJ700" i="9"/>
  <c r="AG482" i="9"/>
  <c r="AM482" i="9" s="1"/>
  <c r="AJ482" i="9"/>
  <c r="AG233" i="9"/>
  <c r="AM233" i="9" s="1"/>
  <c r="AJ233" i="9"/>
  <c r="AG348" i="9"/>
  <c r="AM348" i="9" s="1"/>
  <c r="AJ348" i="9"/>
  <c r="AG364" i="9"/>
  <c r="AM364" i="9" s="1"/>
  <c r="AJ364" i="9"/>
  <c r="AJ404" i="9"/>
  <c r="AG404" i="9"/>
  <c r="AM404" i="9" s="1"/>
  <c r="AJ167" i="9"/>
  <c r="AG167" i="9"/>
  <c r="AM167" i="9" s="1"/>
  <c r="AG282" i="9"/>
  <c r="AM282" i="9" s="1"/>
  <c r="AJ282" i="9"/>
  <c r="AG559" i="9"/>
  <c r="AM559" i="9" s="1"/>
  <c r="AJ559" i="9"/>
  <c r="AG32" i="9"/>
  <c r="AM32" i="9" s="1"/>
  <c r="AJ32" i="9"/>
  <c r="AJ301" i="9"/>
  <c r="AG301" i="9"/>
  <c r="AM301" i="9" s="1"/>
  <c r="AJ379" i="9"/>
  <c r="AG379" i="9"/>
  <c r="AM379" i="9" s="1"/>
  <c r="AG428" i="9"/>
  <c r="AM428" i="9" s="1"/>
  <c r="AJ428" i="9"/>
  <c r="AG392" i="9"/>
  <c r="AM392" i="9" s="1"/>
  <c r="AJ392" i="9"/>
  <c r="AG400" i="9"/>
  <c r="AM400" i="9" s="1"/>
  <c r="AJ400" i="9"/>
  <c r="AG194" i="9"/>
  <c r="AM194" i="9" s="1"/>
  <c r="AJ194" i="9"/>
  <c r="AG425" i="9"/>
  <c r="AM425" i="9" s="1"/>
  <c r="AJ425" i="9"/>
  <c r="AG818" i="9"/>
  <c r="AM818" i="9" s="1"/>
  <c r="AJ818" i="9"/>
  <c r="AG486" i="9"/>
  <c r="AM486" i="9" s="1"/>
  <c r="AJ486" i="9"/>
  <c r="AG601" i="9"/>
  <c r="AM601" i="9" s="1"/>
  <c r="AJ601" i="9"/>
  <c r="AG439" i="9"/>
  <c r="AM439" i="9" s="1"/>
  <c r="AJ439" i="9"/>
  <c r="AG132" i="9"/>
  <c r="AM132" i="9" s="1"/>
  <c r="AJ132" i="9"/>
  <c r="AJ152" i="9"/>
  <c r="AG152" i="9"/>
  <c r="AM152" i="9" s="1"/>
  <c r="AJ441" i="9"/>
  <c r="AG441" i="9"/>
  <c r="AM441" i="9" s="1"/>
  <c r="AG522" i="9"/>
  <c r="AM522" i="9" s="1"/>
  <c r="AJ522" i="9"/>
  <c r="AG236" i="9"/>
  <c r="AM236" i="9" s="1"/>
  <c r="AJ236" i="9"/>
  <c r="AJ345" i="9"/>
  <c r="AG345" i="9"/>
  <c r="AM345" i="9" s="1"/>
  <c r="AJ138" i="9"/>
  <c r="AG138" i="9"/>
  <c r="AM138" i="9" s="1"/>
  <c r="AG512" i="9"/>
  <c r="AM512" i="9" s="1"/>
  <c r="AJ512" i="9"/>
  <c r="AJ666" i="9"/>
  <c r="AG666" i="9"/>
  <c r="AM666" i="9" s="1"/>
  <c r="AJ763" i="9"/>
  <c r="AG763" i="9"/>
  <c r="AM763" i="9" s="1"/>
  <c r="AJ692" i="9"/>
  <c r="AG692" i="9"/>
  <c r="AM692" i="9" s="1"/>
  <c r="AG383" i="9"/>
  <c r="AM383" i="9" s="1"/>
  <c r="AJ383" i="9"/>
  <c r="AJ225" i="9"/>
  <c r="AG225" i="9"/>
  <c r="AM225" i="9" s="1"/>
  <c r="AG227" i="9"/>
  <c r="AM227" i="9" s="1"/>
  <c r="AJ227" i="9"/>
  <c r="AG199" i="9"/>
  <c r="AM199" i="9" s="1"/>
  <c r="AJ199" i="9"/>
  <c r="AG274" i="9"/>
  <c r="AM274" i="9" s="1"/>
  <c r="AJ274" i="9"/>
  <c r="AG749" i="9"/>
  <c r="AM749" i="9" s="1"/>
  <c r="AJ749" i="9"/>
  <c r="AG530" i="9"/>
  <c r="AM530" i="9" s="1"/>
  <c r="AJ530" i="9"/>
  <c r="AG399" i="9"/>
  <c r="AM399" i="9" s="1"/>
  <c r="AJ399" i="9"/>
  <c r="AJ658" i="9"/>
  <c r="AG658" i="9"/>
  <c r="AM658" i="9" s="1"/>
  <c r="AJ729" i="9"/>
  <c r="AG729" i="9"/>
  <c r="AM729" i="9" s="1"/>
  <c r="AG634" i="9"/>
  <c r="AM634" i="9" s="1"/>
  <c r="AJ634" i="9"/>
  <c r="AG536" i="9"/>
  <c r="AM536" i="9" s="1"/>
  <c r="AJ536" i="9"/>
  <c r="AJ327" i="9"/>
  <c r="AG327" i="9"/>
  <c r="AM327" i="9" s="1"/>
  <c r="AG403" i="9"/>
  <c r="AM403" i="9" s="1"/>
  <c r="AJ403" i="9"/>
  <c r="AG501" i="9"/>
  <c r="AM501" i="9" s="1"/>
  <c r="AJ501" i="9"/>
  <c r="AF15" i="26"/>
  <c r="AE15" i="26"/>
  <c r="AG15" i="26" s="1"/>
  <c r="AF27" i="26"/>
  <c r="AE27" i="26"/>
  <c r="AG27" i="26" s="1"/>
  <c r="AJ291" i="9"/>
  <c r="AG291" i="9"/>
  <c r="AM291" i="9" s="1"/>
  <c r="AG722" i="9"/>
  <c r="AM722" i="9" s="1"/>
  <c r="AJ722" i="9"/>
  <c r="AG635" i="9"/>
  <c r="AM635" i="9" s="1"/>
  <c r="AJ635" i="9"/>
  <c r="AG831" i="9"/>
  <c r="AM831" i="9" s="1"/>
  <c r="AJ831" i="9"/>
  <c r="AG783" i="9"/>
  <c r="AM783" i="9" s="1"/>
  <c r="AJ783" i="9"/>
  <c r="AG161" i="9"/>
  <c r="AM161" i="9" s="1"/>
  <c r="AJ161" i="9"/>
  <c r="AJ393" i="9"/>
  <c r="AG393" i="9"/>
  <c r="AM393" i="9" s="1"/>
  <c r="AG242" i="9"/>
  <c r="AM242" i="9" s="1"/>
  <c r="AJ242" i="9"/>
  <c r="AG238" i="9"/>
  <c r="AM238" i="9" s="1"/>
  <c r="AJ238" i="9"/>
  <c r="AG849" i="9"/>
  <c r="AM849" i="9" s="1"/>
  <c r="AJ849" i="9"/>
  <c r="AJ370" i="9"/>
  <c r="AG370" i="9"/>
  <c r="AM370" i="9" s="1"/>
  <c r="AE31" i="26"/>
  <c r="AG31" i="26" s="1"/>
  <c r="AF31" i="26"/>
  <c r="AG686" i="9"/>
  <c r="AM686" i="9" s="1"/>
  <c r="AJ686" i="9"/>
  <c r="AJ721" i="9"/>
  <c r="AG721" i="9"/>
  <c r="AM721" i="9" s="1"/>
  <c r="AG405" i="9"/>
  <c r="AM405" i="9" s="1"/>
  <c r="AJ405" i="9"/>
  <c r="AG762" i="9"/>
  <c r="AM762" i="9" s="1"/>
  <c r="AJ762" i="9"/>
  <c r="AG674" i="9"/>
  <c r="AM674" i="9" s="1"/>
  <c r="AJ674" i="9"/>
  <c r="AJ751" i="9"/>
  <c r="AG751" i="9"/>
  <c r="AM751" i="9" s="1"/>
  <c r="AG626" i="9"/>
  <c r="AM626" i="9" s="1"/>
  <c r="AJ626" i="9"/>
  <c r="AG549" i="9"/>
  <c r="AM549" i="9" s="1"/>
  <c r="AJ549" i="9"/>
  <c r="AG16" i="9"/>
  <c r="AM16" i="9" s="1"/>
  <c r="AJ16" i="9"/>
  <c r="AJ322" i="9"/>
  <c r="AG322" i="9"/>
  <c r="AM322" i="9" s="1"/>
  <c r="AJ308" i="9"/>
  <c r="AG308" i="9"/>
  <c r="AM308" i="9" s="1"/>
  <c r="AG42" i="9"/>
  <c r="AM42" i="9" s="1"/>
  <c r="AJ42" i="9"/>
  <c r="AG702" i="9"/>
  <c r="AM702" i="9" s="1"/>
  <c r="AJ702" i="9"/>
  <c r="AG787" i="9"/>
  <c r="AM787" i="9" s="1"/>
  <c r="AJ787" i="9"/>
  <c r="AG488" i="9"/>
  <c r="AM488" i="9" s="1"/>
  <c r="AJ488" i="9"/>
  <c r="AG268" i="9"/>
  <c r="AM268" i="9" s="1"/>
  <c r="AJ268" i="9"/>
  <c r="AJ155" i="9"/>
  <c r="AG155" i="9"/>
  <c r="AM155" i="9" s="1"/>
  <c r="AF22" i="26"/>
  <c r="AE22" i="26"/>
  <c r="AG22" i="26" s="1"/>
  <c r="AG33" i="9"/>
  <c r="AM33" i="9" s="1"/>
  <c r="AJ33" i="9"/>
  <c r="AG782" i="9"/>
  <c r="AM782" i="9" s="1"/>
  <c r="AJ782" i="9"/>
  <c r="AG703" i="9"/>
  <c r="AM703" i="9" s="1"/>
  <c r="AJ703" i="9"/>
  <c r="AJ388" i="9"/>
  <c r="AG388" i="9"/>
  <c r="AM388" i="9" s="1"/>
  <c r="AG141" i="9"/>
  <c r="AM141" i="9" s="1"/>
  <c r="AJ141" i="9"/>
  <c r="AJ148" i="9"/>
  <c r="AG148" i="9"/>
  <c r="AM148" i="9" s="1"/>
  <c r="AG40" i="9"/>
  <c r="AM40" i="9" s="1"/>
  <c r="AJ40" i="9"/>
  <c r="AG340" i="9"/>
  <c r="AM340" i="9" s="1"/>
  <c r="AJ340" i="9"/>
  <c r="AG710" i="9"/>
  <c r="AM710" i="9" s="1"/>
  <c r="AJ710" i="9"/>
  <c r="AJ435" i="9"/>
  <c r="AG435" i="9"/>
  <c r="AM435" i="9" s="1"/>
  <c r="AJ673" i="9"/>
  <c r="AG673" i="9"/>
  <c r="AM673" i="9" s="1"/>
  <c r="AJ396" i="9"/>
  <c r="AG396" i="9"/>
  <c r="AM396" i="9" s="1"/>
  <c r="AJ165" i="9"/>
  <c r="AG165" i="9"/>
  <c r="AM165" i="9" s="1"/>
  <c r="AG384" i="9"/>
  <c r="AM384" i="9" s="1"/>
  <c r="AJ384" i="9"/>
  <c r="AG826" i="9"/>
  <c r="AM826" i="9" s="1"/>
  <c r="AJ826" i="9"/>
  <c r="AG726" i="9"/>
  <c r="AM726" i="9" s="1"/>
  <c r="AJ726" i="9"/>
  <c r="AG840" i="9"/>
  <c r="AM840" i="9" s="1"/>
  <c r="AJ840" i="9"/>
  <c r="AG691" i="9"/>
  <c r="AM691" i="9" s="1"/>
  <c r="AJ691" i="9"/>
  <c r="AG704" i="9"/>
  <c r="AM704" i="9" s="1"/>
  <c r="AJ704" i="9"/>
  <c r="AJ319" i="9"/>
  <c r="AG319" i="9"/>
  <c r="AM319" i="9" s="1"/>
  <c r="AJ146" i="9"/>
  <c r="AG146" i="9"/>
  <c r="AM146" i="9" s="1"/>
  <c r="AG838" i="9"/>
  <c r="AM838" i="9" s="1"/>
  <c r="AJ838" i="9"/>
  <c r="AG760" i="9"/>
  <c r="AM760" i="9" s="1"/>
  <c r="AJ760" i="9"/>
  <c r="AG172" i="9"/>
  <c r="AM172" i="9" s="1"/>
  <c r="AJ172" i="9"/>
  <c r="AG544" i="9"/>
  <c r="AM544" i="9" s="1"/>
  <c r="AJ544" i="9"/>
  <c r="AJ134" i="9"/>
  <c r="AG134" i="9"/>
  <c r="AM134" i="9" s="1"/>
  <c r="AG271" i="9"/>
  <c r="AM271" i="9" s="1"/>
  <c r="AJ271" i="9"/>
  <c r="AG14" i="9"/>
  <c r="AM14" i="9" s="1"/>
  <c r="AJ14" i="9"/>
  <c r="AJ737" i="9"/>
  <c r="AG737" i="9"/>
  <c r="AM737" i="9" s="1"/>
  <c r="AG550" i="9"/>
  <c r="AM550" i="9" s="1"/>
  <c r="AJ550" i="9"/>
  <c r="AJ835" i="9"/>
  <c r="AG835" i="9"/>
  <c r="AM835" i="9" s="1"/>
  <c r="AJ759" i="9"/>
  <c r="AG759" i="9"/>
  <c r="AM759" i="9" s="1"/>
  <c r="AG506" i="9"/>
  <c r="AM506" i="9" s="1"/>
  <c r="AJ506" i="9"/>
  <c r="AJ131" i="9"/>
  <c r="AG131" i="9"/>
  <c r="AM131" i="9" s="1"/>
  <c r="AJ412" i="9"/>
  <c r="AG412" i="9"/>
  <c r="AM412" i="9" s="1"/>
  <c r="AG355" i="9"/>
  <c r="AM355" i="9" s="1"/>
  <c r="AJ355" i="9"/>
  <c r="AJ473" i="9"/>
  <c r="AG473" i="9"/>
  <c r="AM473" i="9" s="1"/>
  <c r="AG386" i="9"/>
  <c r="AM386" i="9" s="1"/>
  <c r="AJ386" i="9"/>
  <c r="AJ745" i="9"/>
  <c r="AG745" i="9"/>
  <c r="AM745" i="9" s="1"/>
  <c r="AG742" i="9"/>
  <c r="AM742" i="9" s="1"/>
  <c r="AJ742" i="9"/>
  <c r="AG655" i="9"/>
  <c r="AM655" i="9" s="1"/>
  <c r="AJ655" i="9"/>
  <c r="AG671" i="9"/>
  <c r="AM671" i="9" s="1"/>
  <c r="AJ671" i="9"/>
  <c r="AG315" i="9"/>
  <c r="AM315" i="9" s="1"/>
  <c r="AJ315" i="9"/>
  <c r="AG416" i="9"/>
  <c r="AM416" i="9" s="1"/>
  <c r="AJ416" i="9"/>
  <c r="AG851" i="9"/>
  <c r="AM851" i="9" s="1"/>
  <c r="AJ851" i="9"/>
  <c r="AG206" i="9"/>
  <c r="AM206" i="9" s="1"/>
  <c r="AJ206" i="9"/>
  <c r="AF34" i="26"/>
  <c r="AE34" i="26"/>
  <c r="AG34" i="26" s="1"/>
  <c r="AG541" i="9"/>
  <c r="AM541" i="9" s="1"/>
  <c r="AJ541" i="9"/>
  <c r="AJ440" i="9"/>
  <c r="AG440" i="9"/>
  <c r="AM440" i="9" s="1"/>
  <c r="AJ790" i="9"/>
  <c r="AG790" i="9"/>
  <c r="AM790" i="9" s="1"/>
  <c r="AJ830" i="9"/>
  <c r="AG830" i="9"/>
  <c r="AM830" i="9" s="1"/>
  <c r="AJ755" i="9"/>
  <c r="AG755" i="9"/>
  <c r="AM755" i="9" s="1"/>
  <c r="AG472" i="9"/>
  <c r="AM472" i="9" s="1"/>
  <c r="AJ472" i="9"/>
  <c r="AG140" i="9"/>
  <c r="AM140" i="9" s="1"/>
  <c r="AJ140" i="9"/>
  <c r="AJ713" i="9"/>
  <c r="AG713" i="9"/>
  <c r="AM713" i="9" s="1"/>
  <c r="AJ584" i="9"/>
  <c r="AG584" i="9"/>
  <c r="AM584" i="9" s="1"/>
  <c r="AJ354" i="9"/>
  <c r="AG354" i="9"/>
  <c r="AM354" i="9" s="1"/>
  <c r="AG226" i="9"/>
  <c r="AM226" i="9" s="1"/>
  <c r="AJ226" i="9"/>
  <c r="AJ462" i="9"/>
  <c r="AG462" i="9"/>
  <c r="AM462" i="9" s="1"/>
  <c r="AG754" i="9"/>
  <c r="AM754" i="9" s="1"/>
  <c r="AJ754" i="9"/>
  <c r="AG616" i="9"/>
  <c r="AM616" i="9" s="1"/>
  <c r="AJ616" i="9"/>
  <c r="AG812" i="9"/>
  <c r="AM812" i="9" s="1"/>
  <c r="AJ812" i="9"/>
  <c r="AG657" i="9"/>
  <c r="AM657" i="9" s="1"/>
  <c r="AJ657" i="9"/>
  <c r="AJ479" i="9"/>
  <c r="AG479" i="9"/>
  <c r="AM479" i="9" s="1"/>
  <c r="AG373" i="9"/>
  <c r="AM373" i="9" s="1"/>
  <c r="AJ373" i="9"/>
  <c r="AJ196" i="9"/>
  <c r="AG196" i="9"/>
  <c r="AM196" i="9" s="1"/>
  <c r="AJ219" i="9"/>
  <c r="AG219" i="9"/>
  <c r="AM219" i="9" s="1"/>
  <c r="AE12" i="26"/>
  <c r="AG12" i="26" s="1"/>
  <c r="AF12" i="26"/>
  <c r="AG9" i="9"/>
  <c r="AM9" i="9" s="1"/>
  <c r="AJ9" i="9"/>
  <c r="AJ438" i="9"/>
  <c r="AG438" i="9"/>
  <c r="AM438" i="9" s="1"/>
  <c r="AJ810" i="9"/>
  <c r="AG810" i="9"/>
  <c r="AM810" i="9" s="1"/>
  <c r="AJ26" i="9"/>
  <c r="AG26" i="9"/>
  <c r="AM26" i="9" s="1"/>
  <c r="AG860" i="9"/>
  <c r="AM860" i="9" s="1"/>
  <c r="AJ860" i="9"/>
  <c r="AG802" i="9"/>
  <c r="AM802" i="9" s="1"/>
  <c r="AJ802" i="9"/>
  <c r="AJ823" i="9"/>
  <c r="AG823" i="9"/>
  <c r="AM823" i="9" s="1"/>
  <c r="AJ743" i="9"/>
  <c r="AG743" i="9"/>
  <c r="AM743" i="9" s="1"/>
  <c r="AG613" i="9"/>
  <c r="AM613" i="9" s="1"/>
  <c r="AJ613" i="9"/>
  <c r="AG593" i="9"/>
  <c r="AM593" i="9" s="1"/>
  <c r="AJ593" i="9"/>
  <c r="AG487" i="9"/>
  <c r="AM487" i="9" s="1"/>
  <c r="AJ487" i="9"/>
  <c r="AJ126" i="9"/>
  <c r="AG126" i="9"/>
  <c r="AM126" i="9" s="1"/>
  <c r="AG513" i="9"/>
  <c r="AM513" i="9" s="1"/>
  <c r="AJ513" i="9"/>
  <c r="AG469" i="9"/>
  <c r="AM469" i="9" s="1"/>
  <c r="AJ469" i="9"/>
  <c r="AJ614" i="9"/>
  <c r="AG614" i="9"/>
  <c r="AM614" i="9" s="1"/>
  <c r="AJ839" i="9"/>
  <c r="AG839" i="9"/>
  <c r="AM839" i="9" s="1"/>
  <c r="AG740" i="9"/>
  <c r="AM740" i="9" s="1"/>
  <c r="AJ740" i="9"/>
  <c r="AG490" i="9"/>
  <c r="AM490" i="9" s="1"/>
  <c r="AJ490" i="9"/>
  <c r="AJ23" i="9"/>
  <c r="AG23" i="9"/>
  <c r="AM23" i="9" s="1"/>
  <c r="AJ360" i="9"/>
  <c r="AG360" i="9"/>
  <c r="AM360" i="9" s="1"/>
  <c r="AG174" i="9"/>
  <c r="AM174" i="9" s="1"/>
  <c r="AJ174" i="9"/>
  <c r="AG668" i="9"/>
  <c r="AM668" i="9" s="1"/>
  <c r="AJ668" i="9"/>
  <c r="AG766" i="9"/>
  <c r="AM766" i="9" s="1"/>
  <c r="AJ766" i="9"/>
  <c r="AJ612" i="9"/>
  <c r="AG612" i="9"/>
  <c r="AM612" i="9" s="1"/>
  <c r="AG352" i="9"/>
  <c r="AM352" i="9" s="1"/>
  <c r="AJ352" i="9"/>
  <c r="AG297" i="9"/>
  <c r="AM297" i="9" s="1"/>
  <c r="AJ297" i="9"/>
  <c r="AG186" i="9"/>
  <c r="AM186" i="9" s="1"/>
  <c r="AJ186" i="9"/>
  <c r="AJ207" i="9"/>
  <c r="AG207" i="9"/>
  <c r="AM207" i="9" s="1"/>
  <c r="AJ183" i="9"/>
  <c r="AG183" i="9"/>
  <c r="AM183" i="9" s="1"/>
  <c r="AJ697" i="9"/>
  <c r="AG697" i="9"/>
  <c r="AM697" i="9" s="1"/>
  <c r="AJ602" i="9"/>
  <c r="AG602" i="9"/>
  <c r="AM602" i="9" s="1"/>
  <c r="AJ720" i="9"/>
  <c r="AG720" i="9"/>
  <c r="AM720" i="9" s="1"/>
  <c r="AG587" i="9"/>
  <c r="AM587" i="9" s="1"/>
  <c r="AJ587" i="9"/>
  <c r="AG339" i="9"/>
  <c r="AM339" i="9" s="1"/>
  <c r="AJ339" i="9"/>
  <c r="AJ576" i="9"/>
  <c r="AG576" i="9"/>
  <c r="AM576" i="9" s="1"/>
  <c r="AF11" i="26"/>
  <c r="AE11" i="26"/>
  <c r="AG11" i="26" s="1"/>
  <c r="AJ163" i="9"/>
  <c r="AG163" i="9"/>
  <c r="AM163" i="9" s="1"/>
  <c r="AG296" i="9"/>
  <c r="AM296" i="9" s="1"/>
  <c r="AJ296" i="9"/>
  <c r="AG845" i="9"/>
  <c r="AM845" i="9" s="1"/>
  <c r="AJ845" i="9"/>
  <c r="AJ772" i="9"/>
  <c r="AG772" i="9"/>
  <c r="AM772" i="9" s="1"/>
  <c r="AG317" i="9"/>
  <c r="AM317" i="9" s="1"/>
  <c r="AJ317" i="9"/>
  <c r="AG224" i="9"/>
  <c r="AM224" i="9" s="1"/>
  <c r="AJ224" i="9"/>
  <c r="AJ46" i="9"/>
  <c r="AG46" i="9"/>
  <c r="AM46" i="9" s="1"/>
  <c r="AG639" i="9"/>
  <c r="AM639" i="9" s="1"/>
  <c r="AJ639" i="9"/>
  <c r="AG464" i="9"/>
  <c r="AM464" i="9" s="1"/>
  <c r="AJ464" i="9"/>
  <c r="AG29" i="9"/>
  <c r="AM29" i="9" s="1"/>
  <c r="AJ29" i="9"/>
  <c r="AJ680" i="9"/>
  <c r="AG680" i="9"/>
  <c r="AM680" i="9" s="1"/>
  <c r="AG804" i="9"/>
  <c r="AM804" i="9" s="1"/>
  <c r="AJ804" i="9"/>
  <c r="AG825" i="9"/>
  <c r="AM825" i="9" s="1"/>
  <c r="AJ825" i="9"/>
  <c r="AJ151" i="9"/>
  <c r="AG151" i="9"/>
  <c r="AM151" i="9" s="1"/>
  <c r="AG712" i="9"/>
  <c r="AM712" i="9" s="1"/>
  <c r="AJ712" i="9"/>
  <c r="AG423" i="9"/>
  <c r="AM423" i="9" s="1"/>
  <c r="AJ423" i="9"/>
  <c r="AG298" i="9"/>
  <c r="AM298" i="9" s="1"/>
  <c r="AJ298" i="9"/>
  <c r="AG376" i="9"/>
  <c r="AM376" i="9" s="1"/>
  <c r="AJ376" i="9"/>
  <c r="AF17" i="26"/>
  <c r="AE17" i="26"/>
  <c r="AG17" i="26" s="1"/>
  <c r="AG816" i="9"/>
  <c r="AM816" i="9" s="1"/>
  <c r="AJ816" i="9"/>
  <c r="AG168" i="9"/>
  <c r="AM168" i="9" s="1"/>
  <c r="AJ168" i="9"/>
  <c r="AG157" i="9"/>
  <c r="AM157" i="9" s="1"/>
  <c r="AJ157" i="9"/>
  <c r="AG770" i="9"/>
  <c r="AM770" i="9" s="1"/>
  <c r="AJ770" i="9"/>
  <c r="AJ288" i="9"/>
  <c r="AG288" i="9"/>
  <c r="AM288" i="9" s="1"/>
  <c r="AG824" i="9"/>
  <c r="AM824" i="9" s="1"/>
  <c r="AJ824" i="9"/>
  <c r="AJ307" i="9"/>
  <c r="AG307" i="9"/>
  <c r="AM307" i="9" s="1"/>
  <c r="AG803" i="9"/>
  <c r="AM803" i="9" s="1"/>
  <c r="AJ803" i="9"/>
  <c r="AG597" i="9"/>
  <c r="AM597" i="9" s="1"/>
  <c r="AJ597" i="9"/>
  <c r="AG137" i="9"/>
  <c r="AM137" i="9" s="1"/>
  <c r="AJ137" i="9"/>
  <c r="AF7" i="26"/>
  <c r="AE7" i="26"/>
  <c r="AG7" i="26" s="1"/>
  <c r="AJ256" i="9"/>
  <c r="AG256" i="9"/>
  <c r="AM256" i="9" s="1"/>
  <c r="AJ421" i="9"/>
  <c r="AG421" i="9"/>
  <c r="AM421" i="9" s="1"/>
  <c r="AJ222" i="9"/>
  <c r="AG222" i="9"/>
  <c r="AM222" i="9" s="1"/>
  <c r="AG652" i="9"/>
  <c r="AM652" i="9" s="1"/>
  <c r="AJ652" i="9"/>
  <c r="AG358" i="9"/>
  <c r="AM358" i="9" s="1"/>
  <c r="AJ358" i="9"/>
  <c r="AG326" i="9"/>
  <c r="AM326" i="9" s="1"/>
  <c r="AJ326" i="9"/>
  <c r="AJ767" i="9"/>
  <c r="AG767" i="9"/>
  <c r="AM767" i="9" s="1"/>
  <c r="AJ573" i="9"/>
  <c r="AG573" i="9"/>
  <c r="AM573" i="9" s="1"/>
  <c r="AJ471" i="9"/>
  <c r="AG471" i="9"/>
  <c r="AM471" i="9" s="1"/>
  <c r="AJ519" i="9"/>
  <c r="AG519" i="9"/>
  <c r="AM519" i="9" s="1"/>
  <c r="AG331" i="9"/>
  <c r="AM331" i="9" s="1"/>
  <c r="AJ331" i="9"/>
  <c r="AG128" i="9"/>
  <c r="AM128" i="9" s="1"/>
  <c r="AJ128" i="9"/>
  <c r="AJ624" i="9"/>
  <c r="AG624" i="9"/>
  <c r="AM624" i="9" s="1"/>
  <c r="AG240" i="9"/>
  <c r="AM240" i="9" s="1"/>
  <c r="AJ240" i="9"/>
  <c r="AG432" i="9"/>
  <c r="AM432" i="9" s="1"/>
  <c r="AJ432" i="9"/>
  <c r="AG318" i="9"/>
  <c r="AM318" i="9" s="1"/>
  <c r="AJ318" i="9"/>
  <c r="AG564" i="9"/>
  <c r="AM564" i="9" s="1"/>
  <c r="AJ564" i="9"/>
  <c r="AG709" i="9"/>
  <c r="AM709" i="9" s="1"/>
  <c r="AJ709" i="9"/>
  <c r="AG645" i="9"/>
  <c r="AM645" i="9" s="1"/>
  <c r="AJ645" i="9"/>
  <c r="AJ792" i="9"/>
  <c r="AG792" i="9"/>
  <c r="AM792" i="9" s="1"/>
  <c r="AG727" i="9"/>
  <c r="AM727" i="9" s="1"/>
  <c r="AJ727" i="9"/>
  <c r="AG603" i="9"/>
  <c r="AM603" i="9" s="1"/>
  <c r="AJ603" i="9"/>
  <c r="AG436" i="9"/>
  <c r="AM436" i="9" s="1"/>
  <c r="AJ436" i="9"/>
  <c r="AE33" i="26"/>
  <c r="AG33" i="26" s="1"/>
  <c r="AF33" i="26"/>
  <c r="AJ171" i="9"/>
  <c r="AG171" i="9"/>
  <c r="AM171" i="9" s="1"/>
  <c r="AG247" i="9"/>
  <c r="AM247" i="9" s="1"/>
  <c r="AJ247" i="9"/>
  <c r="AG456" i="9"/>
  <c r="AM456" i="9" s="1"/>
  <c r="AJ456" i="9"/>
  <c r="AG475" i="9"/>
  <c r="AM475" i="9" s="1"/>
  <c r="AJ475" i="9"/>
  <c r="AG731" i="9"/>
  <c r="AM731" i="9" s="1"/>
  <c r="AJ731" i="9"/>
  <c r="AG693" i="9"/>
  <c r="AM693" i="9" s="1"/>
  <c r="AJ693" i="9"/>
  <c r="AJ493" i="9"/>
  <c r="AG493" i="9"/>
  <c r="AM493" i="9" s="1"/>
  <c r="AG328" i="9"/>
  <c r="AM328" i="9" s="1"/>
  <c r="AJ328" i="9"/>
  <c r="AG398" i="9"/>
  <c r="AM398" i="9" s="1"/>
  <c r="AJ398" i="9"/>
  <c r="AG491" i="9"/>
  <c r="AM491" i="9" s="1"/>
  <c r="AJ491" i="9"/>
  <c r="AJ761" i="9"/>
  <c r="AG761" i="9"/>
  <c r="AM761" i="9" s="1"/>
  <c r="AG843" i="9"/>
  <c r="AM843" i="9" s="1"/>
  <c r="AJ843" i="9"/>
  <c r="AG716" i="9"/>
  <c r="AM716" i="9" s="1"/>
  <c r="AJ716" i="9"/>
  <c r="AG349" i="9"/>
  <c r="AM349" i="9" s="1"/>
  <c r="AJ349" i="9"/>
  <c r="AJ229" i="9"/>
  <c r="AG229" i="9"/>
  <c r="AM229" i="9" s="1"/>
  <c r="AG311" i="9"/>
  <c r="AM311" i="9" s="1"/>
  <c r="AJ311" i="9"/>
  <c r="AG461" i="9"/>
  <c r="AM461" i="9" s="1"/>
  <c r="AJ461" i="9"/>
  <c r="AG254" i="9"/>
  <c r="AM254" i="9" s="1"/>
  <c r="AJ254" i="9"/>
  <c r="AJ753" i="9"/>
  <c r="AG753" i="9"/>
  <c r="AM753" i="9" s="1"/>
  <c r="AG854" i="9"/>
  <c r="AM854" i="9" s="1"/>
  <c r="AJ854" i="9"/>
  <c r="AG595" i="9"/>
  <c r="AM595" i="9" s="1"/>
  <c r="AJ595" i="9"/>
  <c r="AJ557" i="9"/>
  <c r="AG557" i="9"/>
  <c r="AM557" i="9" s="1"/>
  <c r="AG180" i="9"/>
  <c r="AM180" i="9" s="1"/>
  <c r="AJ180" i="9"/>
  <c r="AJ600" i="9"/>
  <c r="AG600" i="9"/>
  <c r="AM600" i="9" s="1"/>
  <c r="AG259" i="9"/>
  <c r="AM259" i="9" s="1"/>
  <c r="AJ259" i="9"/>
  <c r="AJ366" i="9"/>
  <c r="AG366" i="9"/>
  <c r="AM366" i="9" s="1"/>
  <c r="AG49" i="9"/>
  <c r="AM49" i="9" s="1"/>
  <c r="AJ49" i="9"/>
  <c r="AG280" i="9"/>
  <c r="AM280" i="9" s="1"/>
  <c r="AJ280" i="9"/>
  <c r="AG625" i="9"/>
  <c r="AM625" i="9" s="1"/>
  <c r="AJ625" i="9"/>
  <c r="AJ212" i="9"/>
  <c r="AG212" i="9"/>
  <c r="AM212" i="9" s="1"/>
  <c r="K316" i="20"/>
  <c r="K45" i="20"/>
  <c r="K45" i="11"/>
  <c r="K45" i="14"/>
  <c r="AS381" i="9" l="1"/>
  <c r="AS510" i="9"/>
  <c r="AS152" i="9"/>
  <c r="AS272" i="9"/>
  <c r="AS179" i="9"/>
  <c r="AS827" i="9"/>
  <c r="AS495" i="9"/>
  <c r="AS833" i="9"/>
  <c r="AS433" i="9"/>
  <c r="AS203" i="9"/>
  <c r="AS664" i="9"/>
  <c r="AS682" i="9"/>
  <c r="AS459" i="9"/>
  <c r="AS653" i="9"/>
  <c r="AS570" i="9"/>
  <c r="AS809" i="9"/>
  <c r="AS800" i="9"/>
  <c r="AS477" i="9"/>
  <c r="AS19" i="9"/>
  <c r="AS594" i="9"/>
  <c r="AS187" i="9"/>
  <c r="AT475" i="9"/>
  <c r="AR475" i="9"/>
  <c r="AT29" i="9"/>
  <c r="AR29" i="9"/>
  <c r="AT206" i="9"/>
  <c r="AR206" i="9"/>
  <c r="AT456" i="9"/>
  <c r="AR456" i="9"/>
  <c r="AR331" i="9"/>
  <c r="AT331" i="9"/>
  <c r="AT298" i="9"/>
  <c r="AR298" i="9"/>
  <c r="AT352" i="9"/>
  <c r="AR352" i="9"/>
  <c r="AT254" i="9"/>
  <c r="AR254" i="9"/>
  <c r="AT491" i="9"/>
  <c r="AR491" i="9"/>
  <c r="AR247" i="9"/>
  <c r="AT247" i="9"/>
  <c r="AT709" i="9"/>
  <c r="AR709" i="9"/>
  <c r="AT326" i="9"/>
  <c r="AR326" i="9"/>
  <c r="AT597" i="9"/>
  <c r="AR597" i="9"/>
  <c r="AT816" i="9"/>
  <c r="AR816" i="9"/>
  <c r="AT423" i="9"/>
  <c r="AR423" i="9"/>
  <c r="AT639" i="9"/>
  <c r="AR639" i="9"/>
  <c r="AT416" i="9"/>
  <c r="AR416" i="9"/>
  <c r="AT355" i="9"/>
  <c r="AR355" i="9"/>
  <c r="AR14" i="9"/>
  <c r="AT14" i="9"/>
  <c r="AT849" i="9"/>
  <c r="AR849" i="9"/>
  <c r="AR722" i="9"/>
  <c r="AT722" i="9"/>
  <c r="AR634" i="9"/>
  <c r="AT634" i="9"/>
  <c r="AT227" i="9"/>
  <c r="AR227" i="9"/>
  <c r="AR400" i="9"/>
  <c r="AT400" i="9"/>
  <c r="AT558" i="9"/>
  <c r="AR558" i="9"/>
  <c r="AT408" i="9"/>
  <c r="AR408" i="9"/>
  <c r="AR644" i="9"/>
  <c r="AT644" i="9"/>
  <c r="AT844" i="9"/>
  <c r="AR844" i="9"/>
  <c r="AR290" i="9"/>
  <c r="AT290" i="9"/>
  <c r="AR480" i="9"/>
  <c r="AT480" i="9"/>
  <c r="AT508" i="9"/>
  <c r="AR508" i="9"/>
  <c r="AR420" i="9"/>
  <c r="AT420" i="9"/>
  <c r="AR451" i="9"/>
  <c r="AT451" i="9"/>
  <c r="AT748" i="9"/>
  <c r="AR748" i="9"/>
  <c r="AR773" i="9"/>
  <c r="AT773" i="9"/>
  <c r="AR237" i="9"/>
  <c r="AT237" i="9"/>
  <c r="AT193" i="9"/>
  <c r="AR193" i="9"/>
  <c r="AR532" i="9"/>
  <c r="AT532" i="9"/>
  <c r="AT476" i="9"/>
  <c r="AR476" i="9"/>
  <c r="AR725" i="9"/>
  <c r="AT725" i="9"/>
  <c r="AT418" i="9"/>
  <c r="AR418" i="9"/>
  <c r="AT325" i="9"/>
  <c r="AR325" i="9"/>
  <c r="AT628" i="9"/>
  <c r="AR628" i="9"/>
  <c r="AR63" i="9"/>
  <c r="AT63" i="9"/>
  <c r="AT533" i="9"/>
  <c r="AR533" i="9"/>
  <c r="AR650" i="9"/>
  <c r="AT650" i="9"/>
  <c r="AT717" i="9"/>
  <c r="AR717" i="9"/>
  <c r="AR561" i="9"/>
  <c r="AT561" i="9"/>
  <c r="AR214" i="9"/>
  <c r="AT214" i="9"/>
  <c r="AR670" i="9"/>
  <c r="AT670" i="9"/>
  <c r="AT636" i="9"/>
  <c r="AR636" i="9"/>
  <c r="AT57" i="9"/>
  <c r="AR57" i="9"/>
  <c r="AT821" i="9"/>
  <c r="AR821" i="9"/>
  <c r="AT6" i="9"/>
  <c r="AR6" i="9"/>
  <c r="AT752" i="9"/>
  <c r="AR752" i="9"/>
  <c r="AT619" i="9"/>
  <c r="AR619" i="9"/>
  <c r="AR581" i="9"/>
  <c r="AT581" i="9"/>
  <c r="AR832" i="9"/>
  <c r="AT832" i="9"/>
  <c r="AT457" i="9"/>
  <c r="AR457" i="9"/>
  <c r="AT699" i="9"/>
  <c r="AR699" i="9"/>
  <c r="AT273" i="9"/>
  <c r="AR273" i="9"/>
  <c r="AT397" i="9"/>
  <c r="AR397" i="9"/>
  <c r="AR235" i="9"/>
  <c r="AT235" i="9"/>
  <c r="AT58" i="9"/>
  <c r="AR58" i="9"/>
  <c r="AT524" i="9"/>
  <c r="AR524" i="9"/>
  <c r="AT125" i="9"/>
  <c r="AR125" i="9"/>
  <c r="AT458" i="9"/>
  <c r="AR458" i="9"/>
  <c r="AT811" i="9"/>
  <c r="AR811" i="9"/>
  <c r="AT828" i="9"/>
  <c r="AR828" i="9"/>
  <c r="AT429" i="9"/>
  <c r="AR429" i="9"/>
  <c r="AR618" i="9"/>
  <c r="AT618" i="9"/>
  <c r="AT182" i="9"/>
  <c r="AR182" i="9"/>
  <c r="AR123" i="9"/>
  <c r="AT123" i="9"/>
  <c r="AT314" i="9"/>
  <c r="AR314" i="9"/>
  <c r="AT344" i="9"/>
  <c r="AR344" i="9"/>
  <c r="AT248" i="9"/>
  <c r="AR248" i="9"/>
  <c r="AT347" i="9"/>
  <c r="AR347" i="9"/>
  <c r="AT500" i="9"/>
  <c r="AR500" i="9"/>
  <c r="AT312" i="9"/>
  <c r="AR312" i="9"/>
  <c r="AT514" i="9"/>
  <c r="AR514" i="9"/>
  <c r="AT707" i="9"/>
  <c r="AR707" i="9"/>
  <c r="AR369" i="9"/>
  <c r="AT369" i="9"/>
  <c r="AT654" i="9"/>
  <c r="AR654" i="9"/>
  <c r="AT467" i="9"/>
  <c r="AR467" i="9"/>
  <c r="AT321" i="9"/>
  <c r="AR321" i="9"/>
  <c r="AR669" i="9"/>
  <c r="AT669" i="9"/>
  <c r="AT145" i="9"/>
  <c r="AR145" i="9"/>
  <c r="AT121" i="9"/>
  <c r="AR121" i="9"/>
  <c r="AR698" i="9"/>
  <c r="AT698" i="9"/>
  <c r="AT150" i="9"/>
  <c r="AR150" i="9"/>
  <c r="AT343" i="9"/>
  <c r="AR343" i="9"/>
  <c r="AT857" i="9"/>
  <c r="AR857" i="9"/>
  <c r="AT407" i="9"/>
  <c r="AR407" i="9"/>
  <c r="AR337" i="9"/>
  <c r="AT337" i="9"/>
  <c r="AS559" i="9"/>
  <c r="AS854" i="9"/>
  <c r="AS458" i="9"/>
  <c r="AS839" i="9"/>
  <c r="AS743" i="9"/>
  <c r="AS418" i="9"/>
  <c r="AS572" i="9"/>
  <c r="AS402" i="9"/>
  <c r="AS399" i="9"/>
  <c r="AS423" i="9"/>
  <c r="AS464" i="9"/>
  <c r="AS798" i="9"/>
  <c r="AS350" i="9"/>
  <c r="AS513" i="9"/>
  <c r="AS581" i="9"/>
  <c r="AS341" i="9"/>
  <c r="AS862" i="9"/>
  <c r="AS424" i="9"/>
  <c r="AS319" i="9"/>
  <c r="AS233" i="9"/>
  <c r="AS216" i="9"/>
  <c r="AS43" i="9"/>
  <c r="AS30" i="9"/>
  <c r="AS751" i="9"/>
  <c r="AS411" i="9"/>
  <c r="AS618" i="9"/>
  <c r="AS198" i="9"/>
  <c r="AS225" i="9"/>
  <c r="AS29" i="9"/>
  <c r="AS835" i="9"/>
  <c r="AS282" i="9"/>
  <c r="AS405" i="9"/>
  <c r="AS304" i="9"/>
  <c r="AS238" i="9"/>
  <c r="AS726" i="9"/>
  <c r="AS318" i="9"/>
  <c r="AS288" i="9"/>
  <c r="AS465" i="9"/>
  <c r="AS650" i="9"/>
  <c r="AS243" i="9"/>
  <c r="AS396" i="9"/>
  <c r="AS654" i="9"/>
  <c r="AS440" i="9"/>
  <c r="AS214" i="9"/>
  <c r="AS814" i="9"/>
  <c r="AS209" i="9"/>
  <c r="AS666" i="9"/>
  <c r="AS609" i="9"/>
  <c r="AS34" i="9"/>
  <c r="AS598" i="9"/>
  <c r="AS652" i="9"/>
  <c r="AS352" i="9"/>
  <c r="AS169" i="9"/>
  <c r="AS797" i="9"/>
  <c r="AS500" i="9"/>
  <c r="AS297" i="9"/>
  <c r="AS357" i="9"/>
  <c r="AS521" i="9"/>
  <c r="AS377" i="9"/>
  <c r="AS157" i="9"/>
  <c r="AS18" i="9"/>
  <c r="AS561" i="9"/>
  <c r="AS400" i="9"/>
  <c r="AS603" i="9"/>
  <c r="AS804" i="9"/>
  <c r="AS812" i="9"/>
  <c r="AS701" i="9"/>
  <c r="AS31" i="9"/>
  <c r="AS382" i="9"/>
  <c r="AS332" i="9"/>
  <c r="AS668" i="9"/>
  <c r="AS681" i="9"/>
  <c r="AS263" i="9"/>
  <c r="AS553" i="9"/>
  <c r="AS496" i="9"/>
  <c r="AS712" i="9"/>
  <c r="AS392" i="9"/>
  <c r="AS504" i="9"/>
  <c r="AS151" i="9"/>
  <c r="AS246" i="9"/>
  <c r="AS10" i="9"/>
  <c r="AS533" i="9"/>
  <c r="AS527" i="9"/>
  <c r="AS529" i="9"/>
  <c r="AS312" i="9"/>
  <c r="AS536" i="9"/>
  <c r="AS301" i="9"/>
  <c r="AS673" i="9"/>
  <c r="AS675" i="9"/>
  <c r="AS752" i="9"/>
  <c r="AS277" i="9"/>
  <c r="AS462" i="9"/>
  <c r="AS832" i="9"/>
  <c r="AS816" i="9"/>
  <c r="AS473" i="9"/>
  <c r="AS483" i="9"/>
  <c r="AS429" i="9"/>
  <c r="AS692" i="9"/>
  <c r="AS735" i="9"/>
  <c r="AS625" i="9"/>
  <c r="AS247" i="9"/>
  <c r="AS831" i="9"/>
  <c r="AS165" i="9"/>
  <c r="AS634" i="9"/>
  <c r="AS764" i="9"/>
  <c r="AS470" i="9"/>
  <c r="AS446" i="9"/>
  <c r="AS579" i="9"/>
  <c r="AS556" i="9"/>
  <c r="AS528" i="9"/>
  <c r="AS511" i="9"/>
  <c r="AS824" i="9"/>
  <c r="AS456" i="9"/>
  <c r="AS680" i="9"/>
  <c r="AS211" i="9"/>
  <c r="AS213" i="9"/>
  <c r="AS519" i="9"/>
  <c r="AS250" i="9"/>
  <c r="AS134" i="9"/>
  <c r="AS550" i="9"/>
  <c r="AS58" i="9"/>
  <c r="AS223" i="9"/>
  <c r="AS22" i="9"/>
  <c r="AS42" i="9"/>
  <c r="AS807" i="9"/>
  <c r="AS580" i="9"/>
  <c r="AS460" i="9"/>
  <c r="AS144" i="9"/>
  <c r="AS520" i="9"/>
  <c r="AS799" i="9"/>
  <c r="AS190" i="9"/>
  <c r="AS772" i="9"/>
  <c r="AS449" i="9"/>
  <c r="AS391" i="9"/>
  <c r="AS343" i="9"/>
  <c r="AS591" i="9"/>
  <c r="AS479" i="9"/>
  <c r="AS406" i="9"/>
  <c r="AS199" i="9"/>
  <c r="AS123" i="9"/>
  <c r="AS267" i="9"/>
  <c r="AS710" i="9"/>
  <c r="AS499" i="9"/>
  <c r="AS564" i="9"/>
  <c r="AS369" i="9"/>
  <c r="AT843" i="9"/>
  <c r="AR843" i="9"/>
  <c r="AR652" i="9"/>
  <c r="AT652" i="9"/>
  <c r="AT668" i="9"/>
  <c r="AR668" i="9"/>
  <c r="AR226" i="9"/>
  <c r="AT226" i="9"/>
  <c r="AT180" i="9"/>
  <c r="AR180" i="9"/>
  <c r="AT432" i="9"/>
  <c r="AR432" i="9"/>
  <c r="AT168" i="9"/>
  <c r="AR168" i="9"/>
  <c r="AT317" i="9"/>
  <c r="AR317" i="9"/>
  <c r="AR349" i="9"/>
  <c r="AT349" i="9"/>
  <c r="AT693" i="9"/>
  <c r="AR693" i="9"/>
  <c r="AR603" i="9"/>
  <c r="AT603" i="9"/>
  <c r="AT240" i="9"/>
  <c r="AR240" i="9"/>
  <c r="AT804" i="9"/>
  <c r="AR804" i="9"/>
  <c r="AT754" i="9"/>
  <c r="AR754" i="9"/>
  <c r="AR541" i="9"/>
  <c r="AT541" i="9"/>
  <c r="AR742" i="9"/>
  <c r="AT742" i="9"/>
  <c r="AR172" i="9"/>
  <c r="AT172" i="9"/>
  <c r="AT726" i="9"/>
  <c r="AR726" i="9"/>
  <c r="AT340" i="9"/>
  <c r="AR340" i="9"/>
  <c r="AR787" i="9"/>
  <c r="AT787" i="9"/>
  <c r="AT161" i="9"/>
  <c r="AR161" i="9"/>
  <c r="AR501" i="9"/>
  <c r="AT501" i="9"/>
  <c r="AT530" i="9"/>
  <c r="AR530" i="9"/>
  <c r="AT486" i="9"/>
  <c r="AR486" i="9"/>
  <c r="AT233" i="9"/>
  <c r="AR233" i="9"/>
  <c r="AR548" i="9"/>
  <c r="AT548" i="9"/>
  <c r="AT630" i="9"/>
  <c r="AR630" i="9"/>
  <c r="AT518" i="9"/>
  <c r="AR518" i="9"/>
  <c r="AT637" i="9"/>
  <c r="AR637" i="9"/>
  <c r="AR171" i="9"/>
  <c r="AT171" i="9"/>
  <c r="AR624" i="9"/>
  <c r="AT624" i="9"/>
  <c r="AR471" i="9"/>
  <c r="AT471" i="9"/>
  <c r="AT256" i="9"/>
  <c r="AR256" i="9"/>
  <c r="AT680" i="9"/>
  <c r="AR680" i="9"/>
  <c r="AT46" i="9"/>
  <c r="AR46" i="9"/>
  <c r="AT576" i="9"/>
  <c r="AR576" i="9"/>
  <c r="AR602" i="9"/>
  <c r="AT602" i="9"/>
  <c r="AR23" i="9"/>
  <c r="AT23" i="9"/>
  <c r="AT614" i="9"/>
  <c r="AR614" i="9"/>
  <c r="AT823" i="9"/>
  <c r="AR823" i="9"/>
  <c r="AT810" i="9"/>
  <c r="AR810" i="9"/>
  <c r="AT219" i="9"/>
  <c r="AR219" i="9"/>
  <c r="AT462" i="9"/>
  <c r="AR462" i="9"/>
  <c r="AT713" i="9"/>
  <c r="AR713" i="9"/>
  <c r="AT830" i="9"/>
  <c r="AR830" i="9"/>
  <c r="AT745" i="9"/>
  <c r="AR745" i="9"/>
  <c r="AT412" i="9"/>
  <c r="AR412" i="9"/>
  <c r="AR835" i="9"/>
  <c r="AT835" i="9"/>
  <c r="AR673" i="9"/>
  <c r="AT673" i="9"/>
  <c r="AR155" i="9"/>
  <c r="AT155" i="9"/>
  <c r="AT291" i="9"/>
  <c r="AR291" i="9"/>
  <c r="AR729" i="9"/>
  <c r="AT729" i="9"/>
  <c r="AT225" i="9"/>
  <c r="AR225" i="9"/>
  <c r="AT666" i="9"/>
  <c r="AR666" i="9"/>
  <c r="AT404" i="9"/>
  <c r="AR404" i="9"/>
  <c r="AT511" i="9"/>
  <c r="AR511" i="9"/>
  <c r="AR799" i="9"/>
  <c r="AT799" i="9"/>
  <c r="AR509" i="9"/>
  <c r="AT509" i="9"/>
  <c r="AT30" i="9"/>
  <c r="AR30" i="9"/>
  <c r="AR350" i="9"/>
  <c r="AT350" i="9"/>
  <c r="AR342" i="9"/>
  <c r="AT342" i="9"/>
  <c r="AT177" i="9"/>
  <c r="AR177" i="9"/>
  <c r="AT448" i="9"/>
  <c r="AR448" i="9"/>
  <c r="AT705" i="9"/>
  <c r="AR705" i="9"/>
  <c r="AT834" i="9"/>
  <c r="AR834" i="9"/>
  <c r="AT228" i="9"/>
  <c r="AR228" i="9"/>
  <c r="AT203" i="9"/>
  <c r="AR203" i="9"/>
  <c r="AR517" i="9"/>
  <c r="AT517" i="9"/>
  <c r="AT284" i="9"/>
  <c r="AR284" i="9"/>
  <c r="AT485" i="9"/>
  <c r="AR485" i="9"/>
  <c r="AT252" i="9"/>
  <c r="AR252" i="9"/>
  <c r="AT5" i="9"/>
  <c r="AR5" i="9"/>
  <c r="AT459" i="9"/>
  <c r="AR459" i="9"/>
  <c r="AT528" i="9"/>
  <c r="AR528" i="9"/>
  <c r="AR164" i="9"/>
  <c r="AT164" i="9"/>
  <c r="AT780" i="9"/>
  <c r="AR780" i="9"/>
  <c r="AT850" i="9"/>
  <c r="AR850" i="9"/>
  <c r="AR338" i="9"/>
  <c r="AT338" i="9"/>
  <c r="AR170" i="9"/>
  <c r="AT170" i="9"/>
  <c r="AT253" i="9"/>
  <c r="AR253" i="9"/>
  <c r="AT827" i="9"/>
  <c r="AR827" i="9"/>
  <c r="AT34" i="9"/>
  <c r="AR34" i="9"/>
  <c r="AT11" i="9"/>
  <c r="AR11" i="9"/>
  <c r="AT848" i="9"/>
  <c r="AR848" i="9"/>
  <c r="AT580" i="9"/>
  <c r="AR580" i="9"/>
  <c r="AT292" i="9"/>
  <c r="AR292" i="9"/>
  <c r="AT13" i="9"/>
  <c r="AR13" i="9"/>
  <c r="AT833" i="9"/>
  <c r="AR833" i="9"/>
  <c r="AT246" i="9"/>
  <c r="AR246" i="9"/>
  <c r="AT417" i="9"/>
  <c r="AR417" i="9"/>
  <c r="AT147" i="9"/>
  <c r="AR147" i="9"/>
  <c r="AS818" i="9"/>
  <c r="AS420" i="9"/>
  <c r="AS372" i="9"/>
  <c r="AS124" i="9"/>
  <c r="AS172" i="9"/>
  <c r="AS452" i="9"/>
  <c r="AS786" i="9"/>
  <c r="AS164" i="9"/>
  <c r="AS348" i="9"/>
  <c r="AS308" i="9"/>
  <c r="AS356" i="9"/>
  <c r="AS842" i="9"/>
  <c r="AS364" i="9"/>
  <c r="AS324" i="9"/>
  <c r="AS404" i="9"/>
  <c r="AS722" i="9"/>
  <c r="AS778" i="9"/>
  <c r="AS340" i="9"/>
  <c r="AS821" i="9"/>
  <c r="AR854" i="9"/>
  <c r="AT854" i="9"/>
  <c r="AT625" i="9"/>
  <c r="AR625" i="9"/>
  <c r="AT595" i="9"/>
  <c r="AR595" i="9"/>
  <c r="AR716" i="9"/>
  <c r="AT716" i="9"/>
  <c r="AR398" i="9"/>
  <c r="AT398" i="9"/>
  <c r="AT564" i="9"/>
  <c r="AR564" i="9"/>
  <c r="AT845" i="9"/>
  <c r="AR845" i="9"/>
  <c r="AT186" i="9"/>
  <c r="AR186" i="9"/>
  <c r="AR315" i="9"/>
  <c r="AT315" i="9"/>
  <c r="AR271" i="9"/>
  <c r="AT271" i="9"/>
  <c r="AT704" i="9"/>
  <c r="AR704" i="9"/>
  <c r="AT703" i="9"/>
  <c r="AR703" i="9"/>
  <c r="AT702" i="9"/>
  <c r="AR702" i="9"/>
  <c r="AT674" i="9"/>
  <c r="AR674" i="9"/>
  <c r="AR238" i="9"/>
  <c r="AT238" i="9"/>
  <c r="AT749" i="9"/>
  <c r="AR749" i="9"/>
  <c r="AT132" i="9"/>
  <c r="AR132" i="9"/>
  <c r="AR32" i="9"/>
  <c r="AT32" i="9"/>
  <c r="AT482" i="9"/>
  <c r="AR482" i="9"/>
  <c r="AT154" i="9"/>
  <c r="AR154" i="9"/>
  <c r="AT678" i="9"/>
  <c r="AR678" i="9"/>
  <c r="AT723" i="9"/>
  <c r="AR723" i="9"/>
  <c r="AT283" i="9"/>
  <c r="AR283" i="9"/>
  <c r="AR149" i="9"/>
  <c r="AT149" i="9"/>
  <c r="AT443" i="9"/>
  <c r="AR443" i="9"/>
  <c r="AR794" i="9"/>
  <c r="AT794" i="9"/>
  <c r="AT270" i="9"/>
  <c r="AR270" i="9"/>
  <c r="AR807" i="9"/>
  <c r="AT807" i="9"/>
  <c r="AT540" i="9"/>
  <c r="AR540" i="9"/>
  <c r="AR267" i="9"/>
  <c r="AT267" i="9"/>
  <c r="AT499" i="9"/>
  <c r="AR499" i="9"/>
  <c r="AR275" i="9"/>
  <c r="AT275" i="9"/>
  <c r="AR234" i="9"/>
  <c r="AT234" i="9"/>
  <c r="AT223" i="9"/>
  <c r="AR223" i="9"/>
  <c r="AT216" i="9"/>
  <c r="AR216" i="9"/>
  <c r="AT305" i="9"/>
  <c r="AR305" i="9"/>
  <c r="AR746" i="9"/>
  <c r="AT746" i="9"/>
  <c r="AR139" i="9"/>
  <c r="AT139" i="9"/>
  <c r="AT735" i="9"/>
  <c r="AR735" i="9"/>
  <c r="AR251" i="9"/>
  <c r="AT251" i="9"/>
  <c r="AT449" i="9"/>
  <c r="AR449" i="9"/>
  <c r="AT778" i="9"/>
  <c r="AR778" i="9"/>
  <c r="AT738" i="9"/>
  <c r="AR738" i="9"/>
  <c r="AT289" i="9"/>
  <c r="AR289" i="9"/>
  <c r="AT651" i="9"/>
  <c r="AR651" i="9"/>
  <c r="AR37" i="9"/>
  <c r="AT37" i="9"/>
  <c r="AT675" i="9"/>
  <c r="AR675" i="9"/>
  <c r="AT281" i="9"/>
  <c r="AR281" i="9"/>
  <c r="AT842" i="9"/>
  <c r="AR842" i="9"/>
  <c r="AT306" i="9"/>
  <c r="AR306" i="9"/>
  <c r="AT18" i="9"/>
  <c r="AR18" i="9"/>
  <c r="AT391" i="9"/>
  <c r="AR391" i="9"/>
  <c r="AT836" i="9"/>
  <c r="AR836" i="9"/>
  <c r="AT586" i="9"/>
  <c r="AR586" i="9"/>
  <c r="AT659" i="9"/>
  <c r="AR659" i="9"/>
  <c r="AT643" i="9"/>
  <c r="AR643" i="9"/>
  <c r="AT638" i="9"/>
  <c r="AR638" i="9"/>
  <c r="AT852" i="9"/>
  <c r="AR852" i="9"/>
  <c r="AR598" i="9"/>
  <c r="AT598" i="9"/>
  <c r="AR841" i="9"/>
  <c r="AT841" i="9"/>
  <c r="AT269" i="9"/>
  <c r="AR269" i="9"/>
  <c r="AT169" i="9"/>
  <c r="AR169" i="9"/>
  <c r="AT525" i="9"/>
  <c r="AR525" i="9"/>
  <c r="AR579" i="9"/>
  <c r="AT579" i="9"/>
  <c r="AS49" i="9"/>
  <c r="AS558" i="9"/>
  <c r="AS734" i="9"/>
  <c r="AS805" i="9"/>
  <c r="AS257" i="9"/>
  <c r="AS137" i="9"/>
  <c r="AS515" i="9"/>
  <c r="AS698" i="9"/>
  <c r="AS14" i="9"/>
  <c r="AS512" i="9"/>
  <c r="AS150" i="9"/>
  <c r="AS167" i="9"/>
  <c r="AS7" i="9"/>
  <c r="AS365" i="9"/>
  <c r="AS502" i="9"/>
  <c r="AS716" i="9"/>
  <c r="AS583" i="9"/>
  <c r="AS6" i="9"/>
  <c r="AS846" i="9"/>
  <c r="AS671" i="9"/>
  <c r="AS311" i="9"/>
  <c r="AS782" i="9"/>
  <c r="AS283" i="9"/>
  <c r="AS349" i="9"/>
  <c r="AS309" i="9"/>
  <c r="AS624" i="9"/>
  <c r="AS168" i="9"/>
  <c r="AS651" i="9"/>
  <c r="AS40" i="9"/>
  <c r="AS15" i="9"/>
  <c r="AS210" i="9"/>
  <c r="AS351" i="9"/>
  <c r="AS828" i="9"/>
  <c r="AS376" i="9"/>
  <c r="AS378" i="9"/>
  <c r="AS327" i="9"/>
  <c r="AS741" i="9"/>
  <c r="AS748" i="9"/>
  <c r="AS747" i="9"/>
  <c r="AS711" i="9"/>
  <c r="AS222" i="9"/>
  <c r="AS416" i="9"/>
  <c r="AS408" i="9"/>
  <c r="AS659" i="9"/>
  <c r="AS234" i="9"/>
  <c r="AS253" i="9"/>
  <c r="AS363" i="9"/>
  <c r="AS637" i="9"/>
  <c r="AS612" i="9"/>
  <c r="AS582" i="9"/>
  <c r="AS776" i="9"/>
  <c r="AS395" i="9"/>
  <c r="AS540" i="9"/>
  <c r="AS226" i="9"/>
  <c r="AS796" i="9"/>
  <c r="AS63" i="9"/>
  <c r="AS275" i="9"/>
  <c r="AS486" i="9"/>
  <c r="AS189" i="9"/>
  <c r="AS26" i="9"/>
  <c r="AS12" i="9"/>
  <c r="AS707" i="9"/>
  <c r="AS237" i="9"/>
  <c r="AS126" i="9"/>
  <c r="AS691" i="9"/>
  <c r="AS202" i="9"/>
  <c r="AS37" i="9"/>
  <c r="AS808" i="9"/>
  <c r="AS454" i="9"/>
  <c r="AS606" i="9"/>
  <c r="AS9" i="9"/>
  <c r="AS616" i="9"/>
  <c r="AS507" i="9"/>
  <c r="AS841" i="9"/>
  <c r="AS344" i="9"/>
  <c r="AS736" i="9"/>
  <c r="AS830" i="9"/>
  <c r="AS466" i="9"/>
  <c r="AS843" i="9"/>
  <c r="AS280" i="9"/>
  <c r="AS532" i="9"/>
  <c r="AS607" i="9"/>
  <c r="AS407" i="9"/>
  <c r="AS731" i="9"/>
  <c r="AS806" i="9"/>
  <c r="AS443" i="9"/>
  <c r="AS733" i="9"/>
  <c r="AS33" i="9"/>
  <c r="AS287" i="9"/>
  <c r="AS645" i="9"/>
  <c r="AS359" i="9"/>
  <c r="AS480" i="9"/>
  <c r="AS298" i="9"/>
  <c r="AS525" i="9"/>
  <c r="AS129" i="9"/>
  <c r="AS342" i="9"/>
  <c r="AS859" i="9"/>
  <c r="AS554" i="9"/>
  <c r="AS389" i="9"/>
  <c r="AS501" i="9"/>
  <c r="AS601" i="9"/>
  <c r="AS125" i="9"/>
  <c r="AS307" i="9"/>
  <c r="AS375" i="9"/>
  <c r="AS305" i="9"/>
  <c r="AS530" i="9"/>
  <c r="AS5" i="9"/>
  <c r="AS224" i="9"/>
  <c r="AS689" i="9"/>
  <c r="AS646" i="9"/>
  <c r="AS755" i="9"/>
  <c r="AS422" i="9"/>
  <c r="AS347" i="9"/>
  <c r="AS662" i="9"/>
  <c r="AS256" i="9"/>
  <c r="AS145" i="9"/>
  <c r="AS387" i="9"/>
  <c r="AS642" i="9"/>
  <c r="AS271" i="9"/>
  <c r="AS705" i="9"/>
  <c r="AS557" i="9"/>
  <c r="AS186" i="9"/>
  <c r="AS489" i="9"/>
  <c r="AS171" i="9"/>
  <c r="AS823" i="9"/>
  <c r="AS334" i="9"/>
  <c r="AS767" i="9"/>
  <c r="AS232" i="9"/>
  <c r="AS121" i="9"/>
  <c r="AS745" i="9"/>
  <c r="AS207" i="9"/>
  <c r="AS703" i="9"/>
  <c r="AS417" i="9"/>
  <c r="AS249" i="9"/>
  <c r="AS811" i="9"/>
  <c r="AS522" i="9"/>
  <c r="AS467" i="9"/>
  <c r="AS649" i="9"/>
  <c r="AS390" i="9"/>
  <c r="AS16" i="9"/>
  <c r="AS442" i="9"/>
  <c r="AS432" i="9"/>
  <c r="AS195" i="9"/>
  <c r="AT376" i="9"/>
  <c r="AR376" i="9"/>
  <c r="AR259" i="9"/>
  <c r="AT259" i="9"/>
  <c r="AR461" i="9"/>
  <c r="AT461" i="9"/>
  <c r="AT731" i="9"/>
  <c r="AR731" i="9"/>
  <c r="AR727" i="9"/>
  <c r="AT727" i="9"/>
  <c r="AR358" i="9"/>
  <c r="AT358" i="9"/>
  <c r="AT803" i="9"/>
  <c r="AR803" i="9"/>
  <c r="AT770" i="9"/>
  <c r="AR770" i="9"/>
  <c r="AT712" i="9"/>
  <c r="AR712" i="9"/>
  <c r="AR766" i="9"/>
  <c r="AT766" i="9"/>
  <c r="AR487" i="9"/>
  <c r="AT487" i="9"/>
  <c r="AT657" i="9"/>
  <c r="AR657" i="9"/>
  <c r="AT760" i="9"/>
  <c r="AR760" i="9"/>
  <c r="AR826" i="9"/>
  <c r="AT826" i="9"/>
  <c r="AR40" i="9"/>
  <c r="AT40" i="9"/>
  <c r="AT16" i="9"/>
  <c r="AR16" i="9"/>
  <c r="AT686" i="9"/>
  <c r="AR686" i="9"/>
  <c r="AR783" i="9"/>
  <c r="AT783" i="9"/>
  <c r="AT403" i="9"/>
  <c r="AR403" i="9"/>
  <c r="AR236" i="9"/>
  <c r="AT236" i="9"/>
  <c r="AT818" i="9"/>
  <c r="AR818" i="9"/>
  <c r="AR392" i="9"/>
  <c r="AT392" i="9"/>
  <c r="AT372" i="9"/>
  <c r="AR372" i="9"/>
  <c r="AT696" i="9"/>
  <c r="AR696" i="9"/>
  <c r="AR582" i="9"/>
  <c r="AT582" i="9"/>
  <c r="AT776" i="9"/>
  <c r="AR776" i="9"/>
  <c r="AT846" i="9"/>
  <c r="AR846" i="9"/>
  <c r="AT706" i="9"/>
  <c r="AR706" i="9"/>
  <c r="AT424" i="9"/>
  <c r="AR424" i="9"/>
  <c r="AT515" i="9"/>
  <c r="AR515" i="9"/>
  <c r="AT239" i="9"/>
  <c r="AR239" i="9"/>
  <c r="AT537" i="9"/>
  <c r="AR537" i="9"/>
  <c r="AT632" i="9"/>
  <c r="AR632" i="9"/>
  <c r="AT777" i="9"/>
  <c r="AR777" i="9"/>
  <c r="AR764" i="9"/>
  <c r="AT764" i="9"/>
  <c r="AT294" i="9"/>
  <c r="AR294" i="9"/>
  <c r="AT431" i="9"/>
  <c r="AR431" i="9"/>
  <c r="AR53" i="9"/>
  <c r="AT53" i="9"/>
  <c r="AT829" i="9"/>
  <c r="AR829" i="9"/>
  <c r="AR395" i="9"/>
  <c r="AT395" i="9"/>
  <c r="AR600" i="9"/>
  <c r="AT600" i="9"/>
  <c r="AT792" i="9"/>
  <c r="AR792" i="9"/>
  <c r="AT573" i="9"/>
  <c r="AR573" i="9"/>
  <c r="AT307" i="9"/>
  <c r="AR307" i="9"/>
  <c r="AR151" i="9"/>
  <c r="AT151" i="9"/>
  <c r="AR697" i="9"/>
  <c r="AT697" i="9"/>
  <c r="AT438" i="9"/>
  <c r="AR438" i="9"/>
  <c r="AT196" i="9"/>
  <c r="AR196" i="9"/>
  <c r="AT790" i="9"/>
  <c r="AR790" i="9"/>
  <c r="AT131" i="9"/>
  <c r="AR131" i="9"/>
  <c r="AR134" i="9"/>
  <c r="AT134" i="9"/>
  <c r="AT435" i="9"/>
  <c r="AR435" i="9"/>
  <c r="AT148" i="9"/>
  <c r="AR148" i="9"/>
  <c r="AR327" i="9"/>
  <c r="AT327" i="9"/>
  <c r="AT658" i="9"/>
  <c r="AR658" i="9"/>
  <c r="AT814" i="9"/>
  <c r="AR814" i="9"/>
  <c r="AR665" i="9"/>
  <c r="AT665" i="9"/>
  <c r="AT232" i="9"/>
  <c r="AR232" i="9"/>
  <c r="AR682" i="9"/>
  <c r="AT682" i="9"/>
  <c r="AR300" i="9"/>
  <c r="AT300" i="9"/>
  <c r="AT375" i="9"/>
  <c r="AR375" i="9"/>
  <c r="AR808" i="9"/>
  <c r="AT808" i="9"/>
  <c r="AR470" i="9"/>
  <c r="AT470" i="9"/>
  <c r="AT681" i="9"/>
  <c r="AR681" i="9"/>
  <c r="AT672" i="9"/>
  <c r="AR672" i="9"/>
  <c r="AT478" i="9"/>
  <c r="AR478" i="9"/>
  <c r="AR446" i="9"/>
  <c r="AT446" i="9"/>
  <c r="AT335" i="9"/>
  <c r="AR335" i="9"/>
  <c r="AT15" i="9"/>
  <c r="AR15" i="9"/>
  <c r="AT381" i="9"/>
  <c r="AR381" i="9"/>
  <c r="AT390" i="9"/>
  <c r="AR390" i="9"/>
  <c r="AT477" i="9"/>
  <c r="AR477" i="9"/>
  <c r="AT653" i="9"/>
  <c r="AR653" i="9"/>
  <c r="AR218" i="9"/>
  <c r="AT218" i="9"/>
  <c r="AT211" i="9"/>
  <c r="AR211" i="9"/>
  <c r="AT129" i="9"/>
  <c r="AR129" i="9"/>
  <c r="AT837" i="9"/>
  <c r="AR837" i="9"/>
  <c r="AT160" i="9"/>
  <c r="AR160" i="9"/>
  <c r="AT17" i="9"/>
  <c r="AR17" i="9"/>
  <c r="AR771" i="9"/>
  <c r="AT771" i="9"/>
  <c r="AT534" i="9"/>
  <c r="AR534" i="9"/>
  <c r="AT191" i="9"/>
  <c r="AR191" i="9"/>
  <c r="AT124" i="9"/>
  <c r="AR124" i="9"/>
  <c r="AR594" i="9"/>
  <c r="AT594" i="9"/>
  <c r="AT606" i="9"/>
  <c r="AR606" i="9"/>
  <c r="AT568" i="9"/>
  <c r="AR568" i="9"/>
  <c r="AR809" i="9"/>
  <c r="AT809" i="9"/>
  <c r="AT662" i="9"/>
  <c r="AR662" i="9"/>
  <c r="AT800" i="9"/>
  <c r="AR800" i="9"/>
  <c r="AT19" i="9"/>
  <c r="AR19" i="9"/>
  <c r="AS706" i="9"/>
  <c r="AS850" i="9"/>
  <c r="AS746" i="9"/>
  <c r="AS492" i="9"/>
  <c r="AS412" i="9"/>
  <c r="AS738" i="9"/>
  <c r="AS853" i="9"/>
  <c r="AS52" i="9"/>
  <c r="AS20" i="9"/>
  <c r="AS36" i="9"/>
  <c r="AS754" i="9"/>
  <c r="AS516" i="9"/>
  <c r="AS132" i="9"/>
  <c r="AS685" i="9"/>
  <c r="AS252" i="9"/>
  <c r="AT128" i="9"/>
  <c r="AR128" i="9"/>
  <c r="AT296" i="9"/>
  <c r="AR296" i="9"/>
  <c r="AT490" i="9"/>
  <c r="AR490" i="9"/>
  <c r="AR802" i="9"/>
  <c r="AT802" i="9"/>
  <c r="AR812" i="9"/>
  <c r="AT812" i="9"/>
  <c r="AT386" i="9"/>
  <c r="AR386" i="9"/>
  <c r="AR691" i="9"/>
  <c r="AT691" i="9"/>
  <c r="AT782" i="9"/>
  <c r="AR782" i="9"/>
  <c r="AT42" i="9"/>
  <c r="AR42" i="9"/>
  <c r="AT762" i="9"/>
  <c r="AR762" i="9"/>
  <c r="AR242" i="9"/>
  <c r="AT242" i="9"/>
  <c r="AT831" i="9"/>
  <c r="AR831" i="9"/>
  <c r="AT274" i="9"/>
  <c r="AR274" i="9"/>
  <c r="AT512" i="9"/>
  <c r="AR512" i="9"/>
  <c r="AR439" i="9"/>
  <c r="AT439" i="9"/>
  <c r="AT428" i="9"/>
  <c r="AR428" i="9"/>
  <c r="AT559" i="9"/>
  <c r="AR559" i="9"/>
  <c r="AT700" i="9"/>
  <c r="AR700" i="9"/>
  <c r="AT419" i="9"/>
  <c r="AR419" i="9"/>
  <c r="AT7" i="9"/>
  <c r="AR7" i="9"/>
  <c r="AT590" i="9"/>
  <c r="AR590" i="9"/>
  <c r="AT257" i="9"/>
  <c r="AR257" i="9"/>
  <c r="AT553" i="9"/>
  <c r="AR553" i="9"/>
  <c r="AT10" i="9"/>
  <c r="AR10" i="9"/>
  <c r="AT609" i="9"/>
  <c r="AR609" i="9"/>
  <c r="AT797" i="9"/>
  <c r="AR797" i="9"/>
  <c r="AT330" i="9"/>
  <c r="AR330" i="9"/>
  <c r="AT741" i="9"/>
  <c r="AR741" i="9"/>
  <c r="AR786" i="9"/>
  <c r="AT786" i="9"/>
  <c r="AT756" i="9"/>
  <c r="AR756" i="9"/>
  <c r="AR859" i="9"/>
  <c r="AT859" i="9"/>
  <c r="AR747" i="9"/>
  <c r="AT747" i="9"/>
  <c r="AT215" i="9"/>
  <c r="AR215" i="9"/>
  <c r="AR577" i="9"/>
  <c r="AT577" i="9"/>
  <c r="AR261" i="9"/>
  <c r="AT261" i="9"/>
  <c r="AT815" i="9"/>
  <c r="AR815" i="9"/>
  <c r="AT685" i="9"/>
  <c r="AR685" i="9"/>
  <c r="AR409" i="9"/>
  <c r="AT409" i="9"/>
  <c r="AT496" i="9"/>
  <c r="AR496" i="9"/>
  <c r="AR333" i="9"/>
  <c r="AT333" i="9"/>
  <c r="AR610" i="9"/>
  <c r="AT610" i="9"/>
  <c r="AT611" i="9"/>
  <c r="AR611" i="9"/>
  <c r="AT701" i="9"/>
  <c r="AR701" i="9"/>
  <c r="AT20" i="9"/>
  <c r="AR20" i="9"/>
  <c r="AR733" i="9"/>
  <c r="AT733" i="9"/>
  <c r="AT250" i="9"/>
  <c r="AR250" i="9"/>
  <c r="AT734" i="9"/>
  <c r="AR734" i="9"/>
  <c r="AT368" i="9"/>
  <c r="AR368" i="9"/>
  <c r="AT750" i="9"/>
  <c r="AR750" i="9"/>
  <c r="AT730" i="9"/>
  <c r="AR730" i="9"/>
  <c r="AR263" i="9"/>
  <c r="AT263" i="9"/>
  <c r="AR572" i="9"/>
  <c r="AT572" i="9"/>
  <c r="AT481" i="9"/>
  <c r="AR481" i="9"/>
  <c r="AT426" i="9"/>
  <c r="AR426" i="9"/>
  <c r="AR853" i="9"/>
  <c r="AT853" i="9"/>
  <c r="AR484" i="9"/>
  <c r="AT484" i="9"/>
  <c r="AT450" i="9"/>
  <c r="AR450" i="9"/>
  <c r="AT629" i="9"/>
  <c r="AR629" i="9"/>
  <c r="AT264" i="9"/>
  <c r="AR264" i="9"/>
  <c r="AT127" i="9"/>
  <c r="AR127" i="9"/>
  <c r="AT556" i="9"/>
  <c r="AR556" i="9"/>
  <c r="AR648" i="9"/>
  <c r="AT648" i="9"/>
  <c r="AT474" i="9"/>
  <c r="AR474" i="9"/>
  <c r="AT367" i="9"/>
  <c r="AR367" i="9"/>
  <c r="AR213" i="9"/>
  <c r="AT213" i="9"/>
  <c r="AT455" i="9"/>
  <c r="AR455" i="9"/>
  <c r="AT285" i="9"/>
  <c r="AR285" i="9"/>
  <c r="AR589" i="9"/>
  <c r="AT589" i="9"/>
  <c r="AR822" i="9"/>
  <c r="AT822" i="9"/>
  <c r="AT356" i="9"/>
  <c r="AR356" i="9"/>
  <c r="AR380" i="9"/>
  <c r="AT380" i="9"/>
  <c r="AR465" i="9"/>
  <c r="AT465" i="9"/>
  <c r="AT166" i="9"/>
  <c r="AR166" i="9"/>
  <c r="AS166" i="9"/>
  <c r="AS461" i="9"/>
  <c r="AS192" i="9"/>
  <c r="AS725" i="9"/>
  <c r="AS393" i="9"/>
  <c r="AS777" i="9"/>
  <c r="AS274" i="9"/>
  <c r="AS138" i="9"/>
  <c r="AS289" i="9"/>
  <c r="AS475" i="9"/>
  <c r="AS600" i="9"/>
  <c r="AS447" i="9"/>
  <c r="AS566" i="9"/>
  <c r="AS206" i="9"/>
  <c r="AS337" i="9"/>
  <c r="AS296" i="9"/>
  <c r="AS602" i="9"/>
  <c r="AS648" i="9"/>
  <c r="AS702" i="9"/>
  <c r="AS139" i="9"/>
  <c r="AS623" i="9"/>
  <c r="AS35" i="9"/>
  <c r="AS742" i="9"/>
  <c r="AS215" i="9"/>
  <c r="AS194" i="9"/>
  <c r="AS679" i="9"/>
  <c r="AS427" i="9"/>
  <c r="AS484" i="9"/>
  <c r="AS231" i="9"/>
  <c r="AS398" i="9"/>
  <c r="AS699" i="9"/>
  <c r="AS474" i="9"/>
  <c r="AS658" i="9"/>
  <c r="AS780" i="9"/>
  <c r="AS737" i="9"/>
  <c r="AS154" i="9"/>
  <c r="AS219" i="9"/>
  <c r="AS293" i="9"/>
  <c r="AS306" i="9"/>
  <c r="AS457" i="9"/>
  <c r="AS328" i="9"/>
  <c r="AS840" i="9"/>
  <c r="AS331" i="9"/>
  <c r="AS638" i="9"/>
  <c r="AS175" i="9"/>
  <c r="AS174" i="9"/>
  <c r="AS360" i="9"/>
  <c r="AS191" i="9"/>
  <c r="AS32" i="9"/>
  <c r="AS384" i="9"/>
  <c r="AS545" i="9"/>
  <c r="AS761" i="9"/>
  <c r="AS469" i="9"/>
  <c r="AS730" i="9"/>
  <c r="AS240" i="9"/>
  <c r="AS573" i="9"/>
  <c r="AS354" i="9"/>
  <c r="AS552" i="9"/>
  <c r="AS266" i="9"/>
  <c r="AS441" i="9"/>
  <c r="AS425" i="9"/>
  <c r="AS815" i="9"/>
  <c r="AS498" i="9"/>
  <c r="AS227" i="9"/>
  <c r="AS149" i="9"/>
  <c r="AS636" i="9"/>
  <c r="AS762" i="9"/>
  <c r="AS578" i="9"/>
  <c r="AS720" i="9"/>
  <c r="AS141" i="9"/>
  <c r="AS11" i="9"/>
  <c r="AS660" i="9"/>
  <c r="AS242" i="9"/>
  <c r="AS852" i="9"/>
  <c r="AS218" i="9"/>
  <c r="AS21" i="9"/>
  <c r="AS771" i="9"/>
  <c r="AS524" i="9"/>
  <c r="AS723" i="9"/>
  <c r="AS485" i="9"/>
  <c r="AS397" i="9"/>
  <c r="AS265" i="9"/>
  <c r="AS268" i="9"/>
  <c r="AS285" i="9"/>
  <c r="AS704" i="9"/>
  <c r="AS665" i="9"/>
  <c r="AS663" i="9"/>
  <c r="AS366" i="9"/>
  <c r="AS254" i="9"/>
  <c r="AS497" i="9"/>
  <c r="AS593" i="9"/>
  <c r="AS709" i="9"/>
  <c r="AS455" i="9"/>
  <c r="AS713" i="9"/>
  <c r="AS414" i="9"/>
  <c r="AS763" i="9"/>
  <c r="AS131" i="9"/>
  <c r="AS430" i="9"/>
  <c r="AS655" i="9"/>
  <c r="AS537" i="9"/>
  <c r="AS329" i="9"/>
  <c r="AS787" i="9"/>
  <c r="AS632" i="9"/>
  <c r="AS517" i="9"/>
  <c r="AS448" i="9"/>
  <c r="AS170" i="9"/>
  <c r="AS848" i="9"/>
  <c r="AS269" i="9"/>
  <c r="AS476" i="9"/>
  <c r="AS333" i="9"/>
  <c r="AS595" i="9"/>
  <c r="AS494" i="9"/>
  <c r="AS140" i="9"/>
  <c r="AS370" i="9"/>
  <c r="AS861" i="9"/>
  <c r="AS621" i="9"/>
  <c r="AS584" i="9"/>
  <c r="AS229" i="9"/>
  <c r="AS563" i="9"/>
  <c r="AS611" i="9"/>
  <c r="AS163" i="9"/>
  <c r="AS700" i="9"/>
  <c r="AS548" i="9"/>
  <c r="AS419" i="9"/>
  <c r="AS487" i="9"/>
  <c r="AS669" i="9"/>
  <c r="AS597" i="9"/>
  <c r="AS851" i="9"/>
  <c r="AS345" i="9"/>
  <c r="AS759" i="9"/>
  <c r="AS605" i="9"/>
  <c r="AS493" i="9"/>
  <c r="AS541" i="9"/>
  <c r="AS335" i="9"/>
  <c r="AS631" i="9"/>
  <c r="AS472" i="9"/>
  <c r="AS837" i="9"/>
  <c r="AS613" i="9"/>
  <c r="AS339" i="9"/>
  <c r="AS857" i="9"/>
  <c r="AS847" i="9"/>
  <c r="AS56" i="9"/>
  <c r="AS740" i="9"/>
  <c r="AS849" i="9"/>
  <c r="AS750" i="9"/>
  <c r="AR318" i="9"/>
  <c r="AT318" i="9"/>
  <c r="AR224" i="9"/>
  <c r="AT224" i="9"/>
  <c r="AT297" i="9"/>
  <c r="AR297" i="9"/>
  <c r="AT593" i="9"/>
  <c r="AR593" i="9"/>
  <c r="AT140" i="9"/>
  <c r="AR140" i="9"/>
  <c r="AT671" i="9"/>
  <c r="AR671" i="9"/>
  <c r="AT550" i="9"/>
  <c r="AR550" i="9"/>
  <c r="AT838" i="9"/>
  <c r="AR838" i="9"/>
  <c r="AT384" i="9"/>
  <c r="AR384" i="9"/>
  <c r="AR268" i="9"/>
  <c r="AT268" i="9"/>
  <c r="AT549" i="9"/>
  <c r="AR549" i="9"/>
  <c r="AT383" i="9"/>
  <c r="AR383" i="9"/>
  <c r="AR522" i="9"/>
  <c r="AT522" i="9"/>
  <c r="AT425" i="9"/>
  <c r="AR425" i="9"/>
  <c r="AR364" i="9"/>
  <c r="AT364" i="9"/>
  <c r="AR617" i="9"/>
  <c r="AT617" i="9"/>
  <c r="AT12" i="9"/>
  <c r="AR12" i="9"/>
  <c r="AR591" i="9"/>
  <c r="AT591" i="9"/>
  <c r="AT286" i="9"/>
  <c r="AR286" i="9"/>
  <c r="AR402" i="9"/>
  <c r="AT402" i="9"/>
  <c r="AT324" i="9"/>
  <c r="AR324" i="9"/>
  <c r="AT483" i="9"/>
  <c r="AR483" i="9"/>
  <c r="AR578" i="9"/>
  <c r="AT578" i="9"/>
  <c r="AT583" i="9"/>
  <c r="AR583" i="9"/>
  <c r="AT323" i="9"/>
  <c r="AR323" i="9"/>
  <c r="AT753" i="9"/>
  <c r="AR753" i="9"/>
  <c r="AT229" i="9"/>
  <c r="AR229" i="9"/>
  <c r="AT761" i="9"/>
  <c r="AR761" i="9"/>
  <c r="AR493" i="9"/>
  <c r="AT493" i="9"/>
  <c r="AR767" i="9"/>
  <c r="AT767" i="9"/>
  <c r="AT222" i="9"/>
  <c r="AR222" i="9"/>
  <c r="AT163" i="9"/>
  <c r="AR163" i="9"/>
  <c r="AR183" i="9"/>
  <c r="AT183" i="9"/>
  <c r="AR354" i="9"/>
  <c r="AT354" i="9"/>
  <c r="AT440" i="9"/>
  <c r="AR440" i="9"/>
  <c r="AT473" i="9"/>
  <c r="AR473" i="9"/>
  <c r="AR737" i="9"/>
  <c r="AT737" i="9"/>
  <c r="AT146" i="9"/>
  <c r="AR146" i="9"/>
  <c r="AT165" i="9"/>
  <c r="AR165" i="9"/>
  <c r="AT308" i="9"/>
  <c r="AR308" i="9"/>
  <c r="AT370" i="9"/>
  <c r="AR370" i="9"/>
  <c r="AT393" i="9"/>
  <c r="AR393" i="9"/>
  <c r="AT692" i="9"/>
  <c r="AR692" i="9"/>
  <c r="AT138" i="9"/>
  <c r="AR138" i="9"/>
  <c r="AT441" i="9"/>
  <c r="AR441" i="9"/>
  <c r="AT379" i="9"/>
  <c r="AR379" i="9"/>
  <c r="AT22" i="9"/>
  <c r="AR22" i="9"/>
  <c r="AT566" i="9"/>
  <c r="AR566" i="9"/>
  <c r="AT494" i="9"/>
  <c r="AR494" i="9"/>
  <c r="AR382" i="9"/>
  <c r="AT382" i="9"/>
  <c r="AT679" i="9"/>
  <c r="AR679" i="9"/>
  <c r="AR711" i="9"/>
  <c r="AT711" i="9"/>
  <c r="AR130" i="9"/>
  <c r="AT130" i="9"/>
  <c r="AR798" i="9"/>
  <c r="AT798" i="9"/>
  <c r="AR249" i="9"/>
  <c r="AT249" i="9"/>
  <c r="AT351" i="9"/>
  <c r="AR351" i="9"/>
  <c r="AT605" i="9"/>
  <c r="AR605" i="9"/>
  <c r="AT334" i="9"/>
  <c r="AR334" i="9"/>
  <c r="AT272" i="9"/>
  <c r="AR272" i="9"/>
  <c r="AR565" i="9"/>
  <c r="AT565" i="9"/>
  <c r="AR523" i="9"/>
  <c r="AT523" i="9"/>
  <c r="AR341" i="9"/>
  <c r="AT341" i="9"/>
  <c r="AR433" i="9"/>
  <c r="AT433" i="9"/>
  <c r="AT357" i="9"/>
  <c r="AR357" i="9"/>
  <c r="AR718" i="9"/>
  <c r="AT718" i="9"/>
  <c r="AT453" i="9"/>
  <c r="AR453" i="9"/>
  <c r="AT175" i="9"/>
  <c r="AR175" i="9"/>
  <c r="AT144" i="9"/>
  <c r="AR144" i="9"/>
  <c r="AR414" i="9"/>
  <c r="AT414" i="9"/>
  <c r="AT649" i="9"/>
  <c r="AR649" i="9"/>
  <c r="AT310" i="9"/>
  <c r="AR310" i="9"/>
  <c r="AT332" i="9"/>
  <c r="AR332" i="9"/>
  <c r="AT452" i="9"/>
  <c r="AR452" i="9"/>
  <c r="AT527" i="9"/>
  <c r="AR527" i="9"/>
  <c r="AT495" i="9"/>
  <c r="AR495" i="9"/>
  <c r="AT187" i="9"/>
  <c r="AR187" i="9"/>
  <c r="AT190" i="9"/>
  <c r="AR190" i="9"/>
  <c r="AT642" i="9"/>
  <c r="AR642" i="9"/>
  <c r="AT430" i="9"/>
  <c r="AR430" i="9"/>
  <c r="AT378" i="9"/>
  <c r="AR378" i="9"/>
  <c r="AS180" i="9"/>
  <c r="AS228" i="9"/>
  <c r="AS444" i="9"/>
  <c r="AS236" i="9"/>
  <c r="AS436" i="9"/>
  <c r="AS148" i="9"/>
  <c r="AS196" i="9"/>
  <c r="AS212" i="9"/>
  <c r="AS813" i="9"/>
  <c r="AS749" i="9"/>
  <c r="AS717" i="9"/>
  <c r="AS428" i="9"/>
  <c r="AS802" i="9"/>
  <c r="AS292" i="9"/>
  <c r="AT328" i="9"/>
  <c r="AR328" i="9"/>
  <c r="AT157" i="9"/>
  <c r="AR157" i="9"/>
  <c r="AT469" i="9"/>
  <c r="AR469" i="9"/>
  <c r="AR49" i="9"/>
  <c r="AT49" i="9"/>
  <c r="AT645" i="9"/>
  <c r="AR645" i="9"/>
  <c r="AR824" i="9"/>
  <c r="AT824" i="9"/>
  <c r="AT464" i="9"/>
  <c r="AR464" i="9"/>
  <c r="AR174" i="9"/>
  <c r="AT174" i="9"/>
  <c r="AR513" i="9"/>
  <c r="AT513" i="9"/>
  <c r="AT860" i="9"/>
  <c r="AR860" i="9"/>
  <c r="AT373" i="9"/>
  <c r="AR373" i="9"/>
  <c r="AT655" i="9"/>
  <c r="AR655" i="9"/>
  <c r="AT840" i="9"/>
  <c r="AR840" i="9"/>
  <c r="AT710" i="9"/>
  <c r="AR710" i="9"/>
  <c r="AT488" i="9"/>
  <c r="AR488" i="9"/>
  <c r="AR405" i="9"/>
  <c r="AT405" i="9"/>
  <c r="AT399" i="9"/>
  <c r="AR399" i="9"/>
  <c r="AR601" i="9"/>
  <c r="AT601" i="9"/>
  <c r="AT282" i="9"/>
  <c r="AR282" i="9"/>
  <c r="AT813" i="9"/>
  <c r="AR813" i="9"/>
  <c r="AT516" i="9"/>
  <c r="AR516" i="9"/>
  <c r="AT552" i="9"/>
  <c r="AR552" i="9"/>
  <c r="AT304" i="9"/>
  <c r="AR304" i="9"/>
  <c r="AT60" i="9"/>
  <c r="AR60" i="9"/>
  <c r="AT31" i="9"/>
  <c r="AR31" i="9"/>
  <c r="AR192" i="9"/>
  <c r="AT192" i="9"/>
  <c r="AR805" i="9"/>
  <c r="AT805" i="9"/>
  <c r="AT265" i="9"/>
  <c r="AR265" i="9"/>
  <c r="AR427" i="9"/>
  <c r="AT427" i="9"/>
  <c r="AT266" i="9"/>
  <c r="AR266" i="9"/>
  <c r="AT466" i="9"/>
  <c r="AR466" i="9"/>
  <c r="AR243" i="9"/>
  <c r="AT243" i="9"/>
  <c r="AT52" i="9"/>
  <c r="AR52" i="9"/>
  <c r="AT303" i="9"/>
  <c r="AR303" i="9"/>
  <c r="AT202" i="9"/>
  <c r="AR202" i="9"/>
  <c r="AR545" i="9"/>
  <c r="AT545" i="9"/>
  <c r="AR447" i="9"/>
  <c r="AT447" i="9"/>
  <c r="AT287" i="9"/>
  <c r="AR287" i="9"/>
  <c r="AT27" i="9"/>
  <c r="AR27" i="9"/>
  <c r="AT359" i="9"/>
  <c r="AR359" i="9"/>
  <c r="AT796" i="9"/>
  <c r="AR796" i="9"/>
  <c r="AT621" i="9"/>
  <c r="AR621" i="9"/>
  <c r="AT21" i="9"/>
  <c r="AR21" i="9"/>
  <c r="AT329" i="9"/>
  <c r="AR329" i="9"/>
  <c r="AT817" i="9"/>
  <c r="AR817" i="9"/>
  <c r="AT504" i="9"/>
  <c r="AR504" i="9"/>
  <c r="AT245" i="9"/>
  <c r="AR245" i="9"/>
  <c r="AT189" i="9"/>
  <c r="AR189" i="9"/>
  <c r="AR563" i="9"/>
  <c r="AT563" i="9"/>
  <c r="AT36" i="9"/>
  <c r="AR36" i="9"/>
  <c r="AT633" i="9"/>
  <c r="AR633" i="9"/>
  <c r="AR56" i="9"/>
  <c r="AT56" i="9"/>
  <c r="AT660" i="9"/>
  <c r="AR660" i="9"/>
  <c r="AT444" i="9"/>
  <c r="AR444" i="9"/>
  <c r="AR437" i="9"/>
  <c r="AT437" i="9"/>
  <c r="AR498" i="9"/>
  <c r="AT498" i="9"/>
  <c r="AT520" i="9"/>
  <c r="AR520" i="9"/>
  <c r="AT719" i="9"/>
  <c r="AR719" i="9"/>
  <c r="AT422" i="9"/>
  <c r="AR422" i="9"/>
  <c r="AT210" i="9"/>
  <c r="AR210" i="9"/>
  <c r="AR365" i="9"/>
  <c r="AT365" i="9"/>
  <c r="AS245" i="9"/>
  <c r="AS482" i="9"/>
  <c r="AS193" i="9"/>
  <c r="AS368" i="9"/>
  <c r="AS577" i="9"/>
  <c r="AS686" i="9"/>
  <c r="AS756" i="9"/>
  <c r="AS437" i="9"/>
  <c r="AS51" i="9"/>
  <c r="AS314" i="9"/>
  <c r="AS670" i="9"/>
  <c r="AS330" i="9"/>
  <c r="AS657" i="9"/>
  <c r="AS46" i="9"/>
  <c r="AS53" i="9"/>
  <c r="AS373" i="9"/>
  <c r="AS386" i="9"/>
  <c r="AS576" i="9"/>
  <c r="AS794" i="9"/>
  <c r="AS491" i="9"/>
  <c r="AS27" i="9"/>
  <c r="AS721" i="9"/>
  <c r="AS518" i="9"/>
  <c r="AS421" i="9"/>
  <c r="AS790" i="9"/>
  <c r="AS773" i="9"/>
  <c r="AS506" i="9"/>
  <c r="AS727" i="9"/>
  <c r="AS633" i="9"/>
  <c r="AS182" i="9"/>
  <c r="AS674" i="9"/>
  <c r="AS130" i="9"/>
  <c r="AS230" i="9"/>
  <c r="AS183" i="9"/>
  <c r="AS719" i="9"/>
  <c r="AS672" i="9"/>
  <c r="AS264" i="9"/>
  <c r="AS322" i="9"/>
  <c r="AS481" i="9"/>
  <c r="AS817" i="9"/>
  <c r="AS478" i="9"/>
  <c r="AS367" i="9"/>
  <c r="AS490" i="9"/>
  <c r="AS822" i="9"/>
  <c r="AS505" i="9"/>
  <c r="AS628" i="9"/>
  <c r="AS678" i="9"/>
  <c r="AS471" i="9"/>
  <c r="AS514" i="9"/>
  <c r="AS565" i="9"/>
  <c r="AS431" i="9"/>
  <c r="AS239" i="9"/>
  <c r="AS281" i="9"/>
  <c r="AS323" i="9"/>
  <c r="AS718" i="9"/>
  <c r="AS286" i="9"/>
  <c r="AS326" i="9"/>
  <c r="AS13" i="9"/>
  <c r="AS177" i="9"/>
  <c r="AS788" i="9"/>
  <c r="AS273" i="9"/>
  <c r="AS523" i="9"/>
  <c r="AS792" i="9"/>
  <c r="AS829" i="9"/>
  <c r="AS261" i="9"/>
  <c r="AS838" i="9"/>
  <c r="AS684" i="9"/>
  <c r="AS146" i="9"/>
  <c r="AS259" i="9"/>
  <c r="AS604" i="9"/>
  <c r="AS693" i="9"/>
  <c r="AS626" i="9"/>
  <c r="AS619" i="9"/>
  <c r="AS569" i="9"/>
  <c r="AS409" i="9"/>
  <c r="AS544" i="9"/>
  <c r="AS858" i="9"/>
  <c r="AS57" i="9"/>
  <c r="AS791" i="9"/>
  <c r="AS697" i="9"/>
  <c r="AS321" i="9"/>
  <c r="AS415" i="9"/>
  <c r="AS509" i="9"/>
  <c r="AS127" i="9"/>
  <c r="AS161" i="9"/>
  <c r="AS147" i="9"/>
  <c r="AS310" i="9"/>
  <c r="AS586" i="9"/>
  <c r="AS23" i="9"/>
  <c r="AS630" i="9"/>
  <c r="AS844" i="9"/>
  <c r="AS290" i="9"/>
  <c r="AS426" i="9"/>
  <c r="AS338" i="9"/>
  <c r="AS825" i="9"/>
  <c r="AS639" i="9"/>
  <c r="AS534" i="9"/>
  <c r="AS688" i="9"/>
  <c r="AS488" i="9"/>
  <c r="AS568" i="9"/>
  <c r="AS760" i="9"/>
  <c r="AS270" i="9"/>
  <c r="AS128" i="9"/>
  <c r="AS451" i="9"/>
  <c r="AS543" i="9"/>
  <c r="AS590" i="9"/>
  <c r="AS589" i="9"/>
  <c r="AS403" i="9"/>
  <c r="AS836" i="9"/>
  <c r="AS17" i="9"/>
  <c r="AS303" i="9"/>
  <c r="AS435" i="9"/>
  <c r="AS643" i="9"/>
  <c r="AS315" i="9"/>
  <c r="AS508" i="9"/>
  <c r="AS614" i="9"/>
  <c r="AS610" i="9"/>
  <c r="AS629" i="9"/>
  <c r="AS294" i="9"/>
  <c r="AS783" i="9"/>
  <c r="AS635" i="9"/>
  <c r="AS696" i="9"/>
  <c r="AS439" i="9"/>
  <c r="AS826" i="9"/>
  <c r="AS753" i="9"/>
  <c r="AS766" i="9"/>
  <c r="AS779" i="9"/>
  <c r="AS549" i="9"/>
  <c r="AS860" i="9"/>
  <c r="AS325" i="9"/>
  <c r="AS291" i="9"/>
  <c r="AS617" i="9"/>
  <c r="AS383" i="9"/>
  <c r="AS355" i="9"/>
  <c r="AS248" i="9"/>
  <c r="AS453" i="9"/>
  <c r="AS450" i="9"/>
  <c r="AS155" i="9"/>
  <c r="AS587" i="9"/>
  <c r="AS438" i="9"/>
  <c r="AS317" i="9"/>
  <c r="AS729" i="9"/>
  <c r="AS160" i="9"/>
  <c r="AS379" i="9"/>
  <c r="AS251" i="9"/>
  <c r="AS235" i="9"/>
  <c r="AS434" i="9"/>
  <c r="AS803" i="9"/>
  <c r="AS358" i="9"/>
  <c r="AT280" i="9"/>
  <c r="AR280" i="9"/>
  <c r="AT311" i="9"/>
  <c r="AR311" i="9"/>
  <c r="AT339" i="9"/>
  <c r="AR339" i="9"/>
  <c r="AT436" i="9"/>
  <c r="AR436" i="9"/>
  <c r="AR137" i="9"/>
  <c r="AT137" i="9"/>
  <c r="AR825" i="9"/>
  <c r="AT825" i="9"/>
  <c r="AT587" i="9"/>
  <c r="AR587" i="9"/>
  <c r="AT740" i="9"/>
  <c r="AR740" i="9"/>
  <c r="AT613" i="9"/>
  <c r="AR613" i="9"/>
  <c r="AT9" i="9"/>
  <c r="AR9" i="9"/>
  <c r="AT616" i="9"/>
  <c r="AR616" i="9"/>
  <c r="AR472" i="9"/>
  <c r="AT472" i="9"/>
  <c r="AT851" i="9"/>
  <c r="AR851" i="9"/>
  <c r="AT506" i="9"/>
  <c r="AR506" i="9"/>
  <c r="AT544" i="9"/>
  <c r="AR544" i="9"/>
  <c r="AT141" i="9"/>
  <c r="AR141" i="9"/>
  <c r="AT33" i="9"/>
  <c r="AR33" i="9"/>
  <c r="AT626" i="9"/>
  <c r="AR626" i="9"/>
  <c r="AR635" i="9"/>
  <c r="AT635" i="9"/>
  <c r="AT536" i="9"/>
  <c r="AR536" i="9"/>
  <c r="AR199" i="9"/>
  <c r="AT199" i="9"/>
  <c r="AT194" i="9"/>
  <c r="AR194" i="9"/>
  <c r="AT348" i="9"/>
  <c r="AR348" i="9"/>
  <c r="AR442" i="9"/>
  <c r="AT442" i="9"/>
  <c r="AT689" i="9"/>
  <c r="AR689" i="9"/>
  <c r="AR389" i="9"/>
  <c r="AT389" i="9"/>
  <c r="AT277" i="9"/>
  <c r="AR277" i="9"/>
  <c r="AR847" i="9"/>
  <c r="AT847" i="9"/>
  <c r="AR492" i="9"/>
  <c r="AT492" i="9"/>
  <c r="AR35" i="9"/>
  <c r="AT35" i="9"/>
  <c r="AT415" i="9"/>
  <c r="AR415" i="9"/>
  <c r="AT230" i="9"/>
  <c r="AR230" i="9"/>
  <c r="AT529" i="9"/>
  <c r="AR529" i="9"/>
  <c r="AT862" i="9"/>
  <c r="AR862" i="9"/>
  <c r="AT411" i="9"/>
  <c r="AR411" i="9"/>
  <c r="AT554" i="9"/>
  <c r="AR554" i="9"/>
  <c r="AR861" i="9"/>
  <c r="AT861" i="9"/>
  <c r="AR231" i="9"/>
  <c r="AT231" i="9"/>
  <c r="AT434" i="9"/>
  <c r="AR434" i="9"/>
  <c r="AT502" i="9"/>
  <c r="AR502" i="9"/>
  <c r="AT309" i="9"/>
  <c r="AR309" i="9"/>
  <c r="AT387" i="9"/>
  <c r="AR387" i="9"/>
  <c r="AR688" i="9"/>
  <c r="AT688" i="9"/>
  <c r="AT631" i="9"/>
  <c r="AR631" i="9"/>
  <c r="AT569" i="9"/>
  <c r="AR569" i="9"/>
  <c r="AT623" i="9"/>
  <c r="AR623" i="9"/>
  <c r="AR507" i="9"/>
  <c r="AT507" i="9"/>
  <c r="AT51" i="9"/>
  <c r="AR51" i="9"/>
  <c r="AT788" i="9"/>
  <c r="AR788" i="9"/>
  <c r="AT212" i="9"/>
  <c r="AR212" i="9"/>
  <c r="AT366" i="9"/>
  <c r="AR366" i="9"/>
  <c r="AT557" i="9"/>
  <c r="AR557" i="9"/>
  <c r="AT519" i="9"/>
  <c r="AR519" i="9"/>
  <c r="AT421" i="9"/>
  <c r="AR421" i="9"/>
  <c r="AT288" i="9"/>
  <c r="AR288" i="9"/>
  <c r="AR772" i="9"/>
  <c r="AT772" i="9"/>
  <c r="AT720" i="9"/>
  <c r="AR720" i="9"/>
  <c r="AT207" i="9"/>
  <c r="AR207" i="9"/>
  <c r="AT612" i="9"/>
  <c r="AR612" i="9"/>
  <c r="AR360" i="9"/>
  <c r="AT360" i="9"/>
  <c r="AT839" i="9"/>
  <c r="AR839" i="9"/>
  <c r="AT126" i="9"/>
  <c r="AR126" i="9"/>
  <c r="AT743" i="9"/>
  <c r="AR743" i="9"/>
  <c r="AT26" i="9"/>
  <c r="AR26" i="9"/>
  <c r="AR479" i="9"/>
  <c r="AT479" i="9"/>
  <c r="AR584" i="9"/>
  <c r="AT584" i="9"/>
  <c r="AR755" i="9"/>
  <c r="AT755" i="9"/>
  <c r="AT759" i="9"/>
  <c r="AR759" i="9"/>
  <c r="AT319" i="9"/>
  <c r="AR319" i="9"/>
  <c r="AT396" i="9"/>
  <c r="AR396" i="9"/>
  <c r="AR388" i="9"/>
  <c r="AT388" i="9"/>
  <c r="AT322" i="9"/>
  <c r="AR322" i="9"/>
  <c r="AT751" i="9"/>
  <c r="AR751" i="9"/>
  <c r="AT721" i="9"/>
  <c r="AR721" i="9"/>
  <c r="AT763" i="9"/>
  <c r="AR763" i="9"/>
  <c r="AT345" i="9"/>
  <c r="AR345" i="9"/>
  <c r="AT152" i="9"/>
  <c r="AR152" i="9"/>
  <c r="AR301" i="9"/>
  <c r="AT301" i="9"/>
  <c r="AT167" i="9"/>
  <c r="AR167" i="9"/>
  <c r="AR779" i="9"/>
  <c r="AT779" i="9"/>
  <c r="AR510" i="9"/>
  <c r="AT510" i="9"/>
  <c r="AT858" i="9"/>
  <c r="AR858" i="9"/>
  <c r="AT736" i="9"/>
  <c r="AR736" i="9"/>
  <c r="AR684" i="9"/>
  <c r="AT684" i="9"/>
  <c r="AT209" i="9"/>
  <c r="AR209" i="9"/>
  <c r="AT791" i="9"/>
  <c r="AR791" i="9"/>
  <c r="AT377" i="9"/>
  <c r="AR377" i="9"/>
  <c r="AR195" i="9"/>
  <c r="AT195" i="9"/>
  <c r="AT179" i="9"/>
  <c r="AR179" i="9"/>
  <c r="AT604" i="9"/>
  <c r="AR604" i="9"/>
  <c r="AR43" i="9"/>
  <c r="AT43" i="9"/>
  <c r="AR570" i="9"/>
  <c r="AT570" i="9"/>
  <c r="AT198" i="9"/>
  <c r="AR198" i="9"/>
  <c r="AR293" i="9"/>
  <c r="AT293" i="9"/>
  <c r="AR363" i="9"/>
  <c r="AT363" i="9"/>
  <c r="AR497" i="9"/>
  <c r="AT497" i="9"/>
  <c r="AR454" i="9"/>
  <c r="AT454" i="9"/>
  <c r="AT646" i="9"/>
  <c r="AR646" i="9"/>
  <c r="AR521" i="9"/>
  <c r="AT521" i="9"/>
  <c r="AT664" i="9"/>
  <c r="AR664" i="9"/>
  <c r="AT505" i="9"/>
  <c r="AR505" i="9"/>
  <c r="AT806" i="9"/>
  <c r="AR806" i="9"/>
  <c r="AT757" i="9"/>
  <c r="AR757" i="9"/>
  <c r="AT543" i="9"/>
  <c r="AR543" i="9"/>
  <c r="AT489" i="9"/>
  <c r="AR489" i="9"/>
  <c r="AT460" i="9"/>
  <c r="AR460" i="9"/>
  <c r="AT607" i="9"/>
  <c r="AR607" i="9"/>
  <c r="AT406" i="9"/>
  <c r="AR406" i="9"/>
  <c r="AT663" i="9"/>
  <c r="AR663" i="9"/>
  <c r="AS757" i="9"/>
  <c r="AS380" i="9"/>
  <c r="AS845" i="9"/>
  <c r="AS60" i="9"/>
  <c r="AS834" i="9"/>
  <c r="AS284" i="9"/>
  <c r="AS644" i="9"/>
  <c r="AS810" i="9"/>
  <c r="AS388" i="9"/>
  <c r="AS300" i="9"/>
  <c r="AS770" i="9"/>
  <c r="AN365" i="9"/>
  <c r="AN579" i="9"/>
  <c r="AN512" i="9"/>
  <c r="AN522" i="9"/>
  <c r="AN439" i="9"/>
  <c r="AN425" i="9"/>
  <c r="AN428" i="9"/>
  <c r="AN559" i="9"/>
  <c r="AN364" i="9"/>
  <c r="AN700" i="9"/>
  <c r="AN7" i="9"/>
  <c r="AN590" i="9"/>
  <c r="AN553" i="9"/>
  <c r="AN617" i="9"/>
  <c r="AN147" i="9"/>
  <c r="AN166" i="9"/>
  <c r="AN378" i="9"/>
  <c r="AN663" i="9"/>
  <c r="AN337" i="9"/>
  <c r="AN19" i="9"/>
  <c r="AH33" i="26"/>
  <c r="AL33" i="26" s="1"/>
  <c r="AN280" i="9"/>
  <c r="AN854" i="9"/>
  <c r="AN311" i="9"/>
  <c r="AN843" i="9"/>
  <c r="AN318" i="9"/>
  <c r="AN128" i="9"/>
  <c r="AN652" i="9"/>
  <c r="AN157" i="9"/>
  <c r="AN376" i="9"/>
  <c r="AN12" i="9"/>
  <c r="AN609" i="9"/>
  <c r="AN797" i="9"/>
  <c r="AN330" i="9"/>
  <c r="AN591" i="9"/>
  <c r="AN741" i="9"/>
  <c r="AN786" i="9"/>
  <c r="AN286" i="9"/>
  <c r="AN756" i="9"/>
  <c r="AN402" i="9"/>
  <c r="AN859" i="9"/>
  <c r="AN747" i="9"/>
  <c r="AN324" i="9"/>
  <c r="AN215" i="9"/>
  <c r="AN483" i="9"/>
  <c r="AN578" i="9"/>
  <c r="AN583" i="9"/>
  <c r="AN577" i="9"/>
  <c r="AN261" i="9"/>
  <c r="AN815" i="9"/>
  <c r="AN685" i="9"/>
  <c r="AN29" i="9"/>
  <c r="AN296" i="9"/>
  <c r="AN339" i="9"/>
  <c r="AN297" i="9"/>
  <c r="AN668" i="9"/>
  <c r="AN490" i="9"/>
  <c r="AN469" i="9"/>
  <c r="AN593" i="9"/>
  <c r="AN802" i="9"/>
  <c r="AN226" i="9"/>
  <c r="AN386" i="9"/>
  <c r="AN550" i="9"/>
  <c r="AN838" i="9"/>
  <c r="AN691" i="9"/>
  <c r="AN384" i="9"/>
  <c r="AN782" i="9"/>
  <c r="AN268" i="9"/>
  <c r="AN42" i="9"/>
  <c r="AN549" i="9"/>
  <c r="AN762" i="9"/>
  <c r="AH31" i="26"/>
  <c r="AL31" i="26" s="1"/>
  <c r="AN242" i="9"/>
  <c r="AN831" i="9"/>
  <c r="AN274" i="9"/>
  <c r="AN383" i="9"/>
  <c r="AN409" i="9"/>
  <c r="AN496" i="9"/>
  <c r="AN333" i="9"/>
  <c r="AN610" i="9"/>
  <c r="AN611" i="9"/>
  <c r="AN824" i="9"/>
  <c r="AN168" i="9"/>
  <c r="AN298" i="9"/>
  <c r="AN825" i="9"/>
  <c r="AN464" i="9"/>
  <c r="AN317" i="9"/>
  <c r="AN587" i="9"/>
  <c r="AN352" i="9"/>
  <c r="AN174" i="9"/>
  <c r="AN740" i="9"/>
  <c r="AN513" i="9"/>
  <c r="AN613" i="9"/>
  <c r="AN860" i="9"/>
  <c r="AN373" i="9"/>
  <c r="AN472" i="9"/>
  <c r="AN851" i="9"/>
  <c r="AN506" i="9"/>
  <c r="AN544" i="9"/>
  <c r="AN710" i="9"/>
  <c r="AN141" i="9"/>
  <c r="AN33" i="9"/>
  <c r="AN488" i="9"/>
  <c r="AN626" i="9"/>
  <c r="AN399" i="9"/>
  <c r="AN199" i="9"/>
  <c r="AN601" i="9"/>
  <c r="AN282" i="9"/>
  <c r="AN348" i="9"/>
  <c r="AN813" i="9"/>
  <c r="AN516" i="9"/>
  <c r="AN689" i="9"/>
  <c r="AN277" i="9"/>
  <c r="AN847" i="9"/>
  <c r="AH5" i="26"/>
  <c r="AL5" i="26" s="1"/>
  <c r="AN552" i="9"/>
  <c r="AN415" i="9"/>
  <c r="AN304" i="9"/>
  <c r="AN230" i="9"/>
  <c r="AN60" i="9"/>
  <c r="AN529" i="9"/>
  <c r="AN31" i="9"/>
  <c r="AN862" i="9"/>
  <c r="AN192" i="9"/>
  <c r="AN805" i="9"/>
  <c r="AN411" i="9"/>
  <c r="AN554" i="9"/>
  <c r="AN266" i="9"/>
  <c r="AN861" i="9"/>
  <c r="AN466" i="9"/>
  <c r="AN434" i="9"/>
  <c r="AN502" i="9"/>
  <c r="AN309" i="9"/>
  <c r="AN387" i="9"/>
  <c r="AN688" i="9"/>
  <c r="AH35" i="26"/>
  <c r="AL35" i="26" s="1"/>
  <c r="AN569" i="9"/>
  <c r="AN243" i="9"/>
  <c r="AN623" i="9"/>
  <c r="AN507" i="9"/>
  <c r="AN51" i="9"/>
  <c r="AN788" i="9"/>
  <c r="AN52" i="9"/>
  <c r="AN303" i="9"/>
  <c r="AN202" i="9"/>
  <c r="AN545" i="9"/>
  <c r="AN447" i="9"/>
  <c r="AN287" i="9"/>
  <c r="AN27" i="9"/>
  <c r="AN359" i="9"/>
  <c r="AN621" i="9"/>
  <c r="AN21" i="9"/>
  <c r="AN329" i="9"/>
  <c r="AN817" i="9"/>
  <c r="AN504" i="9"/>
  <c r="AN245" i="9"/>
  <c r="AN10" i="9"/>
  <c r="AN840" i="9"/>
  <c r="AN194" i="9"/>
  <c r="AN442" i="9"/>
  <c r="K316" i="14"/>
  <c r="K394" i="11"/>
  <c r="AN189" i="9"/>
  <c r="L45" i="20"/>
  <c r="L45" i="14"/>
  <c r="AN701" i="9"/>
  <c r="AN20" i="9"/>
  <c r="AN733" i="9"/>
  <c r="AN250" i="9"/>
  <c r="AN734" i="9"/>
  <c r="AN368" i="9"/>
  <c r="AN750" i="9"/>
  <c r="AN323" i="9"/>
  <c r="AN730" i="9"/>
  <c r="L45" i="11"/>
  <c r="AN263" i="9"/>
  <c r="AN572" i="9"/>
  <c r="AN481" i="9"/>
  <c r="AN426" i="9"/>
  <c r="AN563" i="9"/>
  <c r="AN853" i="9"/>
  <c r="AN648" i="9"/>
  <c r="AN328" i="9"/>
  <c r="AN49" i="9"/>
  <c r="AN456" i="9"/>
  <c r="AN436" i="9"/>
  <c r="AN645" i="9"/>
  <c r="AN432" i="9"/>
  <c r="AN331" i="9"/>
  <c r="AN616" i="9"/>
  <c r="AN635" i="9"/>
  <c r="AN389" i="9"/>
  <c r="AN231" i="9"/>
  <c r="AN631" i="9"/>
  <c r="AN212" i="9"/>
  <c r="AN366" i="9"/>
  <c r="AN557" i="9"/>
  <c r="AN519" i="9"/>
  <c r="AN421" i="9"/>
  <c r="AN597" i="9"/>
  <c r="AN288" i="9"/>
  <c r="AN772" i="9"/>
  <c r="AH11" i="26"/>
  <c r="AL11" i="26" s="1"/>
  <c r="AN720" i="9"/>
  <c r="AN207" i="9"/>
  <c r="AN612" i="9"/>
  <c r="AN360" i="9"/>
  <c r="AN839" i="9"/>
  <c r="AN126" i="9"/>
  <c r="AN743" i="9"/>
  <c r="AN26" i="9"/>
  <c r="AN479" i="9"/>
  <c r="AN584" i="9"/>
  <c r="AN755" i="9"/>
  <c r="AN759" i="9"/>
  <c r="AN319" i="9"/>
  <c r="AN396" i="9"/>
  <c r="AN171" i="9"/>
  <c r="AN624" i="9"/>
  <c r="AN471" i="9"/>
  <c r="AN358" i="9"/>
  <c r="AN256" i="9"/>
  <c r="AN803" i="9"/>
  <c r="AH17" i="26"/>
  <c r="AL17" i="26" s="1"/>
  <c r="AN680" i="9"/>
  <c r="AN46" i="9"/>
  <c r="AN576" i="9"/>
  <c r="AN602" i="9"/>
  <c r="AN23" i="9"/>
  <c r="AN614" i="9"/>
  <c r="AN823" i="9"/>
  <c r="AN810" i="9"/>
  <c r="AN219" i="9"/>
  <c r="AN462" i="9"/>
  <c r="AN713" i="9"/>
  <c r="AN474" i="9"/>
  <c r="AN367" i="9"/>
  <c r="AN830" i="9"/>
  <c r="AH34" i="26"/>
  <c r="AL34" i="26" s="1"/>
  <c r="AN745" i="9"/>
  <c r="AN412" i="9"/>
  <c r="AN835" i="9"/>
  <c r="AN673" i="9"/>
  <c r="AN155" i="9"/>
  <c r="AN291" i="9"/>
  <c r="AN729" i="9"/>
  <c r="AN674" i="9"/>
  <c r="AN225" i="9"/>
  <c r="AN666" i="9"/>
  <c r="AN132" i="9"/>
  <c r="AN404" i="9"/>
  <c r="AH30" i="26"/>
  <c r="AL30" i="26" s="1"/>
  <c r="AN776" i="9"/>
  <c r="AN511" i="9"/>
  <c r="AH14" i="26"/>
  <c r="AL14" i="26" s="1"/>
  <c r="AN799" i="9"/>
  <c r="AN443" i="9"/>
  <c r="AN509" i="9"/>
  <c r="AN30" i="9"/>
  <c r="AN350" i="9"/>
  <c r="AN342" i="9"/>
  <c r="AN177" i="9"/>
  <c r="AN448" i="9"/>
  <c r="AN705" i="9"/>
  <c r="AN834" i="9"/>
  <c r="AN216" i="9"/>
  <c r="AN305" i="9"/>
  <c r="AN228" i="9"/>
  <c r="AN203" i="9"/>
  <c r="AN517" i="9"/>
  <c r="AN284" i="9"/>
  <c r="AN485" i="9"/>
  <c r="AN252" i="9"/>
  <c r="AN289" i="9"/>
  <c r="AN5" i="9"/>
  <c r="AN459" i="9"/>
  <c r="AH21" i="26"/>
  <c r="AL21" i="26" s="1"/>
  <c r="AN528" i="9"/>
  <c r="AH40" i="26"/>
  <c r="AL40" i="26" s="1"/>
  <c r="AN164" i="9"/>
  <c r="AN780" i="9"/>
  <c r="AH25" i="26"/>
  <c r="AL25" i="26" s="1"/>
  <c r="AN850" i="9"/>
  <c r="AN338" i="9"/>
  <c r="AN170" i="9"/>
  <c r="AN253" i="9"/>
  <c r="AH19" i="26"/>
  <c r="AL19" i="26" s="1"/>
  <c r="AN827" i="9"/>
  <c r="AH39" i="26"/>
  <c r="AL39" i="26" s="1"/>
  <c r="AN34" i="9"/>
  <c r="AN11" i="9"/>
  <c r="AN848" i="9"/>
  <c r="AH32" i="26"/>
  <c r="AL32" i="26" s="1"/>
  <c r="AN580" i="9"/>
  <c r="AN292" i="9"/>
  <c r="AN13" i="9"/>
  <c r="AN833" i="9"/>
  <c r="AN246" i="9"/>
  <c r="AN388" i="9"/>
  <c r="AH22" i="26"/>
  <c r="AL22" i="26" s="1"/>
  <c r="AN787" i="9"/>
  <c r="AN322" i="9"/>
  <c r="AN751" i="9"/>
  <c r="AN721" i="9"/>
  <c r="AN763" i="9"/>
  <c r="AN345" i="9"/>
  <c r="AN152" i="9"/>
  <c r="AN301" i="9"/>
  <c r="AN779" i="9"/>
  <c r="AN629" i="9"/>
  <c r="AN264" i="9"/>
  <c r="AN556" i="9"/>
  <c r="AN858" i="9"/>
  <c r="AN736" i="9"/>
  <c r="AN684" i="9"/>
  <c r="AN532" i="9"/>
  <c r="AN209" i="9"/>
  <c r="AN791" i="9"/>
  <c r="AN377" i="9"/>
  <c r="AN195" i="9"/>
  <c r="AN179" i="9"/>
  <c r="AN604" i="9"/>
  <c r="AN43" i="9"/>
  <c r="AN570" i="9"/>
  <c r="AN198" i="9"/>
  <c r="AH16" i="26"/>
  <c r="AL16" i="26" s="1"/>
  <c r="AN293" i="9"/>
  <c r="AN664" i="9"/>
  <c r="AN505" i="9"/>
  <c r="AN806" i="9"/>
  <c r="AN757" i="9"/>
  <c r="AN543" i="9"/>
  <c r="AN514" i="9"/>
  <c r="AN489" i="9"/>
  <c r="AN460" i="9"/>
  <c r="AN607" i="9"/>
  <c r="AN167" i="9"/>
  <c r="AN363" i="9"/>
  <c r="AN524" i="9"/>
  <c r="AN497" i="9"/>
  <c r="AN454" i="9"/>
  <c r="AN646" i="9"/>
  <c r="AN521" i="9"/>
  <c r="AN36" i="9"/>
  <c r="AN510" i="9"/>
  <c r="AH10" i="26"/>
  <c r="AL10" i="26" s="1"/>
  <c r="AN213" i="9"/>
  <c r="AN455" i="9"/>
  <c r="AN633" i="9"/>
  <c r="AN56" i="9"/>
  <c r="AN660" i="9"/>
  <c r="AN444" i="9"/>
  <c r="AN437" i="9"/>
  <c r="AN451" i="9"/>
  <c r="AN476" i="9"/>
  <c r="AN752" i="9"/>
  <c r="AN406" i="9"/>
  <c r="AN498" i="9"/>
  <c r="AN285" i="9"/>
  <c r="AN589" i="9"/>
  <c r="AN822" i="9"/>
  <c r="AN356" i="9"/>
  <c r="AN380" i="9"/>
  <c r="AN465" i="9"/>
  <c r="AN520" i="9"/>
  <c r="AN719" i="9"/>
  <c r="AN269" i="9"/>
  <c r="AN169" i="9"/>
  <c r="AN422" i="9"/>
  <c r="AN210" i="9"/>
  <c r="AN254" i="9"/>
  <c r="AN349" i="9"/>
  <c r="AN491" i="9"/>
  <c r="AN693" i="9"/>
  <c r="AN247" i="9"/>
  <c r="AN603" i="9"/>
  <c r="AN709" i="9"/>
  <c r="AN240" i="9"/>
  <c r="AN326" i="9"/>
  <c r="AN816" i="9"/>
  <c r="AN423" i="9"/>
  <c r="AN804" i="9"/>
  <c r="AN639" i="9"/>
  <c r="AH12" i="26"/>
  <c r="AL12" i="26" s="1"/>
  <c r="AN754" i="9"/>
  <c r="AN541" i="9"/>
  <c r="AN416" i="9"/>
  <c r="AN742" i="9"/>
  <c r="AN355" i="9"/>
  <c r="AN14" i="9"/>
  <c r="AN172" i="9"/>
  <c r="AN726" i="9"/>
  <c r="AN340" i="9"/>
  <c r="AN849" i="9"/>
  <c r="AN161" i="9"/>
  <c r="AN722" i="9"/>
  <c r="AN501" i="9"/>
  <c r="AN634" i="9"/>
  <c r="AN530" i="9"/>
  <c r="AN227" i="9"/>
  <c r="AN486" i="9"/>
  <c r="AN400" i="9"/>
  <c r="AN233" i="9"/>
  <c r="AN558" i="9"/>
  <c r="AN548" i="9"/>
  <c r="AN408" i="9"/>
  <c r="AN630" i="9"/>
  <c r="AN644" i="9"/>
  <c r="AN844" i="9"/>
  <c r="AN518" i="9"/>
  <c r="AN290" i="9"/>
  <c r="AN480" i="9"/>
  <c r="AN508" i="9"/>
  <c r="AN420" i="9"/>
  <c r="AN748" i="9"/>
  <c r="AN773" i="9"/>
  <c r="AN237" i="9"/>
  <c r="AN637" i="9"/>
  <c r="AN193" i="9"/>
  <c r="AN725" i="9"/>
  <c r="AN418" i="9"/>
  <c r="AN325" i="9"/>
  <c r="AH13" i="26"/>
  <c r="AL13" i="26" s="1"/>
  <c r="AN628" i="9"/>
  <c r="AN63" i="9"/>
  <c r="AN533" i="9"/>
  <c r="AN650" i="9"/>
  <c r="AN717" i="9"/>
  <c r="AN561" i="9"/>
  <c r="AN214" i="9"/>
  <c r="AN670" i="9"/>
  <c r="AN636" i="9"/>
  <c r="AN57" i="9"/>
  <c r="AN821" i="9"/>
  <c r="AN6" i="9"/>
  <c r="AN619" i="9"/>
  <c r="AH29" i="26"/>
  <c r="AL29" i="26" s="1"/>
  <c r="AN581" i="9"/>
  <c r="AN832" i="9"/>
  <c r="AN457" i="9"/>
  <c r="AN699" i="9"/>
  <c r="AN273" i="9"/>
  <c r="AN397" i="9"/>
  <c r="AN235" i="9"/>
  <c r="AN58" i="9"/>
  <c r="AN125" i="9"/>
  <c r="AN458" i="9"/>
  <c r="AN811" i="9"/>
  <c r="AN828" i="9"/>
  <c r="AN429" i="9"/>
  <c r="AN618" i="9"/>
  <c r="AN182" i="9"/>
  <c r="AN123" i="9"/>
  <c r="AN314" i="9"/>
  <c r="AN344" i="9"/>
  <c r="AN248" i="9"/>
  <c r="AN347" i="9"/>
  <c r="AN500" i="9"/>
  <c r="AN312" i="9"/>
  <c r="AN707" i="9"/>
  <c r="AN369" i="9"/>
  <c r="AN654" i="9"/>
  <c r="AN467" i="9"/>
  <c r="AN321" i="9"/>
  <c r="AN669" i="9"/>
  <c r="AN145" i="9"/>
  <c r="AN121" i="9"/>
  <c r="AN698" i="9"/>
  <c r="AN150" i="9"/>
  <c r="AN343" i="9"/>
  <c r="AN857" i="9"/>
  <c r="AN407" i="9"/>
  <c r="AN417" i="9"/>
  <c r="AN625" i="9"/>
  <c r="AN461" i="9"/>
  <c r="AN398" i="9"/>
  <c r="AN564" i="9"/>
  <c r="AN770" i="9"/>
  <c r="AN845" i="9"/>
  <c r="AN186" i="9"/>
  <c r="AN766" i="9"/>
  <c r="AN487" i="9"/>
  <c r="AN657" i="9"/>
  <c r="AN315" i="9"/>
  <c r="AN271" i="9"/>
  <c r="AN760" i="9"/>
  <c r="AN704" i="9"/>
  <c r="AN826" i="9"/>
  <c r="AN40" i="9"/>
  <c r="AN703" i="9"/>
  <c r="AN702" i="9"/>
  <c r="AN16" i="9"/>
  <c r="AN686" i="9"/>
  <c r="AN238" i="9"/>
  <c r="AN783" i="9"/>
  <c r="AN403" i="9"/>
  <c r="AN749" i="9"/>
  <c r="AN236" i="9"/>
  <c r="AN818" i="9"/>
  <c r="AN392" i="9"/>
  <c r="AN32" i="9"/>
  <c r="AN482" i="9"/>
  <c r="AN372" i="9"/>
  <c r="AN696" i="9"/>
  <c r="AN154" i="9"/>
  <c r="AN582" i="9"/>
  <c r="AN846" i="9"/>
  <c r="AN678" i="9"/>
  <c r="AN706" i="9"/>
  <c r="AN424" i="9"/>
  <c r="AN723" i="9"/>
  <c r="AN515" i="9"/>
  <c r="AN283" i="9"/>
  <c r="AN149" i="9"/>
  <c r="AN239" i="9"/>
  <c r="AN794" i="9"/>
  <c r="AN270" i="9"/>
  <c r="AN537" i="9"/>
  <c r="AN807" i="9"/>
  <c r="AN632" i="9"/>
  <c r="AN540" i="9"/>
  <c r="AN267" i="9"/>
  <c r="AN777" i="9"/>
  <c r="AN499" i="9"/>
  <c r="AN764" i="9"/>
  <c r="AN275" i="9"/>
  <c r="AN294" i="9"/>
  <c r="AN431" i="9"/>
  <c r="AN234" i="9"/>
  <c r="AN223" i="9"/>
  <c r="AN53" i="9"/>
  <c r="AN829" i="9"/>
  <c r="AN746" i="9"/>
  <c r="AN395" i="9"/>
  <c r="AN139" i="9"/>
  <c r="AN735" i="9"/>
  <c r="AN251" i="9"/>
  <c r="AN449" i="9"/>
  <c r="AN778" i="9"/>
  <c r="AN738" i="9"/>
  <c r="AN651" i="9"/>
  <c r="AN37" i="9"/>
  <c r="AN675" i="9"/>
  <c r="AN281" i="9"/>
  <c r="AN842" i="9"/>
  <c r="AN306" i="9"/>
  <c r="AN18" i="9"/>
  <c r="AN391" i="9"/>
  <c r="AN836" i="9"/>
  <c r="AN586" i="9"/>
  <c r="AN659" i="9"/>
  <c r="AN643" i="9"/>
  <c r="AN638" i="9"/>
  <c r="AN852" i="9"/>
  <c r="AN598" i="9"/>
  <c r="AN841" i="9"/>
  <c r="AN525" i="9"/>
  <c r="AN259" i="9"/>
  <c r="AN595" i="9"/>
  <c r="AN716" i="9"/>
  <c r="AN731" i="9"/>
  <c r="AN727" i="9"/>
  <c r="AN712" i="9"/>
  <c r="AN600" i="9"/>
  <c r="AN475" i="9"/>
  <c r="AN792" i="9"/>
  <c r="AN573" i="9"/>
  <c r="AH7" i="26"/>
  <c r="AL7" i="26" s="1"/>
  <c r="AN307" i="9"/>
  <c r="AN151" i="9"/>
  <c r="AN224" i="9"/>
  <c r="AN697" i="9"/>
  <c r="AN438" i="9"/>
  <c r="AN196" i="9"/>
  <c r="AN812" i="9"/>
  <c r="AN140" i="9"/>
  <c r="AN790" i="9"/>
  <c r="AN206" i="9"/>
  <c r="AN671" i="9"/>
  <c r="AN131" i="9"/>
  <c r="AN134" i="9"/>
  <c r="AN435" i="9"/>
  <c r="AN148" i="9"/>
  <c r="AH27" i="26"/>
  <c r="AL27" i="26" s="1"/>
  <c r="AN327" i="9"/>
  <c r="AN658" i="9"/>
  <c r="AH6" i="26"/>
  <c r="AL6" i="26" s="1"/>
  <c r="AN814" i="9"/>
  <c r="AN419" i="9"/>
  <c r="AH23" i="26"/>
  <c r="AL23" i="26" s="1"/>
  <c r="AN665" i="9"/>
  <c r="AN257" i="9"/>
  <c r="AH36" i="26"/>
  <c r="AL36" i="26" s="1"/>
  <c r="AN232" i="9"/>
  <c r="AN682" i="9"/>
  <c r="AN300" i="9"/>
  <c r="AN375" i="9"/>
  <c r="AN808" i="9"/>
  <c r="AN470" i="9"/>
  <c r="AN681" i="9"/>
  <c r="AN672" i="9"/>
  <c r="AN478" i="9"/>
  <c r="AH28" i="26"/>
  <c r="AL28" i="26" s="1"/>
  <c r="AN446" i="9"/>
  <c r="AN335" i="9"/>
  <c r="AN15" i="9"/>
  <c r="AN381" i="9"/>
  <c r="AN390" i="9"/>
  <c r="AH24" i="26"/>
  <c r="AL24" i="26" s="1"/>
  <c r="AN477" i="9"/>
  <c r="AN653" i="9"/>
  <c r="AH38" i="26"/>
  <c r="AL38" i="26" s="1"/>
  <c r="AN218" i="9"/>
  <c r="AN211" i="9"/>
  <c r="AN129" i="9"/>
  <c r="AN837" i="9"/>
  <c r="AN160" i="9"/>
  <c r="AN484" i="9"/>
  <c r="AN450" i="9"/>
  <c r="AN17" i="9"/>
  <c r="AN771" i="9"/>
  <c r="AN534" i="9"/>
  <c r="AN191" i="9"/>
  <c r="AN127" i="9"/>
  <c r="AN124" i="9"/>
  <c r="AN594" i="9"/>
  <c r="AN606" i="9"/>
  <c r="AN568" i="9"/>
  <c r="AN809" i="9"/>
  <c r="AN662" i="9"/>
  <c r="AN800" i="9"/>
  <c r="AN180" i="9"/>
  <c r="AN753" i="9"/>
  <c r="AN229" i="9"/>
  <c r="AN761" i="9"/>
  <c r="AN493" i="9"/>
  <c r="AN767" i="9"/>
  <c r="AN222" i="9"/>
  <c r="AN137" i="9"/>
  <c r="AN163" i="9"/>
  <c r="AN183" i="9"/>
  <c r="AN9" i="9"/>
  <c r="AN354" i="9"/>
  <c r="AN440" i="9"/>
  <c r="AN655" i="9"/>
  <c r="AN473" i="9"/>
  <c r="AN737" i="9"/>
  <c r="AN146" i="9"/>
  <c r="AN165" i="9"/>
  <c r="AN308" i="9"/>
  <c r="AN405" i="9"/>
  <c r="AN370" i="9"/>
  <c r="AN393" i="9"/>
  <c r="AH15" i="26"/>
  <c r="AL15" i="26" s="1"/>
  <c r="AN536" i="9"/>
  <c r="AN692" i="9"/>
  <c r="AN138" i="9"/>
  <c r="AN441" i="9"/>
  <c r="AN379" i="9"/>
  <c r="AN22" i="9"/>
  <c r="AN566" i="9"/>
  <c r="AN494" i="9"/>
  <c r="AN492" i="9"/>
  <c r="AN35" i="9"/>
  <c r="AN382" i="9"/>
  <c r="AH37" i="26"/>
  <c r="AL37" i="26" s="1"/>
  <c r="AN679" i="9"/>
  <c r="AN265" i="9"/>
  <c r="AN711" i="9"/>
  <c r="AH8" i="26"/>
  <c r="AL8" i="26" s="1"/>
  <c r="AN130" i="9"/>
  <c r="AN427" i="9"/>
  <c r="AN798" i="9"/>
  <c r="AN249" i="9"/>
  <c r="AH9" i="26"/>
  <c r="AL9" i="26" s="1"/>
  <c r="AN351" i="9"/>
  <c r="AN605" i="9"/>
  <c r="AN334" i="9"/>
  <c r="AN272" i="9"/>
  <c r="AH26" i="26"/>
  <c r="AL26" i="26" s="1"/>
  <c r="AN565" i="9"/>
  <c r="AN523" i="9"/>
  <c r="AN341" i="9"/>
  <c r="AN433" i="9"/>
  <c r="AN357" i="9"/>
  <c r="AN718" i="9"/>
  <c r="AN453" i="9"/>
  <c r="AN175" i="9"/>
  <c r="AN144" i="9"/>
  <c r="AN796" i="9"/>
  <c r="AN414" i="9"/>
  <c r="AN649" i="9"/>
  <c r="AN310" i="9"/>
  <c r="AN332" i="9"/>
  <c r="AN452" i="9"/>
  <c r="AN527" i="9"/>
  <c r="AN495" i="9"/>
  <c r="AN187" i="9"/>
  <c r="AN190" i="9"/>
  <c r="AN642" i="9"/>
  <c r="AN430" i="9"/>
  <c r="K317" i="20"/>
  <c r="K46" i="14"/>
  <c r="K46" i="20"/>
  <c r="K46" i="11"/>
  <c r="H880" i="39" l="1"/>
  <c r="H877" i="39"/>
  <c r="H933" i="39"/>
  <c r="H930" i="39"/>
  <c r="K317" i="14"/>
  <c r="K395" i="11"/>
  <c r="L46" i="20"/>
  <c r="L46" i="14"/>
  <c r="L46" i="11"/>
  <c r="K318" i="20"/>
  <c r="K47" i="14"/>
  <c r="K47" i="20"/>
  <c r="K47" i="11"/>
  <c r="K318" i="14" l="1"/>
  <c r="K396" i="11"/>
  <c r="L47" i="20"/>
  <c r="L47" i="14"/>
  <c r="L47" i="11"/>
  <c r="K319" i="20"/>
  <c r="K48" i="20"/>
  <c r="K48" i="11"/>
  <c r="K48" i="14"/>
  <c r="K319" i="14" l="1"/>
  <c r="K397" i="11"/>
  <c r="L48" i="20"/>
  <c r="L48" i="14"/>
  <c r="L48" i="11"/>
  <c r="K320" i="20"/>
  <c r="K49" i="14"/>
  <c r="K49" i="11"/>
  <c r="K49" i="20"/>
  <c r="K320" i="14" l="1"/>
  <c r="K398" i="11"/>
  <c r="L49" i="20"/>
  <c r="L49" i="14"/>
  <c r="L49" i="11"/>
  <c r="K321" i="20"/>
  <c r="K50" i="14"/>
  <c r="K50" i="20"/>
  <c r="K50" i="11"/>
  <c r="K321" i="14" l="1"/>
  <c r="K399" i="11"/>
  <c r="L50" i="20"/>
  <c r="L50" i="14"/>
  <c r="L50" i="11"/>
  <c r="K322" i="20"/>
  <c r="K51" i="20"/>
  <c r="K51" i="14"/>
  <c r="K51" i="11"/>
  <c r="K322" i="14" l="1"/>
  <c r="K400" i="11"/>
  <c r="L51" i="20"/>
  <c r="L51" i="14"/>
  <c r="L51" i="11"/>
  <c r="K323" i="20"/>
  <c r="K52" i="14"/>
  <c r="K52" i="11"/>
  <c r="K52" i="20"/>
  <c r="K323" i="14" l="1"/>
  <c r="K401" i="11"/>
  <c r="L52" i="20"/>
  <c r="L52" i="14"/>
  <c r="L52" i="11"/>
  <c r="K324" i="20"/>
  <c r="K53" i="11"/>
  <c r="K53" i="20"/>
  <c r="K53" i="14"/>
  <c r="K324" i="14" l="1"/>
  <c r="K402" i="11"/>
  <c r="L53" i="20"/>
  <c r="L53" i="14"/>
  <c r="L53" i="11"/>
  <c r="K325" i="20"/>
  <c r="K54" i="11"/>
  <c r="K54" i="20"/>
  <c r="K54" i="14"/>
  <c r="K325" i="14" l="1"/>
  <c r="K403" i="11"/>
  <c r="L54" i="20"/>
  <c r="L54" i="14"/>
  <c r="L54" i="11"/>
  <c r="K326" i="20"/>
  <c r="K55" i="20"/>
  <c r="K55" i="11"/>
  <c r="K55" i="14"/>
  <c r="K326" i="14" l="1"/>
  <c r="K404" i="11"/>
  <c r="L55" i="20"/>
  <c r="L55" i="14"/>
  <c r="L55" i="11"/>
  <c r="K327" i="20"/>
  <c r="K56" i="14"/>
  <c r="K56" i="11"/>
  <c r="K56" i="20"/>
  <c r="K327" i="14" l="1"/>
  <c r="K405" i="11"/>
  <c r="L56" i="20"/>
  <c r="L56" i="14"/>
  <c r="L56" i="11"/>
  <c r="K328" i="20"/>
  <c r="K57" i="11"/>
  <c r="K57" i="14"/>
  <c r="K57" i="20"/>
  <c r="K328" i="14" l="1"/>
  <c r="K406" i="11"/>
  <c r="L57" i="20"/>
  <c r="L57" i="14"/>
  <c r="L57" i="11"/>
  <c r="K329" i="20"/>
  <c r="K58" i="11"/>
  <c r="K58" i="20"/>
  <c r="K58" i="14"/>
  <c r="K329" i="14" l="1"/>
  <c r="K407" i="11"/>
  <c r="L58" i="20"/>
  <c r="L58" i="14"/>
  <c r="L58" i="11"/>
  <c r="K330" i="20"/>
  <c r="K59" i="11"/>
  <c r="K59" i="14"/>
  <c r="K59" i="20"/>
  <c r="K330" i="14" l="1"/>
  <c r="K408" i="11"/>
  <c r="L59" i="20"/>
  <c r="L59" i="14"/>
  <c r="L59" i="11"/>
  <c r="K331" i="20"/>
  <c r="K60" i="14"/>
  <c r="K60" i="11"/>
  <c r="K60" i="20"/>
  <c r="K331" i="14" l="1"/>
  <c r="K409" i="11"/>
  <c r="L60" i="20"/>
  <c r="L60" i="14"/>
  <c r="L60" i="11"/>
  <c r="K332" i="20"/>
  <c r="K61" i="11"/>
  <c r="K61" i="20"/>
  <c r="K61" i="14"/>
  <c r="K332" i="14" l="1"/>
  <c r="K410" i="11"/>
  <c r="L61" i="20"/>
  <c r="L61" i="14"/>
  <c r="L61" i="11"/>
  <c r="K333" i="20"/>
  <c r="K62" i="11"/>
  <c r="K62" i="20"/>
  <c r="K62" i="14"/>
  <c r="K333" i="14" l="1"/>
  <c r="K411" i="11"/>
  <c r="L62" i="20"/>
  <c r="L62" i="14"/>
  <c r="L62" i="11"/>
  <c r="K334" i="20"/>
  <c r="K63" i="20"/>
  <c r="K63" i="11"/>
  <c r="K63" i="14"/>
  <c r="K334" i="14" l="1"/>
  <c r="K412" i="11"/>
  <c r="L63" i="20"/>
  <c r="L63" i="14"/>
  <c r="L63" i="11"/>
  <c r="K335" i="20"/>
  <c r="K64" i="11"/>
  <c r="K64" i="20"/>
  <c r="K64" i="14"/>
  <c r="K335" i="14" l="1"/>
  <c r="K413" i="11"/>
  <c r="L64" i="20"/>
  <c r="L64" i="14"/>
  <c r="L64" i="11"/>
  <c r="K336" i="20"/>
  <c r="K65" i="14"/>
  <c r="K65" i="11"/>
  <c r="K65" i="20"/>
  <c r="K336" i="14" l="1"/>
  <c r="K414" i="11"/>
  <c r="L65" i="20"/>
  <c r="L65" i="14"/>
  <c r="L65" i="11"/>
  <c r="K337" i="20"/>
  <c r="K66" i="14"/>
  <c r="K66" i="20"/>
  <c r="K66" i="11"/>
  <c r="K337" i="14" l="1"/>
  <c r="K415" i="11"/>
  <c r="L66" i="20"/>
  <c r="L66" i="14"/>
  <c r="L66" i="11"/>
  <c r="K338" i="20"/>
  <c r="K67" i="11"/>
  <c r="K67" i="20"/>
  <c r="K67" i="14"/>
  <c r="K338" i="14" l="1"/>
  <c r="K416" i="11"/>
  <c r="L67" i="20"/>
  <c r="L67" i="14"/>
  <c r="L67" i="11"/>
  <c r="K339" i="20"/>
  <c r="K68" i="14"/>
  <c r="K68" i="20"/>
  <c r="K68" i="11"/>
  <c r="K339" i="14" l="1"/>
  <c r="K417" i="11"/>
  <c r="L68" i="20"/>
  <c r="L68" i="14"/>
  <c r="L68" i="11"/>
  <c r="K340" i="20"/>
  <c r="K69" i="20"/>
  <c r="K69" i="11"/>
  <c r="K69" i="14"/>
  <c r="K340" i="14" l="1"/>
  <c r="K418" i="11"/>
  <c r="L69" i="20"/>
  <c r="L69" i="14"/>
  <c r="L69" i="11"/>
  <c r="K341" i="20"/>
  <c r="K70" i="14"/>
  <c r="K70" i="20"/>
  <c r="K70" i="11"/>
  <c r="K341" i="14" l="1"/>
  <c r="K419" i="11"/>
  <c r="L70" i="20"/>
  <c r="L70" i="14"/>
  <c r="L70" i="11"/>
  <c r="K342" i="20"/>
  <c r="K71" i="14"/>
  <c r="K71" i="20"/>
  <c r="K71" i="11"/>
  <c r="K342" i="14" l="1"/>
  <c r="K420" i="11"/>
  <c r="L71" i="20"/>
  <c r="L71" i="14"/>
  <c r="L71" i="11"/>
  <c r="K343" i="20"/>
  <c r="K72" i="11"/>
  <c r="K72" i="20"/>
  <c r="K72" i="14"/>
  <c r="K343" i="14" l="1"/>
  <c r="K421" i="11"/>
  <c r="L72" i="20"/>
  <c r="L72" i="14"/>
  <c r="L72" i="11"/>
  <c r="K344" i="20"/>
  <c r="K73" i="20"/>
  <c r="K73" i="14"/>
  <c r="K73" i="11"/>
  <c r="K344" i="14" l="1"/>
  <c r="K422" i="11"/>
  <c r="L73" i="20"/>
  <c r="L73" i="14"/>
  <c r="L73" i="11"/>
  <c r="K345" i="20"/>
  <c r="K74" i="11"/>
  <c r="K74" i="20"/>
  <c r="K74" i="14"/>
  <c r="K345" i="14" l="1"/>
  <c r="K423" i="11"/>
  <c r="L74" i="20"/>
  <c r="L74" i="14"/>
  <c r="L74" i="11"/>
  <c r="K346" i="20"/>
  <c r="K75" i="11"/>
  <c r="K75" i="14"/>
  <c r="K75" i="20"/>
  <c r="K346" i="14" l="1"/>
  <c r="K424" i="11"/>
  <c r="L75" i="20"/>
  <c r="L75" i="14"/>
  <c r="L75" i="11"/>
  <c r="K347" i="20"/>
  <c r="K76" i="20"/>
  <c r="K76" i="14"/>
  <c r="K76" i="11"/>
  <c r="K347" i="14" l="1"/>
  <c r="K425" i="11"/>
  <c r="L76" i="20"/>
  <c r="L76" i="14"/>
  <c r="L76" i="11"/>
  <c r="K348" i="20"/>
  <c r="K77" i="11"/>
  <c r="K77" i="14"/>
  <c r="K77" i="20"/>
  <c r="K348" i="14" l="1"/>
  <c r="K426" i="11"/>
  <c r="L77" i="20"/>
  <c r="L77" i="14"/>
  <c r="L77" i="11"/>
  <c r="K349" i="20"/>
  <c r="K78" i="14"/>
  <c r="K78" i="20"/>
  <c r="K78" i="11"/>
  <c r="K349" i="14" l="1"/>
  <c r="K427" i="11"/>
  <c r="L78" i="20"/>
  <c r="L78" i="14"/>
  <c r="L78" i="11"/>
  <c r="K350" i="20"/>
  <c r="K79" i="11"/>
  <c r="K79" i="14"/>
  <c r="K79" i="20"/>
  <c r="K350" i="14" l="1"/>
  <c r="K428" i="11"/>
  <c r="L79" i="20"/>
  <c r="L79" i="14"/>
  <c r="L79" i="11"/>
  <c r="K351" i="20"/>
  <c r="K80" i="14"/>
  <c r="K80" i="20"/>
  <c r="K80" i="11"/>
  <c r="K351" i="14" l="1"/>
  <c r="K429" i="11"/>
  <c r="L80" i="20"/>
  <c r="L80" i="14"/>
  <c r="L80" i="11"/>
  <c r="K352" i="20"/>
  <c r="K81" i="20"/>
  <c r="K81" i="14"/>
  <c r="K81" i="11"/>
  <c r="K352" i="14" l="1"/>
  <c r="K430" i="11"/>
  <c r="L81" i="20"/>
  <c r="L81" i="14"/>
  <c r="L81" i="11"/>
  <c r="K353" i="20"/>
  <c r="K82" i="14"/>
  <c r="K82" i="20"/>
  <c r="K82" i="11"/>
  <c r="K353" i="14" l="1"/>
  <c r="K431" i="11"/>
  <c r="L82" i="20"/>
  <c r="L82" i="14"/>
  <c r="L82" i="11"/>
  <c r="K354" i="20"/>
  <c r="K83" i="20"/>
  <c r="K83" i="14"/>
  <c r="K83" i="11"/>
  <c r="K354" i="14" l="1"/>
  <c r="K432" i="11"/>
  <c r="L83" i="20"/>
  <c r="L83" i="14"/>
  <c r="L83" i="11"/>
  <c r="K355" i="20"/>
  <c r="K84" i="20"/>
  <c r="K84" i="11"/>
  <c r="K84" i="14"/>
  <c r="K355" i="14" l="1"/>
  <c r="K433" i="11"/>
  <c r="L84" i="20"/>
  <c r="L84" i="14"/>
  <c r="L84" i="11"/>
  <c r="K356" i="20"/>
  <c r="K85" i="20"/>
  <c r="K85" i="14"/>
  <c r="K85" i="11"/>
  <c r="K356" i="14" l="1"/>
  <c r="K434" i="11"/>
  <c r="L85" i="20"/>
  <c r="L85" i="14"/>
  <c r="L85" i="11"/>
  <c r="K357" i="20"/>
  <c r="K86" i="20"/>
  <c r="K86" i="11"/>
  <c r="K86" i="14"/>
  <c r="K357" i="14" l="1"/>
  <c r="K435" i="11"/>
  <c r="L86" i="20"/>
  <c r="L86" i="14"/>
  <c r="L86" i="11"/>
  <c r="K358" i="20"/>
  <c r="K87" i="20"/>
  <c r="K87" i="11"/>
  <c r="K87" i="14"/>
  <c r="K358" i="14" l="1"/>
  <c r="K436" i="11"/>
  <c r="L87" i="20"/>
  <c r="L87" i="14"/>
  <c r="L87" i="11"/>
  <c r="K359" i="20"/>
  <c r="K88" i="11"/>
  <c r="K88" i="14"/>
  <c r="K88" i="20"/>
  <c r="K359" i="14" l="1"/>
  <c r="K437" i="11"/>
  <c r="L88" i="20"/>
  <c r="L88" i="14"/>
  <c r="L88" i="11"/>
  <c r="K360" i="20"/>
  <c r="K89" i="14"/>
  <c r="K89" i="11"/>
  <c r="K89" i="20"/>
  <c r="K360" i="14" l="1"/>
  <c r="K438" i="11"/>
  <c r="L89" i="20"/>
  <c r="L89" i="14"/>
  <c r="L89" i="11"/>
  <c r="K361" i="20"/>
  <c r="K90" i="11"/>
  <c r="K90" i="20"/>
  <c r="K90" i="14"/>
  <c r="K361" i="14" l="1"/>
  <c r="K439" i="11"/>
  <c r="L90" i="20"/>
  <c r="L90" i="14"/>
  <c r="L90" i="11"/>
  <c r="K362" i="20"/>
  <c r="K91" i="14"/>
  <c r="K91" i="11"/>
  <c r="K91" i="20"/>
  <c r="K362" i="14" l="1"/>
  <c r="K440" i="11"/>
  <c r="L91" i="20"/>
  <c r="L91" i="14"/>
  <c r="L91" i="11"/>
  <c r="K363" i="20"/>
  <c r="K92" i="20"/>
  <c r="K92" i="14"/>
  <c r="K92" i="11"/>
  <c r="K363" i="14" l="1"/>
  <c r="K441" i="11"/>
  <c r="L92" i="20"/>
  <c r="L92" i="14"/>
  <c r="L92" i="11"/>
  <c r="K364" i="20"/>
  <c r="K93" i="11"/>
  <c r="K93" i="14"/>
  <c r="K93" i="20"/>
  <c r="K364" i="14" l="1"/>
  <c r="K442" i="11"/>
  <c r="L93" i="20"/>
  <c r="L93" i="14"/>
  <c r="L93" i="11"/>
  <c r="K365" i="20"/>
  <c r="K94" i="20"/>
  <c r="K94" i="14"/>
  <c r="K94" i="11"/>
  <c r="K365" i="14" l="1"/>
  <c r="K443" i="11"/>
  <c r="L94" i="20"/>
  <c r="L94" i="14"/>
  <c r="L94" i="11"/>
  <c r="K366" i="20"/>
  <c r="K95" i="14"/>
  <c r="K95" i="11"/>
  <c r="K95" i="20"/>
  <c r="K366" i="14" l="1"/>
  <c r="K444" i="11"/>
  <c r="L95" i="20"/>
  <c r="L95" i="14"/>
  <c r="L95" i="11"/>
  <c r="K367" i="20"/>
  <c r="K96" i="14"/>
  <c r="K96" i="11"/>
  <c r="K96" i="20"/>
  <c r="K367" i="14" l="1"/>
  <c r="K445" i="11"/>
  <c r="L96" i="20"/>
  <c r="L96" i="14"/>
  <c r="L96" i="11"/>
  <c r="K368" i="20"/>
  <c r="K97" i="11"/>
  <c r="K97" i="14"/>
  <c r="K97" i="20"/>
  <c r="K368" i="14" l="1"/>
  <c r="K446" i="11"/>
  <c r="L97" i="20"/>
  <c r="L97" i="14"/>
  <c r="L97" i="11"/>
  <c r="K369" i="20"/>
  <c r="K98" i="20"/>
  <c r="K98" i="14"/>
  <c r="K98" i="11"/>
  <c r="K369" i="14" l="1"/>
  <c r="K447" i="11"/>
  <c r="L98" i="20"/>
  <c r="L98" i="14"/>
  <c r="L98" i="11"/>
  <c r="K370" i="20"/>
  <c r="K99" i="11"/>
  <c r="K99" i="14"/>
  <c r="K99" i="20"/>
  <c r="K370" i="14" l="1"/>
  <c r="K448" i="11"/>
  <c r="L99" i="20"/>
  <c r="L99" i="14"/>
  <c r="L99" i="11"/>
  <c r="K371" i="20"/>
  <c r="K100" i="20"/>
  <c r="K100" i="11"/>
  <c r="K100" i="14"/>
  <c r="K371" i="14" l="1"/>
  <c r="K449" i="11"/>
  <c r="L100" i="20"/>
  <c r="L100" i="14"/>
  <c r="L100" i="11"/>
  <c r="K372" i="20"/>
  <c r="K101" i="14"/>
  <c r="K101" i="20"/>
  <c r="K101" i="11"/>
  <c r="K372" i="14" l="1"/>
  <c r="K450" i="11"/>
  <c r="L101" i="20"/>
  <c r="L101" i="14"/>
  <c r="L101" i="11"/>
  <c r="K373" i="20"/>
  <c r="K102" i="11"/>
  <c r="K102" i="20"/>
  <c r="K102" i="14"/>
  <c r="K373" i="14" l="1"/>
  <c r="K451" i="11"/>
  <c r="L102" i="20"/>
  <c r="L102" i="14"/>
  <c r="L102" i="11"/>
  <c r="K374" i="20"/>
  <c r="K103" i="11"/>
  <c r="K103" i="20"/>
  <c r="K103" i="14"/>
  <c r="K374" i="14" l="1"/>
  <c r="K452" i="11"/>
  <c r="L103" i="20"/>
  <c r="L103" i="14"/>
  <c r="L103" i="11"/>
  <c r="K375" i="20"/>
  <c r="K104" i="14"/>
  <c r="K104" i="11"/>
  <c r="K104" i="20"/>
  <c r="K375" i="14" l="1"/>
  <c r="K453" i="11"/>
  <c r="L104" i="20"/>
  <c r="L104" i="14"/>
  <c r="L104" i="11"/>
  <c r="K376" i="20"/>
  <c r="K105" i="11"/>
  <c r="K105" i="14"/>
  <c r="K105" i="20"/>
  <c r="K376" i="14" l="1"/>
  <c r="K454" i="11"/>
  <c r="L105" i="20"/>
  <c r="L105" i="14"/>
  <c r="L105" i="11"/>
  <c r="K377" i="20"/>
  <c r="K106" i="20"/>
  <c r="K106" i="14"/>
  <c r="K106" i="11"/>
  <c r="K377" i="14" l="1"/>
  <c r="K455" i="11"/>
  <c r="L106" i="20"/>
  <c r="L106" i="14"/>
  <c r="L106" i="11"/>
  <c r="K378" i="20"/>
  <c r="K107" i="14"/>
  <c r="K107" i="20"/>
  <c r="K107" i="11"/>
  <c r="K378" i="14" l="1"/>
  <c r="K456" i="11"/>
  <c r="L107" i="20"/>
  <c r="L107" i="14"/>
  <c r="L107" i="11"/>
  <c r="K379" i="20"/>
  <c r="K108" i="11"/>
  <c r="K108" i="14"/>
  <c r="K108" i="20"/>
  <c r="K379" i="14" l="1"/>
  <c r="K457" i="11"/>
  <c r="L108" i="20"/>
  <c r="L108" i="14"/>
  <c r="L108" i="11"/>
  <c r="K380" i="20"/>
  <c r="K109" i="14"/>
  <c r="K109" i="20"/>
  <c r="K109" i="11"/>
  <c r="K380" i="14" l="1"/>
  <c r="K458" i="11"/>
  <c r="L109" i="20"/>
  <c r="L109" i="14"/>
  <c r="L109" i="11"/>
  <c r="K381" i="20"/>
  <c r="K110" i="14"/>
  <c r="K110" i="20"/>
  <c r="K110" i="11"/>
  <c r="K381" i="14" l="1"/>
  <c r="K459" i="11"/>
  <c r="L110" i="20"/>
  <c r="L110" i="14"/>
  <c r="L110" i="11"/>
  <c r="K382" i="20"/>
  <c r="K111" i="11"/>
  <c r="K111" i="14"/>
  <c r="K111" i="20"/>
  <c r="K382" i="14" l="1"/>
  <c r="K460" i="11"/>
  <c r="L111" i="20"/>
  <c r="L111" i="14"/>
  <c r="L111" i="11"/>
  <c r="K383" i="20"/>
  <c r="K112" i="11"/>
  <c r="K112" i="20"/>
  <c r="K112" i="14"/>
  <c r="K383" i="14" l="1"/>
  <c r="K461" i="11"/>
  <c r="L112" i="20"/>
  <c r="L112" i="14"/>
  <c r="L112" i="11"/>
  <c r="K384" i="20"/>
  <c r="K113" i="14"/>
  <c r="K113" i="11"/>
  <c r="K113" i="20"/>
  <c r="K384" i="14" l="1"/>
  <c r="K462" i="11"/>
  <c r="L113" i="20"/>
  <c r="L113" i="14"/>
  <c r="L113" i="11"/>
  <c r="K385" i="20"/>
  <c r="K114" i="20"/>
  <c r="K114" i="14"/>
  <c r="K114" i="11"/>
  <c r="K385" i="14" l="1"/>
  <c r="K463" i="11"/>
  <c r="L114" i="20"/>
  <c r="L114" i="14"/>
  <c r="L114" i="11"/>
  <c r="K386" i="20"/>
  <c r="K115" i="11"/>
  <c r="K115" i="20"/>
  <c r="K115" i="14"/>
  <c r="K386" i="14" l="1"/>
  <c r="K464" i="11"/>
  <c r="L115" i="20"/>
  <c r="L115" i="14"/>
  <c r="L115" i="11"/>
  <c r="K387" i="20"/>
  <c r="K116" i="14"/>
  <c r="K116" i="20"/>
  <c r="K116" i="11"/>
  <c r="K387" i="14" l="1"/>
  <c r="K465" i="11"/>
  <c r="L116" i="20"/>
  <c r="L116" i="14"/>
  <c r="L116" i="11"/>
  <c r="K388" i="20"/>
  <c r="K117" i="11"/>
  <c r="K117" i="20"/>
  <c r="K117" i="14"/>
  <c r="K388" i="14" l="1"/>
  <c r="K466" i="11"/>
  <c r="L117" i="20"/>
  <c r="L117" i="14"/>
  <c r="L117" i="11"/>
  <c r="K389" i="20"/>
  <c r="K118" i="11"/>
  <c r="K118" i="14"/>
  <c r="K118" i="20"/>
  <c r="K389" i="14" l="1"/>
  <c r="K467" i="11"/>
  <c r="L118" i="20"/>
  <c r="L118" i="14"/>
  <c r="L118" i="11"/>
  <c r="K390" i="20"/>
  <c r="K119" i="14"/>
  <c r="K119" i="20"/>
  <c r="K119" i="11"/>
  <c r="K390" i="14" l="1"/>
  <c r="K468" i="11"/>
  <c r="L119" i="20"/>
  <c r="L119" i="14"/>
  <c r="L119" i="11"/>
  <c r="K391" i="20"/>
  <c r="K120" i="20"/>
  <c r="K120" i="14"/>
  <c r="K120" i="11"/>
  <c r="K391" i="14" l="1"/>
  <c r="K469" i="11"/>
  <c r="L120" i="20"/>
  <c r="L120" i="14"/>
  <c r="L120" i="11"/>
  <c r="K392" i="20"/>
  <c r="K121" i="20"/>
  <c r="K121" i="14"/>
  <c r="K121" i="11"/>
  <c r="K392" i="14" l="1"/>
  <c r="K470" i="11"/>
  <c r="L121" i="20"/>
  <c r="L121" i="14"/>
  <c r="L121" i="11"/>
  <c r="K393" i="20"/>
  <c r="K122" i="14"/>
  <c r="K122" i="20"/>
  <c r="K122" i="11"/>
  <c r="K393" i="14" l="1"/>
  <c r="K471" i="11"/>
  <c r="L122" i="20"/>
  <c r="L122" i="14"/>
  <c r="L122" i="11"/>
  <c r="K394" i="20"/>
  <c r="K123" i="11"/>
  <c r="K123" i="20"/>
  <c r="K123" i="14"/>
  <c r="K394" i="14" l="1"/>
  <c r="K472" i="11"/>
  <c r="L123" i="20"/>
  <c r="L123" i="14"/>
  <c r="L123" i="11"/>
  <c r="K395" i="20"/>
  <c r="K124" i="11"/>
  <c r="K124" i="20"/>
  <c r="K124" i="14"/>
  <c r="K395" i="14" l="1"/>
  <c r="K473" i="11"/>
  <c r="L124" i="20"/>
  <c r="L124" i="14"/>
  <c r="L124" i="11"/>
  <c r="K396" i="20"/>
  <c r="K125" i="14"/>
  <c r="K125" i="20"/>
  <c r="K125" i="11"/>
  <c r="K396" i="14" l="1"/>
  <c r="K474" i="11"/>
  <c r="L125" i="20"/>
  <c r="L125" i="14"/>
  <c r="L125" i="11"/>
  <c r="K397" i="20"/>
  <c r="K126" i="11"/>
  <c r="K126" i="20"/>
  <c r="K126" i="14"/>
  <c r="K397" i="14" l="1"/>
  <c r="K475" i="11"/>
  <c r="L126" i="20"/>
  <c r="L126" i="14"/>
  <c r="L126" i="11"/>
  <c r="K398" i="20"/>
  <c r="K127" i="14"/>
  <c r="K127" i="11"/>
  <c r="K127" i="20"/>
  <c r="K398" i="14" l="1"/>
  <c r="K476" i="11"/>
  <c r="L127" i="20"/>
  <c r="L127" i="14"/>
  <c r="L127" i="11"/>
  <c r="K399" i="20"/>
  <c r="K128" i="11"/>
  <c r="K128" i="14"/>
  <c r="K128" i="20"/>
  <c r="K399" i="14" l="1"/>
  <c r="K477" i="11"/>
  <c r="L128" i="20"/>
  <c r="L128" i="14"/>
  <c r="L128" i="11"/>
  <c r="K400" i="20"/>
  <c r="K129" i="11"/>
  <c r="K129" i="14"/>
  <c r="K129" i="20"/>
  <c r="K400" i="14" l="1"/>
  <c r="K478" i="11"/>
  <c r="L129" i="20"/>
  <c r="L129" i="14"/>
  <c r="L129" i="11"/>
  <c r="K401" i="20"/>
  <c r="K130" i="20"/>
  <c r="K130" i="11"/>
  <c r="K130" i="14"/>
  <c r="K401" i="14" l="1"/>
  <c r="K479" i="11"/>
  <c r="L130" i="20"/>
  <c r="L130" i="14"/>
  <c r="L130" i="11"/>
  <c r="K402" i="20"/>
  <c r="K131" i="20"/>
  <c r="K131" i="11"/>
  <c r="K131" i="14"/>
  <c r="K402" i="14" l="1"/>
  <c r="K480" i="11"/>
  <c r="L131" i="20"/>
  <c r="L131" i="14"/>
  <c r="L131" i="11"/>
  <c r="K403" i="20"/>
  <c r="K132" i="20"/>
  <c r="K132" i="11"/>
  <c r="K132" i="14"/>
  <c r="K403" i="14" l="1"/>
  <c r="K481" i="11"/>
  <c r="L132" i="20"/>
  <c r="L132" i="14"/>
  <c r="L132" i="11"/>
  <c r="K404" i="20"/>
  <c r="K133" i="14"/>
  <c r="K133" i="11"/>
  <c r="K133" i="20"/>
  <c r="K404" i="14" l="1"/>
  <c r="K482" i="11"/>
  <c r="L133" i="20"/>
  <c r="L133" i="14"/>
  <c r="L133" i="11"/>
  <c r="K405" i="20"/>
  <c r="K134" i="11"/>
  <c r="K134" i="20"/>
  <c r="K134" i="14"/>
  <c r="K405" i="14" l="1"/>
  <c r="K483" i="11"/>
  <c r="L134" i="20"/>
  <c r="L134" i="14"/>
  <c r="L134" i="11"/>
  <c r="K406" i="20"/>
  <c r="K135" i="11"/>
  <c r="K135" i="14"/>
  <c r="K135" i="20"/>
  <c r="K406" i="14" l="1"/>
  <c r="K484" i="11"/>
  <c r="L135" i="20"/>
  <c r="L135" i="14"/>
  <c r="L135" i="11"/>
  <c r="K407" i="20"/>
  <c r="K136" i="20"/>
  <c r="K136" i="11"/>
  <c r="K136" i="14"/>
  <c r="K407" i="14" l="1"/>
  <c r="K485" i="11"/>
  <c r="L136" i="20"/>
  <c r="L136" i="14"/>
  <c r="L136" i="11"/>
  <c r="K408" i="20"/>
  <c r="K137" i="20"/>
  <c r="K137" i="14"/>
  <c r="K137" i="11"/>
  <c r="K408" i="14" l="1"/>
  <c r="K486" i="11"/>
  <c r="L137" i="20"/>
  <c r="L137" i="14"/>
  <c r="L137" i="11"/>
  <c r="K409" i="20"/>
  <c r="K138" i="14"/>
  <c r="K138" i="20"/>
  <c r="K138" i="11"/>
  <c r="K409" i="14" l="1"/>
  <c r="K487" i="11"/>
  <c r="L138" i="20"/>
  <c r="L138" i="14"/>
  <c r="L138" i="11"/>
  <c r="K410" i="20"/>
  <c r="K139" i="11"/>
  <c r="K139" i="14"/>
  <c r="K139" i="20"/>
  <c r="K410" i="14" l="1"/>
  <c r="K488" i="11"/>
  <c r="L139" i="20"/>
  <c r="L139" i="14"/>
  <c r="L139" i="11"/>
  <c r="K411" i="20"/>
  <c r="K140" i="14"/>
  <c r="K140" i="11"/>
  <c r="K140" i="20"/>
  <c r="K411" i="14" l="1"/>
  <c r="K489" i="11"/>
  <c r="L140" i="20"/>
  <c r="L140" i="14"/>
  <c r="L140" i="11"/>
  <c r="K412" i="20"/>
  <c r="K141" i="11"/>
  <c r="K141" i="14"/>
  <c r="K141" i="20"/>
  <c r="K412" i="14" l="1"/>
  <c r="K490" i="11"/>
  <c r="L141" i="20"/>
  <c r="L141" i="14"/>
  <c r="L141" i="11"/>
  <c r="K413" i="20"/>
  <c r="K142" i="20"/>
  <c r="K142" i="11"/>
  <c r="K142" i="14"/>
  <c r="K413" i="14" l="1"/>
  <c r="K491" i="11"/>
  <c r="L142" i="20"/>
  <c r="L142" i="14"/>
  <c r="L142" i="11"/>
  <c r="K414" i="20"/>
  <c r="K143" i="11"/>
  <c r="K143" i="14"/>
  <c r="K143" i="20"/>
  <c r="K414" i="14" l="1"/>
  <c r="K492" i="11"/>
  <c r="L143" i="20"/>
  <c r="L143" i="14"/>
  <c r="L143" i="11"/>
  <c r="K415" i="20"/>
  <c r="K144" i="11"/>
  <c r="K144" i="14"/>
  <c r="K144" i="20"/>
  <c r="K415" i="14" l="1"/>
  <c r="K493" i="11"/>
  <c r="L144" i="20"/>
  <c r="L144" i="14"/>
  <c r="L144" i="11"/>
  <c r="K416" i="20"/>
  <c r="K145" i="20"/>
  <c r="K145" i="14"/>
  <c r="K145" i="11"/>
  <c r="K416" i="14" l="1"/>
  <c r="K494" i="11"/>
  <c r="L145" i="20"/>
  <c r="L145" i="14"/>
  <c r="L145" i="11"/>
  <c r="K417" i="20"/>
  <c r="K146" i="20"/>
  <c r="K146" i="14"/>
  <c r="K146" i="11"/>
  <c r="K417" i="14" l="1"/>
  <c r="K495" i="11"/>
  <c r="L146" i="20"/>
  <c r="L146" i="14"/>
  <c r="L146" i="11"/>
  <c r="K418" i="20"/>
  <c r="K147" i="11"/>
  <c r="K147" i="20"/>
  <c r="K147" i="14"/>
  <c r="K418" i="14" l="1"/>
  <c r="K496" i="11"/>
  <c r="L147" i="20"/>
  <c r="L147" i="14"/>
  <c r="L147" i="11"/>
  <c r="K419" i="20"/>
  <c r="K148" i="14"/>
  <c r="K148" i="20"/>
  <c r="K148" i="11"/>
  <c r="K419" i="14" l="1"/>
  <c r="K497" i="11"/>
  <c r="L148" i="20"/>
  <c r="L148" i="14"/>
  <c r="L148" i="11"/>
  <c r="K420" i="20"/>
  <c r="K149" i="14"/>
  <c r="K149" i="11"/>
  <c r="K149" i="20"/>
  <c r="K420" i="14" l="1"/>
  <c r="K498" i="11"/>
  <c r="L149" i="20"/>
  <c r="L149" i="14"/>
  <c r="L149" i="11"/>
  <c r="K421" i="20"/>
  <c r="K150" i="20"/>
  <c r="K150" i="14"/>
  <c r="K150" i="11"/>
  <c r="K421" i="14" l="1"/>
  <c r="K499" i="11"/>
  <c r="L150" i="20"/>
  <c r="L150" i="14"/>
  <c r="L150" i="11"/>
  <c r="K422" i="20"/>
  <c r="K151" i="11"/>
  <c r="K151" i="20"/>
  <c r="K151" i="14"/>
  <c r="K422" i="14" l="1"/>
  <c r="K500" i="11"/>
  <c r="L151" i="20"/>
  <c r="L151" i="14"/>
  <c r="L151" i="11"/>
  <c r="K423" i="20"/>
  <c r="K152" i="11"/>
  <c r="K152" i="14"/>
  <c r="K152" i="20"/>
  <c r="K423" i="14" l="1"/>
  <c r="K501" i="11"/>
  <c r="L152" i="20"/>
  <c r="L152" i="14"/>
  <c r="L152" i="11"/>
  <c r="K424" i="20"/>
  <c r="K153" i="14"/>
  <c r="K153" i="20"/>
  <c r="K153" i="11"/>
  <c r="K424" i="14" l="1"/>
  <c r="K502" i="11"/>
  <c r="L153" i="20"/>
  <c r="L153" i="14"/>
  <c r="L153" i="11"/>
  <c r="K425" i="20"/>
  <c r="K154" i="20"/>
  <c r="K154" i="14"/>
  <c r="K154" i="11"/>
  <c r="K425" i="14" l="1"/>
  <c r="K503" i="11"/>
  <c r="L154" i="20"/>
  <c r="L154" i="14"/>
  <c r="L154" i="11"/>
  <c r="K426" i="20"/>
  <c r="K155" i="11"/>
  <c r="K155" i="14"/>
  <c r="K155" i="20"/>
  <c r="K426" i="14" l="1"/>
  <c r="K504" i="11"/>
  <c r="L155" i="20"/>
  <c r="L155" i="14"/>
  <c r="L155" i="11"/>
  <c r="K427" i="20"/>
  <c r="K156" i="14"/>
  <c r="K156" i="11"/>
  <c r="K156" i="20"/>
  <c r="K427" i="14" l="1"/>
  <c r="K505" i="11"/>
  <c r="L156" i="20"/>
  <c r="L156" i="14"/>
  <c r="L156" i="11"/>
  <c r="K428" i="20"/>
  <c r="K157" i="14"/>
  <c r="K157" i="11"/>
  <c r="K157" i="20"/>
  <c r="K428" i="14" l="1"/>
  <c r="K506" i="11"/>
  <c r="L157" i="20"/>
  <c r="L157" i="14"/>
  <c r="L157" i="11"/>
  <c r="K429" i="20"/>
  <c r="K158" i="14"/>
  <c r="K158" i="11"/>
  <c r="K158" i="20"/>
  <c r="K429" i="14" l="1"/>
  <c r="K507" i="11"/>
  <c r="L158" i="20"/>
  <c r="L158" i="14"/>
  <c r="L158" i="11"/>
  <c r="K430" i="20"/>
  <c r="K159" i="14"/>
  <c r="K159" i="20"/>
  <c r="K159" i="11"/>
  <c r="K430" i="14" l="1"/>
  <c r="K508" i="11"/>
  <c r="L159" i="20"/>
  <c r="L159" i="14"/>
  <c r="L159" i="11"/>
  <c r="K431" i="20"/>
  <c r="K160" i="14"/>
  <c r="K160" i="20"/>
  <c r="K160" i="11"/>
  <c r="K431" i="14" l="1"/>
  <c r="K509" i="11"/>
  <c r="L160" i="20"/>
  <c r="L160" i="14"/>
  <c r="L160" i="11"/>
  <c r="K432" i="20"/>
  <c r="K161" i="20"/>
  <c r="K161" i="14"/>
  <c r="K161" i="11"/>
  <c r="K432" i="14" l="1"/>
  <c r="K510" i="11"/>
  <c r="L161" i="20"/>
  <c r="L161" i="14"/>
  <c r="L161" i="11"/>
  <c r="K433" i="20"/>
  <c r="K162" i="20"/>
  <c r="K162" i="11"/>
  <c r="K162" i="14"/>
  <c r="K433" i="14" l="1"/>
  <c r="K511" i="11"/>
  <c r="L162" i="20"/>
  <c r="L162" i="14"/>
  <c r="L162" i="11"/>
  <c r="K434" i="20"/>
  <c r="K163" i="14"/>
  <c r="K163" i="20"/>
  <c r="K163" i="11"/>
  <c r="K434" i="14" l="1"/>
  <c r="K512" i="11"/>
  <c r="L163" i="20"/>
  <c r="L163" i="14"/>
  <c r="L163" i="11"/>
  <c r="K435" i="20"/>
  <c r="K164" i="20"/>
  <c r="K164" i="11"/>
  <c r="K164" i="14"/>
  <c r="K435" i="14" l="1"/>
  <c r="K513" i="11"/>
  <c r="L164" i="20"/>
  <c r="L164" i="14"/>
  <c r="L164" i="11"/>
  <c r="K436" i="20"/>
  <c r="K165" i="20"/>
  <c r="K165" i="14"/>
  <c r="K165" i="11"/>
  <c r="K436" i="14" l="1"/>
  <c r="K514" i="11"/>
  <c r="L165" i="20"/>
  <c r="L165" i="14"/>
  <c r="L165" i="11"/>
  <c r="K437" i="20"/>
  <c r="K166" i="20"/>
  <c r="K166" i="11"/>
  <c r="K166" i="14"/>
  <c r="K437" i="14" l="1"/>
  <c r="K515" i="11"/>
  <c r="L166" i="20"/>
  <c r="L166" i="14"/>
  <c r="L166" i="11"/>
  <c r="K438" i="20"/>
  <c r="K167" i="11"/>
  <c r="K167" i="14"/>
  <c r="K167" i="20"/>
  <c r="K438" i="14" l="1"/>
  <c r="K516" i="11"/>
  <c r="L167" i="20"/>
  <c r="L167" i="14"/>
  <c r="L167" i="11"/>
  <c r="K439" i="20"/>
  <c r="K168" i="20"/>
  <c r="K168" i="14"/>
  <c r="K168" i="11"/>
  <c r="K439" i="14" l="1"/>
  <c r="K517" i="11"/>
  <c r="L168" i="20"/>
  <c r="L168" i="14"/>
  <c r="L168" i="11"/>
  <c r="K440" i="20"/>
  <c r="K169" i="11"/>
  <c r="K169" i="20"/>
  <c r="K169" i="14"/>
  <c r="K440" i="14" l="1"/>
  <c r="K518" i="11"/>
  <c r="L169" i="20"/>
  <c r="L169" i="14"/>
  <c r="L169" i="11"/>
  <c r="K441" i="20"/>
  <c r="K170" i="14"/>
  <c r="K170" i="20"/>
  <c r="K170" i="11"/>
  <c r="K441" i="14" l="1"/>
  <c r="K519" i="11"/>
  <c r="L170" i="20"/>
  <c r="L170" i="14"/>
  <c r="L170" i="11"/>
  <c r="K442" i="20"/>
  <c r="K171" i="20"/>
  <c r="K171" i="11"/>
  <c r="K171" i="14"/>
  <c r="K442" i="14" l="1"/>
  <c r="K520" i="11"/>
  <c r="L171" i="20"/>
  <c r="L171" i="14"/>
  <c r="L171" i="11"/>
  <c r="K443" i="20"/>
  <c r="K172" i="11"/>
  <c r="K172" i="14"/>
  <c r="K172" i="20"/>
  <c r="K443" i="14" l="1"/>
  <c r="K521" i="11"/>
  <c r="L172" i="20"/>
  <c r="L172" i="14"/>
  <c r="L172" i="11"/>
  <c r="K444" i="20"/>
  <c r="K173" i="11"/>
  <c r="K173" i="20"/>
  <c r="K173" i="14"/>
  <c r="K444" i="14" l="1"/>
  <c r="K522" i="11"/>
  <c r="L173" i="20"/>
  <c r="L173" i="14"/>
  <c r="L173" i="11"/>
  <c r="K445" i="20"/>
  <c r="K174" i="20"/>
  <c r="K174" i="14"/>
  <c r="K174" i="11"/>
  <c r="K445" i="14" l="1"/>
  <c r="K523" i="11"/>
  <c r="L174" i="20"/>
  <c r="L174" i="14"/>
  <c r="L174" i="11"/>
  <c r="K446" i="20"/>
  <c r="K175" i="14"/>
  <c r="K175" i="11"/>
  <c r="K175" i="20"/>
  <c r="K446" i="14" l="1"/>
  <c r="K524" i="11"/>
  <c r="L175" i="20"/>
  <c r="L175" i="14"/>
  <c r="L175" i="11"/>
  <c r="K447" i="20"/>
  <c r="K176" i="20"/>
  <c r="K176" i="11"/>
  <c r="K176" i="14"/>
  <c r="K447" i="14" l="1"/>
  <c r="K525" i="11"/>
  <c r="L176" i="20"/>
  <c r="L176" i="14"/>
  <c r="L176" i="11"/>
  <c r="K448" i="20"/>
  <c r="K177" i="14"/>
  <c r="K177" i="20"/>
  <c r="K177" i="11"/>
  <c r="K448" i="14" l="1"/>
  <c r="K526" i="11"/>
  <c r="L177" i="20"/>
  <c r="L177" i="14"/>
  <c r="L177" i="11"/>
  <c r="K449" i="20"/>
  <c r="K178" i="14"/>
  <c r="K178" i="11"/>
  <c r="K178" i="20"/>
  <c r="K449" i="14" l="1"/>
  <c r="K527" i="11"/>
  <c r="L178" i="20"/>
  <c r="L178" i="14"/>
  <c r="L178" i="11"/>
  <c r="K450" i="20"/>
  <c r="K179" i="20"/>
  <c r="K179" i="11"/>
  <c r="K179" i="14"/>
  <c r="K450" i="14" l="1"/>
  <c r="K528" i="11"/>
  <c r="L179" i="20"/>
  <c r="L179" i="14"/>
  <c r="L179" i="11"/>
  <c r="K451" i="20"/>
  <c r="K180" i="20"/>
  <c r="K180" i="11"/>
  <c r="K180" i="14"/>
  <c r="K451" i="14" l="1"/>
  <c r="K529" i="11"/>
  <c r="L180" i="20"/>
  <c r="L180" i="14"/>
  <c r="L180" i="11"/>
  <c r="K452" i="20"/>
  <c r="K181" i="14"/>
  <c r="K181" i="11"/>
  <c r="K181" i="20"/>
  <c r="K452" i="14" l="1"/>
  <c r="K530" i="11"/>
  <c r="L181" i="20"/>
  <c r="L181" i="14"/>
  <c r="L181" i="11"/>
  <c r="K453" i="20"/>
  <c r="K182" i="11"/>
  <c r="K182" i="14"/>
  <c r="K182" i="20"/>
  <c r="K453" i="14" l="1"/>
  <c r="K531" i="11"/>
  <c r="L182" i="20"/>
  <c r="L182" i="14"/>
  <c r="L182" i="11"/>
  <c r="K454" i="20"/>
  <c r="K183" i="20"/>
  <c r="K183" i="11"/>
  <c r="K183" i="14"/>
  <c r="K454" i="14" l="1"/>
  <c r="K532" i="11"/>
  <c r="L183" i="20"/>
  <c r="L183" i="14"/>
  <c r="L183" i="11"/>
  <c r="K455" i="20"/>
  <c r="K184" i="11"/>
  <c r="K184" i="20"/>
  <c r="K184" i="14"/>
  <c r="K455" i="14" l="1"/>
  <c r="K533" i="11"/>
  <c r="L184" i="20"/>
  <c r="L184" i="14"/>
  <c r="L184" i="11"/>
  <c r="K456" i="20"/>
  <c r="K185" i="20"/>
  <c r="K185" i="14"/>
  <c r="K185" i="11"/>
  <c r="K456" i="14" l="1"/>
  <c r="K534" i="11"/>
  <c r="L185" i="20"/>
  <c r="L185" i="14"/>
  <c r="L185" i="11"/>
  <c r="K457" i="20"/>
  <c r="K186" i="11"/>
  <c r="K186" i="14"/>
  <c r="K186" i="20"/>
  <c r="K457" i="14" l="1"/>
  <c r="K535" i="11"/>
  <c r="L186" i="20"/>
  <c r="L186" i="14"/>
  <c r="L186" i="11"/>
  <c r="K458" i="20"/>
  <c r="K187" i="20"/>
  <c r="K187" i="14"/>
  <c r="K187" i="11"/>
  <c r="K458" i="14" l="1"/>
  <c r="K536" i="11"/>
  <c r="L187" i="20"/>
  <c r="L187" i="14"/>
  <c r="L187" i="11"/>
  <c r="K459" i="20"/>
  <c r="K188" i="14"/>
  <c r="K188" i="20"/>
  <c r="K188" i="11"/>
  <c r="K459" i="14" l="1"/>
  <c r="K537" i="11"/>
  <c r="L188" i="20"/>
  <c r="L188" i="14"/>
  <c r="L188" i="11"/>
  <c r="K460" i="20"/>
  <c r="K189" i="20"/>
  <c r="K189" i="14"/>
  <c r="K189" i="11"/>
  <c r="K460" i="14" l="1"/>
  <c r="K538" i="11"/>
  <c r="L189" i="20"/>
  <c r="L189" i="14"/>
  <c r="L189" i="11"/>
  <c r="K461" i="20"/>
  <c r="K190" i="11"/>
  <c r="K190" i="20"/>
  <c r="K190" i="14"/>
  <c r="K461" i="14" l="1"/>
  <c r="K539" i="11"/>
  <c r="L190" i="20"/>
  <c r="L190" i="14"/>
  <c r="L190" i="11"/>
  <c r="K462" i="20"/>
  <c r="K191" i="11"/>
  <c r="K191" i="14"/>
  <c r="K191" i="20"/>
  <c r="K462" i="14" l="1"/>
  <c r="K540" i="11"/>
  <c r="L191" i="20"/>
  <c r="L191" i="14"/>
  <c r="L191" i="11"/>
  <c r="K463" i="20"/>
  <c r="K192" i="14"/>
  <c r="K192" i="20"/>
  <c r="K192" i="11"/>
  <c r="K463" i="14" l="1"/>
  <c r="K541" i="11"/>
  <c r="L192" i="20"/>
  <c r="L192" i="14"/>
  <c r="L192" i="11"/>
  <c r="K464" i="20"/>
  <c r="K193" i="20"/>
  <c r="K193" i="14"/>
  <c r="K193" i="11"/>
  <c r="K464" i="14" l="1"/>
  <c r="K542" i="11"/>
  <c r="L193" i="20"/>
  <c r="L193" i="14"/>
  <c r="L193" i="11"/>
  <c r="K465" i="20"/>
  <c r="K194" i="14"/>
  <c r="K194" i="20"/>
  <c r="K194" i="11"/>
  <c r="K465" i="14" l="1"/>
  <c r="K543" i="11"/>
  <c r="L194" i="20"/>
  <c r="L194" i="14"/>
  <c r="L194" i="11"/>
  <c r="K466" i="20"/>
  <c r="K195" i="11"/>
  <c r="K195" i="14"/>
  <c r="K195" i="20"/>
  <c r="K466" i="14" l="1"/>
  <c r="K544" i="11"/>
  <c r="L195" i="20"/>
  <c r="L195" i="14"/>
  <c r="L195" i="11"/>
  <c r="K467" i="20"/>
  <c r="K196" i="14"/>
  <c r="K196" i="20"/>
  <c r="K196" i="11"/>
  <c r="K467" i="14" l="1"/>
  <c r="K545" i="11"/>
  <c r="L196" i="20"/>
  <c r="L196" i="14"/>
  <c r="L196" i="11"/>
  <c r="K468" i="20"/>
  <c r="K197" i="20"/>
  <c r="K197" i="14"/>
  <c r="K197" i="11"/>
  <c r="K468" i="14" l="1"/>
  <c r="K546" i="11"/>
  <c r="L197" i="20"/>
  <c r="L197" i="14"/>
  <c r="L197" i="11"/>
  <c r="K469" i="20"/>
  <c r="K198" i="20"/>
  <c r="K198" i="14"/>
  <c r="K198" i="11"/>
  <c r="K469" i="14" l="1"/>
  <c r="K547" i="11"/>
  <c r="L198" i="20"/>
  <c r="L198" i="14"/>
  <c r="L198" i="11"/>
  <c r="K470" i="20"/>
  <c r="K199" i="14"/>
  <c r="K199" i="20"/>
  <c r="K199" i="11"/>
  <c r="K470" i="14" l="1"/>
  <c r="K548" i="11"/>
  <c r="L199" i="20"/>
  <c r="L199" i="14"/>
  <c r="L199" i="11"/>
  <c r="K471" i="20"/>
  <c r="K200" i="14"/>
  <c r="K200" i="20"/>
  <c r="K200" i="11"/>
  <c r="K471" i="14" l="1"/>
  <c r="K549" i="11"/>
  <c r="L200" i="20"/>
  <c r="L200" i="14"/>
  <c r="L200" i="11"/>
  <c r="K472" i="20"/>
  <c r="K201" i="14"/>
  <c r="K201" i="11"/>
  <c r="K201" i="20"/>
  <c r="K472" i="14" l="1"/>
  <c r="K550" i="11"/>
  <c r="L201" i="20"/>
  <c r="L201" i="14"/>
  <c r="L201" i="11"/>
  <c r="K473" i="20"/>
  <c r="K202" i="11"/>
  <c r="K202" i="20"/>
  <c r="K202" i="14"/>
  <c r="K473" i="14" l="1"/>
  <c r="K551" i="11"/>
  <c r="L202" i="20"/>
  <c r="L202" i="14"/>
  <c r="L202" i="11"/>
  <c r="K474" i="20"/>
  <c r="K203" i="11"/>
  <c r="K203" i="20"/>
  <c r="K203" i="14"/>
  <c r="K474" i="14" l="1"/>
  <c r="K552" i="11"/>
  <c r="L203" i="20"/>
  <c r="L203" i="14"/>
  <c r="L203" i="11"/>
  <c r="K475" i="20"/>
  <c r="K204" i="20"/>
  <c r="K204" i="11"/>
  <c r="K204" i="14"/>
  <c r="K475" i="14" l="1"/>
  <c r="K553" i="11"/>
  <c r="L204" i="20"/>
  <c r="L204" i="14"/>
  <c r="L204" i="11"/>
  <c r="K476" i="20"/>
  <c r="K205" i="14"/>
  <c r="K205" i="20"/>
  <c r="K205" i="11"/>
  <c r="K476" i="14" l="1"/>
  <c r="K554" i="11"/>
  <c r="L205" i="20"/>
  <c r="L205" i="14"/>
  <c r="L205" i="11"/>
  <c r="K477" i="20"/>
  <c r="K206" i="14"/>
  <c r="K206" i="20"/>
  <c r="K206" i="11"/>
  <c r="K477" i="14" l="1"/>
  <c r="K555" i="11"/>
  <c r="L206" i="20"/>
  <c r="L206" i="14"/>
  <c r="L206" i="11"/>
  <c r="K478" i="20"/>
  <c r="K207" i="11"/>
  <c r="K207" i="20"/>
  <c r="K207" i="14"/>
  <c r="K478" i="14" l="1"/>
  <c r="K556" i="11"/>
  <c r="L207" i="20"/>
  <c r="L207" i="14"/>
  <c r="L207" i="11"/>
  <c r="K479" i="20"/>
  <c r="K208" i="20"/>
  <c r="K208" i="14"/>
  <c r="K208" i="11"/>
  <c r="K479" i="14" l="1"/>
  <c r="K557" i="11"/>
  <c r="L208" i="20"/>
  <c r="L208" i="14"/>
  <c r="L208" i="11"/>
  <c r="K480" i="20"/>
  <c r="K209" i="14"/>
  <c r="K209" i="11"/>
  <c r="K209" i="20"/>
  <c r="K558" i="11" l="1"/>
  <c r="L209" i="20"/>
  <c r="L209" i="14"/>
  <c r="L209" i="11"/>
  <c r="K481" i="20"/>
  <c r="K210" i="11"/>
  <c r="K210" i="20"/>
  <c r="K210" i="14"/>
  <c r="K559" i="11" l="1"/>
  <c r="L210" i="20"/>
  <c r="L210" i="14"/>
  <c r="L210" i="11"/>
  <c r="K482" i="20"/>
  <c r="K211" i="20"/>
  <c r="K211" i="14"/>
  <c r="K211" i="11"/>
  <c r="K560" i="11" l="1"/>
  <c r="L211" i="20"/>
  <c r="L211" i="14"/>
  <c r="L211" i="11"/>
  <c r="K483" i="20"/>
  <c r="K212" i="11"/>
  <c r="K212" i="20"/>
  <c r="K212" i="14"/>
  <c r="K561" i="11" l="1"/>
  <c r="L212" i="20"/>
  <c r="L212" i="14"/>
  <c r="L212" i="11"/>
  <c r="K484" i="20"/>
  <c r="K213" i="11"/>
  <c r="K213" i="14"/>
  <c r="K213" i="20"/>
  <c r="K562" i="11" l="1"/>
  <c r="L213" i="20"/>
  <c r="L213" i="14"/>
  <c r="L213" i="11"/>
  <c r="K485" i="20"/>
  <c r="K214" i="11"/>
  <c r="K214" i="14"/>
  <c r="K214" i="20"/>
  <c r="K563" i="11" l="1"/>
  <c r="L214" i="20"/>
  <c r="L214" i="14"/>
  <c r="L214" i="11"/>
  <c r="K486" i="20"/>
  <c r="K215" i="20"/>
  <c r="K215" i="11"/>
  <c r="K215" i="14"/>
  <c r="K564" i="11" l="1"/>
  <c r="L215" i="20"/>
  <c r="L215" i="14"/>
  <c r="L215" i="11"/>
  <c r="K487" i="20"/>
  <c r="K216" i="14"/>
  <c r="K216" i="11"/>
  <c r="K216" i="20"/>
  <c r="K565" i="11" l="1"/>
  <c r="L216" i="20"/>
  <c r="L216" i="14"/>
  <c r="L216" i="11"/>
  <c r="K488" i="20"/>
  <c r="K217" i="14"/>
  <c r="K217" i="20"/>
  <c r="K217" i="11"/>
  <c r="K566" i="11" l="1"/>
  <c r="L217" i="20"/>
  <c r="L217" i="14"/>
  <c r="L217" i="11"/>
  <c r="K489" i="20"/>
  <c r="K218" i="11"/>
  <c r="K218" i="14"/>
  <c r="K218" i="20"/>
  <c r="K567" i="11" l="1"/>
  <c r="L218" i="20"/>
  <c r="L218" i="14"/>
  <c r="L218" i="11"/>
  <c r="K490" i="20"/>
  <c r="K219" i="20"/>
  <c r="K219" i="11"/>
  <c r="K219" i="14"/>
  <c r="K568" i="11" l="1"/>
  <c r="L219" i="20"/>
  <c r="L219" i="14"/>
  <c r="L219" i="11"/>
  <c r="K491" i="20"/>
  <c r="K220" i="11"/>
  <c r="K220" i="20"/>
  <c r="K220" i="14"/>
  <c r="K569" i="11" l="1"/>
  <c r="L220" i="20"/>
  <c r="L220" i="14"/>
  <c r="L220" i="11"/>
  <c r="K492" i="20"/>
  <c r="K221" i="20"/>
  <c r="K221" i="14"/>
  <c r="K221" i="11"/>
  <c r="K570" i="11" l="1"/>
  <c r="L221" i="20"/>
  <c r="L221" i="14"/>
  <c r="L221" i="11"/>
  <c r="K493" i="20"/>
  <c r="K222" i="20"/>
  <c r="K222" i="14"/>
  <c r="K222" i="11"/>
  <c r="K571" i="11" l="1"/>
  <c r="L222" i="20"/>
  <c r="L222" i="14"/>
  <c r="L222" i="11"/>
  <c r="K494" i="20"/>
  <c r="K223" i="11"/>
  <c r="K223" i="20"/>
  <c r="K223" i="14"/>
  <c r="K572" i="11" l="1"/>
  <c r="L223" i="20"/>
  <c r="L223" i="14"/>
  <c r="L223" i="11"/>
  <c r="K495" i="20"/>
  <c r="K224" i="11"/>
  <c r="K224" i="14"/>
  <c r="K224" i="20"/>
  <c r="K573" i="11" l="1"/>
  <c r="L224" i="20"/>
  <c r="L224" i="14"/>
  <c r="L224" i="11"/>
  <c r="K496" i="20"/>
  <c r="K225" i="14"/>
  <c r="K225" i="11"/>
  <c r="K225" i="20"/>
  <c r="K574" i="11" l="1"/>
  <c r="L225" i="20"/>
  <c r="L225" i="14"/>
  <c r="L225" i="11"/>
  <c r="K497" i="20"/>
  <c r="K226" i="14"/>
  <c r="K226" i="20"/>
  <c r="K226" i="11"/>
  <c r="K575" i="11" l="1"/>
  <c r="L226" i="20"/>
  <c r="L226" i="14"/>
  <c r="L226" i="11"/>
  <c r="K498" i="20"/>
  <c r="K227" i="11"/>
  <c r="K227" i="14"/>
  <c r="K227" i="20"/>
  <c r="K576" i="11" l="1"/>
  <c r="L227" i="20"/>
  <c r="L227" i="14"/>
  <c r="L227" i="11"/>
  <c r="K499" i="20"/>
  <c r="K228" i="20"/>
  <c r="K228" i="14"/>
  <c r="K228" i="11"/>
  <c r="K577" i="11" l="1"/>
  <c r="L228" i="20"/>
  <c r="L228" i="14"/>
  <c r="L228" i="11"/>
  <c r="K500" i="20"/>
  <c r="K229" i="14"/>
  <c r="K229" i="20"/>
  <c r="K229" i="11"/>
  <c r="K578" i="11" l="1"/>
  <c r="L229" i="20"/>
  <c r="L229" i="14"/>
  <c r="L229" i="11"/>
  <c r="K501" i="20"/>
  <c r="K230" i="11"/>
  <c r="K230" i="20"/>
  <c r="K230" i="14"/>
  <c r="K579" i="11" l="1"/>
  <c r="L230" i="20"/>
  <c r="L230" i="14"/>
  <c r="L230" i="11"/>
  <c r="K502" i="20"/>
  <c r="K231" i="11"/>
  <c r="K231" i="20"/>
  <c r="K231" i="14"/>
  <c r="K580" i="11" l="1"/>
  <c r="L231" i="20"/>
  <c r="L231" i="14"/>
  <c r="L231" i="11"/>
  <c r="K503" i="20"/>
  <c r="K232" i="20"/>
  <c r="K232" i="11"/>
  <c r="K232" i="14"/>
  <c r="K581" i="11" l="1"/>
  <c r="L232" i="20"/>
  <c r="L232" i="14"/>
  <c r="L232" i="11"/>
  <c r="K504" i="20"/>
  <c r="K233" i="11"/>
  <c r="K233" i="20"/>
  <c r="K233" i="14"/>
  <c r="K582" i="11" l="1"/>
  <c r="L233" i="20"/>
  <c r="L233" i="14"/>
  <c r="L233" i="11"/>
  <c r="K505" i="20"/>
  <c r="K234" i="11"/>
  <c r="K234" i="20"/>
  <c r="K234" i="14"/>
  <c r="K583" i="11" l="1"/>
  <c r="L234" i="20"/>
  <c r="L234" i="14"/>
  <c r="L234" i="11"/>
  <c r="K506" i="20"/>
  <c r="K235" i="14"/>
  <c r="K235" i="20"/>
  <c r="K235" i="11"/>
  <c r="K584" i="11" l="1"/>
  <c r="L235" i="20"/>
  <c r="L235" i="14"/>
  <c r="L235" i="11"/>
  <c r="K507" i="20"/>
  <c r="K236" i="20"/>
  <c r="K236" i="14"/>
  <c r="K236" i="11"/>
  <c r="K585" i="11" l="1"/>
  <c r="L236" i="20"/>
  <c r="L236" i="14"/>
  <c r="L236" i="11"/>
  <c r="K508" i="20"/>
  <c r="K237" i="11"/>
  <c r="K237" i="14"/>
  <c r="K237" i="20"/>
  <c r="K586" i="11" l="1"/>
  <c r="L237" i="20"/>
  <c r="L237" i="14"/>
  <c r="L237" i="11"/>
  <c r="K509" i="20"/>
  <c r="K238" i="20"/>
  <c r="K238" i="11"/>
  <c r="K238" i="14"/>
  <c r="K587" i="11" l="1"/>
  <c r="L238" i="20"/>
  <c r="L238" i="14"/>
  <c r="L238" i="11"/>
  <c r="K510" i="20"/>
  <c r="K239" i="20"/>
  <c r="K239" i="11"/>
  <c r="K239" i="14"/>
  <c r="K588" i="11" l="1"/>
  <c r="L239" i="20"/>
  <c r="L239" i="14"/>
  <c r="L239" i="11"/>
  <c r="K511" i="20"/>
  <c r="K240" i="14"/>
  <c r="K240" i="11"/>
  <c r="K240" i="20"/>
  <c r="K589" i="11" l="1"/>
  <c r="L240" i="20"/>
  <c r="L240" i="14"/>
  <c r="L240" i="11"/>
  <c r="K512" i="20"/>
  <c r="K241" i="14"/>
  <c r="K241" i="20"/>
  <c r="K241" i="11"/>
  <c r="K590" i="11" l="1"/>
  <c r="L241" i="20"/>
  <c r="L241" i="14"/>
  <c r="L241" i="11"/>
  <c r="K513" i="20"/>
  <c r="K242" i="11"/>
  <c r="K242" i="20"/>
  <c r="K242" i="14"/>
  <c r="K591" i="11" l="1"/>
  <c r="L242" i="20"/>
  <c r="L242" i="14"/>
  <c r="L242" i="11"/>
  <c r="K514" i="20"/>
  <c r="K243" i="14"/>
  <c r="K243" i="20"/>
  <c r="K243" i="11"/>
  <c r="K592" i="11" l="1"/>
  <c r="L243" i="20"/>
  <c r="L243" i="14"/>
  <c r="L243" i="11"/>
  <c r="K515" i="20"/>
  <c r="K244" i="14"/>
  <c r="K244" i="11"/>
  <c r="K244" i="20"/>
  <c r="K593" i="11" l="1"/>
  <c r="L244" i="20"/>
  <c r="L244" i="14"/>
  <c r="L244" i="11"/>
  <c r="K516" i="20"/>
  <c r="K245" i="20"/>
  <c r="K245" i="14"/>
  <c r="K245" i="11"/>
  <c r="K594" i="11" l="1"/>
  <c r="L245" i="20"/>
  <c r="L245" i="14"/>
  <c r="L245" i="11"/>
  <c r="K517" i="20"/>
  <c r="K246" i="14"/>
  <c r="K246" i="20"/>
  <c r="K246" i="11"/>
  <c r="K595" i="11" l="1"/>
  <c r="L246" i="20"/>
  <c r="L246" i="14"/>
  <c r="L246" i="11"/>
  <c r="K518" i="20"/>
  <c r="K247" i="20"/>
  <c r="K247" i="14"/>
  <c r="K247" i="11"/>
  <c r="K596" i="11" l="1"/>
  <c r="L247" i="20"/>
  <c r="L247" i="14"/>
  <c r="L247" i="11"/>
  <c r="K519" i="20"/>
  <c r="K248" i="20"/>
  <c r="K248" i="11"/>
  <c r="K248" i="14"/>
  <c r="K597" i="11" l="1"/>
  <c r="L248" i="20"/>
  <c r="L248" i="14"/>
  <c r="L248" i="11"/>
  <c r="K520" i="20"/>
  <c r="K249" i="20"/>
  <c r="K249" i="14"/>
  <c r="K249" i="11"/>
  <c r="K598" i="11" l="1"/>
  <c r="L249" i="20"/>
  <c r="L249" i="14"/>
  <c r="L249" i="11"/>
  <c r="K521" i="20"/>
  <c r="K250" i="11"/>
  <c r="K250" i="14"/>
  <c r="K250" i="20"/>
  <c r="K599" i="11" l="1"/>
  <c r="L250" i="20"/>
  <c r="L250" i="14"/>
  <c r="L250" i="11"/>
  <c r="K522" i="20"/>
  <c r="K251" i="14"/>
  <c r="K251" i="11"/>
  <c r="K251" i="20"/>
  <c r="K600" i="11" l="1"/>
  <c r="L251" i="20"/>
  <c r="L251" i="14"/>
  <c r="L251" i="11"/>
  <c r="K523" i="20"/>
  <c r="K252" i="14"/>
  <c r="K252" i="20"/>
  <c r="K252" i="11"/>
  <c r="K601" i="11" l="1"/>
  <c r="L252" i="20"/>
  <c r="L252" i="14"/>
  <c r="L252" i="11"/>
  <c r="K524" i="20"/>
  <c r="K253" i="20"/>
  <c r="K253" i="11"/>
  <c r="K253" i="14"/>
  <c r="K602" i="11" l="1"/>
  <c r="L253" i="20"/>
  <c r="L253" i="14"/>
  <c r="L253" i="11"/>
  <c r="K525" i="20"/>
  <c r="K254" i="11"/>
  <c r="K254" i="20"/>
  <c r="K254" i="14"/>
  <c r="K603" i="11" l="1"/>
  <c r="L254" i="20"/>
  <c r="L254" i="14"/>
  <c r="L254" i="11"/>
  <c r="K526" i="20"/>
  <c r="K255" i="14"/>
  <c r="K255" i="20"/>
  <c r="K255" i="11"/>
  <c r="K604" i="11" l="1"/>
  <c r="L255" i="20"/>
  <c r="L255" i="14"/>
  <c r="L255" i="11"/>
  <c r="K527" i="20"/>
  <c r="K256" i="14"/>
  <c r="K256" i="11"/>
  <c r="K256" i="20"/>
  <c r="K605" i="11" l="1"/>
  <c r="L256" i="20"/>
  <c r="L256" i="14"/>
  <c r="L256" i="11"/>
  <c r="K528" i="20"/>
  <c r="K257" i="14"/>
  <c r="K257" i="20"/>
  <c r="K257" i="11"/>
  <c r="K606" i="11" l="1"/>
  <c r="L257" i="20"/>
  <c r="L257" i="14"/>
  <c r="L257" i="11"/>
  <c r="K529" i="20"/>
  <c r="K258" i="20"/>
  <c r="K258" i="11"/>
  <c r="K258" i="14"/>
  <c r="K607" i="11" l="1"/>
  <c r="L258" i="20"/>
  <c r="L258" i="14"/>
  <c r="L258" i="11"/>
  <c r="K530" i="20"/>
  <c r="K259" i="14"/>
  <c r="K259" i="11"/>
  <c r="K259" i="20"/>
  <c r="K608" i="11" l="1"/>
  <c r="L259" i="20"/>
  <c r="L259" i="14"/>
  <c r="L259" i="11"/>
  <c r="K531" i="20"/>
  <c r="K260" i="20"/>
  <c r="K260" i="14"/>
  <c r="K260" i="11"/>
  <c r="K609" i="11" l="1"/>
  <c r="L260" i="20"/>
  <c r="L260" i="14"/>
  <c r="L260" i="11"/>
  <c r="K261" i="14"/>
  <c r="K261" i="20"/>
  <c r="K261" i="11"/>
  <c r="K610" i="11" l="1"/>
  <c r="L261" i="20"/>
  <c r="L261" i="14"/>
  <c r="L261" i="11"/>
  <c r="K262" i="14"/>
  <c r="K262" i="11"/>
  <c r="K262" i="20"/>
  <c r="K611" i="11" l="1"/>
  <c r="L262" i="20"/>
  <c r="L262" i="14"/>
  <c r="L262" i="11"/>
  <c r="K263" i="11"/>
  <c r="K263" i="20"/>
  <c r="K263" i="14"/>
  <c r="K612" i="11" l="1"/>
  <c r="L263" i="20"/>
  <c r="L263" i="14"/>
  <c r="L263" i="11"/>
  <c r="K264" i="20"/>
  <c r="K264" i="11"/>
  <c r="K264" i="14"/>
  <c r="K613" i="11" l="1"/>
  <c r="L264" i="20"/>
  <c r="L264" i="14"/>
  <c r="L264" i="11"/>
  <c r="K265" i="20"/>
  <c r="K265" i="11"/>
  <c r="K265" i="14"/>
  <c r="K614" i="11" l="1"/>
  <c r="L265" i="20"/>
  <c r="L265" i="14"/>
  <c r="L265" i="11"/>
  <c r="K266" i="20"/>
  <c r="K266" i="14"/>
  <c r="K266" i="11"/>
  <c r="K615" i="11" l="1"/>
  <c r="L266" i="20"/>
  <c r="L266" i="14"/>
  <c r="L266" i="11"/>
  <c r="K267" i="20"/>
  <c r="K267" i="14"/>
  <c r="K267" i="11"/>
  <c r="K616" i="11" l="1"/>
  <c r="L267" i="20"/>
  <c r="L267" i="14"/>
  <c r="L267" i="11"/>
  <c r="K268" i="20"/>
  <c r="K268" i="14"/>
  <c r="K268" i="11"/>
  <c r="K617" i="11" l="1"/>
  <c r="L268" i="20"/>
  <c r="L268" i="14"/>
  <c r="L268" i="11"/>
  <c r="K269" i="20"/>
  <c r="K269" i="11"/>
  <c r="K269" i="14"/>
  <c r="K618" i="11" l="1"/>
  <c r="L269" i="20"/>
  <c r="L269" i="14"/>
  <c r="L269" i="11"/>
  <c r="K270" i="14"/>
  <c r="K270" i="20"/>
  <c r="K270" i="11"/>
  <c r="K619" i="11" l="1"/>
  <c r="L270" i="20"/>
  <c r="L270" i="14"/>
  <c r="L270" i="11"/>
  <c r="K271" i="20"/>
  <c r="K271" i="11"/>
  <c r="K271" i="14"/>
  <c r="K620" i="11" l="1"/>
  <c r="L271" i="20"/>
  <c r="L271" i="14"/>
  <c r="L271" i="11"/>
  <c r="K272" i="14"/>
  <c r="K272" i="20"/>
  <c r="K272" i="11"/>
  <c r="K621" i="11" l="1"/>
  <c r="L272" i="20"/>
  <c r="L272" i="14"/>
  <c r="L272" i="11"/>
  <c r="K273" i="20"/>
  <c r="K273" i="11"/>
  <c r="K273" i="14"/>
  <c r="K622" i="11" l="1"/>
  <c r="L273" i="20"/>
  <c r="L273" i="14"/>
  <c r="L273" i="11"/>
  <c r="K274" i="11"/>
  <c r="K623" i="11" l="1"/>
  <c r="L274" i="11"/>
  <c r="K275" i="11"/>
  <c r="K624" i="11" l="1"/>
  <c r="L275" i="11"/>
  <c r="K276" i="11"/>
  <c r="K625" i="11" l="1"/>
  <c r="L276" i="11"/>
  <c r="K277" i="11"/>
  <c r="K626" i="11" l="1"/>
  <c r="L277" i="11"/>
  <c r="K278" i="11"/>
  <c r="K627" i="11" l="1"/>
  <c r="L278" i="11"/>
  <c r="K279" i="11"/>
  <c r="K628" i="11" l="1"/>
  <c r="L279" i="11"/>
  <c r="K280" i="11"/>
  <c r="K629" i="11" l="1"/>
  <c r="L280" i="11"/>
  <c r="K281" i="11"/>
  <c r="K630" i="11" l="1"/>
  <c r="L281" i="11"/>
  <c r="K282" i="11"/>
  <c r="K631" i="11" l="1"/>
  <c r="L282" i="11"/>
  <c r="K283" i="11"/>
  <c r="K632" i="11" l="1"/>
  <c r="L283" i="11"/>
  <c r="K284" i="11"/>
  <c r="K633" i="11" l="1"/>
  <c r="L284" i="11"/>
  <c r="K285" i="11"/>
  <c r="K634" i="11" l="1"/>
  <c r="L285" i="11"/>
  <c r="K286" i="11"/>
  <c r="K635" i="11" l="1"/>
  <c r="L286" i="11"/>
  <c r="K287" i="11"/>
  <c r="K636" i="11" l="1"/>
  <c r="L287" i="11"/>
  <c r="K288" i="11"/>
  <c r="K637" i="11" l="1"/>
  <c r="L288" i="11"/>
  <c r="K289" i="11"/>
  <c r="K638" i="11" l="1"/>
  <c r="L289" i="11"/>
  <c r="K290" i="11"/>
  <c r="K639" i="11" l="1"/>
  <c r="L290" i="11"/>
  <c r="K291" i="11"/>
  <c r="K640" i="11" l="1"/>
  <c r="L291" i="11"/>
  <c r="K292" i="11"/>
  <c r="K641" i="11" l="1"/>
  <c r="L292" i="11"/>
  <c r="K293" i="11"/>
  <c r="K642" i="11" l="1"/>
  <c r="L293" i="11"/>
  <c r="K294" i="11"/>
  <c r="K643" i="11" l="1"/>
  <c r="L294" i="11"/>
  <c r="K295" i="11"/>
  <c r="K644" i="11" l="1"/>
  <c r="L295" i="11"/>
  <c r="K296" i="11"/>
  <c r="K645" i="11" l="1"/>
  <c r="L296" i="11"/>
  <c r="K297" i="11"/>
  <c r="K646" i="11" l="1"/>
  <c r="L297" i="11"/>
  <c r="K298" i="11"/>
  <c r="K647" i="11" l="1"/>
  <c r="L298" i="11"/>
  <c r="K299" i="11"/>
  <c r="K648" i="11" l="1"/>
  <c r="L299" i="11"/>
  <c r="K300" i="11"/>
  <c r="K649" i="11" l="1"/>
  <c r="L300" i="11"/>
  <c r="K301" i="11"/>
  <c r="K650" i="11" l="1"/>
  <c r="L301" i="11"/>
  <c r="K302" i="11"/>
  <c r="K651" i="11" l="1"/>
  <c r="L302" i="11"/>
  <c r="K303" i="11"/>
  <c r="K652" i="11" l="1"/>
  <c r="L303" i="11"/>
  <c r="K304" i="11"/>
  <c r="K653" i="11" l="1"/>
  <c r="L304" i="11"/>
  <c r="K305" i="11"/>
  <c r="K654" i="11" l="1"/>
  <c r="L305" i="11"/>
  <c r="K306" i="11"/>
  <c r="K655" i="11" l="1"/>
  <c r="L306" i="11"/>
  <c r="K307" i="11"/>
  <c r="K656" i="11" l="1"/>
  <c r="L307" i="11"/>
  <c r="K308" i="11"/>
  <c r="K657" i="11" l="1"/>
  <c r="L308" i="11"/>
  <c r="K309" i="11"/>
  <c r="K658" i="11" l="1"/>
  <c r="L309" i="11"/>
  <c r="K310" i="11"/>
  <c r="K659" i="11" l="1"/>
  <c r="L310" i="11"/>
  <c r="K311" i="11"/>
  <c r="K660" i="11" l="1"/>
  <c r="L311" i="11"/>
  <c r="K312" i="11"/>
  <c r="K661" i="11" l="1"/>
  <c r="L312" i="11"/>
  <c r="K313" i="11"/>
  <c r="K662" i="11" l="1"/>
  <c r="L313" i="11"/>
  <c r="K314" i="11"/>
  <c r="K663" i="11" l="1"/>
  <c r="L314" i="11"/>
  <c r="K315" i="11"/>
  <c r="K664" i="11" l="1"/>
  <c r="L315" i="11"/>
  <c r="K316" i="11"/>
  <c r="K665" i="11" l="1"/>
  <c r="L316" i="11"/>
  <c r="K317" i="11"/>
  <c r="K666" i="11" l="1"/>
  <c r="L317" i="11"/>
  <c r="K318" i="11"/>
  <c r="K667" i="11" l="1"/>
  <c r="L318" i="11"/>
  <c r="K319" i="11"/>
  <c r="K668" i="11" l="1"/>
  <c r="L319" i="11"/>
  <c r="K320" i="11"/>
  <c r="K669" i="11" l="1"/>
  <c r="L320" i="11"/>
  <c r="K321" i="11"/>
  <c r="K670" i="11" l="1"/>
  <c r="L321" i="11"/>
  <c r="K322" i="11"/>
  <c r="K671" i="11" l="1"/>
  <c r="L322" i="11"/>
  <c r="K323" i="11"/>
  <c r="K672" i="11" l="1"/>
  <c r="L323" i="11"/>
  <c r="K324" i="11"/>
  <c r="K673" i="11" l="1"/>
  <c r="L324" i="11"/>
  <c r="K325" i="11"/>
  <c r="K674" i="11" l="1"/>
  <c r="L325" i="11"/>
  <c r="K326" i="11"/>
  <c r="K675" i="11" l="1"/>
  <c r="L326" i="11"/>
  <c r="K327" i="11"/>
  <c r="K676" i="11" l="1"/>
  <c r="L327" i="11"/>
  <c r="K328" i="11"/>
  <c r="K677" i="11" l="1"/>
  <c r="L328" i="11"/>
  <c r="K329" i="11"/>
  <c r="K678" i="11" l="1"/>
  <c r="L329" i="11"/>
  <c r="K330" i="11"/>
  <c r="K679" i="11" l="1"/>
  <c r="L330" i="11"/>
  <c r="K331" i="11"/>
  <c r="K680" i="11" l="1"/>
  <c r="L331" i="11"/>
  <c r="K332" i="11"/>
  <c r="K681" i="11" l="1"/>
  <c r="L332" i="11"/>
  <c r="K333" i="11"/>
  <c r="K682" i="11" l="1"/>
  <c r="L333" i="11"/>
  <c r="K334" i="11"/>
  <c r="K683" i="11" l="1"/>
  <c r="L334" i="11"/>
  <c r="K335" i="11"/>
  <c r="K684" i="11" l="1"/>
  <c r="L335" i="11"/>
  <c r="K336" i="11"/>
  <c r="K685" i="11" l="1"/>
  <c r="L336" i="11"/>
  <c r="K337" i="11"/>
  <c r="K686" i="11" l="1"/>
  <c r="L337" i="11"/>
  <c r="K338" i="11"/>
  <c r="K687" i="11" l="1"/>
  <c r="L338" i="11"/>
  <c r="K339" i="11"/>
  <c r="K688" i="11" l="1"/>
  <c r="L339" i="11"/>
  <c r="K340" i="11"/>
  <c r="K689" i="11" l="1"/>
  <c r="L340" i="11"/>
  <c r="K341" i="11"/>
  <c r="K690" i="11" l="1"/>
  <c r="L341" i="11"/>
  <c r="K342" i="11"/>
  <c r="K691" i="11" l="1"/>
  <c r="L342" i="11"/>
  <c r="K343" i="11"/>
  <c r="K692" i="11" l="1"/>
  <c r="L343" i="11"/>
  <c r="K344" i="11"/>
  <c r="K693" i="11" l="1"/>
  <c r="L344" i="11"/>
  <c r="K345" i="11"/>
  <c r="K694" i="11" l="1"/>
  <c r="L345" i="11"/>
  <c r="K346" i="11"/>
  <c r="K695" i="11" l="1"/>
  <c r="L346" i="11"/>
  <c r="K347" i="11"/>
  <c r="K696" i="11" l="1"/>
  <c r="L347" i="11"/>
  <c r="K348" i="11"/>
  <c r="K697" i="11" l="1"/>
  <c r="L348" i="11"/>
  <c r="K349" i="11"/>
  <c r="K698" i="11" l="1"/>
  <c r="L349" i="11"/>
  <c r="K350" i="11"/>
  <c r="K699" i="11" l="1"/>
  <c r="L350" i="11"/>
  <c r="K351" i="11"/>
  <c r="L351" i="11" l="1"/>
  <c r="K352" i="11"/>
  <c r="L352" i="11" l="1"/>
  <c r="U917" i="39" l="1"/>
  <c r="U918" i="39" s="1"/>
  <c r="T917" i="39"/>
  <c r="T918" i="39" s="1"/>
  <c r="T919" i="39" s="1"/>
  <c r="U919" i="3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<sst xmlns="http://schemas.openxmlformats.org/spreadsheetml/2006/main" count="15973" uniqueCount="1409">
  <si>
    <t>BLD No.</t>
  </si>
  <si>
    <t>Service Area</t>
  </si>
  <si>
    <t xml:space="preserve">UNIT </t>
  </si>
  <si>
    <t>Unit Net Area</t>
  </si>
  <si>
    <t>Total</t>
  </si>
  <si>
    <t xml:space="preserve">Unit Gross </t>
  </si>
  <si>
    <t>Total Gross Area</t>
  </si>
  <si>
    <t xml:space="preserve">Plot </t>
  </si>
  <si>
    <t>BLD
No.</t>
  </si>
  <si>
    <t>BLD
Type</t>
  </si>
  <si>
    <t>Floor</t>
  </si>
  <si>
    <t>APT</t>
  </si>
  <si>
    <t xml:space="preserve">Garden </t>
  </si>
  <si>
    <t>Street</t>
  </si>
  <si>
    <t>View</t>
  </si>
  <si>
    <t>A</t>
  </si>
  <si>
    <t>Type A</t>
  </si>
  <si>
    <t>A1</t>
  </si>
  <si>
    <t>15</t>
  </si>
  <si>
    <t>A2</t>
  </si>
  <si>
    <t>A3</t>
  </si>
  <si>
    <t>A4</t>
  </si>
  <si>
    <t>A- ( 15 )</t>
  </si>
  <si>
    <t>Type A'</t>
  </si>
  <si>
    <t>A'</t>
  </si>
  <si>
    <t>1</t>
  </si>
  <si>
    <t>A5</t>
  </si>
  <si>
    <t>A6</t>
  </si>
  <si>
    <t>A7</t>
  </si>
  <si>
    <t>A8</t>
  </si>
  <si>
    <t>Type B2</t>
  </si>
  <si>
    <t>B2</t>
  </si>
  <si>
    <t>Type B</t>
  </si>
  <si>
    <t>B3</t>
  </si>
  <si>
    <t>KEY</t>
  </si>
  <si>
    <t xml:space="preserve">DUPLEX </t>
  </si>
  <si>
    <t>Type C</t>
  </si>
  <si>
    <t>C2</t>
  </si>
  <si>
    <t>C3</t>
  </si>
  <si>
    <t>=</t>
  </si>
  <si>
    <t>2</t>
  </si>
  <si>
    <t>B2- ( 02 )</t>
  </si>
  <si>
    <t>B1</t>
  </si>
  <si>
    <t>C3- ( 03 )</t>
  </si>
  <si>
    <t>03</t>
  </si>
  <si>
    <t>B5</t>
  </si>
  <si>
    <t>B4</t>
  </si>
  <si>
    <t>04</t>
  </si>
  <si>
    <t>B3- ( 04)</t>
  </si>
  <si>
    <t>C1</t>
  </si>
  <si>
    <t>05</t>
  </si>
  <si>
    <t>B3- ( 05)</t>
  </si>
  <si>
    <t>B8</t>
  </si>
  <si>
    <t>B7</t>
  </si>
  <si>
    <t>B6</t>
  </si>
  <si>
    <t>06</t>
  </si>
  <si>
    <t>D3</t>
  </si>
  <si>
    <t>PRIVET GARDEN</t>
  </si>
  <si>
    <t>D2</t>
  </si>
  <si>
    <t>D1</t>
  </si>
  <si>
    <t>C3- ( 06 )</t>
  </si>
  <si>
    <t>07</t>
  </si>
  <si>
    <t>D5</t>
  </si>
  <si>
    <t>D4</t>
  </si>
  <si>
    <t>C2- ( 07)</t>
  </si>
  <si>
    <t>B3- ( 08)</t>
  </si>
  <si>
    <t>08</t>
  </si>
  <si>
    <t>B11</t>
  </si>
  <si>
    <t xml:space="preserve">B10 </t>
  </si>
  <si>
    <t>B9</t>
  </si>
  <si>
    <t>09</t>
  </si>
  <si>
    <t>C2- ( 09)</t>
  </si>
  <si>
    <t>E2</t>
  </si>
  <si>
    <t>E1</t>
  </si>
  <si>
    <t>C3- ( 10 )</t>
  </si>
  <si>
    <t>10</t>
  </si>
  <si>
    <t>E5</t>
  </si>
  <si>
    <t>E4</t>
  </si>
  <si>
    <t>E3</t>
  </si>
  <si>
    <t>B3- (11)</t>
  </si>
  <si>
    <t>11</t>
  </si>
  <si>
    <t>B14</t>
  </si>
  <si>
    <t>B13</t>
  </si>
  <si>
    <t>B12</t>
  </si>
  <si>
    <t>B3- ( 12)</t>
  </si>
  <si>
    <t>12</t>
  </si>
  <si>
    <t>C6</t>
  </si>
  <si>
    <t>C5</t>
  </si>
  <si>
    <t>C4</t>
  </si>
  <si>
    <t>C3- ( 13 )</t>
  </si>
  <si>
    <t>13</t>
  </si>
  <si>
    <t>B17</t>
  </si>
  <si>
    <t>B16</t>
  </si>
  <si>
    <t>B15</t>
  </si>
  <si>
    <t>B2- ( 14 )</t>
  </si>
  <si>
    <t>14</t>
  </si>
  <si>
    <t>B19</t>
  </si>
  <si>
    <t>B18</t>
  </si>
  <si>
    <t>A' - ( 1 )</t>
  </si>
  <si>
    <t>ALL GARDENS AREAS ARE PARLIMENARY</t>
  </si>
  <si>
    <t xml:space="preserve">GARDENS AREAS MAY VARY IN COMING STAGES AND AFTER APPLYING THE FINAL RAMPS ALLOCATION AND DIMENSIONS </t>
  </si>
  <si>
    <t>Unit Selling Area</t>
  </si>
  <si>
    <t>Unit Gross Area</t>
  </si>
  <si>
    <t>Private Garden Area</t>
  </si>
  <si>
    <t>Unit Number</t>
  </si>
  <si>
    <t>B10</t>
  </si>
  <si>
    <t>C7</t>
  </si>
  <si>
    <t>C8</t>
  </si>
  <si>
    <t>C9</t>
  </si>
  <si>
    <t>C10</t>
  </si>
  <si>
    <t>C11</t>
  </si>
  <si>
    <t>C12</t>
  </si>
  <si>
    <t>C13</t>
  </si>
  <si>
    <t>C14</t>
  </si>
  <si>
    <t>C15</t>
  </si>
  <si>
    <t>C16</t>
  </si>
  <si>
    <t>C17</t>
  </si>
  <si>
    <t>C18</t>
  </si>
  <si>
    <t>C19</t>
  </si>
  <si>
    <t>D6</t>
  </si>
  <si>
    <t>ORIENTATION</t>
  </si>
  <si>
    <t>INTERNAL LOCATION</t>
  </si>
  <si>
    <t>VIEW</t>
  </si>
  <si>
    <t>FLOOR</t>
  </si>
  <si>
    <t>AREA CATEGORY</t>
  </si>
  <si>
    <t>P1</t>
  </si>
  <si>
    <t>P2</t>
  </si>
  <si>
    <t>P3</t>
  </si>
  <si>
    <t>P4</t>
  </si>
  <si>
    <t>P5</t>
  </si>
  <si>
    <t>TOTAL PREMIUM %</t>
  </si>
  <si>
    <t>PHASE (BUILDING) STARTING PRICE</t>
  </si>
  <si>
    <t>PHASE (BUILDING) CLOSING PRICE</t>
  </si>
  <si>
    <t>PHASE PREMIUM RANGE</t>
  </si>
  <si>
    <t>UNIT PREMIUM VALUE</t>
  </si>
  <si>
    <t>UNIT (BUILDING) RATE</t>
  </si>
  <si>
    <t>UNIT (GARDEN) RATE</t>
  </si>
  <si>
    <t>UNIT (BUILDING) VALUE</t>
  </si>
  <si>
    <t>UNIT (GARDEN) VALUE</t>
  </si>
  <si>
    <t>MAINTENANCE VALUE</t>
  </si>
  <si>
    <t>NO. OF CAR PARKING</t>
  </si>
  <si>
    <t>PARKING VALUE</t>
  </si>
  <si>
    <t>TOTAL CARS VALUE</t>
  </si>
  <si>
    <t>TOTAL UNIT VALUE</t>
  </si>
  <si>
    <t>FLOOR PREMIUM</t>
  </si>
  <si>
    <t>FLOOR NAME</t>
  </si>
  <si>
    <t>PREMIUM %</t>
  </si>
  <si>
    <t>GROUND</t>
  </si>
  <si>
    <t>FIRST</t>
  </si>
  <si>
    <t>SECOND</t>
  </si>
  <si>
    <t>THIRD</t>
  </si>
  <si>
    <t>FORTH</t>
  </si>
  <si>
    <t>SELLING PHASES</t>
  </si>
  <si>
    <t>BUILDING NO.</t>
  </si>
  <si>
    <t>PHASE NO.</t>
  </si>
  <si>
    <t>R1</t>
  </si>
  <si>
    <t>R2</t>
  </si>
  <si>
    <t>R3</t>
  </si>
  <si>
    <t>R4</t>
  </si>
  <si>
    <t>R7</t>
  </si>
  <si>
    <t>R5</t>
  </si>
  <si>
    <t>R6</t>
  </si>
  <si>
    <t>R10</t>
  </si>
  <si>
    <t>R12</t>
  </si>
  <si>
    <t>R8</t>
  </si>
  <si>
    <t>R9</t>
  </si>
  <si>
    <t>R11</t>
  </si>
  <si>
    <t>F1</t>
  </si>
  <si>
    <t>F2</t>
  </si>
  <si>
    <t>F3</t>
  </si>
  <si>
    <t>F4</t>
  </si>
  <si>
    <t>F5</t>
  </si>
  <si>
    <t>CONSTRUCTION PHASES</t>
  </si>
  <si>
    <t>Project Premiums</t>
  </si>
  <si>
    <t>Premium Name</t>
  </si>
  <si>
    <t>Premium %</t>
  </si>
  <si>
    <t>Orientation</t>
  </si>
  <si>
    <t>Internal Location</t>
  </si>
  <si>
    <t>Area</t>
  </si>
  <si>
    <t>ORIENTATION PREMIUM</t>
  </si>
  <si>
    <t>NW</t>
  </si>
  <si>
    <t>N</t>
  </si>
  <si>
    <t>W</t>
  </si>
  <si>
    <t>E</t>
  </si>
  <si>
    <t>NE</t>
  </si>
  <si>
    <t>SW</t>
  </si>
  <si>
    <t>S</t>
  </si>
  <si>
    <t>SE</t>
  </si>
  <si>
    <t>INTERNAL LOCATION PREMIUM</t>
  </si>
  <si>
    <t xml:space="preserve">INTERNAL LOCATION </t>
  </si>
  <si>
    <t>MIDDLE</t>
  </si>
  <si>
    <t>VIEW PREMIUM</t>
  </si>
  <si>
    <t>LAKE C</t>
  </si>
  <si>
    <t>LAKE F</t>
  </si>
  <si>
    <t>COMMERCIAL &amp; PLAYCOURT</t>
  </si>
  <si>
    <t>MAIN GATE &amp; LAKE ENTRANCE</t>
  </si>
  <si>
    <t>SECONDARY GATE</t>
  </si>
  <si>
    <t>ROAD 18M (VILLAS)</t>
  </si>
  <si>
    <t>ROAD 18M (BUILDINGS)</t>
  </si>
  <si>
    <t>ROAD 12M</t>
  </si>
  <si>
    <t>FENCE</t>
  </si>
  <si>
    <t>AREA PREMIUM</t>
  </si>
  <si>
    <t>CATEGORY</t>
  </si>
  <si>
    <t>AREA RANGE</t>
  </si>
  <si>
    <t>B</t>
  </si>
  <si>
    <t>C</t>
  </si>
  <si>
    <t>D</t>
  </si>
  <si>
    <t>Column1</t>
  </si>
  <si>
    <t>No. of Bedrooms</t>
  </si>
  <si>
    <t>LAKE B-1</t>
  </si>
  <si>
    <t>LAKE B-2</t>
  </si>
  <si>
    <t>LAKE D</t>
  </si>
  <si>
    <t>LAKE E</t>
  </si>
  <si>
    <t>LAKE A-1</t>
  </si>
  <si>
    <t>LAKE A-2</t>
  </si>
  <si>
    <t>LAYAN VILLAS</t>
  </si>
  <si>
    <t>SEMI LAKE AND FENCE</t>
  </si>
  <si>
    <t>CONSTRUCTION PHASE</t>
  </si>
  <si>
    <t>0-89M2</t>
  </si>
  <si>
    <t>90-122M2</t>
  </si>
  <si>
    <t>123-160M2</t>
  </si>
  <si>
    <t>161-185M2</t>
  </si>
  <si>
    <t>186-230M2</t>
  </si>
  <si>
    <t>M</t>
  </si>
  <si>
    <t>CV</t>
  </si>
  <si>
    <t>CB</t>
  </si>
  <si>
    <t xml:space="preserve">CORNER </t>
  </si>
  <si>
    <t>SEMI LAKE B-1</t>
  </si>
  <si>
    <t>SEMI LAKE B-2</t>
  </si>
  <si>
    <t>SEMI LAKE D</t>
  </si>
  <si>
    <t>SEMI LAKE E</t>
  </si>
  <si>
    <t>SELLING PHASE NAME</t>
  </si>
  <si>
    <t>DATE</t>
  </si>
  <si>
    <t>SELLING PHASE</t>
  </si>
  <si>
    <t>PHASES ESCALLATION RATES</t>
  </si>
  <si>
    <t>PLANNED PHASES SELLING AREA</t>
  </si>
  <si>
    <t>PHASE AVERAGE PRICE</t>
  </si>
  <si>
    <t>PREMIUM RANGE %</t>
  </si>
  <si>
    <t>BASIC PRICE INCREASE</t>
  </si>
  <si>
    <t>PREMIUM PRICE INCREASE</t>
  </si>
  <si>
    <t>PHASE INCREASE %</t>
  </si>
  <si>
    <t>MAINTENANCE %</t>
  </si>
  <si>
    <t>PLANNED PHASES SELLING %</t>
  </si>
  <si>
    <t>PARKING PRICE</t>
  </si>
  <si>
    <t>A101</t>
  </si>
  <si>
    <t>A104</t>
  </si>
  <si>
    <t>A111</t>
  </si>
  <si>
    <t>A114</t>
  </si>
  <si>
    <t>A121</t>
  </si>
  <si>
    <t>A124</t>
  </si>
  <si>
    <t>A131</t>
  </si>
  <si>
    <t>A134</t>
  </si>
  <si>
    <t>A141</t>
  </si>
  <si>
    <t>A144</t>
  </si>
  <si>
    <t>A201</t>
  </si>
  <si>
    <t>A204</t>
  </si>
  <si>
    <t>A211</t>
  </si>
  <si>
    <t>A214</t>
  </si>
  <si>
    <t>A221</t>
  </si>
  <si>
    <t>A224</t>
  </si>
  <si>
    <t>A231</t>
  </si>
  <si>
    <t>A234</t>
  </si>
  <si>
    <t>A241</t>
  </si>
  <si>
    <t>A244</t>
  </si>
  <si>
    <t>A301</t>
  </si>
  <si>
    <t>A302</t>
  </si>
  <si>
    <t>A303</t>
  </si>
  <si>
    <t>A304</t>
  </si>
  <si>
    <t>A311</t>
  </si>
  <si>
    <t>A313</t>
  </si>
  <si>
    <t>A314</t>
  </si>
  <si>
    <t>A321</t>
  </si>
  <si>
    <t>A324</t>
  </si>
  <si>
    <t>A331</t>
  </si>
  <si>
    <t>A332</t>
  </si>
  <si>
    <t>A334</t>
  </si>
  <si>
    <t>A341</t>
  </si>
  <si>
    <t>A343</t>
  </si>
  <si>
    <t>A344</t>
  </si>
  <si>
    <t>A401</t>
  </si>
  <si>
    <t>A402</t>
  </si>
  <si>
    <t>A403</t>
  </si>
  <si>
    <t>A404</t>
  </si>
  <si>
    <t>A405</t>
  </si>
  <si>
    <t>A411</t>
  </si>
  <si>
    <t>A412</t>
  </si>
  <si>
    <t>A413</t>
  </si>
  <si>
    <t>A421</t>
  </si>
  <si>
    <t>A431</t>
  </si>
  <si>
    <t>A434</t>
  </si>
  <si>
    <t>A435</t>
  </si>
  <si>
    <t>A441</t>
  </si>
  <si>
    <t>A442</t>
  </si>
  <si>
    <t>A443</t>
  </si>
  <si>
    <t>A444</t>
  </si>
  <si>
    <t>A445</t>
  </si>
  <si>
    <t>A446</t>
  </si>
  <si>
    <t>A502</t>
  </si>
  <si>
    <t>A503</t>
  </si>
  <si>
    <t>A504</t>
  </si>
  <si>
    <t>A505</t>
  </si>
  <si>
    <t>A511</t>
  </si>
  <si>
    <t>A512</t>
  </si>
  <si>
    <t>A513</t>
  </si>
  <si>
    <t>A514</t>
  </si>
  <si>
    <t>A515</t>
  </si>
  <si>
    <t>A521</t>
  </si>
  <si>
    <t>A522</t>
  </si>
  <si>
    <t>A523</t>
  </si>
  <si>
    <t>A524</t>
  </si>
  <si>
    <t>A525</t>
  </si>
  <si>
    <t>A526</t>
  </si>
  <si>
    <t>A533</t>
  </si>
  <si>
    <t>A534</t>
  </si>
  <si>
    <t>A542</t>
  </si>
  <si>
    <t>A543</t>
  </si>
  <si>
    <t>A544</t>
  </si>
  <si>
    <t>A545</t>
  </si>
  <si>
    <t>A546</t>
  </si>
  <si>
    <t>A601</t>
  </si>
  <si>
    <t>A602</t>
  </si>
  <si>
    <t>A603</t>
  </si>
  <si>
    <t>A604</t>
  </si>
  <si>
    <t>A611</t>
  </si>
  <si>
    <t>A612</t>
  </si>
  <si>
    <t>A613</t>
  </si>
  <si>
    <t>A614</t>
  </si>
  <si>
    <t>A621</t>
  </si>
  <si>
    <t>A622</t>
  </si>
  <si>
    <t>A623</t>
  </si>
  <si>
    <t>A624</t>
  </si>
  <si>
    <t>A632</t>
  </si>
  <si>
    <t>A641</t>
  </si>
  <si>
    <t>A642</t>
  </si>
  <si>
    <t>A643</t>
  </si>
  <si>
    <t>A644</t>
  </si>
  <si>
    <t>A701</t>
  </si>
  <si>
    <t>A702</t>
  </si>
  <si>
    <t>A703</t>
  </si>
  <si>
    <t>A704</t>
  </si>
  <si>
    <t>A711</t>
  </si>
  <si>
    <t>A712</t>
  </si>
  <si>
    <t>A713</t>
  </si>
  <si>
    <t>A714</t>
  </si>
  <si>
    <t>A721</t>
  </si>
  <si>
    <t>A722</t>
  </si>
  <si>
    <t>A723</t>
  </si>
  <si>
    <t>A724</t>
  </si>
  <si>
    <t>A741</t>
  </si>
  <si>
    <t>A742</t>
  </si>
  <si>
    <t>A743</t>
  </si>
  <si>
    <t>A744</t>
  </si>
  <si>
    <t>A801</t>
  </si>
  <si>
    <t>A802</t>
  </si>
  <si>
    <t>A803</t>
  </si>
  <si>
    <t>A804</t>
  </si>
  <si>
    <t>A811</t>
  </si>
  <si>
    <t>A812</t>
  </si>
  <si>
    <t>A813</t>
  </si>
  <si>
    <t>A814</t>
  </si>
  <si>
    <t>A821</t>
  </si>
  <si>
    <t>A822</t>
  </si>
  <si>
    <t>A824</t>
  </si>
  <si>
    <t>A841</t>
  </si>
  <si>
    <t>A842</t>
  </si>
  <si>
    <t>A843</t>
  </si>
  <si>
    <t>A844</t>
  </si>
  <si>
    <t>B1001</t>
  </si>
  <si>
    <t>B1004</t>
  </si>
  <si>
    <t>B101</t>
  </si>
  <si>
    <t>B1011</t>
  </si>
  <si>
    <t>B1014</t>
  </si>
  <si>
    <t>B1021</t>
  </si>
  <si>
    <t>B1024</t>
  </si>
  <si>
    <t>B1032</t>
  </si>
  <si>
    <t>B1033</t>
  </si>
  <si>
    <t>B104</t>
  </si>
  <si>
    <t>B1104</t>
  </si>
  <si>
    <t>B111</t>
  </si>
  <si>
    <t>B1114</t>
  </si>
  <si>
    <t>B1124</t>
  </si>
  <si>
    <t>B1133</t>
  </si>
  <si>
    <t>B114</t>
  </si>
  <si>
    <t>B1144</t>
  </si>
  <si>
    <t>B1201</t>
  </si>
  <si>
    <t>B1204</t>
  </si>
  <si>
    <t>B121</t>
  </si>
  <si>
    <t>B1211</t>
  </si>
  <si>
    <t>B1214</t>
  </si>
  <si>
    <t>B1221</t>
  </si>
  <si>
    <t>B1223</t>
  </si>
  <si>
    <t>B1224</t>
  </si>
  <si>
    <t>B1231</t>
  </si>
  <si>
    <t>B124</t>
  </si>
  <si>
    <t>B1241</t>
  </si>
  <si>
    <t>B1244</t>
  </si>
  <si>
    <t>B1301</t>
  </si>
  <si>
    <t>B1304</t>
  </si>
  <si>
    <t>B131</t>
  </si>
  <si>
    <t>B1311</t>
  </si>
  <si>
    <t>B1314</t>
  </si>
  <si>
    <t>B1321</t>
  </si>
  <si>
    <t>B1324</t>
  </si>
  <si>
    <t>B1331</t>
  </si>
  <si>
    <t>B1334</t>
  </si>
  <si>
    <t>B134</t>
  </si>
  <si>
    <t>B1341</t>
  </si>
  <si>
    <t>B1344</t>
  </si>
  <si>
    <t>B1401</t>
  </si>
  <si>
    <t>B1402</t>
  </si>
  <si>
    <t>B1404</t>
  </si>
  <si>
    <t>B141</t>
  </si>
  <si>
    <t>B1411</t>
  </si>
  <si>
    <t>B1414</t>
  </si>
  <si>
    <t>B1421</t>
  </si>
  <si>
    <t>B1424</t>
  </si>
  <si>
    <t>B1434</t>
  </si>
  <si>
    <t>B144</t>
  </si>
  <si>
    <t>B1441</t>
  </si>
  <si>
    <t>B1442</t>
  </si>
  <si>
    <t>B1444</t>
  </si>
  <si>
    <t>B1501</t>
  </si>
  <si>
    <t>B1502</t>
  </si>
  <si>
    <t>B1504</t>
  </si>
  <si>
    <t>B1511</t>
  </si>
  <si>
    <t>B1514</t>
  </si>
  <si>
    <t>B1521</t>
  </si>
  <si>
    <t>B1524</t>
  </si>
  <si>
    <t>B1531</t>
  </si>
  <si>
    <t>B1533</t>
  </si>
  <si>
    <t>B1541</t>
  </si>
  <si>
    <t>B1544</t>
  </si>
  <si>
    <t>B1601</t>
  </si>
  <si>
    <t>B1602</t>
  </si>
  <si>
    <t>B1604</t>
  </si>
  <si>
    <t>B1611</t>
  </si>
  <si>
    <t>B1614</t>
  </si>
  <si>
    <t>B1621</t>
  </si>
  <si>
    <t>B1624</t>
  </si>
  <si>
    <t>B1631</t>
  </si>
  <si>
    <t>B1634</t>
  </si>
  <si>
    <t>B1641</t>
  </si>
  <si>
    <t>B1642</t>
  </si>
  <si>
    <t>B1644</t>
  </si>
  <si>
    <t>B1701</t>
  </si>
  <si>
    <t>B1704</t>
  </si>
  <si>
    <t>B1711</t>
  </si>
  <si>
    <t>B1714</t>
  </si>
  <si>
    <t>B1721</t>
  </si>
  <si>
    <t>B1724</t>
  </si>
  <si>
    <t>B1734</t>
  </si>
  <si>
    <t>B1741</t>
  </si>
  <si>
    <t>B1744</t>
  </si>
  <si>
    <t>B1801</t>
  </si>
  <si>
    <t>B1804</t>
  </si>
  <si>
    <t>B1811</t>
  </si>
  <si>
    <t>B1812</t>
  </si>
  <si>
    <t>B1814</t>
  </si>
  <si>
    <t>B1821</t>
  </si>
  <si>
    <t>B1824</t>
  </si>
  <si>
    <t>B1831</t>
  </si>
  <si>
    <t>B1841</t>
  </si>
  <si>
    <t>B1842</t>
  </si>
  <si>
    <t>B1844</t>
  </si>
  <si>
    <t>B1904</t>
  </si>
  <si>
    <t>B1913</t>
  </si>
  <si>
    <t>B1931</t>
  </si>
  <si>
    <t>B1934</t>
  </si>
  <si>
    <t>B1943</t>
  </si>
  <si>
    <t>B1944</t>
  </si>
  <si>
    <t>B201</t>
  </si>
  <si>
    <t>B204</t>
  </si>
  <si>
    <t>B211</t>
  </si>
  <si>
    <t>B214</t>
  </si>
  <si>
    <t>B221</t>
  </si>
  <si>
    <t>B224</t>
  </si>
  <si>
    <t>B231</t>
  </si>
  <si>
    <t>B234</t>
  </si>
  <si>
    <t>B241</t>
  </si>
  <si>
    <t>B244</t>
  </si>
  <si>
    <t>B301</t>
  </si>
  <si>
    <t>B304</t>
  </si>
  <si>
    <t>B311</t>
  </si>
  <si>
    <t>B314</t>
  </si>
  <si>
    <t>B321</t>
  </si>
  <si>
    <t>B324</t>
  </si>
  <si>
    <t>B331</t>
  </si>
  <si>
    <t>B334</t>
  </si>
  <si>
    <t>B341</t>
  </si>
  <si>
    <t>B344</t>
  </si>
  <si>
    <t>B401</t>
  </si>
  <si>
    <t>B404</t>
  </si>
  <si>
    <t>B411</t>
  </si>
  <si>
    <t>B414</t>
  </si>
  <si>
    <t>B421</t>
  </si>
  <si>
    <t>B424</t>
  </si>
  <si>
    <t>B431</t>
  </si>
  <si>
    <t>B434</t>
  </si>
  <si>
    <t>B441</t>
  </si>
  <si>
    <t>B444</t>
  </si>
  <si>
    <t>B501</t>
  </si>
  <si>
    <t>B504</t>
  </si>
  <si>
    <t>B511</t>
  </si>
  <si>
    <t>B514</t>
  </si>
  <si>
    <t>B521</t>
  </si>
  <si>
    <t>B524</t>
  </si>
  <si>
    <t>B531</t>
  </si>
  <si>
    <t>B534</t>
  </si>
  <si>
    <t>B541</t>
  </si>
  <si>
    <t>B544</t>
  </si>
  <si>
    <t>B601</t>
  </si>
  <si>
    <t>B604</t>
  </si>
  <si>
    <t>B611</t>
  </si>
  <si>
    <t>B614</t>
  </si>
  <si>
    <t>B621</t>
  </si>
  <si>
    <t>B624</t>
  </si>
  <si>
    <t>B631</t>
  </si>
  <si>
    <t>B634</t>
  </si>
  <si>
    <t>B641</t>
  </si>
  <si>
    <t>B644</t>
  </si>
  <si>
    <t>B701</t>
  </si>
  <si>
    <t>B704</t>
  </si>
  <si>
    <t>B711</t>
  </si>
  <si>
    <t>B712</t>
  </si>
  <si>
    <t>B713</t>
  </si>
  <si>
    <t>B714</t>
  </si>
  <si>
    <t>B721</t>
  </si>
  <si>
    <t>B724</t>
  </si>
  <si>
    <t>B731</t>
  </si>
  <si>
    <t>B734</t>
  </si>
  <si>
    <t>B741</t>
  </si>
  <si>
    <t>B744</t>
  </si>
  <si>
    <t>B801</t>
  </si>
  <si>
    <t>B804</t>
  </si>
  <si>
    <t>B811</t>
  </si>
  <si>
    <t>B814</t>
  </si>
  <si>
    <t>B821</t>
  </si>
  <si>
    <t>B824</t>
  </si>
  <si>
    <t>B831</t>
  </si>
  <si>
    <t>B834</t>
  </si>
  <si>
    <t>B841</t>
  </si>
  <si>
    <t>B842</t>
  </si>
  <si>
    <t>B844</t>
  </si>
  <si>
    <t>B901</t>
  </si>
  <si>
    <t>B911</t>
  </si>
  <si>
    <t>B921</t>
  </si>
  <si>
    <t>B932</t>
  </si>
  <si>
    <t>B941</t>
  </si>
  <si>
    <t>C101</t>
  </si>
  <si>
    <t>C111</t>
  </si>
  <si>
    <t>C121</t>
  </si>
  <si>
    <t>C131</t>
  </si>
  <si>
    <t>C132</t>
  </si>
  <si>
    <t>C134</t>
  </si>
  <si>
    <t>C141</t>
  </si>
  <si>
    <t>C201</t>
  </si>
  <si>
    <t>C204</t>
  </si>
  <si>
    <t>C211</t>
  </si>
  <si>
    <t>C214</t>
  </si>
  <si>
    <t>C221</t>
  </si>
  <si>
    <t>C224</t>
  </si>
  <si>
    <t>C231</t>
  </si>
  <si>
    <t>C234</t>
  </si>
  <si>
    <t>C241</t>
  </si>
  <si>
    <t>C244</t>
  </si>
  <si>
    <t>C301</t>
  </si>
  <si>
    <t>C304</t>
  </si>
  <si>
    <t>C314</t>
  </si>
  <si>
    <t>C324</t>
  </si>
  <si>
    <t>C333</t>
  </si>
  <si>
    <t>C334</t>
  </si>
  <si>
    <t>C342</t>
  </si>
  <si>
    <t>C344</t>
  </si>
  <si>
    <t>C401</t>
  </si>
  <si>
    <t>C402</t>
  </si>
  <si>
    <t>C411</t>
  </si>
  <si>
    <t>C421</t>
  </si>
  <si>
    <t>C423</t>
  </si>
  <si>
    <t>C431</t>
  </si>
  <si>
    <t>C441</t>
  </si>
  <si>
    <t>C501</t>
  </si>
  <si>
    <t>C504</t>
  </si>
  <si>
    <t>C511</t>
  </si>
  <si>
    <t>C514</t>
  </si>
  <si>
    <t>C521</t>
  </si>
  <si>
    <t>C524</t>
  </si>
  <si>
    <t>C531</t>
  </si>
  <si>
    <t>C534</t>
  </si>
  <si>
    <t>C541</t>
  </si>
  <si>
    <t>C544</t>
  </si>
  <si>
    <t>C601</t>
  </si>
  <si>
    <t>C603</t>
  </si>
  <si>
    <t>C604</t>
  </si>
  <si>
    <t>C611</t>
  </si>
  <si>
    <t>C614</t>
  </si>
  <si>
    <t>C621</t>
  </si>
  <si>
    <t>C624</t>
  </si>
  <si>
    <t>C634</t>
  </si>
  <si>
    <t>C641</t>
  </si>
  <si>
    <t>C644</t>
  </si>
  <si>
    <t>D101</t>
  </si>
  <si>
    <t>D104</t>
  </si>
  <si>
    <t>D111</t>
  </si>
  <si>
    <t>D114</t>
  </si>
  <si>
    <t>D121</t>
  </si>
  <si>
    <t>D124</t>
  </si>
  <si>
    <t>D131</t>
  </si>
  <si>
    <t>D133</t>
  </si>
  <si>
    <t>D134</t>
  </si>
  <si>
    <t>D141</t>
  </si>
  <si>
    <t>D144</t>
  </si>
  <si>
    <t>D201</t>
  </si>
  <si>
    <t>D204</t>
  </si>
  <si>
    <t>D211</t>
  </si>
  <si>
    <t>D214</t>
  </si>
  <si>
    <t>D221</t>
  </si>
  <si>
    <t>D224</t>
  </si>
  <si>
    <t>D231</t>
  </si>
  <si>
    <t>D234</t>
  </si>
  <si>
    <t>D241</t>
  </si>
  <si>
    <t>D244</t>
  </si>
  <si>
    <t>D301</t>
  </si>
  <si>
    <t>D304</t>
  </si>
  <si>
    <t>D311</t>
  </si>
  <si>
    <t>D314</t>
  </si>
  <si>
    <t>D321</t>
  </si>
  <si>
    <t>D324</t>
  </si>
  <si>
    <t>D331</t>
  </si>
  <si>
    <t>D332</t>
  </si>
  <si>
    <t>D334</t>
  </si>
  <si>
    <t>D341</t>
  </si>
  <si>
    <t>D344</t>
  </si>
  <si>
    <t>D401</t>
  </si>
  <si>
    <t>D402</t>
  </si>
  <si>
    <t>D411</t>
  </si>
  <si>
    <t>D414</t>
  </si>
  <si>
    <t>D421</t>
  </si>
  <si>
    <t>D424</t>
  </si>
  <si>
    <t>D431</t>
  </si>
  <si>
    <t>D441</t>
  </si>
  <si>
    <t>D442</t>
  </si>
  <si>
    <t>D444</t>
  </si>
  <si>
    <t>D501</t>
  </si>
  <si>
    <t>D503</t>
  </si>
  <si>
    <t>D504</t>
  </si>
  <si>
    <t>D511</t>
  </si>
  <si>
    <t>D514</t>
  </si>
  <si>
    <t>D521</t>
  </si>
  <si>
    <t>D524</t>
  </si>
  <si>
    <t>D531</t>
  </si>
  <si>
    <t>D534</t>
  </si>
  <si>
    <t>D541</t>
  </si>
  <si>
    <t>D543</t>
  </si>
  <si>
    <t>D544</t>
  </si>
  <si>
    <t>E101</t>
  </si>
  <si>
    <t>E104</t>
  </si>
  <si>
    <t>E111</t>
  </si>
  <si>
    <t>E114</t>
  </si>
  <si>
    <t>E121</t>
  </si>
  <si>
    <t>E124</t>
  </si>
  <si>
    <t>E131</t>
  </si>
  <si>
    <t>E133</t>
  </si>
  <si>
    <t>E134</t>
  </si>
  <si>
    <t>E141</t>
  </si>
  <si>
    <t>E144</t>
  </si>
  <si>
    <t>E202</t>
  </si>
  <si>
    <t>E204</t>
  </si>
  <si>
    <t>E212</t>
  </si>
  <si>
    <t>E222</t>
  </si>
  <si>
    <t>E231</t>
  </si>
  <si>
    <t>E232</t>
  </si>
  <si>
    <t>E242</t>
  </si>
  <si>
    <t>E244</t>
  </si>
  <si>
    <t>E301</t>
  </si>
  <si>
    <t>E302</t>
  </si>
  <si>
    <t>E304</t>
  </si>
  <si>
    <t>E311</t>
  </si>
  <si>
    <t>E314</t>
  </si>
  <si>
    <t>E321</t>
  </si>
  <si>
    <t>E324</t>
  </si>
  <si>
    <t>E331</t>
  </si>
  <si>
    <t>E341</t>
  </si>
  <si>
    <t>E342</t>
  </si>
  <si>
    <t>E344</t>
  </si>
  <si>
    <t>E401</t>
  </si>
  <si>
    <t>E402</t>
  </si>
  <si>
    <t>E403</t>
  </si>
  <si>
    <t>E404</t>
  </si>
  <si>
    <t>E411</t>
  </si>
  <si>
    <t>E414</t>
  </si>
  <si>
    <t>E421</t>
  </si>
  <si>
    <t>E424</t>
  </si>
  <si>
    <t>E431</t>
  </si>
  <si>
    <t>E434</t>
  </si>
  <si>
    <t>E441</t>
  </si>
  <si>
    <t>E442</t>
  </si>
  <si>
    <t>E443</t>
  </si>
  <si>
    <t>E444</t>
  </si>
  <si>
    <t>E501</t>
  </si>
  <si>
    <t>E503</t>
  </si>
  <si>
    <t>E504</t>
  </si>
  <si>
    <t>E511</t>
  </si>
  <si>
    <t>E514</t>
  </si>
  <si>
    <t>E521</t>
  </si>
  <si>
    <t>E524</t>
  </si>
  <si>
    <t>E534</t>
  </si>
  <si>
    <t>E541</t>
  </si>
  <si>
    <t>E543</t>
  </si>
  <si>
    <t>E544</t>
  </si>
  <si>
    <t>Grand Total</t>
  </si>
  <si>
    <t>Count of Unit Number</t>
  </si>
  <si>
    <t>Count of UnitS</t>
  </si>
  <si>
    <t>PREMIUM CATEGORY</t>
  </si>
  <si>
    <t>Sum of Unit Selling Area</t>
  </si>
  <si>
    <t>ZONE</t>
  </si>
  <si>
    <t>Sum of Unit Selling Area2</t>
  </si>
  <si>
    <t>CATEGORY (A) (SELLING PHASE AREA)</t>
  </si>
  <si>
    <t>CATEGORY (B) (SELLING PHASE AREA)</t>
  </si>
  <si>
    <t>CATEGORY (C) (SELLING PHASE AREA)</t>
  </si>
  <si>
    <t>CONSTRUCTION PHASE (C4) COMMERCIAL</t>
  </si>
  <si>
    <t>TENDERING &amp; LICENSING</t>
  </si>
  <si>
    <t>YEAR 2023</t>
  </si>
  <si>
    <t>YEAR 2024</t>
  </si>
  <si>
    <t>YEAR 2025</t>
  </si>
  <si>
    <t>YEAR 2026</t>
  </si>
  <si>
    <t>YEAR 2027</t>
  </si>
  <si>
    <t>CONSTRUCTION PHASE (C1) RESIDENTIAL</t>
  </si>
  <si>
    <t>CONSTRUCTION PHASE (C2) RESIDENTIAL</t>
  </si>
  <si>
    <t>CONSTRUCTION PHASE (C3) RESIDENTIAL</t>
  </si>
  <si>
    <t>LAUNCH PHASE</t>
  </si>
  <si>
    <t>CLOSING PHASE</t>
  </si>
  <si>
    <t>Column2</t>
  </si>
  <si>
    <t>HOTEL</t>
  </si>
  <si>
    <t>Row Labels</t>
  </si>
  <si>
    <t>A102</t>
  </si>
  <si>
    <t>A103</t>
  </si>
  <si>
    <t>A112</t>
  </si>
  <si>
    <t>A113</t>
  </si>
  <si>
    <t>A122</t>
  </si>
  <si>
    <t>A123</t>
  </si>
  <si>
    <t>A132</t>
  </si>
  <si>
    <t>A133</t>
  </si>
  <si>
    <t>A142</t>
  </si>
  <si>
    <t>A143</t>
  </si>
  <si>
    <t>A202</t>
  </si>
  <si>
    <t>A203</t>
  </si>
  <si>
    <t>A212</t>
  </si>
  <si>
    <t>A213</t>
  </si>
  <si>
    <t>A222</t>
  </si>
  <si>
    <t>A223</t>
  </si>
  <si>
    <t>A232</t>
  </si>
  <si>
    <t>A233</t>
  </si>
  <si>
    <t>A242</t>
  </si>
  <si>
    <t>A243</t>
  </si>
  <si>
    <t>A312</t>
  </si>
  <si>
    <t>A322</t>
  </si>
  <si>
    <t>A323</t>
  </si>
  <si>
    <t>A333</t>
  </si>
  <si>
    <t>A342</t>
  </si>
  <si>
    <t>A414</t>
  </si>
  <si>
    <t>A415</t>
  </si>
  <si>
    <t>A422</t>
  </si>
  <si>
    <t>A423</t>
  </si>
  <si>
    <t>A424</t>
  </si>
  <si>
    <t>A425</t>
  </si>
  <si>
    <t>A426</t>
  </si>
  <si>
    <t>A432</t>
  </si>
  <si>
    <t>A433</t>
  </si>
  <si>
    <t>A436</t>
  </si>
  <si>
    <t>A501</t>
  </si>
  <si>
    <t>A531</t>
  </si>
  <si>
    <t>A532</t>
  </si>
  <si>
    <t>A535</t>
  </si>
  <si>
    <t>A536</t>
  </si>
  <si>
    <t>A541</t>
  </si>
  <si>
    <t>A631</t>
  </si>
  <si>
    <t>A633</t>
  </si>
  <si>
    <t>A634</t>
  </si>
  <si>
    <t>A731</t>
  </si>
  <si>
    <t>A732</t>
  </si>
  <si>
    <t>A733</t>
  </si>
  <si>
    <t>A734</t>
  </si>
  <si>
    <t>A823</t>
  </si>
  <si>
    <t>A831</t>
  </si>
  <si>
    <t>A832</t>
  </si>
  <si>
    <t>A833</t>
  </si>
  <si>
    <t>A834</t>
  </si>
  <si>
    <t>B1002</t>
  </si>
  <si>
    <t>B1003</t>
  </si>
  <si>
    <t>B1012</t>
  </si>
  <si>
    <t>B1013</t>
  </si>
  <si>
    <t>B102</t>
  </si>
  <si>
    <t>B1022</t>
  </si>
  <si>
    <t>B1023</t>
  </si>
  <si>
    <t>B103</t>
  </si>
  <si>
    <t>B1031</t>
  </si>
  <si>
    <t>B1034</t>
  </si>
  <si>
    <t>B1041</t>
  </si>
  <si>
    <t>B1042</t>
  </si>
  <si>
    <t>B1043</t>
  </si>
  <si>
    <t>B1044</t>
  </si>
  <si>
    <t>B1101</t>
  </si>
  <si>
    <t>B1102</t>
  </si>
  <si>
    <t>B1103</t>
  </si>
  <si>
    <t>B1111</t>
  </si>
  <si>
    <t>B1112</t>
  </si>
  <si>
    <t>B1113</t>
  </si>
  <si>
    <t>B112</t>
  </si>
  <si>
    <t>B1121</t>
  </si>
  <si>
    <t>B1122</t>
  </si>
  <si>
    <t>B1123</t>
  </si>
  <si>
    <t>B113</t>
  </si>
  <si>
    <t>B1131</t>
  </si>
  <si>
    <t>B1132</t>
  </si>
  <si>
    <t>B1134</t>
  </si>
  <si>
    <t>B1141</t>
  </si>
  <si>
    <t>B1142</t>
  </si>
  <si>
    <t>B1143</t>
  </si>
  <si>
    <t>B1202</t>
  </si>
  <si>
    <t>B1203</t>
  </si>
  <si>
    <t>B1212</t>
  </si>
  <si>
    <t>B1213</t>
  </si>
  <si>
    <t>B122</t>
  </si>
  <si>
    <t>B1222</t>
  </si>
  <si>
    <t>B123</t>
  </si>
  <si>
    <t>B1232</t>
  </si>
  <si>
    <t>B1233</t>
  </si>
  <si>
    <t>B1234</t>
  </si>
  <si>
    <t>B1242</t>
  </si>
  <si>
    <t>B1243</t>
  </si>
  <si>
    <t>B1302</t>
  </si>
  <si>
    <t>B1303</t>
  </si>
  <si>
    <t>B1312</t>
  </si>
  <si>
    <t>B1313</t>
  </si>
  <si>
    <t>B132</t>
  </si>
  <si>
    <t>B1322</t>
  </si>
  <si>
    <t>B1323</t>
  </si>
  <si>
    <t>B133</t>
  </si>
  <si>
    <t>B1332</t>
  </si>
  <si>
    <t>B1333</t>
  </si>
  <si>
    <t>B1342</t>
  </si>
  <si>
    <t>B1343</t>
  </si>
  <si>
    <t>B1403</t>
  </si>
  <si>
    <t>B1412</t>
  </si>
  <si>
    <t>B1413</t>
  </si>
  <si>
    <t>B142</t>
  </si>
  <si>
    <t>B1422</t>
  </si>
  <si>
    <t>B1423</t>
  </si>
  <si>
    <t>B143</t>
  </si>
  <si>
    <t>B1431</t>
  </si>
  <si>
    <t>B1432</t>
  </si>
  <si>
    <t>B1433</t>
  </si>
  <si>
    <t>B1443</t>
  </si>
  <si>
    <t>B1503</t>
  </si>
  <si>
    <t>B1512</t>
  </si>
  <si>
    <t>B1513</t>
  </si>
  <si>
    <t>B1522</t>
  </si>
  <si>
    <t>B1523</t>
  </si>
  <si>
    <t>B1532</t>
  </si>
  <si>
    <t>B1534</t>
  </si>
  <si>
    <t>B1542</t>
  </si>
  <si>
    <t>B1543</t>
  </si>
  <si>
    <t>B1603</t>
  </si>
  <si>
    <t>B1612</t>
  </si>
  <si>
    <t>B1613</t>
  </si>
  <si>
    <t>B1622</t>
  </si>
  <si>
    <t>B1623</t>
  </si>
  <si>
    <t>B1632</t>
  </si>
  <si>
    <t>B1633</t>
  </si>
  <si>
    <t>B1643</t>
  </si>
  <si>
    <t>B1702</t>
  </si>
  <si>
    <t>B1703</t>
  </si>
  <si>
    <t>B1712</t>
  </si>
  <si>
    <t>B1713</t>
  </si>
  <si>
    <t>B1722</t>
  </si>
  <si>
    <t>B1723</t>
  </si>
  <si>
    <t>B1731</t>
  </si>
  <si>
    <t>B1732</t>
  </si>
  <si>
    <t>B1733</t>
  </si>
  <si>
    <t>B1742</t>
  </si>
  <si>
    <t>B1743</t>
  </si>
  <si>
    <t>B1802</t>
  </si>
  <si>
    <t>B1803</t>
  </si>
  <si>
    <t>B1813</t>
  </si>
  <si>
    <t>B1822</t>
  </si>
  <si>
    <t>B1823</t>
  </si>
  <si>
    <t>B1832</t>
  </si>
  <si>
    <t>B1833</t>
  </si>
  <si>
    <t>B1834</t>
  </si>
  <si>
    <t>B1843</t>
  </si>
  <si>
    <t>B1901</t>
  </si>
  <si>
    <t>B1902</t>
  </si>
  <si>
    <t>B1903</t>
  </si>
  <si>
    <t>B1911</t>
  </si>
  <si>
    <t>B1912</t>
  </si>
  <si>
    <t>B1914</t>
  </si>
  <si>
    <t>B1921</t>
  </si>
  <si>
    <t>B1922</t>
  </si>
  <si>
    <t>B1923</t>
  </si>
  <si>
    <t>B1924</t>
  </si>
  <si>
    <t>B1932</t>
  </si>
  <si>
    <t>B1933</t>
  </si>
  <si>
    <t>B1941</t>
  </si>
  <si>
    <t>B1942</t>
  </si>
  <si>
    <t>B202</t>
  </si>
  <si>
    <t>B203</t>
  </si>
  <si>
    <t>B212</t>
  </si>
  <si>
    <t>B213</t>
  </si>
  <si>
    <t>B222</t>
  </si>
  <si>
    <t>B223</t>
  </si>
  <si>
    <t>B232</t>
  </si>
  <si>
    <t>B233</t>
  </si>
  <si>
    <t>B242</t>
  </si>
  <si>
    <t>B243</t>
  </si>
  <si>
    <t>B302</t>
  </si>
  <si>
    <t>B303</t>
  </si>
  <si>
    <t>B312</t>
  </si>
  <si>
    <t>B313</t>
  </si>
  <si>
    <t>B322</t>
  </si>
  <si>
    <t>B323</t>
  </si>
  <si>
    <t>B332</t>
  </si>
  <si>
    <t>B333</t>
  </si>
  <si>
    <t>B342</t>
  </si>
  <si>
    <t>B343</t>
  </si>
  <si>
    <t>B402</t>
  </si>
  <si>
    <t>B403</t>
  </si>
  <si>
    <t>B412</t>
  </si>
  <si>
    <t>B413</t>
  </si>
  <si>
    <t>B422</t>
  </si>
  <si>
    <t>B423</t>
  </si>
  <si>
    <t>B432</t>
  </si>
  <si>
    <t>B433</t>
  </si>
  <si>
    <t>B442</t>
  </si>
  <si>
    <t>B443</t>
  </si>
  <si>
    <t>B502</t>
  </si>
  <si>
    <t>B503</t>
  </si>
  <si>
    <t>B512</t>
  </si>
  <si>
    <t>B513</t>
  </si>
  <si>
    <t>B522</t>
  </si>
  <si>
    <t>B523</t>
  </si>
  <si>
    <t>B532</t>
  </si>
  <si>
    <t>B533</t>
  </si>
  <si>
    <t>B542</t>
  </si>
  <si>
    <t>B543</t>
  </si>
  <si>
    <t>B602</t>
  </si>
  <si>
    <t>B603</t>
  </si>
  <si>
    <t>B612</t>
  </si>
  <si>
    <t>B613</t>
  </si>
  <si>
    <t>B622</t>
  </si>
  <si>
    <t>B623</t>
  </si>
  <si>
    <t>B632</t>
  </si>
  <si>
    <t>B633</t>
  </si>
  <si>
    <t>B642</t>
  </si>
  <si>
    <t>B643</t>
  </si>
  <si>
    <t>B702</t>
  </si>
  <si>
    <t>B703</t>
  </si>
  <si>
    <t>B722</t>
  </si>
  <si>
    <t>B723</t>
  </si>
  <si>
    <t>B732</t>
  </si>
  <si>
    <t>B733</t>
  </si>
  <si>
    <t>B742</t>
  </si>
  <si>
    <t>B743</t>
  </si>
  <si>
    <t>B802</t>
  </si>
  <si>
    <t>B803</t>
  </si>
  <si>
    <t>B812</t>
  </si>
  <si>
    <t>B813</t>
  </si>
  <si>
    <t>B822</t>
  </si>
  <si>
    <t>B823</t>
  </si>
  <si>
    <t>B832</t>
  </si>
  <si>
    <t>B833</t>
  </si>
  <si>
    <t>B843</t>
  </si>
  <si>
    <t>B902</t>
  </si>
  <si>
    <t>B903</t>
  </si>
  <si>
    <t>B904</t>
  </si>
  <si>
    <t>B912</t>
  </si>
  <si>
    <t>B913</t>
  </si>
  <si>
    <t>B914</t>
  </si>
  <si>
    <t>B922</t>
  </si>
  <si>
    <t>B923</t>
  </si>
  <si>
    <t>B924</t>
  </si>
  <si>
    <t>B931</t>
  </si>
  <si>
    <t>B933</t>
  </si>
  <si>
    <t>B934</t>
  </si>
  <si>
    <t>B942</t>
  </si>
  <si>
    <t>B943</t>
  </si>
  <si>
    <t>B944</t>
  </si>
  <si>
    <t>C102</t>
  </si>
  <si>
    <t>C103</t>
  </si>
  <si>
    <t>C104</t>
  </si>
  <si>
    <t>C112</t>
  </si>
  <si>
    <t>C113</t>
  </si>
  <si>
    <t>C114</t>
  </si>
  <si>
    <t>C122</t>
  </si>
  <si>
    <t>C123</t>
  </si>
  <si>
    <t>C124</t>
  </si>
  <si>
    <t>C133</t>
  </si>
  <si>
    <t>C142</t>
  </si>
  <si>
    <t>C143</t>
  </si>
  <si>
    <t>C144</t>
  </si>
  <si>
    <t>C202</t>
  </si>
  <si>
    <t>C203</t>
  </si>
  <si>
    <t>C212</t>
  </si>
  <si>
    <t>C213</t>
  </si>
  <si>
    <t>C222</t>
  </si>
  <si>
    <t>C223</t>
  </si>
  <si>
    <t>C232</t>
  </si>
  <si>
    <t>C233</t>
  </si>
  <si>
    <t>C242</t>
  </si>
  <si>
    <t>C243</t>
  </si>
  <si>
    <t>C302</t>
  </si>
  <si>
    <t>C303</t>
  </si>
  <si>
    <t>C311</t>
  </si>
  <si>
    <t>C312</t>
  </si>
  <si>
    <t>C313</t>
  </si>
  <si>
    <t>C321</t>
  </si>
  <si>
    <t>C322</t>
  </si>
  <si>
    <t>C323</t>
  </si>
  <si>
    <t>C331</t>
  </si>
  <si>
    <t>C332</t>
  </si>
  <si>
    <t>C341</t>
  </si>
  <si>
    <t>C343</t>
  </si>
  <si>
    <t>C403</t>
  </si>
  <si>
    <t>C404</t>
  </si>
  <si>
    <t>C412</t>
  </si>
  <si>
    <t>C413</t>
  </si>
  <si>
    <t>C414</t>
  </si>
  <si>
    <t>C422</t>
  </si>
  <si>
    <t>C424</t>
  </si>
  <si>
    <t>C432</t>
  </si>
  <si>
    <t>C433</t>
  </si>
  <si>
    <t>C434</t>
  </si>
  <si>
    <t>C442</t>
  </si>
  <si>
    <t>C443</t>
  </si>
  <si>
    <t>C444</t>
  </si>
  <si>
    <t>C502</t>
  </si>
  <si>
    <t>C503</t>
  </si>
  <si>
    <t>C512</t>
  </si>
  <si>
    <t>C513</t>
  </si>
  <si>
    <t>C522</t>
  </si>
  <si>
    <t>C523</t>
  </si>
  <si>
    <t>C532</t>
  </si>
  <si>
    <t>C533</t>
  </si>
  <si>
    <t>C542</t>
  </si>
  <si>
    <t>C543</t>
  </si>
  <si>
    <t>C602</t>
  </si>
  <si>
    <t>C612</t>
  </si>
  <si>
    <t>C613</t>
  </si>
  <si>
    <t>C622</t>
  </si>
  <si>
    <t>C623</t>
  </si>
  <si>
    <t>C631</t>
  </si>
  <si>
    <t>C632</t>
  </si>
  <si>
    <t>C633</t>
  </si>
  <si>
    <t>C642</t>
  </si>
  <si>
    <t>C643</t>
  </si>
  <si>
    <t>D102</t>
  </si>
  <si>
    <t>D103</t>
  </si>
  <si>
    <t>D112</t>
  </si>
  <si>
    <t>D113</t>
  </si>
  <si>
    <t>D122</t>
  </si>
  <si>
    <t>D123</t>
  </si>
  <si>
    <t>D132</t>
  </si>
  <si>
    <t>D142</t>
  </si>
  <si>
    <t>D143</t>
  </si>
  <si>
    <t>D202</t>
  </si>
  <si>
    <t>D203</t>
  </si>
  <si>
    <t>D212</t>
  </si>
  <si>
    <t>D213</t>
  </si>
  <si>
    <t>D222</t>
  </si>
  <si>
    <t>D223</t>
  </si>
  <si>
    <t>D232</t>
  </si>
  <si>
    <t>D233</t>
  </si>
  <si>
    <t>D242</t>
  </si>
  <si>
    <t>D243</t>
  </si>
  <si>
    <t>D302</t>
  </si>
  <si>
    <t>D303</t>
  </si>
  <si>
    <t>D312</t>
  </si>
  <si>
    <t>D313</t>
  </si>
  <si>
    <t>D322</t>
  </si>
  <si>
    <t>D323</t>
  </si>
  <si>
    <t>D333</t>
  </si>
  <si>
    <t>D342</t>
  </si>
  <si>
    <t>D343</t>
  </si>
  <si>
    <t>D403</t>
  </si>
  <si>
    <t>D404</t>
  </si>
  <si>
    <t>D412</t>
  </si>
  <si>
    <t>D413</t>
  </si>
  <si>
    <t>D422</t>
  </si>
  <si>
    <t>D423</t>
  </si>
  <si>
    <t>D432</t>
  </si>
  <si>
    <t>D433</t>
  </si>
  <si>
    <t>D434</t>
  </si>
  <si>
    <t>D443</t>
  </si>
  <si>
    <t>D502</t>
  </si>
  <si>
    <t>D512</t>
  </si>
  <si>
    <t>D513</t>
  </si>
  <si>
    <t>D522</t>
  </si>
  <si>
    <t>D523</t>
  </si>
  <si>
    <t>D532</t>
  </si>
  <si>
    <t>D533</t>
  </si>
  <si>
    <t>D542</t>
  </si>
  <si>
    <t>E102</t>
  </si>
  <si>
    <t>E103</t>
  </si>
  <si>
    <t>E112</t>
  </si>
  <si>
    <t>E113</t>
  </si>
  <si>
    <t>E122</t>
  </si>
  <si>
    <t>E123</t>
  </si>
  <si>
    <t>E132</t>
  </si>
  <si>
    <t>E142</t>
  </si>
  <si>
    <t>E143</t>
  </si>
  <si>
    <t>E201</t>
  </si>
  <si>
    <t>E203</t>
  </si>
  <si>
    <t>E211</t>
  </si>
  <si>
    <t>E213</t>
  </si>
  <si>
    <t>E214</t>
  </si>
  <si>
    <t>E221</t>
  </si>
  <si>
    <t>E223</t>
  </si>
  <si>
    <t>E224</t>
  </si>
  <si>
    <t>E233</t>
  </si>
  <si>
    <t>E234</t>
  </si>
  <si>
    <t>E241</t>
  </si>
  <si>
    <t>E243</t>
  </si>
  <si>
    <t>E303</t>
  </si>
  <si>
    <t>E312</t>
  </si>
  <si>
    <t>E313</t>
  </si>
  <si>
    <t>E322</t>
  </si>
  <si>
    <t>E323</t>
  </si>
  <si>
    <t>E332</t>
  </si>
  <si>
    <t>E333</t>
  </si>
  <si>
    <t>E334</t>
  </si>
  <si>
    <t>E343</t>
  </si>
  <si>
    <t>E412</t>
  </si>
  <si>
    <t>E413</t>
  </si>
  <si>
    <t>E422</t>
  </si>
  <si>
    <t>E423</t>
  </si>
  <si>
    <t>E432</t>
  </si>
  <si>
    <t>E433</t>
  </si>
  <si>
    <t>E502</t>
  </si>
  <si>
    <t>E512</t>
  </si>
  <si>
    <t>E513</t>
  </si>
  <si>
    <t>E522</t>
  </si>
  <si>
    <t>E523</t>
  </si>
  <si>
    <t>E531</t>
  </si>
  <si>
    <t>E532</t>
  </si>
  <si>
    <t>E533</t>
  </si>
  <si>
    <t>E542</t>
  </si>
  <si>
    <t>Sum of TOTAL PREMIUM %</t>
  </si>
  <si>
    <t>BLD. TYPE</t>
  </si>
  <si>
    <t>RESIDENTIAL</t>
  </si>
  <si>
    <t>HOTEL APP.</t>
  </si>
  <si>
    <t>RH</t>
  </si>
  <si>
    <t>GARDEN PRICE %</t>
  </si>
  <si>
    <t>Sum of UNIT (GARDEN) VALUE</t>
  </si>
  <si>
    <t>Sum of MAINTENANCE VALUE</t>
  </si>
  <si>
    <t>Sum of TOTAL CARS VALUE</t>
  </si>
  <si>
    <t xml:space="preserve">CONSTRUCTION PHASE </t>
  </si>
  <si>
    <t>DELIVERY TIME</t>
  </si>
  <si>
    <t xml:space="preserve"> UNIT DELIVERY DATE</t>
  </si>
  <si>
    <t>DELIVERY PERIOD</t>
  </si>
  <si>
    <t>3 YEARS</t>
  </si>
  <si>
    <t>PHASE SELLING START DATE</t>
  </si>
  <si>
    <t>F</t>
  </si>
  <si>
    <t>230-350M2</t>
  </si>
  <si>
    <t>DUPLEX</t>
  </si>
  <si>
    <t>R4 SALES DATA</t>
  </si>
  <si>
    <t>NO. OF UNITS</t>
  </si>
  <si>
    <t>R1 SALES DATA</t>
  </si>
  <si>
    <t>RH SALES DATA</t>
  </si>
  <si>
    <t>R12 SALES DATA</t>
  </si>
  <si>
    <t>R11 SALES DATA</t>
  </si>
  <si>
    <t>R10 SALES DATA</t>
  </si>
  <si>
    <t>R9 SALES DATA</t>
  </si>
  <si>
    <t>R8 SALES DATA</t>
  </si>
  <si>
    <t>R7 SALES DATA</t>
  </si>
  <si>
    <t>R6 SALES DATA</t>
  </si>
  <si>
    <t>R5 SALES DATA</t>
  </si>
  <si>
    <t>R3 SALES DATA</t>
  </si>
  <si>
    <t>R2 SALES DATA</t>
  </si>
  <si>
    <t>R 1</t>
  </si>
  <si>
    <t>R 2</t>
  </si>
  <si>
    <t>R 3</t>
  </si>
  <si>
    <t>R 4</t>
  </si>
  <si>
    <t>R 5</t>
  </si>
  <si>
    <t>R 6</t>
  </si>
  <si>
    <t>R 7</t>
  </si>
  <si>
    <t>R 8</t>
  </si>
  <si>
    <t>R 9</t>
  </si>
  <si>
    <t>R 10</t>
  </si>
  <si>
    <t>R 11</t>
  </si>
  <si>
    <t>R 12</t>
  </si>
  <si>
    <t>COMMULATIVE</t>
  </si>
  <si>
    <t>Count of Unit Selling Area</t>
  </si>
  <si>
    <t>Min of TOTAL PREMIUM %</t>
  </si>
  <si>
    <t>Max of TOTAL PREMIUM %</t>
  </si>
  <si>
    <t>Count of PREMIUM CATEGORY</t>
  </si>
  <si>
    <t>FLOOR2</t>
  </si>
  <si>
    <t>No. of Periods</t>
  </si>
  <si>
    <t>Total no. of Periods</t>
  </si>
  <si>
    <t>Intrest Rate (yearly)</t>
  </si>
  <si>
    <t>Intrest Rate (Period)</t>
  </si>
  <si>
    <t>Present Value (PV)</t>
  </si>
  <si>
    <t>Discount Rate (%)</t>
  </si>
  <si>
    <t>Unit area</t>
  </si>
  <si>
    <t>Unit price</t>
  </si>
  <si>
    <t>Total Unit Price</t>
  </si>
  <si>
    <t>No. of installments years</t>
  </si>
  <si>
    <t>Installment value</t>
  </si>
  <si>
    <t>Unit (1)</t>
  </si>
  <si>
    <t>Unit (2)</t>
  </si>
  <si>
    <t>DP %</t>
  </si>
  <si>
    <t>DP Value</t>
  </si>
  <si>
    <t>PAINT</t>
  </si>
  <si>
    <t>FUTEC</t>
  </si>
  <si>
    <t>PORCELAIN WALLS</t>
  </si>
  <si>
    <t>WALLS</t>
  </si>
  <si>
    <t>CEILLING</t>
  </si>
  <si>
    <t>GYPSUM</t>
  </si>
  <si>
    <t>GYPSUM COVE AND CURTIN</t>
  </si>
  <si>
    <t>FLOORS</t>
  </si>
  <si>
    <t>PORCELAIN 01</t>
  </si>
  <si>
    <t>PORCELAIN 02</t>
  </si>
  <si>
    <t>CERAMIC UNDER HDF</t>
  </si>
  <si>
    <t>HDF, SKIRT ,ACC.</t>
  </si>
  <si>
    <t>MARBLE THRESHOLDS</t>
  </si>
  <si>
    <t>BASIN WORKS</t>
  </si>
  <si>
    <t>CHASIS (MARBLE +STEEL)</t>
  </si>
  <si>
    <t>BASIN VANITIES</t>
  </si>
  <si>
    <t>WOODEN DOORS WITH ACC.</t>
  </si>
  <si>
    <t>MAIN DOOR WITH ACC.</t>
  </si>
  <si>
    <t xml:space="preserve">WOODEN DOORS </t>
  </si>
  <si>
    <t>MIRRORS AND GLASS PARTIONS</t>
  </si>
  <si>
    <t>MIRRORS</t>
  </si>
  <si>
    <t>SECORITE</t>
  </si>
  <si>
    <t>ELEC WORKS AND LIGHTING FIX.</t>
  </si>
  <si>
    <t>PLUMBING WORKS</t>
  </si>
  <si>
    <t>SANITARY WARE</t>
  </si>
  <si>
    <t>SINK</t>
  </si>
  <si>
    <t>MIXER</t>
  </si>
  <si>
    <t>WALL MOUNTED TOILET WITH FLUSH TANK</t>
  </si>
  <si>
    <t>SHOWER</t>
  </si>
  <si>
    <t>SINK KITCHEN</t>
  </si>
  <si>
    <t>ACC.</t>
  </si>
  <si>
    <t>WATER SPRAY</t>
  </si>
  <si>
    <t>UNIT PRICING PAYMENT</t>
  </si>
  <si>
    <t>AC (CHASIS, CONTROL CABLE, COPPER AND PLUM.)</t>
  </si>
  <si>
    <t>QUANTITY</t>
  </si>
  <si>
    <t>PRICE</t>
  </si>
  <si>
    <t>TOTAL</t>
  </si>
  <si>
    <t>ITEM</t>
  </si>
  <si>
    <t>UNIT AREA</t>
  </si>
  <si>
    <t>$ to EGP. Rate</t>
  </si>
  <si>
    <t>Finish rate ($) / UNIT AREA</t>
  </si>
  <si>
    <t>FULLY</t>
  </si>
  <si>
    <t>BASIC</t>
  </si>
  <si>
    <t>MARBLE FLOOR FOR SHOWERS</t>
  </si>
  <si>
    <t>FINISHING PAYMENT (FULLY)</t>
  </si>
  <si>
    <t>FINISHING PAYMENT (BASIC)</t>
  </si>
  <si>
    <t>APPARTMENT &amp; FINISHING PAYMENT (FULLY)</t>
  </si>
  <si>
    <t>APPARTMENT &amp; FINISHING PAYMENT (BASIC)</t>
  </si>
  <si>
    <t>Present Value (PV)/M2</t>
  </si>
  <si>
    <r>
      <t>FINISH PRICE / UNIT AREA</t>
    </r>
    <r>
      <rPr>
        <b/>
        <sz val="11"/>
        <color rgb="FFFF0000"/>
        <rFont val="Calibri"/>
        <family val="2"/>
        <scheme val="minor"/>
      </rPr>
      <t xml:space="preserve"> (PRESENT VALUE)</t>
    </r>
  </si>
  <si>
    <r>
      <t xml:space="preserve">FINISH PRICE / UNIT AREA  </t>
    </r>
    <r>
      <rPr>
        <b/>
        <sz val="11"/>
        <color rgb="FFFF0000"/>
        <rFont val="Calibri"/>
        <family val="2"/>
        <scheme val="minor"/>
      </rPr>
      <t>(PRESENT VALUE)</t>
    </r>
  </si>
  <si>
    <t>Intrest Rate (yearly) DISCOUNTING</t>
  </si>
  <si>
    <t>Unit price/m2</t>
  </si>
  <si>
    <t>Unit price/M2</t>
  </si>
  <si>
    <t>TOTAL NO. OF UNITS FOR LAUNCH</t>
  </si>
  <si>
    <t>TOTAL PRICE OF LAUNCH UNITS (WITHOUT FINISH)</t>
  </si>
  <si>
    <t>TOTAL PRICE OF LAUNCH UNITS (WITH BASIC FINISH)</t>
  </si>
  <si>
    <t>TOTAL SELLING AREA FOR LAUNCH (M2)</t>
  </si>
  <si>
    <t>TOTAL PRICE OF LAUNCH UNITS (WITH FULLY FINISH)</t>
  </si>
  <si>
    <t>DISCOUNT PERCENTAGE FOR LAUNCH</t>
  </si>
  <si>
    <t>DISCOUNT VALUE FOR LAUNCH</t>
  </si>
  <si>
    <t>CAR PARKING VALUE</t>
  </si>
  <si>
    <t>NO. OF EQUIVELANT DISCOUNTED CARS</t>
  </si>
  <si>
    <t>BASIC FINISHING PRICE / M2</t>
  </si>
  <si>
    <t>FULLY FINISHING PRICE / M2</t>
  </si>
  <si>
    <t>AVERAGE SELLING PRICE /M2 FOR LAUNCH (WITH BASIC FINISHING) WITH LAUNCH DISCOUNT</t>
  </si>
  <si>
    <t>AVERAGE SELLING PRICE /M2 FOR LAUNCH (WITHOUT FINISHING) WITHOUT LAUNCH DISCOUNT</t>
  </si>
  <si>
    <t>AVERAGE SELLING PRICE /M2 FOR LAUNCH (WITH BASIC FINISHING) WITHOUT LAUNCH DISCOUNT</t>
  </si>
  <si>
    <t>PAYMENT PLAN (1)</t>
  </si>
  <si>
    <t>10% DP &amp; 7 YEARS EQUAL INSTALLMENTS</t>
  </si>
  <si>
    <t>PAYMENT PLAN (2)</t>
  </si>
  <si>
    <t>5% DP &amp; 6 YEARS EQUAL INSTALLMENTS</t>
  </si>
  <si>
    <t>UNIT (BUILDING) VALUE SEMI FINISHED</t>
  </si>
  <si>
    <t>UNIT (BUILDING) RATE (BASIC FINISH)</t>
  </si>
  <si>
    <t>UNIT (BUILDING) RATE (FULLY FINISH)</t>
  </si>
  <si>
    <t>UNIT (BUILDING) RATE (SEMI FINISHED)</t>
  </si>
  <si>
    <t>UNIT (BUILDING) VALUE BASIC FINISHED</t>
  </si>
  <si>
    <t>UNIT (BUILDING) VALUE FULLY FINISHED</t>
  </si>
  <si>
    <t>TOTAL UNIT VALUE (SEMI FINISHED)</t>
  </si>
  <si>
    <t>TOTAL UNIT VALUE (BASIC FINISHED)</t>
  </si>
  <si>
    <t>TOTAL UNIT VALUE (FULLY FINISHED)</t>
  </si>
  <si>
    <t>NO. OF BEDROOMS</t>
  </si>
  <si>
    <t>No. of Bedrooms2</t>
  </si>
  <si>
    <t>2 BEDROOM</t>
  </si>
  <si>
    <t>3 BEDROOM</t>
  </si>
  <si>
    <t>3 BEDROOM + LIVING</t>
  </si>
  <si>
    <t>1 BEDROOM (STUDIO)</t>
  </si>
  <si>
    <t>3 BEDROOM + LIVING (DUPLEX)</t>
  </si>
  <si>
    <t>Sum of TOTAL UNIT VALUE (SEMI FINISHED)</t>
  </si>
  <si>
    <t>Sum of TOTAL UNIT VALUE (BASIC FINISHED)</t>
  </si>
  <si>
    <t>Sum of TOTAL UNIT VALUE (FULLY FINISHED)</t>
  </si>
  <si>
    <t>TOTAL SALES VALUE (SEMI)</t>
  </si>
  <si>
    <t>Sum of Private Garden Area</t>
  </si>
  <si>
    <t>Sum of UNIT (BUILDING) RATE (SEMI FINISHED)</t>
  </si>
  <si>
    <t>Count of TOTAL UNIT VALUE (SEMI FINISHED)2</t>
  </si>
  <si>
    <t>Min of UNIT (BUILDING) RATE (SEMI FINISHED)</t>
  </si>
  <si>
    <t>Max of UNIT (BUILDING) RATE (SEMI FINISHED)</t>
  </si>
  <si>
    <t>Premium Category</t>
  </si>
  <si>
    <t>Average of UNIT (BUILDING) RATE (SEMI FINISHED)</t>
  </si>
  <si>
    <t>Selling Phases</t>
  </si>
  <si>
    <t>Min of UNIT (BUILDING) RATE (FULLY FINISH)</t>
  </si>
  <si>
    <t>Max of UNIT (BUILDING) RATE (FULLY FINISH)</t>
  </si>
  <si>
    <t>Phases</t>
  </si>
  <si>
    <t>Unit Area</t>
  </si>
  <si>
    <t>Count of Unit Selling Area2</t>
  </si>
  <si>
    <t>Min of UNIT (BUILDING) RATE (BASIC FINISH)2</t>
  </si>
  <si>
    <t>Max of UNIT (BUILDING) RATE (BASIC FINISH)</t>
  </si>
  <si>
    <t>Average of UNIT (BUILDING) RATE (BASIC FINISH)</t>
  </si>
  <si>
    <t>Average of UNIT (BUILDING) RATE (FULLY FINISH)</t>
  </si>
  <si>
    <t>AVERAGE SELLING PRICE /M2 FOR LAUNCH (SEMI FINISHED) WITH LAUNCH DISCOUNT</t>
  </si>
  <si>
    <t>Phase % of Unit Selling Area from total</t>
  </si>
  <si>
    <t>1st</t>
  </si>
  <si>
    <t>2nd</t>
  </si>
  <si>
    <t>3rd</t>
  </si>
  <si>
    <t>4th</t>
  </si>
  <si>
    <t>5th</t>
  </si>
  <si>
    <t>6th</t>
  </si>
  <si>
    <t>7th</t>
  </si>
  <si>
    <t>8th</t>
  </si>
  <si>
    <t>9th</t>
  </si>
  <si>
    <t>10th</t>
  </si>
  <si>
    <t>11th</t>
  </si>
  <si>
    <t>12th</t>
  </si>
  <si>
    <t>13th</t>
  </si>
  <si>
    <t>14th</t>
  </si>
  <si>
    <t>15th</t>
  </si>
  <si>
    <t>16th</t>
  </si>
  <si>
    <t>17th</t>
  </si>
  <si>
    <t>18th</t>
  </si>
  <si>
    <t>19th</t>
  </si>
  <si>
    <t>20th</t>
  </si>
  <si>
    <t>21st</t>
  </si>
  <si>
    <t>22nd</t>
  </si>
  <si>
    <t>23rd</t>
  </si>
  <si>
    <t>24th</t>
  </si>
  <si>
    <t>25th</t>
  </si>
  <si>
    <t>26th</t>
  </si>
  <si>
    <t>27th</t>
  </si>
  <si>
    <t>28th</t>
  </si>
  <si>
    <t>DP</t>
  </si>
  <si>
    <t>Total with DP</t>
  </si>
  <si>
    <t>Discount Rate</t>
  </si>
  <si>
    <t>Installment No.</t>
  </si>
  <si>
    <t>Due Date of the Installment</t>
  </si>
  <si>
    <t>Due period of Intrest</t>
  </si>
  <si>
    <t>Installment Future Value</t>
  </si>
  <si>
    <t>Installment Present Value</t>
  </si>
  <si>
    <t>(1+i)^n</t>
  </si>
  <si>
    <t>DP Date</t>
  </si>
  <si>
    <t>Intrest Rate (Quarterly)</t>
  </si>
  <si>
    <t>Intrest Rate (Daily)</t>
  </si>
  <si>
    <t>(1+i)</t>
  </si>
  <si>
    <t>Checker</t>
  </si>
  <si>
    <t>Commulative % of collections</t>
  </si>
  <si>
    <t>Commulative Value of collections</t>
  </si>
  <si>
    <t>Unit New Value</t>
  </si>
  <si>
    <t>Basic + Main. + Car + Garden</t>
  </si>
  <si>
    <t>Fully + Main. + Car + Garden</t>
  </si>
  <si>
    <t>Unit (1) (Default 6 Years)</t>
  </si>
  <si>
    <t>Unit Default Value</t>
  </si>
  <si>
    <t>Unit (1) (Proposed Down Payment to get Installments)</t>
  </si>
  <si>
    <t>Unit (1) (Proposed Installments to get Down Payment)</t>
  </si>
  <si>
    <t>Unit (1) (Default Down Payments &amp; Installments 7 Years)</t>
  </si>
  <si>
    <t xml:space="preserve"> Installment value</t>
  </si>
  <si>
    <t>MAX. NO. OF CAR PARKING</t>
  </si>
  <si>
    <t>Unit + Car + Garden (Present Value) Fully or Basic</t>
  </si>
  <si>
    <t>Unit Basic + Car + Garden</t>
  </si>
  <si>
    <t>Unit Fully + Car + Garden</t>
  </si>
  <si>
    <t>Default Unit Present Val.</t>
  </si>
  <si>
    <t>Discount Value</t>
  </si>
  <si>
    <t>تشطيبات الكهرباء</t>
  </si>
  <si>
    <t>لوحة كهرباء 24</t>
  </si>
  <si>
    <t>عدد</t>
  </si>
  <si>
    <t>لوحة كهرباء 36</t>
  </si>
  <si>
    <t>مفاتيح + قواطع اللوحة</t>
  </si>
  <si>
    <t>شاسية</t>
  </si>
  <si>
    <t>وش</t>
  </si>
  <si>
    <t>سدادة</t>
  </si>
  <si>
    <t>بريزة شوكو</t>
  </si>
  <si>
    <t>بريزة عادية</t>
  </si>
  <si>
    <t>بريزة دش</t>
  </si>
  <si>
    <t>بريزة تليفون</t>
  </si>
  <si>
    <t>مفتاح انارة</t>
  </si>
  <si>
    <t>مفتاح دفيتير</t>
  </si>
  <si>
    <t>مفتاح جرس</t>
  </si>
  <si>
    <t>سلك 2 مم</t>
  </si>
  <si>
    <t>م</t>
  </si>
  <si>
    <t>سلك 3 مم</t>
  </si>
  <si>
    <t>سلك 4 مم</t>
  </si>
  <si>
    <t>سلك 6 مم</t>
  </si>
  <si>
    <t>سلك دش</t>
  </si>
  <si>
    <t>لفة</t>
  </si>
  <si>
    <t>سلك تلفون</t>
  </si>
  <si>
    <t>كابلات 5*16 داخلة الشقة من العداد</t>
  </si>
  <si>
    <t>مط</t>
  </si>
  <si>
    <t>مصمعيات سحب سلك وتقفيل لقم وتعديل المخارج و الشاسيهات</t>
  </si>
  <si>
    <t>مقط</t>
  </si>
  <si>
    <t>خراطيم و علب</t>
  </si>
  <si>
    <t>الإجمالي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</si>
</sst>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_(* #,##0_);_(* \(#,##0\);_(* &quot;-&quot;??_);_(@_)"/>
    <numFmt numFmtId="166" formatCode="[$-409]dd/mmm/yy;@"/>
    <numFmt numFmtId="167" formatCode="[$-409]mmm/yy;@"/>
    <numFmt numFmtId="168" formatCode="[$-409]d/mmm/yy;@"/>
    <numFmt numFmtId="169" formatCode="[$EGP]\ #,##0_);\([$EGP]\ #,##0\)"/>
    <numFmt numFmtId="170" formatCode="0.000%"/>
    <numFmt numFmtId="171" formatCode="0.00000%"/>
    <numFmt numFmtId="172" formatCode="[$-409]d/mmm/yyyy;@"/>
  </numFmts>
  <fonts count="27"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sz val="20"/>
      <color theme="1"/>
      <name val="Calibri"/>
      <family val="2"/>
      <scheme val="minor"/>
    </font>
    <font>
      <b/>
      <sz val="14"/>
      <color theme="1"/>
      <name val="Calibri"/>
      <family val="2"/>
      <scheme val="minor"/>
    </font>
    <font>
      <b/>
      <sz val="14"/>
      <color theme="0"/>
      <name val="Calibri"/>
      <family val="2"/>
      <scheme val="minor"/>
    </font>
    <font>
      <sz val="8"/>
      <color theme="1"/>
      <name val="Calibri"/>
      <family val="2"/>
      <scheme val="minor"/>
    </font>
    <font>
      <b/>
      <sz val="11"/>
      <color theme="0"/>
      <name val="Calibri"/>
      <family val="2"/>
      <scheme val="minor"/>
    </font>
    <font>
      <sz val="12"/>
      <color theme="0"/>
      <name val="Calibri"/>
      <family val="2"/>
      <scheme val="minor"/>
    </font>
    <font>
      <sz val="12"/>
      <color theme="1"/>
      <name val="Arial"/>
      <family val="2"/>
    </font>
    <font>
      <b/>
      <sz val="12"/>
      <color theme="1"/>
      <name val="Arial"/>
      <family val="2"/>
    </font>
    <font>
      <sz val="8"/>
      <name val="Calibri"/>
      <family val="2"/>
      <scheme val="minor"/>
    </font>
    <font>
      <sz val="14"/>
      <color theme="1"/>
      <name val="Calibri"/>
      <family val="2"/>
      <scheme val="minor"/>
    </font>
    <font>
      <sz val="14"/>
      <color theme="1"/>
      <name val="Arial"/>
      <family val="2"/>
    </font>
    <font>
      <sz val="10.5"/>
      <color theme="1"/>
      <name val="Calibri"/>
      <family val="2"/>
      <scheme val="minor"/>
    </font>
    <font>
      <b/>
      <sz val="16"/>
      <color theme="1"/>
      <name val="Calibri"/>
      <family val="2"/>
      <scheme val="minor"/>
    </font>
    <font>
      <sz val="9"/>
      <color theme="1"/>
      <name val="Calibri"/>
      <family val="2"/>
      <scheme val="minor"/>
    </font>
    <font>
      <b/>
      <sz val="11"/>
      <color rgb="FFFF0000"/>
      <name val="Calibri"/>
      <family val="2"/>
      <scheme val="minor"/>
    </font>
    <font>
      <b/>
      <sz val="14"/>
      <color rgb="FFFF0000"/>
      <name val="Calibri"/>
      <family val="2"/>
      <scheme val="minor"/>
    </font>
    <font>
      <sz val="8"/>
      <color rgb="FF000000"/>
      <name val="Segoe UI"/>
      <family val="2"/>
    </font>
    <font>
      <b/>
      <sz val="12"/>
      <color theme="1"/>
      <name val="Calibri"/>
      <family val="2"/>
      <scheme val="minor"/>
    </font>
    <font>
      <b/>
      <sz val="12"/>
      <name val="Calibri"/>
      <family val="2"/>
      <scheme val="minor"/>
    </font>
    <font>
      <b/>
      <sz val="11"/>
      <color rgb="FF0070C0"/>
      <name val="Calibri"/>
      <family val="2"/>
      <scheme val="minor"/>
    </font>
    <font>
      <sz val="11"/>
      <name val="Calibri"/>
      <family val="2"/>
      <scheme val="minor"/>
    </font>
    <font>
      <sz val="12"/>
      <name val="Calibri"/>
      <family val="2"/>
      <scheme val="minor"/>
    </font>
  </fonts>
  <fills count="19">
    <fill>
      <patternFill patternType="none"/>
    </fill>
    <fill>
      <patternFill patternType="gray125"/>
    </fill>
    <fill>
      <patternFill patternType="solid">
        <fgColor theme="6"/>
      </patternFill>
    </fill>
    <fill>
      <patternFill patternType="solid">
        <fgColor theme="6" tint="0.79998168889431442"/>
        <bgColor indexed="65"/>
      </patternFill>
    </fill>
    <fill>
      <patternFill patternType="solid">
        <fgColor theme="1"/>
        <bgColor indexed="64"/>
      </patternFill>
    </fill>
    <fill>
      <patternFill patternType="solid">
        <fgColor theme="5" tint="0.59996337778862885"/>
        <bgColor indexed="64"/>
      </patternFill>
    </fill>
    <fill>
      <patternFill patternType="solid">
        <fgColor theme="0"/>
        <bgColor indexed="64"/>
      </patternFill>
    </fill>
    <fill>
      <patternFill patternType="solid">
        <fgColor rgb="FF0070C0"/>
        <bgColor indexed="64"/>
      </patternFill>
    </fill>
    <fill>
      <patternFill patternType="solid">
        <fgColor rgb="FFFFC000"/>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00FF00"/>
        <bgColor indexed="64"/>
      </patternFill>
    </fill>
    <fill>
      <patternFill patternType="solid">
        <fgColor rgb="FFFF0000"/>
        <bgColor indexed="64"/>
      </patternFill>
    </fill>
    <fill>
      <patternFill patternType="solid">
        <fgColor theme="8" tint="0.59999389629810485"/>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style="thin">
        <color theme="0" tint="-0.14999847407452621"/>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bottom/>
      <diagonal/>
    </border>
    <border>
      <left/>
      <right style="thin">
        <color theme="0" tint="-0.14999847407452621"/>
      </right>
      <top style="thin">
        <color theme="0" tint="-0.14999847407452621"/>
      </top>
      <bottom style="thin">
        <color theme="0" tint="-0.249977111117893"/>
      </bottom>
      <diagonal/>
    </border>
    <border>
      <left/>
      <right style="thin">
        <color theme="0" tint="-0.14999847407452621"/>
      </right>
      <top style="thin">
        <color theme="0" tint="-0.14999847407452621"/>
      </top>
      <bottom style="thin">
        <color theme="0" tint="-0.14999847407452621"/>
      </bottom>
      <diagonal/>
    </border>
    <border>
      <left style="thin">
        <color indexed="64"/>
      </left>
      <right/>
      <top/>
      <bottom style="thin">
        <color theme="0" tint="-0.14999847407452621"/>
      </bottom>
      <diagonal/>
    </border>
    <border>
      <left/>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indexed="64"/>
      </left>
      <right/>
      <top/>
      <bottom/>
      <diagonal/>
    </border>
    <border>
      <left/>
      <right style="thin">
        <color theme="0" tint="-0.14999847407452621"/>
      </right>
      <top/>
      <bottom style="thin">
        <color theme="0" tint="-0.14999847407452621"/>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249977111117893"/>
      </bottom>
      <diagonal/>
    </border>
    <border>
      <left style="thin">
        <color indexed="64"/>
      </left>
      <right/>
      <top style="thin">
        <color theme="0" tint="-0.14999847407452621"/>
      </top>
      <bottom/>
      <diagonal/>
    </border>
    <border>
      <left style="thin">
        <color indexed="64"/>
      </left>
      <right style="thin">
        <color indexed="64"/>
      </right>
      <top style="medium">
        <color indexed="64"/>
      </top>
      <bottom style="thin">
        <color indexed="64"/>
      </bottom>
      <diagonal/>
    </border>
    <border>
      <left style="thin">
        <color indexed="64"/>
      </left>
      <right style="thick">
        <color indexed="64"/>
      </right>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auto="1"/>
      </left>
      <right/>
      <top/>
      <bottom/>
      <diagonal/>
    </border>
    <border>
      <left/>
      <right style="thick">
        <color auto="1"/>
      </right>
      <top/>
      <bottom/>
      <diagonal/>
    </border>
    <border>
      <left style="thick">
        <color auto="1"/>
      </left>
      <right/>
      <top/>
      <bottom style="medium">
        <color indexed="64"/>
      </bottom>
      <diagonal/>
    </border>
    <border>
      <left/>
      <right style="thick">
        <color auto="1"/>
      </right>
      <top/>
      <bottom style="medium">
        <color indexed="64"/>
      </bottom>
      <diagonal/>
    </border>
    <border>
      <left style="thick">
        <color auto="1"/>
      </left>
      <right/>
      <top style="medium">
        <color indexed="64"/>
      </top>
      <bottom style="medium">
        <color indexed="64"/>
      </bottom>
      <diagonal/>
    </border>
    <border>
      <left/>
      <right style="thick">
        <color auto="1"/>
      </right>
      <top style="medium">
        <color indexed="64"/>
      </top>
      <bottom style="medium">
        <color indexed="64"/>
      </bottom>
      <diagonal/>
    </border>
    <border>
      <left style="thick">
        <color auto="1"/>
      </left>
      <right/>
      <top style="medium">
        <color indexed="64"/>
      </top>
      <bottom/>
      <diagonal/>
    </border>
    <border>
      <left style="mediumDashed">
        <color rgb="FFFF0000"/>
      </left>
      <right/>
      <top/>
      <bottom/>
      <diagonal/>
    </border>
    <border>
      <left style="mediumDashed">
        <color rgb="FFFF0000"/>
      </left>
      <right style="thick">
        <color auto="1"/>
      </right>
      <top/>
      <bottom/>
      <diagonal/>
    </border>
    <border>
      <left style="mediumDashed">
        <color rgb="FFFF0000"/>
      </left>
      <right style="thick">
        <color auto="1"/>
      </right>
      <top/>
      <bottom style="medium">
        <color indexed="64"/>
      </bottom>
      <diagonal/>
    </border>
    <border>
      <left style="mediumDashed">
        <color rgb="FFFF0000"/>
      </left>
      <right style="thick">
        <color auto="1"/>
      </right>
      <top style="medium">
        <color indexed="64"/>
      </top>
      <bottom style="medium">
        <color indexed="64"/>
      </bottom>
      <diagonal/>
    </border>
    <border>
      <left style="mediumDashed">
        <color rgb="FFFF0000"/>
      </left>
      <right/>
      <top/>
      <bottom style="medium">
        <color indexed="64"/>
      </bottom>
      <diagonal/>
    </border>
    <border>
      <left style="mediumDashed">
        <color rgb="FFFF0000"/>
      </left>
      <right/>
      <top style="medium">
        <color indexed="64"/>
      </top>
      <bottom style="medium">
        <color indexed="64"/>
      </bottom>
      <diagonal/>
    </border>
    <border>
      <left style="mediumDashed">
        <color rgb="FFFF0000"/>
      </left>
      <right/>
      <top style="medium">
        <color indexed="64"/>
      </top>
      <bottom/>
      <diagonal/>
    </border>
    <border>
      <left style="mediumDashed">
        <color rgb="FFFF0000"/>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4" tint="0.39997558519241921"/>
      </bottom>
      <diagonal/>
    </border>
  </borders>
  <cellStyleXfs count="5">
    <xf numFmtId="0" fontId="0" fillId="0" borderId="0"/>
    <xf numFmtId="0" fontId="3" fillId="2" borderId="0" applyNumberFormat="0" applyBorder="0" applyAlignment="0" applyProtection="0"/>
    <xf numFmtId="0" fontId="1" fillId="3"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541">
    <xf numFmtId="0" fontId="0" fillId="0" borderId="0" xfId="0"/>
    <xf numFmtId="0" fontId="2" fillId="2" borderId="1" xfId="1" applyFont="1" applyBorder="1" applyAlignment="1">
      <alignment horizontal="center" vertical="center"/>
    </xf>
    <xf numFmtId="0" fontId="2" fillId="2" borderId="1" xfId="1" applyFont="1" applyBorder="1" applyAlignment="1">
      <alignment horizontal="center" vertical="center" wrapText="1"/>
    </xf>
    <xf numFmtId="0" fontId="0" fillId="0" borderId="1" xfId="0" applyBorder="1" applyAlignment="1">
      <alignment horizontal="center" vertical="center"/>
    </xf>
    <xf numFmtId="0" fontId="2" fillId="5" borderId="1" xfId="1" applyFont="1" applyFill="1" applyBorder="1" applyAlignment="1">
      <alignment horizontal="center" vertical="center"/>
    </xf>
    <xf numFmtId="2" fontId="0" fillId="0" borderId="1" xfId="0" applyNumberFormat="1" applyBorder="1" applyAlignment="1">
      <alignment horizontal="center" vertical="center"/>
    </xf>
    <xf numFmtId="0" fontId="0" fillId="0" borderId="5" xfId="0" applyBorder="1" applyAlignment="1">
      <alignment horizontal="center" vertical="center"/>
    </xf>
    <xf numFmtId="2" fontId="0" fillId="0" borderId="5" xfId="0" applyNumberFormat="1" applyBorder="1" applyAlignment="1">
      <alignment horizontal="center" vertical="center"/>
    </xf>
    <xf numFmtId="2" fontId="2" fillId="5" borderId="1" xfId="1" applyNumberFormat="1" applyFont="1" applyFill="1" applyBorder="1" applyAlignment="1">
      <alignment horizontal="center" vertical="center"/>
    </xf>
    <xf numFmtId="10" fontId="2" fillId="5" borderId="1" xfId="3" applyNumberFormat="1" applyFont="1" applyFill="1" applyBorder="1" applyAlignment="1">
      <alignment horizontal="center" vertical="center"/>
    </xf>
    <xf numFmtId="0" fontId="0" fillId="0" borderId="9" xfId="0" applyBorder="1"/>
    <xf numFmtId="9" fontId="0" fillId="6" borderId="10" xfId="3" applyFont="1" applyFill="1" applyBorder="1"/>
    <xf numFmtId="9" fontId="0" fillId="6" borderId="11" xfId="3" applyFont="1" applyFill="1" applyBorder="1"/>
    <xf numFmtId="9" fontId="0" fillId="6" borderId="12" xfId="3" applyFont="1" applyFill="1" applyBorder="1"/>
    <xf numFmtId="0" fontId="0" fillId="0" borderId="15" xfId="0" applyBorder="1"/>
    <xf numFmtId="0" fontId="0" fillId="6" borderId="16" xfId="0" applyFill="1" applyBorder="1"/>
    <xf numFmtId="0" fontId="0" fillId="6" borderId="13" xfId="0" applyFill="1" applyBorder="1"/>
    <xf numFmtId="0" fontId="0" fillId="6" borderId="10" xfId="0" applyFill="1" applyBorder="1"/>
    <xf numFmtId="2" fontId="0" fillId="0" borderId="0" xfId="0" applyNumberFormat="1"/>
    <xf numFmtId="2" fontId="2" fillId="2" borderId="1" xfId="1" applyNumberFormat="1" applyFont="1" applyBorder="1" applyAlignment="1">
      <alignment horizontal="center" vertical="center" wrapText="1"/>
    </xf>
    <xf numFmtId="0" fontId="0" fillId="7" borderId="1" xfId="0" applyFill="1" applyBorder="1" applyAlignment="1">
      <alignment horizontal="center" vertical="center"/>
    </xf>
    <xf numFmtId="0" fontId="0" fillId="8" borderId="1" xfId="0" applyFill="1" applyBorder="1" applyAlignment="1">
      <alignment horizontal="center" vertical="center"/>
    </xf>
    <xf numFmtId="49" fontId="0" fillId="0" borderId="0" xfId="0" applyNumberFormat="1"/>
    <xf numFmtId="49" fontId="2" fillId="2" borderId="1" xfId="1" applyNumberFormat="1" applyFont="1" applyBorder="1" applyAlignment="1">
      <alignment horizontal="center" vertical="center"/>
    </xf>
    <xf numFmtId="49" fontId="2" fillId="5" borderId="1" xfId="1" applyNumberFormat="1" applyFont="1" applyFill="1" applyBorder="1" applyAlignment="1">
      <alignment horizontal="center" vertical="center"/>
    </xf>
    <xf numFmtId="2" fontId="0" fillId="6" borderId="1" xfId="0" applyNumberFormat="1" applyFill="1" applyBorder="1" applyAlignment="1">
      <alignment horizontal="center" vertical="center"/>
    </xf>
    <xf numFmtId="2" fontId="0" fillId="6" borderId="5" xfId="0" applyNumberFormat="1" applyFill="1" applyBorder="1" applyAlignment="1">
      <alignment horizontal="center" vertical="center"/>
    </xf>
    <xf numFmtId="2" fontId="0" fillId="6" borderId="4" xfId="0" applyNumberFormat="1" applyFill="1" applyBorder="1" applyAlignment="1">
      <alignment horizontal="center" vertical="center"/>
    </xf>
    <xf numFmtId="2" fontId="2" fillId="2" borderId="1" xfId="1" applyNumberFormat="1" applyFont="1" applyBorder="1" applyAlignment="1">
      <alignment horizontal="center" vertical="center"/>
    </xf>
    <xf numFmtId="2" fontId="0" fillId="0" borderId="9" xfId="0" applyNumberFormat="1" applyBorder="1"/>
    <xf numFmtId="0" fontId="0" fillId="6" borderId="18" xfId="0" applyFill="1" applyBorder="1"/>
    <xf numFmtId="0" fontId="0" fillId="0" borderId="20" xfId="0" applyBorder="1"/>
    <xf numFmtId="49" fontId="0" fillId="0" borderId="21" xfId="0" applyNumberFormat="1" applyBorder="1"/>
    <xf numFmtId="0" fontId="0" fillId="0" borderId="21" xfId="0" applyBorder="1"/>
    <xf numFmtId="2" fontId="0" fillId="0" borderId="21" xfId="0" applyNumberFormat="1" applyBorder="1"/>
    <xf numFmtId="0" fontId="0" fillId="0" borderId="21" xfId="0" applyBorder="1" applyAlignment="1">
      <alignment horizontal="center" vertical="center" wrapText="1"/>
    </xf>
    <xf numFmtId="0" fontId="0" fillId="0" borderId="22" xfId="0" applyBorder="1"/>
    <xf numFmtId="0" fontId="0" fillId="0" borderId="23" xfId="0" applyBorder="1"/>
    <xf numFmtId="0" fontId="0" fillId="0" borderId="0" xfId="0" applyAlignment="1">
      <alignment horizontal="center" vertical="center"/>
    </xf>
    <xf numFmtId="0" fontId="0" fillId="0" borderId="24" xfId="0" applyBorder="1"/>
    <xf numFmtId="2" fontId="0" fillId="8" borderId="0" xfId="0" applyNumberFormat="1" applyFill="1"/>
    <xf numFmtId="0" fontId="2" fillId="2" borderId="26" xfId="1" applyFont="1" applyBorder="1" applyAlignment="1">
      <alignment horizontal="center" vertical="center" wrapText="1"/>
    </xf>
    <xf numFmtId="9" fontId="0" fillId="0" borderId="0" xfId="3" applyFont="1" applyBorder="1"/>
    <xf numFmtId="0" fontId="2" fillId="5" borderId="26" xfId="1" applyFont="1" applyFill="1" applyBorder="1" applyAlignment="1">
      <alignment horizontal="center" vertical="center"/>
    </xf>
    <xf numFmtId="9" fontId="0" fillId="0" borderId="0" xfId="0" applyNumberFormat="1"/>
    <xf numFmtId="2" fontId="8" fillId="0" borderId="0" xfId="0" applyNumberFormat="1" applyFont="1" applyAlignment="1">
      <alignment horizontal="center" vertical="center"/>
    </xf>
    <xf numFmtId="2" fontId="0" fillId="7" borderId="0" xfId="0" applyNumberFormat="1" applyFill="1"/>
    <xf numFmtId="0" fontId="0" fillId="0" borderId="30" xfId="0" applyBorder="1"/>
    <xf numFmtId="49" fontId="0" fillId="0" borderId="31" xfId="0" applyNumberFormat="1" applyBorder="1"/>
    <xf numFmtId="0" fontId="0" fillId="0" borderId="31" xfId="0" applyBorder="1"/>
    <xf numFmtId="2" fontId="0" fillId="0" borderId="31" xfId="0" applyNumberFormat="1" applyBorder="1"/>
    <xf numFmtId="0" fontId="0" fillId="0" borderId="32" xfId="0" applyBorder="1"/>
    <xf numFmtId="0" fontId="0" fillId="0" borderId="0" xfId="0" applyAlignment="1">
      <alignment horizontal="center" vertical="center" wrapText="1"/>
    </xf>
    <xf numFmtId="0" fontId="2" fillId="2" borderId="33" xfId="1" applyFont="1" applyBorder="1" applyAlignment="1">
      <alignment horizontal="center" vertical="center"/>
    </xf>
    <xf numFmtId="9" fontId="0" fillId="6" borderId="13" xfId="3" applyFont="1" applyFill="1" applyBorder="1"/>
    <xf numFmtId="0" fontId="8" fillId="0" borderId="0" xfId="0" applyFont="1" applyAlignment="1">
      <alignment horizontal="center" vertical="center"/>
    </xf>
    <xf numFmtId="9" fontId="0" fillId="6" borderId="34" xfId="3" applyFont="1" applyFill="1" applyBorder="1"/>
    <xf numFmtId="9" fontId="0" fillId="6" borderId="0" xfId="3" applyFont="1" applyFill="1" applyBorder="1"/>
    <xf numFmtId="9" fontId="0" fillId="6" borderId="35" xfId="3" applyFont="1" applyFill="1" applyBorder="1"/>
    <xf numFmtId="0" fontId="0" fillId="0" borderId="0" xfId="0" applyAlignment="1">
      <alignment horizontal="center"/>
    </xf>
    <xf numFmtId="0" fontId="6" fillId="9" borderId="0" xfId="0" applyFont="1" applyFill="1" applyAlignment="1">
      <alignment horizontal="center"/>
    </xf>
    <xf numFmtId="0" fontId="0" fillId="10" borderId="0" xfId="0" applyFill="1"/>
    <xf numFmtId="0" fontId="2" fillId="0" borderId="0" xfId="0" applyFont="1"/>
    <xf numFmtId="2" fontId="0" fillId="6" borderId="10" xfId="0" applyNumberFormat="1" applyFill="1" applyBorder="1"/>
    <xf numFmtId="2" fontId="0" fillId="0" borderId="3" xfId="0" applyNumberFormat="1" applyBorder="1" applyAlignment="1">
      <alignment horizontal="center" vertical="center"/>
    </xf>
    <xf numFmtId="2" fontId="0" fillId="0" borderId="4" xfId="0" applyNumberFormat="1" applyBorder="1" applyAlignment="1">
      <alignment horizontal="center" vertical="center"/>
    </xf>
    <xf numFmtId="2" fontId="0" fillId="0" borderId="8" xfId="0" applyNumberFormat="1" applyBorder="1" applyAlignment="1">
      <alignment horizontal="center" vertical="center"/>
    </xf>
    <xf numFmtId="0" fontId="0" fillId="0" borderId="8" xfId="0" applyBorder="1" applyAlignment="1">
      <alignment horizontal="center" vertical="center"/>
    </xf>
    <xf numFmtId="2" fontId="0" fillId="6" borderId="3" xfId="0" applyNumberForma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10" borderId="1" xfId="0" applyFill="1" applyBorder="1" applyAlignment="1">
      <alignment horizontal="center" vertical="center"/>
    </xf>
    <xf numFmtId="0" fontId="0" fillId="0" borderId="37" xfId="0" applyBorder="1" applyAlignment="1">
      <alignment horizontal="center" vertical="center"/>
    </xf>
    <xf numFmtId="2" fontId="0" fillId="0" borderId="37" xfId="0" applyNumberFormat="1" applyBorder="1" applyAlignment="1">
      <alignment horizontal="center" vertical="center"/>
    </xf>
    <xf numFmtId="2" fontId="0" fillId="6" borderId="37" xfId="0" applyNumberFormat="1" applyFill="1" applyBorder="1" applyAlignment="1">
      <alignment horizontal="center" vertical="center"/>
    </xf>
    <xf numFmtId="2" fontId="11" fillId="0" borderId="38" xfId="0" applyNumberFormat="1" applyFont="1" applyBorder="1" applyAlignment="1">
      <alignment horizontal="center" vertical="center"/>
    </xf>
    <xf numFmtId="2" fontId="11" fillId="0" borderId="39" xfId="0" applyNumberFormat="1" applyFont="1" applyBorder="1" applyAlignment="1">
      <alignment horizontal="center" vertical="center"/>
    </xf>
    <xf numFmtId="2" fontId="11" fillId="9" borderId="39" xfId="0" applyNumberFormat="1" applyFont="1" applyFill="1" applyBorder="1" applyAlignment="1">
      <alignment horizontal="center" vertical="center"/>
    </xf>
    <xf numFmtId="2" fontId="11" fillId="0" borderId="40" xfId="0" applyNumberFormat="1" applyFont="1" applyBorder="1" applyAlignment="1">
      <alignment horizontal="center" vertical="center"/>
    </xf>
    <xf numFmtId="0" fontId="0" fillId="6" borderId="0" xfId="0" applyFill="1"/>
    <xf numFmtId="49" fontId="6" fillId="6" borderId="1" xfId="1" applyNumberFormat="1" applyFont="1" applyFill="1" applyBorder="1" applyAlignment="1">
      <alignment horizontal="center" vertical="center"/>
    </xf>
    <xf numFmtId="0" fontId="6" fillId="6" borderId="1" xfId="1" applyFont="1" applyFill="1" applyBorder="1" applyAlignment="1">
      <alignment horizontal="center" vertical="center"/>
    </xf>
    <xf numFmtId="2" fontId="6" fillId="6" borderId="1" xfId="1" applyNumberFormat="1" applyFont="1" applyFill="1" applyBorder="1" applyAlignment="1">
      <alignment horizontal="center" vertical="center" wrapText="1"/>
    </xf>
    <xf numFmtId="2" fontId="6" fillId="6" borderId="1" xfId="1" applyNumberFormat="1" applyFont="1" applyFill="1" applyBorder="1" applyAlignment="1">
      <alignment horizontal="center" vertical="center"/>
    </xf>
    <xf numFmtId="0" fontId="14" fillId="6" borderId="1" xfId="0" applyFont="1" applyFill="1" applyBorder="1" applyAlignment="1">
      <alignment horizontal="center" vertical="center"/>
    </xf>
    <xf numFmtId="2" fontId="14" fillId="6" borderId="1" xfId="0" applyNumberFormat="1" applyFont="1" applyFill="1" applyBorder="1" applyAlignment="1">
      <alignment horizontal="center" vertical="center"/>
    </xf>
    <xf numFmtId="2" fontId="15" fillId="6" borderId="1" xfId="0" applyNumberFormat="1" applyFont="1" applyFill="1" applyBorder="1" applyAlignment="1">
      <alignment horizontal="center" vertical="center"/>
    </xf>
    <xf numFmtId="2" fontId="14" fillId="6" borderId="0" xfId="0" applyNumberFormat="1" applyFont="1" applyFill="1" applyAlignment="1">
      <alignment horizontal="center" vertical="center"/>
    </xf>
    <xf numFmtId="10" fontId="6" fillId="6" borderId="4" xfId="3" applyNumberFormat="1" applyFont="1" applyFill="1" applyBorder="1" applyAlignment="1">
      <alignment horizontal="center" vertical="center"/>
    </xf>
    <xf numFmtId="0" fontId="14" fillId="6" borderId="0" xfId="0" applyFont="1" applyFill="1" applyAlignment="1">
      <alignment horizontal="center" vertical="center"/>
    </xf>
    <xf numFmtId="10" fontId="6" fillId="6" borderId="0" xfId="3" applyNumberFormat="1" applyFont="1" applyFill="1" applyBorder="1" applyAlignment="1">
      <alignment horizontal="center" vertical="center"/>
    </xf>
    <xf numFmtId="10" fontId="14" fillId="6" borderId="0" xfId="3" applyNumberFormat="1" applyFont="1" applyFill="1" applyAlignment="1">
      <alignment horizontal="center" vertical="center"/>
    </xf>
    <xf numFmtId="0" fontId="14" fillId="6" borderId="23" xfId="0" applyFont="1" applyFill="1" applyBorder="1" applyAlignment="1">
      <alignment horizontal="center" vertical="center"/>
    </xf>
    <xf numFmtId="49" fontId="14" fillId="6" borderId="0" xfId="0" applyNumberFormat="1" applyFont="1" applyFill="1" applyAlignment="1">
      <alignment horizontal="center" vertical="center"/>
    </xf>
    <xf numFmtId="2" fontId="6" fillId="6" borderId="1" xfId="0" applyNumberFormat="1" applyFont="1" applyFill="1" applyBorder="1" applyAlignment="1">
      <alignment horizontal="center" vertical="center" textRotation="90"/>
    </xf>
    <xf numFmtId="2" fontId="6" fillId="6" borderId="1" xfId="0" applyNumberFormat="1" applyFont="1" applyFill="1" applyBorder="1" applyAlignment="1">
      <alignment horizontal="center" vertical="center"/>
    </xf>
    <xf numFmtId="2" fontId="14" fillId="6" borderId="0" xfId="3" applyNumberFormat="1" applyFont="1" applyFill="1" applyAlignment="1">
      <alignment horizontal="center" vertical="center"/>
    </xf>
    <xf numFmtId="2" fontId="14" fillId="6" borderId="23" xfId="0" applyNumberFormat="1" applyFont="1" applyFill="1" applyBorder="1" applyAlignment="1">
      <alignment horizontal="center" vertical="center"/>
    </xf>
    <xf numFmtId="2" fontId="6" fillId="6" borderId="1" xfId="3" applyNumberFormat="1" applyFont="1" applyFill="1" applyBorder="1" applyAlignment="1">
      <alignment horizontal="center" vertical="center"/>
    </xf>
    <xf numFmtId="2" fontId="6" fillId="6" borderId="4" xfId="3" applyNumberFormat="1" applyFont="1" applyFill="1" applyBorder="1" applyAlignment="1">
      <alignment horizontal="center" vertical="center"/>
    </xf>
    <xf numFmtId="2" fontId="6" fillId="6" borderId="0" xfId="3" applyNumberFormat="1" applyFont="1" applyFill="1" applyBorder="1" applyAlignment="1">
      <alignment horizontal="center" vertical="center"/>
    </xf>
    <xf numFmtId="1" fontId="14" fillId="6" borderId="0" xfId="0" applyNumberFormat="1" applyFont="1" applyFill="1" applyAlignment="1">
      <alignment horizontal="center" vertical="center"/>
    </xf>
    <xf numFmtId="1" fontId="6" fillId="6" borderId="1" xfId="1" applyNumberFormat="1" applyFont="1" applyFill="1" applyBorder="1" applyAlignment="1">
      <alignment horizontal="center" vertical="center" wrapText="1"/>
    </xf>
    <xf numFmtId="1" fontId="6" fillId="6" borderId="1" xfId="1" applyNumberFormat="1" applyFont="1" applyFill="1" applyBorder="1" applyAlignment="1">
      <alignment horizontal="center" vertical="center"/>
    </xf>
    <xf numFmtId="1" fontId="6" fillId="6" borderId="1" xfId="0" applyNumberFormat="1" applyFont="1" applyFill="1" applyBorder="1" applyAlignment="1">
      <alignment horizontal="center" vertical="center"/>
    </xf>
    <xf numFmtId="1" fontId="14" fillId="6" borderId="1" xfId="0" applyNumberFormat="1" applyFont="1" applyFill="1" applyBorder="1" applyAlignment="1">
      <alignment horizontal="center" vertical="center"/>
    </xf>
    <xf numFmtId="2" fontId="6" fillId="6" borderId="2" xfId="1" applyNumberFormat="1" applyFont="1" applyFill="1" applyBorder="1" applyAlignment="1">
      <alignment horizontal="center" vertical="center" wrapText="1"/>
    </xf>
    <xf numFmtId="2" fontId="6" fillId="6" borderId="2" xfId="1" applyNumberFormat="1" applyFont="1" applyFill="1" applyBorder="1" applyAlignment="1">
      <alignment horizontal="center" vertical="center"/>
    </xf>
    <xf numFmtId="1" fontId="6" fillId="6" borderId="2" xfId="1" applyNumberFormat="1" applyFont="1" applyFill="1" applyBorder="1" applyAlignment="1">
      <alignment horizontal="center" vertical="center" wrapText="1"/>
    </xf>
    <xf numFmtId="1" fontId="6" fillId="6" borderId="2" xfId="1" applyNumberFormat="1" applyFont="1" applyFill="1" applyBorder="1" applyAlignment="1">
      <alignment horizontal="center" vertical="center"/>
    </xf>
    <xf numFmtId="0" fontId="6" fillId="0" borderId="1" xfId="0" applyFont="1" applyBorder="1" applyAlignment="1">
      <alignment horizontal="center" vertical="center" wrapText="1"/>
    </xf>
    <xf numFmtId="10" fontId="6" fillId="0" borderId="1" xfId="3" applyNumberFormat="1" applyFont="1" applyBorder="1" applyAlignment="1">
      <alignment horizontal="center" vertical="center" wrapText="1"/>
    </xf>
    <xf numFmtId="165" fontId="6" fillId="0" borderId="1" xfId="4" applyNumberFormat="1" applyFont="1" applyBorder="1" applyAlignment="1">
      <alignment horizontal="center" vertical="center" wrapText="1"/>
    </xf>
    <xf numFmtId="0" fontId="0" fillId="6" borderId="0" xfId="0" applyFill="1" applyAlignment="1">
      <alignment horizontal="center" vertical="center"/>
    </xf>
    <xf numFmtId="9" fontId="0" fillId="6" borderId="0" xfId="3" applyFont="1" applyFill="1" applyBorder="1" applyAlignment="1">
      <alignment horizontal="center" vertical="center"/>
    </xf>
    <xf numFmtId="164" fontId="0" fillId="6" borderId="0" xfId="3" applyNumberFormat="1" applyFont="1" applyFill="1" applyBorder="1" applyAlignment="1">
      <alignment horizontal="center" vertical="center"/>
    </xf>
    <xf numFmtId="10" fontId="0" fillId="6" borderId="0" xfId="3" applyNumberFormat="1" applyFont="1" applyFill="1" applyBorder="1" applyAlignment="1">
      <alignment horizontal="center" vertical="center"/>
    </xf>
    <xf numFmtId="164" fontId="14" fillId="6" borderId="0" xfId="3" applyNumberFormat="1" applyFont="1" applyFill="1" applyAlignment="1">
      <alignment horizontal="center" vertical="center"/>
    </xf>
    <xf numFmtId="164" fontId="6" fillId="0" borderId="1" xfId="3" applyNumberFormat="1" applyFont="1" applyBorder="1" applyAlignment="1">
      <alignment horizontal="center" vertical="center" wrapText="1"/>
    </xf>
    <xf numFmtId="0" fontId="0" fillId="0" borderId="0" xfId="0" applyAlignment="1">
      <alignment horizontal="left"/>
    </xf>
    <xf numFmtId="10" fontId="0" fillId="6" borderId="0" xfId="0" applyNumberFormat="1" applyFill="1" applyAlignment="1">
      <alignment horizontal="left"/>
    </xf>
    <xf numFmtId="0" fontId="0" fillId="6" borderId="0" xfId="0" applyFill="1" applyAlignment="1">
      <alignment horizontal="left"/>
    </xf>
    <xf numFmtId="165" fontId="0" fillId="6" borderId="0" xfId="0" applyNumberFormat="1" applyFill="1"/>
    <xf numFmtId="10" fontId="0" fillId="6" borderId="0" xfId="0" applyNumberFormat="1" applyFill="1"/>
    <xf numFmtId="0" fontId="0" fillId="6" borderId="0" xfId="0" applyFill="1" applyAlignment="1">
      <alignment horizontal="left" indent="1"/>
    </xf>
    <xf numFmtId="2" fontId="0" fillId="6" borderId="0" xfId="0" applyNumberFormat="1" applyFill="1" applyAlignment="1">
      <alignment horizontal="left"/>
    </xf>
    <xf numFmtId="0" fontId="0" fillId="6" borderId="0" xfId="3" applyNumberFormat="1" applyFont="1" applyFill="1"/>
    <xf numFmtId="0" fontId="0" fillId="14" borderId="41" xfId="0" applyFill="1" applyBorder="1"/>
    <xf numFmtId="0" fontId="0" fillId="14" borderId="42" xfId="0" applyFill="1" applyBorder="1"/>
    <xf numFmtId="0" fontId="0" fillId="14" borderId="43" xfId="0" applyFill="1" applyBorder="1"/>
    <xf numFmtId="0" fontId="0" fillId="13" borderId="41" xfId="0" applyFill="1" applyBorder="1"/>
    <xf numFmtId="0" fontId="0" fillId="13" borderId="42" xfId="0" applyFill="1" applyBorder="1"/>
    <xf numFmtId="0" fontId="0" fillId="13" borderId="43" xfId="0" applyFill="1" applyBorder="1"/>
    <xf numFmtId="0" fontId="0" fillId="12" borderId="41" xfId="0" applyFill="1" applyBorder="1"/>
    <xf numFmtId="0" fontId="0" fillId="12" borderId="42" xfId="0" applyFill="1" applyBorder="1"/>
    <xf numFmtId="0" fontId="0" fillId="12" borderId="43" xfId="0" applyFill="1" applyBorder="1"/>
    <xf numFmtId="0" fontId="0" fillId="15" borderId="41" xfId="0" applyFill="1" applyBorder="1"/>
    <xf numFmtId="0" fontId="0" fillId="15" borderId="42" xfId="0" applyFill="1" applyBorder="1"/>
    <xf numFmtId="0" fontId="0" fillId="15" borderId="43" xfId="0" applyFill="1" applyBorder="1"/>
    <xf numFmtId="0" fontId="0" fillId="6" borderId="31" xfId="0" applyFill="1" applyBorder="1"/>
    <xf numFmtId="0" fontId="0" fillId="16" borderId="41" xfId="0" applyFill="1" applyBorder="1"/>
    <xf numFmtId="0" fontId="0" fillId="16" borderId="42" xfId="0" applyFill="1" applyBorder="1"/>
    <xf numFmtId="0" fontId="0" fillId="16" borderId="43" xfId="0" applyFill="1" applyBorder="1"/>
    <xf numFmtId="0" fontId="0" fillId="6" borderId="44" xfId="0" applyFill="1" applyBorder="1"/>
    <xf numFmtId="0" fontId="0" fillId="6" borderId="45" xfId="0" applyFill="1" applyBorder="1"/>
    <xf numFmtId="0" fontId="0" fillId="16" borderId="48" xfId="0" applyFill="1" applyBorder="1"/>
    <xf numFmtId="0" fontId="0" fillId="6" borderId="50" xfId="0" applyFill="1" applyBorder="1"/>
    <xf numFmtId="0" fontId="0" fillId="6" borderId="21" xfId="0" applyFill="1" applyBorder="1"/>
    <xf numFmtId="0" fontId="16" fillId="6" borderId="0" xfId="0" applyFont="1" applyFill="1"/>
    <xf numFmtId="0" fontId="0" fillId="6" borderId="47" xfId="0" applyFill="1" applyBorder="1"/>
    <xf numFmtId="0" fontId="0" fillId="6" borderId="46" xfId="0" applyFill="1" applyBorder="1"/>
    <xf numFmtId="0" fontId="0" fillId="14" borderId="48" xfId="0" applyFill="1" applyBorder="1"/>
    <xf numFmtId="0" fontId="0" fillId="13" borderId="48" xfId="0" applyFill="1" applyBorder="1"/>
    <xf numFmtId="0" fontId="0" fillId="12" borderId="48" xfId="0" applyFill="1" applyBorder="1"/>
    <xf numFmtId="0" fontId="0" fillId="12" borderId="49" xfId="0" applyFill="1" applyBorder="1"/>
    <xf numFmtId="0" fontId="0" fillId="15" borderId="49" xfId="0" applyFill="1" applyBorder="1"/>
    <xf numFmtId="0" fontId="0" fillId="15" borderId="48" xfId="0" applyFill="1" applyBorder="1"/>
    <xf numFmtId="0" fontId="0" fillId="6" borderId="0" xfId="0" applyFill="1" applyAlignment="1">
      <alignment vertical="center"/>
    </xf>
    <xf numFmtId="0" fontId="0" fillId="6" borderId="51" xfId="0" applyFill="1" applyBorder="1"/>
    <xf numFmtId="0" fontId="0" fillId="6" borderId="44" xfId="0" applyFill="1" applyBorder="1" applyAlignment="1">
      <alignment wrapText="1"/>
    </xf>
    <xf numFmtId="0" fontId="0" fillId="6" borderId="0" xfId="0" applyFill="1" applyAlignment="1">
      <alignment wrapText="1"/>
    </xf>
    <xf numFmtId="0" fontId="0" fillId="6" borderId="46" xfId="0" applyFill="1" applyBorder="1" applyAlignment="1">
      <alignment wrapText="1"/>
    </xf>
    <xf numFmtId="0" fontId="0" fillId="6" borderId="31" xfId="0" applyFill="1" applyBorder="1" applyAlignment="1">
      <alignment wrapText="1"/>
    </xf>
    <xf numFmtId="0" fontId="0" fillId="6" borderId="52" xfId="0" applyFill="1" applyBorder="1"/>
    <xf numFmtId="0" fontId="0" fillId="6" borderId="52" xfId="0" applyFill="1" applyBorder="1" applyAlignment="1">
      <alignment wrapText="1"/>
    </xf>
    <xf numFmtId="0" fontId="0" fillId="6" borderId="53" xfId="0" applyFill="1" applyBorder="1" applyAlignment="1">
      <alignment wrapText="1"/>
    </xf>
    <xf numFmtId="0" fontId="0" fillId="16" borderId="54" xfId="0" applyFill="1" applyBorder="1"/>
    <xf numFmtId="0" fontId="0" fillId="6" borderId="55" xfId="0" applyFill="1" applyBorder="1"/>
    <xf numFmtId="0" fontId="0" fillId="14" borderId="56" xfId="0" applyFill="1" applyBorder="1"/>
    <xf numFmtId="0" fontId="0" fillId="6" borderId="57" xfId="0" applyFill="1" applyBorder="1"/>
    <xf numFmtId="0" fontId="0" fillId="14" borderId="58" xfId="0" applyFill="1" applyBorder="1"/>
    <xf numFmtId="0" fontId="0" fillId="13" borderId="56" xfId="0" applyFill="1" applyBorder="1"/>
    <xf numFmtId="0" fontId="0" fillId="13" borderId="58" xfId="0" applyFill="1" applyBorder="1"/>
    <xf numFmtId="0" fontId="0" fillId="6" borderId="53" xfId="0" applyFill="1" applyBorder="1"/>
    <xf numFmtId="0" fontId="0" fillId="13" borderId="54" xfId="0" applyFill="1" applyBorder="1"/>
    <xf numFmtId="0" fontId="0" fillId="12" borderId="56" xfId="0" applyFill="1" applyBorder="1"/>
    <xf numFmtId="0" fontId="0" fillId="12" borderId="58" xfId="0" applyFill="1" applyBorder="1"/>
    <xf numFmtId="0" fontId="0" fillId="16" borderId="58" xfId="0" applyFill="1" applyBorder="1"/>
    <xf numFmtId="0" fontId="0" fillId="6" borderId="59" xfId="0" applyFill="1" applyBorder="1" applyAlignment="1">
      <alignment horizontal="center" vertical="center"/>
    </xf>
    <xf numFmtId="0" fontId="0" fillId="14" borderId="20" xfId="0" applyFill="1" applyBorder="1"/>
    <xf numFmtId="0" fontId="0" fillId="14" borderId="21" xfId="0" applyFill="1" applyBorder="1"/>
    <xf numFmtId="0" fontId="0" fillId="6" borderId="1" xfId="0" applyFill="1" applyBorder="1"/>
    <xf numFmtId="0" fontId="0" fillId="13" borderId="20" xfId="0" applyFill="1" applyBorder="1"/>
    <xf numFmtId="0" fontId="0" fillId="13" borderId="21" xfId="0" applyFill="1" applyBorder="1"/>
    <xf numFmtId="0" fontId="16" fillId="6" borderId="1" xfId="0" applyFont="1" applyFill="1" applyBorder="1"/>
    <xf numFmtId="0" fontId="0" fillId="12" borderId="20" xfId="0" applyFill="1" applyBorder="1"/>
    <xf numFmtId="0" fontId="0" fillId="12" borderId="21" xfId="0" applyFill="1" applyBorder="1"/>
    <xf numFmtId="0" fontId="0" fillId="6" borderId="1" xfId="0" applyFill="1" applyBorder="1" applyAlignment="1">
      <alignment horizontal="center" vertical="center"/>
    </xf>
    <xf numFmtId="0" fontId="0" fillId="0" borderId="0" xfId="0" pivotButton="1"/>
    <xf numFmtId="165" fontId="14" fillId="6" borderId="0" xfId="4" applyNumberFormat="1" applyFont="1" applyFill="1" applyAlignment="1">
      <alignment horizontal="center" vertical="center"/>
    </xf>
    <xf numFmtId="0" fontId="0" fillId="6" borderId="0" xfId="3" applyNumberFormat="1" applyFont="1" applyFill="1" applyBorder="1" applyAlignment="1">
      <alignment horizontal="center" vertical="center"/>
    </xf>
    <xf numFmtId="1" fontId="0" fillId="6" borderId="0" xfId="0" applyNumberFormat="1" applyFill="1"/>
    <xf numFmtId="165" fontId="0" fillId="6" borderId="0" xfId="4" applyNumberFormat="1" applyFont="1" applyFill="1"/>
    <xf numFmtId="1" fontId="0" fillId="6" borderId="0" xfId="0" applyNumberFormat="1" applyFill="1" applyAlignment="1">
      <alignment horizontal="left"/>
    </xf>
    <xf numFmtId="168" fontId="0" fillId="0" borderId="0" xfId="0" applyNumberFormat="1"/>
    <xf numFmtId="168" fontId="14" fillId="6" borderId="0" xfId="0" applyNumberFormat="1" applyFont="1" applyFill="1" applyAlignment="1">
      <alignment horizontal="center" vertical="center"/>
    </xf>
    <xf numFmtId="168" fontId="6" fillId="0" borderId="1" xfId="0" applyNumberFormat="1" applyFont="1" applyBorder="1" applyAlignment="1">
      <alignment horizontal="center" vertical="center" wrapText="1"/>
    </xf>
    <xf numFmtId="2" fontId="6" fillId="11" borderId="1" xfId="0" applyNumberFormat="1" applyFont="1" applyFill="1" applyBorder="1" applyAlignment="1">
      <alignment horizontal="center" vertical="center"/>
    </xf>
    <xf numFmtId="1" fontId="6" fillId="11" borderId="1" xfId="0" applyNumberFormat="1" applyFont="1" applyFill="1" applyBorder="1" applyAlignment="1">
      <alignment horizontal="center" vertical="center"/>
    </xf>
    <xf numFmtId="1" fontId="14" fillId="11" borderId="1" xfId="0" applyNumberFormat="1" applyFont="1" applyFill="1" applyBorder="1" applyAlignment="1">
      <alignment horizontal="center" vertical="center"/>
    </xf>
    <xf numFmtId="2" fontId="14" fillId="11" borderId="1" xfId="0" applyNumberFormat="1" applyFont="1" applyFill="1" applyBorder="1" applyAlignment="1">
      <alignment horizontal="center" vertical="center"/>
    </xf>
    <xf numFmtId="0" fontId="14" fillId="11" borderId="1" xfId="0" applyFont="1" applyFill="1" applyBorder="1" applyAlignment="1">
      <alignment horizontal="center" vertical="center"/>
    </xf>
    <xf numFmtId="2" fontId="14" fillId="11" borderId="0" xfId="0" applyNumberFormat="1" applyFont="1" applyFill="1" applyAlignment="1">
      <alignment horizontal="center" vertical="center"/>
    </xf>
    <xf numFmtId="2" fontId="14" fillId="11" borderId="0" xfId="3" applyNumberFormat="1" applyFont="1" applyFill="1" applyAlignment="1">
      <alignment horizontal="center" vertical="center"/>
    </xf>
    <xf numFmtId="164" fontId="14" fillId="11" borderId="0" xfId="3" applyNumberFormat="1" applyFont="1" applyFill="1" applyAlignment="1">
      <alignment horizontal="center" vertical="center"/>
    </xf>
    <xf numFmtId="10" fontId="14" fillId="11" borderId="0" xfId="3" applyNumberFormat="1" applyFont="1" applyFill="1" applyAlignment="1">
      <alignment horizontal="center" vertical="center"/>
    </xf>
    <xf numFmtId="165" fontId="14" fillId="11" borderId="0" xfId="4" applyNumberFormat="1" applyFont="1" applyFill="1" applyAlignment="1">
      <alignment horizontal="center" vertical="center"/>
    </xf>
    <xf numFmtId="168" fontId="14" fillId="11" borderId="0" xfId="4" applyNumberFormat="1" applyFont="1" applyFill="1" applyAlignment="1">
      <alignment horizontal="center" vertical="center"/>
    </xf>
    <xf numFmtId="43" fontId="14" fillId="11" borderId="0" xfId="4" applyFont="1" applyFill="1" applyAlignment="1">
      <alignment horizontal="center" vertical="center"/>
    </xf>
    <xf numFmtId="0" fontId="14" fillId="11" borderId="0" xfId="0" applyFont="1" applyFill="1" applyAlignment="1">
      <alignment horizontal="center" vertical="center"/>
    </xf>
    <xf numFmtId="2" fontId="6" fillId="17" borderId="1" xfId="0" applyNumberFormat="1" applyFont="1" applyFill="1" applyBorder="1" applyAlignment="1">
      <alignment horizontal="center" vertical="center"/>
    </xf>
    <xf numFmtId="1" fontId="6" fillId="17" borderId="1" xfId="0" applyNumberFormat="1" applyFont="1" applyFill="1" applyBorder="1" applyAlignment="1">
      <alignment horizontal="center" vertical="center"/>
    </xf>
    <xf numFmtId="1" fontId="14" fillId="17" borderId="1" xfId="0" applyNumberFormat="1" applyFont="1" applyFill="1" applyBorder="1" applyAlignment="1">
      <alignment horizontal="center" vertical="center"/>
    </xf>
    <xf numFmtId="2" fontId="14" fillId="17" borderId="1" xfId="0" applyNumberFormat="1" applyFont="1" applyFill="1" applyBorder="1" applyAlignment="1">
      <alignment horizontal="center" vertical="center"/>
    </xf>
    <xf numFmtId="0" fontId="14" fillId="17" borderId="1" xfId="0" applyFont="1" applyFill="1" applyBorder="1" applyAlignment="1">
      <alignment horizontal="center" vertical="center"/>
    </xf>
    <xf numFmtId="2" fontId="14" fillId="17" borderId="0" xfId="0" applyNumberFormat="1" applyFont="1" applyFill="1" applyAlignment="1">
      <alignment horizontal="center" vertical="center"/>
    </xf>
    <xf numFmtId="2" fontId="14" fillId="17" borderId="0" xfId="3" applyNumberFormat="1" applyFont="1" applyFill="1" applyAlignment="1">
      <alignment horizontal="center" vertical="center"/>
    </xf>
    <xf numFmtId="164" fontId="14" fillId="17" borderId="0" xfId="3" applyNumberFormat="1" applyFont="1" applyFill="1" applyAlignment="1">
      <alignment horizontal="center" vertical="center"/>
    </xf>
    <xf numFmtId="10" fontId="14" fillId="17" borderId="0" xfId="3" applyNumberFormat="1" applyFont="1" applyFill="1" applyAlignment="1">
      <alignment horizontal="center" vertical="center"/>
    </xf>
    <xf numFmtId="165" fontId="14" fillId="17" borderId="0" xfId="4" applyNumberFormat="1" applyFont="1" applyFill="1" applyAlignment="1">
      <alignment horizontal="center" vertical="center"/>
    </xf>
    <xf numFmtId="1" fontId="14" fillId="17" borderId="0" xfId="0" applyNumberFormat="1" applyFont="1" applyFill="1" applyAlignment="1">
      <alignment horizontal="center" vertical="center"/>
    </xf>
    <xf numFmtId="168" fontId="14" fillId="17" borderId="0" xfId="4" applyNumberFormat="1" applyFont="1" applyFill="1" applyAlignment="1">
      <alignment horizontal="center" vertical="center"/>
    </xf>
    <xf numFmtId="43" fontId="14" fillId="17" borderId="0" xfId="4" applyFont="1" applyFill="1" applyAlignment="1">
      <alignment horizontal="center" vertical="center"/>
    </xf>
    <xf numFmtId="0" fontId="0" fillId="6" borderId="0" xfId="0" applyFill="1" applyAlignment="1">
      <alignment horizontal="right"/>
    </xf>
    <xf numFmtId="165" fontId="0" fillId="6" borderId="0" xfId="4" applyNumberFormat="1" applyFont="1" applyFill="1" applyBorder="1" applyAlignment="1">
      <alignment horizontal="center" vertical="center"/>
    </xf>
    <xf numFmtId="165" fontId="0" fillId="6" borderId="0" xfId="0" applyNumberFormat="1" applyFill="1" applyAlignment="1">
      <alignment wrapText="1"/>
    </xf>
    <xf numFmtId="169" fontId="0" fillId="6" borderId="0" xfId="4" applyNumberFormat="1" applyFont="1" applyFill="1"/>
    <xf numFmtId="2" fontId="6" fillId="6" borderId="0" xfId="0" applyNumberFormat="1" applyFont="1" applyFill="1" applyAlignment="1">
      <alignment horizontal="center" vertical="center"/>
    </xf>
    <xf numFmtId="1" fontId="6" fillId="6" borderId="0" xfId="0" applyNumberFormat="1" applyFont="1" applyFill="1" applyAlignment="1">
      <alignment horizontal="center" vertical="center"/>
    </xf>
    <xf numFmtId="2" fontId="14" fillId="6" borderId="0" xfId="3" applyNumberFormat="1" applyFont="1" applyFill="1" applyBorder="1" applyAlignment="1">
      <alignment horizontal="center" vertical="center"/>
    </xf>
    <xf numFmtId="164" fontId="14" fillId="6" borderId="0" xfId="3" applyNumberFormat="1" applyFont="1" applyFill="1" applyBorder="1" applyAlignment="1">
      <alignment horizontal="center" vertical="center"/>
    </xf>
    <xf numFmtId="10" fontId="14" fillId="6" borderId="0" xfId="3" applyNumberFormat="1" applyFont="1" applyFill="1" applyBorder="1" applyAlignment="1">
      <alignment horizontal="center" vertical="center"/>
    </xf>
    <xf numFmtId="165" fontId="14" fillId="6" borderId="0" xfId="4" applyNumberFormat="1" applyFont="1" applyFill="1" applyBorder="1" applyAlignment="1">
      <alignment horizontal="center" vertical="center"/>
    </xf>
    <xf numFmtId="168" fontId="14" fillId="6" borderId="0" xfId="4" applyNumberFormat="1" applyFont="1" applyFill="1" applyBorder="1" applyAlignment="1">
      <alignment horizontal="center" vertical="center"/>
    </xf>
    <xf numFmtId="2" fontId="14" fillId="6" borderId="42" xfId="0" applyNumberFormat="1" applyFont="1" applyFill="1" applyBorder="1" applyAlignment="1">
      <alignment horizontal="center" vertical="center"/>
    </xf>
    <xf numFmtId="2" fontId="6" fillId="6" borderId="0" xfId="0" applyNumberFormat="1" applyFont="1" applyFill="1" applyAlignment="1">
      <alignment horizontal="center" vertical="center" textRotation="90"/>
    </xf>
    <xf numFmtId="0" fontId="6" fillId="6" borderId="0" xfId="0" applyFont="1" applyFill="1" applyAlignment="1">
      <alignment horizontal="center" vertical="center" textRotation="90"/>
    </xf>
    <xf numFmtId="0" fontId="0" fillId="6" borderId="0" xfId="0" applyFill="1" applyAlignment="1">
      <alignment horizontal="center" vertical="center" wrapText="1"/>
    </xf>
    <xf numFmtId="9" fontId="0" fillId="6" borderId="0" xfId="3" applyFont="1" applyFill="1"/>
    <xf numFmtId="9" fontId="0" fillId="0" borderId="0" xfId="3" applyFont="1"/>
    <xf numFmtId="2" fontId="6" fillId="6" borderId="62" xfId="1" applyNumberFormat="1" applyFont="1" applyFill="1" applyBorder="1" applyAlignment="1">
      <alignment horizontal="center" vertical="center" wrapText="1"/>
    </xf>
    <xf numFmtId="1" fontId="6" fillId="6" borderId="62" xfId="1" applyNumberFormat="1" applyFont="1" applyFill="1" applyBorder="1" applyAlignment="1">
      <alignment horizontal="center" vertical="center" wrapText="1"/>
    </xf>
    <xf numFmtId="1" fontId="6" fillId="6" borderId="62" xfId="1" applyNumberFormat="1" applyFont="1" applyFill="1" applyBorder="1" applyAlignment="1">
      <alignment horizontal="center" vertical="center"/>
    </xf>
    <xf numFmtId="0" fontId="6" fillId="6" borderId="62" xfId="0" applyFont="1" applyFill="1" applyBorder="1" applyAlignment="1">
      <alignment horizontal="center" vertical="center" wrapText="1"/>
    </xf>
    <xf numFmtId="164" fontId="6" fillId="6" borderId="62" xfId="3" applyNumberFormat="1" applyFont="1" applyFill="1" applyBorder="1" applyAlignment="1">
      <alignment horizontal="center" vertical="center" wrapText="1"/>
    </xf>
    <xf numFmtId="10" fontId="6" fillId="6" borderId="62" xfId="3" applyNumberFormat="1" applyFont="1" applyFill="1" applyBorder="1" applyAlignment="1">
      <alignment horizontal="center" vertical="center" wrapText="1"/>
    </xf>
    <xf numFmtId="165" fontId="6" fillId="6" borderId="62" xfId="4" applyNumberFormat="1" applyFont="1" applyFill="1" applyBorder="1" applyAlignment="1">
      <alignment horizontal="center" vertical="center" wrapText="1"/>
    </xf>
    <xf numFmtId="168" fontId="6" fillId="6" borderId="62" xfId="0" applyNumberFormat="1" applyFont="1" applyFill="1" applyBorder="1" applyAlignment="1">
      <alignment horizontal="center" vertical="center" wrapText="1"/>
    </xf>
    <xf numFmtId="165" fontId="0" fillId="6" borderId="0" xfId="4" applyNumberFormat="1" applyFont="1" applyFill="1" applyBorder="1" applyAlignment="1">
      <alignment horizontal="center" vertical="center" wrapText="1"/>
    </xf>
    <xf numFmtId="10" fontId="0" fillId="6" borderId="0" xfId="3" applyNumberFormat="1" applyFont="1" applyFill="1" applyBorder="1" applyAlignment="1">
      <alignment horizontal="center" vertical="center" wrapText="1"/>
    </xf>
    <xf numFmtId="9" fontId="0" fillId="6" borderId="0" xfId="3" applyFont="1" applyFill="1" applyBorder="1" applyAlignment="1">
      <alignment horizontal="center" vertical="center" wrapText="1"/>
    </xf>
    <xf numFmtId="166" fontId="0" fillId="6" borderId="0" xfId="0" applyNumberFormat="1" applyFill="1" applyAlignment="1">
      <alignment horizontal="center" vertical="center"/>
    </xf>
    <xf numFmtId="165" fontId="0" fillId="6" borderId="0" xfId="0" applyNumberFormat="1" applyFill="1" applyAlignment="1">
      <alignment horizontal="center" vertical="center"/>
    </xf>
    <xf numFmtId="9" fontId="0" fillId="6" borderId="0" xfId="0" applyNumberFormat="1" applyFill="1"/>
    <xf numFmtId="165" fontId="18" fillId="6" borderId="0" xfId="0" applyNumberFormat="1" applyFont="1" applyFill="1"/>
    <xf numFmtId="43" fontId="0" fillId="6" borderId="0" xfId="4" applyFont="1" applyFill="1"/>
    <xf numFmtId="43" fontId="2" fillId="6" borderId="0" xfId="4" applyFont="1" applyFill="1" applyAlignment="1">
      <alignment horizontal="center" vertical="center"/>
    </xf>
    <xf numFmtId="43" fontId="0" fillId="6" borderId="0" xfId="4" applyFont="1" applyFill="1" applyAlignment="1">
      <alignment horizontal="center" vertical="center"/>
    </xf>
    <xf numFmtId="9" fontId="19" fillId="6" borderId="60" xfId="3" applyFont="1" applyFill="1" applyBorder="1" applyAlignment="1">
      <alignment horizontal="center" vertical="center"/>
    </xf>
    <xf numFmtId="9" fontId="19" fillId="6" borderId="43" xfId="3" applyFont="1" applyFill="1" applyBorder="1" applyAlignment="1">
      <alignment horizontal="center" vertical="center"/>
    </xf>
    <xf numFmtId="10" fontId="0" fillId="6" borderId="0" xfId="3" applyNumberFormat="1" applyFont="1" applyFill="1" applyAlignment="1">
      <alignment horizontal="center" vertical="center"/>
    </xf>
    <xf numFmtId="10" fontId="20" fillId="6" borderId="0" xfId="3" applyNumberFormat="1" applyFont="1" applyFill="1" applyBorder="1" applyAlignment="1">
      <alignment vertical="center"/>
    </xf>
    <xf numFmtId="10" fontId="19" fillId="6" borderId="0" xfId="3" applyNumberFormat="1" applyFont="1" applyFill="1" applyAlignment="1">
      <alignment horizontal="center" vertical="center"/>
    </xf>
    <xf numFmtId="165" fontId="0" fillId="6" borderId="1" xfId="4" applyNumberFormat="1" applyFont="1" applyFill="1" applyBorder="1" applyAlignment="1">
      <alignment horizontal="center" vertical="center"/>
    </xf>
    <xf numFmtId="43" fontId="0" fillId="6" borderId="1" xfId="4" applyFont="1" applyFill="1" applyBorder="1" applyAlignment="1">
      <alignment horizontal="center" vertical="center"/>
    </xf>
    <xf numFmtId="165" fontId="0" fillId="6" borderId="1" xfId="4" applyNumberFormat="1" applyFont="1" applyFill="1" applyBorder="1"/>
    <xf numFmtId="43" fontId="0" fillId="6" borderId="1" xfId="4" applyFont="1" applyFill="1" applyBorder="1"/>
    <xf numFmtId="165" fontId="0" fillId="11" borderId="1" xfId="4" applyNumberFormat="1" applyFont="1" applyFill="1" applyBorder="1"/>
    <xf numFmtId="0" fontId="0" fillId="11" borderId="1" xfId="0" applyFill="1" applyBorder="1"/>
    <xf numFmtId="0" fontId="19" fillId="6" borderId="0" xfId="0" applyFont="1" applyFill="1" applyAlignment="1">
      <alignment horizontal="center" vertical="center"/>
    </xf>
    <xf numFmtId="43" fontId="0" fillId="6" borderId="41" xfId="4" applyFont="1" applyFill="1" applyBorder="1" applyAlignment="1">
      <alignment horizontal="center" vertical="center"/>
    </xf>
    <xf numFmtId="43" fontId="0" fillId="6" borderId="43" xfId="4" applyFont="1" applyFill="1" applyBorder="1" applyAlignment="1">
      <alignment horizontal="center" vertical="center"/>
    </xf>
    <xf numFmtId="165" fontId="19" fillId="6" borderId="0" xfId="4" applyNumberFormat="1" applyFont="1" applyFill="1" applyAlignment="1">
      <alignment horizontal="center" vertical="center"/>
    </xf>
    <xf numFmtId="10" fontId="19" fillId="6" borderId="1" xfId="3" applyNumberFormat="1" applyFont="1" applyFill="1" applyBorder="1" applyAlignment="1">
      <alignment horizontal="center" vertical="center"/>
    </xf>
    <xf numFmtId="165" fontId="19" fillId="6" borderId="1" xfId="4" applyNumberFormat="1" applyFont="1" applyFill="1" applyBorder="1" applyAlignment="1">
      <alignment horizontal="center" vertical="center"/>
    </xf>
    <xf numFmtId="9" fontId="19" fillId="6" borderId="1" xfId="3" applyFont="1" applyFill="1" applyBorder="1" applyAlignment="1">
      <alignment horizontal="center" vertical="center"/>
    </xf>
    <xf numFmtId="10" fontId="0" fillId="6" borderId="1" xfId="3" applyNumberFormat="1" applyFont="1" applyFill="1" applyBorder="1" applyAlignment="1">
      <alignment horizontal="center" vertical="center"/>
    </xf>
    <xf numFmtId="43" fontId="2" fillId="6" borderId="1" xfId="4" applyFont="1" applyFill="1" applyBorder="1" applyAlignment="1">
      <alignment horizontal="center" vertical="center"/>
    </xf>
    <xf numFmtId="43" fontId="19" fillId="11" borderId="1" xfId="4" applyFont="1" applyFill="1" applyBorder="1"/>
    <xf numFmtId="43" fontId="0" fillId="6" borderId="1" xfId="4" applyFont="1" applyFill="1" applyBorder="1" applyAlignment="1"/>
    <xf numFmtId="9" fontId="19" fillId="6" borderId="0" xfId="3" applyFont="1" applyFill="1" applyBorder="1"/>
    <xf numFmtId="0" fontId="19" fillId="6" borderId="1" xfId="0" applyFont="1" applyFill="1" applyBorder="1" applyAlignment="1">
      <alignment horizontal="center" vertical="center"/>
    </xf>
    <xf numFmtId="165" fontId="19" fillId="6" borderId="1" xfId="0" applyNumberFormat="1" applyFont="1" applyFill="1" applyBorder="1" applyAlignment="1">
      <alignment horizontal="center" vertical="center"/>
    </xf>
    <xf numFmtId="10" fontId="19" fillId="6" borderId="1" xfId="0" applyNumberFormat="1" applyFont="1" applyFill="1" applyBorder="1" applyAlignment="1">
      <alignment horizontal="center" vertical="center"/>
    </xf>
    <xf numFmtId="1" fontId="19" fillId="6" borderId="1" xfId="0" applyNumberFormat="1" applyFont="1" applyFill="1" applyBorder="1" applyAlignment="1">
      <alignment horizontal="center" vertical="center"/>
    </xf>
    <xf numFmtId="165" fontId="19" fillId="11" borderId="1" xfId="4" applyNumberFormat="1" applyFont="1" applyFill="1" applyBorder="1" applyAlignment="1">
      <alignment horizontal="center" vertical="center"/>
    </xf>
    <xf numFmtId="165" fontId="19" fillId="11" borderId="1" xfId="4" applyNumberFormat="1" applyFont="1" applyFill="1" applyBorder="1" applyAlignment="1">
      <alignment horizontal="center" vertical="center" wrapText="1"/>
    </xf>
    <xf numFmtId="0" fontId="0" fillId="6" borderId="0" xfId="0" applyFill="1" applyAlignment="1">
      <alignment vertical="top" wrapText="1"/>
    </xf>
    <xf numFmtId="0" fontId="0" fillId="11" borderId="0" xfId="0" applyFill="1"/>
    <xf numFmtId="165" fontId="0" fillId="6" borderId="0" xfId="0" applyNumberFormat="1" applyFill="1" applyAlignment="1">
      <alignment horizontal="center" vertical="center" wrapText="1"/>
    </xf>
    <xf numFmtId="0" fontId="2" fillId="6" borderId="65" xfId="0" applyFont="1" applyFill="1" applyBorder="1" applyAlignment="1">
      <alignment horizontal="center" vertical="center" wrapText="1"/>
    </xf>
    <xf numFmtId="170" fontId="20" fillId="6" borderId="0" xfId="3" applyNumberFormat="1" applyFont="1" applyFill="1" applyBorder="1" applyAlignment="1">
      <alignment vertical="center"/>
    </xf>
    <xf numFmtId="170" fontId="0" fillId="6" borderId="0" xfId="4" applyNumberFormat="1" applyFont="1" applyFill="1"/>
    <xf numFmtId="43" fontId="23" fillId="6" borderId="0" xfId="4" applyFont="1" applyFill="1" applyAlignment="1">
      <alignment horizontal="center" vertical="center" wrapText="1"/>
    </xf>
    <xf numFmtId="170" fontId="23" fillId="6" borderId="0" xfId="3" applyNumberFormat="1" applyFont="1" applyFill="1" applyBorder="1" applyAlignment="1">
      <alignment horizontal="center" vertical="center" wrapText="1"/>
    </xf>
    <xf numFmtId="0" fontId="23" fillId="6" borderId="0" xfId="0" applyFont="1" applyFill="1" applyAlignment="1">
      <alignment horizontal="center" vertical="center" wrapText="1"/>
    </xf>
    <xf numFmtId="172" fontId="0" fillId="6" borderId="0" xfId="0" applyNumberFormat="1" applyFill="1" applyAlignment="1">
      <alignment horizontal="center" vertical="center"/>
    </xf>
    <xf numFmtId="43" fontId="0" fillId="6" borderId="0" xfId="0" applyNumberFormat="1" applyFill="1" applyAlignment="1">
      <alignment horizontal="center" vertical="center"/>
    </xf>
    <xf numFmtId="43" fontId="2" fillId="6" borderId="0" xfId="0" applyNumberFormat="1" applyFont="1" applyFill="1"/>
    <xf numFmtId="170" fontId="0" fillId="6" borderId="0" xfId="3" applyNumberFormat="1" applyFont="1" applyFill="1"/>
    <xf numFmtId="170" fontId="2" fillId="6" borderId="0" xfId="3" applyNumberFormat="1" applyFont="1" applyFill="1" applyAlignment="1">
      <alignment horizontal="center" vertical="center"/>
    </xf>
    <xf numFmtId="43" fontId="0" fillId="6" borderId="0" xfId="4" applyFont="1" applyFill="1" applyAlignment="1">
      <alignment vertical="center"/>
    </xf>
    <xf numFmtId="170" fontId="20" fillId="6" borderId="0" xfId="3" applyNumberFormat="1" applyFont="1" applyFill="1" applyBorder="1" applyAlignment="1">
      <alignment horizontal="center" vertical="center"/>
    </xf>
    <xf numFmtId="0" fontId="2" fillId="6" borderId="41" xfId="0" applyFont="1" applyFill="1" applyBorder="1" applyAlignment="1">
      <alignment horizontal="center" vertical="center"/>
    </xf>
    <xf numFmtId="171" fontId="2" fillId="6" borderId="43" xfId="0" applyNumberFormat="1" applyFont="1" applyFill="1" applyBorder="1" applyAlignment="1">
      <alignment horizontal="center" vertical="center"/>
    </xf>
    <xf numFmtId="10" fontId="19" fillId="6" borderId="0" xfId="3" applyNumberFormat="1" applyFont="1" applyFill="1" applyAlignment="1">
      <alignment vertical="center"/>
    </xf>
    <xf numFmtId="171" fontId="0" fillId="6" borderId="0" xfId="3" applyNumberFormat="1" applyFont="1" applyFill="1" applyAlignment="1">
      <alignment vertical="center"/>
    </xf>
    <xf numFmtId="10" fontId="0" fillId="6" borderId="0" xfId="3" applyNumberFormat="1" applyFont="1" applyFill="1" applyAlignment="1">
      <alignment vertical="center"/>
    </xf>
    <xf numFmtId="43" fontId="2" fillId="6" borderId="0" xfId="4" applyFont="1" applyFill="1" applyAlignment="1">
      <alignment vertical="center"/>
    </xf>
    <xf numFmtId="43" fontId="0" fillId="6" borderId="0" xfId="0" applyNumberFormat="1" applyFill="1"/>
    <xf numFmtId="10" fontId="0" fillId="6" borderId="0" xfId="3" applyNumberFormat="1" applyFont="1" applyFill="1"/>
    <xf numFmtId="170" fontId="23" fillId="15" borderId="0" xfId="3" applyNumberFormat="1" applyFont="1" applyFill="1" applyBorder="1" applyAlignment="1">
      <alignment horizontal="center" vertical="center" wrapText="1"/>
    </xf>
    <xf numFmtId="170" fontId="20" fillId="15" borderId="0" xfId="3" applyNumberFormat="1" applyFont="1" applyFill="1" applyBorder="1" applyAlignment="1">
      <alignment vertical="center"/>
    </xf>
    <xf numFmtId="2" fontId="2" fillId="6" borderId="0" xfId="0" applyNumberFormat="1" applyFont="1" applyFill="1"/>
    <xf numFmtId="170" fontId="20" fillId="18" borderId="0" xfId="3" applyNumberFormat="1" applyFont="1" applyFill="1" applyBorder="1" applyAlignment="1">
      <alignment vertical="center"/>
    </xf>
    <xf numFmtId="170" fontId="23" fillId="18" borderId="0" xfId="3" applyNumberFormat="1" applyFont="1" applyFill="1" applyBorder="1" applyAlignment="1">
      <alignment horizontal="center" vertical="center" wrapText="1"/>
    </xf>
    <xf numFmtId="172" fontId="19" fillId="6" borderId="0" xfId="0" applyNumberFormat="1" applyFont="1" applyFill="1" applyAlignment="1">
      <alignment vertical="center"/>
    </xf>
    <xf numFmtId="0" fontId="0" fillId="6" borderId="60" xfId="0" applyFill="1" applyBorder="1"/>
    <xf numFmtId="0" fontId="2" fillId="6" borderId="0" xfId="0" applyFont="1" applyFill="1"/>
    <xf numFmtId="43" fontId="24" fillId="6" borderId="0" xfId="4" applyFont="1" applyFill="1" applyAlignment="1">
      <alignment vertical="center"/>
    </xf>
    <xf numFmtId="43" fontId="24" fillId="6" borderId="60" xfId="4" applyFont="1" applyFill="1" applyBorder="1"/>
    <xf numFmtId="0" fontId="19" fillId="6" borderId="60" xfId="0" applyFont="1" applyFill="1" applyBorder="1"/>
    <xf numFmtId="165" fontId="1" fillId="6" borderId="0" xfId="4" applyNumberFormat="1" applyFont="1" applyFill="1" applyAlignment="1">
      <alignment vertical="center"/>
    </xf>
    <xf numFmtId="9" fontId="1" fillId="6" borderId="60" xfId="3" applyFont="1" applyFill="1" applyBorder="1" applyAlignment="1">
      <alignment vertical="center"/>
    </xf>
    <xf numFmtId="170" fontId="6" fillId="6" borderId="0" xfId="3" applyNumberFormat="1" applyFont="1" applyFill="1" applyBorder="1" applyAlignment="1">
      <alignment vertical="center"/>
    </xf>
    <xf numFmtId="43" fontId="24" fillId="15" borderId="60" xfId="4" applyFont="1" applyFill="1" applyBorder="1"/>
    <xf numFmtId="9" fontId="2" fillId="15" borderId="60" xfId="3" applyFont="1" applyFill="1" applyBorder="1" applyAlignment="1">
      <alignment vertical="center"/>
    </xf>
    <xf numFmtId="0" fontId="2" fillId="15" borderId="60" xfId="0" applyFont="1" applyFill="1" applyBorder="1"/>
    <xf numFmtId="0" fontId="2" fillId="6" borderId="60" xfId="0" applyFont="1" applyFill="1" applyBorder="1"/>
    <xf numFmtId="0" fontId="2" fillId="15" borderId="0" xfId="0" applyFont="1" applyFill="1"/>
    <xf numFmtId="43" fontId="24" fillId="15" borderId="0" xfId="4" applyFont="1" applyFill="1" applyBorder="1"/>
    <xf numFmtId="170" fontId="6" fillId="15" borderId="0" xfId="3" applyNumberFormat="1" applyFont="1" applyFill="1" applyBorder="1" applyAlignment="1">
      <alignment vertical="center"/>
    </xf>
    <xf numFmtId="0" fontId="2" fillId="15" borderId="41" xfId="0" applyFont="1" applyFill="1" applyBorder="1" applyAlignment="1">
      <alignment horizontal="center" vertical="center"/>
    </xf>
    <xf numFmtId="171" fontId="2" fillId="15" borderId="43" xfId="0" applyNumberFormat="1" applyFont="1" applyFill="1" applyBorder="1" applyAlignment="1">
      <alignment horizontal="center" vertical="center"/>
    </xf>
    <xf numFmtId="0" fontId="2" fillId="18" borderId="41" xfId="0" applyFont="1" applyFill="1" applyBorder="1" applyAlignment="1">
      <alignment horizontal="center" vertical="center"/>
    </xf>
    <xf numFmtId="171" fontId="2" fillId="18" borderId="43" xfId="0" applyNumberFormat="1" applyFont="1" applyFill="1" applyBorder="1" applyAlignment="1">
      <alignment horizontal="center" vertical="center"/>
    </xf>
    <xf numFmtId="0" fontId="2" fillId="18" borderId="60" xfId="0" applyFont="1" applyFill="1" applyBorder="1"/>
    <xf numFmtId="43" fontId="24" fillId="18" borderId="60" xfId="4" applyFont="1" applyFill="1" applyBorder="1"/>
    <xf numFmtId="0" fontId="2" fillId="18" borderId="0" xfId="0" applyFont="1" applyFill="1"/>
    <xf numFmtId="43" fontId="24" fillId="18" borderId="0" xfId="4" applyFont="1" applyFill="1" applyBorder="1"/>
    <xf numFmtId="9" fontId="2" fillId="18" borderId="60" xfId="3" applyFont="1" applyFill="1" applyBorder="1" applyAlignment="1">
      <alignment vertical="center"/>
    </xf>
    <xf numFmtId="170" fontId="6" fillId="18" borderId="0" xfId="3" applyNumberFormat="1" applyFont="1" applyFill="1" applyBorder="1" applyAlignment="1">
      <alignment vertical="center"/>
    </xf>
    <xf numFmtId="0" fontId="0" fillId="6" borderId="20" xfId="0" applyFill="1" applyBorder="1"/>
    <xf numFmtId="0" fontId="0" fillId="6" borderId="22" xfId="0" applyFill="1" applyBorder="1"/>
    <xf numFmtId="0" fontId="0" fillId="6" borderId="23" xfId="0" applyFill="1" applyBorder="1"/>
    <xf numFmtId="0" fontId="0" fillId="6" borderId="24" xfId="0" applyFill="1" applyBorder="1"/>
    <xf numFmtId="43" fontId="0" fillId="6" borderId="0" xfId="4" applyFont="1" applyFill="1" applyBorder="1" applyAlignment="1">
      <alignment vertical="center"/>
    </xf>
    <xf numFmtId="10" fontId="2" fillId="6" borderId="0" xfId="3" applyNumberFormat="1" applyFont="1" applyFill="1" applyBorder="1" applyAlignment="1">
      <alignment vertical="center"/>
    </xf>
    <xf numFmtId="43" fontId="24" fillId="6" borderId="0" xfId="4" applyFont="1" applyFill="1" applyBorder="1" applyAlignment="1">
      <alignment vertical="center"/>
    </xf>
    <xf numFmtId="43" fontId="2" fillId="6" borderId="0" xfId="4" applyFont="1" applyFill="1" applyBorder="1" applyAlignment="1">
      <alignment vertical="center"/>
    </xf>
    <xf numFmtId="165" fontId="1" fillId="6" borderId="0" xfId="4" applyNumberFormat="1" applyFont="1" applyFill="1" applyBorder="1" applyAlignment="1">
      <alignment vertical="center"/>
    </xf>
    <xf numFmtId="171" fontId="0" fillId="6" borderId="0" xfId="3" applyNumberFormat="1" applyFont="1" applyFill="1" applyBorder="1" applyAlignment="1">
      <alignment vertical="center"/>
    </xf>
    <xf numFmtId="10" fontId="0" fillId="6" borderId="0" xfId="3" applyNumberFormat="1" applyFont="1" applyFill="1" applyBorder="1" applyAlignment="1">
      <alignment vertical="center"/>
    </xf>
    <xf numFmtId="0" fontId="23" fillId="6" borderId="23" xfId="0" applyFont="1" applyFill="1" applyBorder="1" applyAlignment="1">
      <alignment horizontal="center" vertical="center" wrapText="1"/>
    </xf>
    <xf numFmtId="43" fontId="23" fillId="6" borderId="0" xfId="4" applyFont="1" applyFill="1" applyBorder="1" applyAlignment="1">
      <alignment horizontal="center" vertical="center" wrapText="1"/>
    </xf>
    <xf numFmtId="43" fontId="0" fillId="6" borderId="23" xfId="0" applyNumberFormat="1" applyFill="1" applyBorder="1" applyAlignment="1">
      <alignment horizontal="center" vertical="center"/>
    </xf>
    <xf numFmtId="43" fontId="0" fillId="6" borderId="23" xfId="0" applyNumberFormat="1" applyFill="1" applyBorder="1"/>
    <xf numFmtId="10" fontId="0" fillId="6" borderId="0" xfId="3" applyNumberFormat="1" applyFont="1" applyFill="1" applyBorder="1"/>
    <xf numFmtId="170" fontId="0" fillId="6" borderId="24" xfId="3" applyNumberFormat="1" applyFont="1" applyFill="1" applyBorder="1"/>
    <xf numFmtId="170" fontId="2" fillId="6" borderId="24" xfId="3" applyNumberFormat="1" applyFont="1" applyFill="1" applyBorder="1" applyAlignment="1">
      <alignment horizontal="center" vertical="center"/>
    </xf>
    <xf numFmtId="170" fontId="20" fillId="6" borderId="24" xfId="3" applyNumberFormat="1" applyFont="1" applyFill="1" applyBorder="1" applyAlignment="1">
      <alignment horizontal="center" vertical="center"/>
    </xf>
    <xf numFmtId="43" fontId="0" fillId="6" borderId="30" xfId="0" applyNumberFormat="1" applyFill="1" applyBorder="1"/>
    <xf numFmtId="10" fontId="0" fillId="6" borderId="31" xfId="3" applyNumberFormat="1" applyFont="1" applyFill="1" applyBorder="1"/>
    <xf numFmtId="2" fontId="2" fillId="6" borderId="31" xfId="0" applyNumberFormat="1" applyFont="1" applyFill="1" applyBorder="1"/>
    <xf numFmtId="43" fontId="2" fillId="6" borderId="31" xfId="0" applyNumberFormat="1" applyFont="1" applyFill="1" applyBorder="1"/>
    <xf numFmtId="0" fontId="0" fillId="6" borderId="32" xfId="0" applyFill="1" applyBorder="1"/>
    <xf numFmtId="0" fontId="0" fillId="15" borderId="20" xfId="0" applyFill="1" applyBorder="1"/>
    <xf numFmtId="0" fontId="0" fillId="15" borderId="21" xfId="0" applyFill="1" applyBorder="1"/>
    <xf numFmtId="0" fontId="0" fillId="15" borderId="22" xfId="0" applyFill="1" applyBorder="1"/>
    <xf numFmtId="0" fontId="0" fillId="15" borderId="23" xfId="0" applyFill="1" applyBorder="1"/>
    <xf numFmtId="0" fontId="0" fillId="15" borderId="0" xfId="0" applyFill="1"/>
    <xf numFmtId="0" fontId="0" fillId="15" borderId="24" xfId="0" applyFill="1" applyBorder="1"/>
    <xf numFmtId="0" fontId="0" fillId="15" borderId="0" xfId="0" applyFill="1" applyAlignment="1">
      <alignment vertical="center"/>
    </xf>
    <xf numFmtId="43" fontId="0" fillId="15" borderId="0" xfId="4" applyFont="1" applyFill="1" applyBorder="1" applyAlignment="1">
      <alignment vertical="center"/>
    </xf>
    <xf numFmtId="10" fontId="1" fillId="15" borderId="0" xfId="3" applyNumberFormat="1" applyFont="1" applyFill="1" applyBorder="1" applyAlignment="1">
      <alignment vertical="center"/>
    </xf>
    <xf numFmtId="0" fontId="2" fillId="15" borderId="0" xfId="0" applyFont="1" applyFill="1" applyAlignment="1">
      <alignment wrapText="1"/>
    </xf>
    <xf numFmtId="43" fontId="2" fillId="15" borderId="0" xfId="4" applyFont="1" applyFill="1" applyBorder="1" applyAlignment="1">
      <alignment vertical="center"/>
    </xf>
    <xf numFmtId="165" fontId="2" fillId="15" borderId="0" xfId="4" applyNumberFormat="1" applyFont="1" applyFill="1" applyBorder="1" applyAlignment="1">
      <alignment vertical="center"/>
    </xf>
    <xf numFmtId="43" fontId="24" fillId="15" borderId="0" xfId="4" applyFont="1" applyFill="1" applyBorder="1" applyAlignment="1">
      <alignment vertical="center"/>
    </xf>
    <xf numFmtId="171" fontId="0" fillId="15" borderId="0" xfId="3" applyNumberFormat="1" applyFont="1" applyFill="1" applyBorder="1" applyAlignment="1">
      <alignment vertical="center"/>
    </xf>
    <xf numFmtId="171" fontId="0" fillId="15" borderId="23" xfId="0" applyNumberFormat="1" applyFill="1" applyBorder="1"/>
    <xf numFmtId="10" fontId="0" fillId="15" borderId="0" xfId="3" applyNumberFormat="1" applyFont="1" applyFill="1" applyBorder="1" applyAlignment="1">
      <alignment vertical="center"/>
    </xf>
    <xf numFmtId="0" fontId="23" fillId="15" borderId="23" xfId="0" applyFont="1" applyFill="1" applyBorder="1" applyAlignment="1">
      <alignment horizontal="center" vertical="center" wrapText="1"/>
    </xf>
    <xf numFmtId="0" fontId="23" fillId="15" borderId="0" xfId="0" applyFont="1" applyFill="1" applyAlignment="1">
      <alignment horizontal="center" vertical="center" wrapText="1"/>
    </xf>
    <xf numFmtId="43" fontId="23" fillId="15" borderId="0" xfId="4" applyFont="1" applyFill="1" applyBorder="1" applyAlignment="1">
      <alignment horizontal="center" vertical="center" wrapText="1"/>
    </xf>
    <xf numFmtId="43" fontId="0" fillId="15" borderId="23" xfId="0" applyNumberFormat="1" applyFill="1" applyBorder="1" applyAlignment="1">
      <alignment horizontal="center" vertical="center"/>
    </xf>
    <xf numFmtId="10" fontId="0" fillId="15" borderId="0" xfId="3" applyNumberFormat="1" applyFont="1" applyFill="1" applyBorder="1" applyAlignment="1">
      <alignment horizontal="center" vertical="center"/>
    </xf>
    <xf numFmtId="0" fontId="0" fillId="15" borderId="0" xfId="0" applyFill="1" applyAlignment="1">
      <alignment horizontal="center" vertical="center"/>
    </xf>
    <xf numFmtId="172" fontId="0" fillId="15" borderId="0" xfId="0" applyNumberFormat="1" applyFill="1" applyAlignment="1">
      <alignment horizontal="center" vertical="center"/>
    </xf>
    <xf numFmtId="43" fontId="0" fillId="15" borderId="0" xfId="0" applyNumberFormat="1" applyFill="1" applyAlignment="1">
      <alignment horizontal="center" vertical="center"/>
    </xf>
    <xf numFmtId="43" fontId="0" fillId="15" borderId="23" xfId="0" applyNumberFormat="1" applyFill="1" applyBorder="1"/>
    <xf numFmtId="10" fontId="0" fillId="15" borderId="0" xfId="3" applyNumberFormat="1" applyFont="1" applyFill="1" applyBorder="1"/>
    <xf numFmtId="43" fontId="2" fillId="15" borderId="0" xfId="0" applyNumberFormat="1" applyFont="1" applyFill="1"/>
    <xf numFmtId="170" fontId="0" fillId="15" borderId="0" xfId="3" applyNumberFormat="1" applyFont="1" applyFill="1" applyBorder="1"/>
    <xf numFmtId="170" fontId="2" fillId="15" borderId="0" xfId="3" applyNumberFormat="1" applyFont="1" applyFill="1" applyBorder="1" applyAlignment="1">
      <alignment horizontal="center" vertical="center"/>
    </xf>
    <xf numFmtId="43" fontId="2" fillId="11" borderId="0" xfId="0" applyNumberFormat="1" applyFont="1" applyFill="1"/>
    <xf numFmtId="0" fontId="0" fillId="15" borderId="30" xfId="0" applyFill="1" applyBorder="1"/>
    <xf numFmtId="0" fontId="0" fillId="15" borderId="31" xfId="0" applyFill="1" applyBorder="1"/>
    <xf numFmtId="43" fontId="2" fillId="15" borderId="31" xfId="0" applyNumberFormat="1" applyFont="1" applyFill="1" applyBorder="1"/>
    <xf numFmtId="0" fontId="0" fillId="15" borderId="32" xfId="0" applyFill="1" applyBorder="1"/>
    <xf numFmtId="0" fontId="0" fillId="18" borderId="20" xfId="0" applyFill="1" applyBorder="1"/>
    <xf numFmtId="0" fontId="0" fillId="18" borderId="21" xfId="0" applyFill="1" applyBorder="1"/>
    <xf numFmtId="0" fontId="0" fillId="18" borderId="22" xfId="0" applyFill="1" applyBorder="1"/>
    <xf numFmtId="0" fontId="0" fillId="18" borderId="23" xfId="0" applyFill="1" applyBorder="1"/>
    <xf numFmtId="0" fontId="0" fillId="18" borderId="0" xfId="0" applyFill="1"/>
    <xf numFmtId="0" fontId="0" fillId="18" borderId="24" xfId="0" applyFill="1" applyBorder="1"/>
    <xf numFmtId="0" fontId="0" fillId="18" borderId="0" xfId="0" applyFill="1" applyAlignment="1">
      <alignment vertical="center"/>
    </xf>
    <xf numFmtId="43" fontId="0" fillId="18" borderId="0" xfId="4" applyFont="1" applyFill="1" applyBorder="1" applyAlignment="1">
      <alignment vertical="center"/>
    </xf>
    <xf numFmtId="10" fontId="19" fillId="18" borderId="0" xfId="3" applyNumberFormat="1" applyFont="1" applyFill="1" applyBorder="1" applyAlignment="1">
      <alignment vertical="center"/>
    </xf>
    <xf numFmtId="0" fontId="2" fillId="18" borderId="0" xfId="0" applyFont="1" applyFill="1" applyAlignment="1">
      <alignment wrapText="1"/>
    </xf>
    <xf numFmtId="43" fontId="2" fillId="18" borderId="0" xfId="4" applyFont="1" applyFill="1" applyBorder="1" applyAlignment="1">
      <alignment vertical="center"/>
    </xf>
    <xf numFmtId="165" fontId="2" fillId="18" borderId="0" xfId="4" applyNumberFormat="1" applyFont="1" applyFill="1" applyBorder="1" applyAlignment="1">
      <alignment vertical="center"/>
    </xf>
    <xf numFmtId="43" fontId="24" fillId="18" borderId="0" xfId="4" applyFont="1" applyFill="1" applyBorder="1" applyAlignment="1">
      <alignment vertical="center"/>
    </xf>
    <xf numFmtId="171" fontId="0" fillId="18" borderId="0" xfId="3" applyNumberFormat="1" applyFont="1" applyFill="1" applyBorder="1" applyAlignment="1">
      <alignment vertical="center"/>
    </xf>
    <xf numFmtId="171" fontId="0" fillId="18" borderId="23" xfId="0" applyNumberFormat="1" applyFill="1" applyBorder="1"/>
    <xf numFmtId="0" fontId="23" fillId="18" borderId="23" xfId="0" applyFont="1" applyFill="1" applyBorder="1" applyAlignment="1">
      <alignment horizontal="center" vertical="center" wrapText="1"/>
    </xf>
    <xf numFmtId="0" fontId="23" fillId="18" borderId="0" xfId="0" applyFont="1" applyFill="1" applyAlignment="1">
      <alignment horizontal="center" vertical="center" wrapText="1"/>
    </xf>
    <xf numFmtId="43" fontId="23" fillId="18" borderId="0" xfId="4" applyFont="1" applyFill="1" applyBorder="1" applyAlignment="1">
      <alignment horizontal="center" vertical="center" wrapText="1"/>
    </xf>
    <xf numFmtId="43" fontId="0" fillId="18" borderId="23" xfId="0" applyNumberFormat="1" applyFill="1" applyBorder="1" applyAlignment="1">
      <alignment horizontal="center" vertical="center"/>
    </xf>
    <xf numFmtId="10" fontId="0" fillId="18" borderId="0" xfId="3" applyNumberFormat="1" applyFont="1" applyFill="1" applyBorder="1" applyAlignment="1">
      <alignment horizontal="center" vertical="center"/>
    </xf>
    <xf numFmtId="0" fontId="0" fillId="18" borderId="0" xfId="0" applyFill="1" applyAlignment="1">
      <alignment horizontal="center" vertical="center"/>
    </xf>
    <xf numFmtId="172" fontId="0" fillId="18" borderId="0" xfId="0" applyNumberFormat="1" applyFill="1" applyAlignment="1">
      <alignment horizontal="center" vertical="center"/>
    </xf>
    <xf numFmtId="43" fontId="0" fillId="18" borderId="0" xfId="0" applyNumberFormat="1" applyFill="1" applyAlignment="1">
      <alignment horizontal="center" vertical="center"/>
    </xf>
    <xf numFmtId="43" fontId="0" fillId="18" borderId="23" xfId="0" applyNumberFormat="1" applyFill="1" applyBorder="1"/>
    <xf numFmtId="10" fontId="0" fillId="18" borderId="0" xfId="3" applyNumberFormat="1" applyFont="1" applyFill="1" applyBorder="1"/>
    <xf numFmtId="43" fontId="2" fillId="18" borderId="0" xfId="0" applyNumberFormat="1" applyFont="1" applyFill="1"/>
    <xf numFmtId="170" fontId="0" fillId="18" borderId="0" xfId="3" applyNumberFormat="1" applyFont="1" applyFill="1" applyBorder="1"/>
    <xf numFmtId="170" fontId="2" fillId="18" borderId="0" xfId="3" applyNumberFormat="1" applyFont="1" applyFill="1" applyBorder="1" applyAlignment="1">
      <alignment horizontal="center" vertical="center"/>
    </xf>
    <xf numFmtId="0" fontId="0" fillId="18" borderId="30" xfId="0" applyFill="1" applyBorder="1"/>
    <xf numFmtId="0" fontId="0" fillId="18" borderId="31" xfId="0" applyFill="1" applyBorder="1"/>
    <xf numFmtId="43" fontId="2" fillId="18" borderId="31" xfId="0" applyNumberFormat="1" applyFont="1" applyFill="1" applyBorder="1"/>
    <xf numFmtId="0" fontId="0" fillId="18" borderId="32" xfId="0" applyFill="1" applyBorder="1"/>
    <xf numFmtId="172" fontId="2" fillId="6" borderId="0" xfId="0" applyNumberFormat="1" applyFont="1" applyFill="1" applyAlignment="1">
      <alignment vertical="center"/>
    </xf>
    <xf numFmtId="172" fontId="2" fillId="15" borderId="0" xfId="0" applyNumberFormat="1" applyFont="1" applyFill="1" applyAlignment="1">
      <alignment vertical="center"/>
    </xf>
    <xf numFmtId="43" fontId="20" fillId="15" borderId="0" xfId="4" applyFont="1" applyFill="1" applyBorder="1" applyAlignment="1">
      <alignment horizontal="center" vertical="center"/>
    </xf>
    <xf numFmtId="172" fontId="2" fillId="18" borderId="0" xfId="0" applyNumberFormat="1" applyFont="1" applyFill="1" applyAlignment="1">
      <alignment vertical="center"/>
    </xf>
    <xf numFmtId="43" fontId="0" fillId="18" borderId="60" xfId="0" applyNumberFormat="1" applyFill="1" applyBorder="1"/>
    <xf numFmtId="43" fontId="20" fillId="18" borderId="0" xfId="4" applyFont="1" applyFill="1" applyBorder="1" applyAlignment="1">
      <alignment horizontal="center" vertical="center"/>
    </xf>
    <xf numFmtId="165" fontId="6" fillId="18" borderId="0" xfId="4" applyNumberFormat="1" applyFont="1" applyFill="1" applyBorder="1" applyAlignment="1">
      <alignment vertical="center"/>
    </xf>
    <xf numFmtId="165" fontId="6" fillId="15" borderId="0" xfId="4" applyNumberFormat="1" applyFont="1" applyFill="1" applyBorder="1" applyAlignment="1">
      <alignment vertical="center"/>
    </xf>
    <xf numFmtId="165" fontId="14" fillId="11" borderId="0" xfId="4" applyNumberFormat="1" applyFont="1" applyFill="1" applyBorder="1" applyAlignment="1">
      <alignment horizontal="center" vertical="center"/>
    </xf>
    <xf numFmtId="0" fontId="25" fillId="0" borderId="1" xfId="0" applyFont="1" applyBorder="1" applyAlignment="1">
      <alignment horizontal="right" vertical="center"/>
    </xf>
    <xf numFmtId="0" fontId="26" fillId="0" borderId="1" xfId="0" applyFont="1" applyBorder="1" applyAlignment="1">
      <alignment horizontal="right" vertical="center"/>
    </xf>
    <xf numFmtId="0" fontId="26" fillId="0" borderId="1" xfId="0" applyFont="1" applyBorder="1" applyAlignment="1">
      <alignment horizontal="center" vertical="center"/>
    </xf>
    <xf numFmtId="4" fontId="26" fillId="0" borderId="1" xfId="0" applyNumberFormat="1" applyFont="1" applyBorder="1" applyAlignment="1">
      <alignment horizontal="center" vertical="center"/>
    </xf>
    <xf numFmtId="4" fontId="0" fillId="6" borderId="0" xfId="0" applyNumberFormat="1" applyFill="1"/>
    <xf numFmtId="0" fontId="26" fillId="11" borderId="1" xfId="0" applyFont="1" applyFill="1" applyBorder="1" applyAlignment="1">
      <alignment horizontal="center" vertical="center"/>
    </xf>
    <xf numFmtId="4" fontId="22" fillId="6" borderId="1" xfId="0" applyNumberFormat="1" applyFont="1" applyFill="1" applyBorder="1"/>
    <xf numFmtId="43" fontId="0" fillId="6" borderId="33" xfId="4" applyFont="1" applyFill="1" applyBorder="1" applyAlignment="1">
      <alignment horizontal="center"/>
    </xf>
    <xf numFmtId="43" fontId="0" fillId="6" borderId="63" xfId="4" applyFont="1" applyFill="1" applyBorder="1" applyAlignment="1">
      <alignment horizontal="center"/>
    </xf>
    <xf numFmtId="43" fontId="0" fillId="6" borderId="64" xfId="4" applyFont="1" applyFill="1" applyBorder="1" applyAlignment="1">
      <alignment horizontal="center"/>
    </xf>
    <xf numFmtId="43" fontId="0" fillId="11" borderId="1" xfId="4" applyFont="1" applyFill="1" applyBorder="1" applyAlignment="1">
      <alignment horizontal="center"/>
    </xf>
    <xf numFmtId="43" fontId="0" fillId="6" borderId="1" xfId="4" applyFont="1" applyFill="1" applyBorder="1" applyAlignment="1">
      <alignment horizontal="center"/>
    </xf>
    <xf numFmtId="165" fontId="2" fillId="6" borderId="1" xfId="4" applyNumberFormat="1" applyFont="1" applyFill="1" applyBorder="1" applyAlignment="1">
      <alignment horizontal="center"/>
    </xf>
    <xf numFmtId="0" fontId="0" fillId="6" borderId="1" xfId="0" applyFill="1" applyBorder="1" applyAlignment="1">
      <alignment horizontal="center"/>
    </xf>
    <xf numFmtId="2" fontId="2" fillId="8" borderId="17" xfId="0" applyNumberFormat="1" applyFont="1" applyFill="1" applyBorder="1" applyAlignment="1">
      <alignment horizontal="center" vertical="center"/>
    </xf>
    <xf numFmtId="2" fontId="2" fillId="8" borderId="14" xfId="0" applyNumberFormat="1" applyFont="1" applyFill="1" applyBorder="1" applyAlignment="1">
      <alignment horizontal="center" vertical="center"/>
    </xf>
    <xf numFmtId="0" fontId="7" fillId="4" borderId="23" xfId="0" applyFont="1" applyFill="1" applyBorder="1" applyAlignment="1">
      <alignment horizontal="center"/>
    </xf>
    <xf numFmtId="0" fontId="6" fillId="4" borderId="0" xfId="0" applyFont="1" applyFill="1" applyAlignment="1">
      <alignment horizontal="center"/>
    </xf>
    <xf numFmtId="0" fontId="4" fillId="0" borderId="7" xfId="0" applyFont="1" applyBorder="1" applyAlignment="1">
      <alignment horizontal="center" vertical="center" textRotation="90"/>
    </xf>
    <xf numFmtId="0" fontId="4" fillId="0" borderId="3" xfId="0" applyFont="1" applyBorder="1" applyAlignment="1">
      <alignment horizontal="center" vertical="center" textRotation="90"/>
    </xf>
    <xf numFmtId="0" fontId="4" fillId="0" borderId="6" xfId="0" applyFont="1" applyBorder="1" applyAlignment="1">
      <alignment horizontal="center" vertical="center" textRotation="90"/>
    </xf>
    <xf numFmtId="2" fontId="5" fillId="6" borderId="2" xfId="2" applyNumberFormat="1" applyFont="1" applyFill="1" applyBorder="1" applyAlignment="1">
      <alignment horizontal="center" vertical="center"/>
    </xf>
    <xf numFmtId="2" fontId="5" fillId="6" borderId="3" xfId="2" applyNumberFormat="1" applyFont="1" applyFill="1" applyBorder="1" applyAlignment="1">
      <alignment horizontal="center" vertical="center"/>
    </xf>
    <xf numFmtId="2" fontId="5" fillId="6" borderId="6" xfId="2" applyNumberFormat="1" applyFont="1" applyFill="1" applyBorder="1" applyAlignment="1">
      <alignment horizontal="center" vertical="center"/>
    </xf>
    <xf numFmtId="2" fontId="2" fillId="7" borderId="17" xfId="0" applyNumberFormat="1" applyFont="1" applyFill="1" applyBorder="1" applyAlignment="1">
      <alignment horizontal="center" vertical="center"/>
    </xf>
    <xf numFmtId="2" fontId="2" fillId="7" borderId="14" xfId="0" applyNumberFormat="1" applyFont="1" applyFill="1" applyBorder="1" applyAlignment="1">
      <alignment horizontal="center" vertical="center"/>
    </xf>
    <xf numFmtId="0" fontId="12" fillId="11" borderId="20" xfId="0" applyFont="1" applyFill="1" applyBorder="1" applyAlignment="1">
      <alignment horizontal="center" vertical="center" wrapText="1"/>
    </xf>
    <xf numFmtId="0" fontId="12" fillId="11" borderId="21" xfId="0" applyFont="1" applyFill="1" applyBorder="1" applyAlignment="1">
      <alignment horizontal="center" vertical="center" wrapText="1"/>
    </xf>
    <xf numFmtId="0" fontId="12" fillId="11" borderId="22" xfId="0" applyFont="1" applyFill="1" applyBorder="1" applyAlignment="1">
      <alignment horizontal="center" vertical="center" wrapText="1"/>
    </xf>
    <xf numFmtId="0" fontId="12" fillId="11" borderId="23" xfId="0" applyFont="1" applyFill="1" applyBorder="1" applyAlignment="1">
      <alignment horizontal="center" vertical="center" wrapText="1"/>
    </xf>
    <xf numFmtId="0" fontId="12" fillId="11" borderId="0" xfId="0" applyFont="1" applyFill="1" applyAlignment="1">
      <alignment horizontal="center" vertical="center" wrapText="1"/>
    </xf>
    <xf numFmtId="0" fontId="12" fillId="11" borderId="24" xfId="0" applyFont="1" applyFill="1" applyBorder="1" applyAlignment="1">
      <alignment horizontal="center" vertical="center" wrapText="1"/>
    </xf>
    <xf numFmtId="0" fontId="12" fillId="11" borderId="30" xfId="0" applyFont="1" applyFill="1" applyBorder="1" applyAlignment="1">
      <alignment horizontal="center" vertical="center" wrapText="1"/>
    </xf>
    <xf numFmtId="0" fontId="12" fillId="11" borderId="31" xfId="0" applyFont="1" applyFill="1" applyBorder="1" applyAlignment="1">
      <alignment horizontal="center" vertical="center" wrapText="1"/>
    </xf>
    <xf numFmtId="0" fontId="12" fillId="11" borderId="32" xfId="0" applyFont="1" applyFill="1" applyBorder="1" applyAlignment="1">
      <alignment horizontal="center" vertical="center" wrapText="1"/>
    </xf>
    <xf numFmtId="0" fontId="4" fillId="0" borderId="4" xfId="0" applyFont="1" applyBorder="1" applyAlignment="1">
      <alignment horizontal="center" vertical="center" textRotation="90"/>
    </xf>
    <xf numFmtId="0" fontId="0" fillId="0" borderId="0" xfId="0" applyAlignment="1">
      <alignment horizontal="center"/>
    </xf>
    <xf numFmtId="0" fontId="4" fillId="0" borderId="27" xfId="0" applyFont="1" applyBorder="1" applyAlignment="1">
      <alignment horizontal="center" vertical="center" textRotation="90"/>
    </xf>
    <xf numFmtId="0" fontId="4" fillId="0" borderId="28" xfId="0" applyFont="1" applyBorder="1" applyAlignment="1">
      <alignment horizontal="center" vertical="center" textRotation="90"/>
    </xf>
    <xf numFmtId="0" fontId="4" fillId="0" borderId="29" xfId="0" applyFont="1" applyBorder="1" applyAlignment="1">
      <alignment horizontal="center" vertical="center" textRotation="90"/>
    </xf>
    <xf numFmtId="0" fontId="6" fillId="9" borderId="0" xfId="0" applyFont="1" applyFill="1" applyAlignment="1">
      <alignment horizontal="center"/>
    </xf>
    <xf numFmtId="49" fontId="4" fillId="0" borderId="2" xfId="0" applyNumberFormat="1" applyFont="1" applyBorder="1" applyAlignment="1">
      <alignment horizontal="center" vertical="center" textRotation="90"/>
    </xf>
    <xf numFmtId="49" fontId="4" fillId="0" borderId="3" xfId="0" applyNumberFormat="1" applyFont="1" applyBorder="1" applyAlignment="1">
      <alignment horizontal="center" vertical="center" textRotation="90"/>
    </xf>
    <xf numFmtId="49" fontId="4" fillId="0" borderId="4" xfId="0" applyNumberFormat="1" applyFont="1" applyBorder="1" applyAlignment="1">
      <alignment horizontal="center" vertical="center" textRotation="90"/>
    </xf>
    <xf numFmtId="0" fontId="4" fillId="0" borderId="2" xfId="0" applyFont="1" applyBorder="1" applyAlignment="1">
      <alignment horizontal="center" vertical="center" textRotation="90"/>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4" xfId="0" applyNumberFormat="1" applyBorder="1" applyAlignment="1">
      <alignment horizontal="center" vertical="center"/>
    </xf>
    <xf numFmtId="2" fontId="0" fillId="0" borderId="8" xfId="0" applyNumberFormat="1" applyBorder="1" applyAlignment="1">
      <alignment horizontal="center" vertical="center"/>
    </xf>
    <xf numFmtId="2" fontId="5" fillId="6" borderId="7" xfId="2" applyNumberFormat="1" applyFont="1" applyFill="1" applyBorder="1" applyAlignment="1">
      <alignment horizontal="center" vertical="center"/>
    </xf>
    <xf numFmtId="2" fontId="9" fillId="7" borderId="17" xfId="0" applyNumberFormat="1" applyFont="1" applyFill="1" applyBorder="1" applyAlignment="1">
      <alignment horizontal="center" vertical="center"/>
    </xf>
    <xf numFmtId="2" fontId="9" fillId="7" borderId="14" xfId="0" applyNumberFormat="1" applyFont="1" applyFill="1" applyBorder="1" applyAlignment="1">
      <alignment horizontal="center" vertical="center"/>
    </xf>
    <xf numFmtId="0" fontId="0" fillId="8" borderId="1" xfId="0" applyFill="1" applyBorder="1" applyAlignment="1">
      <alignment horizontal="center" vertical="center"/>
    </xf>
    <xf numFmtId="0" fontId="5" fillId="0" borderId="2" xfId="2" applyFont="1" applyFill="1" applyBorder="1" applyAlignment="1">
      <alignment horizontal="center" vertical="center"/>
    </xf>
    <xf numFmtId="0" fontId="5" fillId="0" borderId="3" xfId="2" applyFont="1" applyFill="1" applyBorder="1" applyAlignment="1">
      <alignment horizontal="center" vertical="center"/>
    </xf>
    <xf numFmtId="0" fontId="5" fillId="0" borderId="6" xfId="2" applyFont="1" applyFill="1" applyBorder="1" applyAlignment="1">
      <alignment horizontal="center" vertical="center"/>
    </xf>
    <xf numFmtId="0" fontId="0" fillId="0" borderId="0" xfId="0" applyAlignment="1">
      <alignment horizontal="left"/>
    </xf>
    <xf numFmtId="0" fontId="0" fillId="0" borderId="21" xfId="0" applyBorder="1" applyAlignment="1">
      <alignment horizontal="center"/>
    </xf>
    <xf numFmtId="0" fontId="0" fillId="0" borderId="8" xfId="0" applyBorder="1" applyAlignment="1">
      <alignment horizontal="center" vertical="center"/>
    </xf>
    <xf numFmtId="2" fontId="2" fillId="7" borderId="36" xfId="0" applyNumberFormat="1" applyFont="1" applyFill="1" applyBorder="1" applyAlignment="1">
      <alignment horizontal="center" vertical="center"/>
    </xf>
    <xf numFmtId="0" fontId="10" fillId="7" borderId="2" xfId="0" applyFont="1" applyFill="1" applyBorder="1" applyAlignment="1">
      <alignment horizontal="center" vertical="center"/>
    </xf>
    <xf numFmtId="0" fontId="10" fillId="7" borderId="3" xfId="0" applyFont="1" applyFill="1" applyBorder="1" applyAlignment="1">
      <alignment horizontal="center" vertical="center"/>
    </xf>
    <xf numFmtId="0" fontId="10" fillId="7" borderId="4" xfId="0" applyFont="1" applyFill="1" applyBorder="1" applyAlignment="1">
      <alignment horizontal="center" vertical="center"/>
    </xf>
    <xf numFmtId="0" fontId="0" fillId="7" borderId="1" xfId="0" applyFill="1" applyBorder="1" applyAlignment="1">
      <alignment horizontal="center"/>
    </xf>
    <xf numFmtId="0" fontId="7" fillId="4" borderId="25" xfId="0" applyFont="1" applyFill="1" applyBorder="1" applyAlignment="1">
      <alignment horizontal="center"/>
    </xf>
    <xf numFmtId="0" fontId="7" fillId="4" borderId="19" xfId="0" applyFont="1" applyFill="1" applyBorder="1" applyAlignment="1">
      <alignment horizontal="center"/>
    </xf>
    <xf numFmtId="2" fontId="2" fillId="8" borderId="36" xfId="0" applyNumberFormat="1" applyFont="1" applyFill="1" applyBorder="1" applyAlignment="1">
      <alignment horizontal="center" vertical="center"/>
    </xf>
    <xf numFmtId="2" fontId="5" fillId="6" borderId="4" xfId="2" applyNumberFormat="1" applyFont="1" applyFill="1" applyBorder="1" applyAlignment="1">
      <alignment horizontal="center" vertical="center"/>
    </xf>
    <xf numFmtId="0" fontId="0" fillId="0" borderId="21" xfId="0" applyBorder="1" applyAlignment="1">
      <alignment horizontal="left"/>
    </xf>
    <xf numFmtId="2" fontId="14" fillId="6" borderId="1" xfId="2" applyNumberFormat="1" applyFont="1" applyFill="1" applyBorder="1" applyAlignment="1">
      <alignment horizontal="center" vertical="center"/>
    </xf>
    <xf numFmtId="2" fontId="6" fillId="6" borderId="1" xfId="0" applyNumberFormat="1" applyFont="1" applyFill="1" applyBorder="1" applyAlignment="1">
      <alignment horizontal="center" vertical="center" textRotation="90"/>
    </xf>
    <xf numFmtId="2" fontId="14" fillId="6" borderId="1" xfId="0" applyNumberFormat="1" applyFont="1" applyFill="1" applyBorder="1" applyAlignment="1">
      <alignment horizontal="center" vertical="center"/>
    </xf>
    <xf numFmtId="2" fontId="7" fillId="6" borderId="23" xfId="0" applyNumberFormat="1" applyFont="1" applyFill="1" applyBorder="1" applyAlignment="1">
      <alignment horizontal="center" vertical="center"/>
    </xf>
    <xf numFmtId="2" fontId="7" fillId="6" borderId="0" xfId="0" applyNumberFormat="1" applyFont="1" applyFill="1" applyAlignment="1">
      <alignment horizontal="center" vertical="center"/>
    </xf>
    <xf numFmtId="0" fontId="6" fillId="6" borderId="1" xfId="0" applyFont="1" applyFill="1" applyBorder="1" applyAlignment="1">
      <alignment horizontal="center" vertical="center" textRotation="90"/>
    </xf>
    <xf numFmtId="49" fontId="6" fillId="6" borderId="1" xfId="0" applyNumberFormat="1" applyFont="1" applyFill="1" applyBorder="1" applyAlignment="1">
      <alignment horizontal="center" vertical="center" textRotation="90"/>
    </xf>
    <xf numFmtId="0" fontId="0" fillId="6" borderId="0" xfId="0" applyFill="1" applyAlignment="1">
      <alignment horizontal="center" vertical="center"/>
    </xf>
    <xf numFmtId="14" fontId="6" fillId="6" borderId="0" xfId="0" applyNumberFormat="1" applyFont="1" applyFill="1" applyAlignment="1">
      <alignment horizontal="center"/>
    </xf>
    <xf numFmtId="0" fontId="6" fillId="6" borderId="0" xfId="0" applyFont="1" applyFill="1" applyAlignment="1">
      <alignment horizontal="center"/>
    </xf>
    <xf numFmtId="0" fontId="17" fillId="6" borderId="0" xfId="0" applyFont="1" applyFill="1" applyAlignment="1">
      <alignment horizontal="center" vertical="center"/>
    </xf>
    <xf numFmtId="167" fontId="17" fillId="6" borderId="61" xfId="0" applyNumberFormat="1" applyFont="1" applyFill="1" applyBorder="1" applyAlignment="1">
      <alignment horizontal="center"/>
    </xf>
    <xf numFmtId="0" fontId="16" fillId="6" borderId="0" xfId="0" applyFont="1" applyFill="1" applyAlignment="1">
      <alignment horizontal="center" vertical="center" wrapText="1"/>
    </xf>
    <xf numFmtId="0" fontId="16" fillId="6" borderId="31" xfId="0" applyFont="1" applyFill="1" applyBorder="1" applyAlignment="1">
      <alignment horizontal="center" vertical="center" wrapText="1"/>
    </xf>
    <xf numFmtId="0" fontId="0" fillId="6" borderId="0" xfId="0" applyFill="1" applyAlignment="1">
      <alignment horizontal="center" vertical="center" wrapText="1"/>
    </xf>
    <xf numFmtId="0" fontId="0" fillId="6" borderId="31" xfId="0" applyFill="1" applyBorder="1" applyAlignment="1">
      <alignment horizontal="center" vertical="center" wrapText="1"/>
    </xf>
    <xf numFmtId="0" fontId="17" fillId="6" borderId="0" xfId="0" applyFont="1" applyFill="1" applyAlignment="1">
      <alignment horizontal="center" wrapText="1"/>
    </xf>
    <xf numFmtId="0" fontId="6" fillId="6" borderId="0" xfId="0" applyFont="1" applyFill="1" applyAlignment="1">
      <alignment horizontal="center" wrapText="1"/>
    </xf>
    <xf numFmtId="43" fontId="2" fillId="18" borderId="0" xfId="4" applyFont="1" applyFill="1" applyBorder="1" applyAlignment="1">
      <alignment horizontal="center" vertical="center" wrapText="1"/>
    </xf>
    <xf numFmtId="0" fontId="22" fillId="18" borderId="0" xfId="0" applyFont="1" applyFill="1" applyAlignment="1">
      <alignment horizontal="center"/>
    </xf>
    <xf numFmtId="0" fontId="2" fillId="18" borderId="0" xfId="0" applyFont="1" applyFill="1" applyAlignment="1">
      <alignment horizontal="center"/>
    </xf>
    <xf numFmtId="0" fontId="2" fillId="18" borderId="31" xfId="0" applyFont="1" applyFill="1" applyBorder="1" applyAlignment="1">
      <alignment horizontal="center"/>
    </xf>
    <xf numFmtId="0" fontId="22" fillId="6" borderId="0" xfId="0" applyFont="1" applyFill="1" applyAlignment="1">
      <alignment horizontal="center"/>
    </xf>
    <xf numFmtId="0" fontId="2" fillId="6" borderId="0" xfId="0" applyFont="1" applyFill="1" applyAlignment="1">
      <alignment horizontal="center"/>
    </xf>
    <xf numFmtId="43" fontId="2" fillId="6" borderId="0" xfId="4" applyFont="1" applyFill="1" applyBorder="1" applyAlignment="1">
      <alignment horizontal="center" vertical="center" wrapText="1"/>
    </xf>
    <xf numFmtId="0" fontId="2" fillId="6" borderId="31" xfId="0" applyFont="1" applyFill="1" applyBorder="1" applyAlignment="1">
      <alignment horizontal="center"/>
    </xf>
    <xf numFmtId="0" fontId="22" fillId="15" borderId="0" xfId="0" applyFont="1" applyFill="1" applyAlignment="1">
      <alignment horizontal="center"/>
    </xf>
    <xf numFmtId="0" fontId="2" fillId="15" borderId="0" xfId="0" applyFont="1" applyFill="1" applyAlignment="1">
      <alignment horizontal="center"/>
    </xf>
    <xf numFmtId="43" fontId="2" fillId="15" borderId="0" xfId="4" applyFont="1" applyFill="1" applyBorder="1" applyAlignment="1">
      <alignment horizontal="center" vertical="center" wrapText="1"/>
    </xf>
    <xf numFmtId="0" fontId="2" fillId="15" borderId="31" xfId="0" applyFont="1" applyFill="1" applyBorder="1" applyAlignment="1">
      <alignment horizontal="center"/>
    </xf>
    <xf numFmtId="43" fontId="2" fillId="6" borderId="0" xfId="4" applyFont="1" applyFill="1" applyAlignment="1">
      <alignment horizontal="center" vertical="center"/>
    </xf>
  </cellXfs>
  <cellStyles count="5">
    <cellStyle name="20% - Accent3" xfId="2" builtinId="38"/>
    <cellStyle name="Accent3" xfId="1" builtinId="37"/>
    <cellStyle name="Comma" xfId="4" builtinId="3"/>
    <cellStyle name="Normal" xfId="0" builtinId="0"/>
    <cellStyle name="Percent" xfId="3" builtinId="5"/>
  </cellStyles>
  <dxfs count="846">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color theme="5" tint="0.39994506668294322"/>
      </font>
    </dxf>
    <dxf>
      <alignment wrapText="1"/>
    </dxf>
    <dxf>
      <numFmt numFmtId="14" formatCode="0.00%"/>
    </dxf>
    <dxf>
      <alignment wrapText="1"/>
    </dxf>
    <dxf>
      <alignment vertical="top"/>
    </dxf>
    <dxf>
      <alignment vertical="top"/>
    </dxf>
    <dxf>
      <alignment wrapText="1"/>
    </dxf>
    <dxf>
      <alignment wrapText="1"/>
    </dxf>
    <dxf>
      <alignment wrapTex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alignment wrapText="1"/>
    </dxf>
    <dxf>
      <numFmt numFmtId="165" formatCode="_(* #,##0_);_(* \(#,##0\);_(* &quot;-&quot;??_);_(@_)"/>
    </dxf>
    <dxf>
      <alignment wrapText="1"/>
    </dxf>
    <dxf>
      <alignment wrapText="1"/>
    </dxf>
    <dxf>
      <alignment wrapText="1"/>
    </dxf>
    <dxf>
      <alignment wrapTex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 formatCode="0"/>
    </dxf>
    <dxf>
      <numFmt numFmtId="165" formatCode="_(* #,##0_);_(* \(#,##0\);_(* &quot;-&quot;??_);_(@_)"/>
    </dxf>
    <dxf>
      <numFmt numFmtId="165" formatCode="_(* #,##0_);_(* \(#,##0\);_(* &quot;-&quot;??_);_(@_)"/>
    </dxf>
    <dxf>
      <numFmt numFmtId="165" formatCode="_(* #,##0_);_(* \(#,##0\);_(* &quot;-&quot;??_);_(@_)"/>
    </dxf>
    <dxf>
      <alignment wrapText="1"/>
    </dxf>
    <dxf>
      <numFmt numFmtId="165" formatCode="_(* #,##0_);_(* \(#,##0\);_(* &quot;-&quot;??_);_(@_)"/>
    </dxf>
    <dxf>
      <alignment wrapText="1"/>
    </dxf>
    <dxf>
      <alignment wrapText="1"/>
    </dxf>
    <dxf>
      <alignment wrapText="1"/>
    </dxf>
    <dxf>
      <alignment wrapTex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 formatCode="0"/>
    </dxf>
    <dxf>
      <numFmt numFmtId="165" formatCode="_(* #,##0_);_(* \(#,##0\);_(* &quot;-&quot;??_);_(@_)"/>
    </dxf>
    <dxf>
      <numFmt numFmtId="165" formatCode="_(* #,##0_);_(* \(#,##0\);_(* &quot;-&quot;??_);_(@_)"/>
    </dxf>
    <dxf>
      <numFmt numFmtId="165" formatCode="_(* #,##0_);_(* \(#,##0\);_(* &quot;-&quot;??_);_(@_)"/>
    </dxf>
    <dxf>
      <alignment wrapText="1"/>
    </dxf>
    <dxf>
      <numFmt numFmtId="165" formatCode="_(* #,##0_);_(* \(#,##0\);_(* &quot;-&quot;??_);_(@_)"/>
    </dxf>
    <dxf>
      <alignment wrapText="1"/>
    </dxf>
    <dxf>
      <alignment wrapText="1"/>
    </dxf>
    <dxf>
      <alignment wrapText="1"/>
    </dxf>
    <dxf>
      <alignment wrapTex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 formatCode="0"/>
    </dxf>
    <dxf>
      <numFmt numFmtId="165" formatCode="_(* #,##0_);_(* \(#,##0\);_(* &quot;-&quot;??_);_(@_)"/>
    </dxf>
    <dxf>
      <numFmt numFmtId="165" formatCode="_(* #,##0_);_(* \(#,##0\);_(* &quot;-&quot;??_);_(@_)"/>
    </dxf>
    <dxf>
      <numFmt numFmtId="165" formatCode="_(* #,##0_);_(* \(#,##0\);_(* &quot;-&quot;??_);_(@_)"/>
    </dxf>
    <dxf>
      <alignment wrapText="1"/>
    </dxf>
    <dxf>
      <numFmt numFmtId="165" formatCode="_(* #,##0_);_(* \(#,##0\);_(* &quot;-&quot;??_);_(@_)"/>
    </dxf>
    <dxf>
      <alignment wrapText="1"/>
    </dxf>
    <dxf>
      <alignment wrapText="1"/>
    </dxf>
    <dxf>
      <alignment wrapText="1"/>
    </dxf>
    <dxf>
      <alignment wrapTex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 formatCode="0"/>
    </dxf>
    <dxf>
      <numFmt numFmtId="165" formatCode="_(* #,##0_);_(* \(#,##0\);_(* &quot;-&quot;??_);_(@_)"/>
    </dxf>
    <dxf>
      <numFmt numFmtId="165" formatCode="_(* #,##0_);_(* \(#,##0\);_(* &quot;-&quot;??_);_(@_)"/>
    </dxf>
    <dxf>
      <numFmt numFmtId="165" formatCode="_(* #,##0_);_(* \(#,##0\);_(* &quot;-&quot;??_);_(@_)"/>
    </dxf>
    <dxf>
      <alignment wrapText="1"/>
    </dxf>
    <dxf>
      <numFmt numFmtId="165" formatCode="_(* #,##0_);_(* \(#,##0\);_(* &quot;-&quot;??_);_(@_)"/>
    </dxf>
    <dxf>
      <alignment wrapText="1"/>
    </dxf>
    <dxf>
      <alignment wrapText="1"/>
    </dxf>
    <dxf>
      <alignment wrapText="1"/>
    </dxf>
    <dxf>
      <alignment wrapTex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 formatCode="0"/>
    </dxf>
    <dxf>
      <numFmt numFmtId="165" formatCode="_(* #,##0_);_(* \(#,##0\);_(* &quot;-&quot;??_);_(@_)"/>
    </dxf>
    <dxf>
      <numFmt numFmtId="165" formatCode="_(* #,##0_);_(* \(#,##0\);_(* &quot;-&quot;??_);_(@_)"/>
    </dxf>
    <dxf>
      <numFmt numFmtId="165" formatCode="_(* #,##0_);_(* \(#,##0\);_(* &quot;-&quot;??_);_(@_)"/>
    </dxf>
    <dxf>
      <alignment wrapText="1"/>
    </dxf>
    <dxf>
      <numFmt numFmtId="165" formatCode="_(* #,##0_);_(* \(#,##0\);_(* &quot;-&quot;??_);_(@_)"/>
    </dxf>
    <dxf>
      <alignment wrapText="1"/>
    </dxf>
    <dxf>
      <alignment wrapText="1"/>
    </dxf>
    <dxf>
      <alignment wrapText="1"/>
    </dxf>
    <dxf>
      <alignment wrapTex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 formatCode="0"/>
    </dxf>
    <dxf>
      <numFmt numFmtId="165" formatCode="_(* #,##0_);_(* \(#,##0\);_(* &quot;-&quot;??_);_(@_)"/>
    </dxf>
    <dxf>
      <numFmt numFmtId="165" formatCode="_(* #,##0_);_(* \(#,##0\);_(* &quot;-&quot;??_);_(@_)"/>
    </dxf>
    <dxf>
      <numFmt numFmtId="165" formatCode="_(* #,##0_);_(* \(#,##0\);_(* &quot;-&quot;??_);_(@_)"/>
    </dxf>
    <dxf>
      <alignment wrapText="1"/>
    </dxf>
    <dxf>
      <numFmt numFmtId="165" formatCode="_(* #,##0_);_(* \(#,##0\);_(* &quot;-&quot;??_);_(@_)"/>
    </dxf>
    <dxf>
      <alignment wrapText="1"/>
    </dxf>
    <dxf>
      <alignment wrapText="1"/>
    </dxf>
    <dxf>
      <alignment wrapText="1"/>
    </dxf>
    <dxf>
      <alignment wrapTex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 formatCode="0"/>
    </dxf>
    <dxf>
      <numFmt numFmtId="165" formatCode="_(* #,##0_);_(* \(#,##0\);_(* &quot;-&quot;??_);_(@_)"/>
    </dxf>
    <dxf>
      <numFmt numFmtId="165" formatCode="_(* #,##0_);_(* \(#,##0\);_(* &quot;-&quot;??_);_(@_)"/>
    </dxf>
    <dxf>
      <numFmt numFmtId="165" formatCode="_(* #,##0_);_(* \(#,##0\);_(* &quot;-&quot;??_);_(@_)"/>
    </dxf>
    <dxf>
      <alignment wrapText="1"/>
    </dxf>
    <dxf>
      <numFmt numFmtId="165" formatCode="_(* #,##0_);_(* \(#,##0\);_(* &quot;-&quot;??_);_(@_)"/>
    </dxf>
    <dxf>
      <alignment wrapText="1"/>
    </dxf>
    <dxf>
      <alignment wrapText="1"/>
    </dxf>
    <dxf>
      <alignment wrapText="1"/>
    </dxf>
    <dxf>
      <alignment wrapTex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 formatCode="0"/>
    </dxf>
    <dxf>
      <numFmt numFmtId="165" formatCode="_(* #,##0_);_(* \(#,##0\);_(* &quot;-&quot;??_);_(@_)"/>
    </dxf>
    <dxf>
      <numFmt numFmtId="165" formatCode="_(* #,##0_);_(* \(#,##0\);_(* &quot;-&quot;??_);_(@_)"/>
    </dxf>
    <dxf>
      <numFmt numFmtId="165" formatCode="_(* #,##0_);_(* \(#,##0\);_(* &quot;-&quot;??_);_(@_)"/>
    </dxf>
    <dxf>
      <alignment wrapText="1"/>
    </dxf>
    <dxf>
      <numFmt numFmtId="165" formatCode="_(* #,##0_);_(* \(#,##0\);_(* &quot;-&quot;??_);_(@_)"/>
    </dxf>
    <dxf>
      <alignment wrapText="1"/>
    </dxf>
    <dxf>
      <alignment wrapText="1"/>
    </dxf>
    <dxf>
      <alignment wrapText="1"/>
    </dxf>
    <dxf>
      <alignment wrapTex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 formatCode="0"/>
    </dxf>
    <dxf>
      <numFmt numFmtId="165" formatCode="_(* #,##0_);_(* \(#,##0\);_(* &quot;-&quot;??_);_(@_)"/>
    </dxf>
    <dxf>
      <numFmt numFmtId="165" formatCode="_(* #,##0_);_(* \(#,##0\);_(* &quot;-&quot;??_);_(@_)"/>
    </dxf>
    <dxf>
      <numFmt numFmtId="165" formatCode="_(* #,##0_);_(* \(#,##0\);_(* &quot;-&quot;??_);_(@_)"/>
    </dxf>
    <dxf>
      <alignment wrapText="1"/>
    </dxf>
    <dxf>
      <numFmt numFmtId="165" formatCode="_(* #,##0_);_(* \(#,##0\);_(* &quot;-&quot;??_);_(@_)"/>
    </dxf>
    <dxf>
      <alignment wrapText="1"/>
    </dxf>
    <dxf>
      <alignment wrapText="1"/>
    </dxf>
    <dxf>
      <alignment wrapText="1"/>
    </dxf>
    <dxf>
      <alignment wrapTex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 formatCode="0"/>
    </dxf>
    <dxf>
      <numFmt numFmtId="165" formatCode="_(* #,##0_);_(* \(#,##0\);_(* &quot;-&quot;??_);_(@_)"/>
    </dxf>
    <dxf>
      <numFmt numFmtId="165" formatCode="_(* #,##0_);_(* \(#,##0\);_(* &quot;-&quot;??_);_(@_)"/>
    </dxf>
    <dxf>
      <numFmt numFmtId="165" formatCode="_(* #,##0_);_(* \(#,##0\);_(* &quot;-&quot;??_);_(@_)"/>
    </dxf>
    <dxf>
      <alignment wrapText="1"/>
    </dxf>
    <dxf>
      <numFmt numFmtId="165" formatCode="_(* #,##0_);_(* \(#,##0\);_(* &quot;-&quot;??_);_(@_)"/>
    </dxf>
    <dxf>
      <alignment wrapText="1"/>
    </dxf>
    <dxf>
      <alignment wrapText="1"/>
    </dxf>
    <dxf>
      <alignment wrapText="1"/>
    </dxf>
    <dxf>
      <alignment wrapTex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 formatCode="0"/>
    </dxf>
    <dxf>
      <numFmt numFmtId="165" formatCode="_(* #,##0_);_(* \(#,##0\);_(* &quot;-&quot;??_);_(@_)"/>
    </dxf>
    <dxf>
      <numFmt numFmtId="165" formatCode="_(* #,##0_);_(* \(#,##0\);_(* &quot;-&quot;??_);_(@_)"/>
    </dxf>
    <dxf>
      <numFmt numFmtId="165" formatCode="_(* #,##0_);_(* \(#,##0\);_(* &quot;-&quot;??_);_(@_)"/>
    </dxf>
    <dxf>
      <alignment wrapText="1"/>
    </dxf>
    <dxf>
      <numFmt numFmtId="165" formatCode="_(* #,##0_);_(* \(#,##0\);_(* &quot;-&quot;??_);_(@_)"/>
    </dxf>
    <dxf>
      <alignment wrapText="1"/>
    </dxf>
    <dxf>
      <alignment wrapText="1"/>
    </dxf>
    <dxf>
      <alignment wrapText="1"/>
    </dxf>
    <dxf>
      <alignment wrapTex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 formatCode="0"/>
    </dxf>
    <dxf>
      <alignment horizontal="center"/>
    </dxf>
    <dxf>
      <alignment horizontal="center"/>
    </dxf>
    <dxf>
      <alignment vertical="center"/>
    </dxf>
    <dxf>
      <alignment vertical="center"/>
    </dxf>
    <dxf>
      <numFmt numFmtId="165" formatCode="_(* #,##0_);_(* \(#,##0\);_(* &quot;-&quot;??_);_(@_)"/>
    </dxf>
    <dxf>
      <numFmt numFmtId="165" formatCode="_(* #,##0_);_(* \(#,##0\);_(* &quot;-&quot;??_);_(@_)"/>
    </dxf>
    <dxf>
      <numFmt numFmtId="165" formatCode="_(* #,##0_);_(* \(#,##0\);_(* &quot;-&quot;??_);_(@_)"/>
    </dxf>
    <dxf>
      <numFmt numFmtId="165" formatCode="_(* #,##0_);_(* \(#,##0\);_(* &quot;-&quot;??_);_(@_)"/>
    </dxf>
    <dxf>
      <alignment wrapText="1"/>
    </dxf>
    <dxf>
      <numFmt numFmtId="165" formatCode="_(* #,##0_);_(* \(#,##0\);_(* &quot;-&quot;??_);_(@_)"/>
    </dxf>
    <dxf>
      <alignment wrapText="1"/>
    </dxf>
    <dxf>
      <alignment wrapText="1"/>
    </dxf>
    <dxf>
      <alignment wrapText="1"/>
    </dxf>
    <dxf>
      <alignment wrapTex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numFmt numFmtId="165" formatCode="_(* #,##0_);_(* \(#,##0\);_(* &quot;-&quot;??_);_(@_)"/>
    </dxf>
    <dxf>
      <numFmt numFmtId="165" formatCode="_(* #,##0_);_(* \(#,##0\);_(* &quot;-&quot;??_);_(@_)"/>
    </dxf>
    <dxf>
      <numFmt numFmtId="1" formatCode="0"/>
    </dxf>
    <dxf>
      <numFmt numFmtId="1" formatCode="0"/>
    </dxf>
    <dxf>
      <font>
        <b val="0"/>
        <i val="0"/>
        <strike val="0"/>
        <condense val="0"/>
        <extend val="0"/>
        <outline val="0"/>
        <shadow val="0"/>
        <u val="none"/>
        <vertAlign val="baseline"/>
        <sz val="14"/>
        <color theme="1"/>
        <name val="Calibri"/>
        <family val="2"/>
        <scheme val="minor"/>
      </font>
      <numFmt numFmtId="168" formatCode="[$-409]d/mmm/yy;@"/>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8" formatCode="[$-409]d/mmm/yy;@"/>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5" formatCode="_(* #,##0_);_(* \(#,##0\);_(*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5" formatCode="_(* #,##0_);_(* \(#,##0\);_(* &quot;-&quot;??_);_(@_)"/>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5" formatCode="_(* #,##0_);_(* \(#,##0\);_(*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5" formatCode="_(* #,##0_);_(* \(#,##0\);_(*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5" formatCode="_(* #,##0_);_(* \(#,##0\);_(*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5" formatCode="_(* #,##0_);_(* \(#,##0\);_(*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5" formatCode="_(* #,##0_);_(* \(#,##0\);_(*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5" formatCode="_(* #,##0_);_(* \(#,##0\);_(*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5" formatCode="_(* #,##0_);_(* \(#,##0\);_(*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5" formatCode="_(* #,##0_);_(* \(#,##0\);_(*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5" formatCode="_(* #,##0_);_(* \(#,##0\);_(*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5" formatCode="_(* #,##0_);_(* \(#,##0\);_(*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5" formatCode="_(* #,##0_);_(* \(#,##0\);_(*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5" formatCode="_(* #,##0_);_(* \(#,##0\);_(*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5" formatCode="_(* #,##0_);_(* \(#,##0\);_(*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5" formatCode="_(* #,##0_);_(* \(#,##0\);_(*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5" formatCode="_(* #,##0_);_(* \(#,##0\);_(*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5" formatCode="_(* #,##0_);_(* \(#,##0\);_(*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4"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4"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4"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4" formatCode="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4" formatCode="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4" formatCode="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4" formatCode="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64" formatCode="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2" formatCode="0.0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 formatCode="0"/>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Calibri"/>
        <family val="2"/>
        <scheme val="minor"/>
      </font>
      <numFmt numFmtId="1" formatCode="0"/>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Calibri"/>
        <family val="2"/>
        <scheme val="minor"/>
      </font>
      <numFmt numFmtId="2" formatCode="0.00"/>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Calibri"/>
        <family val="2"/>
        <scheme val="minor"/>
      </font>
      <numFmt numFmtId="2" formatCode="0.00"/>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Calibri"/>
        <family val="2"/>
        <scheme val="minor"/>
      </font>
      <numFmt numFmtId="2" formatCode="0.00"/>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Calibri"/>
        <family val="2"/>
        <scheme val="minor"/>
      </font>
      <numFmt numFmtId="2" formatCode="0.00"/>
      <fill>
        <patternFill patternType="solid">
          <fgColor indexed="64"/>
          <bgColor theme="0"/>
        </patternFill>
      </fill>
      <alignment horizontal="center" vertical="center" textRotation="90" wrapText="0" indent="0" justifyLastLine="0" shrinkToFit="0" readingOrder="0"/>
    </dxf>
    <dxf>
      <border outline="0">
        <top style="medium">
          <color indexed="64"/>
        </top>
      </border>
    </dxf>
    <dxf>
      <font>
        <b val="0"/>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4"/>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4" formatCode="0.00%"/>
    </dxf>
    <dxf>
      <numFmt numFmtId="14" formatCode="0.00%"/>
    </dxf>
    <dxf>
      <numFmt numFmtId="0" formatCode="General"/>
    </dxf>
    <dxf>
      <numFmt numFmtId="0" formatCode="Genera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0" formatCode="General"/>
    </dxf>
    <dxf>
      <numFmt numFmtId="0" formatCode="General"/>
    </dxf>
    <dxf>
      <fill>
        <patternFill>
          <bgColor theme="0"/>
        </patternFill>
      </fill>
    </dxf>
    <dxf>
      <fill>
        <patternFill>
          <bgColor theme="0"/>
        </patternFill>
      </fill>
    </dxf>
    <dxf>
      <fill>
        <patternFill>
          <bgColor theme="0"/>
        </patternFill>
      </fill>
    </dxf>
    <dxf>
      <fill>
        <patternFill>
          <bgColor theme="0"/>
        </patternFill>
      </fill>
    </dxf>
    <dxf>
      <numFmt numFmtId="0" formatCode="General"/>
    </dxf>
    <dxf>
      <numFmt numFmtId="0" formatCode="General"/>
    </dxf>
    <dxf>
      <numFmt numFmtId="165" formatCode="_(* #,##0_);_(* \(#,##0\);_(* &quot;-&quot;??_);_(@_)"/>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4" formatCode="0.00%"/>
    </dxf>
    <dxf>
      <numFmt numFmtId="165" formatCode="_(* #,##0_);_(* \(#,##0\);_(* &quot;-&quot;??_);_(@_)"/>
    </dxf>
    <dxf>
      <numFmt numFmtId="0" formatCode="General"/>
    </dxf>
    <dxf>
      <numFmt numFmtId="0" formatCode="General"/>
    </dxf>
    <dxf>
      <numFmt numFmtId="0" formatCode="Genera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0" formatCode="General"/>
    </dxf>
    <dxf>
      <numFmt numFmtId="0" formatCode="General"/>
    </dxf>
    <dxf>
      <numFmt numFmtId="0" formatCode="Genera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0" formatCode="General"/>
    </dxf>
    <dxf>
      <numFmt numFmtId="0" formatCode="Genera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0" formatCode="General"/>
    </dxf>
    <dxf>
      <numFmt numFmtId="0" formatCode="General"/>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3" formatCode="0%"/>
    </dxf>
    <dxf>
      <numFmt numFmtId="13" formatCode="0%"/>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
      <alignment wrapText="1"/>
    </dxf>
    <dxf>
      <alignment wrapText="1"/>
    </dxf>
    <dxf>
      <alignment wrapText="1"/>
    </dxf>
    <dxf>
      <alignment wrapText="1"/>
    </dxf>
    <dxf>
      <alignment wrapText="1"/>
    </dxf>
    <dxf>
      <alignment wrapText="1"/>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_(* #,##0_);_(* \(#,##0\);_(* &quot;-&quot;??_);_(@_)"/>
    </dxf>
    <dxf>
      <numFmt numFmtId="165" formatCode="_(* #,##0_);_(* \(#,##0\);_(* &quot;-&quot;??_);_(@_)"/>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pivotCacheDefinition" Target="pivotCache/pivotCacheDefinition3.xml"/><Relationship Id="rId63" Type="http://schemas.microsoft.com/office/2007/relationships/slicerCache" Target="slicerCaches/slicerCache16.xml"/><Relationship Id="rId68" Type="http://schemas.microsoft.com/office/2007/relationships/slicerCache" Target="slicerCaches/slicerCache21.xml"/><Relationship Id="rId84" Type="http://schemas.microsoft.com/office/2007/relationships/slicerCache" Target="slicerCaches/slicerCache37.xml"/><Relationship Id="rId89" Type="http://schemas.microsoft.com/office/2007/relationships/slicerCache" Target="slicerCaches/slicerCache42.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microsoft.com/office/2007/relationships/slicerCache" Target="slicerCaches/slicerCache6.xml"/><Relationship Id="rId58" Type="http://schemas.microsoft.com/office/2007/relationships/slicerCache" Target="slicerCaches/slicerCache11.xml"/><Relationship Id="rId74" Type="http://schemas.microsoft.com/office/2007/relationships/slicerCache" Target="slicerCaches/slicerCache27.xml"/><Relationship Id="rId79" Type="http://schemas.microsoft.com/office/2007/relationships/slicerCache" Target="slicerCaches/slicerCache32.xml"/><Relationship Id="rId102" Type="http://schemas.openxmlformats.org/officeDocument/2006/relationships/sheetMetadata" Target="metadata.xml"/><Relationship Id="rId5" Type="http://schemas.openxmlformats.org/officeDocument/2006/relationships/worksheet" Target="worksheets/sheet5.xml"/><Relationship Id="rId90" Type="http://schemas.microsoft.com/office/2007/relationships/slicerCache" Target="slicerCaches/slicerCache43.xml"/><Relationship Id="rId95" Type="http://schemas.microsoft.com/office/2007/relationships/slicerCache" Target="slicerCaches/slicerCache48.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externalLink" Target="externalLinks/externalLink6.xml"/><Relationship Id="rId48" Type="http://schemas.microsoft.com/office/2007/relationships/slicerCache" Target="slicerCaches/slicerCache1.xml"/><Relationship Id="rId64" Type="http://schemas.microsoft.com/office/2007/relationships/slicerCache" Target="slicerCaches/slicerCache17.xml"/><Relationship Id="rId69" Type="http://schemas.microsoft.com/office/2007/relationships/slicerCache" Target="slicerCaches/slicerCache22.xml"/><Relationship Id="rId80" Type="http://schemas.microsoft.com/office/2007/relationships/slicerCache" Target="slicerCaches/slicerCache33.xml"/><Relationship Id="rId85" Type="http://schemas.microsoft.com/office/2007/relationships/slicerCache" Target="slicerCaches/slicerCache38.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pivotCacheDefinition" Target="pivotCache/pivotCacheDefinition2.xml"/><Relationship Id="rId59" Type="http://schemas.microsoft.com/office/2007/relationships/slicerCache" Target="slicerCaches/slicerCache12.xml"/><Relationship Id="rId67" Type="http://schemas.microsoft.com/office/2007/relationships/slicerCache" Target="slicerCaches/slicerCache20.xml"/><Relationship Id="rId103"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microsoft.com/office/2007/relationships/slicerCache" Target="slicerCaches/slicerCache7.xml"/><Relationship Id="rId62" Type="http://schemas.microsoft.com/office/2007/relationships/slicerCache" Target="slicerCaches/slicerCache15.xml"/><Relationship Id="rId70" Type="http://schemas.microsoft.com/office/2007/relationships/slicerCache" Target="slicerCaches/slicerCache23.xml"/><Relationship Id="rId75" Type="http://schemas.microsoft.com/office/2007/relationships/slicerCache" Target="slicerCaches/slicerCache28.xml"/><Relationship Id="rId83" Type="http://schemas.microsoft.com/office/2007/relationships/slicerCache" Target="slicerCaches/slicerCache36.xml"/><Relationship Id="rId88" Type="http://schemas.microsoft.com/office/2007/relationships/slicerCache" Target="slicerCaches/slicerCache41.xml"/><Relationship Id="rId91" Type="http://schemas.microsoft.com/office/2007/relationships/slicerCache" Target="slicerCaches/slicerCache44.xml"/><Relationship Id="rId96" Type="http://schemas.microsoft.com/office/2007/relationships/slicerCache" Target="slicerCaches/slicerCache4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07/relationships/slicerCache" Target="slicerCaches/slicerCache2.xml"/><Relationship Id="rId57" Type="http://schemas.microsoft.com/office/2007/relationships/slicerCache" Target="slicerCaches/slicerCache1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microsoft.com/office/2007/relationships/slicerCache" Target="slicerCaches/slicerCache5.xml"/><Relationship Id="rId60" Type="http://schemas.microsoft.com/office/2007/relationships/slicerCache" Target="slicerCaches/slicerCache13.xml"/><Relationship Id="rId65" Type="http://schemas.microsoft.com/office/2007/relationships/slicerCache" Target="slicerCaches/slicerCache18.xml"/><Relationship Id="rId73" Type="http://schemas.microsoft.com/office/2007/relationships/slicerCache" Target="slicerCaches/slicerCache26.xml"/><Relationship Id="rId78" Type="http://schemas.microsoft.com/office/2007/relationships/slicerCache" Target="slicerCaches/slicerCache31.xml"/><Relationship Id="rId81" Type="http://schemas.microsoft.com/office/2007/relationships/slicerCache" Target="slicerCaches/slicerCache34.xml"/><Relationship Id="rId86" Type="http://schemas.microsoft.com/office/2007/relationships/slicerCache" Target="slicerCaches/slicerCache39.xml"/><Relationship Id="rId94" Type="http://schemas.microsoft.com/office/2007/relationships/slicerCache" Target="slicerCaches/slicerCache47.xml"/><Relationship Id="rId99" Type="http://schemas.openxmlformats.org/officeDocument/2006/relationships/theme" Target="theme/theme1.xml"/><Relationship Id="rId10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microsoft.com/office/2007/relationships/slicerCache" Target="slicerCaches/slicerCache3.xml"/><Relationship Id="rId55" Type="http://schemas.microsoft.com/office/2007/relationships/slicerCache" Target="slicerCaches/slicerCache8.xml"/><Relationship Id="rId76" Type="http://schemas.microsoft.com/office/2007/relationships/slicerCache" Target="slicerCaches/slicerCache29.xml"/><Relationship Id="rId97" Type="http://schemas.microsoft.com/office/2007/relationships/slicerCache" Target="slicerCaches/slicerCache50.xml"/><Relationship Id="rId7" Type="http://schemas.openxmlformats.org/officeDocument/2006/relationships/worksheet" Target="worksheets/sheet7.xml"/><Relationship Id="rId71" Type="http://schemas.microsoft.com/office/2007/relationships/slicerCache" Target="slicerCaches/slicerCache24.xml"/><Relationship Id="rId92" Type="http://schemas.microsoft.com/office/2007/relationships/slicerCache" Target="slicerCaches/slicerCache45.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externalLink" Target="externalLinks/externalLink3.xml"/><Relationship Id="rId45" Type="http://schemas.openxmlformats.org/officeDocument/2006/relationships/pivotCacheDefinition" Target="pivotCache/pivotCacheDefinition1.xml"/><Relationship Id="rId66" Type="http://schemas.microsoft.com/office/2007/relationships/slicerCache" Target="slicerCaches/slicerCache19.xml"/><Relationship Id="rId87" Type="http://schemas.microsoft.com/office/2007/relationships/slicerCache" Target="slicerCaches/slicerCache40.xml"/><Relationship Id="rId61" Type="http://schemas.microsoft.com/office/2007/relationships/slicerCache" Target="slicerCaches/slicerCache14.xml"/><Relationship Id="rId82" Type="http://schemas.microsoft.com/office/2007/relationships/slicerCache" Target="slicerCaches/slicerCache35.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microsoft.com/office/2007/relationships/slicerCache" Target="slicerCaches/slicerCache9.xml"/><Relationship Id="rId77" Type="http://schemas.microsoft.com/office/2007/relationships/slicerCache" Target="slicerCaches/slicerCache30.xml"/><Relationship Id="rId100" Type="http://schemas.openxmlformats.org/officeDocument/2006/relationships/styles" Target="styles.xml"/><Relationship Id="rId8" Type="http://schemas.openxmlformats.org/officeDocument/2006/relationships/worksheet" Target="worksheets/sheet8.xml"/><Relationship Id="rId51" Type="http://schemas.microsoft.com/office/2007/relationships/slicerCache" Target="slicerCaches/slicerCache4.xml"/><Relationship Id="rId72" Type="http://schemas.microsoft.com/office/2007/relationships/slicerCache" Target="slicerCaches/slicerCache25.xml"/><Relationship Id="rId93" Type="http://schemas.microsoft.com/office/2007/relationships/slicerCache" Target="slicerCaches/slicerCache46.xml"/><Relationship Id="rId98" Type="http://schemas.microsoft.com/office/2007/relationships/slicerCache" Target="slicerCaches/slicerCache5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[REGENT'S SQUARE UNITS DATA AND PIVOTS_20231003 FOR PV CALCULATOR.xlsx]PHASES PREM RANGE!PivotTable18</c:name>
    <c:fmtId val="4"/>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'PHASES PREM RANGE'!$B$1</c:f>
              <c:strCache>
                <c:ptCount val="1"/>
                <c:pt idx="0">
                  <c:v>Min of UNIT (BUILDING) RATE (SEMI FINISHED)</c:v>
                </c:pt>
              </c:strCache>
            </c:strRef>
          </c:tx>
          <c:spPr>
            <a:solidFill>
              <a:schemeClr val="accent5">
                <a:shade val="44000"/>
              </a:schemeClr>
            </a:solidFill>
            <a:ln>
              <a:noFill/>
            </a:ln>
            <a:effectLst/>
          </c:spPr>
          <c:invertIfNegative val="0"/>
          <c:cat>
            <c:strRef>
              <c:f>'PHASES PREM RANGE'!$A$2:$A$15</c:f>
              <c:strCache>
                <c:ptCount val="13"/>
                <c:pt idx="0">
                  <c:v>R 1</c:v>
                </c:pt>
                <c:pt idx="1">
                  <c:v>R 2</c:v>
                </c:pt>
                <c:pt idx="2">
                  <c:v>R 3</c:v>
                </c:pt>
                <c:pt idx="3">
                  <c:v>R 4</c:v>
                </c:pt>
                <c:pt idx="4">
                  <c:v>R 5</c:v>
                </c:pt>
                <c:pt idx="5">
                  <c:v>R 6</c:v>
                </c:pt>
                <c:pt idx="6">
                  <c:v>R 7</c:v>
                </c:pt>
                <c:pt idx="7">
                  <c:v>R 8</c:v>
                </c:pt>
                <c:pt idx="8">
                  <c:v>R 9</c:v>
                </c:pt>
                <c:pt idx="9">
                  <c:v>R 10</c:v>
                </c:pt>
                <c:pt idx="10">
                  <c:v>R 11</c:v>
                </c:pt>
                <c:pt idx="11">
                  <c:v>R 12</c:v>
                </c:pt>
                <c:pt idx="12">
                  <c:v>RH</c:v>
                </c:pt>
              </c:strCache>
            </c:strRef>
          </c:cat>
          <c:val>
            <c:numRef>
              <c:f>'PHASES PREM RANGE'!$B$2:$B$15</c:f>
              <c:numCache>
                <c:formatCode>_(* #,##0_);_(* \(#,##0\);_(* "-"??_);_(@_)</c:formatCode>
                <c:ptCount val="13"/>
                <c:pt idx="0">
                  <c:v>43875</c:v>
                </c:pt>
                <c:pt idx="1">
                  <c:v>45407.499999999993</c:v>
                </c:pt>
                <c:pt idx="2">
                  <c:v>46331.25</c:v>
                </c:pt>
                <c:pt idx="3">
                  <c:v>47541.875</c:v>
                </c:pt>
                <c:pt idx="4">
                  <c:v>48922.500000000007</c:v>
                </c:pt>
                <c:pt idx="5">
                  <c:v>50758.500000000007</c:v>
                </c:pt>
                <c:pt idx="6">
                  <c:v>52392</c:v>
                </c:pt>
                <c:pt idx="7">
                  <c:v>54442.5</c:v>
                </c:pt>
                <c:pt idx="8">
                  <c:v>56322</c:v>
                </c:pt>
                <c:pt idx="9">
                  <c:v>59070</c:v>
                </c:pt>
                <c:pt idx="10">
                  <c:v>61858.499999999993</c:v>
                </c:pt>
                <c:pt idx="11">
                  <c:v>64670</c:v>
                </c:pt>
                <c:pt idx="12">
                  <c:v>78588.5</c:v>
                </c:pt>
              </c:numCache>
            </c:numRef>
          </c:val>
          <c:extLst>
            <c:ext xmlns:c16="http://schemas.microsoft.com/office/drawing/2014/chart" uri="{C3380CC4-5D6E-409C-BE32-E72D297353CC}">
              <c16:uniqueId val="{00000000-9276-482D-AA5D-FA97FBCC08A7}"/>
            </c:ext>
          </c:extLst>
        </c:ser>
        <c:ser>
          <c:idx val="1"/>
          <c:order val="1"/>
          <c:tx>
            <c:strRef>
              <c:f>'PHASES PREM RANGE'!$C$1</c:f>
              <c:strCache>
                <c:ptCount val="1"/>
                <c:pt idx="0">
                  <c:v>Max of UNIT (BUILDING) RATE (SEMI FINISHED)</c:v>
                </c:pt>
              </c:strCache>
            </c:strRef>
          </c:tx>
          <c:spPr>
            <a:solidFill>
              <a:schemeClr val="accent5">
                <a:shade val="58000"/>
              </a:schemeClr>
            </a:solidFill>
            <a:ln>
              <a:noFill/>
            </a:ln>
            <a:effectLst/>
          </c:spPr>
          <c:invertIfNegative val="0"/>
          <c:cat>
            <c:strRef>
              <c:f>'PHASES PREM RANGE'!$A$2:$A$15</c:f>
              <c:strCache>
                <c:ptCount val="13"/>
                <c:pt idx="0">
                  <c:v>R 1</c:v>
                </c:pt>
                <c:pt idx="1">
                  <c:v>R 2</c:v>
                </c:pt>
                <c:pt idx="2">
                  <c:v>R 3</c:v>
                </c:pt>
                <c:pt idx="3">
                  <c:v>R 4</c:v>
                </c:pt>
                <c:pt idx="4">
                  <c:v>R 5</c:v>
                </c:pt>
                <c:pt idx="5">
                  <c:v>R 6</c:v>
                </c:pt>
                <c:pt idx="6">
                  <c:v>R 7</c:v>
                </c:pt>
                <c:pt idx="7">
                  <c:v>R 8</c:v>
                </c:pt>
                <c:pt idx="8">
                  <c:v>R 9</c:v>
                </c:pt>
                <c:pt idx="9">
                  <c:v>R 10</c:v>
                </c:pt>
                <c:pt idx="10">
                  <c:v>R 11</c:v>
                </c:pt>
                <c:pt idx="11">
                  <c:v>R 12</c:v>
                </c:pt>
                <c:pt idx="12">
                  <c:v>RH</c:v>
                </c:pt>
              </c:strCache>
            </c:strRef>
          </c:cat>
          <c:val>
            <c:numRef>
              <c:f>'PHASES PREM RANGE'!$C$2:$C$15</c:f>
              <c:numCache>
                <c:formatCode>_(* #,##0_);_(* \(#,##0\);_(* "-"??_);_(@_)</c:formatCode>
                <c:ptCount val="13"/>
                <c:pt idx="0">
                  <c:v>46225</c:v>
                </c:pt>
                <c:pt idx="1">
                  <c:v>47457.499999999993</c:v>
                </c:pt>
                <c:pt idx="2">
                  <c:v>48667.5</c:v>
                </c:pt>
                <c:pt idx="3">
                  <c:v>49906.875</c:v>
                </c:pt>
                <c:pt idx="4">
                  <c:v>51122.500000000007</c:v>
                </c:pt>
                <c:pt idx="5">
                  <c:v>53038.500000000007</c:v>
                </c:pt>
                <c:pt idx="6">
                  <c:v>55047</c:v>
                </c:pt>
                <c:pt idx="7">
                  <c:v>57096</c:v>
                </c:pt>
                <c:pt idx="8">
                  <c:v>59062.5</c:v>
                </c:pt>
                <c:pt idx="9">
                  <c:v>61974</c:v>
                </c:pt>
                <c:pt idx="10">
                  <c:v>64860</c:v>
                </c:pt>
                <c:pt idx="11">
                  <c:v>68621.25</c:v>
                </c:pt>
                <c:pt idx="12">
                  <c:v>80815</c:v>
                </c:pt>
              </c:numCache>
            </c:numRef>
          </c:val>
          <c:extLst>
            <c:ext xmlns:c16="http://schemas.microsoft.com/office/drawing/2014/chart" uri="{C3380CC4-5D6E-409C-BE32-E72D297353CC}">
              <c16:uniqueId val="{00000002-9276-482D-AA5D-FA97FBCC08A7}"/>
            </c:ext>
          </c:extLst>
        </c:ser>
        <c:ser>
          <c:idx val="2"/>
          <c:order val="2"/>
          <c:tx>
            <c:strRef>
              <c:f>'PHASES PREM RANGE'!$D$1</c:f>
              <c:strCache>
                <c:ptCount val="1"/>
                <c:pt idx="0">
                  <c:v>Average of UNIT (BUILDING) RATE (SEMI FINISHED)</c:v>
                </c:pt>
              </c:strCache>
            </c:strRef>
          </c:tx>
          <c:spPr>
            <a:solidFill>
              <a:schemeClr val="accent5">
                <a:shade val="72000"/>
              </a:schemeClr>
            </a:solidFill>
            <a:ln>
              <a:noFill/>
            </a:ln>
            <a:effectLst/>
          </c:spPr>
          <c:invertIfNegative val="0"/>
          <c:cat>
            <c:strRef>
              <c:f>'PHASES PREM RANGE'!$A$2:$A$15</c:f>
              <c:strCache>
                <c:ptCount val="13"/>
                <c:pt idx="0">
                  <c:v>R 1</c:v>
                </c:pt>
                <c:pt idx="1">
                  <c:v>R 2</c:v>
                </c:pt>
                <c:pt idx="2">
                  <c:v>R 3</c:v>
                </c:pt>
                <c:pt idx="3">
                  <c:v>R 4</c:v>
                </c:pt>
                <c:pt idx="4">
                  <c:v>R 5</c:v>
                </c:pt>
                <c:pt idx="5">
                  <c:v>R 6</c:v>
                </c:pt>
                <c:pt idx="6">
                  <c:v>R 7</c:v>
                </c:pt>
                <c:pt idx="7">
                  <c:v>R 8</c:v>
                </c:pt>
                <c:pt idx="8">
                  <c:v>R 9</c:v>
                </c:pt>
                <c:pt idx="9">
                  <c:v>R 10</c:v>
                </c:pt>
                <c:pt idx="10">
                  <c:v>R 11</c:v>
                </c:pt>
                <c:pt idx="11">
                  <c:v>R 12</c:v>
                </c:pt>
                <c:pt idx="12">
                  <c:v>RH</c:v>
                </c:pt>
              </c:strCache>
            </c:strRef>
          </c:cat>
          <c:val>
            <c:numRef>
              <c:f>'PHASES PREM RANGE'!$D$2:$D$15</c:f>
              <c:numCache>
                <c:formatCode>_(* #,##0_);_(* \(#,##0\);_(* "-"??_);_(@_)</c:formatCode>
                <c:ptCount val="13"/>
                <c:pt idx="0">
                  <c:v>45023.315972222219</c:v>
                </c:pt>
                <c:pt idx="1">
                  <c:v>46356.090909090897</c:v>
                </c:pt>
                <c:pt idx="2">
                  <c:v>47460.508064516129</c:v>
                </c:pt>
                <c:pt idx="3">
                  <c:v>48749.631392045456</c:v>
                </c:pt>
                <c:pt idx="4">
                  <c:v>49988.688524590172</c:v>
                </c:pt>
                <c:pt idx="5">
                  <c:v>51816.325000000004</c:v>
                </c:pt>
                <c:pt idx="6">
                  <c:v>53655.315151515155</c:v>
                </c:pt>
                <c:pt idx="7">
                  <c:v>55649.897802197796</c:v>
                </c:pt>
                <c:pt idx="8">
                  <c:v>57551.385937500003</c:v>
                </c:pt>
                <c:pt idx="9">
                  <c:v>60372.125</c:v>
                </c:pt>
                <c:pt idx="10">
                  <c:v>63195.785714285717</c:v>
                </c:pt>
                <c:pt idx="11">
                  <c:v>66504.350694444438</c:v>
                </c:pt>
                <c:pt idx="12">
                  <c:v>79701.75</c:v>
                </c:pt>
              </c:numCache>
            </c:numRef>
          </c:val>
          <c:extLst>
            <c:ext xmlns:c16="http://schemas.microsoft.com/office/drawing/2014/chart" uri="{C3380CC4-5D6E-409C-BE32-E72D297353CC}">
              <c16:uniqueId val="{00000006-9276-482D-AA5D-FA97FBCC08A7}"/>
            </c:ext>
          </c:extLst>
        </c:ser>
        <c:ser>
          <c:idx val="3"/>
          <c:order val="3"/>
          <c:tx>
            <c:strRef>
              <c:f>'PHASES PREM RANGE'!$E$1</c:f>
              <c:strCache>
                <c:ptCount val="1"/>
                <c:pt idx="0">
                  <c:v>Min of UNIT (BUILDING) RATE (BASIC FINISH)2</c:v>
                </c:pt>
              </c:strCache>
            </c:strRef>
          </c:tx>
          <c:spPr>
            <a:solidFill>
              <a:schemeClr val="accent5">
                <a:shade val="86000"/>
              </a:schemeClr>
            </a:solidFill>
            <a:ln>
              <a:noFill/>
            </a:ln>
            <a:effectLst/>
          </c:spPr>
          <c:invertIfNegative val="0"/>
          <c:cat>
            <c:strRef>
              <c:f>'PHASES PREM RANGE'!$A$2:$A$15</c:f>
              <c:strCache>
                <c:ptCount val="13"/>
                <c:pt idx="0">
                  <c:v>R 1</c:v>
                </c:pt>
                <c:pt idx="1">
                  <c:v>R 2</c:v>
                </c:pt>
                <c:pt idx="2">
                  <c:v>R 3</c:v>
                </c:pt>
                <c:pt idx="3">
                  <c:v>R 4</c:v>
                </c:pt>
                <c:pt idx="4">
                  <c:v>R 5</c:v>
                </c:pt>
                <c:pt idx="5">
                  <c:v>R 6</c:v>
                </c:pt>
                <c:pt idx="6">
                  <c:v>R 7</c:v>
                </c:pt>
                <c:pt idx="7">
                  <c:v>R 8</c:v>
                </c:pt>
                <c:pt idx="8">
                  <c:v>R 9</c:v>
                </c:pt>
                <c:pt idx="9">
                  <c:v>R 10</c:v>
                </c:pt>
                <c:pt idx="10">
                  <c:v>R 11</c:v>
                </c:pt>
                <c:pt idx="11">
                  <c:v>R 12</c:v>
                </c:pt>
                <c:pt idx="12">
                  <c:v>RH</c:v>
                </c:pt>
              </c:strCache>
            </c:strRef>
          </c:cat>
          <c:val>
            <c:numRef>
              <c:f>'PHASES PREM RANGE'!$E$2:$E$15</c:f>
              <c:numCache>
                <c:formatCode>_(* #,##0_);_(* \(#,##0\);_(* "-"??_);_(@_)</c:formatCode>
                <c:ptCount val="13"/>
                <c:pt idx="0">
                  <c:v>48375</c:v>
                </c:pt>
                <c:pt idx="1">
                  <c:v>49907.499999999993</c:v>
                </c:pt>
                <c:pt idx="2">
                  <c:v>50831.25</c:v>
                </c:pt>
                <c:pt idx="3">
                  <c:v>52041.875</c:v>
                </c:pt>
                <c:pt idx="4">
                  <c:v>53422.500000000007</c:v>
                </c:pt>
                <c:pt idx="5">
                  <c:v>55258.500000000007</c:v>
                </c:pt>
                <c:pt idx="6">
                  <c:v>56892</c:v>
                </c:pt>
                <c:pt idx="7">
                  <c:v>58942.5</c:v>
                </c:pt>
                <c:pt idx="8">
                  <c:v>60822</c:v>
                </c:pt>
                <c:pt idx="9">
                  <c:v>63570</c:v>
                </c:pt>
                <c:pt idx="10">
                  <c:v>66358.5</c:v>
                </c:pt>
                <c:pt idx="11">
                  <c:v>69170</c:v>
                </c:pt>
                <c:pt idx="12">
                  <c:v>83088.5</c:v>
                </c:pt>
              </c:numCache>
            </c:numRef>
          </c:val>
          <c:extLst>
            <c:ext xmlns:c16="http://schemas.microsoft.com/office/drawing/2014/chart" uri="{C3380CC4-5D6E-409C-BE32-E72D297353CC}">
              <c16:uniqueId val="{00000007-9276-482D-AA5D-FA97FBCC08A7}"/>
            </c:ext>
          </c:extLst>
        </c:ser>
        <c:ser>
          <c:idx val="4"/>
          <c:order val="4"/>
          <c:tx>
            <c:strRef>
              <c:f>'PHASES PREM RANGE'!$F$1</c:f>
              <c:strCache>
                <c:ptCount val="1"/>
                <c:pt idx="0">
                  <c:v>Max of UNIT (BUILDING) RATE (BASIC FINISH)</c:v>
                </c:pt>
              </c:strCache>
            </c:strRef>
          </c:tx>
          <c:spPr>
            <a:solidFill>
              <a:schemeClr val="accent5"/>
            </a:solidFill>
            <a:ln>
              <a:noFill/>
            </a:ln>
            <a:effectLst/>
          </c:spPr>
          <c:invertIfNegative val="0"/>
          <c:cat>
            <c:strRef>
              <c:f>'PHASES PREM RANGE'!$A$2:$A$15</c:f>
              <c:strCache>
                <c:ptCount val="13"/>
                <c:pt idx="0">
                  <c:v>R 1</c:v>
                </c:pt>
                <c:pt idx="1">
                  <c:v>R 2</c:v>
                </c:pt>
                <c:pt idx="2">
                  <c:v>R 3</c:v>
                </c:pt>
                <c:pt idx="3">
                  <c:v>R 4</c:v>
                </c:pt>
                <c:pt idx="4">
                  <c:v>R 5</c:v>
                </c:pt>
                <c:pt idx="5">
                  <c:v>R 6</c:v>
                </c:pt>
                <c:pt idx="6">
                  <c:v>R 7</c:v>
                </c:pt>
                <c:pt idx="7">
                  <c:v>R 8</c:v>
                </c:pt>
                <c:pt idx="8">
                  <c:v>R 9</c:v>
                </c:pt>
                <c:pt idx="9">
                  <c:v>R 10</c:v>
                </c:pt>
                <c:pt idx="10">
                  <c:v>R 11</c:v>
                </c:pt>
                <c:pt idx="11">
                  <c:v>R 12</c:v>
                </c:pt>
                <c:pt idx="12">
                  <c:v>RH</c:v>
                </c:pt>
              </c:strCache>
            </c:strRef>
          </c:cat>
          <c:val>
            <c:numRef>
              <c:f>'PHASES PREM RANGE'!$F$2:$F$15</c:f>
              <c:numCache>
                <c:formatCode>_(* #,##0_);_(* \(#,##0\);_(* "-"??_);_(@_)</c:formatCode>
                <c:ptCount val="13"/>
                <c:pt idx="0">
                  <c:v>50725</c:v>
                </c:pt>
                <c:pt idx="1">
                  <c:v>51957.499999999993</c:v>
                </c:pt>
                <c:pt idx="2">
                  <c:v>53167.5</c:v>
                </c:pt>
                <c:pt idx="3">
                  <c:v>54406.875</c:v>
                </c:pt>
                <c:pt idx="4">
                  <c:v>55622.500000000007</c:v>
                </c:pt>
                <c:pt idx="5">
                  <c:v>57538.500000000007</c:v>
                </c:pt>
                <c:pt idx="6">
                  <c:v>59547</c:v>
                </c:pt>
                <c:pt idx="7">
                  <c:v>61596</c:v>
                </c:pt>
                <c:pt idx="8">
                  <c:v>63562.5</c:v>
                </c:pt>
                <c:pt idx="9">
                  <c:v>66474</c:v>
                </c:pt>
                <c:pt idx="10">
                  <c:v>69360</c:v>
                </c:pt>
                <c:pt idx="11">
                  <c:v>73121.25</c:v>
                </c:pt>
                <c:pt idx="12">
                  <c:v>85315</c:v>
                </c:pt>
              </c:numCache>
            </c:numRef>
          </c:val>
          <c:extLst>
            <c:ext xmlns:c16="http://schemas.microsoft.com/office/drawing/2014/chart" uri="{C3380CC4-5D6E-409C-BE32-E72D297353CC}">
              <c16:uniqueId val="{00000000-BE37-4DC9-B441-DDE61D0C7059}"/>
            </c:ext>
          </c:extLst>
        </c:ser>
        <c:ser>
          <c:idx val="5"/>
          <c:order val="5"/>
          <c:tx>
            <c:strRef>
              <c:f>'PHASES PREM RANGE'!$G$1</c:f>
              <c:strCache>
                <c:ptCount val="1"/>
                <c:pt idx="0">
                  <c:v>Average of UNIT (BUILDING) RATE (BASIC FINISH)</c:v>
                </c:pt>
              </c:strCache>
            </c:strRef>
          </c:tx>
          <c:spPr>
            <a:solidFill>
              <a:schemeClr val="accent5">
                <a:tint val="86000"/>
              </a:schemeClr>
            </a:solidFill>
            <a:ln>
              <a:noFill/>
            </a:ln>
            <a:effectLst/>
          </c:spPr>
          <c:invertIfNegative val="0"/>
          <c:cat>
            <c:strRef>
              <c:f>'PHASES PREM RANGE'!$A$2:$A$15</c:f>
              <c:strCache>
                <c:ptCount val="13"/>
                <c:pt idx="0">
                  <c:v>R 1</c:v>
                </c:pt>
                <c:pt idx="1">
                  <c:v>R 2</c:v>
                </c:pt>
                <c:pt idx="2">
                  <c:v>R 3</c:v>
                </c:pt>
                <c:pt idx="3">
                  <c:v>R 4</c:v>
                </c:pt>
                <c:pt idx="4">
                  <c:v>R 5</c:v>
                </c:pt>
                <c:pt idx="5">
                  <c:v>R 6</c:v>
                </c:pt>
                <c:pt idx="6">
                  <c:v>R 7</c:v>
                </c:pt>
                <c:pt idx="7">
                  <c:v>R 8</c:v>
                </c:pt>
                <c:pt idx="8">
                  <c:v>R 9</c:v>
                </c:pt>
                <c:pt idx="9">
                  <c:v>R 10</c:v>
                </c:pt>
                <c:pt idx="10">
                  <c:v>R 11</c:v>
                </c:pt>
                <c:pt idx="11">
                  <c:v>R 12</c:v>
                </c:pt>
                <c:pt idx="12">
                  <c:v>RH</c:v>
                </c:pt>
              </c:strCache>
            </c:strRef>
          </c:cat>
          <c:val>
            <c:numRef>
              <c:f>'PHASES PREM RANGE'!$G$2:$G$15</c:f>
              <c:numCache>
                <c:formatCode>_(* #,##0_);_(* \(#,##0\);_(* "-"??_);_(@_)</c:formatCode>
                <c:ptCount val="13"/>
                <c:pt idx="0">
                  <c:v>49523.315972222219</c:v>
                </c:pt>
                <c:pt idx="1">
                  <c:v>50856.090909090897</c:v>
                </c:pt>
                <c:pt idx="2">
                  <c:v>51960.508064516129</c:v>
                </c:pt>
                <c:pt idx="3">
                  <c:v>53249.631392045456</c:v>
                </c:pt>
                <c:pt idx="4">
                  <c:v>54488.688524590172</c:v>
                </c:pt>
                <c:pt idx="5">
                  <c:v>56316.325000000004</c:v>
                </c:pt>
                <c:pt idx="6">
                  <c:v>58155.315151515155</c:v>
                </c:pt>
                <c:pt idx="7">
                  <c:v>60149.897802197796</c:v>
                </c:pt>
                <c:pt idx="8">
                  <c:v>62051.385937500003</c:v>
                </c:pt>
                <c:pt idx="9">
                  <c:v>64872.125</c:v>
                </c:pt>
                <c:pt idx="10">
                  <c:v>67695.78571428571</c:v>
                </c:pt>
                <c:pt idx="11">
                  <c:v>71004.350694444438</c:v>
                </c:pt>
                <c:pt idx="12">
                  <c:v>84201.75</c:v>
                </c:pt>
              </c:numCache>
            </c:numRef>
          </c:val>
          <c:extLst>
            <c:ext xmlns:c16="http://schemas.microsoft.com/office/drawing/2014/chart" uri="{C3380CC4-5D6E-409C-BE32-E72D297353CC}">
              <c16:uniqueId val="{00000002-BE37-4DC9-B441-DDE61D0C7059}"/>
            </c:ext>
          </c:extLst>
        </c:ser>
        <c:ser>
          <c:idx val="6"/>
          <c:order val="6"/>
          <c:tx>
            <c:strRef>
              <c:f>'PHASES PREM RANGE'!$H$1</c:f>
              <c:strCache>
                <c:ptCount val="1"/>
                <c:pt idx="0">
                  <c:v>Min of UNIT (BUILDING) RATE (FULLY FINISH)</c:v>
                </c:pt>
              </c:strCache>
            </c:strRef>
          </c:tx>
          <c:spPr>
            <a:solidFill>
              <a:schemeClr val="accent5">
                <a:tint val="72000"/>
              </a:schemeClr>
            </a:solidFill>
            <a:ln>
              <a:noFill/>
            </a:ln>
            <a:effectLst/>
          </c:spPr>
          <c:invertIfNegative val="0"/>
          <c:cat>
            <c:strRef>
              <c:f>'PHASES PREM RANGE'!$A$2:$A$15</c:f>
              <c:strCache>
                <c:ptCount val="13"/>
                <c:pt idx="0">
                  <c:v>R 1</c:v>
                </c:pt>
                <c:pt idx="1">
                  <c:v>R 2</c:v>
                </c:pt>
                <c:pt idx="2">
                  <c:v>R 3</c:v>
                </c:pt>
                <c:pt idx="3">
                  <c:v>R 4</c:v>
                </c:pt>
                <c:pt idx="4">
                  <c:v>R 5</c:v>
                </c:pt>
                <c:pt idx="5">
                  <c:v>R 6</c:v>
                </c:pt>
                <c:pt idx="6">
                  <c:v>R 7</c:v>
                </c:pt>
                <c:pt idx="7">
                  <c:v>R 8</c:v>
                </c:pt>
                <c:pt idx="8">
                  <c:v>R 9</c:v>
                </c:pt>
                <c:pt idx="9">
                  <c:v>R 10</c:v>
                </c:pt>
                <c:pt idx="10">
                  <c:v>R 11</c:v>
                </c:pt>
                <c:pt idx="11">
                  <c:v>R 12</c:v>
                </c:pt>
                <c:pt idx="12">
                  <c:v>RH</c:v>
                </c:pt>
              </c:strCache>
            </c:strRef>
          </c:cat>
          <c:val>
            <c:numRef>
              <c:f>'PHASES PREM RANGE'!$H$2:$H$15</c:f>
              <c:numCache>
                <c:formatCode>_(* #,##0_);_(* \(#,##0\);_(* "-"??_);_(@_)</c:formatCode>
                <c:ptCount val="13"/>
                <c:pt idx="0">
                  <c:v>51375</c:v>
                </c:pt>
                <c:pt idx="1">
                  <c:v>52907.499999999993</c:v>
                </c:pt>
                <c:pt idx="2">
                  <c:v>53831.25</c:v>
                </c:pt>
                <c:pt idx="3">
                  <c:v>55041.875</c:v>
                </c:pt>
                <c:pt idx="4">
                  <c:v>56422.500000000007</c:v>
                </c:pt>
                <c:pt idx="5">
                  <c:v>58258.500000000007</c:v>
                </c:pt>
                <c:pt idx="6">
                  <c:v>59892</c:v>
                </c:pt>
                <c:pt idx="7">
                  <c:v>61942.5</c:v>
                </c:pt>
                <c:pt idx="8">
                  <c:v>63822</c:v>
                </c:pt>
                <c:pt idx="9">
                  <c:v>66570</c:v>
                </c:pt>
                <c:pt idx="10">
                  <c:v>69358.5</c:v>
                </c:pt>
                <c:pt idx="11">
                  <c:v>72170</c:v>
                </c:pt>
                <c:pt idx="12">
                  <c:v>86088.5</c:v>
                </c:pt>
              </c:numCache>
            </c:numRef>
          </c:val>
          <c:extLst>
            <c:ext xmlns:c16="http://schemas.microsoft.com/office/drawing/2014/chart" uri="{C3380CC4-5D6E-409C-BE32-E72D297353CC}">
              <c16:uniqueId val="{00000003-BE37-4DC9-B441-DDE61D0C7059}"/>
            </c:ext>
          </c:extLst>
        </c:ser>
        <c:ser>
          <c:idx val="7"/>
          <c:order val="7"/>
          <c:tx>
            <c:strRef>
              <c:f>'PHASES PREM RANGE'!$I$1</c:f>
              <c:strCache>
                <c:ptCount val="1"/>
                <c:pt idx="0">
                  <c:v>Max of UNIT (BUILDING) RATE (FULLY FINISH)</c:v>
                </c:pt>
              </c:strCache>
            </c:strRef>
          </c:tx>
          <c:spPr>
            <a:solidFill>
              <a:schemeClr val="accent5">
                <a:tint val="58000"/>
              </a:schemeClr>
            </a:solidFill>
            <a:ln>
              <a:noFill/>
            </a:ln>
            <a:effectLst/>
          </c:spPr>
          <c:invertIfNegative val="0"/>
          <c:cat>
            <c:strRef>
              <c:f>'PHASES PREM RANGE'!$A$2:$A$15</c:f>
              <c:strCache>
                <c:ptCount val="13"/>
                <c:pt idx="0">
                  <c:v>R 1</c:v>
                </c:pt>
                <c:pt idx="1">
                  <c:v>R 2</c:v>
                </c:pt>
                <c:pt idx="2">
                  <c:v>R 3</c:v>
                </c:pt>
                <c:pt idx="3">
                  <c:v>R 4</c:v>
                </c:pt>
                <c:pt idx="4">
                  <c:v>R 5</c:v>
                </c:pt>
                <c:pt idx="5">
                  <c:v>R 6</c:v>
                </c:pt>
                <c:pt idx="6">
                  <c:v>R 7</c:v>
                </c:pt>
                <c:pt idx="7">
                  <c:v>R 8</c:v>
                </c:pt>
                <c:pt idx="8">
                  <c:v>R 9</c:v>
                </c:pt>
                <c:pt idx="9">
                  <c:v>R 10</c:v>
                </c:pt>
                <c:pt idx="10">
                  <c:v>R 11</c:v>
                </c:pt>
                <c:pt idx="11">
                  <c:v>R 12</c:v>
                </c:pt>
                <c:pt idx="12">
                  <c:v>RH</c:v>
                </c:pt>
              </c:strCache>
            </c:strRef>
          </c:cat>
          <c:val>
            <c:numRef>
              <c:f>'PHASES PREM RANGE'!$I$2:$I$15</c:f>
              <c:numCache>
                <c:formatCode>_(* #,##0_);_(* \(#,##0\);_(* "-"??_);_(@_)</c:formatCode>
                <c:ptCount val="13"/>
                <c:pt idx="0">
                  <c:v>53725</c:v>
                </c:pt>
                <c:pt idx="1">
                  <c:v>54957.499999999993</c:v>
                </c:pt>
                <c:pt idx="2">
                  <c:v>56167.5</c:v>
                </c:pt>
                <c:pt idx="3">
                  <c:v>57406.875</c:v>
                </c:pt>
                <c:pt idx="4">
                  <c:v>58622.500000000007</c:v>
                </c:pt>
                <c:pt idx="5">
                  <c:v>60538.500000000007</c:v>
                </c:pt>
                <c:pt idx="6">
                  <c:v>62547</c:v>
                </c:pt>
                <c:pt idx="7">
                  <c:v>64596</c:v>
                </c:pt>
                <c:pt idx="8">
                  <c:v>66562.5</c:v>
                </c:pt>
                <c:pt idx="9">
                  <c:v>69474</c:v>
                </c:pt>
                <c:pt idx="10">
                  <c:v>72360</c:v>
                </c:pt>
                <c:pt idx="11">
                  <c:v>76121.25</c:v>
                </c:pt>
                <c:pt idx="12">
                  <c:v>88315</c:v>
                </c:pt>
              </c:numCache>
            </c:numRef>
          </c:val>
          <c:extLst>
            <c:ext xmlns:c16="http://schemas.microsoft.com/office/drawing/2014/chart" uri="{C3380CC4-5D6E-409C-BE32-E72D297353CC}">
              <c16:uniqueId val="{00000004-BE37-4DC9-B441-DDE61D0C7059}"/>
            </c:ext>
          </c:extLst>
        </c:ser>
        <c:ser>
          <c:idx val="8"/>
          <c:order val="8"/>
          <c:tx>
            <c:strRef>
              <c:f>'PHASES PREM RANGE'!$J$1</c:f>
              <c:strCache>
                <c:ptCount val="1"/>
                <c:pt idx="0">
                  <c:v>Average of UNIT (BUILDING) RATE (FULLY FINISH)</c:v>
                </c:pt>
              </c:strCache>
            </c:strRef>
          </c:tx>
          <c:spPr>
            <a:solidFill>
              <a:schemeClr val="accent5">
                <a:tint val="44000"/>
              </a:schemeClr>
            </a:solidFill>
            <a:ln>
              <a:noFill/>
            </a:ln>
            <a:effectLst/>
          </c:spPr>
          <c:invertIfNegative val="0"/>
          <c:cat>
            <c:strRef>
              <c:f>'PHASES PREM RANGE'!$A$2:$A$15</c:f>
              <c:strCache>
                <c:ptCount val="13"/>
                <c:pt idx="0">
                  <c:v>R 1</c:v>
                </c:pt>
                <c:pt idx="1">
                  <c:v>R 2</c:v>
                </c:pt>
                <c:pt idx="2">
                  <c:v>R 3</c:v>
                </c:pt>
                <c:pt idx="3">
                  <c:v>R 4</c:v>
                </c:pt>
                <c:pt idx="4">
                  <c:v>R 5</c:v>
                </c:pt>
                <c:pt idx="5">
                  <c:v>R 6</c:v>
                </c:pt>
                <c:pt idx="6">
                  <c:v>R 7</c:v>
                </c:pt>
                <c:pt idx="7">
                  <c:v>R 8</c:v>
                </c:pt>
                <c:pt idx="8">
                  <c:v>R 9</c:v>
                </c:pt>
                <c:pt idx="9">
                  <c:v>R 10</c:v>
                </c:pt>
                <c:pt idx="10">
                  <c:v>R 11</c:v>
                </c:pt>
                <c:pt idx="11">
                  <c:v>R 12</c:v>
                </c:pt>
                <c:pt idx="12">
                  <c:v>RH</c:v>
                </c:pt>
              </c:strCache>
            </c:strRef>
          </c:cat>
          <c:val>
            <c:numRef>
              <c:f>'PHASES PREM RANGE'!$J$2:$J$15</c:f>
              <c:numCache>
                <c:formatCode>_(* #,##0_);_(* \(#,##0\);_(* "-"??_);_(@_)</c:formatCode>
                <c:ptCount val="13"/>
                <c:pt idx="0">
                  <c:v>52523.315972222219</c:v>
                </c:pt>
                <c:pt idx="1">
                  <c:v>53856.090909090897</c:v>
                </c:pt>
                <c:pt idx="2">
                  <c:v>54960.508064516129</c:v>
                </c:pt>
                <c:pt idx="3">
                  <c:v>56249.631392045456</c:v>
                </c:pt>
                <c:pt idx="4">
                  <c:v>57488.688524590172</c:v>
                </c:pt>
                <c:pt idx="5">
                  <c:v>59316.325000000004</c:v>
                </c:pt>
                <c:pt idx="6">
                  <c:v>61155.315151515155</c:v>
                </c:pt>
                <c:pt idx="7">
                  <c:v>63149.897802197804</c:v>
                </c:pt>
                <c:pt idx="8">
                  <c:v>65051.385937500003</c:v>
                </c:pt>
                <c:pt idx="9">
                  <c:v>67872.125</c:v>
                </c:pt>
                <c:pt idx="10">
                  <c:v>70695.78571428571</c:v>
                </c:pt>
                <c:pt idx="11">
                  <c:v>74004.350694444438</c:v>
                </c:pt>
                <c:pt idx="12">
                  <c:v>87201.75</c:v>
                </c:pt>
              </c:numCache>
            </c:numRef>
          </c:val>
          <c:extLst>
            <c:ext xmlns:c16="http://schemas.microsoft.com/office/drawing/2014/chart" uri="{C3380CC4-5D6E-409C-BE32-E72D297353CC}">
              <c16:uniqueId val="{00000005-BE37-4DC9-B441-DDE61D0C7059}"/>
            </c:ext>
          </c:extLst>
        </c:ser>
        <c:dLbls>
          <c:showLegendKey val="0"/>
          <c:showVal val="0"/>
          <c:showCatName val="0"/>
          <c:showSerName val="0"/>
          <c:showPercent val="0"/>
          <c:showBubbleSize val="0"/>
        </c:dLbls>
        <c:gapWidth val="219"/>
        <c:overlap val="-27"/>
        <c:axId val="128336415"/>
        <c:axId val="128334015"/>
      </c:barChart>
      <c:catAx>
        <c:axId val="12833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8334015"/>
        <c:crosses val="autoZero"/>
        <c:auto val="1"/>
        <c:lblAlgn val="ctr"/>
        <c:lblOffset val="100"/>
        <c:noMultiLvlLbl val="0"/>
      </c:catAx>
      <c:valAx>
        <c:axId val="128334015"/>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833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landscape" verticalDpi="0"/>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[REGENT'S SQUARE UNITS DATA AND PIVOTS_20231003 FOR PV CALCULATOR.xlsx]DASHBOARD (7)!PivotTable18</c:name>
    <c:fmtId val="12"/>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(7)'!$B$1</c:f>
              <c:strCache>
                <c:ptCount val="1"/>
                <c:pt idx="0">
                  <c:v>Count of Unit Selling Area</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(7)'!$A$2:$A$7</c:f>
              <c:strCache>
                <c:ptCount val="5"/>
                <c:pt idx="0">
                  <c:v>1 BEDROOM (STUDIO)</c:v>
                </c:pt>
                <c:pt idx="1">
                  <c:v>2 BEDROOM</c:v>
                </c:pt>
                <c:pt idx="2">
                  <c:v>3 BEDROOM</c:v>
                </c:pt>
                <c:pt idx="3">
                  <c:v>3 BEDROOM + LIVING</c:v>
                </c:pt>
                <c:pt idx="4">
                  <c:v>3 BEDROOM + LIVING (DUPLEX)</c:v>
                </c:pt>
              </c:strCache>
            </c:strRef>
          </c:cat>
          <c:val>
            <c:numRef>
              <c:f>'DASHBOARD (7)'!$B$2:$B$7</c:f>
              <c:numCache>
                <c:formatCode>_(* #,##0_);_(* \(#,##0\);_(* "-"??_);_(@_)</c:formatCode>
                <c:ptCount val="5"/>
                <c:pt idx="0">
                  <c:v>68</c:v>
                </c:pt>
                <c:pt idx="1">
                  <c:v>176</c:v>
                </c:pt>
                <c:pt idx="2">
                  <c:v>526</c:v>
                </c:pt>
                <c:pt idx="3">
                  <c:v>70</c:v>
                </c:pt>
                <c:pt idx="4">
                  <c:v>18</c:v>
                </c:pt>
              </c:numCache>
            </c:numRef>
          </c:val>
          <c:extLst>
            <c:ext xmlns:c16="http://schemas.microsoft.com/office/drawing/2014/chart" uri="{C3380CC4-5D6E-409C-BE32-E72D297353CC}">
              <c16:uniqueId val="{00000000-4E9B-4C38-85D8-70955EAC7644}"/>
            </c:ext>
          </c:extLst>
        </c:ser>
        <c:ser>
          <c:idx val="1"/>
          <c:order val="1"/>
          <c:tx>
            <c:strRef>
              <c:f>'DASHBOARD (7)'!$C$1</c:f>
              <c:strCache>
                <c:ptCount val="1"/>
                <c:pt idx="0">
                  <c:v>Count of Unit Selling Area2</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(7)'!$A$2:$A$7</c:f>
              <c:strCache>
                <c:ptCount val="5"/>
                <c:pt idx="0">
                  <c:v>1 BEDROOM (STUDIO)</c:v>
                </c:pt>
                <c:pt idx="1">
                  <c:v>2 BEDROOM</c:v>
                </c:pt>
                <c:pt idx="2">
                  <c:v>3 BEDROOM</c:v>
                </c:pt>
                <c:pt idx="3">
                  <c:v>3 BEDROOM + LIVING</c:v>
                </c:pt>
                <c:pt idx="4">
                  <c:v>3 BEDROOM + LIVING (DUPLEX)</c:v>
                </c:pt>
              </c:strCache>
            </c:strRef>
          </c:cat>
          <c:val>
            <c:numRef>
              <c:f>'DASHBOARD (7)'!$C$2:$C$7</c:f>
              <c:numCache>
                <c:formatCode>0.00%</c:formatCode>
                <c:ptCount val="5"/>
                <c:pt idx="0">
                  <c:v>7.9254079254079249E-2</c:v>
                </c:pt>
                <c:pt idx="1">
                  <c:v>0.20512820512820512</c:v>
                </c:pt>
                <c:pt idx="2">
                  <c:v>0.61305361305361306</c:v>
                </c:pt>
                <c:pt idx="3">
                  <c:v>8.1585081585081584E-2</c:v>
                </c:pt>
                <c:pt idx="4">
                  <c:v>2.097902097902098E-2</c:v>
                </c:pt>
              </c:numCache>
            </c:numRef>
          </c:val>
          <c:extLst>
            <c:ext xmlns:c16="http://schemas.microsoft.com/office/drawing/2014/chart" uri="{C3380CC4-5D6E-409C-BE32-E72D297353CC}">
              <c16:uniqueId val="{00000001-4F52-4E4C-846A-4BE4A2E6D705}"/>
            </c:ext>
          </c:extLst>
        </c:ser>
        <c:dLbls>
          <c:dLblPos val="outEnd"/>
          <c:showLegendKey val="0"/>
          <c:showVal val="1"/>
          <c:showCatName val="0"/>
          <c:showSerName val="0"/>
          <c:showPercent val="0"/>
          <c:showBubbleSize val="0"/>
        </c:dLbls>
        <c:gapWidth val="219"/>
        <c:overlap val="-27"/>
        <c:axId val="369447759"/>
        <c:axId val="369446799"/>
      </c:barChart>
      <c:catAx>
        <c:axId val="36944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446799"/>
        <c:crosses val="autoZero"/>
        <c:auto val="1"/>
        <c:lblAlgn val="ctr"/>
        <c:lblOffset val="100"/>
        <c:noMultiLvlLbl val="0"/>
      </c:catAx>
      <c:valAx>
        <c:axId val="369446799"/>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4477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[REGENT'S SQUARE UNITS DATA AND PIVOTS_20231003 FOR PV CALCULATOR.xlsx]product mix dash!PivotTable18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 Top</a:t>
            </a:r>
            <a:r>
              <a:rPr lang="en-US" baseline="0"/>
              <a:t> 20 Product Area Mix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mix dash'!$B$1</c:f>
              <c:strCache>
                <c:ptCount val="1"/>
                <c:pt idx="0">
                  <c:v>Total</c:v>
                </c:pt>
              </c:strCache>
            </c:strRef>
          </c:tx>
          <c:spPr>
            <a:solidFill>
              <a:schemeClr val="accent5"/>
            </a:solidFill>
            <a:ln>
              <a:noFill/>
            </a:ln>
            <a:effectLst/>
          </c:spPr>
          <c:invertIfNegative val="0"/>
          <c:cat>
            <c:strRef>
              <c:f>'product mix dash'!$A$2:$A$27</c:f>
              <c:strCache>
                <c:ptCount val="25"/>
                <c:pt idx="0">
                  <c:v>63.00</c:v>
                </c:pt>
                <c:pt idx="1">
                  <c:v>84.00</c:v>
                </c:pt>
                <c:pt idx="2">
                  <c:v>106.00</c:v>
                </c:pt>
                <c:pt idx="3">
                  <c:v>108.00</c:v>
                </c:pt>
                <c:pt idx="4">
                  <c:v>110.00</c:v>
                </c:pt>
                <c:pt idx="5">
                  <c:v>112.00</c:v>
                </c:pt>
                <c:pt idx="6">
                  <c:v>116.00</c:v>
                </c:pt>
                <c:pt idx="7">
                  <c:v>117.00</c:v>
                </c:pt>
                <c:pt idx="8">
                  <c:v>119.00</c:v>
                </c:pt>
                <c:pt idx="9">
                  <c:v>121.00</c:v>
                </c:pt>
                <c:pt idx="10">
                  <c:v>153.00</c:v>
                </c:pt>
                <c:pt idx="11">
                  <c:v>155.00</c:v>
                </c:pt>
                <c:pt idx="12">
                  <c:v>157.00</c:v>
                </c:pt>
                <c:pt idx="13">
                  <c:v>158.00</c:v>
                </c:pt>
                <c:pt idx="14">
                  <c:v>160.00</c:v>
                </c:pt>
                <c:pt idx="15">
                  <c:v>161.00</c:v>
                </c:pt>
                <c:pt idx="16">
                  <c:v>170.00</c:v>
                </c:pt>
                <c:pt idx="17">
                  <c:v>172.00</c:v>
                </c:pt>
                <c:pt idx="18">
                  <c:v>173.00</c:v>
                </c:pt>
                <c:pt idx="19">
                  <c:v>174.00</c:v>
                </c:pt>
                <c:pt idx="20">
                  <c:v>176.00</c:v>
                </c:pt>
                <c:pt idx="21">
                  <c:v>198.00</c:v>
                </c:pt>
                <c:pt idx="22">
                  <c:v>199.00</c:v>
                </c:pt>
                <c:pt idx="23">
                  <c:v>224.00</c:v>
                </c:pt>
                <c:pt idx="24">
                  <c:v>228.00</c:v>
                </c:pt>
              </c:strCache>
            </c:strRef>
          </c:cat>
          <c:val>
            <c:numRef>
              <c:f>'product mix dash'!$B$2:$B$27</c:f>
              <c:numCache>
                <c:formatCode>_(* #,##0_);_(* \(#,##0\);_(* "-"??_);_(@_)</c:formatCode>
                <c:ptCount val="25"/>
                <c:pt idx="0">
                  <c:v>16</c:v>
                </c:pt>
                <c:pt idx="1">
                  <c:v>12</c:v>
                </c:pt>
                <c:pt idx="2">
                  <c:v>12</c:v>
                </c:pt>
                <c:pt idx="3">
                  <c:v>20</c:v>
                </c:pt>
                <c:pt idx="4">
                  <c:v>26</c:v>
                </c:pt>
                <c:pt idx="5">
                  <c:v>12</c:v>
                </c:pt>
                <c:pt idx="6">
                  <c:v>19</c:v>
                </c:pt>
                <c:pt idx="7">
                  <c:v>19</c:v>
                </c:pt>
                <c:pt idx="8">
                  <c:v>15</c:v>
                </c:pt>
                <c:pt idx="9">
                  <c:v>12</c:v>
                </c:pt>
                <c:pt idx="10">
                  <c:v>24</c:v>
                </c:pt>
                <c:pt idx="11">
                  <c:v>88</c:v>
                </c:pt>
                <c:pt idx="12">
                  <c:v>12</c:v>
                </c:pt>
                <c:pt idx="13">
                  <c:v>28</c:v>
                </c:pt>
                <c:pt idx="14">
                  <c:v>68</c:v>
                </c:pt>
                <c:pt idx="15">
                  <c:v>40</c:v>
                </c:pt>
                <c:pt idx="16">
                  <c:v>24</c:v>
                </c:pt>
                <c:pt idx="17">
                  <c:v>38</c:v>
                </c:pt>
                <c:pt idx="18">
                  <c:v>63</c:v>
                </c:pt>
                <c:pt idx="19">
                  <c:v>15</c:v>
                </c:pt>
                <c:pt idx="20">
                  <c:v>37</c:v>
                </c:pt>
                <c:pt idx="21">
                  <c:v>20</c:v>
                </c:pt>
                <c:pt idx="22">
                  <c:v>22</c:v>
                </c:pt>
                <c:pt idx="23">
                  <c:v>28</c:v>
                </c:pt>
                <c:pt idx="24">
                  <c:v>24</c:v>
                </c:pt>
              </c:numCache>
            </c:numRef>
          </c:val>
          <c:extLst>
            <c:ext xmlns:c16="http://schemas.microsoft.com/office/drawing/2014/chart" uri="{C3380CC4-5D6E-409C-BE32-E72D297353CC}">
              <c16:uniqueId val="{00000000-8C71-469F-97FC-2B5462D3E8EC}"/>
            </c:ext>
          </c:extLst>
        </c:ser>
        <c:dLbls>
          <c:showLegendKey val="0"/>
          <c:showVal val="0"/>
          <c:showCatName val="0"/>
          <c:showSerName val="0"/>
          <c:showPercent val="0"/>
          <c:showBubbleSize val="0"/>
        </c:dLbls>
        <c:gapWidth val="219"/>
        <c:overlap val="-27"/>
        <c:axId val="1335069775"/>
        <c:axId val="1335067375"/>
      </c:barChart>
      <c:catAx>
        <c:axId val="133506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067375"/>
        <c:crosses val="autoZero"/>
        <c:auto val="1"/>
        <c:lblAlgn val="ctr"/>
        <c:lblOffset val="100"/>
        <c:noMultiLvlLbl val="0"/>
      </c:catAx>
      <c:valAx>
        <c:axId val="1335067375"/>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06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[REGENT'S SQUARE UNITS DATA AND PIVOTS_20231003 FOR PV CALCULATOR.xlsx]DASHBOARD (4)!PivotTable18</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(4)'!$B$3</c:f>
              <c:strCache>
                <c:ptCount val="1"/>
                <c:pt idx="0">
                  <c:v>Total</c:v>
                </c:pt>
              </c:strCache>
            </c:strRef>
          </c:tx>
          <c:spPr>
            <a:solidFill>
              <a:schemeClr val="accent1"/>
            </a:solidFill>
            <a:ln>
              <a:noFill/>
            </a:ln>
            <a:effectLst/>
          </c:spPr>
          <c:invertIfNegative val="0"/>
          <c:cat>
            <c:strRef>
              <c:f>'DASHBOARD (4)'!$A$4:$A$36</c:f>
              <c:strCache>
                <c:ptCount val="32"/>
                <c:pt idx="0">
                  <c:v>75.00</c:v>
                </c:pt>
                <c:pt idx="1">
                  <c:v>106.00</c:v>
                </c:pt>
                <c:pt idx="2">
                  <c:v>108.00</c:v>
                </c:pt>
                <c:pt idx="3">
                  <c:v>110.00</c:v>
                </c:pt>
                <c:pt idx="4">
                  <c:v>111.00</c:v>
                </c:pt>
                <c:pt idx="5">
                  <c:v>112.00</c:v>
                </c:pt>
                <c:pt idx="6">
                  <c:v>116.00</c:v>
                </c:pt>
                <c:pt idx="7">
                  <c:v>117.00</c:v>
                </c:pt>
                <c:pt idx="8">
                  <c:v>119.00</c:v>
                </c:pt>
                <c:pt idx="9">
                  <c:v>120.00</c:v>
                </c:pt>
                <c:pt idx="10">
                  <c:v>121.00</c:v>
                </c:pt>
                <c:pt idx="11">
                  <c:v>122.00</c:v>
                </c:pt>
                <c:pt idx="12">
                  <c:v>135.00</c:v>
                </c:pt>
                <c:pt idx="13">
                  <c:v>153.00</c:v>
                </c:pt>
                <c:pt idx="14">
                  <c:v>155.00</c:v>
                </c:pt>
                <c:pt idx="15">
                  <c:v>157.00</c:v>
                </c:pt>
                <c:pt idx="16">
                  <c:v>158.00</c:v>
                </c:pt>
                <c:pt idx="17">
                  <c:v>160.00</c:v>
                </c:pt>
                <c:pt idx="18">
                  <c:v>161.00</c:v>
                </c:pt>
                <c:pt idx="19">
                  <c:v>170.00</c:v>
                </c:pt>
                <c:pt idx="20">
                  <c:v>172.00</c:v>
                </c:pt>
                <c:pt idx="21">
                  <c:v>173.00</c:v>
                </c:pt>
                <c:pt idx="22">
                  <c:v>174.00</c:v>
                </c:pt>
                <c:pt idx="23">
                  <c:v>176.00</c:v>
                </c:pt>
                <c:pt idx="24">
                  <c:v>201.00</c:v>
                </c:pt>
                <c:pt idx="25">
                  <c:v>204.00</c:v>
                </c:pt>
                <c:pt idx="26">
                  <c:v>222.00</c:v>
                </c:pt>
                <c:pt idx="27">
                  <c:v>224.00</c:v>
                </c:pt>
                <c:pt idx="28">
                  <c:v>228.00</c:v>
                </c:pt>
                <c:pt idx="29">
                  <c:v>301.00</c:v>
                </c:pt>
                <c:pt idx="30">
                  <c:v>309.00</c:v>
                </c:pt>
                <c:pt idx="31">
                  <c:v>344.00</c:v>
                </c:pt>
              </c:strCache>
            </c:strRef>
          </c:cat>
          <c:val>
            <c:numRef>
              <c:f>'DASHBOARD (4)'!$B$4:$B$36</c:f>
              <c:numCache>
                <c:formatCode>_(* #,##0_);_(* \(#,##0\);_(* "-"??_);_(@_)</c:formatCode>
                <c:ptCount val="32"/>
                <c:pt idx="0">
                  <c:v>3</c:v>
                </c:pt>
                <c:pt idx="1">
                  <c:v>6</c:v>
                </c:pt>
                <c:pt idx="2">
                  <c:v>2</c:v>
                </c:pt>
                <c:pt idx="3">
                  <c:v>9</c:v>
                </c:pt>
                <c:pt idx="4">
                  <c:v>5</c:v>
                </c:pt>
                <c:pt idx="5">
                  <c:v>1</c:v>
                </c:pt>
                <c:pt idx="6">
                  <c:v>8</c:v>
                </c:pt>
                <c:pt idx="7">
                  <c:v>6</c:v>
                </c:pt>
                <c:pt idx="8">
                  <c:v>5</c:v>
                </c:pt>
                <c:pt idx="9">
                  <c:v>2</c:v>
                </c:pt>
                <c:pt idx="10">
                  <c:v>5</c:v>
                </c:pt>
                <c:pt idx="11">
                  <c:v>1</c:v>
                </c:pt>
                <c:pt idx="12">
                  <c:v>1</c:v>
                </c:pt>
                <c:pt idx="13">
                  <c:v>5</c:v>
                </c:pt>
                <c:pt idx="14">
                  <c:v>5</c:v>
                </c:pt>
                <c:pt idx="15">
                  <c:v>2</c:v>
                </c:pt>
                <c:pt idx="16">
                  <c:v>5</c:v>
                </c:pt>
                <c:pt idx="17">
                  <c:v>9</c:v>
                </c:pt>
                <c:pt idx="18">
                  <c:v>11</c:v>
                </c:pt>
                <c:pt idx="19">
                  <c:v>14</c:v>
                </c:pt>
                <c:pt idx="20">
                  <c:v>2</c:v>
                </c:pt>
                <c:pt idx="21">
                  <c:v>8</c:v>
                </c:pt>
                <c:pt idx="22">
                  <c:v>4</c:v>
                </c:pt>
                <c:pt idx="23">
                  <c:v>10</c:v>
                </c:pt>
                <c:pt idx="24">
                  <c:v>2</c:v>
                </c:pt>
                <c:pt idx="25">
                  <c:v>4</c:v>
                </c:pt>
                <c:pt idx="26">
                  <c:v>2</c:v>
                </c:pt>
                <c:pt idx="27">
                  <c:v>2</c:v>
                </c:pt>
                <c:pt idx="28">
                  <c:v>1</c:v>
                </c:pt>
                <c:pt idx="29">
                  <c:v>1</c:v>
                </c:pt>
                <c:pt idx="30">
                  <c:v>1</c:v>
                </c:pt>
                <c:pt idx="31">
                  <c:v>2</c:v>
                </c:pt>
              </c:numCache>
            </c:numRef>
          </c:val>
          <c:extLst>
            <c:ext xmlns:c16="http://schemas.microsoft.com/office/drawing/2014/chart" uri="{C3380CC4-5D6E-409C-BE32-E72D297353CC}">
              <c16:uniqueId val="{00000000-7E69-4680-8590-5DE2DEA4E8A3}"/>
            </c:ext>
          </c:extLst>
        </c:ser>
        <c:dLbls>
          <c:showLegendKey val="0"/>
          <c:showVal val="0"/>
          <c:showCatName val="0"/>
          <c:showSerName val="0"/>
          <c:showPercent val="0"/>
          <c:showBubbleSize val="0"/>
        </c:dLbls>
        <c:gapWidth val="219"/>
        <c:overlap val="-27"/>
        <c:axId val="1348637983"/>
        <c:axId val="377877887"/>
      </c:barChart>
      <c:catAx>
        <c:axId val="134863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877887"/>
        <c:crosses val="autoZero"/>
        <c:auto val="1"/>
        <c:lblAlgn val="ctr"/>
        <c:lblOffset val="100"/>
        <c:noMultiLvlLbl val="0"/>
      </c:catAx>
      <c:valAx>
        <c:axId val="37787788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63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[REGENT'S SQUARE UNITS DATA AND PIVOTS_20231003 FOR PV CALCULATOR.xlsx]prem cat. total dash!PivotTable18</c:name>
    <c:fmtId val="11"/>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'prem cat. total dash'!$B$1</c:f>
              <c:strCache>
                <c:ptCount val="1"/>
                <c:pt idx="0">
                  <c:v>Count of PREMIUM CATEGORY</c:v>
                </c:pt>
              </c:strCache>
            </c:strRef>
          </c:tx>
          <c:spPr>
            <a:solidFill>
              <a:schemeClr val="accent5">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'prem cat. total dash'!$A$2:$A$6</c:f>
              <c:strCache>
                <c:ptCount val="4"/>
                <c:pt idx="0">
                  <c:v>A</c:v>
                </c:pt>
                <c:pt idx="1">
                  <c:v>B</c:v>
                </c:pt>
                <c:pt idx="2">
                  <c:v>C</c:v>
                </c:pt>
                <c:pt idx="3">
                  <c:v>HOTEL</c:v>
                </c:pt>
              </c:strCache>
            </c:strRef>
          </c:cat>
          <c:val>
            <c:numRef>
              <c:f>'prem cat. total dash'!$B$2:$B$6</c:f>
              <c:numCache>
                <c:formatCode>_(* #,##0_);_(* \(#,##0\);_(* "-"??_);_(@_)</c:formatCode>
                <c:ptCount val="4"/>
                <c:pt idx="0">
                  <c:v>204</c:v>
                </c:pt>
                <c:pt idx="1">
                  <c:v>253</c:v>
                </c:pt>
                <c:pt idx="2">
                  <c:v>345</c:v>
                </c:pt>
                <c:pt idx="3">
                  <c:v>56</c:v>
                </c:pt>
              </c:numCache>
            </c:numRef>
          </c:val>
          <c:extLst>
            <c:ext xmlns:c16="http://schemas.microsoft.com/office/drawing/2014/chart" uri="{C3380CC4-5D6E-409C-BE32-E72D297353CC}">
              <c16:uniqueId val="{00000004-5673-4717-9EE0-5A7D357FD6A2}"/>
            </c:ext>
          </c:extLst>
        </c:ser>
        <c:ser>
          <c:idx val="1"/>
          <c:order val="1"/>
          <c:tx>
            <c:strRef>
              <c:f>'prem cat. total dash'!$C$1</c:f>
              <c:strCache>
                <c:ptCount val="1"/>
                <c:pt idx="0">
                  <c:v>Min of TOTAL PREMIUM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'prem cat. total dash'!$A$2:$A$6</c:f>
              <c:strCache>
                <c:ptCount val="4"/>
                <c:pt idx="0">
                  <c:v>A</c:v>
                </c:pt>
                <c:pt idx="1">
                  <c:v>B</c:v>
                </c:pt>
                <c:pt idx="2">
                  <c:v>C</c:v>
                </c:pt>
                <c:pt idx="3">
                  <c:v>HOTEL</c:v>
                </c:pt>
              </c:strCache>
            </c:strRef>
          </c:cat>
          <c:val>
            <c:numRef>
              <c:f>'prem cat. total dash'!$C$2:$C$6</c:f>
              <c:numCache>
                <c:formatCode>0%</c:formatCode>
                <c:ptCount val="4"/>
                <c:pt idx="0">
                  <c:v>0.73</c:v>
                </c:pt>
                <c:pt idx="1">
                  <c:v>0.505</c:v>
                </c:pt>
                <c:pt idx="2">
                  <c:v>0.27499999999999997</c:v>
                </c:pt>
                <c:pt idx="3">
                  <c:v>0.28499999999999998</c:v>
                </c:pt>
              </c:numCache>
            </c:numRef>
          </c:val>
          <c:extLst>
            <c:ext xmlns:c16="http://schemas.microsoft.com/office/drawing/2014/chart" uri="{C3380CC4-5D6E-409C-BE32-E72D297353CC}">
              <c16:uniqueId val="{00000005-5673-4717-9EE0-5A7D357FD6A2}"/>
            </c:ext>
          </c:extLst>
        </c:ser>
        <c:ser>
          <c:idx val="2"/>
          <c:order val="2"/>
          <c:tx>
            <c:strRef>
              <c:f>'prem cat. total dash'!$D$1</c:f>
              <c:strCache>
                <c:ptCount val="1"/>
                <c:pt idx="0">
                  <c:v>Max of TOTAL PREMIUM %</c:v>
                </c:pt>
              </c:strCache>
            </c:strRef>
          </c:tx>
          <c:spPr>
            <a:solidFill>
              <a:schemeClr val="accent5">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'prem cat. total dash'!$A$2:$A$6</c:f>
              <c:strCache>
                <c:ptCount val="4"/>
                <c:pt idx="0">
                  <c:v>A</c:v>
                </c:pt>
                <c:pt idx="1">
                  <c:v>B</c:v>
                </c:pt>
                <c:pt idx="2">
                  <c:v>C</c:v>
                </c:pt>
                <c:pt idx="3">
                  <c:v>HOTEL</c:v>
                </c:pt>
              </c:strCache>
            </c:strRef>
          </c:cat>
          <c:val>
            <c:numRef>
              <c:f>'prem cat. total dash'!$D$2:$D$6</c:f>
              <c:numCache>
                <c:formatCode>0%</c:formatCode>
                <c:ptCount val="4"/>
                <c:pt idx="0">
                  <c:v>0.96500000000000008</c:v>
                </c:pt>
                <c:pt idx="1">
                  <c:v>0.72900000000000009</c:v>
                </c:pt>
                <c:pt idx="2">
                  <c:v>0.495</c:v>
                </c:pt>
                <c:pt idx="3">
                  <c:v>0.65</c:v>
                </c:pt>
              </c:numCache>
            </c:numRef>
          </c:val>
          <c:extLst>
            <c:ext xmlns:c16="http://schemas.microsoft.com/office/drawing/2014/chart" uri="{C3380CC4-5D6E-409C-BE32-E72D297353CC}">
              <c16:uniqueId val="{00000006-5673-4717-9EE0-5A7D357FD6A2}"/>
            </c:ext>
          </c:extLst>
        </c:ser>
        <c:dLbls>
          <c:dLblPos val="outEnd"/>
          <c:showLegendKey val="0"/>
          <c:showVal val="1"/>
          <c:showCatName val="0"/>
          <c:showSerName val="0"/>
          <c:showPercent val="0"/>
          <c:showBubbleSize val="0"/>
        </c:dLbls>
        <c:gapWidth val="237"/>
        <c:overlap val="100"/>
        <c:axId val="1348637983"/>
        <c:axId val="377877887"/>
      </c:barChart>
      <c:catAx>
        <c:axId val="134863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877887"/>
        <c:crosses val="autoZero"/>
        <c:auto val="1"/>
        <c:lblAlgn val="ctr"/>
        <c:lblOffset val="100"/>
        <c:noMultiLvlLbl val="0"/>
      </c:catAx>
      <c:valAx>
        <c:axId val="377877887"/>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63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[REGENT'S SQUARE UNITS DATA AND PIVOTS_20231003 FOR PV CALCULATOR.xlsx]DASHBOARD (2)!PivotTable18</c:name>
    <c:fmtId val="14"/>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(2)'!$B$3</c:f>
              <c:strCache>
                <c:ptCount val="1"/>
                <c:pt idx="0">
                  <c:v>Count of Unit Selling Area</c:v>
                </c:pt>
              </c:strCache>
            </c:strRef>
          </c:tx>
          <c:spPr>
            <a:solidFill>
              <a:schemeClr val="accent5">
                <a:shade val="65000"/>
              </a:schemeClr>
            </a:solidFill>
            <a:ln>
              <a:noFill/>
            </a:ln>
            <a:effectLst/>
          </c:spPr>
          <c:invertIfNegative val="0"/>
          <c:cat>
            <c:strRef>
              <c:f>'DASHBOARD (2)'!$A$4:$A$36</c:f>
              <c:strCache>
                <c:ptCount val="32"/>
                <c:pt idx="0">
                  <c:v>75.00</c:v>
                </c:pt>
                <c:pt idx="1">
                  <c:v>106.00</c:v>
                </c:pt>
                <c:pt idx="2">
                  <c:v>108.00</c:v>
                </c:pt>
                <c:pt idx="3">
                  <c:v>110.00</c:v>
                </c:pt>
                <c:pt idx="4">
                  <c:v>111.00</c:v>
                </c:pt>
                <c:pt idx="5">
                  <c:v>112.00</c:v>
                </c:pt>
                <c:pt idx="6">
                  <c:v>116.00</c:v>
                </c:pt>
                <c:pt idx="7">
                  <c:v>117.00</c:v>
                </c:pt>
                <c:pt idx="8">
                  <c:v>119.00</c:v>
                </c:pt>
                <c:pt idx="9">
                  <c:v>120.00</c:v>
                </c:pt>
                <c:pt idx="10">
                  <c:v>121.00</c:v>
                </c:pt>
                <c:pt idx="11">
                  <c:v>122.00</c:v>
                </c:pt>
                <c:pt idx="12">
                  <c:v>135.00</c:v>
                </c:pt>
                <c:pt idx="13">
                  <c:v>153.00</c:v>
                </c:pt>
                <c:pt idx="14">
                  <c:v>155.00</c:v>
                </c:pt>
                <c:pt idx="15">
                  <c:v>157.00</c:v>
                </c:pt>
                <c:pt idx="16">
                  <c:v>158.00</c:v>
                </c:pt>
                <c:pt idx="17">
                  <c:v>160.00</c:v>
                </c:pt>
                <c:pt idx="18">
                  <c:v>161.00</c:v>
                </c:pt>
                <c:pt idx="19">
                  <c:v>170.00</c:v>
                </c:pt>
                <c:pt idx="20">
                  <c:v>172.00</c:v>
                </c:pt>
                <c:pt idx="21">
                  <c:v>173.00</c:v>
                </c:pt>
                <c:pt idx="22">
                  <c:v>174.00</c:v>
                </c:pt>
                <c:pt idx="23">
                  <c:v>176.00</c:v>
                </c:pt>
                <c:pt idx="24">
                  <c:v>201.00</c:v>
                </c:pt>
                <c:pt idx="25">
                  <c:v>204.00</c:v>
                </c:pt>
                <c:pt idx="26">
                  <c:v>222.00</c:v>
                </c:pt>
                <c:pt idx="27">
                  <c:v>224.00</c:v>
                </c:pt>
                <c:pt idx="28">
                  <c:v>228.00</c:v>
                </c:pt>
                <c:pt idx="29">
                  <c:v>301.00</c:v>
                </c:pt>
                <c:pt idx="30">
                  <c:v>309.00</c:v>
                </c:pt>
                <c:pt idx="31">
                  <c:v>344.00</c:v>
                </c:pt>
              </c:strCache>
            </c:strRef>
          </c:cat>
          <c:val>
            <c:numRef>
              <c:f>'DASHBOARD (2)'!$B$4:$B$36</c:f>
              <c:numCache>
                <c:formatCode>_(* #,##0_);_(* \(#,##0\);_(* "-"??_);_(@_)</c:formatCode>
                <c:ptCount val="32"/>
                <c:pt idx="0">
                  <c:v>3</c:v>
                </c:pt>
                <c:pt idx="1">
                  <c:v>6</c:v>
                </c:pt>
                <c:pt idx="2">
                  <c:v>2</c:v>
                </c:pt>
                <c:pt idx="3">
                  <c:v>9</c:v>
                </c:pt>
                <c:pt idx="4">
                  <c:v>5</c:v>
                </c:pt>
                <c:pt idx="5">
                  <c:v>1</c:v>
                </c:pt>
                <c:pt idx="6">
                  <c:v>8</c:v>
                </c:pt>
                <c:pt idx="7">
                  <c:v>6</c:v>
                </c:pt>
                <c:pt idx="8">
                  <c:v>5</c:v>
                </c:pt>
                <c:pt idx="9">
                  <c:v>2</c:v>
                </c:pt>
                <c:pt idx="10">
                  <c:v>5</c:v>
                </c:pt>
                <c:pt idx="11">
                  <c:v>1</c:v>
                </c:pt>
                <c:pt idx="12">
                  <c:v>1</c:v>
                </c:pt>
                <c:pt idx="13">
                  <c:v>5</c:v>
                </c:pt>
                <c:pt idx="14">
                  <c:v>5</c:v>
                </c:pt>
                <c:pt idx="15">
                  <c:v>2</c:v>
                </c:pt>
                <c:pt idx="16">
                  <c:v>5</c:v>
                </c:pt>
                <c:pt idx="17">
                  <c:v>9</c:v>
                </c:pt>
                <c:pt idx="18">
                  <c:v>11</c:v>
                </c:pt>
                <c:pt idx="19">
                  <c:v>14</c:v>
                </c:pt>
                <c:pt idx="20">
                  <c:v>2</c:v>
                </c:pt>
                <c:pt idx="21">
                  <c:v>8</c:v>
                </c:pt>
                <c:pt idx="22">
                  <c:v>4</c:v>
                </c:pt>
                <c:pt idx="23">
                  <c:v>10</c:v>
                </c:pt>
                <c:pt idx="24">
                  <c:v>2</c:v>
                </c:pt>
                <c:pt idx="25">
                  <c:v>4</c:v>
                </c:pt>
                <c:pt idx="26">
                  <c:v>2</c:v>
                </c:pt>
                <c:pt idx="27">
                  <c:v>2</c:v>
                </c:pt>
                <c:pt idx="28">
                  <c:v>1</c:v>
                </c:pt>
                <c:pt idx="29">
                  <c:v>1</c:v>
                </c:pt>
                <c:pt idx="30">
                  <c:v>1</c:v>
                </c:pt>
                <c:pt idx="31">
                  <c:v>2</c:v>
                </c:pt>
              </c:numCache>
            </c:numRef>
          </c:val>
          <c:extLst>
            <c:ext xmlns:c16="http://schemas.microsoft.com/office/drawing/2014/chart" uri="{C3380CC4-5D6E-409C-BE32-E72D297353CC}">
              <c16:uniqueId val="{00000000-4AB6-43CF-8E35-5B302B968662}"/>
            </c:ext>
          </c:extLst>
        </c:ser>
        <c:dLbls>
          <c:showLegendKey val="0"/>
          <c:showVal val="0"/>
          <c:showCatName val="0"/>
          <c:showSerName val="0"/>
          <c:showPercent val="0"/>
          <c:showBubbleSize val="0"/>
        </c:dLbls>
        <c:gapWidth val="219"/>
        <c:overlap val="-27"/>
        <c:axId val="230296159"/>
        <c:axId val="230296639"/>
      </c:barChart>
      <c:lineChart>
        <c:grouping val="stacked"/>
        <c:varyColors val="0"/>
        <c:ser>
          <c:idx val="1"/>
          <c:order val="1"/>
          <c:tx>
            <c:strRef>
              <c:f>'DASHBOARD (2)'!$C$3</c:f>
              <c:strCache>
                <c:ptCount val="1"/>
                <c:pt idx="0">
                  <c:v>Min of TOTAL PREMIUM %</c:v>
                </c:pt>
              </c:strCache>
            </c:strRef>
          </c:tx>
          <c:spPr>
            <a:ln w="28575" cap="rnd">
              <a:solidFill>
                <a:schemeClr val="accent5"/>
              </a:solidFill>
              <a:round/>
            </a:ln>
            <a:effectLst/>
          </c:spPr>
          <c:marker>
            <c:symbol val="none"/>
          </c:marker>
          <c:cat>
            <c:strRef>
              <c:f>'DASHBOARD (2)'!$A$4:$A$36</c:f>
              <c:strCache>
                <c:ptCount val="32"/>
                <c:pt idx="0">
                  <c:v>75.00</c:v>
                </c:pt>
                <c:pt idx="1">
                  <c:v>106.00</c:v>
                </c:pt>
                <c:pt idx="2">
                  <c:v>108.00</c:v>
                </c:pt>
                <c:pt idx="3">
                  <c:v>110.00</c:v>
                </c:pt>
                <c:pt idx="4">
                  <c:v>111.00</c:v>
                </c:pt>
                <c:pt idx="5">
                  <c:v>112.00</c:v>
                </c:pt>
                <c:pt idx="6">
                  <c:v>116.00</c:v>
                </c:pt>
                <c:pt idx="7">
                  <c:v>117.00</c:v>
                </c:pt>
                <c:pt idx="8">
                  <c:v>119.00</c:v>
                </c:pt>
                <c:pt idx="9">
                  <c:v>120.00</c:v>
                </c:pt>
                <c:pt idx="10">
                  <c:v>121.00</c:v>
                </c:pt>
                <c:pt idx="11">
                  <c:v>122.00</c:v>
                </c:pt>
                <c:pt idx="12">
                  <c:v>135.00</c:v>
                </c:pt>
                <c:pt idx="13">
                  <c:v>153.00</c:v>
                </c:pt>
                <c:pt idx="14">
                  <c:v>155.00</c:v>
                </c:pt>
                <c:pt idx="15">
                  <c:v>157.00</c:v>
                </c:pt>
                <c:pt idx="16">
                  <c:v>158.00</c:v>
                </c:pt>
                <c:pt idx="17">
                  <c:v>160.00</c:v>
                </c:pt>
                <c:pt idx="18">
                  <c:v>161.00</c:v>
                </c:pt>
                <c:pt idx="19">
                  <c:v>170.00</c:v>
                </c:pt>
                <c:pt idx="20">
                  <c:v>172.00</c:v>
                </c:pt>
                <c:pt idx="21">
                  <c:v>173.00</c:v>
                </c:pt>
                <c:pt idx="22">
                  <c:v>174.00</c:v>
                </c:pt>
                <c:pt idx="23">
                  <c:v>176.00</c:v>
                </c:pt>
                <c:pt idx="24">
                  <c:v>201.00</c:v>
                </c:pt>
                <c:pt idx="25">
                  <c:v>204.00</c:v>
                </c:pt>
                <c:pt idx="26">
                  <c:v>222.00</c:v>
                </c:pt>
                <c:pt idx="27">
                  <c:v>224.00</c:v>
                </c:pt>
                <c:pt idx="28">
                  <c:v>228.00</c:v>
                </c:pt>
                <c:pt idx="29">
                  <c:v>301.00</c:v>
                </c:pt>
                <c:pt idx="30">
                  <c:v>309.00</c:v>
                </c:pt>
                <c:pt idx="31">
                  <c:v>344.00</c:v>
                </c:pt>
              </c:strCache>
            </c:strRef>
          </c:cat>
          <c:val>
            <c:numRef>
              <c:f>'DASHBOARD (2)'!$C$4:$C$36</c:f>
              <c:numCache>
                <c:formatCode>_(* #,##0_);_(* \(#,##0\);_(* "-"??_);_(@_)</c:formatCode>
                <c:ptCount val="32"/>
                <c:pt idx="0">
                  <c:v>0.35499999999999998</c:v>
                </c:pt>
                <c:pt idx="1">
                  <c:v>0.35499999999999998</c:v>
                </c:pt>
                <c:pt idx="2">
                  <c:v>0.32500000000000001</c:v>
                </c:pt>
                <c:pt idx="3">
                  <c:v>0.35499999999999998</c:v>
                </c:pt>
                <c:pt idx="4">
                  <c:v>0.27499999999999997</c:v>
                </c:pt>
                <c:pt idx="5">
                  <c:v>0.505</c:v>
                </c:pt>
                <c:pt idx="6">
                  <c:v>0.32499999999999996</c:v>
                </c:pt>
                <c:pt idx="7">
                  <c:v>0.34499999999999997</c:v>
                </c:pt>
                <c:pt idx="8">
                  <c:v>0.51500000000000001</c:v>
                </c:pt>
                <c:pt idx="9">
                  <c:v>0.35499999999999998</c:v>
                </c:pt>
                <c:pt idx="10">
                  <c:v>0.34499999999999997</c:v>
                </c:pt>
                <c:pt idx="11">
                  <c:v>0.55500000000000005</c:v>
                </c:pt>
                <c:pt idx="12">
                  <c:v>0.53500000000000003</c:v>
                </c:pt>
                <c:pt idx="13">
                  <c:v>0.33000000000000007</c:v>
                </c:pt>
                <c:pt idx="14">
                  <c:v>0.73</c:v>
                </c:pt>
                <c:pt idx="15">
                  <c:v>0.53500000000000003</c:v>
                </c:pt>
                <c:pt idx="16">
                  <c:v>0.35499999999999998</c:v>
                </c:pt>
                <c:pt idx="17">
                  <c:v>0.34</c:v>
                </c:pt>
                <c:pt idx="18">
                  <c:v>0.33500000000000002</c:v>
                </c:pt>
                <c:pt idx="19">
                  <c:v>0.32</c:v>
                </c:pt>
                <c:pt idx="20">
                  <c:v>0.54</c:v>
                </c:pt>
                <c:pt idx="21">
                  <c:v>0.33</c:v>
                </c:pt>
                <c:pt idx="22">
                  <c:v>0.35000000000000003</c:v>
                </c:pt>
                <c:pt idx="23">
                  <c:v>0.33500000000000002</c:v>
                </c:pt>
                <c:pt idx="24">
                  <c:v>0.73000000000000009</c:v>
                </c:pt>
                <c:pt idx="25">
                  <c:v>0.74</c:v>
                </c:pt>
                <c:pt idx="26">
                  <c:v>0.73499999999999999</c:v>
                </c:pt>
                <c:pt idx="27">
                  <c:v>0.745</c:v>
                </c:pt>
                <c:pt idx="28">
                  <c:v>0.73499999999999999</c:v>
                </c:pt>
                <c:pt idx="29">
                  <c:v>0.58500000000000008</c:v>
                </c:pt>
                <c:pt idx="30">
                  <c:v>0.58500000000000008</c:v>
                </c:pt>
                <c:pt idx="31">
                  <c:v>0.68500000000000005</c:v>
                </c:pt>
              </c:numCache>
            </c:numRef>
          </c:val>
          <c:smooth val="0"/>
          <c:extLst>
            <c:ext xmlns:c16="http://schemas.microsoft.com/office/drawing/2014/chart" uri="{C3380CC4-5D6E-409C-BE32-E72D297353CC}">
              <c16:uniqueId val="{00000001-4AB6-43CF-8E35-5B302B968662}"/>
            </c:ext>
          </c:extLst>
        </c:ser>
        <c:ser>
          <c:idx val="2"/>
          <c:order val="2"/>
          <c:tx>
            <c:strRef>
              <c:f>'DASHBOARD (2)'!$D$3</c:f>
              <c:strCache>
                <c:ptCount val="1"/>
                <c:pt idx="0">
                  <c:v>Max of TOTAL PREMIUM %</c:v>
                </c:pt>
              </c:strCache>
            </c:strRef>
          </c:tx>
          <c:spPr>
            <a:ln w="28575" cap="rnd">
              <a:solidFill>
                <a:schemeClr val="accent5">
                  <a:tint val="65000"/>
                </a:schemeClr>
              </a:solidFill>
              <a:round/>
            </a:ln>
            <a:effectLst/>
          </c:spPr>
          <c:marker>
            <c:symbol val="none"/>
          </c:marker>
          <c:cat>
            <c:strRef>
              <c:f>'DASHBOARD (2)'!$A$4:$A$36</c:f>
              <c:strCache>
                <c:ptCount val="32"/>
                <c:pt idx="0">
                  <c:v>75.00</c:v>
                </c:pt>
                <c:pt idx="1">
                  <c:v>106.00</c:v>
                </c:pt>
                <c:pt idx="2">
                  <c:v>108.00</c:v>
                </c:pt>
                <c:pt idx="3">
                  <c:v>110.00</c:v>
                </c:pt>
                <c:pt idx="4">
                  <c:v>111.00</c:v>
                </c:pt>
                <c:pt idx="5">
                  <c:v>112.00</c:v>
                </c:pt>
                <c:pt idx="6">
                  <c:v>116.00</c:v>
                </c:pt>
                <c:pt idx="7">
                  <c:v>117.00</c:v>
                </c:pt>
                <c:pt idx="8">
                  <c:v>119.00</c:v>
                </c:pt>
                <c:pt idx="9">
                  <c:v>120.00</c:v>
                </c:pt>
                <c:pt idx="10">
                  <c:v>121.00</c:v>
                </c:pt>
                <c:pt idx="11">
                  <c:v>122.00</c:v>
                </c:pt>
                <c:pt idx="12">
                  <c:v>135.00</c:v>
                </c:pt>
                <c:pt idx="13">
                  <c:v>153.00</c:v>
                </c:pt>
                <c:pt idx="14">
                  <c:v>155.00</c:v>
                </c:pt>
                <c:pt idx="15">
                  <c:v>157.00</c:v>
                </c:pt>
                <c:pt idx="16">
                  <c:v>158.00</c:v>
                </c:pt>
                <c:pt idx="17">
                  <c:v>160.00</c:v>
                </c:pt>
                <c:pt idx="18">
                  <c:v>161.00</c:v>
                </c:pt>
                <c:pt idx="19">
                  <c:v>170.00</c:v>
                </c:pt>
                <c:pt idx="20">
                  <c:v>172.00</c:v>
                </c:pt>
                <c:pt idx="21">
                  <c:v>173.00</c:v>
                </c:pt>
                <c:pt idx="22">
                  <c:v>174.00</c:v>
                </c:pt>
                <c:pt idx="23">
                  <c:v>176.00</c:v>
                </c:pt>
                <c:pt idx="24">
                  <c:v>201.00</c:v>
                </c:pt>
                <c:pt idx="25">
                  <c:v>204.00</c:v>
                </c:pt>
                <c:pt idx="26">
                  <c:v>222.00</c:v>
                </c:pt>
                <c:pt idx="27">
                  <c:v>224.00</c:v>
                </c:pt>
                <c:pt idx="28">
                  <c:v>228.00</c:v>
                </c:pt>
                <c:pt idx="29">
                  <c:v>301.00</c:v>
                </c:pt>
                <c:pt idx="30">
                  <c:v>309.00</c:v>
                </c:pt>
                <c:pt idx="31">
                  <c:v>344.00</c:v>
                </c:pt>
              </c:strCache>
            </c:strRef>
          </c:cat>
          <c:val>
            <c:numRef>
              <c:f>'DASHBOARD (2)'!$D$4:$D$36</c:f>
              <c:numCache>
                <c:formatCode>_(* #,##0_);_(* \(#,##0\);_(* "-"??_);_(@_)</c:formatCode>
                <c:ptCount val="32"/>
                <c:pt idx="0">
                  <c:v>0.35499999999999998</c:v>
                </c:pt>
                <c:pt idx="1">
                  <c:v>0.35499999999999998</c:v>
                </c:pt>
                <c:pt idx="2">
                  <c:v>0.34500000000000003</c:v>
                </c:pt>
                <c:pt idx="3">
                  <c:v>0.74500000000000011</c:v>
                </c:pt>
                <c:pt idx="4">
                  <c:v>0.58499999999999996</c:v>
                </c:pt>
                <c:pt idx="5">
                  <c:v>0.505</c:v>
                </c:pt>
                <c:pt idx="6">
                  <c:v>0.35499999999999998</c:v>
                </c:pt>
                <c:pt idx="7">
                  <c:v>0.58499999999999996</c:v>
                </c:pt>
                <c:pt idx="8">
                  <c:v>0.74500000000000011</c:v>
                </c:pt>
                <c:pt idx="9">
                  <c:v>0.35499999999999998</c:v>
                </c:pt>
                <c:pt idx="10">
                  <c:v>0.58499999999999996</c:v>
                </c:pt>
                <c:pt idx="11">
                  <c:v>0.55500000000000005</c:v>
                </c:pt>
                <c:pt idx="12">
                  <c:v>0.53500000000000003</c:v>
                </c:pt>
                <c:pt idx="13">
                  <c:v>0.36</c:v>
                </c:pt>
                <c:pt idx="14">
                  <c:v>0.73</c:v>
                </c:pt>
                <c:pt idx="15">
                  <c:v>0.58500000000000008</c:v>
                </c:pt>
                <c:pt idx="16">
                  <c:v>0.745</c:v>
                </c:pt>
                <c:pt idx="17">
                  <c:v>0.745</c:v>
                </c:pt>
                <c:pt idx="18">
                  <c:v>0.745</c:v>
                </c:pt>
                <c:pt idx="19">
                  <c:v>0.58250000000000002</c:v>
                </c:pt>
                <c:pt idx="20">
                  <c:v>0.58000000000000007</c:v>
                </c:pt>
                <c:pt idx="21">
                  <c:v>0.52500000000000002</c:v>
                </c:pt>
                <c:pt idx="22">
                  <c:v>0.7400000000000001</c:v>
                </c:pt>
                <c:pt idx="23">
                  <c:v>0.745</c:v>
                </c:pt>
                <c:pt idx="24">
                  <c:v>0.73000000000000009</c:v>
                </c:pt>
                <c:pt idx="25">
                  <c:v>0.74</c:v>
                </c:pt>
                <c:pt idx="26">
                  <c:v>0.73499999999999999</c:v>
                </c:pt>
                <c:pt idx="27">
                  <c:v>0.745</c:v>
                </c:pt>
                <c:pt idx="28">
                  <c:v>0.73499999999999999</c:v>
                </c:pt>
                <c:pt idx="29">
                  <c:v>0.58500000000000008</c:v>
                </c:pt>
                <c:pt idx="30">
                  <c:v>0.58500000000000008</c:v>
                </c:pt>
                <c:pt idx="31">
                  <c:v>0.7350000000000001</c:v>
                </c:pt>
              </c:numCache>
            </c:numRef>
          </c:val>
          <c:smooth val="0"/>
          <c:extLst>
            <c:ext xmlns:c16="http://schemas.microsoft.com/office/drawing/2014/chart" uri="{C3380CC4-5D6E-409C-BE32-E72D297353CC}">
              <c16:uniqueId val="{00000002-4AB6-43CF-8E35-5B302B968662}"/>
            </c:ext>
          </c:extLst>
        </c:ser>
        <c:dLbls>
          <c:showLegendKey val="0"/>
          <c:showVal val="0"/>
          <c:showCatName val="0"/>
          <c:showSerName val="0"/>
          <c:showPercent val="0"/>
          <c:showBubbleSize val="0"/>
        </c:dLbls>
        <c:marker val="1"/>
        <c:smooth val="0"/>
        <c:axId val="230302879"/>
        <c:axId val="230318239"/>
      </c:lineChart>
      <c:catAx>
        <c:axId val="23029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296639"/>
        <c:crosses val="autoZero"/>
        <c:auto val="1"/>
        <c:lblAlgn val="ctr"/>
        <c:lblOffset val="100"/>
        <c:noMultiLvlLbl val="0"/>
      </c:catAx>
      <c:valAx>
        <c:axId val="23029663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296159"/>
        <c:crosses val="autoZero"/>
        <c:crossBetween val="between"/>
      </c:valAx>
      <c:valAx>
        <c:axId val="230318239"/>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302879"/>
        <c:crosses val="max"/>
        <c:crossBetween val="between"/>
      </c:valAx>
      <c:catAx>
        <c:axId val="230302879"/>
        <c:scaling>
          <c:orientation val="minMax"/>
        </c:scaling>
        <c:delete val="1"/>
        <c:axPos val="b"/>
        <c:numFmt formatCode="General" sourceLinked="1"/>
        <c:majorTickMark val="out"/>
        <c:minorTickMark val="none"/>
        <c:tickLblPos val="nextTo"/>
        <c:crossAx val="2303182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baseline="0">
                <a:solidFill>
                  <a:schemeClr val="dk1">
                    <a:lumMod val="75000"/>
                    <a:lumOff val="25000"/>
                  </a:schemeClr>
                </a:solidFill>
                <a:latin typeface="+mn-lt"/>
                <a:ea typeface="+mn-ea"/>
                <a:cs typeface="+mn-cs"/>
              </a:defRPr>
            </a:pPr>
            <a:r>
              <a:rPr lang="en-US" sz="1200" b="0" i="0" u="none" strike="noStrike" baseline="0">
                <a:solidFill>
                  <a:schemeClr val="tx1">
                    <a:lumMod val="50000"/>
                    <a:lumOff val="50000"/>
                  </a:schemeClr>
                </a:solidFill>
                <a:latin typeface="Calibri" panose="020F0502020204030204"/>
              </a:rPr>
              <a:t> Premium Distribution</a:t>
            </a:r>
          </a:p>
        </c:rich>
      </c:tx>
      <c:overlay val="0"/>
      <c:spPr>
        <a:noFill/>
        <a:ln>
          <a:noFill/>
        </a:ln>
        <a:effectLst/>
      </c:spPr>
      <c:txPr>
        <a:bodyPr rot="0" spcFirstLastPara="1" vertOverflow="ellipsis" vert="horz" wrap="square" anchor="ctr" anchorCtr="1"/>
        <a:lstStyle/>
        <a:p>
          <a:pPr>
            <a:defRPr sz="1800" b="1" i="0" u="none" strike="noStrike"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'PREMIUM TABLES'!$H$152</c:f>
              <c:strCache>
                <c:ptCount val="1"/>
                <c:pt idx="0">
                  <c:v>Premium %</c:v>
                </c:pt>
              </c:strCache>
            </c:strRef>
          </c:tx>
          <c:dPt>
            <c:idx val="0"/>
            <c:bubble3D val="0"/>
            <c:spPr>
              <a:solidFill>
                <a:schemeClr val="accent5">
                  <a:shade val="53000"/>
                </a:schemeClr>
              </a:solidFill>
              <a:ln>
                <a:noFill/>
              </a:ln>
              <a:effectLst/>
            </c:spPr>
            <c:extLst>
              <c:ext xmlns:c16="http://schemas.microsoft.com/office/drawing/2014/chart" uri="{C3380CC4-5D6E-409C-BE32-E72D297353CC}">
                <c16:uniqueId val="{00000001-4030-4D9F-AB1D-09EA2C4C8439}"/>
              </c:ext>
            </c:extLst>
          </c:dPt>
          <c:dPt>
            <c:idx val="1"/>
            <c:bubble3D val="0"/>
            <c:spPr>
              <a:solidFill>
                <a:schemeClr val="accent5">
                  <a:shade val="76000"/>
                </a:schemeClr>
              </a:solidFill>
              <a:ln>
                <a:noFill/>
              </a:ln>
              <a:effectLst/>
            </c:spPr>
            <c:extLst>
              <c:ext xmlns:c16="http://schemas.microsoft.com/office/drawing/2014/chart" uri="{C3380CC4-5D6E-409C-BE32-E72D297353CC}">
                <c16:uniqueId val="{00000003-4030-4D9F-AB1D-09EA2C4C8439}"/>
              </c:ext>
            </c:extLst>
          </c:dPt>
          <c:dPt>
            <c:idx val="2"/>
            <c:bubble3D val="0"/>
            <c:spPr>
              <a:solidFill>
                <a:schemeClr val="accent5"/>
              </a:solidFill>
              <a:ln>
                <a:noFill/>
              </a:ln>
              <a:effectLst/>
            </c:spPr>
            <c:extLst>
              <c:ext xmlns:c16="http://schemas.microsoft.com/office/drawing/2014/chart" uri="{C3380CC4-5D6E-409C-BE32-E72D297353CC}">
                <c16:uniqueId val="{00000005-4030-4D9F-AB1D-09EA2C4C8439}"/>
              </c:ext>
            </c:extLst>
          </c:dPt>
          <c:dPt>
            <c:idx val="3"/>
            <c:bubble3D val="0"/>
            <c:spPr>
              <a:solidFill>
                <a:schemeClr val="accent5">
                  <a:tint val="77000"/>
                </a:schemeClr>
              </a:solidFill>
              <a:ln>
                <a:noFill/>
              </a:ln>
              <a:effectLst/>
            </c:spPr>
            <c:extLst>
              <c:ext xmlns:c16="http://schemas.microsoft.com/office/drawing/2014/chart" uri="{C3380CC4-5D6E-409C-BE32-E72D297353CC}">
                <c16:uniqueId val="{00000007-4030-4D9F-AB1D-09EA2C4C8439}"/>
              </c:ext>
            </c:extLst>
          </c:dPt>
          <c:dPt>
            <c:idx val="4"/>
            <c:bubble3D val="0"/>
            <c:spPr>
              <a:solidFill>
                <a:schemeClr val="accent5">
                  <a:tint val="54000"/>
                </a:schemeClr>
              </a:solidFill>
              <a:ln>
                <a:noFill/>
              </a:ln>
              <a:effectLst/>
            </c:spPr>
            <c:extLst>
              <c:ext xmlns:c16="http://schemas.microsoft.com/office/drawing/2014/chart" uri="{C3380CC4-5D6E-409C-BE32-E72D297353CC}">
                <c16:uniqueId val="{00000009-4030-4D9F-AB1D-09EA2C4C84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'PREMIUM TABLES'!$G$153:$G$157</c:f>
              <c:strCache>
                <c:ptCount val="5"/>
                <c:pt idx="0">
                  <c:v>View</c:v>
                </c:pt>
                <c:pt idx="1">
                  <c:v>Orientation</c:v>
                </c:pt>
                <c:pt idx="2">
                  <c:v>Floor</c:v>
                </c:pt>
                <c:pt idx="3">
                  <c:v>Internal Location</c:v>
                </c:pt>
                <c:pt idx="4">
                  <c:v>Area</c:v>
                </c:pt>
              </c:strCache>
            </c:strRef>
          </c:cat>
          <c:val>
            <c:numRef>
              <c:f>'PREMIUM TABLES'!$H$153:$H$157</c:f>
              <c:numCache>
                <c:formatCode>0%</c:formatCode>
                <c:ptCount val="5"/>
                <c:pt idx="0">
                  <c:v>0.6</c:v>
                </c:pt>
                <c:pt idx="1">
                  <c:v>0.15</c:v>
                </c:pt>
                <c:pt idx="2">
                  <c:v>0.15</c:v>
                </c:pt>
                <c:pt idx="3">
                  <c:v>0.05</c:v>
                </c:pt>
                <c:pt idx="4">
                  <c:v>0.05</c:v>
                </c:pt>
              </c:numCache>
            </c:numRef>
          </c:val>
          <c:extLst>
            <c:ext xmlns:c16="http://schemas.microsoft.com/office/drawing/2014/chart" uri="{C3380CC4-5D6E-409C-BE32-E72D297353CC}">
              <c16:uniqueId val="{0000000A-4030-4D9F-AB1D-09EA2C4C843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baseline="0">
                <a:solidFill>
                  <a:schemeClr val="dk1">
                    <a:lumMod val="75000"/>
                    <a:lumOff val="25000"/>
                  </a:schemeClr>
                </a:solidFill>
                <a:latin typeface="+mn-lt"/>
                <a:ea typeface="+mn-ea"/>
                <a:cs typeface="+mn-cs"/>
              </a:defRPr>
            </a:pPr>
            <a:r>
              <a:rPr lang="en-US" sz="1200" b="0" i="0" u="none" strike="noStrike" baseline="0">
                <a:solidFill>
                  <a:schemeClr val="tx1">
                    <a:lumMod val="50000"/>
                    <a:lumOff val="50000"/>
                  </a:schemeClr>
                </a:solidFill>
                <a:latin typeface="Calibri" panose="020F0502020204030204"/>
              </a:rPr>
              <a:t>Floor Premium</a:t>
            </a:r>
          </a:p>
        </c:rich>
      </c:tx>
      <c:overlay val="0"/>
      <c:spPr>
        <a:noFill/>
        <a:ln>
          <a:noFill/>
        </a:ln>
        <a:effectLst/>
      </c:spPr>
      <c:txPr>
        <a:bodyPr rot="0" spcFirstLastPara="1" vertOverflow="ellipsis" vert="horz" wrap="square" anchor="ctr" anchorCtr="1"/>
        <a:lstStyle/>
        <a:p>
          <a:pPr>
            <a:defRPr sz="1800" b="1" i="0" u="none" strike="noStrike"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'[1]PREMIUM TABLES'!$H$104</c:f>
              <c:strCache>
                <c:ptCount val="1"/>
                <c:pt idx="0">
                  <c:v>Premium %</c:v>
                </c:pt>
              </c:strCache>
            </c:strRef>
          </c:tx>
          <c:dPt>
            <c:idx val="0"/>
            <c:bubble3D val="0"/>
            <c:spPr>
              <a:solidFill>
                <a:schemeClr val="accent5">
                  <a:shade val="53000"/>
                </a:schemeClr>
              </a:solidFill>
              <a:ln>
                <a:noFill/>
              </a:ln>
              <a:effectLst/>
            </c:spPr>
            <c:extLst>
              <c:ext xmlns:c16="http://schemas.microsoft.com/office/drawing/2014/chart" uri="{C3380CC4-5D6E-409C-BE32-E72D297353CC}">
                <c16:uniqueId val="{00000001-EE6B-494B-B0C8-3C1E3E3533FB}"/>
              </c:ext>
            </c:extLst>
          </c:dPt>
          <c:dPt>
            <c:idx val="1"/>
            <c:bubble3D val="0"/>
            <c:spPr>
              <a:solidFill>
                <a:schemeClr val="accent5">
                  <a:shade val="76000"/>
                </a:schemeClr>
              </a:solidFill>
              <a:ln>
                <a:noFill/>
              </a:ln>
              <a:effectLst/>
            </c:spPr>
            <c:extLst>
              <c:ext xmlns:c16="http://schemas.microsoft.com/office/drawing/2014/chart" uri="{C3380CC4-5D6E-409C-BE32-E72D297353CC}">
                <c16:uniqueId val="{00000003-EE6B-494B-B0C8-3C1E3E3533FB}"/>
              </c:ext>
            </c:extLst>
          </c:dPt>
          <c:dPt>
            <c:idx val="2"/>
            <c:bubble3D val="0"/>
            <c:spPr>
              <a:solidFill>
                <a:schemeClr val="accent5"/>
              </a:solidFill>
              <a:ln>
                <a:noFill/>
              </a:ln>
              <a:effectLst/>
            </c:spPr>
            <c:extLst>
              <c:ext xmlns:c16="http://schemas.microsoft.com/office/drawing/2014/chart" uri="{C3380CC4-5D6E-409C-BE32-E72D297353CC}">
                <c16:uniqueId val="{00000005-EE6B-494B-B0C8-3C1E3E3533FB}"/>
              </c:ext>
            </c:extLst>
          </c:dPt>
          <c:dPt>
            <c:idx val="3"/>
            <c:bubble3D val="0"/>
            <c:spPr>
              <a:solidFill>
                <a:schemeClr val="accent5">
                  <a:tint val="77000"/>
                </a:schemeClr>
              </a:solidFill>
              <a:ln>
                <a:noFill/>
              </a:ln>
              <a:effectLst/>
            </c:spPr>
            <c:extLst>
              <c:ext xmlns:c16="http://schemas.microsoft.com/office/drawing/2014/chart" uri="{C3380CC4-5D6E-409C-BE32-E72D297353CC}">
                <c16:uniqueId val="{00000007-EE6B-494B-B0C8-3C1E3E3533FB}"/>
              </c:ext>
            </c:extLst>
          </c:dPt>
          <c:dPt>
            <c:idx val="4"/>
            <c:bubble3D val="0"/>
            <c:spPr>
              <a:solidFill>
                <a:schemeClr val="accent5">
                  <a:tint val="54000"/>
                </a:schemeClr>
              </a:solidFill>
              <a:ln>
                <a:noFill/>
              </a:ln>
              <a:effectLst/>
            </c:spPr>
            <c:extLst>
              <c:ext xmlns:c16="http://schemas.microsoft.com/office/drawing/2014/chart" uri="{C3380CC4-5D6E-409C-BE32-E72D297353CC}">
                <c16:uniqueId val="{00000009-EE6B-494B-B0C8-3C1E3E3533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'[1]PREMIUM TABLES'!$G$105:$G$109</c:f>
              <c:strCache>
                <c:ptCount val="5"/>
                <c:pt idx="0">
                  <c:v>View</c:v>
                </c:pt>
                <c:pt idx="1">
                  <c:v>Orientation</c:v>
                </c:pt>
                <c:pt idx="2">
                  <c:v>Floor</c:v>
                </c:pt>
                <c:pt idx="3">
                  <c:v>Internal Location</c:v>
                </c:pt>
                <c:pt idx="4">
                  <c:v>Area</c:v>
                </c:pt>
              </c:strCache>
            </c:strRef>
          </c:cat>
          <c:val>
            <c:numRef>
              <c:f>'[1]PREMIUM TABLES'!$H$105:$H$109</c:f>
              <c:numCache>
                <c:formatCode>General</c:formatCode>
                <c:ptCount val="5"/>
                <c:pt idx="0">
                  <c:v>0.6</c:v>
                </c:pt>
                <c:pt idx="1">
                  <c:v>0.15</c:v>
                </c:pt>
                <c:pt idx="2">
                  <c:v>0.15</c:v>
                </c:pt>
                <c:pt idx="3">
                  <c:v>0.05</c:v>
                </c:pt>
                <c:pt idx="4">
                  <c:v>0.05</c:v>
                </c:pt>
              </c:numCache>
            </c:numRef>
          </c:val>
          <c:extLst>
            <c:ext xmlns:c16="http://schemas.microsoft.com/office/drawing/2014/chart" uri="{C3380CC4-5D6E-409C-BE32-E72D297353CC}">
              <c16:uniqueId val="{0000000A-EE6B-494B-B0C8-3C1E3E3533F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[REGENT'S SQUARE UNITS DATA AND PIVOTS_20231003 FOR PV CALCULATOR.xlsx]PIVOT!PivotTable5</c:name>
    <c:fmtId val="0"/>
  </c:pivotSource>
  <c:chart>
    <c:autoTitleDeleted val="1"/>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5"/>
              </a:solidFill>
              <a:round/>
            </a:ln>
            <a:effectLst/>
          </c:spPr>
          <c:marker>
            <c:symbol val="none"/>
          </c:marker>
          <c:cat>
            <c:strRef>
              <c:f>PIVOT!$A$4:$A$221</c:f>
              <c:strCache>
                <c:ptCount val="217"/>
                <c:pt idx="0">
                  <c:v>27.50%</c:v>
                </c:pt>
                <c:pt idx="1">
                  <c:v>28.50%</c:v>
                </c:pt>
                <c:pt idx="2">
                  <c:v>31.00%</c:v>
                </c:pt>
                <c:pt idx="3">
                  <c:v>32.00%</c:v>
                </c:pt>
                <c:pt idx="4">
                  <c:v>32.00%</c:v>
                </c:pt>
                <c:pt idx="5">
                  <c:v>32.50%</c:v>
                </c:pt>
                <c:pt idx="6">
                  <c:v>32.50%</c:v>
                </c:pt>
                <c:pt idx="7">
                  <c:v>33.00%</c:v>
                </c:pt>
                <c:pt idx="8">
                  <c:v>33.00%</c:v>
                </c:pt>
                <c:pt idx="9">
                  <c:v>33.50%</c:v>
                </c:pt>
                <c:pt idx="10">
                  <c:v>34.00%</c:v>
                </c:pt>
                <c:pt idx="11">
                  <c:v>34.50%</c:v>
                </c:pt>
                <c:pt idx="12">
                  <c:v>34.50%</c:v>
                </c:pt>
                <c:pt idx="13">
                  <c:v>35.00%</c:v>
                </c:pt>
                <c:pt idx="14">
                  <c:v>35.50%</c:v>
                </c:pt>
                <c:pt idx="15">
                  <c:v>35.50%</c:v>
                </c:pt>
                <c:pt idx="16">
                  <c:v>36.00%</c:v>
                </c:pt>
                <c:pt idx="17">
                  <c:v>36.00%</c:v>
                </c:pt>
                <c:pt idx="18">
                  <c:v>36.50%</c:v>
                </c:pt>
                <c:pt idx="19">
                  <c:v>36.50%</c:v>
                </c:pt>
                <c:pt idx="20">
                  <c:v>37.00%</c:v>
                </c:pt>
                <c:pt idx="21">
                  <c:v>37.00%</c:v>
                </c:pt>
                <c:pt idx="22">
                  <c:v>37.50%</c:v>
                </c:pt>
                <c:pt idx="23">
                  <c:v>37.50%</c:v>
                </c:pt>
                <c:pt idx="24">
                  <c:v>38.00%</c:v>
                </c:pt>
                <c:pt idx="25">
                  <c:v>38.50%</c:v>
                </c:pt>
                <c:pt idx="26">
                  <c:v>38.50%</c:v>
                </c:pt>
                <c:pt idx="27">
                  <c:v>39.00%</c:v>
                </c:pt>
                <c:pt idx="28">
                  <c:v>39.50%</c:v>
                </c:pt>
                <c:pt idx="29">
                  <c:v>39.50%</c:v>
                </c:pt>
                <c:pt idx="30">
                  <c:v>40.00%</c:v>
                </c:pt>
                <c:pt idx="31">
                  <c:v>40.00%</c:v>
                </c:pt>
                <c:pt idx="32">
                  <c:v>40.50%</c:v>
                </c:pt>
                <c:pt idx="33">
                  <c:v>40.50%</c:v>
                </c:pt>
                <c:pt idx="34">
                  <c:v>41.00%</c:v>
                </c:pt>
                <c:pt idx="35">
                  <c:v>41.50%</c:v>
                </c:pt>
                <c:pt idx="36">
                  <c:v>41.50%</c:v>
                </c:pt>
                <c:pt idx="37">
                  <c:v>41.50%</c:v>
                </c:pt>
                <c:pt idx="38">
                  <c:v>42.00%</c:v>
                </c:pt>
                <c:pt idx="39">
                  <c:v>42.00%</c:v>
                </c:pt>
                <c:pt idx="40">
                  <c:v>42.50%</c:v>
                </c:pt>
                <c:pt idx="41">
                  <c:v>42.50%</c:v>
                </c:pt>
                <c:pt idx="42">
                  <c:v>42.50%</c:v>
                </c:pt>
                <c:pt idx="43">
                  <c:v>43.00%</c:v>
                </c:pt>
                <c:pt idx="44">
                  <c:v>43.00%</c:v>
                </c:pt>
                <c:pt idx="45">
                  <c:v>43.50%</c:v>
                </c:pt>
                <c:pt idx="46">
                  <c:v>43.50%</c:v>
                </c:pt>
                <c:pt idx="47">
                  <c:v>43.50%</c:v>
                </c:pt>
                <c:pt idx="48">
                  <c:v>44.00%</c:v>
                </c:pt>
                <c:pt idx="49">
                  <c:v>44.00%</c:v>
                </c:pt>
                <c:pt idx="50">
                  <c:v>44.50%</c:v>
                </c:pt>
                <c:pt idx="51">
                  <c:v>44.50%</c:v>
                </c:pt>
                <c:pt idx="52">
                  <c:v>45.00%</c:v>
                </c:pt>
                <c:pt idx="53">
                  <c:v>45.00%</c:v>
                </c:pt>
                <c:pt idx="54">
                  <c:v>45.50%</c:v>
                </c:pt>
                <c:pt idx="55">
                  <c:v>45.50%</c:v>
                </c:pt>
                <c:pt idx="56">
                  <c:v>46.00%</c:v>
                </c:pt>
                <c:pt idx="57">
                  <c:v>46.50%</c:v>
                </c:pt>
                <c:pt idx="58">
                  <c:v>46.50%</c:v>
                </c:pt>
                <c:pt idx="59">
                  <c:v>47.00%</c:v>
                </c:pt>
                <c:pt idx="60">
                  <c:v>47.00%</c:v>
                </c:pt>
                <c:pt idx="61">
                  <c:v>47.50%</c:v>
                </c:pt>
                <c:pt idx="62">
                  <c:v>47.50%</c:v>
                </c:pt>
                <c:pt idx="63">
                  <c:v>47.50%</c:v>
                </c:pt>
                <c:pt idx="64">
                  <c:v>48.00%</c:v>
                </c:pt>
                <c:pt idx="65">
                  <c:v>48.50%</c:v>
                </c:pt>
                <c:pt idx="66">
                  <c:v>48.50%</c:v>
                </c:pt>
                <c:pt idx="67">
                  <c:v>48.50%</c:v>
                </c:pt>
                <c:pt idx="68">
                  <c:v>49.00%</c:v>
                </c:pt>
                <c:pt idx="69">
                  <c:v>49.00%</c:v>
                </c:pt>
                <c:pt idx="70">
                  <c:v>49.50%</c:v>
                </c:pt>
                <c:pt idx="71">
                  <c:v>50.00%</c:v>
                </c:pt>
                <c:pt idx="72">
                  <c:v>50.50%</c:v>
                </c:pt>
                <c:pt idx="73">
                  <c:v>51.00%</c:v>
                </c:pt>
                <c:pt idx="74">
                  <c:v>51.50%</c:v>
                </c:pt>
                <c:pt idx="75">
                  <c:v>52.50%</c:v>
                </c:pt>
                <c:pt idx="76">
                  <c:v>53.50%</c:v>
                </c:pt>
                <c:pt idx="77">
                  <c:v>54.00%</c:v>
                </c:pt>
                <c:pt idx="78">
                  <c:v>54.50%</c:v>
                </c:pt>
                <c:pt idx="79">
                  <c:v>55.00%</c:v>
                </c:pt>
                <c:pt idx="80">
                  <c:v>55.50%</c:v>
                </c:pt>
                <c:pt idx="81">
                  <c:v>56.00%</c:v>
                </c:pt>
                <c:pt idx="82">
                  <c:v>56.00%</c:v>
                </c:pt>
                <c:pt idx="83">
                  <c:v>56.50%</c:v>
                </c:pt>
                <c:pt idx="84">
                  <c:v>57.00%</c:v>
                </c:pt>
                <c:pt idx="85">
                  <c:v>57.00%</c:v>
                </c:pt>
                <c:pt idx="86">
                  <c:v>57.50%</c:v>
                </c:pt>
                <c:pt idx="87">
                  <c:v>57.75%</c:v>
                </c:pt>
                <c:pt idx="88">
                  <c:v>58.00%</c:v>
                </c:pt>
                <c:pt idx="89">
                  <c:v>58.25%</c:v>
                </c:pt>
                <c:pt idx="90">
                  <c:v>58.50%</c:v>
                </c:pt>
                <c:pt idx="91">
                  <c:v>58.50%</c:v>
                </c:pt>
                <c:pt idx="92">
                  <c:v>58.75%</c:v>
                </c:pt>
                <c:pt idx="93">
                  <c:v>59.50%</c:v>
                </c:pt>
                <c:pt idx="94">
                  <c:v>59.50%</c:v>
                </c:pt>
                <c:pt idx="95">
                  <c:v>59.75%</c:v>
                </c:pt>
                <c:pt idx="96">
                  <c:v>60.50%</c:v>
                </c:pt>
                <c:pt idx="97">
                  <c:v>60.50%</c:v>
                </c:pt>
                <c:pt idx="98">
                  <c:v>60.75%</c:v>
                </c:pt>
                <c:pt idx="99">
                  <c:v>61.00%</c:v>
                </c:pt>
                <c:pt idx="100">
                  <c:v>61.00%</c:v>
                </c:pt>
                <c:pt idx="101">
                  <c:v>61.50%</c:v>
                </c:pt>
                <c:pt idx="102">
                  <c:v>61.50%</c:v>
                </c:pt>
                <c:pt idx="103">
                  <c:v>61.90%</c:v>
                </c:pt>
                <c:pt idx="104">
                  <c:v>62.00%</c:v>
                </c:pt>
                <c:pt idx="105">
                  <c:v>62.00%</c:v>
                </c:pt>
                <c:pt idx="106">
                  <c:v>62.90%</c:v>
                </c:pt>
                <c:pt idx="107">
                  <c:v>63.00%</c:v>
                </c:pt>
                <c:pt idx="108">
                  <c:v>63.00%</c:v>
                </c:pt>
                <c:pt idx="109">
                  <c:v>63.25%</c:v>
                </c:pt>
                <c:pt idx="110">
                  <c:v>63.50%</c:v>
                </c:pt>
                <c:pt idx="111">
                  <c:v>63.75%</c:v>
                </c:pt>
                <c:pt idx="112">
                  <c:v>63.90%</c:v>
                </c:pt>
                <c:pt idx="113">
                  <c:v>64.00%</c:v>
                </c:pt>
                <c:pt idx="114">
                  <c:v>64.50%</c:v>
                </c:pt>
                <c:pt idx="115">
                  <c:v>64.90%</c:v>
                </c:pt>
                <c:pt idx="116">
                  <c:v>65.00%</c:v>
                </c:pt>
                <c:pt idx="117">
                  <c:v>65.50%</c:v>
                </c:pt>
                <c:pt idx="118">
                  <c:v>65.50%</c:v>
                </c:pt>
                <c:pt idx="119">
                  <c:v>66.50%</c:v>
                </c:pt>
                <c:pt idx="120">
                  <c:v>66.50%</c:v>
                </c:pt>
                <c:pt idx="121">
                  <c:v>66.90%</c:v>
                </c:pt>
                <c:pt idx="122">
                  <c:v>67.00%</c:v>
                </c:pt>
                <c:pt idx="123">
                  <c:v>67.25%</c:v>
                </c:pt>
                <c:pt idx="124">
                  <c:v>67.50%</c:v>
                </c:pt>
                <c:pt idx="125">
                  <c:v>67.50%</c:v>
                </c:pt>
                <c:pt idx="126">
                  <c:v>67.75%</c:v>
                </c:pt>
                <c:pt idx="127">
                  <c:v>67.90%</c:v>
                </c:pt>
                <c:pt idx="128">
                  <c:v>67.90%</c:v>
                </c:pt>
                <c:pt idx="129">
                  <c:v>68.00%</c:v>
                </c:pt>
                <c:pt idx="130">
                  <c:v>68.50%</c:v>
                </c:pt>
                <c:pt idx="131">
                  <c:v>68.50%</c:v>
                </c:pt>
                <c:pt idx="132">
                  <c:v>68.50%</c:v>
                </c:pt>
                <c:pt idx="133">
                  <c:v>68.90%</c:v>
                </c:pt>
                <c:pt idx="134">
                  <c:v>68.90%</c:v>
                </c:pt>
                <c:pt idx="135">
                  <c:v>69.00%</c:v>
                </c:pt>
                <c:pt idx="136">
                  <c:v>69.50%</c:v>
                </c:pt>
                <c:pt idx="137">
                  <c:v>69.50%</c:v>
                </c:pt>
                <c:pt idx="138">
                  <c:v>69.90%</c:v>
                </c:pt>
                <c:pt idx="139">
                  <c:v>70.00%</c:v>
                </c:pt>
                <c:pt idx="140">
                  <c:v>70.50%</c:v>
                </c:pt>
                <c:pt idx="141">
                  <c:v>70.50%</c:v>
                </c:pt>
                <c:pt idx="142">
                  <c:v>71.00%</c:v>
                </c:pt>
                <c:pt idx="143">
                  <c:v>71.50%</c:v>
                </c:pt>
                <c:pt idx="144">
                  <c:v>71.90%</c:v>
                </c:pt>
                <c:pt idx="145">
                  <c:v>72.00%</c:v>
                </c:pt>
                <c:pt idx="146">
                  <c:v>72.50%</c:v>
                </c:pt>
                <c:pt idx="147">
                  <c:v>72.50%</c:v>
                </c:pt>
                <c:pt idx="148">
                  <c:v>72.90%</c:v>
                </c:pt>
                <c:pt idx="149">
                  <c:v>73.00%</c:v>
                </c:pt>
                <c:pt idx="150">
                  <c:v>73.00%</c:v>
                </c:pt>
                <c:pt idx="151">
                  <c:v>73.50%</c:v>
                </c:pt>
                <c:pt idx="152">
                  <c:v>73.50%</c:v>
                </c:pt>
                <c:pt idx="153">
                  <c:v>73.90%</c:v>
                </c:pt>
                <c:pt idx="154">
                  <c:v>74.00%</c:v>
                </c:pt>
                <c:pt idx="155">
                  <c:v>74.00%</c:v>
                </c:pt>
                <c:pt idx="156">
                  <c:v>74.50%</c:v>
                </c:pt>
                <c:pt idx="157">
                  <c:v>74.50%</c:v>
                </c:pt>
                <c:pt idx="158">
                  <c:v>75.00%</c:v>
                </c:pt>
                <c:pt idx="159">
                  <c:v>75.00%</c:v>
                </c:pt>
                <c:pt idx="160">
                  <c:v>75.50%</c:v>
                </c:pt>
                <c:pt idx="161">
                  <c:v>76.00%</c:v>
                </c:pt>
                <c:pt idx="162">
                  <c:v>76.00%</c:v>
                </c:pt>
                <c:pt idx="163">
                  <c:v>76.50%</c:v>
                </c:pt>
                <c:pt idx="164">
                  <c:v>76.50%</c:v>
                </c:pt>
                <c:pt idx="165">
                  <c:v>76.90%</c:v>
                </c:pt>
                <c:pt idx="166">
                  <c:v>77.00%</c:v>
                </c:pt>
                <c:pt idx="167">
                  <c:v>77.00%</c:v>
                </c:pt>
                <c:pt idx="168">
                  <c:v>77.50%</c:v>
                </c:pt>
                <c:pt idx="169">
                  <c:v>77.90%</c:v>
                </c:pt>
                <c:pt idx="170">
                  <c:v>78.00%</c:v>
                </c:pt>
                <c:pt idx="171">
                  <c:v>78.00%</c:v>
                </c:pt>
                <c:pt idx="172">
                  <c:v>78.50%</c:v>
                </c:pt>
                <c:pt idx="173">
                  <c:v>79.00%</c:v>
                </c:pt>
                <c:pt idx="174">
                  <c:v>79.00%</c:v>
                </c:pt>
                <c:pt idx="175">
                  <c:v>79.50%</c:v>
                </c:pt>
                <c:pt idx="176">
                  <c:v>79.50%</c:v>
                </c:pt>
                <c:pt idx="177">
                  <c:v>80.00%</c:v>
                </c:pt>
                <c:pt idx="178">
                  <c:v>80.00%</c:v>
                </c:pt>
                <c:pt idx="179">
                  <c:v>80.50%</c:v>
                </c:pt>
                <c:pt idx="180">
                  <c:v>81.00%</c:v>
                </c:pt>
                <c:pt idx="181">
                  <c:v>81.00%</c:v>
                </c:pt>
                <c:pt idx="182">
                  <c:v>81.50%</c:v>
                </c:pt>
                <c:pt idx="183">
                  <c:v>82.00%</c:v>
                </c:pt>
                <c:pt idx="184">
                  <c:v>82.50%</c:v>
                </c:pt>
                <c:pt idx="185">
                  <c:v>83.00%</c:v>
                </c:pt>
                <c:pt idx="186">
                  <c:v>83.50%</c:v>
                </c:pt>
                <c:pt idx="187">
                  <c:v>84.00%</c:v>
                </c:pt>
                <c:pt idx="188">
                  <c:v>84.00%</c:v>
                </c:pt>
                <c:pt idx="189">
                  <c:v>84.50%</c:v>
                </c:pt>
                <c:pt idx="190">
                  <c:v>85.00%</c:v>
                </c:pt>
                <c:pt idx="191">
                  <c:v>85.00%</c:v>
                </c:pt>
                <c:pt idx="192">
                  <c:v>85.50%</c:v>
                </c:pt>
                <c:pt idx="193">
                  <c:v>85.50%</c:v>
                </c:pt>
                <c:pt idx="194">
                  <c:v>86.00%</c:v>
                </c:pt>
                <c:pt idx="195">
                  <c:v>86.00%</c:v>
                </c:pt>
                <c:pt idx="196">
                  <c:v>86.50%</c:v>
                </c:pt>
                <c:pt idx="197">
                  <c:v>86.50%</c:v>
                </c:pt>
                <c:pt idx="198">
                  <c:v>87.00%</c:v>
                </c:pt>
                <c:pt idx="199">
                  <c:v>87.50%</c:v>
                </c:pt>
                <c:pt idx="200">
                  <c:v>87.50%</c:v>
                </c:pt>
                <c:pt idx="201">
                  <c:v>88.50%</c:v>
                </c:pt>
                <c:pt idx="202">
                  <c:v>89.00%</c:v>
                </c:pt>
                <c:pt idx="203">
                  <c:v>89.50%</c:v>
                </c:pt>
                <c:pt idx="204">
                  <c:v>90.00%</c:v>
                </c:pt>
                <c:pt idx="205">
                  <c:v>90.00%</c:v>
                </c:pt>
                <c:pt idx="206">
                  <c:v>90.50%</c:v>
                </c:pt>
                <c:pt idx="207">
                  <c:v>91.50%</c:v>
                </c:pt>
                <c:pt idx="208">
                  <c:v>92.50%</c:v>
                </c:pt>
                <c:pt idx="209">
                  <c:v>94.00%</c:v>
                </c:pt>
                <c:pt idx="210">
                  <c:v>94.00%</c:v>
                </c:pt>
                <c:pt idx="211">
                  <c:v>94.50%</c:v>
                </c:pt>
                <c:pt idx="212">
                  <c:v>95.50%</c:v>
                </c:pt>
                <c:pt idx="213">
                  <c:v>96.50%</c:v>
                </c:pt>
                <c:pt idx="214">
                  <c:v>93.00%</c:v>
                </c:pt>
                <c:pt idx="215">
                  <c:v>88.00%</c:v>
                </c:pt>
                <c:pt idx="216">
                  <c:v>72.00%</c:v>
                </c:pt>
              </c:strCache>
            </c:strRef>
          </c:cat>
          <c:val>
            <c:numRef>
              <c:f>PIVOT!$B$4:$B$221</c:f>
              <c:numCache>
                <c:formatCode>General</c:formatCode>
                <c:ptCount val="217"/>
                <c:pt idx="0">
                  <c:v>1</c:v>
                </c:pt>
                <c:pt idx="1">
                  <c:v>2</c:v>
                </c:pt>
                <c:pt idx="2">
                  <c:v>1</c:v>
                </c:pt>
                <c:pt idx="3">
                  <c:v>2</c:v>
                </c:pt>
                <c:pt idx="4">
                  <c:v>2</c:v>
                </c:pt>
                <c:pt idx="5">
                  <c:v>2</c:v>
                </c:pt>
                <c:pt idx="6">
                  <c:v>4</c:v>
                </c:pt>
                <c:pt idx="7">
                  <c:v>1</c:v>
                </c:pt>
                <c:pt idx="8">
                  <c:v>2</c:v>
                </c:pt>
                <c:pt idx="9">
                  <c:v>3</c:v>
                </c:pt>
                <c:pt idx="10">
                  <c:v>5</c:v>
                </c:pt>
                <c:pt idx="11">
                  <c:v>6</c:v>
                </c:pt>
                <c:pt idx="12">
                  <c:v>6</c:v>
                </c:pt>
                <c:pt idx="13">
                  <c:v>5</c:v>
                </c:pt>
                <c:pt idx="14">
                  <c:v>21</c:v>
                </c:pt>
                <c:pt idx="15">
                  <c:v>2</c:v>
                </c:pt>
                <c:pt idx="16">
                  <c:v>8</c:v>
                </c:pt>
                <c:pt idx="17">
                  <c:v>3</c:v>
                </c:pt>
                <c:pt idx="18">
                  <c:v>6</c:v>
                </c:pt>
                <c:pt idx="19">
                  <c:v>7</c:v>
                </c:pt>
                <c:pt idx="20">
                  <c:v>2</c:v>
                </c:pt>
                <c:pt idx="21">
                  <c:v>4</c:v>
                </c:pt>
                <c:pt idx="22">
                  <c:v>17</c:v>
                </c:pt>
                <c:pt idx="23">
                  <c:v>2</c:v>
                </c:pt>
                <c:pt idx="24">
                  <c:v>8</c:v>
                </c:pt>
                <c:pt idx="25">
                  <c:v>7</c:v>
                </c:pt>
                <c:pt idx="26">
                  <c:v>2</c:v>
                </c:pt>
                <c:pt idx="27">
                  <c:v>9</c:v>
                </c:pt>
                <c:pt idx="28">
                  <c:v>12</c:v>
                </c:pt>
                <c:pt idx="29">
                  <c:v>13</c:v>
                </c:pt>
                <c:pt idx="30">
                  <c:v>1</c:v>
                </c:pt>
                <c:pt idx="31">
                  <c:v>19</c:v>
                </c:pt>
                <c:pt idx="32">
                  <c:v>12</c:v>
                </c:pt>
                <c:pt idx="33">
                  <c:v>3</c:v>
                </c:pt>
                <c:pt idx="34">
                  <c:v>10</c:v>
                </c:pt>
                <c:pt idx="35">
                  <c:v>3</c:v>
                </c:pt>
                <c:pt idx="36">
                  <c:v>16</c:v>
                </c:pt>
                <c:pt idx="37">
                  <c:v>1</c:v>
                </c:pt>
                <c:pt idx="38">
                  <c:v>1</c:v>
                </c:pt>
                <c:pt idx="39">
                  <c:v>4</c:v>
                </c:pt>
                <c:pt idx="40">
                  <c:v>14</c:v>
                </c:pt>
                <c:pt idx="41">
                  <c:v>3</c:v>
                </c:pt>
                <c:pt idx="42">
                  <c:v>7</c:v>
                </c:pt>
                <c:pt idx="43">
                  <c:v>1</c:v>
                </c:pt>
                <c:pt idx="44">
                  <c:v>3</c:v>
                </c:pt>
                <c:pt idx="45">
                  <c:v>10</c:v>
                </c:pt>
                <c:pt idx="46">
                  <c:v>1</c:v>
                </c:pt>
                <c:pt idx="47">
                  <c:v>3</c:v>
                </c:pt>
                <c:pt idx="48">
                  <c:v>9</c:v>
                </c:pt>
                <c:pt idx="49">
                  <c:v>6</c:v>
                </c:pt>
                <c:pt idx="50">
                  <c:v>6</c:v>
                </c:pt>
                <c:pt idx="51">
                  <c:v>8</c:v>
                </c:pt>
                <c:pt idx="52">
                  <c:v>7</c:v>
                </c:pt>
                <c:pt idx="53">
                  <c:v>6</c:v>
                </c:pt>
                <c:pt idx="54">
                  <c:v>2</c:v>
                </c:pt>
                <c:pt idx="55">
                  <c:v>1</c:v>
                </c:pt>
                <c:pt idx="56">
                  <c:v>2</c:v>
                </c:pt>
                <c:pt idx="57">
                  <c:v>11</c:v>
                </c:pt>
                <c:pt idx="58">
                  <c:v>7</c:v>
                </c:pt>
                <c:pt idx="59">
                  <c:v>1</c:v>
                </c:pt>
                <c:pt idx="60">
                  <c:v>1</c:v>
                </c:pt>
                <c:pt idx="61">
                  <c:v>5</c:v>
                </c:pt>
                <c:pt idx="62">
                  <c:v>2</c:v>
                </c:pt>
                <c:pt idx="63">
                  <c:v>1</c:v>
                </c:pt>
                <c:pt idx="64">
                  <c:v>10</c:v>
                </c:pt>
                <c:pt idx="65">
                  <c:v>3</c:v>
                </c:pt>
                <c:pt idx="66">
                  <c:v>1</c:v>
                </c:pt>
                <c:pt idx="67">
                  <c:v>2</c:v>
                </c:pt>
                <c:pt idx="68">
                  <c:v>9</c:v>
                </c:pt>
                <c:pt idx="69">
                  <c:v>1</c:v>
                </c:pt>
                <c:pt idx="70">
                  <c:v>3</c:v>
                </c:pt>
                <c:pt idx="71">
                  <c:v>2</c:v>
                </c:pt>
                <c:pt idx="72">
                  <c:v>10</c:v>
                </c:pt>
                <c:pt idx="73">
                  <c:v>1</c:v>
                </c:pt>
                <c:pt idx="74">
                  <c:v>11</c:v>
                </c:pt>
                <c:pt idx="75">
                  <c:v>5</c:v>
                </c:pt>
                <c:pt idx="76">
                  <c:v>2</c:v>
                </c:pt>
                <c:pt idx="77">
                  <c:v>3</c:v>
                </c:pt>
                <c:pt idx="78">
                  <c:v>1</c:v>
                </c:pt>
                <c:pt idx="79">
                  <c:v>1</c:v>
                </c:pt>
                <c:pt idx="80">
                  <c:v>5</c:v>
                </c:pt>
                <c:pt idx="81">
                  <c:v>2</c:v>
                </c:pt>
                <c:pt idx="82">
                  <c:v>1</c:v>
                </c:pt>
                <c:pt idx="83">
                  <c:v>2</c:v>
                </c:pt>
                <c:pt idx="84">
                  <c:v>1</c:v>
                </c:pt>
                <c:pt idx="85">
                  <c:v>1</c:v>
                </c:pt>
                <c:pt idx="86">
                  <c:v>4</c:v>
                </c:pt>
                <c:pt idx="87">
                  <c:v>1</c:v>
                </c:pt>
                <c:pt idx="88">
                  <c:v>3</c:v>
                </c:pt>
                <c:pt idx="89">
                  <c:v>2</c:v>
                </c:pt>
                <c:pt idx="90">
                  <c:v>4</c:v>
                </c:pt>
                <c:pt idx="91">
                  <c:v>3</c:v>
                </c:pt>
                <c:pt idx="92">
                  <c:v>3</c:v>
                </c:pt>
                <c:pt idx="93">
                  <c:v>3</c:v>
                </c:pt>
                <c:pt idx="94">
                  <c:v>2</c:v>
                </c:pt>
                <c:pt idx="95">
                  <c:v>1</c:v>
                </c:pt>
                <c:pt idx="96">
                  <c:v>2</c:v>
                </c:pt>
                <c:pt idx="97">
                  <c:v>1</c:v>
                </c:pt>
                <c:pt idx="98">
                  <c:v>2</c:v>
                </c:pt>
                <c:pt idx="99">
                  <c:v>2</c:v>
                </c:pt>
                <c:pt idx="100">
                  <c:v>1</c:v>
                </c:pt>
                <c:pt idx="101">
                  <c:v>1</c:v>
                </c:pt>
                <c:pt idx="102">
                  <c:v>3</c:v>
                </c:pt>
                <c:pt idx="103">
                  <c:v>1</c:v>
                </c:pt>
                <c:pt idx="104">
                  <c:v>1</c:v>
                </c:pt>
                <c:pt idx="105">
                  <c:v>4</c:v>
                </c:pt>
                <c:pt idx="106">
                  <c:v>2</c:v>
                </c:pt>
                <c:pt idx="107">
                  <c:v>5</c:v>
                </c:pt>
                <c:pt idx="108">
                  <c:v>2</c:v>
                </c:pt>
                <c:pt idx="109">
                  <c:v>2</c:v>
                </c:pt>
                <c:pt idx="110">
                  <c:v>5</c:v>
                </c:pt>
                <c:pt idx="111">
                  <c:v>1</c:v>
                </c:pt>
                <c:pt idx="112">
                  <c:v>2</c:v>
                </c:pt>
                <c:pt idx="113">
                  <c:v>6</c:v>
                </c:pt>
                <c:pt idx="114">
                  <c:v>11</c:v>
                </c:pt>
                <c:pt idx="115">
                  <c:v>1</c:v>
                </c:pt>
                <c:pt idx="116">
                  <c:v>7</c:v>
                </c:pt>
                <c:pt idx="117">
                  <c:v>5</c:v>
                </c:pt>
                <c:pt idx="118">
                  <c:v>4</c:v>
                </c:pt>
                <c:pt idx="119">
                  <c:v>7</c:v>
                </c:pt>
                <c:pt idx="120">
                  <c:v>1</c:v>
                </c:pt>
                <c:pt idx="121">
                  <c:v>1</c:v>
                </c:pt>
                <c:pt idx="122">
                  <c:v>6</c:v>
                </c:pt>
                <c:pt idx="123">
                  <c:v>2</c:v>
                </c:pt>
                <c:pt idx="124">
                  <c:v>4</c:v>
                </c:pt>
                <c:pt idx="125">
                  <c:v>1</c:v>
                </c:pt>
                <c:pt idx="126">
                  <c:v>1</c:v>
                </c:pt>
                <c:pt idx="127">
                  <c:v>1</c:v>
                </c:pt>
                <c:pt idx="128">
                  <c:v>2</c:v>
                </c:pt>
                <c:pt idx="129">
                  <c:v>14</c:v>
                </c:pt>
                <c:pt idx="130">
                  <c:v>1</c:v>
                </c:pt>
                <c:pt idx="131">
                  <c:v>3</c:v>
                </c:pt>
                <c:pt idx="132">
                  <c:v>1</c:v>
                </c:pt>
                <c:pt idx="133">
                  <c:v>1</c:v>
                </c:pt>
                <c:pt idx="134">
                  <c:v>2</c:v>
                </c:pt>
                <c:pt idx="135">
                  <c:v>10</c:v>
                </c:pt>
                <c:pt idx="136">
                  <c:v>7</c:v>
                </c:pt>
                <c:pt idx="137">
                  <c:v>10</c:v>
                </c:pt>
                <c:pt idx="138">
                  <c:v>1</c:v>
                </c:pt>
                <c:pt idx="139">
                  <c:v>12</c:v>
                </c:pt>
                <c:pt idx="140">
                  <c:v>6</c:v>
                </c:pt>
                <c:pt idx="141">
                  <c:v>7</c:v>
                </c:pt>
                <c:pt idx="142">
                  <c:v>3</c:v>
                </c:pt>
                <c:pt idx="143">
                  <c:v>4</c:v>
                </c:pt>
                <c:pt idx="144">
                  <c:v>1</c:v>
                </c:pt>
                <c:pt idx="145">
                  <c:v>9</c:v>
                </c:pt>
                <c:pt idx="146">
                  <c:v>4</c:v>
                </c:pt>
                <c:pt idx="147">
                  <c:v>3</c:v>
                </c:pt>
                <c:pt idx="148">
                  <c:v>2</c:v>
                </c:pt>
                <c:pt idx="149">
                  <c:v>5</c:v>
                </c:pt>
                <c:pt idx="150">
                  <c:v>2</c:v>
                </c:pt>
                <c:pt idx="151">
                  <c:v>3</c:v>
                </c:pt>
                <c:pt idx="152">
                  <c:v>6</c:v>
                </c:pt>
                <c:pt idx="153">
                  <c:v>1</c:v>
                </c:pt>
                <c:pt idx="154">
                  <c:v>4</c:v>
                </c:pt>
                <c:pt idx="155">
                  <c:v>2</c:v>
                </c:pt>
                <c:pt idx="156">
                  <c:v>10</c:v>
                </c:pt>
                <c:pt idx="157">
                  <c:v>3</c:v>
                </c:pt>
                <c:pt idx="158">
                  <c:v>4</c:v>
                </c:pt>
                <c:pt idx="159">
                  <c:v>2</c:v>
                </c:pt>
                <c:pt idx="160">
                  <c:v>3</c:v>
                </c:pt>
                <c:pt idx="161">
                  <c:v>3</c:v>
                </c:pt>
                <c:pt idx="162">
                  <c:v>2</c:v>
                </c:pt>
                <c:pt idx="163">
                  <c:v>4</c:v>
                </c:pt>
                <c:pt idx="164">
                  <c:v>1</c:v>
                </c:pt>
                <c:pt idx="165">
                  <c:v>1</c:v>
                </c:pt>
                <c:pt idx="166">
                  <c:v>9</c:v>
                </c:pt>
                <c:pt idx="167">
                  <c:v>4</c:v>
                </c:pt>
                <c:pt idx="168">
                  <c:v>3</c:v>
                </c:pt>
                <c:pt idx="169">
                  <c:v>1</c:v>
                </c:pt>
                <c:pt idx="170">
                  <c:v>2</c:v>
                </c:pt>
                <c:pt idx="171">
                  <c:v>4</c:v>
                </c:pt>
                <c:pt idx="172">
                  <c:v>10</c:v>
                </c:pt>
                <c:pt idx="173">
                  <c:v>3</c:v>
                </c:pt>
                <c:pt idx="174">
                  <c:v>6</c:v>
                </c:pt>
                <c:pt idx="175">
                  <c:v>1</c:v>
                </c:pt>
                <c:pt idx="176">
                  <c:v>4</c:v>
                </c:pt>
                <c:pt idx="177">
                  <c:v>3</c:v>
                </c:pt>
                <c:pt idx="178">
                  <c:v>2</c:v>
                </c:pt>
                <c:pt idx="179">
                  <c:v>8</c:v>
                </c:pt>
                <c:pt idx="180">
                  <c:v>2</c:v>
                </c:pt>
                <c:pt idx="181">
                  <c:v>4</c:v>
                </c:pt>
                <c:pt idx="182">
                  <c:v>4</c:v>
                </c:pt>
                <c:pt idx="183">
                  <c:v>2</c:v>
                </c:pt>
                <c:pt idx="184">
                  <c:v>3</c:v>
                </c:pt>
                <c:pt idx="185">
                  <c:v>2</c:v>
                </c:pt>
                <c:pt idx="186">
                  <c:v>3</c:v>
                </c:pt>
                <c:pt idx="187">
                  <c:v>4</c:v>
                </c:pt>
                <c:pt idx="188">
                  <c:v>2</c:v>
                </c:pt>
                <c:pt idx="189">
                  <c:v>1</c:v>
                </c:pt>
                <c:pt idx="190">
                  <c:v>8</c:v>
                </c:pt>
                <c:pt idx="191">
                  <c:v>2</c:v>
                </c:pt>
                <c:pt idx="192">
                  <c:v>2</c:v>
                </c:pt>
                <c:pt idx="193">
                  <c:v>1</c:v>
                </c:pt>
                <c:pt idx="194">
                  <c:v>4</c:v>
                </c:pt>
                <c:pt idx="195">
                  <c:v>2</c:v>
                </c:pt>
                <c:pt idx="196">
                  <c:v>1</c:v>
                </c:pt>
                <c:pt idx="197">
                  <c:v>5</c:v>
                </c:pt>
                <c:pt idx="198">
                  <c:v>2</c:v>
                </c:pt>
                <c:pt idx="199">
                  <c:v>2</c:v>
                </c:pt>
                <c:pt idx="200">
                  <c:v>3</c:v>
                </c:pt>
                <c:pt idx="201">
                  <c:v>2</c:v>
                </c:pt>
                <c:pt idx="202">
                  <c:v>4</c:v>
                </c:pt>
                <c:pt idx="203">
                  <c:v>2</c:v>
                </c:pt>
                <c:pt idx="204">
                  <c:v>2</c:v>
                </c:pt>
                <c:pt idx="205">
                  <c:v>3</c:v>
                </c:pt>
                <c:pt idx="206">
                  <c:v>2</c:v>
                </c:pt>
                <c:pt idx="207">
                  <c:v>1</c:v>
                </c:pt>
                <c:pt idx="208">
                  <c:v>2</c:v>
                </c:pt>
                <c:pt idx="209">
                  <c:v>2</c:v>
                </c:pt>
                <c:pt idx="210">
                  <c:v>3</c:v>
                </c:pt>
                <c:pt idx="211">
                  <c:v>1</c:v>
                </c:pt>
                <c:pt idx="212">
                  <c:v>1</c:v>
                </c:pt>
                <c:pt idx="213">
                  <c:v>2</c:v>
                </c:pt>
                <c:pt idx="214">
                  <c:v>1</c:v>
                </c:pt>
                <c:pt idx="215">
                  <c:v>1</c:v>
                </c:pt>
                <c:pt idx="216">
                  <c:v>1</c:v>
                </c:pt>
              </c:numCache>
            </c:numRef>
          </c:val>
          <c:smooth val="0"/>
          <c:extLst>
            <c:ext xmlns:c16="http://schemas.microsoft.com/office/drawing/2014/chart" uri="{C3380CC4-5D6E-409C-BE32-E72D297353CC}">
              <c16:uniqueId val="{00000000-6B5D-4514-8206-03C348E7942B}"/>
            </c:ext>
          </c:extLst>
        </c:ser>
        <c:dLbls>
          <c:showLegendKey val="0"/>
          <c:showVal val="0"/>
          <c:showCatName val="0"/>
          <c:showSerName val="0"/>
          <c:showPercent val="0"/>
          <c:showBubbleSize val="0"/>
        </c:dLbls>
        <c:smooth val="0"/>
        <c:axId val="343842271"/>
        <c:axId val="343846591"/>
      </c:lineChart>
      <c:catAx>
        <c:axId val="34384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846591"/>
        <c:crosses val="autoZero"/>
        <c:auto val="1"/>
        <c:lblAlgn val="ctr"/>
        <c:lblOffset val="100"/>
        <c:noMultiLvlLbl val="0"/>
      </c:catAx>
      <c:valAx>
        <c:axId val="343846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84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[REGENT'S SQUARE UNITS DATA AND PIVOTS_20231003 FOR PV CALCULATOR.xlsx]PIVOT!PivotTable11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PIVOT!$B$896</c:f>
              <c:strCache>
                <c:ptCount val="1"/>
                <c:pt idx="0">
                  <c:v>Total</c:v>
                </c:pt>
              </c:strCache>
            </c:strRef>
          </c:tx>
          <c:spPr>
            <a:solidFill>
              <a:schemeClr val="accent5"/>
            </a:solidFill>
            <a:ln>
              <a:noFill/>
            </a:ln>
            <a:effectLst/>
          </c:spPr>
          <c:invertIfNegative val="0"/>
          <c:cat>
            <c:strRef>
              <c:f>PIVOT!$A$897:$A$947</c:f>
              <c:strCache>
                <c:ptCount val="50"/>
                <c:pt idx="0">
                  <c:v>135.00</c:v>
                </c:pt>
                <c:pt idx="1">
                  <c:v>110.00</c:v>
                </c:pt>
                <c:pt idx="2">
                  <c:v>75.00</c:v>
                </c:pt>
                <c:pt idx="3">
                  <c:v>111.00</c:v>
                </c:pt>
                <c:pt idx="4">
                  <c:v>120.00</c:v>
                </c:pt>
                <c:pt idx="5">
                  <c:v>121.00</c:v>
                </c:pt>
                <c:pt idx="6">
                  <c:v>119.00</c:v>
                </c:pt>
                <c:pt idx="7">
                  <c:v>116.00</c:v>
                </c:pt>
                <c:pt idx="8">
                  <c:v>199.00</c:v>
                </c:pt>
                <c:pt idx="9">
                  <c:v>224.00</c:v>
                </c:pt>
                <c:pt idx="10">
                  <c:v>176.00</c:v>
                </c:pt>
                <c:pt idx="11">
                  <c:v>117.00</c:v>
                </c:pt>
                <c:pt idx="12">
                  <c:v>173.00</c:v>
                </c:pt>
                <c:pt idx="13">
                  <c:v>172.00</c:v>
                </c:pt>
                <c:pt idx="14">
                  <c:v>205.00</c:v>
                </c:pt>
                <c:pt idx="15">
                  <c:v>228.00</c:v>
                </c:pt>
                <c:pt idx="16">
                  <c:v>202.00</c:v>
                </c:pt>
                <c:pt idx="17">
                  <c:v>229.00</c:v>
                </c:pt>
                <c:pt idx="18">
                  <c:v>170.00</c:v>
                </c:pt>
                <c:pt idx="19">
                  <c:v>223.00</c:v>
                </c:pt>
                <c:pt idx="20">
                  <c:v>106.00</c:v>
                </c:pt>
                <c:pt idx="21">
                  <c:v>153.00</c:v>
                </c:pt>
                <c:pt idx="22">
                  <c:v>158.00</c:v>
                </c:pt>
                <c:pt idx="23">
                  <c:v>160.00</c:v>
                </c:pt>
                <c:pt idx="24">
                  <c:v>108.00</c:v>
                </c:pt>
                <c:pt idx="25">
                  <c:v>155.00</c:v>
                </c:pt>
                <c:pt idx="26">
                  <c:v>157.00</c:v>
                </c:pt>
                <c:pt idx="27">
                  <c:v>161.00</c:v>
                </c:pt>
                <c:pt idx="28">
                  <c:v>309.00</c:v>
                </c:pt>
                <c:pt idx="29">
                  <c:v>301.00</c:v>
                </c:pt>
                <c:pt idx="30">
                  <c:v>162.00</c:v>
                </c:pt>
                <c:pt idx="31">
                  <c:v>180.00</c:v>
                </c:pt>
                <c:pt idx="32">
                  <c:v>198.00</c:v>
                </c:pt>
                <c:pt idx="33">
                  <c:v>204.00</c:v>
                </c:pt>
                <c:pt idx="34">
                  <c:v>201.00</c:v>
                </c:pt>
                <c:pt idx="35">
                  <c:v>222.00</c:v>
                </c:pt>
                <c:pt idx="36">
                  <c:v>344.00</c:v>
                </c:pt>
                <c:pt idx="37">
                  <c:v>174.00</c:v>
                </c:pt>
                <c:pt idx="38">
                  <c:v>152.00</c:v>
                </c:pt>
                <c:pt idx="39">
                  <c:v>154.00</c:v>
                </c:pt>
                <c:pt idx="40">
                  <c:v>136.00</c:v>
                </c:pt>
                <c:pt idx="41">
                  <c:v>76.00</c:v>
                </c:pt>
                <c:pt idx="42">
                  <c:v>138.00</c:v>
                </c:pt>
                <c:pt idx="43">
                  <c:v>112.00</c:v>
                </c:pt>
                <c:pt idx="44">
                  <c:v>122.00</c:v>
                </c:pt>
                <c:pt idx="45">
                  <c:v>78.00</c:v>
                </c:pt>
                <c:pt idx="46">
                  <c:v>63.00</c:v>
                </c:pt>
                <c:pt idx="47">
                  <c:v>84.00</c:v>
                </c:pt>
                <c:pt idx="48">
                  <c:v>85.00</c:v>
                </c:pt>
                <c:pt idx="49">
                  <c:v>77.00</c:v>
                </c:pt>
              </c:strCache>
            </c:strRef>
          </c:cat>
          <c:val>
            <c:numRef>
              <c:f>PIVOT!$B$897:$B$947</c:f>
              <c:numCache>
                <c:formatCode>General</c:formatCode>
                <c:ptCount val="50"/>
                <c:pt idx="0">
                  <c:v>8</c:v>
                </c:pt>
                <c:pt idx="1">
                  <c:v>26</c:v>
                </c:pt>
                <c:pt idx="2">
                  <c:v>6</c:v>
                </c:pt>
                <c:pt idx="3">
                  <c:v>10</c:v>
                </c:pt>
                <c:pt idx="4">
                  <c:v>5</c:v>
                </c:pt>
                <c:pt idx="5">
                  <c:v>12</c:v>
                </c:pt>
                <c:pt idx="6">
                  <c:v>15</c:v>
                </c:pt>
                <c:pt idx="7">
                  <c:v>19</c:v>
                </c:pt>
                <c:pt idx="8">
                  <c:v>22</c:v>
                </c:pt>
                <c:pt idx="9">
                  <c:v>28</c:v>
                </c:pt>
                <c:pt idx="10">
                  <c:v>37</c:v>
                </c:pt>
                <c:pt idx="11">
                  <c:v>19</c:v>
                </c:pt>
                <c:pt idx="12">
                  <c:v>63</c:v>
                </c:pt>
                <c:pt idx="13">
                  <c:v>38</c:v>
                </c:pt>
                <c:pt idx="14">
                  <c:v>4</c:v>
                </c:pt>
                <c:pt idx="15">
                  <c:v>24</c:v>
                </c:pt>
                <c:pt idx="16">
                  <c:v>4</c:v>
                </c:pt>
                <c:pt idx="17">
                  <c:v>4</c:v>
                </c:pt>
                <c:pt idx="18">
                  <c:v>24</c:v>
                </c:pt>
                <c:pt idx="19">
                  <c:v>4</c:v>
                </c:pt>
                <c:pt idx="20">
                  <c:v>12</c:v>
                </c:pt>
                <c:pt idx="21">
                  <c:v>24</c:v>
                </c:pt>
                <c:pt idx="22">
                  <c:v>28</c:v>
                </c:pt>
                <c:pt idx="23">
                  <c:v>68</c:v>
                </c:pt>
                <c:pt idx="24">
                  <c:v>20</c:v>
                </c:pt>
                <c:pt idx="25">
                  <c:v>88</c:v>
                </c:pt>
                <c:pt idx="26">
                  <c:v>12</c:v>
                </c:pt>
                <c:pt idx="27">
                  <c:v>40</c:v>
                </c:pt>
                <c:pt idx="28">
                  <c:v>4</c:v>
                </c:pt>
                <c:pt idx="29">
                  <c:v>4</c:v>
                </c:pt>
                <c:pt idx="30">
                  <c:v>4</c:v>
                </c:pt>
                <c:pt idx="31">
                  <c:v>5</c:v>
                </c:pt>
                <c:pt idx="32">
                  <c:v>20</c:v>
                </c:pt>
                <c:pt idx="33">
                  <c:v>10</c:v>
                </c:pt>
                <c:pt idx="34">
                  <c:v>10</c:v>
                </c:pt>
                <c:pt idx="35">
                  <c:v>10</c:v>
                </c:pt>
                <c:pt idx="36">
                  <c:v>10</c:v>
                </c:pt>
                <c:pt idx="37">
                  <c:v>15</c:v>
                </c:pt>
                <c:pt idx="38">
                  <c:v>4</c:v>
                </c:pt>
                <c:pt idx="39">
                  <c:v>4</c:v>
                </c:pt>
                <c:pt idx="40">
                  <c:v>8</c:v>
                </c:pt>
                <c:pt idx="41">
                  <c:v>6</c:v>
                </c:pt>
                <c:pt idx="42">
                  <c:v>4</c:v>
                </c:pt>
                <c:pt idx="43">
                  <c:v>12</c:v>
                </c:pt>
                <c:pt idx="44">
                  <c:v>8</c:v>
                </c:pt>
                <c:pt idx="45">
                  <c:v>10</c:v>
                </c:pt>
                <c:pt idx="46">
                  <c:v>16</c:v>
                </c:pt>
                <c:pt idx="47">
                  <c:v>12</c:v>
                </c:pt>
                <c:pt idx="48">
                  <c:v>8</c:v>
                </c:pt>
                <c:pt idx="49">
                  <c:v>10</c:v>
                </c:pt>
              </c:numCache>
            </c:numRef>
          </c:val>
          <c:extLst>
            <c:ext xmlns:c16="http://schemas.microsoft.com/office/drawing/2014/chart" uri="{C3380CC4-5D6E-409C-BE32-E72D297353CC}">
              <c16:uniqueId val="{00000000-4D82-471A-8A0A-85DF7E325D15}"/>
            </c:ext>
          </c:extLst>
        </c:ser>
        <c:dLbls>
          <c:showLegendKey val="0"/>
          <c:showVal val="0"/>
          <c:showCatName val="0"/>
          <c:showSerName val="0"/>
          <c:showPercent val="0"/>
          <c:showBubbleSize val="0"/>
        </c:dLbls>
        <c:gapWidth val="150"/>
        <c:overlap val="100"/>
        <c:axId val="346388751"/>
        <c:axId val="346389231"/>
      </c:barChart>
      <c:catAx>
        <c:axId val="34638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389231"/>
        <c:crosses val="autoZero"/>
        <c:auto val="1"/>
        <c:lblAlgn val="ctr"/>
        <c:lblOffset val="100"/>
        <c:noMultiLvlLbl val="0"/>
      </c:catAx>
      <c:valAx>
        <c:axId val="346389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38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[REGENT'S SQUARE UNITS DATA AND PIVOTS_20231003 FOR PV CALCULATOR.xlsx]PIVOT!PivotTable13</c:name>
    <c:fmtId val="3"/>
  </c:pivotSource>
  <c:chart>
    <c:autoTitleDeleted val="0"/>
    <c:pivotFmts>
      <c:pivotFmt>
        <c:idx val="0"/>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layout>
            <c:manualLayout>
              <c:x val="3.8520456030360847E-2"/>
              <c:y val="-5.83231854562488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layout>
            <c:manualLayout>
              <c:x val="-2.8014877112989708E-2"/>
              <c:y val="-8.1004424244790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layout>
            <c:manualLayout>
              <c:x val="-1.4007438556494854E-2"/>
              <c:y val="-4.21223006072908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layout>
            <c:manualLayout>
              <c:x val="2.8014877112989708E-2"/>
              <c:y val="3.88821236374991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layout>
            <c:manualLayout>
              <c:x val="5.7780684045541209E-2"/>
              <c:y val="-3.240176969791600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layout>
            <c:manualLayout>
              <c:x val="1.5758368376056712E-2"/>
              <c:y val="-2.9161592728124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layout>
            <c:manualLayout>
              <c:x val="-5.2527894586856024E-3"/>
              <c:y val="-3.56419466677076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layout>
            <c:manualLayout>
              <c:x val="-3.5018596391237132E-2"/>
              <c:y val="4.53624775770824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PIVOT!$B$1065</c:f>
              <c:strCache>
                <c:ptCount val="1"/>
                <c:pt idx="0">
                  <c:v>Count of Unit Number</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dPt>
            <c:idx val="0"/>
            <c:marker>
              <c:symbol val="circle"/>
              <c:size val="5"/>
              <c:spPr>
                <a:solidFill>
                  <a:schemeClr val="accent5">
                    <a:shade val="76000"/>
                  </a:schemeClr>
                </a:solidFill>
                <a:ln w="9525">
                  <a:solidFill>
                    <a:schemeClr val="accent5">
                      <a:shade val="76000"/>
                    </a:schemeClr>
                  </a:solidFill>
                </a:ln>
                <a:effectLst/>
              </c:spPr>
            </c:marker>
            <c:bubble3D val="0"/>
            <c:spPr>
              <a:ln w="28575" cap="rnd">
                <a:solidFill>
                  <a:schemeClr val="accent5">
                    <a:shade val="76000"/>
                  </a:schemeClr>
                </a:solidFill>
                <a:round/>
              </a:ln>
              <a:effectLst/>
            </c:spPr>
            <c:extLst>
              <c:ext xmlns:c16="http://schemas.microsoft.com/office/drawing/2014/chart" uri="{C3380CC4-5D6E-409C-BE32-E72D297353CC}">
                <c16:uniqueId val="{00000008-1E2E-4A07-BA1B-58009ACD5CD7}"/>
              </c:ext>
            </c:extLst>
          </c:dPt>
          <c:dPt>
            <c:idx val="1"/>
            <c:marker>
              <c:symbol val="circle"/>
              <c:size val="5"/>
              <c:spPr>
                <a:solidFill>
                  <a:schemeClr val="accent5">
                    <a:shade val="76000"/>
                  </a:schemeClr>
                </a:solidFill>
                <a:ln w="9525">
                  <a:solidFill>
                    <a:schemeClr val="accent5">
                      <a:shade val="76000"/>
                    </a:schemeClr>
                  </a:solidFill>
                </a:ln>
                <a:effectLst/>
              </c:spPr>
            </c:marker>
            <c:bubble3D val="0"/>
            <c:spPr>
              <a:ln w="28575" cap="rnd">
                <a:solidFill>
                  <a:schemeClr val="accent5">
                    <a:shade val="76000"/>
                  </a:schemeClr>
                </a:solidFill>
                <a:round/>
              </a:ln>
              <a:effectLst/>
            </c:spPr>
            <c:extLst>
              <c:ext xmlns:c16="http://schemas.microsoft.com/office/drawing/2014/chart" uri="{C3380CC4-5D6E-409C-BE32-E72D297353CC}">
                <c16:uniqueId val="{00000005-1E2E-4A07-BA1B-58009ACD5CD7}"/>
              </c:ext>
            </c:extLst>
          </c:dPt>
          <c:dPt>
            <c:idx val="3"/>
            <c:marker>
              <c:symbol val="circle"/>
              <c:size val="5"/>
              <c:spPr>
                <a:solidFill>
                  <a:schemeClr val="accent5">
                    <a:shade val="76000"/>
                  </a:schemeClr>
                </a:solidFill>
                <a:ln w="9525">
                  <a:solidFill>
                    <a:schemeClr val="accent5">
                      <a:shade val="76000"/>
                    </a:schemeClr>
                  </a:solidFill>
                </a:ln>
                <a:effectLst/>
              </c:spPr>
            </c:marker>
            <c:bubble3D val="0"/>
            <c:spPr>
              <a:ln w="28575" cap="rnd">
                <a:solidFill>
                  <a:schemeClr val="accent5">
                    <a:shade val="76000"/>
                  </a:schemeClr>
                </a:solidFill>
                <a:round/>
              </a:ln>
              <a:effectLst/>
            </c:spPr>
            <c:extLst>
              <c:ext xmlns:c16="http://schemas.microsoft.com/office/drawing/2014/chart" uri="{C3380CC4-5D6E-409C-BE32-E72D297353CC}">
                <c16:uniqueId val="{00000004-1E2E-4A07-BA1B-58009ACD5CD7}"/>
              </c:ext>
            </c:extLst>
          </c:dPt>
          <c:dPt>
            <c:idx val="4"/>
            <c:marker>
              <c:symbol val="circle"/>
              <c:size val="5"/>
              <c:spPr>
                <a:solidFill>
                  <a:schemeClr val="accent5">
                    <a:shade val="76000"/>
                  </a:schemeClr>
                </a:solidFill>
                <a:ln w="9525">
                  <a:solidFill>
                    <a:schemeClr val="accent5">
                      <a:shade val="76000"/>
                    </a:schemeClr>
                  </a:solidFill>
                </a:ln>
                <a:effectLst/>
              </c:spPr>
            </c:marker>
            <c:bubble3D val="0"/>
            <c:spPr>
              <a:ln w="28575" cap="rnd">
                <a:solidFill>
                  <a:schemeClr val="accent5">
                    <a:shade val="76000"/>
                  </a:schemeClr>
                </a:solidFill>
                <a:round/>
              </a:ln>
              <a:effectLst/>
            </c:spPr>
            <c:extLst>
              <c:ext xmlns:c16="http://schemas.microsoft.com/office/drawing/2014/chart" uri="{C3380CC4-5D6E-409C-BE32-E72D297353CC}">
                <c16:uniqueId val="{0000000A-1E2E-4A07-BA1B-58009ACD5CD7}"/>
              </c:ext>
            </c:extLst>
          </c:dPt>
          <c:dLbls>
            <c:dLbl>
              <c:idx val="0"/>
              <c:layout>
                <c:manualLayout>
                  <c:x val="1.5758368376056712E-2"/>
                  <c:y val="-2.9161592728124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E2E-4A07-BA1B-58009ACD5CD7}"/>
                </c:ext>
              </c:extLst>
            </c:dLbl>
            <c:dLbl>
              <c:idx val="1"/>
              <c:layout>
                <c:manualLayout>
                  <c:x val="-1.4007438556494854E-2"/>
                  <c:y val="-4.21223006072908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2E-4A07-BA1B-58009ACD5CD7}"/>
                </c:ext>
              </c:extLst>
            </c:dLbl>
            <c:dLbl>
              <c:idx val="3"/>
              <c:layout>
                <c:manualLayout>
                  <c:x val="-2.8014877112989708E-2"/>
                  <c:y val="-8.10044242447900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2E-4A07-BA1B-58009ACD5CD7}"/>
                </c:ext>
              </c:extLst>
            </c:dLbl>
            <c:dLbl>
              <c:idx val="4"/>
              <c:layout>
                <c:manualLayout>
                  <c:x val="-3.5018596391237132E-2"/>
                  <c:y val="4.53624775770824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E2E-4A07-BA1B-58009ACD5C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PIVOT!$A$1066:$A$1072</c:f>
              <c:strCache>
                <c:ptCount val="6"/>
                <c:pt idx="0">
                  <c:v>A</c:v>
                </c:pt>
                <c:pt idx="1">
                  <c:v>B</c:v>
                </c:pt>
                <c:pt idx="2">
                  <c:v>C</c:v>
                </c:pt>
                <c:pt idx="3">
                  <c:v>D</c:v>
                </c:pt>
                <c:pt idx="4">
                  <c:v>E</c:v>
                </c:pt>
                <c:pt idx="5">
                  <c:v>F</c:v>
                </c:pt>
              </c:strCache>
            </c:strRef>
          </c:cat>
          <c:val>
            <c:numRef>
              <c:f>PIVOT!$B$1066:$B$1072</c:f>
              <c:numCache>
                <c:formatCode>0.00%</c:formatCode>
                <c:ptCount val="6"/>
                <c:pt idx="0">
                  <c:v>7.9254079254079249E-2</c:v>
                </c:pt>
                <c:pt idx="1">
                  <c:v>0.18414918414918416</c:v>
                </c:pt>
                <c:pt idx="2">
                  <c:v>0.20979020979020979</c:v>
                </c:pt>
                <c:pt idx="3">
                  <c:v>0.34265734265734266</c:v>
                </c:pt>
                <c:pt idx="4">
                  <c:v>0.16317016317016317</c:v>
                </c:pt>
                <c:pt idx="5">
                  <c:v>2.097902097902098E-2</c:v>
                </c:pt>
              </c:numCache>
            </c:numRef>
          </c:val>
          <c:extLst>
            <c:ext xmlns:c16="http://schemas.microsoft.com/office/drawing/2014/chart" uri="{C3380CC4-5D6E-409C-BE32-E72D297353CC}">
              <c16:uniqueId val="{00000000-1E2E-4A07-BA1B-58009ACD5CD7}"/>
            </c:ext>
          </c:extLst>
        </c:ser>
        <c:ser>
          <c:idx val="1"/>
          <c:order val="1"/>
          <c:tx>
            <c:strRef>
              <c:f>PIVOT!$C$1065</c:f>
              <c:strCache>
                <c:ptCount val="1"/>
                <c:pt idx="0">
                  <c:v>Sum of Unit Selling Area2</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dPt>
            <c:idx val="0"/>
            <c:marker>
              <c:symbol val="circle"/>
              <c:size val="5"/>
              <c:spPr>
                <a:solidFill>
                  <a:schemeClr val="accent5">
                    <a:tint val="77000"/>
                  </a:schemeClr>
                </a:solidFill>
                <a:ln w="9525">
                  <a:solidFill>
                    <a:schemeClr val="accent5">
                      <a:tint val="77000"/>
                    </a:schemeClr>
                  </a:solidFill>
                </a:ln>
                <a:effectLst/>
              </c:spPr>
            </c:marker>
            <c:bubble3D val="0"/>
            <c:extLst>
              <c:ext xmlns:c16="http://schemas.microsoft.com/office/drawing/2014/chart" uri="{C3380CC4-5D6E-409C-BE32-E72D297353CC}">
                <c16:uniqueId val="{00000007-1E2E-4A07-BA1B-58009ACD5CD7}"/>
              </c:ext>
            </c:extLst>
          </c:dPt>
          <c:dPt>
            <c:idx val="1"/>
            <c:marker>
              <c:symbol val="circle"/>
              <c:size val="5"/>
              <c:spPr>
                <a:solidFill>
                  <a:schemeClr val="accent5">
                    <a:tint val="77000"/>
                  </a:schemeClr>
                </a:solidFill>
                <a:ln w="9525">
                  <a:solidFill>
                    <a:schemeClr val="accent5">
                      <a:tint val="77000"/>
                    </a:schemeClr>
                  </a:solidFill>
                </a:ln>
                <a:effectLst/>
              </c:spPr>
            </c:marker>
            <c:bubble3D val="0"/>
            <c:extLst>
              <c:ext xmlns:c16="http://schemas.microsoft.com/office/drawing/2014/chart" uri="{C3380CC4-5D6E-409C-BE32-E72D297353CC}">
                <c16:uniqueId val="{00000006-1E2E-4A07-BA1B-58009ACD5CD7}"/>
              </c:ext>
            </c:extLst>
          </c:dPt>
          <c:dPt>
            <c:idx val="2"/>
            <c:marker>
              <c:symbol val="circle"/>
              <c:size val="5"/>
              <c:spPr>
                <a:solidFill>
                  <a:schemeClr val="accent5">
                    <a:tint val="77000"/>
                  </a:schemeClr>
                </a:solidFill>
                <a:ln w="9525">
                  <a:solidFill>
                    <a:schemeClr val="accent5">
                      <a:tint val="77000"/>
                    </a:schemeClr>
                  </a:solidFill>
                </a:ln>
                <a:effectLst/>
              </c:spPr>
            </c:marker>
            <c:bubble3D val="0"/>
            <c:extLst>
              <c:ext xmlns:c16="http://schemas.microsoft.com/office/drawing/2014/chart" uri="{C3380CC4-5D6E-409C-BE32-E72D297353CC}">
                <c16:uniqueId val="{00000003-1E2E-4A07-BA1B-58009ACD5CD7}"/>
              </c:ext>
            </c:extLst>
          </c:dPt>
          <c:dPt>
            <c:idx val="4"/>
            <c:marker>
              <c:symbol val="circle"/>
              <c:size val="5"/>
              <c:spPr>
                <a:solidFill>
                  <a:schemeClr val="accent5">
                    <a:tint val="77000"/>
                  </a:schemeClr>
                </a:solidFill>
                <a:ln w="9525">
                  <a:solidFill>
                    <a:schemeClr val="accent5">
                      <a:tint val="77000"/>
                    </a:schemeClr>
                  </a:solidFill>
                </a:ln>
                <a:effectLst/>
              </c:spPr>
            </c:marker>
            <c:bubble3D val="0"/>
            <c:extLst>
              <c:ext xmlns:c16="http://schemas.microsoft.com/office/drawing/2014/chart" uri="{C3380CC4-5D6E-409C-BE32-E72D297353CC}">
                <c16:uniqueId val="{00000009-1E2E-4A07-BA1B-58009ACD5CD7}"/>
              </c:ext>
            </c:extLst>
          </c:dPt>
          <c:dLbls>
            <c:dLbl>
              <c:idx val="0"/>
              <c:layout>
                <c:manualLayout>
                  <c:x val="5.7780684045541209E-2"/>
                  <c:y val="-3.240176969791600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E2E-4A07-BA1B-58009ACD5CD7}"/>
                </c:ext>
              </c:extLst>
            </c:dLbl>
            <c:dLbl>
              <c:idx val="1"/>
              <c:layout>
                <c:manualLayout>
                  <c:x val="2.8014877112989708E-2"/>
                  <c:y val="3.88821236374991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E2E-4A07-BA1B-58009ACD5CD7}"/>
                </c:ext>
              </c:extLst>
            </c:dLbl>
            <c:dLbl>
              <c:idx val="2"/>
              <c:layout>
                <c:manualLayout>
                  <c:x val="3.8520456030360847E-2"/>
                  <c:y val="-5.83231854562488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2E-4A07-BA1B-58009ACD5CD7}"/>
                </c:ext>
              </c:extLst>
            </c:dLbl>
            <c:dLbl>
              <c:idx val="4"/>
              <c:layout>
                <c:manualLayout>
                  <c:x val="-5.2527894586856024E-3"/>
                  <c:y val="-3.56419466677076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E2E-4A07-BA1B-58009ACD5C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PIVOT!$A$1066:$A$1072</c:f>
              <c:strCache>
                <c:ptCount val="6"/>
                <c:pt idx="0">
                  <c:v>A</c:v>
                </c:pt>
                <c:pt idx="1">
                  <c:v>B</c:v>
                </c:pt>
                <c:pt idx="2">
                  <c:v>C</c:v>
                </c:pt>
                <c:pt idx="3">
                  <c:v>D</c:v>
                </c:pt>
                <c:pt idx="4">
                  <c:v>E</c:v>
                </c:pt>
                <c:pt idx="5">
                  <c:v>F</c:v>
                </c:pt>
              </c:strCache>
            </c:strRef>
          </c:cat>
          <c:val>
            <c:numRef>
              <c:f>PIVOT!$C$1066:$C$1072</c:f>
              <c:numCache>
                <c:formatCode>0.00%</c:formatCode>
                <c:ptCount val="6"/>
                <c:pt idx="0">
                  <c:v>3.7917203311867528E-2</c:v>
                </c:pt>
                <c:pt idx="1">
                  <c:v>0.13237166513339466</c:v>
                </c:pt>
                <c:pt idx="2">
                  <c:v>0.20286292548298068</c:v>
                </c:pt>
                <c:pt idx="3">
                  <c:v>0.36434222631094754</c:v>
                </c:pt>
                <c:pt idx="4">
                  <c:v>0.21923091076356946</c:v>
                </c:pt>
                <c:pt idx="5">
                  <c:v>4.327506899724011E-2</c:v>
                </c:pt>
              </c:numCache>
            </c:numRef>
          </c:val>
          <c:extLst>
            <c:ext xmlns:c16="http://schemas.microsoft.com/office/drawing/2014/chart" uri="{C3380CC4-5D6E-409C-BE32-E72D297353CC}">
              <c16:uniqueId val="{00000001-1E2E-4A07-BA1B-58009ACD5CD7}"/>
            </c:ext>
          </c:extLst>
        </c:ser>
        <c:dLbls>
          <c:showLegendKey val="0"/>
          <c:showVal val="1"/>
          <c:showCatName val="0"/>
          <c:showSerName val="0"/>
          <c:showPercent val="0"/>
          <c:showBubbleSize val="0"/>
        </c:dLbls>
        <c:axId val="343167455"/>
        <c:axId val="343162655"/>
      </c:radarChart>
      <c:catAx>
        <c:axId val="34316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43162655"/>
        <c:crosses val="autoZero"/>
        <c:auto val="1"/>
        <c:lblAlgn val="ctr"/>
        <c:lblOffset val="100"/>
        <c:noMultiLvlLbl val="0"/>
      </c:catAx>
      <c:valAx>
        <c:axId val="3431626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16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[REGENT'S SQUARE UNITS DATA AND PIVOTS_20231003 FOR PV CALCULATOR.xlsx]PROJECT SUMMARY DASH!PivotTable18</c:name>
    <c:fmtId val="0"/>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 SUMMARY DASH'!$B$1</c:f>
              <c:strCache>
                <c:ptCount val="1"/>
                <c:pt idx="0">
                  <c:v>Count of TOTAL UNIT VALUE (SEMI FINISHED)2</c:v>
                </c:pt>
              </c:strCache>
            </c:strRef>
          </c:tx>
          <c:spPr>
            <a:solidFill>
              <a:schemeClr val="accent5">
                <a:shade val="41000"/>
              </a:schemeClr>
            </a:solidFill>
            <a:ln>
              <a:noFill/>
            </a:ln>
            <a:effectLst/>
          </c:spPr>
          <c:invertIfNegative val="0"/>
          <c:cat>
            <c:strRef>
              <c:f>'PROJECT SUMMARY DASH'!$A$2:$A$15</c:f>
              <c:strCache>
                <c:ptCount val="13"/>
                <c:pt idx="0">
                  <c:v>R 1</c:v>
                </c:pt>
                <c:pt idx="1">
                  <c:v>R 2</c:v>
                </c:pt>
                <c:pt idx="2">
                  <c:v>R 3</c:v>
                </c:pt>
                <c:pt idx="3">
                  <c:v>R 4</c:v>
                </c:pt>
                <c:pt idx="4">
                  <c:v>R 5</c:v>
                </c:pt>
                <c:pt idx="5">
                  <c:v>R 6</c:v>
                </c:pt>
                <c:pt idx="6">
                  <c:v>R 7</c:v>
                </c:pt>
                <c:pt idx="7">
                  <c:v>R 8</c:v>
                </c:pt>
                <c:pt idx="8">
                  <c:v>R 9</c:v>
                </c:pt>
                <c:pt idx="9">
                  <c:v>R 10</c:v>
                </c:pt>
                <c:pt idx="10">
                  <c:v>R 11</c:v>
                </c:pt>
                <c:pt idx="11">
                  <c:v>R 12</c:v>
                </c:pt>
                <c:pt idx="12">
                  <c:v>RH</c:v>
                </c:pt>
              </c:strCache>
            </c:strRef>
          </c:cat>
          <c:val>
            <c:numRef>
              <c:f>'PROJECT SUMMARY DASH'!$B$2:$B$15</c:f>
              <c:numCache>
                <c:formatCode>_(* #,##0_);_(* \(#,##0\);_(* "-"??_);_(@_)</c:formatCode>
                <c:ptCount val="13"/>
                <c:pt idx="0">
                  <c:v>144</c:v>
                </c:pt>
                <c:pt idx="1">
                  <c:v>55</c:v>
                </c:pt>
                <c:pt idx="2">
                  <c:v>62</c:v>
                </c:pt>
                <c:pt idx="3">
                  <c:v>88</c:v>
                </c:pt>
                <c:pt idx="4">
                  <c:v>61</c:v>
                </c:pt>
                <c:pt idx="5">
                  <c:v>54</c:v>
                </c:pt>
                <c:pt idx="6">
                  <c:v>66</c:v>
                </c:pt>
                <c:pt idx="7">
                  <c:v>91</c:v>
                </c:pt>
                <c:pt idx="8">
                  <c:v>64</c:v>
                </c:pt>
                <c:pt idx="9">
                  <c:v>24</c:v>
                </c:pt>
                <c:pt idx="10">
                  <c:v>21</c:v>
                </c:pt>
                <c:pt idx="11">
                  <c:v>72</c:v>
                </c:pt>
                <c:pt idx="12">
                  <c:v>56</c:v>
                </c:pt>
              </c:numCache>
            </c:numRef>
          </c:val>
          <c:extLst>
            <c:ext xmlns:c16="http://schemas.microsoft.com/office/drawing/2014/chart" uri="{C3380CC4-5D6E-409C-BE32-E72D297353CC}">
              <c16:uniqueId val="{00000003-985E-4696-9B83-9CD895A2ECF1}"/>
            </c:ext>
          </c:extLst>
        </c:ser>
        <c:ser>
          <c:idx val="1"/>
          <c:order val="1"/>
          <c:tx>
            <c:strRef>
              <c:f>'PROJECT SUMMARY DASH'!$C$1</c:f>
              <c:strCache>
                <c:ptCount val="1"/>
                <c:pt idx="0">
                  <c:v>Phase % of Unit Selling Area from total</c:v>
                </c:pt>
              </c:strCache>
            </c:strRef>
          </c:tx>
          <c:spPr>
            <a:solidFill>
              <a:schemeClr val="accent5">
                <a:shade val="53000"/>
              </a:schemeClr>
            </a:solidFill>
            <a:ln>
              <a:noFill/>
            </a:ln>
            <a:effectLst/>
          </c:spPr>
          <c:invertIfNegative val="0"/>
          <c:cat>
            <c:strRef>
              <c:f>'PROJECT SUMMARY DASH'!$A$2:$A$15</c:f>
              <c:strCache>
                <c:ptCount val="13"/>
                <c:pt idx="0">
                  <c:v>R 1</c:v>
                </c:pt>
                <c:pt idx="1">
                  <c:v>R 2</c:v>
                </c:pt>
                <c:pt idx="2">
                  <c:v>R 3</c:v>
                </c:pt>
                <c:pt idx="3">
                  <c:v>R 4</c:v>
                </c:pt>
                <c:pt idx="4">
                  <c:v>R 5</c:v>
                </c:pt>
                <c:pt idx="5">
                  <c:v>R 6</c:v>
                </c:pt>
                <c:pt idx="6">
                  <c:v>R 7</c:v>
                </c:pt>
                <c:pt idx="7">
                  <c:v>R 8</c:v>
                </c:pt>
                <c:pt idx="8">
                  <c:v>R 9</c:v>
                </c:pt>
                <c:pt idx="9">
                  <c:v>R 10</c:v>
                </c:pt>
                <c:pt idx="10">
                  <c:v>R 11</c:v>
                </c:pt>
                <c:pt idx="11">
                  <c:v>R 12</c:v>
                </c:pt>
                <c:pt idx="12">
                  <c:v>RH</c:v>
                </c:pt>
              </c:strCache>
            </c:strRef>
          </c:cat>
          <c:val>
            <c:numRef>
              <c:f>'PROJECT SUMMARY DASH'!$C$2:$C$15</c:f>
              <c:numCache>
                <c:formatCode>0.00%</c:formatCode>
                <c:ptCount val="13"/>
                <c:pt idx="0">
                  <c:v>0.16276724931002759</c:v>
                </c:pt>
                <c:pt idx="1">
                  <c:v>6.9586016559337632E-2</c:v>
                </c:pt>
                <c:pt idx="2">
                  <c:v>6.9431462741490341E-2</c:v>
                </c:pt>
                <c:pt idx="3">
                  <c:v>0.10639190432382704</c:v>
                </c:pt>
                <c:pt idx="4">
                  <c:v>7.6754369825206989E-2</c:v>
                </c:pt>
                <c:pt idx="5">
                  <c:v>6.8047838086476548E-2</c:v>
                </c:pt>
                <c:pt idx="6">
                  <c:v>7.7100275988960437E-2</c:v>
                </c:pt>
                <c:pt idx="7">
                  <c:v>0.1141343146274149</c:v>
                </c:pt>
                <c:pt idx="8">
                  <c:v>7.7747930082796693E-2</c:v>
                </c:pt>
                <c:pt idx="9">
                  <c:v>2.9298988040478383E-2</c:v>
                </c:pt>
                <c:pt idx="10">
                  <c:v>2.8305427782888685E-2</c:v>
                </c:pt>
                <c:pt idx="11">
                  <c:v>8.9184912603495856E-2</c:v>
                </c:pt>
                <c:pt idx="12">
                  <c:v>3.1249310027598898E-2</c:v>
                </c:pt>
              </c:numCache>
            </c:numRef>
          </c:val>
          <c:extLst>
            <c:ext xmlns:c16="http://schemas.microsoft.com/office/drawing/2014/chart" uri="{C3380CC4-5D6E-409C-BE32-E72D297353CC}">
              <c16:uniqueId val="{00000004-985E-4696-9B83-9CD895A2ECF1}"/>
            </c:ext>
          </c:extLst>
        </c:ser>
        <c:ser>
          <c:idx val="2"/>
          <c:order val="2"/>
          <c:tx>
            <c:strRef>
              <c:f>'PROJECT SUMMARY DASH'!$D$1</c:f>
              <c:strCache>
                <c:ptCount val="1"/>
                <c:pt idx="0">
                  <c:v>Average of UNIT (BUILDING) RATE (SEMI FINISHED)</c:v>
                </c:pt>
              </c:strCache>
            </c:strRef>
          </c:tx>
          <c:spPr>
            <a:solidFill>
              <a:schemeClr val="accent5">
                <a:shade val="65000"/>
              </a:schemeClr>
            </a:solidFill>
            <a:ln>
              <a:noFill/>
            </a:ln>
            <a:effectLst/>
          </c:spPr>
          <c:invertIfNegative val="0"/>
          <c:cat>
            <c:strRef>
              <c:f>'PROJECT SUMMARY DASH'!$A$2:$A$15</c:f>
              <c:strCache>
                <c:ptCount val="13"/>
                <c:pt idx="0">
                  <c:v>R 1</c:v>
                </c:pt>
                <c:pt idx="1">
                  <c:v>R 2</c:v>
                </c:pt>
                <c:pt idx="2">
                  <c:v>R 3</c:v>
                </c:pt>
                <c:pt idx="3">
                  <c:v>R 4</c:v>
                </c:pt>
                <c:pt idx="4">
                  <c:v>R 5</c:v>
                </c:pt>
                <c:pt idx="5">
                  <c:v>R 6</c:v>
                </c:pt>
                <c:pt idx="6">
                  <c:v>R 7</c:v>
                </c:pt>
                <c:pt idx="7">
                  <c:v>R 8</c:v>
                </c:pt>
                <c:pt idx="8">
                  <c:v>R 9</c:v>
                </c:pt>
                <c:pt idx="9">
                  <c:v>R 10</c:v>
                </c:pt>
                <c:pt idx="10">
                  <c:v>R 11</c:v>
                </c:pt>
                <c:pt idx="11">
                  <c:v>R 12</c:v>
                </c:pt>
                <c:pt idx="12">
                  <c:v>RH</c:v>
                </c:pt>
              </c:strCache>
            </c:strRef>
          </c:cat>
          <c:val>
            <c:numRef>
              <c:f>'PROJECT SUMMARY DASH'!$D$2:$D$15</c:f>
              <c:numCache>
                <c:formatCode>_(* #,##0_);_(* \(#,##0\);_(* "-"??_);_(@_)</c:formatCode>
                <c:ptCount val="13"/>
                <c:pt idx="0">
                  <c:v>45023.315972222219</c:v>
                </c:pt>
                <c:pt idx="1">
                  <c:v>46356.090909090897</c:v>
                </c:pt>
                <c:pt idx="2">
                  <c:v>47460.508064516129</c:v>
                </c:pt>
                <c:pt idx="3">
                  <c:v>48749.631392045456</c:v>
                </c:pt>
                <c:pt idx="4">
                  <c:v>49988.688524590172</c:v>
                </c:pt>
                <c:pt idx="5">
                  <c:v>51816.325000000004</c:v>
                </c:pt>
                <c:pt idx="6">
                  <c:v>53655.315151515155</c:v>
                </c:pt>
                <c:pt idx="7">
                  <c:v>55649.897802197796</c:v>
                </c:pt>
                <c:pt idx="8">
                  <c:v>57551.385937500003</c:v>
                </c:pt>
                <c:pt idx="9">
                  <c:v>60372.125</c:v>
                </c:pt>
                <c:pt idx="10">
                  <c:v>63195.785714285717</c:v>
                </c:pt>
                <c:pt idx="11">
                  <c:v>66504.350694444438</c:v>
                </c:pt>
                <c:pt idx="12">
                  <c:v>79701.75</c:v>
                </c:pt>
              </c:numCache>
            </c:numRef>
          </c:val>
          <c:extLst>
            <c:ext xmlns:c16="http://schemas.microsoft.com/office/drawing/2014/chart" uri="{C3380CC4-5D6E-409C-BE32-E72D297353CC}">
              <c16:uniqueId val="{00000006-985E-4696-9B83-9CD895A2ECF1}"/>
            </c:ext>
          </c:extLst>
        </c:ser>
        <c:ser>
          <c:idx val="3"/>
          <c:order val="3"/>
          <c:tx>
            <c:strRef>
              <c:f>'PROJECT SUMMARY DASH'!$E$1</c:f>
              <c:strCache>
                <c:ptCount val="1"/>
                <c:pt idx="0">
                  <c:v>Average of UNIT (BUILDING) RATE (BASIC FINISH)</c:v>
                </c:pt>
              </c:strCache>
            </c:strRef>
          </c:tx>
          <c:spPr>
            <a:solidFill>
              <a:schemeClr val="accent5">
                <a:shade val="76000"/>
              </a:schemeClr>
            </a:solidFill>
            <a:ln>
              <a:noFill/>
            </a:ln>
            <a:effectLst/>
          </c:spPr>
          <c:invertIfNegative val="0"/>
          <c:cat>
            <c:strRef>
              <c:f>'PROJECT SUMMARY DASH'!$A$2:$A$15</c:f>
              <c:strCache>
                <c:ptCount val="13"/>
                <c:pt idx="0">
                  <c:v>R 1</c:v>
                </c:pt>
                <c:pt idx="1">
                  <c:v>R 2</c:v>
                </c:pt>
                <c:pt idx="2">
                  <c:v>R 3</c:v>
                </c:pt>
                <c:pt idx="3">
                  <c:v>R 4</c:v>
                </c:pt>
                <c:pt idx="4">
                  <c:v>R 5</c:v>
                </c:pt>
                <c:pt idx="5">
                  <c:v>R 6</c:v>
                </c:pt>
                <c:pt idx="6">
                  <c:v>R 7</c:v>
                </c:pt>
                <c:pt idx="7">
                  <c:v>R 8</c:v>
                </c:pt>
                <c:pt idx="8">
                  <c:v>R 9</c:v>
                </c:pt>
                <c:pt idx="9">
                  <c:v>R 10</c:v>
                </c:pt>
                <c:pt idx="10">
                  <c:v>R 11</c:v>
                </c:pt>
                <c:pt idx="11">
                  <c:v>R 12</c:v>
                </c:pt>
                <c:pt idx="12">
                  <c:v>RH</c:v>
                </c:pt>
              </c:strCache>
            </c:strRef>
          </c:cat>
          <c:val>
            <c:numRef>
              <c:f>'PROJECT SUMMARY DASH'!$E$2:$E$15</c:f>
              <c:numCache>
                <c:formatCode>_(* #,##0_);_(* \(#,##0\);_(* "-"??_);_(@_)</c:formatCode>
                <c:ptCount val="13"/>
                <c:pt idx="0">
                  <c:v>49523.315972222219</c:v>
                </c:pt>
                <c:pt idx="1">
                  <c:v>50856.090909090897</c:v>
                </c:pt>
                <c:pt idx="2">
                  <c:v>51960.508064516129</c:v>
                </c:pt>
                <c:pt idx="3">
                  <c:v>53249.631392045456</c:v>
                </c:pt>
                <c:pt idx="4">
                  <c:v>54488.688524590172</c:v>
                </c:pt>
                <c:pt idx="5">
                  <c:v>56316.325000000004</c:v>
                </c:pt>
                <c:pt idx="6">
                  <c:v>58155.315151515155</c:v>
                </c:pt>
                <c:pt idx="7">
                  <c:v>60149.897802197796</c:v>
                </c:pt>
                <c:pt idx="8">
                  <c:v>62051.385937500003</c:v>
                </c:pt>
                <c:pt idx="9">
                  <c:v>64872.125</c:v>
                </c:pt>
                <c:pt idx="10">
                  <c:v>67695.78571428571</c:v>
                </c:pt>
                <c:pt idx="11">
                  <c:v>71004.350694444438</c:v>
                </c:pt>
                <c:pt idx="12">
                  <c:v>84201.75</c:v>
                </c:pt>
              </c:numCache>
            </c:numRef>
          </c:val>
          <c:extLst>
            <c:ext xmlns:c16="http://schemas.microsoft.com/office/drawing/2014/chart" uri="{C3380CC4-5D6E-409C-BE32-E72D297353CC}">
              <c16:uniqueId val="{00000007-985E-4696-9B83-9CD895A2ECF1}"/>
            </c:ext>
          </c:extLst>
        </c:ser>
        <c:ser>
          <c:idx val="4"/>
          <c:order val="4"/>
          <c:tx>
            <c:strRef>
              <c:f>'PROJECT SUMMARY DASH'!$F$1</c:f>
              <c:strCache>
                <c:ptCount val="1"/>
                <c:pt idx="0">
                  <c:v>Average of UNIT (BUILDING) RATE (FULLY FINISH)</c:v>
                </c:pt>
              </c:strCache>
            </c:strRef>
          </c:tx>
          <c:spPr>
            <a:solidFill>
              <a:schemeClr val="accent5">
                <a:shade val="88000"/>
              </a:schemeClr>
            </a:solidFill>
            <a:ln>
              <a:noFill/>
            </a:ln>
            <a:effectLst/>
          </c:spPr>
          <c:invertIfNegative val="0"/>
          <c:cat>
            <c:strRef>
              <c:f>'PROJECT SUMMARY DASH'!$A$2:$A$15</c:f>
              <c:strCache>
                <c:ptCount val="13"/>
                <c:pt idx="0">
                  <c:v>R 1</c:v>
                </c:pt>
                <c:pt idx="1">
                  <c:v>R 2</c:v>
                </c:pt>
                <c:pt idx="2">
                  <c:v>R 3</c:v>
                </c:pt>
                <c:pt idx="3">
                  <c:v>R 4</c:v>
                </c:pt>
                <c:pt idx="4">
                  <c:v>R 5</c:v>
                </c:pt>
                <c:pt idx="5">
                  <c:v>R 6</c:v>
                </c:pt>
                <c:pt idx="6">
                  <c:v>R 7</c:v>
                </c:pt>
                <c:pt idx="7">
                  <c:v>R 8</c:v>
                </c:pt>
                <c:pt idx="8">
                  <c:v>R 9</c:v>
                </c:pt>
                <c:pt idx="9">
                  <c:v>R 10</c:v>
                </c:pt>
                <c:pt idx="10">
                  <c:v>R 11</c:v>
                </c:pt>
                <c:pt idx="11">
                  <c:v>R 12</c:v>
                </c:pt>
                <c:pt idx="12">
                  <c:v>RH</c:v>
                </c:pt>
              </c:strCache>
            </c:strRef>
          </c:cat>
          <c:val>
            <c:numRef>
              <c:f>'PROJECT SUMMARY DASH'!$F$2:$F$15</c:f>
              <c:numCache>
                <c:formatCode>_(* #,##0_);_(* \(#,##0\);_(* "-"??_);_(@_)</c:formatCode>
                <c:ptCount val="13"/>
                <c:pt idx="0">
                  <c:v>52523.315972222219</c:v>
                </c:pt>
                <c:pt idx="1">
                  <c:v>53856.090909090897</c:v>
                </c:pt>
                <c:pt idx="2">
                  <c:v>54960.508064516129</c:v>
                </c:pt>
                <c:pt idx="3">
                  <c:v>56249.631392045456</c:v>
                </c:pt>
                <c:pt idx="4">
                  <c:v>57488.688524590172</c:v>
                </c:pt>
                <c:pt idx="5">
                  <c:v>59316.325000000004</c:v>
                </c:pt>
                <c:pt idx="6">
                  <c:v>61155.315151515155</c:v>
                </c:pt>
                <c:pt idx="7">
                  <c:v>63149.897802197804</c:v>
                </c:pt>
                <c:pt idx="8">
                  <c:v>65051.385937500003</c:v>
                </c:pt>
                <c:pt idx="9">
                  <c:v>67872.125</c:v>
                </c:pt>
                <c:pt idx="10">
                  <c:v>70695.78571428571</c:v>
                </c:pt>
                <c:pt idx="11">
                  <c:v>74004.350694444438</c:v>
                </c:pt>
                <c:pt idx="12">
                  <c:v>87201.75</c:v>
                </c:pt>
              </c:numCache>
            </c:numRef>
          </c:val>
          <c:extLst>
            <c:ext xmlns:c16="http://schemas.microsoft.com/office/drawing/2014/chart" uri="{C3380CC4-5D6E-409C-BE32-E72D297353CC}">
              <c16:uniqueId val="{00000008-985E-4696-9B83-9CD895A2ECF1}"/>
            </c:ext>
          </c:extLst>
        </c:ser>
        <c:ser>
          <c:idx val="5"/>
          <c:order val="5"/>
          <c:tx>
            <c:strRef>
              <c:f>'PROJECT SUMMARY DASH'!$G$1</c:f>
              <c:strCache>
                <c:ptCount val="1"/>
                <c:pt idx="0">
                  <c:v>Sum of UNIT (GARDEN) VALUE</c:v>
                </c:pt>
              </c:strCache>
            </c:strRef>
          </c:tx>
          <c:spPr>
            <a:solidFill>
              <a:schemeClr val="accent5"/>
            </a:solidFill>
            <a:ln>
              <a:noFill/>
            </a:ln>
            <a:effectLst/>
          </c:spPr>
          <c:invertIfNegative val="0"/>
          <c:cat>
            <c:strRef>
              <c:f>'PROJECT SUMMARY DASH'!$A$2:$A$15</c:f>
              <c:strCache>
                <c:ptCount val="13"/>
                <c:pt idx="0">
                  <c:v>R 1</c:v>
                </c:pt>
                <c:pt idx="1">
                  <c:v>R 2</c:v>
                </c:pt>
                <c:pt idx="2">
                  <c:v>R 3</c:v>
                </c:pt>
                <c:pt idx="3">
                  <c:v>R 4</c:v>
                </c:pt>
                <c:pt idx="4">
                  <c:v>R 5</c:v>
                </c:pt>
                <c:pt idx="5">
                  <c:v>R 6</c:v>
                </c:pt>
                <c:pt idx="6">
                  <c:v>R 7</c:v>
                </c:pt>
                <c:pt idx="7">
                  <c:v>R 8</c:v>
                </c:pt>
                <c:pt idx="8">
                  <c:v>R 9</c:v>
                </c:pt>
                <c:pt idx="9">
                  <c:v>R 10</c:v>
                </c:pt>
                <c:pt idx="10">
                  <c:v>R 11</c:v>
                </c:pt>
                <c:pt idx="11">
                  <c:v>R 12</c:v>
                </c:pt>
                <c:pt idx="12">
                  <c:v>RH</c:v>
                </c:pt>
              </c:strCache>
            </c:strRef>
          </c:cat>
          <c:val>
            <c:numRef>
              <c:f>'PROJECT SUMMARY DASH'!$G$2:$G$15</c:f>
              <c:numCache>
                <c:formatCode>_(* #,##0_);_(* \(#,##0\);_(* "-"??_);_(@_)</c:formatCode>
                <c:ptCount val="13"/>
                <c:pt idx="0">
                  <c:v>39914011.549087502</c:v>
                </c:pt>
                <c:pt idx="1">
                  <c:v>19447546.097894058</c:v>
                </c:pt>
                <c:pt idx="2">
                  <c:v>21534451.158528</c:v>
                </c:pt>
                <c:pt idx="3">
                  <c:v>27875552.254440002</c:v>
                </c:pt>
                <c:pt idx="4">
                  <c:v>11806668.519690003</c:v>
                </c:pt>
                <c:pt idx="5">
                  <c:v>23786464.75984351</c:v>
                </c:pt>
                <c:pt idx="6">
                  <c:v>9824030.1878532004</c:v>
                </c:pt>
                <c:pt idx="7">
                  <c:v>15383440.070509503</c:v>
                </c:pt>
                <c:pt idx="8">
                  <c:v>10217129.633172</c:v>
                </c:pt>
                <c:pt idx="9">
                  <c:v>4516994.9667150006</c:v>
                </c:pt>
                <c:pt idx="10">
                  <c:v>0</c:v>
                </c:pt>
                <c:pt idx="11">
                  <c:v>5144449.9955062503</c:v>
                </c:pt>
                <c:pt idx="12">
                  <c:v>8214336.9767580014</c:v>
                </c:pt>
              </c:numCache>
            </c:numRef>
          </c:val>
          <c:extLst>
            <c:ext xmlns:c16="http://schemas.microsoft.com/office/drawing/2014/chart" uri="{C3380CC4-5D6E-409C-BE32-E72D297353CC}">
              <c16:uniqueId val="{00000009-985E-4696-9B83-9CD895A2ECF1}"/>
            </c:ext>
          </c:extLst>
        </c:ser>
        <c:ser>
          <c:idx val="6"/>
          <c:order val="6"/>
          <c:tx>
            <c:strRef>
              <c:f>'PROJECT SUMMARY DASH'!$H$1</c:f>
              <c:strCache>
                <c:ptCount val="1"/>
                <c:pt idx="0">
                  <c:v>Sum of MAINTENANCE VALUE</c:v>
                </c:pt>
              </c:strCache>
            </c:strRef>
          </c:tx>
          <c:spPr>
            <a:solidFill>
              <a:schemeClr val="accent5">
                <a:tint val="89000"/>
              </a:schemeClr>
            </a:solidFill>
            <a:ln>
              <a:noFill/>
            </a:ln>
            <a:effectLst/>
          </c:spPr>
          <c:invertIfNegative val="0"/>
          <c:cat>
            <c:strRef>
              <c:f>'PROJECT SUMMARY DASH'!$A$2:$A$15</c:f>
              <c:strCache>
                <c:ptCount val="13"/>
                <c:pt idx="0">
                  <c:v>R 1</c:v>
                </c:pt>
                <c:pt idx="1">
                  <c:v>R 2</c:v>
                </c:pt>
                <c:pt idx="2">
                  <c:v>R 3</c:v>
                </c:pt>
                <c:pt idx="3">
                  <c:v>R 4</c:v>
                </c:pt>
                <c:pt idx="4">
                  <c:v>R 5</c:v>
                </c:pt>
                <c:pt idx="5">
                  <c:v>R 6</c:v>
                </c:pt>
                <c:pt idx="6">
                  <c:v>R 7</c:v>
                </c:pt>
                <c:pt idx="7">
                  <c:v>R 8</c:v>
                </c:pt>
                <c:pt idx="8">
                  <c:v>R 9</c:v>
                </c:pt>
                <c:pt idx="9">
                  <c:v>R 10</c:v>
                </c:pt>
                <c:pt idx="10">
                  <c:v>R 11</c:v>
                </c:pt>
                <c:pt idx="11">
                  <c:v>R 12</c:v>
                </c:pt>
                <c:pt idx="12">
                  <c:v>RH</c:v>
                </c:pt>
              </c:strCache>
            </c:strRef>
          </c:cat>
          <c:val>
            <c:numRef>
              <c:f>'PROJECT SUMMARY DASH'!$H$2:$H$15</c:f>
              <c:numCache>
                <c:formatCode>_(* #,##0_);_(* \(#,##0\);_(* "-"??_);_(@_)</c:formatCode>
                <c:ptCount val="13"/>
                <c:pt idx="0">
                  <c:v>88208493.431672409</c:v>
                </c:pt>
                <c:pt idx="1">
                  <c:v>38977380.527695999</c:v>
                </c:pt>
                <c:pt idx="2">
                  <c:v>39991842.942224883</c:v>
                </c:pt>
                <c:pt idx="3">
                  <c:v>62415885.953502432</c:v>
                </c:pt>
                <c:pt idx="4">
                  <c:v>45374141.424173661</c:v>
                </c:pt>
                <c:pt idx="5">
                  <c:v>42832285.481586717</c:v>
                </c:pt>
                <c:pt idx="6">
                  <c:v>48750295.878467523</c:v>
                </c:pt>
                <c:pt idx="7">
                  <c:v>74778563.830493346</c:v>
                </c:pt>
                <c:pt idx="8">
                  <c:v>52686596.539819598</c:v>
                </c:pt>
                <c:pt idx="9">
                  <c:v>20848178.307170775</c:v>
                </c:pt>
                <c:pt idx="10">
                  <c:v>20692277.175000008</c:v>
                </c:pt>
                <c:pt idx="11">
                  <c:v>69072675.392118037</c:v>
                </c:pt>
                <c:pt idx="12">
                  <c:v>29467159.693024427</c:v>
                </c:pt>
              </c:numCache>
            </c:numRef>
          </c:val>
          <c:extLst>
            <c:ext xmlns:c16="http://schemas.microsoft.com/office/drawing/2014/chart" uri="{C3380CC4-5D6E-409C-BE32-E72D297353CC}">
              <c16:uniqueId val="{0000000B-985E-4696-9B83-9CD895A2ECF1}"/>
            </c:ext>
          </c:extLst>
        </c:ser>
        <c:ser>
          <c:idx val="7"/>
          <c:order val="7"/>
          <c:tx>
            <c:strRef>
              <c:f>'PROJECT SUMMARY DASH'!$I$1</c:f>
              <c:strCache>
                <c:ptCount val="1"/>
                <c:pt idx="0">
                  <c:v>Sum of TOTAL CARS VALUE</c:v>
                </c:pt>
              </c:strCache>
            </c:strRef>
          </c:tx>
          <c:spPr>
            <a:solidFill>
              <a:schemeClr val="accent5">
                <a:tint val="77000"/>
              </a:schemeClr>
            </a:solidFill>
            <a:ln>
              <a:noFill/>
            </a:ln>
            <a:effectLst/>
          </c:spPr>
          <c:invertIfNegative val="0"/>
          <c:cat>
            <c:strRef>
              <c:f>'PROJECT SUMMARY DASH'!$A$2:$A$15</c:f>
              <c:strCache>
                <c:ptCount val="13"/>
                <c:pt idx="0">
                  <c:v>R 1</c:v>
                </c:pt>
                <c:pt idx="1">
                  <c:v>R 2</c:v>
                </c:pt>
                <c:pt idx="2">
                  <c:v>R 3</c:v>
                </c:pt>
                <c:pt idx="3">
                  <c:v>R 4</c:v>
                </c:pt>
                <c:pt idx="4">
                  <c:v>R 5</c:v>
                </c:pt>
                <c:pt idx="5">
                  <c:v>R 6</c:v>
                </c:pt>
                <c:pt idx="6">
                  <c:v>R 7</c:v>
                </c:pt>
                <c:pt idx="7">
                  <c:v>R 8</c:v>
                </c:pt>
                <c:pt idx="8">
                  <c:v>R 9</c:v>
                </c:pt>
                <c:pt idx="9">
                  <c:v>R 10</c:v>
                </c:pt>
                <c:pt idx="10">
                  <c:v>R 11</c:v>
                </c:pt>
                <c:pt idx="11">
                  <c:v>R 12</c:v>
                </c:pt>
                <c:pt idx="12">
                  <c:v>RH</c:v>
                </c:pt>
              </c:strCache>
            </c:strRef>
          </c:cat>
          <c:val>
            <c:numRef>
              <c:f>'PROJECT SUMMARY DASH'!$I$2:$I$15</c:f>
              <c:numCache>
                <c:formatCode>_(* #,##0_);_(* \(#,##0\);_(* "-"??_);_(@_)</c:formatCode>
                <c:ptCount val="13"/>
                <c:pt idx="0">
                  <c:v>28800000</c:v>
                </c:pt>
                <c:pt idx="1">
                  <c:v>11274999.999999998</c:v>
                </c:pt>
                <c:pt idx="2">
                  <c:v>13020000</c:v>
                </c:pt>
                <c:pt idx="3">
                  <c:v>18920000</c:v>
                </c:pt>
                <c:pt idx="4">
                  <c:v>13420000.000000002</c:v>
                </c:pt>
                <c:pt idx="5">
                  <c:v>12312000.000000002</c:v>
                </c:pt>
                <c:pt idx="6">
                  <c:v>15576000</c:v>
                </c:pt>
                <c:pt idx="7">
                  <c:v>22204000</c:v>
                </c:pt>
                <c:pt idx="8">
                  <c:v>16128000</c:v>
                </c:pt>
                <c:pt idx="9">
                  <c:v>6336000</c:v>
                </c:pt>
                <c:pt idx="10">
                  <c:v>5796000</c:v>
                </c:pt>
                <c:pt idx="11">
                  <c:v>20880000</c:v>
                </c:pt>
                <c:pt idx="12">
                  <c:v>13664000</c:v>
                </c:pt>
              </c:numCache>
            </c:numRef>
          </c:val>
          <c:extLst>
            <c:ext xmlns:c16="http://schemas.microsoft.com/office/drawing/2014/chart" uri="{C3380CC4-5D6E-409C-BE32-E72D297353CC}">
              <c16:uniqueId val="{0000000C-985E-4696-9B83-9CD895A2ECF1}"/>
            </c:ext>
          </c:extLst>
        </c:ser>
        <c:ser>
          <c:idx val="8"/>
          <c:order val="8"/>
          <c:tx>
            <c:strRef>
              <c:f>'PROJECT SUMMARY DASH'!$J$1</c:f>
              <c:strCache>
                <c:ptCount val="1"/>
                <c:pt idx="0">
                  <c:v>Sum of TOTAL UNIT VALUE (SEMI FINISHED)</c:v>
                </c:pt>
              </c:strCache>
            </c:strRef>
          </c:tx>
          <c:spPr>
            <a:solidFill>
              <a:schemeClr val="accent5">
                <a:tint val="65000"/>
              </a:schemeClr>
            </a:solidFill>
            <a:ln>
              <a:noFill/>
            </a:ln>
            <a:effectLst/>
          </c:spPr>
          <c:invertIfNegative val="0"/>
          <c:cat>
            <c:strRef>
              <c:f>'PROJECT SUMMARY DASH'!$A$2:$A$15</c:f>
              <c:strCache>
                <c:ptCount val="13"/>
                <c:pt idx="0">
                  <c:v>R 1</c:v>
                </c:pt>
                <c:pt idx="1">
                  <c:v>R 2</c:v>
                </c:pt>
                <c:pt idx="2">
                  <c:v>R 3</c:v>
                </c:pt>
                <c:pt idx="3">
                  <c:v>R 4</c:v>
                </c:pt>
                <c:pt idx="4">
                  <c:v>R 5</c:v>
                </c:pt>
                <c:pt idx="5">
                  <c:v>R 6</c:v>
                </c:pt>
                <c:pt idx="6">
                  <c:v>R 7</c:v>
                </c:pt>
                <c:pt idx="7">
                  <c:v>R 8</c:v>
                </c:pt>
                <c:pt idx="8">
                  <c:v>R 9</c:v>
                </c:pt>
                <c:pt idx="9">
                  <c:v>R 10</c:v>
                </c:pt>
                <c:pt idx="10">
                  <c:v>R 11</c:v>
                </c:pt>
                <c:pt idx="11">
                  <c:v>R 12</c:v>
                </c:pt>
                <c:pt idx="12">
                  <c:v>RH</c:v>
                </c:pt>
              </c:strCache>
            </c:strRef>
          </c:cat>
          <c:val>
            <c:numRef>
              <c:f>'PROJECT SUMMARY DASH'!$J$2:$J$15</c:f>
              <c:numCache>
                <c:formatCode>_(* #,##0_);_(* \(#,##0\);_(* "-"??_);_(@_)</c:formatCode>
                <c:ptCount val="13"/>
                <c:pt idx="0">
                  <c:v>1066546981.5490874</c:v>
                </c:pt>
                <c:pt idx="1">
                  <c:v>469832417.97289401</c:v>
                </c:pt>
                <c:pt idx="2">
                  <c:v>483512269.90852791</c:v>
                </c:pt>
                <c:pt idx="3">
                  <c:v>753224540.62943995</c:v>
                </c:pt>
                <c:pt idx="4">
                  <c:v>547233428.51969016</c:v>
                </c:pt>
                <c:pt idx="5">
                  <c:v>516221240.95984352</c:v>
                </c:pt>
                <c:pt idx="6">
                  <c:v>589108892.68785322</c:v>
                </c:pt>
                <c:pt idx="7">
                  <c:v>901951809.7705096</c:v>
                </c:pt>
                <c:pt idx="8">
                  <c:v>635970312.23317194</c:v>
                </c:pt>
                <c:pt idx="9">
                  <c:v>251608685.96671501</c:v>
                </c:pt>
                <c:pt idx="10">
                  <c:v>249234555</c:v>
                </c:pt>
                <c:pt idx="11">
                  <c:v>833499710.49550617</c:v>
                </c:pt>
                <c:pt idx="12">
                  <c:v>360336466.976758</c:v>
                </c:pt>
              </c:numCache>
            </c:numRef>
          </c:val>
          <c:extLst>
            <c:ext xmlns:c16="http://schemas.microsoft.com/office/drawing/2014/chart" uri="{C3380CC4-5D6E-409C-BE32-E72D297353CC}">
              <c16:uniqueId val="{00000000-0FB6-4153-8ADD-163874CB2396}"/>
            </c:ext>
          </c:extLst>
        </c:ser>
        <c:ser>
          <c:idx val="9"/>
          <c:order val="9"/>
          <c:tx>
            <c:strRef>
              <c:f>'PROJECT SUMMARY DASH'!$K$1</c:f>
              <c:strCache>
                <c:ptCount val="1"/>
                <c:pt idx="0">
                  <c:v>Sum of TOTAL UNIT VALUE (BASIC FINISHED)</c:v>
                </c:pt>
              </c:strCache>
            </c:strRef>
          </c:tx>
          <c:spPr>
            <a:solidFill>
              <a:schemeClr val="accent5">
                <a:tint val="54000"/>
              </a:schemeClr>
            </a:solidFill>
            <a:ln>
              <a:noFill/>
            </a:ln>
            <a:effectLst/>
          </c:spPr>
          <c:invertIfNegative val="0"/>
          <c:cat>
            <c:strRef>
              <c:f>'PROJECT SUMMARY DASH'!$A$2:$A$15</c:f>
              <c:strCache>
                <c:ptCount val="13"/>
                <c:pt idx="0">
                  <c:v>R 1</c:v>
                </c:pt>
                <c:pt idx="1">
                  <c:v>R 2</c:v>
                </c:pt>
                <c:pt idx="2">
                  <c:v>R 3</c:v>
                </c:pt>
                <c:pt idx="3">
                  <c:v>R 4</c:v>
                </c:pt>
                <c:pt idx="4">
                  <c:v>R 5</c:v>
                </c:pt>
                <c:pt idx="5">
                  <c:v>R 6</c:v>
                </c:pt>
                <c:pt idx="6">
                  <c:v>R 7</c:v>
                </c:pt>
                <c:pt idx="7">
                  <c:v>R 8</c:v>
                </c:pt>
                <c:pt idx="8">
                  <c:v>R 9</c:v>
                </c:pt>
                <c:pt idx="9">
                  <c:v>R 10</c:v>
                </c:pt>
                <c:pt idx="10">
                  <c:v>R 11</c:v>
                </c:pt>
                <c:pt idx="11">
                  <c:v>R 12</c:v>
                </c:pt>
                <c:pt idx="12">
                  <c:v>RH</c:v>
                </c:pt>
              </c:strCache>
            </c:strRef>
          </c:cat>
          <c:val>
            <c:numRef>
              <c:f>'PROJECT SUMMARY DASH'!$K$2:$K$15</c:f>
              <c:numCache>
                <c:formatCode>_(* #,##0_);_(* \(#,##0\);_(* "-"??_);_(@_)</c:formatCode>
                <c:ptCount val="13"/>
                <c:pt idx="0">
                  <c:v>1166068981.5490878</c:v>
                </c:pt>
                <c:pt idx="1">
                  <c:v>512379917.97289389</c:v>
                </c:pt>
                <c:pt idx="2">
                  <c:v>525965269.90852797</c:v>
                </c:pt>
                <c:pt idx="3">
                  <c:v>818276540.62943995</c:v>
                </c:pt>
                <c:pt idx="4">
                  <c:v>594163928.51969016</c:v>
                </c:pt>
                <c:pt idx="5">
                  <c:v>557828240.9598434</c:v>
                </c:pt>
                <c:pt idx="6">
                  <c:v>636250892.68785322</c:v>
                </c:pt>
                <c:pt idx="7">
                  <c:v>971737809.7705096</c:v>
                </c:pt>
                <c:pt idx="8">
                  <c:v>683508312.23317194</c:v>
                </c:pt>
                <c:pt idx="9">
                  <c:v>269523185.96671498</c:v>
                </c:pt>
                <c:pt idx="10">
                  <c:v>266541555</c:v>
                </c:pt>
                <c:pt idx="11">
                  <c:v>888030710.49550617</c:v>
                </c:pt>
                <c:pt idx="12">
                  <c:v>379443466.976758</c:v>
                </c:pt>
              </c:numCache>
            </c:numRef>
          </c:val>
          <c:extLst>
            <c:ext xmlns:c16="http://schemas.microsoft.com/office/drawing/2014/chart" uri="{C3380CC4-5D6E-409C-BE32-E72D297353CC}">
              <c16:uniqueId val="{00000002-0FB6-4153-8ADD-163874CB2396}"/>
            </c:ext>
          </c:extLst>
        </c:ser>
        <c:ser>
          <c:idx val="10"/>
          <c:order val="10"/>
          <c:tx>
            <c:strRef>
              <c:f>'PROJECT SUMMARY DASH'!$L$1</c:f>
              <c:strCache>
                <c:ptCount val="1"/>
                <c:pt idx="0">
                  <c:v>Sum of TOTAL UNIT VALUE (FULLY FINISHED)</c:v>
                </c:pt>
              </c:strCache>
            </c:strRef>
          </c:tx>
          <c:spPr>
            <a:solidFill>
              <a:schemeClr val="accent5">
                <a:tint val="42000"/>
              </a:schemeClr>
            </a:solidFill>
            <a:ln>
              <a:noFill/>
            </a:ln>
            <a:effectLst/>
          </c:spPr>
          <c:invertIfNegative val="0"/>
          <c:cat>
            <c:strRef>
              <c:f>'PROJECT SUMMARY DASH'!$A$2:$A$15</c:f>
              <c:strCache>
                <c:ptCount val="13"/>
                <c:pt idx="0">
                  <c:v>R 1</c:v>
                </c:pt>
                <c:pt idx="1">
                  <c:v>R 2</c:v>
                </c:pt>
                <c:pt idx="2">
                  <c:v>R 3</c:v>
                </c:pt>
                <c:pt idx="3">
                  <c:v>R 4</c:v>
                </c:pt>
                <c:pt idx="4">
                  <c:v>R 5</c:v>
                </c:pt>
                <c:pt idx="5">
                  <c:v>R 6</c:v>
                </c:pt>
                <c:pt idx="6">
                  <c:v>R 7</c:v>
                </c:pt>
                <c:pt idx="7">
                  <c:v>R 8</c:v>
                </c:pt>
                <c:pt idx="8">
                  <c:v>R 9</c:v>
                </c:pt>
                <c:pt idx="9">
                  <c:v>R 10</c:v>
                </c:pt>
                <c:pt idx="10">
                  <c:v>R 11</c:v>
                </c:pt>
                <c:pt idx="11">
                  <c:v>R 12</c:v>
                </c:pt>
                <c:pt idx="12">
                  <c:v>RH</c:v>
                </c:pt>
              </c:strCache>
            </c:strRef>
          </c:cat>
          <c:val>
            <c:numRef>
              <c:f>'PROJECT SUMMARY DASH'!$L$2:$L$15</c:f>
              <c:numCache>
                <c:formatCode>_(* #,##0_);_(* \(#,##0\);_(* "-"??_);_(@_)</c:formatCode>
                <c:ptCount val="13"/>
                <c:pt idx="0">
                  <c:v>1232416981.5490878</c:v>
                </c:pt>
                <c:pt idx="1">
                  <c:v>540744917.97289383</c:v>
                </c:pt>
                <c:pt idx="2">
                  <c:v>554267269.90852797</c:v>
                </c:pt>
                <c:pt idx="3">
                  <c:v>861644540.62943995</c:v>
                </c:pt>
                <c:pt idx="4">
                  <c:v>625450928.51969016</c:v>
                </c:pt>
                <c:pt idx="5">
                  <c:v>585566240.95984364</c:v>
                </c:pt>
                <c:pt idx="6">
                  <c:v>667678892.68785322</c:v>
                </c:pt>
                <c:pt idx="7">
                  <c:v>1018261809.7705096</c:v>
                </c:pt>
                <c:pt idx="8">
                  <c:v>715200312.23317194</c:v>
                </c:pt>
                <c:pt idx="9">
                  <c:v>281466185.96671498</c:v>
                </c:pt>
                <c:pt idx="10">
                  <c:v>278079555</c:v>
                </c:pt>
                <c:pt idx="11">
                  <c:v>924384710.49550617</c:v>
                </c:pt>
                <c:pt idx="12">
                  <c:v>392181466.976758</c:v>
                </c:pt>
              </c:numCache>
            </c:numRef>
          </c:val>
          <c:extLst>
            <c:ext xmlns:c16="http://schemas.microsoft.com/office/drawing/2014/chart" uri="{C3380CC4-5D6E-409C-BE32-E72D297353CC}">
              <c16:uniqueId val="{00000003-0FB6-4153-8ADD-163874CB2396}"/>
            </c:ext>
          </c:extLst>
        </c:ser>
        <c:dLbls>
          <c:showLegendKey val="0"/>
          <c:showVal val="0"/>
          <c:showCatName val="0"/>
          <c:showSerName val="0"/>
          <c:showPercent val="0"/>
          <c:showBubbleSize val="0"/>
        </c:dLbls>
        <c:gapWidth val="219"/>
        <c:overlap val="-27"/>
        <c:axId val="128336415"/>
        <c:axId val="128334015"/>
      </c:barChart>
      <c:catAx>
        <c:axId val="12833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8334015"/>
        <c:crosses val="autoZero"/>
        <c:auto val="1"/>
        <c:lblAlgn val="ctr"/>
        <c:lblOffset val="100"/>
        <c:noMultiLvlLbl val="0"/>
      </c:catAx>
      <c:valAx>
        <c:axId val="128334015"/>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833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landscape" verticalDpi="0"/>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View Premium</cx:v>
        </cx:txData>
      </cx:tx>
      <cx:txPr>
        <a:bodyPr spcFirstLastPara="1" vertOverflow="ellipsis" horzOverflow="overflow" wrap="square" lIns="0" tIns="0" rIns="0" bIns="0" anchor="ctr" anchorCtr="1"/>
        <a:lstStyle/>
        <a:p>
          <a:pPr algn="ctr" rtl="0">
            <a:defRPr/>
          </a:pPr>
          <a:r>
            <a:rPr lang="en-US" sz="1200" b="0" i="0" u="none" strike="noStrike" baseline="0">
              <a:solidFill>
                <a:schemeClr val="tx1">
                  <a:lumMod val="50000"/>
                  <a:lumOff val="50000"/>
                </a:schemeClr>
              </a:solidFill>
              <a:latin typeface="Calibri" panose="020F0502020204030204"/>
            </a:rPr>
            <a:t>View Premium</a:t>
          </a:r>
        </a:p>
      </cx:txPr>
    </cx:title>
    <cx:plotArea>
      <cx:plotAreaRegion>
        <cx:series layoutId="funnel" uniqueId="{A5BF512E-3C9B-49E4-9E23-74F53AC9B663}">
          <cx:tx>
            <cx:txData>
              <cx:f>_xlchart.v2.1</cx:f>
              <cx:v>PREMIUM %</cx:v>
            </cx:txData>
          </cx:tx>
          <cx:spPr>
            <a:solidFill>
              <a:schemeClr val="accent5">
                <a:lumMod val="40000"/>
                <a:lumOff val="60000"/>
              </a:schemeClr>
            </a:solidFill>
          </cx:spPr>
          <cx:dataLabels>
            <cx:numFmt formatCode="0%" sourceLinked="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solidFill>
                  <a:latin typeface="Calibri" panose="020F0502020204030204"/>
                </a:endParaRPr>
              </a:p>
            </cx:txPr>
            <cx:visibility seriesName="0" categoryName="0" value="1"/>
            <cx:separator>, </cx:separator>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a:solidFill>
                  <a:schemeClr val="tx1">
                    <a:lumMod val="50000"/>
                    <a:lumOff val="50000"/>
                  </a:schemeClr>
                </a:solidFill>
              </a:defRPr>
            </a:pPr>
            <a:endParaRPr lang="en-US" sz="900" b="0" i="0" u="none" strike="noStrike" baseline="0">
              <a:solidFill>
                <a:schemeClr val="tx1">
                  <a:lumMod val="50000"/>
                  <a:lumOff val="50000"/>
                </a:schemeClr>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
    <cx:title pos="t" align="ctr" overlay="0">
      <cx:tx>
        <cx:txData>
          <cx:v>Internal Location Premium</cx:v>
        </cx:txData>
      </cx:tx>
      <cx:txPr>
        <a:bodyPr spcFirstLastPara="1" vertOverflow="ellipsis" horzOverflow="overflow" wrap="square" lIns="0" tIns="0" rIns="0" bIns="0" anchor="ctr" anchorCtr="1"/>
        <a:lstStyle/>
        <a:p>
          <a:pPr algn="ctr" rtl="0">
            <a:defRPr/>
          </a:pPr>
          <a:r>
            <a:rPr lang="en-US" sz="1200" b="0" i="0" u="none" strike="noStrike" cap="none" spc="20" baseline="0">
              <a:solidFill>
                <a:sysClr val="windowText" lastClr="000000">
                  <a:lumMod val="50000"/>
                  <a:lumOff val="50000"/>
                </a:sysClr>
              </a:solidFill>
              <a:latin typeface="Calibri" panose="020F0502020204030204"/>
            </a:rPr>
            <a:t>Internal Location Premium</a:t>
          </a:r>
        </a:p>
      </cx:txPr>
    </cx:title>
    <cx:plotArea>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title pos="t" align="ctr" overlay="0">
      <cx:tx>
        <cx:txData>
          <cx:v>Orientation Premium</cx:v>
        </cx:txData>
      </cx:tx>
      <cx:txPr>
        <a:bodyPr spcFirstLastPara="1" vertOverflow="ellipsis" horzOverflow="overflow" wrap="square" lIns="0" tIns="0" rIns="0" bIns="0" anchor="ctr" anchorCtr="1"/>
        <a:lstStyle/>
        <a:p>
          <a:pPr algn="ctr" rtl="0">
            <a:defRPr/>
          </a:pPr>
          <a:r>
            <a:rPr lang="en-US" sz="1200" b="0" i="0" u="none" strike="noStrike" baseline="0">
              <a:solidFill>
                <a:schemeClr val="tx1">
                  <a:lumMod val="50000"/>
                  <a:lumOff val="50000"/>
                </a:schemeClr>
              </a:solidFill>
              <a:latin typeface="Calibri" panose="020F0502020204030204"/>
            </a:rPr>
            <a:t>Orientation Premium</a:t>
          </a:r>
        </a:p>
      </cx:txPr>
    </cx:title>
    <cx:plotArea>
      <cx:plotAreaRegion>
        <cx:series layoutId="funnel" uniqueId="{F355EE39-BFAC-476F-B9FC-E70D19C1AF81}">
          <cx:tx>
            <cx:txData>
              <cx:f>_xlchart.v2.3</cx:f>
              <cx:v>NE N NW E W SE SW S</cx:v>
            </cx:txData>
          </cx:tx>
          <cx:spPr>
            <a:solidFill>
              <a:schemeClr val="accent5">
                <a:lumMod val="40000"/>
                <a:lumOff val="60000"/>
              </a:schemeClr>
            </a:solidFill>
          </cx:spPr>
          <cx:data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visibility seriesName="0" categoryName="0" value="1"/>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a:solidFill>
                  <a:schemeClr val="tx1">
                    <a:lumMod val="50000"/>
                    <a:lumOff val="50000"/>
                  </a:schemeClr>
                </a:solidFill>
              </a:defRPr>
            </a:pPr>
            <a:endParaRPr lang="en-US" sz="900" b="0" i="0" u="none" strike="noStrike" baseline="0">
              <a:solidFill>
                <a:schemeClr val="tx1">
                  <a:lumMod val="50000"/>
                  <a:lumOff val="50000"/>
                </a:schemeClr>
              </a:solidFill>
              <a:latin typeface="Calibri" panose="020F0502020204030204"/>
            </a:endParaRPr>
          </a:p>
        </cx:txPr>
      </cx:axis>
    </cx:plotArea>
  </cx:chart>
  <cx:spPr>
    <a:solidFill>
      <a:sysClr val="window" lastClr="FFFFFF"/>
    </a:solid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title pos="t" align="ctr" overlay="0">
      <cx:tx>
        <cx:txData>
          <cx:v>Area Premium</cx:v>
        </cx:txData>
      </cx:tx>
      <cx:txPr>
        <a:bodyPr spcFirstLastPara="1" vertOverflow="ellipsis" horzOverflow="overflow" wrap="square" lIns="0" tIns="0" rIns="0" bIns="0" anchor="ctr" anchorCtr="1"/>
        <a:lstStyle/>
        <a:p>
          <a:pPr algn="ctr" rtl="0">
            <a:defRPr/>
          </a:pPr>
          <a:r>
            <a:rPr lang="en-US" sz="1200" b="0" i="0" u="none" strike="noStrike" baseline="0">
              <a:solidFill>
                <a:schemeClr val="tx1">
                  <a:lumMod val="50000"/>
                  <a:lumOff val="50000"/>
                </a:schemeClr>
              </a:solidFill>
              <a:latin typeface="Calibri" panose="020F0502020204030204"/>
            </a:rPr>
            <a:t>Area Premium</a:t>
          </a:r>
        </a:p>
      </cx:txPr>
    </cx:title>
    <cx:plotArea>
      <cx:plotAreaRegion>
        <cx:series layoutId="funnel" uniqueId="{EFB79580-43CF-4B88-872F-418495AAC047}">
          <cx:tx>
            <cx:txData>
              <cx:f>_xlchart.v2.6</cx:f>
              <cx:v>PREMIUM %</cx:v>
            </cx:txData>
          </cx:tx>
          <cx:spPr>
            <a:solidFill>
              <a:schemeClr val="accent5">
                <a:lumMod val="40000"/>
                <a:lumOff val="60000"/>
              </a:schemeClr>
            </a:solidFill>
          </cx:spPr>
          <cx:data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visibility seriesName="0" categoryName="0" value="1"/>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a:solidFill>
                  <a:schemeClr val="tx1">
                    <a:lumMod val="50000"/>
                    <a:lumOff val="50000"/>
                  </a:schemeClr>
                </a:solidFill>
              </a:defRPr>
            </a:pPr>
            <a:endParaRPr lang="en-US" sz="900" b="0" i="0" u="none" strike="noStrike" baseline="0">
              <a:solidFill>
                <a:schemeClr val="tx1">
                  <a:lumMod val="50000"/>
                  <a:lumOff val="50000"/>
                </a:schemeClr>
              </a:solidFill>
              <a:latin typeface="Calibri" panose="020F0502020204030204"/>
            </a:endParaRPr>
          </a:p>
        </cx:txPr>
      </cx:axis>
    </cx:plotArea>
  </cx:chart>
  <cx:spPr>
    <a:solidFill>
      <a:sysClr val="window" lastClr="FFFFFF"/>
    </a:solid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_xlchart.v2.10</cx:f>
      </cx:numDim>
    </cx:data>
  </cx:chartData>
  <cx:chart>
    <cx:title pos="t" align="ctr" overlay="0">
      <cx:tx>
        <cx:txData>
          <cx:v>Floor Premium</cx:v>
        </cx:txData>
      </cx:tx>
      <cx:txPr>
        <a:bodyPr spcFirstLastPara="1" vertOverflow="ellipsis" horzOverflow="overflow" wrap="square" lIns="0" tIns="0" rIns="0" bIns="0" anchor="ctr" anchorCtr="1"/>
        <a:lstStyle/>
        <a:p>
          <a:pPr algn="ctr" rtl="0">
            <a:defRPr/>
          </a:pPr>
          <a:r>
            <a:rPr lang="en-US" sz="1200" b="0" i="0" u="none" strike="noStrike" baseline="0">
              <a:solidFill>
                <a:schemeClr val="tx1">
                  <a:lumMod val="50000"/>
                  <a:lumOff val="50000"/>
                </a:schemeClr>
              </a:solidFill>
              <a:latin typeface="Calibri" panose="020F0502020204030204"/>
            </a:rPr>
            <a:t>Floor Premium</a:t>
          </a:r>
        </a:p>
      </cx:txPr>
    </cx:title>
    <cx:plotArea>
      <cx:plotAreaRegion>
        <cx:series layoutId="funnel" uniqueId="{91CE1148-15C8-40DA-B75D-24F8BE61D5BC}">
          <cx:tx>
            <cx:txData>
              <cx:f>_xlchart.v2.9</cx:f>
              <cx:v>PREMIUM %</cx:v>
            </cx:txData>
          </cx:tx>
          <cx:spPr>
            <a:solidFill>
              <a:schemeClr val="accent5">
                <a:lumMod val="40000"/>
                <a:lumOff val="60000"/>
              </a:schemeClr>
            </a:solidFill>
          </cx:spPr>
          <cx:data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visibility seriesName="0" categoryName="0" value="1"/>
          </cx:dataLabels>
          <cx:dataId val="0"/>
        </cx:series>
      </cx:plotAreaRegion>
      <cx:axis id="0">
        <cx:catScaling gapWidth="0.0599999987"/>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_xlchart.v2.14</cx:f>
      </cx:strDim>
      <cx:numDim type="val">
        <cx:f>_xlchart.v2.16</cx:f>
      </cx:numDim>
    </cx:data>
  </cx:chartData>
  <cx:chart>
    <cx:title pos="t" align="ctr" overlay="0">
      <cx:tx>
        <cx:txData>
          <cx:v>Floor Premium</cx:v>
        </cx:txData>
      </cx:tx>
      <cx:txPr>
        <a:bodyPr spcFirstLastPara="1" vertOverflow="ellipsis" horzOverflow="overflow" wrap="square" lIns="0" tIns="0" rIns="0" bIns="0" anchor="ctr" anchorCtr="1"/>
        <a:lstStyle/>
        <a:p>
          <a:pPr algn="ctr" rtl="0">
            <a:defRPr/>
          </a:pPr>
          <a:r>
            <a:rPr lang="en-US" sz="1200" b="0" i="0" u="none" strike="noStrike" baseline="0">
              <a:solidFill>
                <a:schemeClr val="tx1">
                  <a:lumMod val="50000"/>
                  <a:lumOff val="50000"/>
                </a:schemeClr>
              </a:solidFill>
              <a:latin typeface="Calibri" panose="020F0502020204030204"/>
            </a:rPr>
            <a:t>Floor Premium</a:t>
          </a:r>
        </a:p>
      </cx:txPr>
    </cx:title>
    <cx:plotArea>
      <cx:plotAreaRegion>
        <cx:series layoutId="funnel" uniqueId="{91CE1148-15C8-40DA-B75D-24F8BE61D5BC}">
          <cx:tx>
            <cx:txData>
              <cx:f>_xlchart.v2.15</cx:f>
              <cx:v>PREMIUM %</cx:v>
            </cx:txData>
          </cx:tx>
          <cx:spPr>
            <a:solidFill>
              <a:schemeClr val="accent5">
                <a:lumMod val="40000"/>
                <a:lumOff val="60000"/>
              </a:schemeClr>
            </a:solidFill>
          </cx:spPr>
          <cx:data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visibility seriesName="0" categoryName="0" value="1"/>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a:solidFill>
                  <a:schemeClr val="tx1">
                    <a:lumMod val="50000"/>
                    <a:lumOff val="50000"/>
                  </a:schemeClr>
                </a:solidFill>
              </a:defRPr>
            </a:pPr>
            <a:endParaRPr lang="en-US" sz="900" b="0" i="0" u="none" strike="noStrike" baseline="0">
              <a:solidFill>
                <a:schemeClr val="tx1">
                  <a:lumMod val="50000"/>
                  <a:lumOff val="50000"/>
                </a:schemeClr>
              </a:solidFill>
              <a:latin typeface="Calibri" panose="020F0502020204030204"/>
            </a:endParaRPr>
          </a:p>
        </cx:txPr>
      </cx:axis>
    </cx:plotArea>
  </cx:chart>
  <cx:spPr>
    <a:solidFill>
      <a:sysClr val="window" lastClr="FFFFFF"/>
    </a:solidFill>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_xlchart.v2.13</cx:f>
      </cx:numDim>
    </cx:data>
  </cx:chartData>
  <cx:chart>
    <cx:title pos="t" align="ctr" overlay="0">
      <cx:tx>
        <cx:txData>
          <cx:v>Internal Location Premium</cx:v>
        </cx:txData>
      </cx:tx>
      <cx:txPr>
        <a:bodyPr spcFirstLastPara="1" vertOverflow="ellipsis" horzOverflow="overflow" wrap="square" lIns="0" tIns="0" rIns="0" bIns="0" anchor="ctr" anchorCtr="1"/>
        <a:lstStyle/>
        <a:p>
          <a:pPr algn="ctr" rtl="0">
            <a:defRPr/>
          </a:pPr>
          <a:r>
            <a:rPr lang="en-US" sz="1200" b="0" i="0" u="none" strike="noStrike" cap="none" spc="20" baseline="0">
              <a:solidFill>
                <a:sysClr val="windowText" lastClr="000000">
                  <a:lumMod val="50000"/>
                  <a:lumOff val="50000"/>
                </a:sysClr>
              </a:solidFill>
              <a:latin typeface="Calibri" panose="020F0502020204030204"/>
            </a:rPr>
            <a:t>Internal Location Premium</a:t>
          </a:r>
        </a:p>
      </cx:txPr>
    </cx:title>
    <cx:plotArea>
      <cx:plotAreaRegion>
        <cx:series layoutId="funnel" uniqueId="{00000000-1A4B-4F2B-9F15-01B720B36A22}">
          <cx:tx>
            <cx:txData>
              <cx:f>_xlchart.v2.12</cx:f>
              <cx:v>PREMIUM %</cx:v>
            </cx:txData>
          </cx:tx>
          <cx:dataPt idx="0">
            <cx:spPr>
              <a:solidFill>
                <a:srgbClr val="5B9BD5">
                  <a:lumMod val="40000"/>
                  <a:lumOff val="60000"/>
                </a:srgbClr>
              </a:solidFill>
            </cx:spPr>
          </cx:dataPt>
          <cx:dataPt idx="1">
            <cx:spPr>
              <a:solidFill>
                <a:srgbClr val="5B9BD5">
                  <a:lumMod val="40000"/>
                  <a:lumOff val="60000"/>
                </a:srgbClr>
              </a:solidFill>
            </cx:spPr>
          </cx:dataPt>
          <cx:dataLabels>
            <cx:visibility seriesName="0" categoryName="0" value="1"/>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a:solidFill>
                  <a:schemeClr val="tx1">
                    <a:lumMod val="50000"/>
                    <a:lumOff val="50000"/>
                  </a:schemeClr>
                </a:solidFill>
              </a:defRPr>
            </a:pPr>
            <a:endParaRPr lang="en-US" sz="900" b="0" i="0" u="none" strike="noStrike" baseline="0">
              <a:solidFill>
                <a:schemeClr val="tx1">
                  <a:lumMod val="50000"/>
                  <a:lumOff val="50000"/>
                </a:scheme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P$73"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3.xml"/><Relationship Id="rId7" Type="http://schemas.openxmlformats.org/officeDocument/2006/relationships/chart" Target="../charts/chart7.xml"/><Relationship Id="rId2" Type="http://schemas.microsoft.com/office/2014/relationships/chartEx" Target="../charts/chartEx2.xml"/><Relationship Id="rId1" Type="http://schemas.microsoft.com/office/2014/relationships/chartEx" Target="../charts/chartEx1.xml"/><Relationship Id="rId6" Type="http://schemas.microsoft.com/office/2014/relationships/chartEx" Target="../charts/chartEx6.xml"/><Relationship Id="rId5" Type="http://schemas.microsoft.com/office/2014/relationships/chartEx" Target="../charts/chartEx5.xml"/><Relationship Id="rId4" Type="http://schemas.microsoft.com/office/2014/relationships/chartEx" Target="../charts/chartEx4.xml"/><Relationship Id="rId9" Type="http://schemas.microsoft.com/office/2014/relationships/chartEx" Target="../charts/chartEx7.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66675</xdr:colOff>
      <xdr:row>15</xdr:row>
      <xdr:rowOff>128587</xdr:rowOff>
    </xdr:from>
    <xdr:to>
      <xdr:col>9</xdr:col>
      <xdr:colOff>962025</xdr:colOff>
      <xdr:row>38</xdr:row>
      <xdr:rowOff>47625</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77390</xdr:colOff>
      <xdr:row>7</xdr:row>
      <xdr:rowOff>146446</xdr:rowOff>
    </xdr:from>
    <xdr:to>
      <xdr:col>2</xdr:col>
      <xdr:colOff>875109</xdr:colOff>
      <xdr:row>22</xdr:row>
      <xdr:rowOff>32146</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244078</xdr:colOff>
      <xdr:row>0</xdr:row>
      <xdr:rowOff>98821</xdr:rowOff>
    </xdr:from>
    <xdr:to>
      <xdr:col>5</xdr:col>
      <xdr:colOff>1500187</xdr:colOff>
      <xdr:row>27</xdr:row>
      <xdr:rowOff>47625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257175</xdr:colOff>
      <xdr:row>10</xdr:row>
      <xdr:rowOff>38101</xdr:rowOff>
    </xdr:from>
    <xdr:to>
      <xdr:col>19</xdr:col>
      <xdr:colOff>25664</xdr:colOff>
      <xdr:row>23</xdr:row>
      <xdr:rowOff>57150</xdr:rowOff>
    </xdr:to>
    <xdr:pic>
      <xdr:nvPicPr>
        <xdr:cNvPr id="2" name="Picture 1" descr="Ordinary Annuity Present Value Formulas">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5800" y="1971676"/>
          <a:ext cx="5512064" cy="2562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38100</xdr:colOff>
      <xdr:row>21</xdr:row>
      <xdr:rowOff>47625</xdr:rowOff>
    </xdr:from>
    <xdr:to>
      <xdr:col>18</xdr:col>
      <xdr:colOff>571500</xdr:colOff>
      <xdr:row>22</xdr:row>
      <xdr:rowOff>142875</xdr:rowOff>
    </xdr:to>
    <xdr:sp macro="" textlink="">
      <xdr:nvSpPr>
        <xdr:cNvPr id="3" name="Rectangle 2">
          <a:extLst>
            <a:ext uri="{FF2B5EF4-FFF2-40B4-BE49-F238E27FC236}">
              <a16:creationId xmlns:a16="http://schemas.microsoft.com/office/drawing/2014/main" id="{00000000-0008-0000-0400-000003000000}"/>
            </a:ext>
          </a:extLst>
        </xdr:cNvPr>
        <xdr:cNvSpPr/>
      </xdr:nvSpPr>
      <xdr:spPr>
        <a:xfrm>
          <a:off x="12001500" y="4133850"/>
          <a:ext cx="1752600" cy="2857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438150</xdr:colOff>
          <xdr:row>57</xdr:row>
          <xdr:rowOff>85725</xdr:rowOff>
        </xdr:from>
        <xdr:to>
          <xdr:col>15</xdr:col>
          <xdr:colOff>361950</xdr:colOff>
          <xdr:row>60</xdr:row>
          <xdr:rowOff>161925</xdr:rowOff>
        </xdr:to>
        <xdr:sp macro="" textlink="">
          <xdr:nvSpPr>
            <xdr:cNvPr id="29697" name="Check Box 1" hidden="1">
              <a:extLst>
                <a:ext uri="{63B3BB69-23CF-44E3-9099-C40C66FF867C}">
                  <a14:compatExt spid="_x0000_s29697"/>
                </a:ext>
                <a:ext uri="{FF2B5EF4-FFF2-40B4-BE49-F238E27FC236}">
                  <a16:creationId xmlns:a16="http://schemas.microsoft.com/office/drawing/2014/main" id="{00000000-0008-0000-0500-000001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Check Box 1</a:t>
              </a:r>
            </a:p>
          </xdr:txBody>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7</xdr:col>
      <xdr:colOff>125016</xdr:colOff>
      <xdr:row>3</xdr:row>
      <xdr:rowOff>39290</xdr:rowOff>
    </xdr:from>
    <xdr:to>
      <xdr:col>15</xdr:col>
      <xdr:colOff>77392</xdr:colOff>
      <xdr:row>17</xdr:row>
      <xdr:rowOff>115490</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41672</xdr:colOff>
      <xdr:row>6</xdr:row>
      <xdr:rowOff>110727</xdr:rowOff>
    </xdr:from>
    <xdr:to>
      <xdr:col>3</xdr:col>
      <xdr:colOff>1678781</xdr:colOff>
      <xdr:row>23</xdr:row>
      <xdr:rowOff>95248</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815578</xdr:colOff>
      <xdr:row>5</xdr:row>
      <xdr:rowOff>146446</xdr:rowOff>
    </xdr:from>
    <xdr:to>
      <xdr:col>5</xdr:col>
      <xdr:colOff>1744265</xdr:colOff>
      <xdr:row>20</xdr:row>
      <xdr:rowOff>32146</xdr:rowOff>
    </xdr:to>
    <xdr:graphicFrame macro="">
      <xdr:nvGraphicFramePr>
        <xdr:cNvPr id="6" name="Chart 5">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8</xdr:col>
      <xdr:colOff>85725</xdr:colOff>
      <xdr:row>171</xdr:row>
      <xdr:rowOff>9526</xdr:rowOff>
    </xdr:from>
    <xdr:to>
      <xdr:col>15</xdr:col>
      <xdr:colOff>514350</xdr:colOff>
      <xdr:row>195</xdr:row>
      <xdr:rowOff>9526</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57950" y="32585026"/>
              <a:ext cx="4695825" cy="4572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85725</xdr:colOff>
      <xdr:row>172</xdr:row>
      <xdr:rowOff>0</xdr:rowOff>
    </xdr:from>
    <xdr:to>
      <xdr:col>15</xdr:col>
      <xdr:colOff>600075</xdr:colOff>
      <xdr:row>172</xdr:row>
      <xdr:rowOff>19050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457950" y="32766000"/>
              <a:ext cx="4781550" cy="19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752475</xdr:colOff>
      <xdr:row>162</xdr:row>
      <xdr:rowOff>0</xdr:rowOff>
    </xdr:from>
    <xdr:to>
      <xdr:col>15</xdr:col>
      <xdr:colOff>533400</xdr:colOff>
      <xdr:row>171</xdr:row>
      <xdr:rowOff>180975</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353175" y="30861000"/>
              <a:ext cx="4819650" cy="18954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66676</xdr:colOff>
      <xdr:row>196</xdr:row>
      <xdr:rowOff>0</xdr:rowOff>
    </xdr:from>
    <xdr:to>
      <xdr:col>15</xdr:col>
      <xdr:colOff>409576</xdr:colOff>
      <xdr:row>204</xdr:row>
      <xdr:rowOff>180975</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00000000-0008-0000-0C00-000005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438901" y="37338000"/>
              <a:ext cx="4610100" cy="17049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66675</xdr:colOff>
      <xdr:row>1</xdr:row>
      <xdr:rowOff>190500</xdr:rowOff>
    </xdr:from>
    <xdr:to>
      <xdr:col>14</xdr:col>
      <xdr:colOff>447675</xdr:colOff>
      <xdr:row>9</xdr:row>
      <xdr:rowOff>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00000000-0008-0000-0C00-000006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438900" y="381000"/>
              <a:ext cx="4038600" cy="1333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66674</xdr:colOff>
      <xdr:row>211</xdr:row>
      <xdr:rowOff>0</xdr:rowOff>
    </xdr:from>
    <xdr:to>
      <xdr:col>15</xdr:col>
      <xdr:colOff>523875</xdr:colOff>
      <xdr:row>219</xdr:row>
      <xdr:rowOff>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00000000-0008-0000-0C00-000007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438899" y="40195500"/>
              <a:ext cx="4724401" cy="1524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152398</xdr:colOff>
      <xdr:row>150</xdr:row>
      <xdr:rowOff>85726</xdr:rowOff>
    </xdr:from>
    <xdr:to>
      <xdr:col>15</xdr:col>
      <xdr:colOff>342899</xdr:colOff>
      <xdr:row>161</xdr:row>
      <xdr:rowOff>85726</xdr:rowOff>
    </xdr:to>
    <xdr:graphicFrame macro="">
      <xdr:nvGraphicFramePr>
        <xdr:cNvPr id="9" name="Chart 8">
          <a:extLst>
            <a:ext uri="{FF2B5EF4-FFF2-40B4-BE49-F238E27FC236}">
              <a16:creationId xmlns:a16="http://schemas.microsoft.com/office/drawing/2014/main" id="{00000000-0008-0000-0C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533399</xdr:colOff>
      <xdr:row>89</xdr:row>
      <xdr:rowOff>95250</xdr:rowOff>
    </xdr:from>
    <xdr:to>
      <xdr:col>14</xdr:col>
      <xdr:colOff>457200</xdr:colOff>
      <xdr:row>100</xdr:row>
      <xdr:rowOff>76199</xdr:rowOff>
    </xdr:to>
    <xdr:graphicFrame macro="">
      <xdr:nvGraphicFramePr>
        <xdr:cNvPr id="10" name="Chart 9">
          <a:extLst>
            <a:ext uri="{FF2B5EF4-FFF2-40B4-BE49-F238E27FC236}">
              <a16:creationId xmlns:a16="http://schemas.microsoft.com/office/drawing/2014/main" id="{00000000-0008-0000-0C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85725</xdr:colOff>
      <xdr:row>205</xdr:row>
      <xdr:rowOff>0</xdr:rowOff>
    </xdr:from>
    <xdr:to>
      <xdr:col>15</xdr:col>
      <xdr:colOff>523875</xdr:colOff>
      <xdr:row>210</xdr:row>
      <xdr:rowOff>19050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00000000-0008-0000-0C00-00000B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457950" y="39052500"/>
              <a:ext cx="4705350" cy="9715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190499</xdr:colOff>
      <xdr:row>199</xdr:row>
      <xdr:rowOff>123825</xdr:rowOff>
    </xdr:from>
    <xdr:to>
      <xdr:col>11</xdr:col>
      <xdr:colOff>219075</xdr:colOff>
      <xdr:row>216</xdr:row>
      <xdr:rowOff>4762</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661986</xdr:colOff>
      <xdr:row>1030</xdr:row>
      <xdr:rowOff>9525</xdr:rowOff>
    </xdr:from>
    <xdr:to>
      <xdr:col>10</xdr:col>
      <xdr:colOff>380999</xdr:colOff>
      <xdr:row>1050</xdr:row>
      <xdr:rowOff>33337</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176211</xdr:colOff>
      <xdr:row>1055</xdr:row>
      <xdr:rowOff>33336</xdr:rowOff>
    </xdr:from>
    <xdr:to>
      <xdr:col>13</xdr:col>
      <xdr:colOff>352425</xdr:colOff>
      <xdr:row>1075</xdr:row>
      <xdr:rowOff>142875</xdr:rowOff>
    </xdr:to>
    <xdr:graphicFrame macro="">
      <xdr:nvGraphicFramePr>
        <xdr:cNvPr id="6" name="Chart 5">
          <a:extLst>
            <a:ext uri="{FF2B5EF4-FFF2-40B4-BE49-F238E27FC236}">
              <a16:creationId xmlns:a16="http://schemas.microsoft.com/office/drawing/2014/main" id="{00000000-0008-0000-0E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11205</xdr:colOff>
      <xdr:row>3</xdr:row>
      <xdr:rowOff>56030</xdr:rowOff>
    </xdr:from>
    <xdr:to>
      <xdr:col>3</xdr:col>
      <xdr:colOff>68835</xdr:colOff>
      <xdr:row>6</xdr:row>
      <xdr:rowOff>179295</xdr:rowOff>
    </xdr:to>
    <xdr:pic>
      <xdr:nvPicPr>
        <xdr:cNvPr id="5" name="Graphic 4" descr="Caret Up with solid fill">
          <a:extLst>
            <a:ext uri="{FF2B5EF4-FFF2-40B4-BE49-F238E27FC236}">
              <a16:creationId xmlns:a16="http://schemas.microsoft.com/office/drawing/2014/main" id="{00000000-0008-0000-0F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28381" y="627530"/>
          <a:ext cx="694765" cy="694765"/>
        </a:xfrm>
        <a:prstGeom prst="rect">
          <a:avLst/>
        </a:prstGeom>
      </xdr:spPr>
    </xdr:pic>
    <xdr:clientData/>
  </xdr:twoCellAnchor>
  <xdr:twoCellAnchor editAs="oneCell">
    <xdr:from>
      <xdr:col>0</xdr:col>
      <xdr:colOff>6723</xdr:colOff>
      <xdr:row>35</xdr:row>
      <xdr:rowOff>33618</xdr:rowOff>
    </xdr:from>
    <xdr:to>
      <xdr:col>3</xdr:col>
      <xdr:colOff>64353</xdr:colOff>
      <xdr:row>38</xdr:row>
      <xdr:rowOff>156883</xdr:rowOff>
    </xdr:to>
    <xdr:pic>
      <xdr:nvPicPr>
        <xdr:cNvPr id="6" name="Graphic 5" descr="Caret Up with solid fill">
          <a:extLst>
            <a:ext uri="{FF2B5EF4-FFF2-40B4-BE49-F238E27FC236}">
              <a16:creationId xmlns:a16="http://schemas.microsoft.com/office/drawing/2014/main" id="{00000000-0008-0000-0F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10800000">
          <a:off x="723899" y="6824383"/>
          <a:ext cx="694765" cy="694765"/>
        </a:xfrm>
        <a:prstGeom prst="rect">
          <a:avLst/>
        </a:prstGeom>
      </xdr:spPr>
    </xdr:pic>
    <xdr:clientData/>
  </xdr:twoCellAnchor>
  <xdr:twoCellAnchor>
    <xdr:from>
      <xdr:col>2</xdr:col>
      <xdr:colOff>6722</xdr:colOff>
      <xdr:row>26</xdr:row>
      <xdr:rowOff>0</xdr:rowOff>
    </xdr:from>
    <xdr:to>
      <xdr:col>44</xdr:col>
      <xdr:colOff>40821</xdr:colOff>
      <xdr:row>26</xdr:row>
      <xdr:rowOff>6724</xdr:rowOff>
    </xdr:to>
    <xdr:cxnSp macro="">
      <xdr:nvCxnSpPr>
        <xdr:cNvPr id="8" name="Straight Arrow Connector 7">
          <a:extLst>
            <a:ext uri="{FF2B5EF4-FFF2-40B4-BE49-F238E27FC236}">
              <a16:creationId xmlns:a16="http://schemas.microsoft.com/office/drawing/2014/main" id="{00000000-0008-0000-0F00-000008000000}"/>
            </a:ext>
          </a:extLst>
        </xdr:cNvPr>
        <xdr:cNvCxnSpPr/>
      </xdr:nvCxnSpPr>
      <xdr:spPr>
        <a:xfrm flipV="1">
          <a:off x="360508" y="5388429"/>
          <a:ext cx="12035599" cy="6724"/>
        </a:xfrm>
        <a:prstGeom prst="straightConnector1">
          <a:avLst/>
        </a:prstGeom>
        <a:ln w="28575">
          <a:solidFill>
            <a:srgbClr val="FF0000"/>
          </a:solidFill>
          <a:prstDash val="sysDash"/>
          <a:headEnd type="triangle"/>
          <a:tailEnd type="triangle"/>
        </a:ln>
        <a:effectLst>
          <a:glow rad="139700">
            <a:schemeClr val="accent4">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33618</xdr:colOff>
      <xdr:row>26</xdr:row>
      <xdr:rowOff>89646</xdr:rowOff>
    </xdr:from>
    <xdr:to>
      <xdr:col>24</xdr:col>
      <xdr:colOff>22412</xdr:colOff>
      <xdr:row>28</xdr:row>
      <xdr:rowOff>0</xdr:rowOff>
    </xdr:to>
    <xdr:sp macro="" textlink="">
      <xdr:nvSpPr>
        <xdr:cNvPr id="9" name="TextBox 8">
          <a:extLst>
            <a:ext uri="{FF2B5EF4-FFF2-40B4-BE49-F238E27FC236}">
              <a16:creationId xmlns:a16="http://schemas.microsoft.com/office/drawing/2014/main" id="{00000000-0008-0000-0F00-000009000000}"/>
            </a:ext>
          </a:extLst>
        </xdr:cNvPr>
        <xdr:cNvSpPr txBox="1"/>
      </xdr:nvSpPr>
      <xdr:spPr>
        <a:xfrm>
          <a:off x="4022912" y="5165911"/>
          <a:ext cx="2005853" cy="2913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R1 PHASE DELIVERY</a:t>
          </a:r>
        </a:p>
      </xdr:txBody>
    </xdr:sp>
    <xdr:clientData/>
  </xdr:twoCellAnchor>
  <xdr:twoCellAnchor>
    <xdr:from>
      <xdr:col>5</xdr:col>
      <xdr:colOff>24652</xdr:colOff>
      <xdr:row>28</xdr:row>
      <xdr:rowOff>91889</xdr:rowOff>
    </xdr:from>
    <xdr:to>
      <xdr:col>47</xdr:col>
      <xdr:colOff>217714</xdr:colOff>
      <xdr:row>28</xdr:row>
      <xdr:rowOff>95250</xdr:rowOff>
    </xdr:to>
    <xdr:cxnSp macro="">
      <xdr:nvCxnSpPr>
        <xdr:cNvPr id="10" name="Straight Arrow Connector 9">
          <a:extLst>
            <a:ext uri="{FF2B5EF4-FFF2-40B4-BE49-F238E27FC236}">
              <a16:creationId xmlns:a16="http://schemas.microsoft.com/office/drawing/2014/main" id="{00000000-0008-0000-0F00-00000A000000}"/>
            </a:ext>
          </a:extLst>
        </xdr:cNvPr>
        <xdr:cNvCxnSpPr/>
      </xdr:nvCxnSpPr>
      <xdr:spPr>
        <a:xfrm>
          <a:off x="1235688" y="5861318"/>
          <a:ext cx="12194562" cy="3361"/>
        </a:xfrm>
        <a:prstGeom prst="straightConnector1">
          <a:avLst/>
        </a:prstGeom>
        <a:ln w="28575">
          <a:solidFill>
            <a:srgbClr val="FF0000"/>
          </a:solidFill>
          <a:prstDash val="sysDash"/>
          <a:headEnd type="triangle"/>
          <a:tailEnd type="triangle"/>
        </a:ln>
        <a:effectLst>
          <a:glow rad="139700">
            <a:schemeClr val="accent4">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166808</xdr:colOff>
      <xdr:row>28</xdr:row>
      <xdr:rowOff>170008</xdr:rowOff>
    </xdr:from>
    <xdr:to>
      <xdr:col>33</xdr:col>
      <xdr:colOff>155602</xdr:colOff>
      <xdr:row>30</xdr:row>
      <xdr:rowOff>80362</xdr:rowOff>
    </xdr:to>
    <xdr:sp macro="" textlink="">
      <xdr:nvSpPr>
        <xdr:cNvPr id="11" name="TextBox 10">
          <a:extLst>
            <a:ext uri="{FF2B5EF4-FFF2-40B4-BE49-F238E27FC236}">
              <a16:creationId xmlns:a16="http://schemas.microsoft.com/office/drawing/2014/main" id="{00000000-0008-0000-0F00-00000B000000}"/>
            </a:ext>
          </a:extLst>
        </xdr:cNvPr>
        <xdr:cNvSpPr txBox="1"/>
      </xdr:nvSpPr>
      <xdr:spPr>
        <a:xfrm>
          <a:off x="6807094" y="5939437"/>
          <a:ext cx="2560544" cy="2913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R2 PHASE DELIVERY</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200025</xdr:colOff>
      <xdr:row>0</xdr:row>
      <xdr:rowOff>152400</xdr:rowOff>
    </xdr:from>
    <xdr:to>
      <xdr:col>3</xdr:col>
      <xdr:colOff>200025</xdr:colOff>
      <xdr:row>14</xdr:row>
      <xdr:rowOff>9525</xdr:rowOff>
    </xdr:to>
    <mc:AlternateContent xmlns:mc="http://schemas.openxmlformats.org/markup-compatibility/2006" xmlns:a14="http://schemas.microsoft.com/office/drawing/2010/main">
      <mc:Choice Requires="a14">
        <xdr:graphicFrame macro="">
          <xdr:nvGraphicFramePr>
            <xdr:cNvPr id="2" name="BLD&#10;No.">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microsoft.com/office/drawing/2010/slicer">
              <sle:slicer xmlns:sle="http://schemas.microsoft.com/office/drawing/2010/slicer" name="BLD&#10;No."/>
            </a:graphicData>
          </a:graphic>
        </xdr:graphicFrame>
      </mc:Choice>
      <mc:Fallback xmlns="">
        <xdr:sp macro="" textlink="">
          <xdr:nvSpPr>
            <xdr:cNvPr id="0" name=""/>
            <xdr:cNvSpPr>
              <a:spLocks noTextEdit="1"/>
            </xdr:cNvSpPr>
          </xdr:nvSpPr>
          <xdr:spPr>
            <a:xfrm>
              <a:off x="200025" y="152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266700</xdr:colOff>
      <xdr:row>0</xdr:row>
      <xdr:rowOff>152400</xdr:rowOff>
    </xdr:from>
    <xdr:to>
      <xdr:col>6</xdr:col>
      <xdr:colOff>266700</xdr:colOff>
      <xdr:row>7</xdr:row>
      <xdr:rowOff>28575</xdr:rowOff>
    </xdr:to>
    <mc:AlternateContent xmlns:mc="http://schemas.openxmlformats.org/markup-compatibility/2006" xmlns:a14="http://schemas.microsoft.com/office/drawing/2010/main">
      <mc:Choice Requires="a14">
        <xdr:graphicFrame macro="">
          <xdr:nvGraphicFramePr>
            <xdr:cNvPr id="3" name="CONSTRUCTION PHASE">
              <a:extLst>
                <a:ext uri="{FF2B5EF4-FFF2-40B4-BE49-F238E27FC236}">
                  <a16:creationId xmlns:a16="http://schemas.microsoft.com/office/drawing/2014/main" id="{00000000-0008-0000-1200-000003000000}"/>
                </a:ext>
              </a:extLst>
            </xdr:cNvPr>
            <xdr:cNvGraphicFramePr/>
          </xdr:nvGraphicFramePr>
          <xdr:xfrm>
            <a:off x="0" y="0"/>
            <a:ext cx="0" cy="0"/>
          </xdr:xfrm>
          <a:graphic>
            <a:graphicData uri="http://schemas.microsoft.com/office/drawing/2010/slicer">
              <sle:slicer xmlns:sle="http://schemas.microsoft.com/office/drawing/2010/slicer" name="CONSTRUCTION PHASE"/>
            </a:graphicData>
          </a:graphic>
        </xdr:graphicFrame>
      </mc:Choice>
      <mc:Fallback xmlns="">
        <xdr:sp macro="" textlink="">
          <xdr:nvSpPr>
            <xdr:cNvPr id="0" name=""/>
            <xdr:cNvSpPr>
              <a:spLocks noTextEdit="1"/>
            </xdr:cNvSpPr>
          </xdr:nvSpPr>
          <xdr:spPr>
            <a:xfrm>
              <a:off x="2095500" y="152400"/>
              <a:ext cx="18288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276225</xdr:colOff>
      <xdr:row>7</xdr:row>
      <xdr:rowOff>57151</xdr:rowOff>
    </xdr:from>
    <xdr:to>
      <xdr:col>6</xdr:col>
      <xdr:colOff>276225</xdr:colOff>
      <xdr:row>12</xdr:row>
      <xdr:rowOff>28575</xdr:rowOff>
    </xdr:to>
    <mc:AlternateContent xmlns:mc="http://schemas.openxmlformats.org/markup-compatibility/2006" xmlns:a14="http://schemas.microsoft.com/office/drawing/2010/main">
      <mc:Choice Requires="a14">
        <xdr:graphicFrame macro="">
          <xdr:nvGraphicFramePr>
            <xdr:cNvPr id="4" name="BLD. TYPE">
              <a:extLst>
                <a:ext uri="{FF2B5EF4-FFF2-40B4-BE49-F238E27FC236}">
                  <a16:creationId xmlns:a16="http://schemas.microsoft.com/office/drawing/2014/main" id="{00000000-0008-0000-1200-000004000000}"/>
                </a:ext>
              </a:extLst>
            </xdr:cNvPr>
            <xdr:cNvGraphicFramePr/>
          </xdr:nvGraphicFramePr>
          <xdr:xfrm>
            <a:off x="0" y="0"/>
            <a:ext cx="0" cy="0"/>
          </xdr:xfrm>
          <a:graphic>
            <a:graphicData uri="http://schemas.microsoft.com/office/drawing/2010/slicer">
              <sle:slicer xmlns:sle="http://schemas.microsoft.com/office/drawing/2010/slicer" name="BLD. TYPE"/>
            </a:graphicData>
          </a:graphic>
        </xdr:graphicFrame>
      </mc:Choice>
      <mc:Fallback xmlns="">
        <xdr:sp macro="" textlink="">
          <xdr:nvSpPr>
            <xdr:cNvPr id="0" name=""/>
            <xdr:cNvSpPr>
              <a:spLocks noTextEdit="1"/>
            </xdr:cNvSpPr>
          </xdr:nvSpPr>
          <xdr:spPr>
            <a:xfrm>
              <a:off x="2105025" y="1390651"/>
              <a:ext cx="1828800"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276225</xdr:colOff>
      <xdr:row>12</xdr:row>
      <xdr:rowOff>66675</xdr:rowOff>
    </xdr:from>
    <xdr:to>
      <xdr:col>6</xdr:col>
      <xdr:colOff>276225</xdr:colOff>
      <xdr:row>19</xdr:row>
      <xdr:rowOff>114300</xdr:rowOff>
    </xdr:to>
    <mc:AlternateContent xmlns:mc="http://schemas.openxmlformats.org/markup-compatibility/2006" xmlns:a14="http://schemas.microsoft.com/office/drawing/2010/main">
      <mc:Choice Requires="a14">
        <xdr:graphicFrame macro="">
          <xdr:nvGraphicFramePr>
            <xdr:cNvPr id="5" name="PREMIUM CATEGORY">
              <a:extLst>
                <a:ext uri="{FF2B5EF4-FFF2-40B4-BE49-F238E27FC236}">
                  <a16:creationId xmlns:a16="http://schemas.microsoft.com/office/drawing/2014/main" id="{00000000-0008-0000-1200-000005000000}"/>
                </a:ext>
              </a:extLst>
            </xdr:cNvPr>
            <xdr:cNvGraphicFramePr/>
          </xdr:nvGraphicFramePr>
          <xdr:xfrm>
            <a:off x="0" y="0"/>
            <a:ext cx="0" cy="0"/>
          </xdr:xfrm>
          <a:graphic>
            <a:graphicData uri="http://schemas.microsoft.com/office/drawing/2010/slicer">
              <sle:slicer xmlns:sle="http://schemas.microsoft.com/office/drawing/2010/slicer" name="PREMIUM CATEGORY"/>
            </a:graphicData>
          </a:graphic>
        </xdr:graphicFrame>
      </mc:Choice>
      <mc:Fallback xmlns="">
        <xdr:sp macro="" textlink="">
          <xdr:nvSpPr>
            <xdr:cNvPr id="0" name=""/>
            <xdr:cNvSpPr>
              <a:spLocks noTextEdit="1"/>
            </xdr:cNvSpPr>
          </xdr:nvSpPr>
          <xdr:spPr>
            <a:xfrm>
              <a:off x="2105025" y="2352675"/>
              <a:ext cx="182880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200025</xdr:colOff>
      <xdr:row>0</xdr:row>
      <xdr:rowOff>152400</xdr:rowOff>
    </xdr:from>
    <xdr:to>
      <xdr:col>3</xdr:col>
      <xdr:colOff>200025</xdr:colOff>
      <xdr:row>14</xdr:row>
      <xdr:rowOff>9525</xdr:rowOff>
    </xdr:to>
    <mc:AlternateContent xmlns:mc="http://schemas.openxmlformats.org/markup-compatibility/2006" xmlns:a14="http://schemas.microsoft.com/office/drawing/2010/main">
      <mc:Choice Requires="a14">
        <xdr:graphicFrame macro="">
          <xdr:nvGraphicFramePr>
            <xdr:cNvPr id="2" name="BLD&#10;No.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microsoft.com/office/drawing/2010/slicer">
              <sle:slicer xmlns:sle="http://schemas.microsoft.com/office/drawing/2010/slicer" name="BLD&#10;No. 1"/>
            </a:graphicData>
          </a:graphic>
        </xdr:graphicFrame>
      </mc:Choice>
      <mc:Fallback xmlns="">
        <xdr:sp macro="" textlink="">
          <xdr:nvSpPr>
            <xdr:cNvPr id="0" name=""/>
            <xdr:cNvSpPr>
              <a:spLocks noTextEdit="1"/>
            </xdr:cNvSpPr>
          </xdr:nvSpPr>
          <xdr:spPr>
            <a:xfrm>
              <a:off x="200025" y="152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266700</xdr:colOff>
      <xdr:row>0</xdr:row>
      <xdr:rowOff>152400</xdr:rowOff>
    </xdr:from>
    <xdr:to>
      <xdr:col>6</xdr:col>
      <xdr:colOff>266700</xdr:colOff>
      <xdr:row>7</xdr:row>
      <xdr:rowOff>28575</xdr:rowOff>
    </xdr:to>
    <mc:AlternateContent xmlns:mc="http://schemas.openxmlformats.org/markup-compatibility/2006" xmlns:a14="http://schemas.microsoft.com/office/drawing/2010/main">
      <mc:Choice Requires="a14">
        <xdr:graphicFrame macro="">
          <xdr:nvGraphicFramePr>
            <xdr:cNvPr id="3" name="CONSTRUCTION PHASE 1">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microsoft.com/office/drawing/2010/slicer">
              <sle:slicer xmlns:sle="http://schemas.microsoft.com/office/drawing/2010/slicer" name="CONSTRUCTION PHASE 1"/>
            </a:graphicData>
          </a:graphic>
        </xdr:graphicFrame>
      </mc:Choice>
      <mc:Fallback xmlns="">
        <xdr:sp macro="" textlink="">
          <xdr:nvSpPr>
            <xdr:cNvPr id="0" name=""/>
            <xdr:cNvSpPr>
              <a:spLocks noTextEdit="1"/>
            </xdr:cNvSpPr>
          </xdr:nvSpPr>
          <xdr:spPr>
            <a:xfrm>
              <a:off x="2095500" y="152400"/>
              <a:ext cx="18288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276225</xdr:colOff>
      <xdr:row>7</xdr:row>
      <xdr:rowOff>57151</xdr:rowOff>
    </xdr:from>
    <xdr:to>
      <xdr:col>6</xdr:col>
      <xdr:colOff>276225</xdr:colOff>
      <xdr:row>12</xdr:row>
      <xdr:rowOff>28575</xdr:rowOff>
    </xdr:to>
    <mc:AlternateContent xmlns:mc="http://schemas.openxmlformats.org/markup-compatibility/2006" xmlns:a14="http://schemas.microsoft.com/office/drawing/2010/main">
      <mc:Choice Requires="a14">
        <xdr:graphicFrame macro="">
          <xdr:nvGraphicFramePr>
            <xdr:cNvPr id="4" name="BLD. TYPE 1">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microsoft.com/office/drawing/2010/slicer">
              <sle:slicer xmlns:sle="http://schemas.microsoft.com/office/drawing/2010/slicer" name="BLD. TYPE 1"/>
            </a:graphicData>
          </a:graphic>
        </xdr:graphicFrame>
      </mc:Choice>
      <mc:Fallback xmlns="">
        <xdr:sp macro="" textlink="">
          <xdr:nvSpPr>
            <xdr:cNvPr id="0" name=""/>
            <xdr:cNvSpPr>
              <a:spLocks noTextEdit="1"/>
            </xdr:cNvSpPr>
          </xdr:nvSpPr>
          <xdr:spPr>
            <a:xfrm>
              <a:off x="2105025" y="1390651"/>
              <a:ext cx="1828800"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276225</xdr:colOff>
      <xdr:row>12</xdr:row>
      <xdr:rowOff>66675</xdr:rowOff>
    </xdr:from>
    <xdr:to>
      <xdr:col>6</xdr:col>
      <xdr:colOff>276225</xdr:colOff>
      <xdr:row>19</xdr:row>
      <xdr:rowOff>114300</xdr:rowOff>
    </xdr:to>
    <mc:AlternateContent xmlns:mc="http://schemas.openxmlformats.org/markup-compatibility/2006" xmlns:a14="http://schemas.microsoft.com/office/drawing/2010/main">
      <mc:Choice Requires="a14">
        <xdr:graphicFrame macro="">
          <xdr:nvGraphicFramePr>
            <xdr:cNvPr id="5" name="PREMIUM CATEGORY 1">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microsoft.com/office/drawing/2010/slicer">
              <sle:slicer xmlns:sle="http://schemas.microsoft.com/office/drawing/2010/slicer" name="PREMIUM CATEGORY 1"/>
            </a:graphicData>
          </a:graphic>
        </xdr:graphicFrame>
      </mc:Choice>
      <mc:Fallback xmlns="">
        <xdr:sp macro="" textlink="">
          <xdr:nvSpPr>
            <xdr:cNvPr id="0" name=""/>
            <xdr:cNvSpPr>
              <a:spLocks noTextEdit="1"/>
            </xdr:cNvSpPr>
          </xdr:nvSpPr>
          <xdr:spPr>
            <a:xfrm>
              <a:off x="2105025" y="2352675"/>
              <a:ext cx="182880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200025</xdr:colOff>
      <xdr:row>0</xdr:row>
      <xdr:rowOff>152400</xdr:rowOff>
    </xdr:from>
    <xdr:to>
      <xdr:col>3</xdr:col>
      <xdr:colOff>200025</xdr:colOff>
      <xdr:row>14</xdr:row>
      <xdr:rowOff>9525</xdr:rowOff>
    </xdr:to>
    <mc:AlternateContent xmlns:mc="http://schemas.openxmlformats.org/markup-compatibility/2006" xmlns:a14="http://schemas.microsoft.com/office/drawing/2010/main">
      <mc:Choice Requires="a14">
        <xdr:graphicFrame macro="">
          <xdr:nvGraphicFramePr>
            <xdr:cNvPr id="2" name="BLD&#10;No. 2">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microsoft.com/office/drawing/2010/slicer">
              <sle:slicer xmlns:sle="http://schemas.microsoft.com/office/drawing/2010/slicer" name="BLD&#10;No. 2"/>
            </a:graphicData>
          </a:graphic>
        </xdr:graphicFrame>
      </mc:Choice>
      <mc:Fallback xmlns="">
        <xdr:sp macro="" textlink="">
          <xdr:nvSpPr>
            <xdr:cNvPr id="0" name=""/>
            <xdr:cNvSpPr>
              <a:spLocks noTextEdit="1"/>
            </xdr:cNvSpPr>
          </xdr:nvSpPr>
          <xdr:spPr>
            <a:xfrm>
              <a:off x="200025" y="152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266700</xdr:colOff>
      <xdr:row>0</xdr:row>
      <xdr:rowOff>152400</xdr:rowOff>
    </xdr:from>
    <xdr:to>
      <xdr:col>6</xdr:col>
      <xdr:colOff>266700</xdr:colOff>
      <xdr:row>7</xdr:row>
      <xdr:rowOff>28575</xdr:rowOff>
    </xdr:to>
    <mc:AlternateContent xmlns:mc="http://schemas.openxmlformats.org/markup-compatibility/2006" xmlns:a14="http://schemas.microsoft.com/office/drawing/2010/main">
      <mc:Choice Requires="a14">
        <xdr:graphicFrame macro="">
          <xdr:nvGraphicFramePr>
            <xdr:cNvPr id="3" name="CONSTRUCTION PHASE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microsoft.com/office/drawing/2010/slicer">
              <sle:slicer xmlns:sle="http://schemas.microsoft.com/office/drawing/2010/slicer" name="CONSTRUCTION PHASE 2"/>
            </a:graphicData>
          </a:graphic>
        </xdr:graphicFrame>
      </mc:Choice>
      <mc:Fallback xmlns="">
        <xdr:sp macro="" textlink="">
          <xdr:nvSpPr>
            <xdr:cNvPr id="0" name=""/>
            <xdr:cNvSpPr>
              <a:spLocks noTextEdit="1"/>
            </xdr:cNvSpPr>
          </xdr:nvSpPr>
          <xdr:spPr>
            <a:xfrm>
              <a:off x="2095500" y="152400"/>
              <a:ext cx="18288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276225</xdr:colOff>
      <xdr:row>7</xdr:row>
      <xdr:rowOff>57151</xdr:rowOff>
    </xdr:from>
    <xdr:to>
      <xdr:col>6</xdr:col>
      <xdr:colOff>276225</xdr:colOff>
      <xdr:row>12</xdr:row>
      <xdr:rowOff>28575</xdr:rowOff>
    </xdr:to>
    <mc:AlternateContent xmlns:mc="http://schemas.openxmlformats.org/markup-compatibility/2006" xmlns:a14="http://schemas.microsoft.com/office/drawing/2010/main">
      <mc:Choice Requires="a14">
        <xdr:graphicFrame macro="">
          <xdr:nvGraphicFramePr>
            <xdr:cNvPr id="4" name="BLD. TYPE 2">
              <a:extLst>
                <a:ext uri="{FF2B5EF4-FFF2-40B4-BE49-F238E27FC236}">
                  <a16:creationId xmlns:a16="http://schemas.microsoft.com/office/drawing/2014/main" id="{00000000-0008-0000-1400-000004000000}"/>
                </a:ext>
              </a:extLst>
            </xdr:cNvPr>
            <xdr:cNvGraphicFramePr/>
          </xdr:nvGraphicFramePr>
          <xdr:xfrm>
            <a:off x="0" y="0"/>
            <a:ext cx="0" cy="0"/>
          </xdr:xfrm>
          <a:graphic>
            <a:graphicData uri="http://schemas.microsoft.com/office/drawing/2010/slicer">
              <sle:slicer xmlns:sle="http://schemas.microsoft.com/office/drawing/2010/slicer" name="BLD. TYPE 2"/>
            </a:graphicData>
          </a:graphic>
        </xdr:graphicFrame>
      </mc:Choice>
      <mc:Fallback xmlns="">
        <xdr:sp macro="" textlink="">
          <xdr:nvSpPr>
            <xdr:cNvPr id="0" name=""/>
            <xdr:cNvSpPr>
              <a:spLocks noTextEdit="1"/>
            </xdr:cNvSpPr>
          </xdr:nvSpPr>
          <xdr:spPr>
            <a:xfrm>
              <a:off x="2105025" y="1390651"/>
              <a:ext cx="1828800"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276225</xdr:colOff>
      <xdr:row>12</xdr:row>
      <xdr:rowOff>66675</xdr:rowOff>
    </xdr:from>
    <xdr:to>
      <xdr:col>6</xdr:col>
      <xdr:colOff>276225</xdr:colOff>
      <xdr:row>19</xdr:row>
      <xdr:rowOff>114300</xdr:rowOff>
    </xdr:to>
    <mc:AlternateContent xmlns:mc="http://schemas.openxmlformats.org/markup-compatibility/2006" xmlns:a14="http://schemas.microsoft.com/office/drawing/2010/main">
      <mc:Choice Requires="a14">
        <xdr:graphicFrame macro="">
          <xdr:nvGraphicFramePr>
            <xdr:cNvPr id="5" name="PREMIUM CATEGORY 2">
              <a:extLst>
                <a:ext uri="{FF2B5EF4-FFF2-40B4-BE49-F238E27FC236}">
                  <a16:creationId xmlns:a16="http://schemas.microsoft.com/office/drawing/2014/main" id="{00000000-0008-0000-1400-000005000000}"/>
                </a:ext>
              </a:extLst>
            </xdr:cNvPr>
            <xdr:cNvGraphicFramePr/>
          </xdr:nvGraphicFramePr>
          <xdr:xfrm>
            <a:off x="0" y="0"/>
            <a:ext cx="0" cy="0"/>
          </xdr:xfrm>
          <a:graphic>
            <a:graphicData uri="http://schemas.microsoft.com/office/drawing/2010/slicer">
              <sle:slicer xmlns:sle="http://schemas.microsoft.com/office/drawing/2010/slicer" name="PREMIUM CATEGORY 2"/>
            </a:graphicData>
          </a:graphic>
        </xdr:graphicFrame>
      </mc:Choice>
      <mc:Fallback xmlns="">
        <xdr:sp macro="" textlink="">
          <xdr:nvSpPr>
            <xdr:cNvPr id="0" name=""/>
            <xdr:cNvSpPr>
              <a:spLocks noTextEdit="1"/>
            </xdr:cNvSpPr>
          </xdr:nvSpPr>
          <xdr:spPr>
            <a:xfrm>
              <a:off x="2105025" y="2352675"/>
              <a:ext cx="182880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editAs="oneCell">
    <xdr:from>
      <xdr:col>5</xdr:col>
      <xdr:colOff>577663</xdr:colOff>
      <xdr:row>0</xdr:row>
      <xdr:rowOff>152400</xdr:rowOff>
    </xdr:from>
    <xdr:to>
      <xdr:col>7</xdr:col>
      <xdr:colOff>635372</xdr:colOff>
      <xdr:row>5</xdr:row>
      <xdr:rowOff>123825</xdr:rowOff>
    </xdr:to>
    <mc:AlternateContent xmlns:mc="http://schemas.openxmlformats.org/markup-compatibility/2006" xmlns:a14="http://schemas.microsoft.com/office/drawing/2010/main">
      <mc:Choice Requires="a14">
        <xdr:graphicFrame macro="">
          <xdr:nvGraphicFramePr>
            <xdr:cNvPr id="2" name="PREMIUM CATEGORY 3">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microsoft.com/office/drawing/2010/slicer">
              <sle:slicer xmlns:sle="http://schemas.microsoft.com/office/drawing/2010/slicer" name="PREMIUM CATEGORY 3"/>
            </a:graphicData>
          </a:graphic>
        </xdr:graphicFrame>
      </mc:Choice>
      <mc:Fallback xmlns="">
        <xdr:sp macro="" textlink="">
          <xdr:nvSpPr>
            <xdr:cNvPr id="0" name=""/>
            <xdr:cNvSpPr>
              <a:spLocks noTextEdit="1"/>
            </xdr:cNvSpPr>
          </xdr:nvSpPr>
          <xdr:spPr>
            <a:xfrm>
              <a:off x="4858310" y="152400"/>
              <a:ext cx="1828239"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0</xdr:row>
      <xdr:rowOff>123825</xdr:rowOff>
    </xdr:from>
    <xdr:to>
      <xdr:col>1</xdr:col>
      <xdr:colOff>923364</xdr:colOff>
      <xdr:row>12</xdr:row>
      <xdr:rowOff>104774</xdr:rowOff>
    </xdr:to>
    <mc:AlternateContent xmlns:mc="http://schemas.openxmlformats.org/markup-compatibility/2006" xmlns:a14="http://schemas.microsoft.com/office/drawing/2010/main">
      <mc:Choice Requires="a14">
        <xdr:graphicFrame macro="">
          <xdr:nvGraphicFramePr>
            <xdr:cNvPr id="3" name="SELLING PHASE NAME">
              <a:extLst>
                <a:ext uri="{FF2B5EF4-FFF2-40B4-BE49-F238E27FC236}">
                  <a16:creationId xmlns:a16="http://schemas.microsoft.com/office/drawing/2014/main" id="{00000000-0008-0000-1600-000003000000}"/>
                </a:ext>
              </a:extLst>
            </xdr:cNvPr>
            <xdr:cNvGraphicFramePr/>
          </xdr:nvGraphicFramePr>
          <xdr:xfrm>
            <a:off x="0" y="0"/>
            <a:ext cx="0" cy="0"/>
          </xdr:xfrm>
          <a:graphic>
            <a:graphicData uri="http://schemas.microsoft.com/office/drawing/2010/slicer">
              <sle:slicer xmlns:sle="http://schemas.microsoft.com/office/drawing/2010/slicer" name="SELLING PHASE NAME"/>
            </a:graphicData>
          </a:graphic>
        </xdr:graphicFrame>
      </mc:Choice>
      <mc:Fallback xmlns="">
        <xdr:sp macro="" textlink="">
          <xdr:nvSpPr>
            <xdr:cNvPr id="0" name=""/>
            <xdr:cNvSpPr>
              <a:spLocks noTextEdit="1"/>
            </xdr:cNvSpPr>
          </xdr:nvSpPr>
          <xdr:spPr>
            <a:xfrm>
              <a:off x="219075" y="123826"/>
              <a:ext cx="1771650" cy="2981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676275</xdr:colOff>
      <xdr:row>0</xdr:row>
      <xdr:rowOff>142876</xdr:rowOff>
    </xdr:from>
    <xdr:to>
      <xdr:col>4</xdr:col>
      <xdr:colOff>202268</xdr:colOff>
      <xdr:row>7</xdr:row>
      <xdr:rowOff>180976</xdr:rowOff>
    </xdr:to>
    <mc:AlternateContent xmlns:mc="http://schemas.openxmlformats.org/markup-compatibility/2006" xmlns:a14="http://schemas.microsoft.com/office/drawing/2010/main">
      <mc:Choice Requires="a14">
        <xdr:graphicFrame macro="">
          <xdr:nvGraphicFramePr>
            <xdr:cNvPr id="4" name="AREA CATEGORY">
              <a:extLst>
                <a:ext uri="{FF2B5EF4-FFF2-40B4-BE49-F238E27FC236}">
                  <a16:creationId xmlns:a16="http://schemas.microsoft.com/office/drawing/2014/main" id="{00000000-0008-0000-1600-000004000000}"/>
                </a:ext>
              </a:extLst>
            </xdr:cNvPr>
            <xdr:cNvGraphicFramePr/>
          </xdr:nvGraphicFramePr>
          <xdr:xfrm>
            <a:off x="0" y="0"/>
            <a:ext cx="0" cy="0"/>
          </xdr:xfrm>
          <a:graphic>
            <a:graphicData uri="http://schemas.microsoft.com/office/drawing/2010/slicer">
              <sle:slicer xmlns:sle="http://schemas.microsoft.com/office/drawing/2010/slicer" name="AREA CATEGORY"/>
            </a:graphicData>
          </a:graphic>
        </xdr:graphicFrame>
      </mc:Choice>
      <mc:Fallback xmlns="">
        <xdr:sp macro="" textlink="">
          <xdr:nvSpPr>
            <xdr:cNvPr id="0" name=""/>
            <xdr:cNvSpPr>
              <a:spLocks noTextEdit="1"/>
            </xdr:cNvSpPr>
          </xdr:nvSpPr>
          <xdr:spPr>
            <a:xfrm>
              <a:off x="2019300" y="142876"/>
              <a:ext cx="1822638"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211741</xdr:colOff>
      <xdr:row>10</xdr:row>
      <xdr:rowOff>43145</xdr:rowOff>
    </xdr:from>
    <xdr:to>
      <xdr:col>4</xdr:col>
      <xdr:colOff>76199</xdr:colOff>
      <xdr:row>13</xdr:row>
      <xdr:rowOff>89649</xdr:rowOff>
    </xdr:to>
    <xdr:sp macro="" textlink="$L$11">
      <xdr:nvSpPr>
        <xdr:cNvPr id="5" name="TextBox 4">
          <a:extLst>
            <a:ext uri="{FF2B5EF4-FFF2-40B4-BE49-F238E27FC236}">
              <a16:creationId xmlns:a16="http://schemas.microsoft.com/office/drawing/2014/main" id="{00000000-0008-0000-1600-000005000000}"/>
            </a:ext>
          </a:extLst>
        </xdr:cNvPr>
        <xdr:cNvSpPr txBox="1"/>
      </xdr:nvSpPr>
      <xdr:spPr>
        <a:xfrm>
          <a:off x="2553770" y="1948145"/>
          <a:ext cx="805753" cy="6180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5557BDA-8CC6-4B7B-830A-EB70A12AC139}"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144</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248210</xdr:colOff>
      <xdr:row>6</xdr:row>
      <xdr:rowOff>168648</xdr:rowOff>
    </xdr:from>
    <xdr:to>
      <xdr:col>7</xdr:col>
      <xdr:colOff>588870</xdr:colOff>
      <xdr:row>8</xdr:row>
      <xdr:rowOff>179855</xdr:rowOff>
    </xdr:to>
    <xdr:sp macro="" textlink="$L$10">
      <xdr:nvSpPr>
        <xdr:cNvPr id="6" name="TextBox 5">
          <a:extLst>
            <a:ext uri="{FF2B5EF4-FFF2-40B4-BE49-F238E27FC236}">
              <a16:creationId xmlns:a16="http://schemas.microsoft.com/office/drawing/2014/main" id="{00000000-0008-0000-1600-000006000000}"/>
            </a:ext>
          </a:extLst>
        </xdr:cNvPr>
        <xdr:cNvSpPr txBox="1"/>
      </xdr:nvSpPr>
      <xdr:spPr>
        <a:xfrm>
          <a:off x="3972485" y="1311648"/>
          <a:ext cx="1855135" cy="3922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4483A3-C565-46F1-9514-87E336CB3975}"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cs typeface="Calibri"/>
            </a:rPr>
            <a:pPr/>
            <a:t>R1 SALES DATA</a:t>
          </a:fld>
          <a:endParaRPr lang="en-US" sz="20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xdr:col>
      <xdr:colOff>795618</xdr:colOff>
      <xdr:row>8</xdr:row>
      <xdr:rowOff>152400</xdr:rowOff>
    </xdr:from>
    <xdr:to>
      <xdr:col>4</xdr:col>
      <xdr:colOff>277906</xdr:colOff>
      <xdr:row>10</xdr:row>
      <xdr:rowOff>89648</xdr:rowOff>
    </xdr:to>
    <xdr:sp macro="" textlink="$L$12">
      <xdr:nvSpPr>
        <xdr:cNvPr id="7" name="TextBox 6">
          <a:extLst>
            <a:ext uri="{FF2B5EF4-FFF2-40B4-BE49-F238E27FC236}">
              <a16:creationId xmlns:a16="http://schemas.microsoft.com/office/drawing/2014/main" id="{00000000-0008-0000-1600-000007000000}"/>
            </a:ext>
          </a:extLst>
        </xdr:cNvPr>
        <xdr:cNvSpPr txBox="1"/>
      </xdr:nvSpPr>
      <xdr:spPr>
        <a:xfrm>
          <a:off x="2196353" y="1676400"/>
          <a:ext cx="1364877"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D5FE2B-5EFA-4B71-B871-BE81DDBE3CEB}"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cs typeface="Calibri"/>
            </a:rPr>
            <a:pPr/>
            <a:t>NO. OF UNITS</a:t>
          </a:fld>
          <a:endParaRPr lang="en-US" sz="28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5</xdr:col>
      <xdr:colOff>188259</xdr:colOff>
      <xdr:row>10</xdr:row>
      <xdr:rowOff>38663</xdr:rowOff>
    </xdr:from>
    <xdr:to>
      <xdr:col>8</xdr:col>
      <xdr:colOff>4483</xdr:colOff>
      <xdr:row>14</xdr:row>
      <xdr:rowOff>28575</xdr:rowOff>
    </xdr:to>
    <xdr:sp macro="" textlink="$L$14">
      <xdr:nvSpPr>
        <xdr:cNvPr id="8" name="TextBox 7">
          <a:extLst>
            <a:ext uri="{FF2B5EF4-FFF2-40B4-BE49-F238E27FC236}">
              <a16:creationId xmlns:a16="http://schemas.microsoft.com/office/drawing/2014/main" id="{00000000-0008-0000-1600-000008000000}"/>
            </a:ext>
          </a:extLst>
        </xdr:cNvPr>
        <xdr:cNvSpPr txBox="1"/>
      </xdr:nvSpPr>
      <xdr:spPr>
        <a:xfrm>
          <a:off x="3912534" y="1943663"/>
          <a:ext cx="2130799" cy="751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FCBFEF-89C0-4692-B5CD-74907C563204}"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EGP 1,066,546,982 </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96371</xdr:colOff>
      <xdr:row>8</xdr:row>
      <xdr:rowOff>147918</xdr:rowOff>
    </xdr:from>
    <xdr:to>
      <xdr:col>8</xdr:col>
      <xdr:colOff>209550</xdr:colOff>
      <xdr:row>10</xdr:row>
      <xdr:rowOff>85166</xdr:rowOff>
    </xdr:to>
    <xdr:sp macro="" textlink="$L$13">
      <xdr:nvSpPr>
        <xdr:cNvPr id="9" name="TextBox 8">
          <a:extLst>
            <a:ext uri="{FF2B5EF4-FFF2-40B4-BE49-F238E27FC236}">
              <a16:creationId xmlns:a16="http://schemas.microsoft.com/office/drawing/2014/main" id="{00000000-0008-0000-1600-000009000000}"/>
            </a:ext>
          </a:extLst>
        </xdr:cNvPr>
        <xdr:cNvSpPr txBox="1"/>
      </xdr:nvSpPr>
      <xdr:spPr>
        <a:xfrm>
          <a:off x="3639671" y="1671918"/>
          <a:ext cx="2294404"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00A2BC-5593-41B5-B4D9-16DCFD4E60EF}"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rPr>
            <a:pPr marL="0" indent="0"/>
            <a:t>TOTAL SALES VALUE (SEMI)</a:t>
          </a:fld>
          <a:endPar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577663</xdr:colOff>
      <xdr:row>0</xdr:row>
      <xdr:rowOff>152400</xdr:rowOff>
    </xdr:from>
    <xdr:to>
      <xdr:col>7</xdr:col>
      <xdr:colOff>299196</xdr:colOff>
      <xdr:row>5</xdr:row>
      <xdr:rowOff>123825</xdr:rowOff>
    </xdr:to>
    <mc:AlternateContent xmlns:mc="http://schemas.openxmlformats.org/markup-compatibility/2006" xmlns:a14="http://schemas.microsoft.com/office/drawing/2010/main">
      <mc:Choice Requires="a14">
        <xdr:graphicFrame macro="">
          <xdr:nvGraphicFramePr>
            <xdr:cNvPr id="2" name="PREMIUM CATEGORY 4">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microsoft.com/office/drawing/2010/slicer">
              <sle:slicer xmlns:sle="http://schemas.microsoft.com/office/drawing/2010/slicer" name="PREMIUM CATEGORY 4"/>
            </a:graphicData>
          </a:graphic>
        </xdr:graphicFrame>
      </mc:Choice>
      <mc:Fallback xmlns="">
        <xdr:sp macro="" textlink="">
          <xdr:nvSpPr>
            <xdr:cNvPr id="0" name=""/>
            <xdr:cNvSpPr>
              <a:spLocks noTextEdit="1"/>
            </xdr:cNvSpPr>
          </xdr:nvSpPr>
          <xdr:spPr>
            <a:xfrm>
              <a:off x="4858310" y="152400"/>
              <a:ext cx="1828239"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0</xdr:row>
      <xdr:rowOff>123825</xdr:rowOff>
    </xdr:from>
    <xdr:to>
      <xdr:col>2</xdr:col>
      <xdr:colOff>273423</xdr:colOff>
      <xdr:row>12</xdr:row>
      <xdr:rowOff>104774</xdr:rowOff>
    </xdr:to>
    <mc:AlternateContent xmlns:mc="http://schemas.openxmlformats.org/markup-compatibility/2006" xmlns:a14="http://schemas.microsoft.com/office/drawing/2010/main">
      <mc:Choice Requires="a14">
        <xdr:graphicFrame macro="">
          <xdr:nvGraphicFramePr>
            <xdr:cNvPr id="3" name="SELLING PHASE NAME 1">
              <a:extLst>
                <a:ext uri="{FF2B5EF4-FFF2-40B4-BE49-F238E27FC236}">
                  <a16:creationId xmlns:a16="http://schemas.microsoft.com/office/drawing/2014/main" id="{00000000-0008-0000-1700-000003000000}"/>
                </a:ext>
              </a:extLst>
            </xdr:cNvPr>
            <xdr:cNvGraphicFramePr/>
          </xdr:nvGraphicFramePr>
          <xdr:xfrm>
            <a:off x="0" y="0"/>
            <a:ext cx="0" cy="0"/>
          </xdr:xfrm>
          <a:graphic>
            <a:graphicData uri="http://schemas.microsoft.com/office/drawing/2010/slicer">
              <sle:slicer xmlns:sle="http://schemas.microsoft.com/office/drawing/2010/slicer" name="SELLING PHASE NAME 1"/>
            </a:graphicData>
          </a:graphic>
        </xdr:graphicFrame>
      </mc:Choice>
      <mc:Fallback xmlns="">
        <xdr:sp macro="" textlink="">
          <xdr:nvSpPr>
            <xdr:cNvPr id="0" name=""/>
            <xdr:cNvSpPr>
              <a:spLocks noTextEdit="1"/>
            </xdr:cNvSpPr>
          </xdr:nvSpPr>
          <xdr:spPr>
            <a:xfrm>
              <a:off x="219075" y="123825"/>
              <a:ext cx="1768848" cy="2266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676275</xdr:colOff>
      <xdr:row>0</xdr:row>
      <xdr:rowOff>142876</xdr:rowOff>
    </xdr:from>
    <xdr:to>
      <xdr:col>5</xdr:col>
      <xdr:colOff>179855</xdr:colOff>
      <xdr:row>7</xdr:row>
      <xdr:rowOff>180976</xdr:rowOff>
    </xdr:to>
    <mc:AlternateContent xmlns:mc="http://schemas.openxmlformats.org/markup-compatibility/2006" xmlns:a14="http://schemas.microsoft.com/office/drawing/2010/main">
      <mc:Choice Requires="a14">
        <xdr:graphicFrame macro="">
          <xdr:nvGraphicFramePr>
            <xdr:cNvPr id="4" name="AREA CATEGORY 1">
              <a:extLst>
                <a:ext uri="{FF2B5EF4-FFF2-40B4-BE49-F238E27FC236}">
                  <a16:creationId xmlns:a16="http://schemas.microsoft.com/office/drawing/2014/main" id="{00000000-0008-0000-1700-000004000000}"/>
                </a:ext>
              </a:extLst>
            </xdr:cNvPr>
            <xdr:cNvGraphicFramePr/>
          </xdr:nvGraphicFramePr>
          <xdr:xfrm>
            <a:off x="0" y="0"/>
            <a:ext cx="0" cy="0"/>
          </xdr:xfrm>
          <a:graphic>
            <a:graphicData uri="http://schemas.microsoft.com/office/drawing/2010/slicer">
              <sle:slicer xmlns:sle="http://schemas.microsoft.com/office/drawing/2010/slicer" name="AREA CATEGORY 1"/>
            </a:graphicData>
          </a:graphic>
        </xdr:graphicFrame>
      </mc:Choice>
      <mc:Fallback xmlns="">
        <xdr:sp macro="" textlink="">
          <xdr:nvSpPr>
            <xdr:cNvPr id="0" name=""/>
            <xdr:cNvSpPr>
              <a:spLocks noTextEdit="1"/>
            </xdr:cNvSpPr>
          </xdr:nvSpPr>
          <xdr:spPr>
            <a:xfrm>
              <a:off x="2637304" y="142876"/>
              <a:ext cx="1823198"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211741</xdr:colOff>
      <xdr:row>10</xdr:row>
      <xdr:rowOff>43145</xdr:rowOff>
    </xdr:from>
    <xdr:to>
      <xdr:col>4</xdr:col>
      <xdr:colOff>76199</xdr:colOff>
      <xdr:row>13</xdr:row>
      <xdr:rowOff>89649</xdr:rowOff>
    </xdr:to>
    <xdr:sp macro="" textlink="$N$11">
      <xdr:nvSpPr>
        <xdr:cNvPr id="5" name="TextBox 4">
          <a:extLst>
            <a:ext uri="{FF2B5EF4-FFF2-40B4-BE49-F238E27FC236}">
              <a16:creationId xmlns:a16="http://schemas.microsoft.com/office/drawing/2014/main" id="{00000000-0008-0000-1700-000005000000}"/>
            </a:ext>
          </a:extLst>
        </xdr:cNvPr>
        <xdr:cNvSpPr txBox="1"/>
      </xdr:nvSpPr>
      <xdr:spPr>
        <a:xfrm>
          <a:off x="2945416" y="1948145"/>
          <a:ext cx="635983" cy="6180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5557BDA-8CC6-4B7B-830A-EB70A12AC139}"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56</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248210</xdr:colOff>
      <xdr:row>6</xdr:row>
      <xdr:rowOff>168648</xdr:rowOff>
    </xdr:from>
    <xdr:to>
      <xdr:col>7</xdr:col>
      <xdr:colOff>588870</xdr:colOff>
      <xdr:row>8</xdr:row>
      <xdr:rowOff>179855</xdr:rowOff>
    </xdr:to>
    <xdr:sp macro="" textlink="$N$10">
      <xdr:nvSpPr>
        <xdr:cNvPr id="6" name="TextBox 5">
          <a:extLst>
            <a:ext uri="{FF2B5EF4-FFF2-40B4-BE49-F238E27FC236}">
              <a16:creationId xmlns:a16="http://schemas.microsoft.com/office/drawing/2014/main" id="{00000000-0008-0000-1700-000006000000}"/>
            </a:ext>
          </a:extLst>
        </xdr:cNvPr>
        <xdr:cNvSpPr txBox="1"/>
      </xdr:nvSpPr>
      <xdr:spPr>
        <a:xfrm>
          <a:off x="4524935" y="1311648"/>
          <a:ext cx="2464735" cy="3922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4483A3-C565-46F1-9514-87E336CB3975}"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cs typeface="Calibri"/>
            </a:rPr>
            <a:pPr/>
            <a:t>R2 SALES DATA</a:t>
          </a:fld>
          <a:endParaRPr lang="en-US" sz="20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xdr:col>
      <xdr:colOff>795618</xdr:colOff>
      <xdr:row>8</xdr:row>
      <xdr:rowOff>152400</xdr:rowOff>
    </xdr:from>
    <xdr:to>
      <xdr:col>4</xdr:col>
      <xdr:colOff>277906</xdr:colOff>
      <xdr:row>10</xdr:row>
      <xdr:rowOff>89648</xdr:rowOff>
    </xdr:to>
    <xdr:sp macro="" textlink="$N$12">
      <xdr:nvSpPr>
        <xdr:cNvPr id="7" name="TextBox 6">
          <a:extLst>
            <a:ext uri="{FF2B5EF4-FFF2-40B4-BE49-F238E27FC236}">
              <a16:creationId xmlns:a16="http://schemas.microsoft.com/office/drawing/2014/main" id="{00000000-0008-0000-1700-000007000000}"/>
            </a:ext>
          </a:extLst>
        </xdr:cNvPr>
        <xdr:cNvSpPr txBox="1"/>
      </xdr:nvSpPr>
      <xdr:spPr>
        <a:xfrm>
          <a:off x="2729193" y="1676400"/>
          <a:ext cx="1053913"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D5FE2B-5EFA-4B71-B871-BE81DDBE3CEB}"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cs typeface="Calibri"/>
            </a:rPr>
            <a:pPr/>
            <a:t>NO. OF UNITS</a:t>
          </a:fld>
          <a:endParaRPr lang="en-US" sz="28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5</xdr:col>
      <xdr:colOff>188259</xdr:colOff>
      <xdr:row>10</xdr:row>
      <xdr:rowOff>38663</xdr:rowOff>
    </xdr:from>
    <xdr:to>
      <xdr:col>8</xdr:col>
      <xdr:colOff>4483</xdr:colOff>
      <xdr:row>14</xdr:row>
      <xdr:rowOff>28575</xdr:rowOff>
    </xdr:to>
    <xdr:sp macro="" textlink="$N$14">
      <xdr:nvSpPr>
        <xdr:cNvPr id="8" name="TextBox 7">
          <a:extLst>
            <a:ext uri="{FF2B5EF4-FFF2-40B4-BE49-F238E27FC236}">
              <a16:creationId xmlns:a16="http://schemas.microsoft.com/office/drawing/2014/main" id="{00000000-0008-0000-1700-000008000000}"/>
            </a:ext>
          </a:extLst>
        </xdr:cNvPr>
        <xdr:cNvSpPr txBox="1"/>
      </xdr:nvSpPr>
      <xdr:spPr>
        <a:xfrm>
          <a:off x="4464984" y="1943663"/>
          <a:ext cx="2892799" cy="751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FCBFEF-89C0-4692-B5CD-74907C563204}"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EGP 469,832,418 </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96371</xdr:colOff>
      <xdr:row>8</xdr:row>
      <xdr:rowOff>147918</xdr:rowOff>
    </xdr:from>
    <xdr:to>
      <xdr:col>8</xdr:col>
      <xdr:colOff>209550</xdr:colOff>
      <xdr:row>10</xdr:row>
      <xdr:rowOff>85166</xdr:rowOff>
    </xdr:to>
    <xdr:sp macro="" textlink="$N$13">
      <xdr:nvSpPr>
        <xdr:cNvPr id="9" name="TextBox 8">
          <a:extLst>
            <a:ext uri="{FF2B5EF4-FFF2-40B4-BE49-F238E27FC236}">
              <a16:creationId xmlns:a16="http://schemas.microsoft.com/office/drawing/2014/main" id="{00000000-0008-0000-1700-000009000000}"/>
            </a:ext>
          </a:extLst>
        </xdr:cNvPr>
        <xdr:cNvSpPr txBox="1"/>
      </xdr:nvSpPr>
      <xdr:spPr>
        <a:xfrm>
          <a:off x="4373096" y="1671918"/>
          <a:ext cx="3189754"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00A2BC-5593-41B5-B4D9-16DCFD4E60EF}"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rPr>
            <a:pPr marL="0" indent="0"/>
            <a:t>TOTAL SALES VALUE (SEMI)</a:t>
          </a:fld>
          <a:endPar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5</xdr:col>
      <xdr:colOff>577663</xdr:colOff>
      <xdr:row>0</xdr:row>
      <xdr:rowOff>152400</xdr:rowOff>
    </xdr:from>
    <xdr:to>
      <xdr:col>7</xdr:col>
      <xdr:colOff>276784</xdr:colOff>
      <xdr:row>5</xdr:row>
      <xdr:rowOff>123825</xdr:rowOff>
    </xdr:to>
    <mc:AlternateContent xmlns:mc="http://schemas.openxmlformats.org/markup-compatibility/2006" xmlns:a14="http://schemas.microsoft.com/office/drawing/2010/main">
      <mc:Choice Requires="a14">
        <xdr:graphicFrame macro="">
          <xdr:nvGraphicFramePr>
            <xdr:cNvPr id="2" name="PREMIUM CATEGORY 5">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microsoft.com/office/drawing/2010/slicer">
              <sle:slicer xmlns:sle="http://schemas.microsoft.com/office/drawing/2010/slicer" name="PREMIUM CATEGORY 5"/>
            </a:graphicData>
          </a:graphic>
        </xdr:graphicFrame>
      </mc:Choice>
      <mc:Fallback xmlns="">
        <xdr:sp macro="" textlink="">
          <xdr:nvSpPr>
            <xdr:cNvPr id="0" name=""/>
            <xdr:cNvSpPr>
              <a:spLocks noTextEdit="1"/>
            </xdr:cNvSpPr>
          </xdr:nvSpPr>
          <xdr:spPr>
            <a:xfrm>
              <a:off x="4858310" y="152400"/>
              <a:ext cx="1828239"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0</xdr:row>
      <xdr:rowOff>123825</xdr:rowOff>
    </xdr:from>
    <xdr:to>
      <xdr:col>2</xdr:col>
      <xdr:colOff>26894</xdr:colOff>
      <xdr:row>12</xdr:row>
      <xdr:rowOff>104774</xdr:rowOff>
    </xdr:to>
    <mc:AlternateContent xmlns:mc="http://schemas.openxmlformats.org/markup-compatibility/2006" xmlns:a14="http://schemas.microsoft.com/office/drawing/2010/main">
      <mc:Choice Requires="a14">
        <xdr:graphicFrame macro="">
          <xdr:nvGraphicFramePr>
            <xdr:cNvPr id="3" name="SELLING PHASE NAME 2">
              <a:extLst>
                <a:ext uri="{FF2B5EF4-FFF2-40B4-BE49-F238E27FC236}">
                  <a16:creationId xmlns:a16="http://schemas.microsoft.com/office/drawing/2014/main" id="{00000000-0008-0000-1800-000003000000}"/>
                </a:ext>
              </a:extLst>
            </xdr:cNvPr>
            <xdr:cNvGraphicFramePr/>
          </xdr:nvGraphicFramePr>
          <xdr:xfrm>
            <a:off x="0" y="0"/>
            <a:ext cx="0" cy="0"/>
          </xdr:xfrm>
          <a:graphic>
            <a:graphicData uri="http://schemas.microsoft.com/office/drawing/2010/slicer">
              <sle:slicer xmlns:sle="http://schemas.microsoft.com/office/drawing/2010/slicer" name="SELLING PHASE NAME 2"/>
            </a:graphicData>
          </a:graphic>
        </xdr:graphicFrame>
      </mc:Choice>
      <mc:Fallback xmlns="">
        <xdr:sp macro="" textlink="">
          <xdr:nvSpPr>
            <xdr:cNvPr id="0" name=""/>
            <xdr:cNvSpPr>
              <a:spLocks noTextEdit="1"/>
            </xdr:cNvSpPr>
          </xdr:nvSpPr>
          <xdr:spPr>
            <a:xfrm>
              <a:off x="219075" y="123825"/>
              <a:ext cx="1768848" cy="2266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676275</xdr:colOff>
      <xdr:row>0</xdr:row>
      <xdr:rowOff>142876</xdr:rowOff>
    </xdr:from>
    <xdr:to>
      <xdr:col>5</xdr:col>
      <xdr:colOff>179855</xdr:colOff>
      <xdr:row>7</xdr:row>
      <xdr:rowOff>180976</xdr:rowOff>
    </xdr:to>
    <mc:AlternateContent xmlns:mc="http://schemas.openxmlformats.org/markup-compatibility/2006" xmlns:a14="http://schemas.microsoft.com/office/drawing/2010/main">
      <mc:Choice Requires="a14">
        <xdr:graphicFrame macro="">
          <xdr:nvGraphicFramePr>
            <xdr:cNvPr id="4" name="AREA CATEGORY 2">
              <a:extLst>
                <a:ext uri="{FF2B5EF4-FFF2-40B4-BE49-F238E27FC236}">
                  <a16:creationId xmlns:a16="http://schemas.microsoft.com/office/drawing/2014/main" id="{00000000-0008-0000-1800-000004000000}"/>
                </a:ext>
              </a:extLst>
            </xdr:cNvPr>
            <xdr:cNvGraphicFramePr/>
          </xdr:nvGraphicFramePr>
          <xdr:xfrm>
            <a:off x="0" y="0"/>
            <a:ext cx="0" cy="0"/>
          </xdr:xfrm>
          <a:graphic>
            <a:graphicData uri="http://schemas.microsoft.com/office/drawing/2010/slicer">
              <sle:slicer xmlns:sle="http://schemas.microsoft.com/office/drawing/2010/slicer" name="AREA CATEGORY 2"/>
            </a:graphicData>
          </a:graphic>
        </xdr:graphicFrame>
      </mc:Choice>
      <mc:Fallback xmlns="">
        <xdr:sp macro="" textlink="">
          <xdr:nvSpPr>
            <xdr:cNvPr id="0" name=""/>
            <xdr:cNvSpPr>
              <a:spLocks noTextEdit="1"/>
            </xdr:cNvSpPr>
          </xdr:nvSpPr>
          <xdr:spPr>
            <a:xfrm>
              <a:off x="2637304" y="142876"/>
              <a:ext cx="1823198"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211741</xdr:colOff>
      <xdr:row>10</xdr:row>
      <xdr:rowOff>43145</xdr:rowOff>
    </xdr:from>
    <xdr:to>
      <xdr:col>4</xdr:col>
      <xdr:colOff>76199</xdr:colOff>
      <xdr:row>13</xdr:row>
      <xdr:rowOff>89649</xdr:rowOff>
    </xdr:to>
    <xdr:sp macro="" textlink="$N$11">
      <xdr:nvSpPr>
        <xdr:cNvPr id="5" name="TextBox 4">
          <a:extLst>
            <a:ext uri="{FF2B5EF4-FFF2-40B4-BE49-F238E27FC236}">
              <a16:creationId xmlns:a16="http://schemas.microsoft.com/office/drawing/2014/main" id="{00000000-0008-0000-1800-000005000000}"/>
            </a:ext>
          </a:extLst>
        </xdr:cNvPr>
        <xdr:cNvSpPr txBox="1"/>
      </xdr:nvSpPr>
      <xdr:spPr>
        <a:xfrm>
          <a:off x="2945416" y="1948145"/>
          <a:ext cx="635983" cy="6180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5557BDA-8CC6-4B7B-830A-EB70A12AC139}"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63</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248210</xdr:colOff>
      <xdr:row>6</xdr:row>
      <xdr:rowOff>168648</xdr:rowOff>
    </xdr:from>
    <xdr:to>
      <xdr:col>7</xdr:col>
      <xdr:colOff>588870</xdr:colOff>
      <xdr:row>8</xdr:row>
      <xdr:rowOff>179855</xdr:rowOff>
    </xdr:to>
    <xdr:sp macro="" textlink="$N$10">
      <xdr:nvSpPr>
        <xdr:cNvPr id="6" name="TextBox 5">
          <a:extLst>
            <a:ext uri="{FF2B5EF4-FFF2-40B4-BE49-F238E27FC236}">
              <a16:creationId xmlns:a16="http://schemas.microsoft.com/office/drawing/2014/main" id="{00000000-0008-0000-1800-000006000000}"/>
            </a:ext>
          </a:extLst>
        </xdr:cNvPr>
        <xdr:cNvSpPr txBox="1"/>
      </xdr:nvSpPr>
      <xdr:spPr>
        <a:xfrm>
          <a:off x="4524935" y="1311648"/>
          <a:ext cx="2464735" cy="3922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4483A3-C565-46F1-9514-87E336CB3975}"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cs typeface="Calibri"/>
            </a:rPr>
            <a:pPr/>
            <a:t>R3 SALES DATA</a:t>
          </a:fld>
          <a:endParaRPr lang="en-US" sz="20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xdr:col>
      <xdr:colOff>795618</xdr:colOff>
      <xdr:row>8</xdr:row>
      <xdr:rowOff>152400</xdr:rowOff>
    </xdr:from>
    <xdr:to>
      <xdr:col>4</xdr:col>
      <xdr:colOff>277906</xdr:colOff>
      <xdr:row>10</xdr:row>
      <xdr:rowOff>89648</xdr:rowOff>
    </xdr:to>
    <xdr:sp macro="" textlink="$N$12">
      <xdr:nvSpPr>
        <xdr:cNvPr id="7" name="TextBox 6">
          <a:extLst>
            <a:ext uri="{FF2B5EF4-FFF2-40B4-BE49-F238E27FC236}">
              <a16:creationId xmlns:a16="http://schemas.microsoft.com/office/drawing/2014/main" id="{00000000-0008-0000-1800-000007000000}"/>
            </a:ext>
          </a:extLst>
        </xdr:cNvPr>
        <xdr:cNvSpPr txBox="1"/>
      </xdr:nvSpPr>
      <xdr:spPr>
        <a:xfrm>
          <a:off x="2729193" y="1676400"/>
          <a:ext cx="1053913"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D5FE2B-5EFA-4B71-B871-BE81DDBE3CEB}"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cs typeface="Calibri"/>
            </a:rPr>
            <a:pPr/>
            <a:t>NO. OF UNITS</a:t>
          </a:fld>
          <a:endParaRPr lang="en-US" sz="28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5</xdr:col>
      <xdr:colOff>188259</xdr:colOff>
      <xdr:row>10</xdr:row>
      <xdr:rowOff>38663</xdr:rowOff>
    </xdr:from>
    <xdr:to>
      <xdr:col>8</xdr:col>
      <xdr:colOff>4483</xdr:colOff>
      <xdr:row>14</xdr:row>
      <xdr:rowOff>28575</xdr:rowOff>
    </xdr:to>
    <xdr:sp macro="" textlink="$N$14">
      <xdr:nvSpPr>
        <xdr:cNvPr id="8" name="TextBox 7">
          <a:extLst>
            <a:ext uri="{FF2B5EF4-FFF2-40B4-BE49-F238E27FC236}">
              <a16:creationId xmlns:a16="http://schemas.microsoft.com/office/drawing/2014/main" id="{00000000-0008-0000-1800-000008000000}"/>
            </a:ext>
          </a:extLst>
        </xdr:cNvPr>
        <xdr:cNvSpPr txBox="1"/>
      </xdr:nvSpPr>
      <xdr:spPr>
        <a:xfrm>
          <a:off x="4464984" y="1943663"/>
          <a:ext cx="2892799" cy="751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FCBFEF-89C0-4692-B5CD-74907C563204}"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EGP 483,512,270 </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96371</xdr:colOff>
      <xdr:row>8</xdr:row>
      <xdr:rowOff>147918</xdr:rowOff>
    </xdr:from>
    <xdr:to>
      <xdr:col>8</xdr:col>
      <xdr:colOff>209550</xdr:colOff>
      <xdr:row>10</xdr:row>
      <xdr:rowOff>85166</xdr:rowOff>
    </xdr:to>
    <xdr:sp macro="" textlink="$N$13">
      <xdr:nvSpPr>
        <xdr:cNvPr id="9" name="TextBox 8">
          <a:extLst>
            <a:ext uri="{FF2B5EF4-FFF2-40B4-BE49-F238E27FC236}">
              <a16:creationId xmlns:a16="http://schemas.microsoft.com/office/drawing/2014/main" id="{00000000-0008-0000-1800-000009000000}"/>
            </a:ext>
          </a:extLst>
        </xdr:cNvPr>
        <xdr:cNvSpPr txBox="1"/>
      </xdr:nvSpPr>
      <xdr:spPr>
        <a:xfrm>
          <a:off x="4373096" y="1671918"/>
          <a:ext cx="3189754"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00A2BC-5593-41B5-B4D9-16DCFD4E60EF}"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rPr>
            <a:pPr marL="0" indent="0"/>
            <a:t>TOTAL SALES VALUE (SEMI)</a:t>
          </a:fld>
          <a:endPar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577663</xdr:colOff>
      <xdr:row>0</xdr:row>
      <xdr:rowOff>152400</xdr:rowOff>
    </xdr:from>
    <xdr:to>
      <xdr:col>7</xdr:col>
      <xdr:colOff>276784</xdr:colOff>
      <xdr:row>5</xdr:row>
      <xdr:rowOff>123825</xdr:rowOff>
    </xdr:to>
    <mc:AlternateContent xmlns:mc="http://schemas.openxmlformats.org/markup-compatibility/2006" xmlns:a14="http://schemas.microsoft.com/office/drawing/2010/main">
      <mc:Choice Requires="a14">
        <xdr:graphicFrame macro="">
          <xdr:nvGraphicFramePr>
            <xdr:cNvPr id="2" name="PREMIUM CATEGORY 6">
              <a:extLst>
                <a:ext uri="{FF2B5EF4-FFF2-40B4-BE49-F238E27FC236}">
                  <a16:creationId xmlns:a16="http://schemas.microsoft.com/office/drawing/2014/main" id="{00000000-0008-0000-1900-000002000000}"/>
                </a:ext>
              </a:extLst>
            </xdr:cNvPr>
            <xdr:cNvGraphicFramePr/>
          </xdr:nvGraphicFramePr>
          <xdr:xfrm>
            <a:off x="0" y="0"/>
            <a:ext cx="0" cy="0"/>
          </xdr:xfrm>
          <a:graphic>
            <a:graphicData uri="http://schemas.microsoft.com/office/drawing/2010/slicer">
              <sle:slicer xmlns:sle="http://schemas.microsoft.com/office/drawing/2010/slicer" name="PREMIUM CATEGORY 6"/>
            </a:graphicData>
          </a:graphic>
        </xdr:graphicFrame>
      </mc:Choice>
      <mc:Fallback xmlns="">
        <xdr:sp macro="" textlink="">
          <xdr:nvSpPr>
            <xdr:cNvPr id="0" name=""/>
            <xdr:cNvSpPr>
              <a:spLocks noTextEdit="1"/>
            </xdr:cNvSpPr>
          </xdr:nvSpPr>
          <xdr:spPr>
            <a:xfrm>
              <a:off x="4858310" y="152400"/>
              <a:ext cx="1828239"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0</xdr:row>
      <xdr:rowOff>123825</xdr:rowOff>
    </xdr:from>
    <xdr:to>
      <xdr:col>2</xdr:col>
      <xdr:colOff>26894</xdr:colOff>
      <xdr:row>12</xdr:row>
      <xdr:rowOff>104774</xdr:rowOff>
    </xdr:to>
    <mc:AlternateContent xmlns:mc="http://schemas.openxmlformats.org/markup-compatibility/2006" xmlns:a14="http://schemas.microsoft.com/office/drawing/2010/main">
      <mc:Choice Requires="a14">
        <xdr:graphicFrame macro="">
          <xdr:nvGraphicFramePr>
            <xdr:cNvPr id="3" name="SELLING PHASE NAME 3">
              <a:extLst>
                <a:ext uri="{FF2B5EF4-FFF2-40B4-BE49-F238E27FC236}">
                  <a16:creationId xmlns:a16="http://schemas.microsoft.com/office/drawing/2014/main" id="{00000000-0008-0000-1900-000003000000}"/>
                </a:ext>
              </a:extLst>
            </xdr:cNvPr>
            <xdr:cNvGraphicFramePr/>
          </xdr:nvGraphicFramePr>
          <xdr:xfrm>
            <a:off x="0" y="0"/>
            <a:ext cx="0" cy="0"/>
          </xdr:xfrm>
          <a:graphic>
            <a:graphicData uri="http://schemas.microsoft.com/office/drawing/2010/slicer">
              <sle:slicer xmlns:sle="http://schemas.microsoft.com/office/drawing/2010/slicer" name="SELLING PHASE NAME 3"/>
            </a:graphicData>
          </a:graphic>
        </xdr:graphicFrame>
      </mc:Choice>
      <mc:Fallback xmlns="">
        <xdr:sp macro="" textlink="">
          <xdr:nvSpPr>
            <xdr:cNvPr id="0" name=""/>
            <xdr:cNvSpPr>
              <a:spLocks noTextEdit="1"/>
            </xdr:cNvSpPr>
          </xdr:nvSpPr>
          <xdr:spPr>
            <a:xfrm>
              <a:off x="219075" y="123825"/>
              <a:ext cx="1768848" cy="2266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676275</xdr:colOff>
      <xdr:row>0</xdr:row>
      <xdr:rowOff>142876</xdr:rowOff>
    </xdr:from>
    <xdr:to>
      <xdr:col>5</xdr:col>
      <xdr:colOff>179855</xdr:colOff>
      <xdr:row>7</xdr:row>
      <xdr:rowOff>180976</xdr:rowOff>
    </xdr:to>
    <mc:AlternateContent xmlns:mc="http://schemas.openxmlformats.org/markup-compatibility/2006" xmlns:a14="http://schemas.microsoft.com/office/drawing/2010/main">
      <mc:Choice Requires="a14">
        <xdr:graphicFrame macro="">
          <xdr:nvGraphicFramePr>
            <xdr:cNvPr id="4" name="AREA CATEGORY 3">
              <a:extLst>
                <a:ext uri="{FF2B5EF4-FFF2-40B4-BE49-F238E27FC236}">
                  <a16:creationId xmlns:a16="http://schemas.microsoft.com/office/drawing/2014/main" id="{00000000-0008-0000-1900-000004000000}"/>
                </a:ext>
              </a:extLst>
            </xdr:cNvPr>
            <xdr:cNvGraphicFramePr/>
          </xdr:nvGraphicFramePr>
          <xdr:xfrm>
            <a:off x="0" y="0"/>
            <a:ext cx="0" cy="0"/>
          </xdr:xfrm>
          <a:graphic>
            <a:graphicData uri="http://schemas.microsoft.com/office/drawing/2010/slicer">
              <sle:slicer xmlns:sle="http://schemas.microsoft.com/office/drawing/2010/slicer" name="AREA CATEGORY 3"/>
            </a:graphicData>
          </a:graphic>
        </xdr:graphicFrame>
      </mc:Choice>
      <mc:Fallback xmlns="">
        <xdr:sp macro="" textlink="">
          <xdr:nvSpPr>
            <xdr:cNvPr id="0" name=""/>
            <xdr:cNvSpPr>
              <a:spLocks noTextEdit="1"/>
            </xdr:cNvSpPr>
          </xdr:nvSpPr>
          <xdr:spPr>
            <a:xfrm>
              <a:off x="2637304" y="142876"/>
              <a:ext cx="1823198"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211741</xdr:colOff>
      <xdr:row>10</xdr:row>
      <xdr:rowOff>43145</xdr:rowOff>
    </xdr:from>
    <xdr:to>
      <xdr:col>4</xdr:col>
      <xdr:colOff>76199</xdr:colOff>
      <xdr:row>13</xdr:row>
      <xdr:rowOff>89649</xdr:rowOff>
    </xdr:to>
    <xdr:sp macro="" textlink="$N$11">
      <xdr:nvSpPr>
        <xdr:cNvPr id="5" name="TextBox 4">
          <a:extLst>
            <a:ext uri="{FF2B5EF4-FFF2-40B4-BE49-F238E27FC236}">
              <a16:creationId xmlns:a16="http://schemas.microsoft.com/office/drawing/2014/main" id="{00000000-0008-0000-1900-000005000000}"/>
            </a:ext>
          </a:extLst>
        </xdr:cNvPr>
        <xdr:cNvSpPr txBox="1"/>
      </xdr:nvSpPr>
      <xdr:spPr>
        <a:xfrm>
          <a:off x="2945416" y="1948145"/>
          <a:ext cx="635983" cy="6180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5557BDA-8CC6-4B7B-830A-EB70A12AC139}"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89</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248210</xdr:colOff>
      <xdr:row>6</xdr:row>
      <xdr:rowOff>168648</xdr:rowOff>
    </xdr:from>
    <xdr:to>
      <xdr:col>7</xdr:col>
      <xdr:colOff>588870</xdr:colOff>
      <xdr:row>8</xdr:row>
      <xdr:rowOff>179855</xdr:rowOff>
    </xdr:to>
    <xdr:sp macro="" textlink="$N$10">
      <xdr:nvSpPr>
        <xdr:cNvPr id="6" name="TextBox 5">
          <a:extLst>
            <a:ext uri="{FF2B5EF4-FFF2-40B4-BE49-F238E27FC236}">
              <a16:creationId xmlns:a16="http://schemas.microsoft.com/office/drawing/2014/main" id="{00000000-0008-0000-1900-000006000000}"/>
            </a:ext>
          </a:extLst>
        </xdr:cNvPr>
        <xdr:cNvSpPr txBox="1"/>
      </xdr:nvSpPr>
      <xdr:spPr>
        <a:xfrm>
          <a:off x="4524935" y="1311648"/>
          <a:ext cx="2464735" cy="3922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4483A3-C565-46F1-9514-87E336CB3975}"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cs typeface="Calibri"/>
            </a:rPr>
            <a:pPr/>
            <a:t>R4 SALES DATA</a:t>
          </a:fld>
          <a:endParaRPr lang="en-US" sz="20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xdr:col>
      <xdr:colOff>795618</xdr:colOff>
      <xdr:row>8</xdr:row>
      <xdr:rowOff>152400</xdr:rowOff>
    </xdr:from>
    <xdr:to>
      <xdr:col>4</xdr:col>
      <xdr:colOff>277906</xdr:colOff>
      <xdr:row>10</xdr:row>
      <xdr:rowOff>89648</xdr:rowOff>
    </xdr:to>
    <xdr:sp macro="" textlink="$N$12">
      <xdr:nvSpPr>
        <xdr:cNvPr id="7" name="TextBox 6">
          <a:extLst>
            <a:ext uri="{FF2B5EF4-FFF2-40B4-BE49-F238E27FC236}">
              <a16:creationId xmlns:a16="http://schemas.microsoft.com/office/drawing/2014/main" id="{00000000-0008-0000-1900-000007000000}"/>
            </a:ext>
          </a:extLst>
        </xdr:cNvPr>
        <xdr:cNvSpPr txBox="1"/>
      </xdr:nvSpPr>
      <xdr:spPr>
        <a:xfrm>
          <a:off x="2729193" y="1676400"/>
          <a:ext cx="1053913"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D5FE2B-5EFA-4B71-B871-BE81DDBE3CEB}"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cs typeface="Calibri"/>
            </a:rPr>
            <a:pPr/>
            <a:t>NO. OF UNITS</a:t>
          </a:fld>
          <a:endParaRPr lang="en-US" sz="28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5</xdr:col>
      <xdr:colOff>188259</xdr:colOff>
      <xdr:row>10</xdr:row>
      <xdr:rowOff>38663</xdr:rowOff>
    </xdr:from>
    <xdr:to>
      <xdr:col>8</xdr:col>
      <xdr:colOff>4483</xdr:colOff>
      <xdr:row>14</xdr:row>
      <xdr:rowOff>28575</xdr:rowOff>
    </xdr:to>
    <xdr:sp macro="" textlink="$N$14">
      <xdr:nvSpPr>
        <xdr:cNvPr id="8" name="TextBox 7">
          <a:extLst>
            <a:ext uri="{FF2B5EF4-FFF2-40B4-BE49-F238E27FC236}">
              <a16:creationId xmlns:a16="http://schemas.microsoft.com/office/drawing/2014/main" id="{00000000-0008-0000-1900-000008000000}"/>
            </a:ext>
          </a:extLst>
        </xdr:cNvPr>
        <xdr:cNvSpPr txBox="1"/>
      </xdr:nvSpPr>
      <xdr:spPr>
        <a:xfrm>
          <a:off x="4464984" y="1943663"/>
          <a:ext cx="2892799" cy="751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FCBFEF-89C0-4692-B5CD-74907C563204}"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EGP 753,224,541 </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96371</xdr:colOff>
      <xdr:row>8</xdr:row>
      <xdr:rowOff>147918</xdr:rowOff>
    </xdr:from>
    <xdr:to>
      <xdr:col>8</xdr:col>
      <xdr:colOff>209550</xdr:colOff>
      <xdr:row>10</xdr:row>
      <xdr:rowOff>85166</xdr:rowOff>
    </xdr:to>
    <xdr:sp macro="" textlink="$N$13">
      <xdr:nvSpPr>
        <xdr:cNvPr id="9" name="TextBox 8">
          <a:extLst>
            <a:ext uri="{FF2B5EF4-FFF2-40B4-BE49-F238E27FC236}">
              <a16:creationId xmlns:a16="http://schemas.microsoft.com/office/drawing/2014/main" id="{00000000-0008-0000-1900-000009000000}"/>
            </a:ext>
          </a:extLst>
        </xdr:cNvPr>
        <xdr:cNvSpPr txBox="1"/>
      </xdr:nvSpPr>
      <xdr:spPr>
        <a:xfrm>
          <a:off x="4373096" y="1671918"/>
          <a:ext cx="3189754"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00A2BC-5593-41B5-B4D9-16DCFD4E60EF}"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rPr>
            <a:pPr marL="0" indent="0"/>
            <a:t>TOTAL SALES VALUE (SEMI)</a:t>
          </a:fld>
          <a:endPar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577663</xdr:colOff>
      <xdr:row>0</xdr:row>
      <xdr:rowOff>152400</xdr:rowOff>
    </xdr:from>
    <xdr:to>
      <xdr:col>7</xdr:col>
      <xdr:colOff>276784</xdr:colOff>
      <xdr:row>5</xdr:row>
      <xdr:rowOff>123825</xdr:rowOff>
    </xdr:to>
    <mc:AlternateContent xmlns:mc="http://schemas.openxmlformats.org/markup-compatibility/2006" xmlns:a14="http://schemas.microsoft.com/office/drawing/2010/main">
      <mc:Choice Requires="a14">
        <xdr:graphicFrame macro="">
          <xdr:nvGraphicFramePr>
            <xdr:cNvPr id="2" name="PREMIUM CATEGORY 7">
              <a:extLst>
                <a:ext uri="{FF2B5EF4-FFF2-40B4-BE49-F238E27FC236}">
                  <a16:creationId xmlns:a16="http://schemas.microsoft.com/office/drawing/2014/main" id="{00000000-0008-0000-1A00-000002000000}"/>
                </a:ext>
              </a:extLst>
            </xdr:cNvPr>
            <xdr:cNvGraphicFramePr/>
          </xdr:nvGraphicFramePr>
          <xdr:xfrm>
            <a:off x="0" y="0"/>
            <a:ext cx="0" cy="0"/>
          </xdr:xfrm>
          <a:graphic>
            <a:graphicData uri="http://schemas.microsoft.com/office/drawing/2010/slicer">
              <sle:slicer xmlns:sle="http://schemas.microsoft.com/office/drawing/2010/slicer" name="PREMIUM CATEGORY 7"/>
            </a:graphicData>
          </a:graphic>
        </xdr:graphicFrame>
      </mc:Choice>
      <mc:Fallback xmlns="">
        <xdr:sp macro="" textlink="">
          <xdr:nvSpPr>
            <xdr:cNvPr id="0" name=""/>
            <xdr:cNvSpPr>
              <a:spLocks noTextEdit="1"/>
            </xdr:cNvSpPr>
          </xdr:nvSpPr>
          <xdr:spPr>
            <a:xfrm>
              <a:off x="4858310" y="152400"/>
              <a:ext cx="1828239"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0</xdr:row>
      <xdr:rowOff>123825</xdr:rowOff>
    </xdr:from>
    <xdr:to>
      <xdr:col>2</xdr:col>
      <xdr:colOff>26894</xdr:colOff>
      <xdr:row>12</xdr:row>
      <xdr:rowOff>104774</xdr:rowOff>
    </xdr:to>
    <mc:AlternateContent xmlns:mc="http://schemas.openxmlformats.org/markup-compatibility/2006" xmlns:a14="http://schemas.microsoft.com/office/drawing/2010/main">
      <mc:Choice Requires="a14">
        <xdr:graphicFrame macro="">
          <xdr:nvGraphicFramePr>
            <xdr:cNvPr id="3" name="SELLING PHASE NAME 4">
              <a:extLst>
                <a:ext uri="{FF2B5EF4-FFF2-40B4-BE49-F238E27FC236}">
                  <a16:creationId xmlns:a16="http://schemas.microsoft.com/office/drawing/2014/main" id="{00000000-0008-0000-1A00-000003000000}"/>
                </a:ext>
              </a:extLst>
            </xdr:cNvPr>
            <xdr:cNvGraphicFramePr/>
          </xdr:nvGraphicFramePr>
          <xdr:xfrm>
            <a:off x="0" y="0"/>
            <a:ext cx="0" cy="0"/>
          </xdr:xfrm>
          <a:graphic>
            <a:graphicData uri="http://schemas.microsoft.com/office/drawing/2010/slicer">
              <sle:slicer xmlns:sle="http://schemas.microsoft.com/office/drawing/2010/slicer" name="SELLING PHASE NAME 4"/>
            </a:graphicData>
          </a:graphic>
        </xdr:graphicFrame>
      </mc:Choice>
      <mc:Fallback xmlns="">
        <xdr:sp macro="" textlink="">
          <xdr:nvSpPr>
            <xdr:cNvPr id="0" name=""/>
            <xdr:cNvSpPr>
              <a:spLocks noTextEdit="1"/>
            </xdr:cNvSpPr>
          </xdr:nvSpPr>
          <xdr:spPr>
            <a:xfrm>
              <a:off x="219075" y="123825"/>
              <a:ext cx="1768848" cy="2266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676275</xdr:colOff>
      <xdr:row>0</xdr:row>
      <xdr:rowOff>142876</xdr:rowOff>
    </xdr:from>
    <xdr:to>
      <xdr:col>5</xdr:col>
      <xdr:colOff>179855</xdr:colOff>
      <xdr:row>7</xdr:row>
      <xdr:rowOff>180976</xdr:rowOff>
    </xdr:to>
    <mc:AlternateContent xmlns:mc="http://schemas.openxmlformats.org/markup-compatibility/2006" xmlns:a14="http://schemas.microsoft.com/office/drawing/2010/main">
      <mc:Choice Requires="a14">
        <xdr:graphicFrame macro="">
          <xdr:nvGraphicFramePr>
            <xdr:cNvPr id="4" name="AREA CATEGORY 4">
              <a:extLst>
                <a:ext uri="{FF2B5EF4-FFF2-40B4-BE49-F238E27FC236}">
                  <a16:creationId xmlns:a16="http://schemas.microsoft.com/office/drawing/2014/main" id="{00000000-0008-0000-1A00-000004000000}"/>
                </a:ext>
              </a:extLst>
            </xdr:cNvPr>
            <xdr:cNvGraphicFramePr/>
          </xdr:nvGraphicFramePr>
          <xdr:xfrm>
            <a:off x="0" y="0"/>
            <a:ext cx="0" cy="0"/>
          </xdr:xfrm>
          <a:graphic>
            <a:graphicData uri="http://schemas.microsoft.com/office/drawing/2010/slicer">
              <sle:slicer xmlns:sle="http://schemas.microsoft.com/office/drawing/2010/slicer" name="AREA CATEGORY 4"/>
            </a:graphicData>
          </a:graphic>
        </xdr:graphicFrame>
      </mc:Choice>
      <mc:Fallback xmlns="">
        <xdr:sp macro="" textlink="">
          <xdr:nvSpPr>
            <xdr:cNvPr id="0" name=""/>
            <xdr:cNvSpPr>
              <a:spLocks noTextEdit="1"/>
            </xdr:cNvSpPr>
          </xdr:nvSpPr>
          <xdr:spPr>
            <a:xfrm>
              <a:off x="2637304" y="142876"/>
              <a:ext cx="1823198"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211741</xdr:colOff>
      <xdr:row>10</xdr:row>
      <xdr:rowOff>43145</xdr:rowOff>
    </xdr:from>
    <xdr:to>
      <xdr:col>4</xdr:col>
      <xdr:colOff>76199</xdr:colOff>
      <xdr:row>13</xdr:row>
      <xdr:rowOff>89649</xdr:rowOff>
    </xdr:to>
    <xdr:sp macro="" textlink="$N$11">
      <xdr:nvSpPr>
        <xdr:cNvPr id="5" name="TextBox 4">
          <a:extLst>
            <a:ext uri="{FF2B5EF4-FFF2-40B4-BE49-F238E27FC236}">
              <a16:creationId xmlns:a16="http://schemas.microsoft.com/office/drawing/2014/main" id="{00000000-0008-0000-1A00-000005000000}"/>
            </a:ext>
          </a:extLst>
        </xdr:cNvPr>
        <xdr:cNvSpPr txBox="1"/>
      </xdr:nvSpPr>
      <xdr:spPr>
        <a:xfrm>
          <a:off x="2945416" y="1948145"/>
          <a:ext cx="635983" cy="6180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5557BDA-8CC6-4B7B-830A-EB70A12AC139}"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62</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248210</xdr:colOff>
      <xdr:row>6</xdr:row>
      <xdr:rowOff>168648</xdr:rowOff>
    </xdr:from>
    <xdr:to>
      <xdr:col>7</xdr:col>
      <xdr:colOff>588870</xdr:colOff>
      <xdr:row>8</xdr:row>
      <xdr:rowOff>179855</xdr:rowOff>
    </xdr:to>
    <xdr:sp macro="" textlink="$N$10">
      <xdr:nvSpPr>
        <xdr:cNvPr id="6" name="TextBox 5">
          <a:extLst>
            <a:ext uri="{FF2B5EF4-FFF2-40B4-BE49-F238E27FC236}">
              <a16:creationId xmlns:a16="http://schemas.microsoft.com/office/drawing/2014/main" id="{00000000-0008-0000-1A00-000006000000}"/>
            </a:ext>
          </a:extLst>
        </xdr:cNvPr>
        <xdr:cNvSpPr txBox="1"/>
      </xdr:nvSpPr>
      <xdr:spPr>
        <a:xfrm>
          <a:off x="4524935" y="1311648"/>
          <a:ext cx="2464735" cy="3922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4483A3-C565-46F1-9514-87E336CB3975}"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cs typeface="Calibri"/>
            </a:rPr>
            <a:pPr/>
            <a:t>R5 SALES DATA</a:t>
          </a:fld>
          <a:endParaRPr lang="en-US" sz="20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xdr:col>
      <xdr:colOff>795618</xdr:colOff>
      <xdr:row>8</xdr:row>
      <xdr:rowOff>152400</xdr:rowOff>
    </xdr:from>
    <xdr:to>
      <xdr:col>4</xdr:col>
      <xdr:colOff>277906</xdr:colOff>
      <xdr:row>10</xdr:row>
      <xdr:rowOff>89648</xdr:rowOff>
    </xdr:to>
    <xdr:sp macro="" textlink="$N$12">
      <xdr:nvSpPr>
        <xdr:cNvPr id="7" name="TextBox 6">
          <a:extLst>
            <a:ext uri="{FF2B5EF4-FFF2-40B4-BE49-F238E27FC236}">
              <a16:creationId xmlns:a16="http://schemas.microsoft.com/office/drawing/2014/main" id="{00000000-0008-0000-1A00-000007000000}"/>
            </a:ext>
          </a:extLst>
        </xdr:cNvPr>
        <xdr:cNvSpPr txBox="1"/>
      </xdr:nvSpPr>
      <xdr:spPr>
        <a:xfrm>
          <a:off x="2729193" y="1676400"/>
          <a:ext cx="1053913"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D5FE2B-5EFA-4B71-B871-BE81DDBE3CEB}"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cs typeface="Calibri"/>
            </a:rPr>
            <a:pPr/>
            <a:t>NO. OF UNITS</a:t>
          </a:fld>
          <a:endParaRPr lang="en-US" sz="28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5</xdr:col>
      <xdr:colOff>188259</xdr:colOff>
      <xdr:row>10</xdr:row>
      <xdr:rowOff>38663</xdr:rowOff>
    </xdr:from>
    <xdr:to>
      <xdr:col>8</xdr:col>
      <xdr:colOff>4483</xdr:colOff>
      <xdr:row>14</xdr:row>
      <xdr:rowOff>28575</xdr:rowOff>
    </xdr:to>
    <xdr:sp macro="" textlink="$N$14">
      <xdr:nvSpPr>
        <xdr:cNvPr id="8" name="TextBox 7">
          <a:extLst>
            <a:ext uri="{FF2B5EF4-FFF2-40B4-BE49-F238E27FC236}">
              <a16:creationId xmlns:a16="http://schemas.microsoft.com/office/drawing/2014/main" id="{00000000-0008-0000-1A00-000008000000}"/>
            </a:ext>
          </a:extLst>
        </xdr:cNvPr>
        <xdr:cNvSpPr txBox="1"/>
      </xdr:nvSpPr>
      <xdr:spPr>
        <a:xfrm>
          <a:off x="4464984" y="1943663"/>
          <a:ext cx="2892799" cy="751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FCBFEF-89C0-4692-B5CD-74907C563204}"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EGP 547,233,429 </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96371</xdr:colOff>
      <xdr:row>8</xdr:row>
      <xdr:rowOff>147918</xdr:rowOff>
    </xdr:from>
    <xdr:to>
      <xdr:col>8</xdr:col>
      <xdr:colOff>209550</xdr:colOff>
      <xdr:row>10</xdr:row>
      <xdr:rowOff>85166</xdr:rowOff>
    </xdr:to>
    <xdr:sp macro="" textlink="$N$13">
      <xdr:nvSpPr>
        <xdr:cNvPr id="9" name="TextBox 8">
          <a:extLst>
            <a:ext uri="{FF2B5EF4-FFF2-40B4-BE49-F238E27FC236}">
              <a16:creationId xmlns:a16="http://schemas.microsoft.com/office/drawing/2014/main" id="{00000000-0008-0000-1A00-000009000000}"/>
            </a:ext>
          </a:extLst>
        </xdr:cNvPr>
        <xdr:cNvSpPr txBox="1"/>
      </xdr:nvSpPr>
      <xdr:spPr>
        <a:xfrm>
          <a:off x="4373096" y="1671918"/>
          <a:ext cx="3189754"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00A2BC-5593-41B5-B4D9-16DCFD4E60EF}"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rPr>
            <a:pPr marL="0" indent="0"/>
            <a:t>TOTAL SALES VALUE (SEMI)</a:t>
          </a:fld>
          <a:endPar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577663</xdr:colOff>
      <xdr:row>0</xdr:row>
      <xdr:rowOff>152400</xdr:rowOff>
    </xdr:from>
    <xdr:to>
      <xdr:col>7</xdr:col>
      <xdr:colOff>276784</xdr:colOff>
      <xdr:row>5</xdr:row>
      <xdr:rowOff>123825</xdr:rowOff>
    </xdr:to>
    <mc:AlternateContent xmlns:mc="http://schemas.openxmlformats.org/markup-compatibility/2006" xmlns:a14="http://schemas.microsoft.com/office/drawing/2010/main">
      <mc:Choice Requires="a14">
        <xdr:graphicFrame macro="">
          <xdr:nvGraphicFramePr>
            <xdr:cNvPr id="2" name="PREMIUM CATEGORY 8">
              <a:extLst>
                <a:ext uri="{FF2B5EF4-FFF2-40B4-BE49-F238E27FC236}">
                  <a16:creationId xmlns:a16="http://schemas.microsoft.com/office/drawing/2014/main" id="{00000000-0008-0000-1B00-000002000000}"/>
                </a:ext>
              </a:extLst>
            </xdr:cNvPr>
            <xdr:cNvGraphicFramePr/>
          </xdr:nvGraphicFramePr>
          <xdr:xfrm>
            <a:off x="0" y="0"/>
            <a:ext cx="0" cy="0"/>
          </xdr:xfrm>
          <a:graphic>
            <a:graphicData uri="http://schemas.microsoft.com/office/drawing/2010/slicer">
              <sle:slicer xmlns:sle="http://schemas.microsoft.com/office/drawing/2010/slicer" name="PREMIUM CATEGORY 8"/>
            </a:graphicData>
          </a:graphic>
        </xdr:graphicFrame>
      </mc:Choice>
      <mc:Fallback xmlns="">
        <xdr:sp macro="" textlink="">
          <xdr:nvSpPr>
            <xdr:cNvPr id="0" name=""/>
            <xdr:cNvSpPr>
              <a:spLocks noTextEdit="1"/>
            </xdr:cNvSpPr>
          </xdr:nvSpPr>
          <xdr:spPr>
            <a:xfrm>
              <a:off x="4858310" y="152400"/>
              <a:ext cx="1828239"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0</xdr:row>
      <xdr:rowOff>123825</xdr:rowOff>
    </xdr:from>
    <xdr:to>
      <xdr:col>2</xdr:col>
      <xdr:colOff>26894</xdr:colOff>
      <xdr:row>12</xdr:row>
      <xdr:rowOff>104774</xdr:rowOff>
    </xdr:to>
    <mc:AlternateContent xmlns:mc="http://schemas.openxmlformats.org/markup-compatibility/2006" xmlns:a14="http://schemas.microsoft.com/office/drawing/2010/main">
      <mc:Choice Requires="a14">
        <xdr:graphicFrame macro="">
          <xdr:nvGraphicFramePr>
            <xdr:cNvPr id="3" name="SELLING PHASE NAME 5">
              <a:extLst>
                <a:ext uri="{FF2B5EF4-FFF2-40B4-BE49-F238E27FC236}">
                  <a16:creationId xmlns:a16="http://schemas.microsoft.com/office/drawing/2014/main" id="{00000000-0008-0000-1B00-000003000000}"/>
                </a:ext>
              </a:extLst>
            </xdr:cNvPr>
            <xdr:cNvGraphicFramePr/>
          </xdr:nvGraphicFramePr>
          <xdr:xfrm>
            <a:off x="0" y="0"/>
            <a:ext cx="0" cy="0"/>
          </xdr:xfrm>
          <a:graphic>
            <a:graphicData uri="http://schemas.microsoft.com/office/drawing/2010/slicer">
              <sle:slicer xmlns:sle="http://schemas.microsoft.com/office/drawing/2010/slicer" name="SELLING PHASE NAME 5"/>
            </a:graphicData>
          </a:graphic>
        </xdr:graphicFrame>
      </mc:Choice>
      <mc:Fallback xmlns="">
        <xdr:sp macro="" textlink="">
          <xdr:nvSpPr>
            <xdr:cNvPr id="0" name=""/>
            <xdr:cNvSpPr>
              <a:spLocks noTextEdit="1"/>
            </xdr:cNvSpPr>
          </xdr:nvSpPr>
          <xdr:spPr>
            <a:xfrm>
              <a:off x="219075" y="123825"/>
              <a:ext cx="1768848" cy="2266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676275</xdr:colOff>
      <xdr:row>0</xdr:row>
      <xdr:rowOff>142876</xdr:rowOff>
    </xdr:from>
    <xdr:to>
      <xdr:col>5</xdr:col>
      <xdr:colOff>179855</xdr:colOff>
      <xdr:row>7</xdr:row>
      <xdr:rowOff>180976</xdr:rowOff>
    </xdr:to>
    <mc:AlternateContent xmlns:mc="http://schemas.openxmlformats.org/markup-compatibility/2006" xmlns:a14="http://schemas.microsoft.com/office/drawing/2010/main">
      <mc:Choice Requires="a14">
        <xdr:graphicFrame macro="">
          <xdr:nvGraphicFramePr>
            <xdr:cNvPr id="4" name="AREA CATEGORY 5">
              <a:extLst>
                <a:ext uri="{FF2B5EF4-FFF2-40B4-BE49-F238E27FC236}">
                  <a16:creationId xmlns:a16="http://schemas.microsoft.com/office/drawing/2014/main" id="{00000000-0008-0000-1B00-000004000000}"/>
                </a:ext>
              </a:extLst>
            </xdr:cNvPr>
            <xdr:cNvGraphicFramePr/>
          </xdr:nvGraphicFramePr>
          <xdr:xfrm>
            <a:off x="0" y="0"/>
            <a:ext cx="0" cy="0"/>
          </xdr:xfrm>
          <a:graphic>
            <a:graphicData uri="http://schemas.microsoft.com/office/drawing/2010/slicer">
              <sle:slicer xmlns:sle="http://schemas.microsoft.com/office/drawing/2010/slicer" name="AREA CATEGORY 5"/>
            </a:graphicData>
          </a:graphic>
        </xdr:graphicFrame>
      </mc:Choice>
      <mc:Fallback xmlns="">
        <xdr:sp macro="" textlink="">
          <xdr:nvSpPr>
            <xdr:cNvPr id="0" name=""/>
            <xdr:cNvSpPr>
              <a:spLocks noTextEdit="1"/>
            </xdr:cNvSpPr>
          </xdr:nvSpPr>
          <xdr:spPr>
            <a:xfrm>
              <a:off x="2637304" y="142876"/>
              <a:ext cx="1823198"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211741</xdr:colOff>
      <xdr:row>10</xdr:row>
      <xdr:rowOff>43145</xdr:rowOff>
    </xdr:from>
    <xdr:to>
      <xdr:col>4</xdr:col>
      <xdr:colOff>76199</xdr:colOff>
      <xdr:row>13</xdr:row>
      <xdr:rowOff>89649</xdr:rowOff>
    </xdr:to>
    <xdr:sp macro="" textlink="$N$11">
      <xdr:nvSpPr>
        <xdr:cNvPr id="5" name="TextBox 4">
          <a:extLst>
            <a:ext uri="{FF2B5EF4-FFF2-40B4-BE49-F238E27FC236}">
              <a16:creationId xmlns:a16="http://schemas.microsoft.com/office/drawing/2014/main" id="{00000000-0008-0000-1B00-000005000000}"/>
            </a:ext>
          </a:extLst>
        </xdr:cNvPr>
        <xdr:cNvSpPr txBox="1"/>
      </xdr:nvSpPr>
      <xdr:spPr>
        <a:xfrm>
          <a:off x="2945416" y="1948145"/>
          <a:ext cx="635983" cy="6180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5557BDA-8CC6-4B7B-830A-EB70A12AC139}"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55</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248210</xdr:colOff>
      <xdr:row>6</xdr:row>
      <xdr:rowOff>168648</xdr:rowOff>
    </xdr:from>
    <xdr:to>
      <xdr:col>7</xdr:col>
      <xdr:colOff>588870</xdr:colOff>
      <xdr:row>8</xdr:row>
      <xdr:rowOff>179855</xdr:rowOff>
    </xdr:to>
    <xdr:sp macro="" textlink="$N$10">
      <xdr:nvSpPr>
        <xdr:cNvPr id="6" name="TextBox 5">
          <a:extLst>
            <a:ext uri="{FF2B5EF4-FFF2-40B4-BE49-F238E27FC236}">
              <a16:creationId xmlns:a16="http://schemas.microsoft.com/office/drawing/2014/main" id="{00000000-0008-0000-1B00-000006000000}"/>
            </a:ext>
          </a:extLst>
        </xdr:cNvPr>
        <xdr:cNvSpPr txBox="1"/>
      </xdr:nvSpPr>
      <xdr:spPr>
        <a:xfrm>
          <a:off x="4524935" y="1311648"/>
          <a:ext cx="2464735" cy="3922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4483A3-C565-46F1-9514-87E336CB3975}"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cs typeface="Calibri"/>
            </a:rPr>
            <a:pPr/>
            <a:t>R6 SALES DATA</a:t>
          </a:fld>
          <a:endParaRPr lang="en-US" sz="20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xdr:col>
      <xdr:colOff>795618</xdr:colOff>
      <xdr:row>8</xdr:row>
      <xdr:rowOff>152400</xdr:rowOff>
    </xdr:from>
    <xdr:to>
      <xdr:col>4</xdr:col>
      <xdr:colOff>277906</xdr:colOff>
      <xdr:row>10</xdr:row>
      <xdr:rowOff>89648</xdr:rowOff>
    </xdr:to>
    <xdr:sp macro="" textlink="$N$12">
      <xdr:nvSpPr>
        <xdr:cNvPr id="7" name="TextBox 6">
          <a:extLst>
            <a:ext uri="{FF2B5EF4-FFF2-40B4-BE49-F238E27FC236}">
              <a16:creationId xmlns:a16="http://schemas.microsoft.com/office/drawing/2014/main" id="{00000000-0008-0000-1B00-000007000000}"/>
            </a:ext>
          </a:extLst>
        </xdr:cNvPr>
        <xdr:cNvSpPr txBox="1"/>
      </xdr:nvSpPr>
      <xdr:spPr>
        <a:xfrm>
          <a:off x="2729193" y="1676400"/>
          <a:ext cx="1053913"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D5FE2B-5EFA-4B71-B871-BE81DDBE3CEB}"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cs typeface="Calibri"/>
            </a:rPr>
            <a:pPr/>
            <a:t>NO. OF UNITS</a:t>
          </a:fld>
          <a:endParaRPr lang="en-US" sz="28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5</xdr:col>
      <xdr:colOff>188259</xdr:colOff>
      <xdr:row>10</xdr:row>
      <xdr:rowOff>38663</xdr:rowOff>
    </xdr:from>
    <xdr:to>
      <xdr:col>8</xdr:col>
      <xdr:colOff>4483</xdr:colOff>
      <xdr:row>14</xdr:row>
      <xdr:rowOff>28575</xdr:rowOff>
    </xdr:to>
    <xdr:sp macro="" textlink="$N$14">
      <xdr:nvSpPr>
        <xdr:cNvPr id="8" name="TextBox 7">
          <a:extLst>
            <a:ext uri="{FF2B5EF4-FFF2-40B4-BE49-F238E27FC236}">
              <a16:creationId xmlns:a16="http://schemas.microsoft.com/office/drawing/2014/main" id="{00000000-0008-0000-1B00-000008000000}"/>
            </a:ext>
          </a:extLst>
        </xdr:cNvPr>
        <xdr:cNvSpPr txBox="1"/>
      </xdr:nvSpPr>
      <xdr:spPr>
        <a:xfrm>
          <a:off x="4464984" y="1943663"/>
          <a:ext cx="2892799" cy="751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FCBFEF-89C0-4692-B5CD-74907C563204}"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EGP 516,221,241 </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96371</xdr:colOff>
      <xdr:row>8</xdr:row>
      <xdr:rowOff>147918</xdr:rowOff>
    </xdr:from>
    <xdr:to>
      <xdr:col>8</xdr:col>
      <xdr:colOff>209550</xdr:colOff>
      <xdr:row>10</xdr:row>
      <xdr:rowOff>85166</xdr:rowOff>
    </xdr:to>
    <xdr:sp macro="" textlink="$N$13">
      <xdr:nvSpPr>
        <xdr:cNvPr id="9" name="TextBox 8">
          <a:extLst>
            <a:ext uri="{FF2B5EF4-FFF2-40B4-BE49-F238E27FC236}">
              <a16:creationId xmlns:a16="http://schemas.microsoft.com/office/drawing/2014/main" id="{00000000-0008-0000-1B00-000009000000}"/>
            </a:ext>
          </a:extLst>
        </xdr:cNvPr>
        <xdr:cNvSpPr txBox="1"/>
      </xdr:nvSpPr>
      <xdr:spPr>
        <a:xfrm>
          <a:off x="4373096" y="1671918"/>
          <a:ext cx="3189754"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00A2BC-5593-41B5-B4D9-16DCFD4E60EF}"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rPr>
            <a:pPr marL="0" indent="0"/>
            <a:t>TOTAL SALES VALUE (SEMI)</a:t>
          </a:fld>
          <a:endPar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577663</xdr:colOff>
      <xdr:row>0</xdr:row>
      <xdr:rowOff>152400</xdr:rowOff>
    </xdr:from>
    <xdr:to>
      <xdr:col>7</xdr:col>
      <xdr:colOff>276785</xdr:colOff>
      <xdr:row>5</xdr:row>
      <xdr:rowOff>123825</xdr:rowOff>
    </xdr:to>
    <mc:AlternateContent xmlns:mc="http://schemas.openxmlformats.org/markup-compatibility/2006" xmlns:a14="http://schemas.microsoft.com/office/drawing/2010/main">
      <mc:Choice Requires="a14">
        <xdr:graphicFrame macro="">
          <xdr:nvGraphicFramePr>
            <xdr:cNvPr id="2" name="PREMIUM CATEGORY 9">
              <a:extLst>
                <a:ext uri="{FF2B5EF4-FFF2-40B4-BE49-F238E27FC236}">
                  <a16:creationId xmlns:a16="http://schemas.microsoft.com/office/drawing/2014/main" id="{00000000-0008-0000-1C00-000002000000}"/>
                </a:ext>
              </a:extLst>
            </xdr:cNvPr>
            <xdr:cNvGraphicFramePr/>
          </xdr:nvGraphicFramePr>
          <xdr:xfrm>
            <a:off x="0" y="0"/>
            <a:ext cx="0" cy="0"/>
          </xdr:xfrm>
          <a:graphic>
            <a:graphicData uri="http://schemas.microsoft.com/office/drawing/2010/slicer">
              <sle:slicer xmlns:sle="http://schemas.microsoft.com/office/drawing/2010/slicer" name="PREMIUM CATEGORY 9"/>
            </a:graphicData>
          </a:graphic>
        </xdr:graphicFrame>
      </mc:Choice>
      <mc:Fallback xmlns="">
        <xdr:sp macro="" textlink="">
          <xdr:nvSpPr>
            <xdr:cNvPr id="0" name=""/>
            <xdr:cNvSpPr>
              <a:spLocks noTextEdit="1"/>
            </xdr:cNvSpPr>
          </xdr:nvSpPr>
          <xdr:spPr>
            <a:xfrm>
              <a:off x="4791075" y="152400"/>
              <a:ext cx="1828239"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0</xdr:row>
      <xdr:rowOff>123825</xdr:rowOff>
    </xdr:from>
    <xdr:to>
      <xdr:col>2</xdr:col>
      <xdr:colOff>26894</xdr:colOff>
      <xdr:row>12</xdr:row>
      <xdr:rowOff>104774</xdr:rowOff>
    </xdr:to>
    <mc:AlternateContent xmlns:mc="http://schemas.openxmlformats.org/markup-compatibility/2006" xmlns:a14="http://schemas.microsoft.com/office/drawing/2010/main">
      <mc:Choice Requires="a14">
        <xdr:graphicFrame macro="">
          <xdr:nvGraphicFramePr>
            <xdr:cNvPr id="3" name="SELLING PHASE NAME 6">
              <a:extLst>
                <a:ext uri="{FF2B5EF4-FFF2-40B4-BE49-F238E27FC236}">
                  <a16:creationId xmlns:a16="http://schemas.microsoft.com/office/drawing/2014/main" id="{00000000-0008-0000-1C00-000003000000}"/>
                </a:ext>
              </a:extLst>
            </xdr:cNvPr>
            <xdr:cNvGraphicFramePr/>
          </xdr:nvGraphicFramePr>
          <xdr:xfrm>
            <a:off x="0" y="0"/>
            <a:ext cx="0" cy="0"/>
          </xdr:xfrm>
          <a:graphic>
            <a:graphicData uri="http://schemas.microsoft.com/office/drawing/2010/slicer">
              <sle:slicer xmlns:sle="http://schemas.microsoft.com/office/drawing/2010/slicer" name="SELLING PHASE NAME 6"/>
            </a:graphicData>
          </a:graphic>
        </xdr:graphicFrame>
      </mc:Choice>
      <mc:Fallback xmlns="">
        <xdr:sp macro="" textlink="">
          <xdr:nvSpPr>
            <xdr:cNvPr id="0" name=""/>
            <xdr:cNvSpPr>
              <a:spLocks noTextEdit="1"/>
            </xdr:cNvSpPr>
          </xdr:nvSpPr>
          <xdr:spPr>
            <a:xfrm>
              <a:off x="219075" y="123825"/>
              <a:ext cx="1768848" cy="2266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676275</xdr:colOff>
      <xdr:row>0</xdr:row>
      <xdr:rowOff>142876</xdr:rowOff>
    </xdr:from>
    <xdr:to>
      <xdr:col>5</xdr:col>
      <xdr:colOff>247090</xdr:colOff>
      <xdr:row>7</xdr:row>
      <xdr:rowOff>180976</xdr:rowOff>
    </xdr:to>
    <mc:AlternateContent xmlns:mc="http://schemas.openxmlformats.org/markup-compatibility/2006" xmlns:a14="http://schemas.microsoft.com/office/drawing/2010/main">
      <mc:Choice Requires="a14">
        <xdr:graphicFrame macro="">
          <xdr:nvGraphicFramePr>
            <xdr:cNvPr id="4" name="AREA CATEGORY 6">
              <a:extLst>
                <a:ext uri="{FF2B5EF4-FFF2-40B4-BE49-F238E27FC236}">
                  <a16:creationId xmlns:a16="http://schemas.microsoft.com/office/drawing/2014/main" id="{00000000-0008-0000-1C00-000004000000}"/>
                </a:ext>
              </a:extLst>
            </xdr:cNvPr>
            <xdr:cNvGraphicFramePr/>
          </xdr:nvGraphicFramePr>
          <xdr:xfrm>
            <a:off x="0" y="0"/>
            <a:ext cx="0" cy="0"/>
          </xdr:xfrm>
          <a:graphic>
            <a:graphicData uri="http://schemas.microsoft.com/office/drawing/2010/slicer">
              <sle:slicer xmlns:sle="http://schemas.microsoft.com/office/drawing/2010/slicer" name="AREA CATEGORY 6"/>
            </a:graphicData>
          </a:graphic>
        </xdr:graphicFrame>
      </mc:Choice>
      <mc:Fallback xmlns="">
        <xdr:sp macro="" textlink="">
          <xdr:nvSpPr>
            <xdr:cNvPr id="0" name=""/>
            <xdr:cNvSpPr>
              <a:spLocks noTextEdit="1"/>
            </xdr:cNvSpPr>
          </xdr:nvSpPr>
          <xdr:spPr>
            <a:xfrm>
              <a:off x="2637304" y="142876"/>
              <a:ext cx="1823198"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211741</xdr:colOff>
      <xdr:row>10</xdr:row>
      <xdr:rowOff>43145</xdr:rowOff>
    </xdr:from>
    <xdr:to>
      <xdr:col>4</xdr:col>
      <xdr:colOff>76199</xdr:colOff>
      <xdr:row>13</xdr:row>
      <xdr:rowOff>89649</xdr:rowOff>
    </xdr:to>
    <xdr:sp macro="" textlink="$N$11">
      <xdr:nvSpPr>
        <xdr:cNvPr id="5" name="TextBox 4">
          <a:extLst>
            <a:ext uri="{FF2B5EF4-FFF2-40B4-BE49-F238E27FC236}">
              <a16:creationId xmlns:a16="http://schemas.microsoft.com/office/drawing/2014/main" id="{00000000-0008-0000-1C00-000005000000}"/>
            </a:ext>
          </a:extLst>
        </xdr:cNvPr>
        <xdr:cNvSpPr txBox="1"/>
      </xdr:nvSpPr>
      <xdr:spPr>
        <a:xfrm>
          <a:off x="2945416" y="1948145"/>
          <a:ext cx="635983" cy="6180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5557BDA-8CC6-4B7B-830A-EB70A12AC139}"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67</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248210</xdr:colOff>
      <xdr:row>6</xdr:row>
      <xdr:rowOff>168648</xdr:rowOff>
    </xdr:from>
    <xdr:to>
      <xdr:col>7</xdr:col>
      <xdr:colOff>588870</xdr:colOff>
      <xdr:row>8</xdr:row>
      <xdr:rowOff>179855</xdr:rowOff>
    </xdr:to>
    <xdr:sp macro="" textlink="$N$10">
      <xdr:nvSpPr>
        <xdr:cNvPr id="6" name="TextBox 5">
          <a:extLst>
            <a:ext uri="{FF2B5EF4-FFF2-40B4-BE49-F238E27FC236}">
              <a16:creationId xmlns:a16="http://schemas.microsoft.com/office/drawing/2014/main" id="{00000000-0008-0000-1C00-000006000000}"/>
            </a:ext>
          </a:extLst>
        </xdr:cNvPr>
        <xdr:cNvSpPr txBox="1"/>
      </xdr:nvSpPr>
      <xdr:spPr>
        <a:xfrm>
          <a:off x="4524935" y="1311648"/>
          <a:ext cx="2464735" cy="3922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4483A3-C565-46F1-9514-87E336CB3975}"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cs typeface="Calibri"/>
            </a:rPr>
            <a:pPr/>
            <a:t>R7 SALES DATA</a:t>
          </a:fld>
          <a:endParaRPr lang="en-US" sz="20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xdr:col>
      <xdr:colOff>795618</xdr:colOff>
      <xdr:row>8</xdr:row>
      <xdr:rowOff>152400</xdr:rowOff>
    </xdr:from>
    <xdr:to>
      <xdr:col>4</xdr:col>
      <xdr:colOff>277906</xdr:colOff>
      <xdr:row>10</xdr:row>
      <xdr:rowOff>89648</xdr:rowOff>
    </xdr:to>
    <xdr:sp macro="" textlink="$N$12">
      <xdr:nvSpPr>
        <xdr:cNvPr id="7" name="TextBox 6">
          <a:extLst>
            <a:ext uri="{FF2B5EF4-FFF2-40B4-BE49-F238E27FC236}">
              <a16:creationId xmlns:a16="http://schemas.microsoft.com/office/drawing/2014/main" id="{00000000-0008-0000-1C00-000007000000}"/>
            </a:ext>
          </a:extLst>
        </xdr:cNvPr>
        <xdr:cNvSpPr txBox="1"/>
      </xdr:nvSpPr>
      <xdr:spPr>
        <a:xfrm>
          <a:off x="2729193" y="1676400"/>
          <a:ext cx="1053913"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D5FE2B-5EFA-4B71-B871-BE81DDBE3CEB}"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cs typeface="Calibri"/>
            </a:rPr>
            <a:pPr/>
            <a:t>NO. OF UNITS</a:t>
          </a:fld>
          <a:endParaRPr lang="en-US" sz="28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5</xdr:col>
      <xdr:colOff>188259</xdr:colOff>
      <xdr:row>10</xdr:row>
      <xdr:rowOff>38663</xdr:rowOff>
    </xdr:from>
    <xdr:to>
      <xdr:col>8</xdr:col>
      <xdr:colOff>4483</xdr:colOff>
      <xdr:row>14</xdr:row>
      <xdr:rowOff>28575</xdr:rowOff>
    </xdr:to>
    <xdr:sp macro="" textlink="$N$14">
      <xdr:nvSpPr>
        <xdr:cNvPr id="8" name="TextBox 7">
          <a:extLst>
            <a:ext uri="{FF2B5EF4-FFF2-40B4-BE49-F238E27FC236}">
              <a16:creationId xmlns:a16="http://schemas.microsoft.com/office/drawing/2014/main" id="{00000000-0008-0000-1C00-000008000000}"/>
            </a:ext>
          </a:extLst>
        </xdr:cNvPr>
        <xdr:cNvSpPr txBox="1"/>
      </xdr:nvSpPr>
      <xdr:spPr>
        <a:xfrm>
          <a:off x="4464984" y="1943663"/>
          <a:ext cx="2892799" cy="751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FCBFEF-89C0-4692-B5CD-74907C563204}"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EGP 589,108,893 </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96371</xdr:colOff>
      <xdr:row>8</xdr:row>
      <xdr:rowOff>147918</xdr:rowOff>
    </xdr:from>
    <xdr:to>
      <xdr:col>8</xdr:col>
      <xdr:colOff>209550</xdr:colOff>
      <xdr:row>10</xdr:row>
      <xdr:rowOff>85166</xdr:rowOff>
    </xdr:to>
    <xdr:sp macro="" textlink="$N$13">
      <xdr:nvSpPr>
        <xdr:cNvPr id="9" name="TextBox 8">
          <a:extLst>
            <a:ext uri="{FF2B5EF4-FFF2-40B4-BE49-F238E27FC236}">
              <a16:creationId xmlns:a16="http://schemas.microsoft.com/office/drawing/2014/main" id="{00000000-0008-0000-1C00-000009000000}"/>
            </a:ext>
          </a:extLst>
        </xdr:cNvPr>
        <xdr:cNvSpPr txBox="1"/>
      </xdr:nvSpPr>
      <xdr:spPr>
        <a:xfrm>
          <a:off x="4373096" y="1671918"/>
          <a:ext cx="3189754"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00A2BC-5593-41B5-B4D9-16DCFD4E60EF}"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rPr>
            <a:pPr marL="0" indent="0"/>
            <a:t>TOTAL SALES VALUE (SEMI)</a:t>
          </a:fld>
          <a:endPar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577663</xdr:colOff>
      <xdr:row>0</xdr:row>
      <xdr:rowOff>152400</xdr:rowOff>
    </xdr:from>
    <xdr:to>
      <xdr:col>7</xdr:col>
      <xdr:colOff>276784</xdr:colOff>
      <xdr:row>5</xdr:row>
      <xdr:rowOff>123825</xdr:rowOff>
    </xdr:to>
    <mc:AlternateContent xmlns:mc="http://schemas.openxmlformats.org/markup-compatibility/2006" xmlns:a14="http://schemas.microsoft.com/office/drawing/2010/main">
      <mc:Choice Requires="a14">
        <xdr:graphicFrame macro="">
          <xdr:nvGraphicFramePr>
            <xdr:cNvPr id="2" name="PREMIUM CATEGORY 10">
              <a:extLst>
                <a:ext uri="{FF2B5EF4-FFF2-40B4-BE49-F238E27FC236}">
                  <a16:creationId xmlns:a16="http://schemas.microsoft.com/office/drawing/2014/main" id="{00000000-0008-0000-1D00-000002000000}"/>
                </a:ext>
              </a:extLst>
            </xdr:cNvPr>
            <xdr:cNvGraphicFramePr/>
          </xdr:nvGraphicFramePr>
          <xdr:xfrm>
            <a:off x="0" y="0"/>
            <a:ext cx="0" cy="0"/>
          </xdr:xfrm>
          <a:graphic>
            <a:graphicData uri="http://schemas.microsoft.com/office/drawing/2010/slicer">
              <sle:slicer xmlns:sle="http://schemas.microsoft.com/office/drawing/2010/slicer" name="PREMIUM CATEGORY 10"/>
            </a:graphicData>
          </a:graphic>
        </xdr:graphicFrame>
      </mc:Choice>
      <mc:Fallback xmlns="">
        <xdr:sp macro="" textlink="">
          <xdr:nvSpPr>
            <xdr:cNvPr id="0" name=""/>
            <xdr:cNvSpPr>
              <a:spLocks noTextEdit="1"/>
            </xdr:cNvSpPr>
          </xdr:nvSpPr>
          <xdr:spPr>
            <a:xfrm>
              <a:off x="4858310" y="152400"/>
              <a:ext cx="1828239"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0</xdr:row>
      <xdr:rowOff>123825</xdr:rowOff>
    </xdr:from>
    <xdr:to>
      <xdr:col>2</xdr:col>
      <xdr:colOff>26894</xdr:colOff>
      <xdr:row>12</xdr:row>
      <xdr:rowOff>104774</xdr:rowOff>
    </xdr:to>
    <mc:AlternateContent xmlns:mc="http://schemas.openxmlformats.org/markup-compatibility/2006" xmlns:a14="http://schemas.microsoft.com/office/drawing/2010/main">
      <mc:Choice Requires="a14">
        <xdr:graphicFrame macro="">
          <xdr:nvGraphicFramePr>
            <xdr:cNvPr id="3" name="SELLING PHASE NAME 7">
              <a:extLst>
                <a:ext uri="{FF2B5EF4-FFF2-40B4-BE49-F238E27FC236}">
                  <a16:creationId xmlns:a16="http://schemas.microsoft.com/office/drawing/2014/main" id="{00000000-0008-0000-1D00-000003000000}"/>
                </a:ext>
              </a:extLst>
            </xdr:cNvPr>
            <xdr:cNvGraphicFramePr/>
          </xdr:nvGraphicFramePr>
          <xdr:xfrm>
            <a:off x="0" y="0"/>
            <a:ext cx="0" cy="0"/>
          </xdr:xfrm>
          <a:graphic>
            <a:graphicData uri="http://schemas.microsoft.com/office/drawing/2010/slicer">
              <sle:slicer xmlns:sle="http://schemas.microsoft.com/office/drawing/2010/slicer" name="SELLING PHASE NAME 7"/>
            </a:graphicData>
          </a:graphic>
        </xdr:graphicFrame>
      </mc:Choice>
      <mc:Fallback xmlns="">
        <xdr:sp macro="" textlink="">
          <xdr:nvSpPr>
            <xdr:cNvPr id="0" name=""/>
            <xdr:cNvSpPr>
              <a:spLocks noTextEdit="1"/>
            </xdr:cNvSpPr>
          </xdr:nvSpPr>
          <xdr:spPr>
            <a:xfrm>
              <a:off x="219075" y="123825"/>
              <a:ext cx="1768848" cy="2266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676275</xdr:colOff>
      <xdr:row>0</xdr:row>
      <xdr:rowOff>142876</xdr:rowOff>
    </xdr:from>
    <xdr:to>
      <xdr:col>5</xdr:col>
      <xdr:colOff>179855</xdr:colOff>
      <xdr:row>7</xdr:row>
      <xdr:rowOff>180976</xdr:rowOff>
    </xdr:to>
    <mc:AlternateContent xmlns:mc="http://schemas.openxmlformats.org/markup-compatibility/2006" xmlns:a14="http://schemas.microsoft.com/office/drawing/2010/main">
      <mc:Choice Requires="a14">
        <xdr:graphicFrame macro="">
          <xdr:nvGraphicFramePr>
            <xdr:cNvPr id="4" name="AREA CATEGORY 7">
              <a:extLst>
                <a:ext uri="{FF2B5EF4-FFF2-40B4-BE49-F238E27FC236}">
                  <a16:creationId xmlns:a16="http://schemas.microsoft.com/office/drawing/2014/main" id="{00000000-0008-0000-1D00-000004000000}"/>
                </a:ext>
              </a:extLst>
            </xdr:cNvPr>
            <xdr:cNvGraphicFramePr/>
          </xdr:nvGraphicFramePr>
          <xdr:xfrm>
            <a:off x="0" y="0"/>
            <a:ext cx="0" cy="0"/>
          </xdr:xfrm>
          <a:graphic>
            <a:graphicData uri="http://schemas.microsoft.com/office/drawing/2010/slicer">
              <sle:slicer xmlns:sle="http://schemas.microsoft.com/office/drawing/2010/slicer" name="AREA CATEGORY 7"/>
            </a:graphicData>
          </a:graphic>
        </xdr:graphicFrame>
      </mc:Choice>
      <mc:Fallback xmlns="">
        <xdr:sp macro="" textlink="">
          <xdr:nvSpPr>
            <xdr:cNvPr id="0" name=""/>
            <xdr:cNvSpPr>
              <a:spLocks noTextEdit="1"/>
            </xdr:cNvSpPr>
          </xdr:nvSpPr>
          <xdr:spPr>
            <a:xfrm>
              <a:off x="2637304" y="142876"/>
              <a:ext cx="1823198"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211741</xdr:colOff>
      <xdr:row>10</xdr:row>
      <xdr:rowOff>43145</xdr:rowOff>
    </xdr:from>
    <xdr:to>
      <xdr:col>4</xdr:col>
      <xdr:colOff>76199</xdr:colOff>
      <xdr:row>13</xdr:row>
      <xdr:rowOff>89649</xdr:rowOff>
    </xdr:to>
    <xdr:sp macro="" textlink="$N$11">
      <xdr:nvSpPr>
        <xdr:cNvPr id="5" name="TextBox 4">
          <a:extLst>
            <a:ext uri="{FF2B5EF4-FFF2-40B4-BE49-F238E27FC236}">
              <a16:creationId xmlns:a16="http://schemas.microsoft.com/office/drawing/2014/main" id="{00000000-0008-0000-1D00-000005000000}"/>
            </a:ext>
          </a:extLst>
        </xdr:cNvPr>
        <xdr:cNvSpPr txBox="1"/>
      </xdr:nvSpPr>
      <xdr:spPr>
        <a:xfrm>
          <a:off x="2945416" y="1948145"/>
          <a:ext cx="635983" cy="6180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5557BDA-8CC6-4B7B-830A-EB70A12AC139}"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92</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248210</xdr:colOff>
      <xdr:row>6</xdr:row>
      <xdr:rowOff>168648</xdr:rowOff>
    </xdr:from>
    <xdr:to>
      <xdr:col>7</xdr:col>
      <xdr:colOff>588870</xdr:colOff>
      <xdr:row>8</xdr:row>
      <xdr:rowOff>179855</xdr:rowOff>
    </xdr:to>
    <xdr:sp macro="" textlink="$N$10">
      <xdr:nvSpPr>
        <xdr:cNvPr id="6" name="TextBox 5">
          <a:extLst>
            <a:ext uri="{FF2B5EF4-FFF2-40B4-BE49-F238E27FC236}">
              <a16:creationId xmlns:a16="http://schemas.microsoft.com/office/drawing/2014/main" id="{00000000-0008-0000-1D00-000006000000}"/>
            </a:ext>
          </a:extLst>
        </xdr:cNvPr>
        <xdr:cNvSpPr txBox="1"/>
      </xdr:nvSpPr>
      <xdr:spPr>
        <a:xfrm>
          <a:off x="4524935" y="1311648"/>
          <a:ext cx="2464735" cy="3922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4483A3-C565-46F1-9514-87E336CB3975}"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cs typeface="Calibri"/>
            </a:rPr>
            <a:pPr/>
            <a:t>R8 SALES DATA</a:t>
          </a:fld>
          <a:endParaRPr lang="en-US" sz="20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xdr:col>
      <xdr:colOff>795618</xdr:colOff>
      <xdr:row>8</xdr:row>
      <xdr:rowOff>152400</xdr:rowOff>
    </xdr:from>
    <xdr:to>
      <xdr:col>4</xdr:col>
      <xdr:colOff>277906</xdr:colOff>
      <xdr:row>10</xdr:row>
      <xdr:rowOff>89648</xdr:rowOff>
    </xdr:to>
    <xdr:sp macro="" textlink="$N$12">
      <xdr:nvSpPr>
        <xdr:cNvPr id="7" name="TextBox 6">
          <a:extLst>
            <a:ext uri="{FF2B5EF4-FFF2-40B4-BE49-F238E27FC236}">
              <a16:creationId xmlns:a16="http://schemas.microsoft.com/office/drawing/2014/main" id="{00000000-0008-0000-1D00-000007000000}"/>
            </a:ext>
          </a:extLst>
        </xdr:cNvPr>
        <xdr:cNvSpPr txBox="1"/>
      </xdr:nvSpPr>
      <xdr:spPr>
        <a:xfrm>
          <a:off x="2729193" y="1676400"/>
          <a:ext cx="1053913"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D5FE2B-5EFA-4B71-B871-BE81DDBE3CEB}"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cs typeface="Calibri"/>
            </a:rPr>
            <a:pPr/>
            <a:t>NO. OF UNITS</a:t>
          </a:fld>
          <a:endParaRPr lang="en-US" sz="28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5</xdr:col>
      <xdr:colOff>188259</xdr:colOff>
      <xdr:row>10</xdr:row>
      <xdr:rowOff>38663</xdr:rowOff>
    </xdr:from>
    <xdr:to>
      <xdr:col>8</xdr:col>
      <xdr:colOff>4483</xdr:colOff>
      <xdr:row>14</xdr:row>
      <xdr:rowOff>28575</xdr:rowOff>
    </xdr:to>
    <xdr:sp macro="" textlink="$N$14">
      <xdr:nvSpPr>
        <xdr:cNvPr id="8" name="TextBox 7">
          <a:extLst>
            <a:ext uri="{FF2B5EF4-FFF2-40B4-BE49-F238E27FC236}">
              <a16:creationId xmlns:a16="http://schemas.microsoft.com/office/drawing/2014/main" id="{00000000-0008-0000-1D00-000008000000}"/>
            </a:ext>
          </a:extLst>
        </xdr:cNvPr>
        <xdr:cNvSpPr txBox="1"/>
      </xdr:nvSpPr>
      <xdr:spPr>
        <a:xfrm>
          <a:off x="4464984" y="1943663"/>
          <a:ext cx="2892799" cy="751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FCBFEF-89C0-4692-B5CD-74907C563204}"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EGP 901,951,810 </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96371</xdr:colOff>
      <xdr:row>8</xdr:row>
      <xdr:rowOff>147918</xdr:rowOff>
    </xdr:from>
    <xdr:to>
      <xdr:col>8</xdr:col>
      <xdr:colOff>209550</xdr:colOff>
      <xdr:row>10</xdr:row>
      <xdr:rowOff>85166</xdr:rowOff>
    </xdr:to>
    <xdr:sp macro="" textlink="$N$13">
      <xdr:nvSpPr>
        <xdr:cNvPr id="9" name="TextBox 8">
          <a:extLst>
            <a:ext uri="{FF2B5EF4-FFF2-40B4-BE49-F238E27FC236}">
              <a16:creationId xmlns:a16="http://schemas.microsoft.com/office/drawing/2014/main" id="{00000000-0008-0000-1D00-000009000000}"/>
            </a:ext>
          </a:extLst>
        </xdr:cNvPr>
        <xdr:cNvSpPr txBox="1"/>
      </xdr:nvSpPr>
      <xdr:spPr>
        <a:xfrm>
          <a:off x="4373096" y="1671918"/>
          <a:ext cx="3189754"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00A2BC-5593-41B5-B4D9-16DCFD4E60EF}"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rPr>
            <a:pPr marL="0" indent="0"/>
            <a:t>TOTAL SALES VALUE (SEMI)</a:t>
          </a:fld>
          <a:endPar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577663</xdr:colOff>
      <xdr:row>0</xdr:row>
      <xdr:rowOff>152400</xdr:rowOff>
    </xdr:from>
    <xdr:to>
      <xdr:col>7</xdr:col>
      <xdr:colOff>276784</xdr:colOff>
      <xdr:row>5</xdr:row>
      <xdr:rowOff>123825</xdr:rowOff>
    </xdr:to>
    <mc:AlternateContent xmlns:mc="http://schemas.openxmlformats.org/markup-compatibility/2006" xmlns:a14="http://schemas.microsoft.com/office/drawing/2010/main">
      <mc:Choice Requires="a14">
        <xdr:graphicFrame macro="">
          <xdr:nvGraphicFramePr>
            <xdr:cNvPr id="2" name="PREMIUM CATEGORY 11">
              <a:extLst>
                <a:ext uri="{FF2B5EF4-FFF2-40B4-BE49-F238E27FC236}">
                  <a16:creationId xmlns:a16="http://schemas.microsoft.com/office/drawing/2014/main" id="{00000000-0008-0000-1E00-000002000000}"/>
                </a:ext>
              </a:extLst>
            </xdr:cNvPr>
            <xdr:cNvGraphicFramePr/>
          </xdr:nvGraphicFramePr>
          <xdr:xfrm>
            <a:off x="0" y="0"/>
            <a:ext cx="0" cy="0"/>
          </xdr:xfrm>
          <a:graphic>
            <a:graphicData uri="http://schemas.microsoft.com/office/drawing/2010/slicer">
              <sle:slicer xmlns:sle="http://schemas.microsoft.com/office/drawing/2010/slicer" name="PREMIUM CATEGORY 11"/>
            </a:graphicData>
          </a:graphic>
        </xdr:graphicFrame>
      </mc:Choice>
      <mc:Fallback xmlns="">
        <xdr:sp macro="" textlink="">
          <xdr:nvSpPr>
            <xdr:cNvPr id="0" name=""/>
            <xdr:cNvSpPr>
              <a:spLocks noTextEdit="1"/>
            </xdr:cNvSpPr>
          </xdr:nvSpPr>
          <xdr:spPr>
            <a:xfrm>
              <a:off x="4791075" y="152400"/>
              <a:ext cx="1828239"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0</xdr:row>
      <xdr:rowOff>123825</xdr:rowOff>
    </xdr:from>
    <xdr:to>
      <xdr:col>2</xdr:col>
      <xdr:colOff>26894</xdr:colOff>
      <xdr:row>12</xdr:row>
      <xdr:rowOff>104774</xdr:rowOff>
    </xdr:to>
    <mc:AlternateContent xmlns:mc="http://schemas.openxmlformats.org/markup-compatibility/2006" xmlns:a14="http://schemas.microsoft.com/office/drawing/2010/main">
      <mc:Choice Requires="a14">
        <xdr:graphicFrame macro="">
          <xdr:nvGraphicFramePr>
            <xdr:cNvPr id="3" name="SELLING PHASE NAME 8">
              <a:extLst>
                <a:ext uri="{FF2B5EF4-FFF2-40B4-BE49-F238E27FC236}">
                  <a16:creationId xmlns:a16="http://schemas.microsoft.com/office/drawing/2014/main" id="{00000000-0008-0000-1E00-000003000000}"/>
                </a:ext>
              </a:extLst>
            </xdr:cNvPr>
            <xdr:cNvGraphicFramePr/>
          </xdr:nvGraphicFramePr>
          <xdr:xfrm>
            <a:off x="0" y="0"/>
            <a:ext cx="0" cy="0"/>
          </xdr:xfrm>
          <a:graphic>
            <a:graphicData uri="http://schemas.microsoft.com/office/drawing/2010/slicer">
              <sle:slicer xmlns:sle="http://schemas.microsoft.com/office/drawing/2010/slicer" name="SELLING PHASE NAME 8"/>
            </a:graphicData>
          </a:graphic>
        </xdr:graphicFrame>
      </mc:Choice>
      <mc:Fallback xmlns="">
        <xdr:sp macro="" textlink="">
          <xdr:nvSpPr>
            <xdr:cNvPr id="0" name=""/>
            <xdr:cNvSpPr>
              <a:spLocks noTextEdit="1"/>
            </xdr:cNvSpPr>
          </xdr:nvSpPr>
          <xdr:spPr>
            <a:xfrm>
              <a:off x="219075" y="123825"/>
              <a:ext cx="1768848" cy="2266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676275</xdr:colOff>
      <xdr:row>0</xdr:row>
      <xdr:rowOff>142876</xdr:rowOff>
    </xdr:from>
    <xdr:to>
      <xdr:col>5</xdr:col>
      <xdr:colOff>179855</xdr:colOff>
      <xdr:row>7</xdr:row>
      <xdr:rowOff>180976</xdr:rowOff>
    </xdr:to>
    <mc:AlternateContent xmlns:mc="http://schemas.openxmlformats.org/markup-compatibility/2006" xmlns:a14="http://schemas.microsoft.com/office/drawing/2010/main">
      <mc:Choice Requires="a14">
        <xdr:graphicFrame macro="">
          <xdr:nvGraphicFramePr>
            <xdr:cNvPr id="4" name="AREA CATEGORY 8">
              <a:extLst>
                <a:ext uri="{FF2B5EF4-FFF2-40B4-BE49-F238E27FC236}">
                  <a16:creationId xmlns:a16="http://schemas.microsoft.com/office/drawing/2014/main" id="{00000000-0008-0000-1E00-000004000000}"/>
                </a:ext>
              </a:extLst>
            </xdr:cNvPr>
            <xdr:cNvGraphicFramePr/>
          </xdr:nvGraphicFramePr>
          <xdr:xfrm>
            <a:off x="0" y="0"/>
            <a:ext cx="0" cy="0"/>
          </xdr:xfrm>
          <a:graphic>
            <a:graphicData uri="http://schemas.microsoft.com/office/drawing/2010/slicer">
              <sle:slicer xmlns:sle="http://schemas.microsoft.com/office/drawing/2010/slicer" name="AREA CATEGORY 8"/>
            </a:graphicData>
          </a:graphic>
        </xdr:graphicFrame>
      </mc:Choice>
      <mc:Fallback xmlns="">
        <xdr:sp macro="" textlink="">
          <xdr:nvSpPr>
            <xdr:cNvPr id="0" name=""/>
            <xdr:cNvSpPr>
              <a:spLocks noTextEdit="1"/>
            </xdr:cNvSpPr>
          </xdr:nvSpPr>
          <xdr:spPr>
            <a:xfrm>
              <a:off x="2637304" y="142876"/>
              <a:ext cx="1823198"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211741</xdr:colOff>
      <xdr:row>10</xdr:row>
      <xdr:rowOff>43145</xdr:rowOff>
    </xdr:from>
    <xdr:to>
      <xdr:col>4</xdr:col>
      <xdr:colOff>76199</xdr:colOff>
      <xdr:row>13</xdr:row>
      <xdr:rowOff>89649</xdr:rowOff>
    </xdr:to>
    <xdr:sp macro="" textlink="$N$11">
      <xdr:nvSpPr>
        <xdr:cNvPr id="5" name="TextBox 4">
          <a:extLst>
            <a:ext uri="{FF2B5EF4-FFF2-40B4-BE49-F238E27FC236}">
              <a16:creationId xmlns:a16="http://schemas.microsoft.com/office/drawing/2014/main" id="{00000000-0008-0000-1E00-000005000000}"/>
            </a:ext>
          </a:extLst>
        </xdr:cNvPr>
        <xdr:cNvSpPr txBox="1"/>
      </xdr:nvSpPr>
      <xdr:spPr>
        <a:xfrm>
          <a:off x="2945416" y="1948145"/>
          <a:ext cx="635983" cy="6180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5557BDA-8CC6-4B7B-830A-EB70A12AC139}"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65</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248210</xdr:colOff>
      <xdr:row>6</xdr:row>
      <xdr:rowOff>168648</xdr:rowOff>
    </xdr:from>
    <xdr:to>
      <xdr:col>7</xdr:col>
      <xdr:colOff>588870</xdr:colOff>
      <xdr:row>8</xdr:row>
      <xdr:rowOff>179855</xdr:rowOff>
    </xdr:to>
    <xdr:sp macro="" textlink="$N$10">
      <xdr:nvSpPr>
        <xdr:cNvPr id="6" name="TextBox 5">
          <a:extLst>
            <a:ext uri="{FF2B5EF4-FFF2-40B4-BE49-F238E27FC236}">
              <a16:creationId xmlns:a16="http://schemas.microsoft.com/office/drawing/2014/main" id="{00000000-0008-0000-1E00-000006000000}"/>
            </a:ext>
          </a:extLst>
        </xdr:cNvPr>
        <xdr:cNvSpPr txBox="1"/>
      </xdr:nvSpPr>
      <xdr:spPr>
        <a:xfrm>
          <a:off x="4524935" y="1311648"/>
          <a:ext cx="2464735" cy="3922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4483A3-C565-46F1-9514-87E336CB3975}"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cs typeface="Calibri"/>
            </a:rPr>
            <a:pPr/>
            <a:t>R9 SALES DATA</a:t>
          </a:fld>
          <a:endParaRPr lang="en-US" sz="20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xdr:col>
      <xdr:colOff>795618</xdr:colOff>
      <xdr:row>8</xdr:row>
      <xdr:rowOff>152400</xdr:rowOff>
    </xdr:from>
    <xdr:to>
      <xdr:col>4</xdr:col>
      <xdr:colOff>277906</xdr:colOff>
      <xdr:row>10</xdr:row>
      <xdr:rowOff>89648</xdr:rowOff>
    </xdr:to>
    <xdr:sp macro="" textlink="$N$12">
      <xdr:nvSpPr>
        <xdr:cNvPr id="7" name="TextBox 6">
          <a:extLst>
            <a:ext uri="{FF2B5EF4-FFF2-40B4-BE49-F238E27FC236}">
              <a16:creationId xmlns:a16="http://schemas.microsoft.com/office/drawing/2014/main" id="{00000000-0008-0000-1E00-000007000000}"/>
            </a:ext>
          </a:extLst>
        </xdr:cNvPr>
        <xdr:cNvSpPr txBox="1"/>
      </xdr:nvSpPr>
      <xdr:spPr>
        <a:xfrm>
          <a:off x="2729193" y="1676400"/>
          <a:ext cx="1053913"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D5FE2B-5EFA-4B71-B871-BE81DDBE3CEB}"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cs typeface="Calibri"/>
            </a:rPr>
            <a:pPr/>
            <a:t>NO. OF UNITS</a:t>
          </a:fld>
          <a:endParaRPr lang="en-US" sz="28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5</xdr:col>
      <xdr:colOff>188259</xdr:colOff>
      <xdr:row>10</xdr:row>
      <xdr:rowOff>38663</xdr:rowOff>
    </xdr:from>
    <xdr:to>
      <xdr:col>8</xdr:col>
      <xdr:colOff>4483</xdr:colOff>
      <xdr:row>14</xdr:row>
      <xdr:rowOff>28575</xdr:rowOff>
    </xdr:to>
    <xdr:sp macro="" textlink="$N$14">
      <xdr:nvSpPr>
        <xdr:cNvPr id="8" name="TextBox 7">
          <a:extLst>
            <a:ext uri="{FF2B5EF4-FFF2-40B4-BE49-F238E27FC236}">
              <a16:creationId xmlns:a16="http://schemas.microsoft.com/office/drawing/2014/main" id="{00000000-0008-0000-1E00-000008000000}"/>
            </a:ext>
          </a:extLst>
        </xdr:cNvPr>
        <xdr:cNvSpPr txBox="1"/>
      </xdr:nvSpPr>
      <xdr:spPr>
        <a:xfrm>
          <a:off x="4464984" y="1943663"/>
          <a:ext cx="2892799" cy="751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FCBFEF-89C0-4692-B5CD-74907C563204}"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EGP 635,970,312 </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96371</xdr:colOff>
      <xdr:row>8</xdr:row>
      <xdr:rowOff>147918</xdr:rowOff>
    </xdr:from>
    <xdr:to>
      <xdr:col>8</xdr:col>
      <xdr:colOff>209550</xdr:colOff>
      <xdr:row>10</xdr:row>
      <xdr:rowOff>85166</xdr:rowOff>
    </xdr:to>
    <xdr:sp macro="" textlink="$N$13">
      <xdr:nvSpPr>
        <xdr:cNvPr id="9" name="TextBox 8">
          <a:extLst>
            <a:ext uri="{FF2B5EF4-FFF2-40B4-BE49-F238E27FC236}">
              <a16:creationId xmlns:a16="http://schemas.microsoft.com/office/drawing/2014/main" id="{00000000-0008-0000-1E00-000009000000}"/>
            </a:ext>
          </a:extLst>
        </xdr:cNvPr>
        <xdr:cNvSpPr txBox="1"/>
      </xdr:nvSpPr>
      <xdr:spPr>
        <a:xfrm>
          <a:off x="4373096" y="1671918"/>
          <a:ext cx="3189754"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00A2BC-5593-41B5-B4D9-16DCFD4E60EF}"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rPr>
            <a:pPr marL="0" indent="0"/>
            <a:t>TOTAL SALES VALUE (SEMI)</a:t>
          </a:fld>
          <a:endPar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577663</xdr:colOff>
      <xdr:row>0</xdr:row>
      <xdr:rowOff>152400</xdr:rowOff>
    </xdr:from>
    <xdr:to>
      <xdr:col>7</xdr:col>
      <xdr:colOff>276785</xdr:colOff>
      <xdr:row>5</xdr:row>
      <xdr:rowOff>123825</xdr:rowOff>
    </xdr:to>
    <mc:AlternateContent xmlns:mc="http://schemas.openxmlformats.org/markup-compatibility/2006" xmlns:a14="http://schemas.microsoft.com/office/drawing/2010/main">
      <mc:Choice Requires="a14">
        <xdr:graphicFrame macro="">
          <xdr:nvGraphicFramePr>
            <xdr:cNvPr id="2" name="PREMIUM CATEGORY 12">
              <a:extLst>
                <a:ext uri="{FF2B5EF4-FFF2-40B4-BE49-F238E27FC236}">
                  <a16:creationId xmlns:a16="http://schemas.microsoft.com/office/drawing/2014/main" id="{00000000-0008-0000-1F00-000002000000}"/>
                </a:ext>
              </a:extLst>
            </xdr:cNvPr>
            <xdr:cNvGraphicFramePr/>
          </xdr:nvGraphicFramePr>
          <xdr:xfrm>
            <a:off x="0" y="0"/>
            <a:ext cx="0" cy="0"/>
          </xdr:xfrm>
          <a:graphic>
            <a:graphicData uri="http://schemas.microsoft.com/office/drawing/2010/slicer">
              <sle:slicer xmlns:sle="http://schemas.microsoft.com/office/drawing/2010/slicer" name="PREMIUM CATEGORY 12"/>
            </a:graphicData>
          </a:graphic>
        </xdr:graphicFrame>
      </mc:Choice>
      <mc:Fallback xmlns="">
        <xdr:sp macro="" textlink="">
          <xdr:nvSpPr>
            <xdr:cNvPr id="0" name=""/>
            <xdr:cNvSpPr>
              <a:spLocks noTextEdit="1"/>
            </xdr:cNvSpPr>
          </xdr:nvSpPr>
          <xdr:spPr>
            <a:xfrm>
              <a:off x="4791075" y="152400"/>
              <a:ext cx="1828239"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0</xdr:row>
      <xdr:rowOff>123825</xdr:rowOff>
    </xdr:from>
    <xdr:to>
      <xdr:col>2</xdr:col>
      <xdr:colOff>26894</xdr:colOff>
      <xdr:row>12</xdr:row>
      <xdr:rowOff>104774</xdr:rowOff>
    </xdr:to>
    <mc:AlternateContent xmlns:mc="http://schemas.openxmlformats.org/markup-compatibility/2006" xmlns:a14="http://schemas.microsoft.com/office/drawing/2010/main">
      <mc:Choice Requires="a14">
        <xdr:graphicFrame macro="">
          <xdr:nvGraphicFramePr>
            <xdr:cNvPr id="3" name="SELLING PHASE NAME 9">
              <a:extLst>
                <a:ext uri="{FF2B5EF4-FFF2-40B4-BE49-F238E27FC236}">
                  <a16:creationId xmlns:a16="http://schemas.microsoft.com/office/drawing/2014/main" id="{00000000-0008-0000-1F00-000003000000}"/>
                </a:ext>
              </a:extLst>
            </xdr:cNvPr>
            <xdr:cNvGraphicFramePr/>
          </xdr:nvGraphicFramePr>
          <xdr:xfrm>
            <a:off x="0" y="0"/>
            <a:ext cx="0" cy="0"/>
          </xdr:xfrm>
          <a:graphic>
            <a:graphicData uri="http://schemas.microsoft.com/office/drawing/2010/slicer">
              <sle:slicer xmlns:sle="http://schemas.microsoft.com/office/drawing/2010/slicer" name="SELLING PHASE NAME 9"/>
            </a:graphicData>
          </a:graphic>
        </xdr:graphicFrame>
      </mc:Choice>
      <mc:Fallback xmlns="">
        <xdr:sp macro="" textlink="">
          <xdr:nvSpPr>
            <xdr:cNvPr id="0" name=""/>
            <xdr:cNvSpPr>
              <a:spLocks noTextEdit="1"/>
            </xdr:cNvSpPr>
          </xdr:nvSpPr>
          <xdr:spPr>
            <a:xfrm>
              <a:off x="219075" y="123825"/>
              <a:ext cx="1768848" cy="2266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676275</xdr:colOff>
      <xdr:row>0</xdr:row>
      <xdr:rowOff>142876</xdr:rowOff>
    </xdr:from>
    <xdr:to>
      <xdr:col>5</xdr:col>
      <xdr:colOff>247090</xdr:colOff>
      <xdr:row>7</xdr:row>
      <xdr:rowOff>180976</xdr:rowOff>
    </xdr:to>
    <mc:AlternateContent xmlns:mc="http://schemas.openxmlformats.org/markup-compatibility/2006" xmlns:a14="http://schemas.microsoft.com/office/drawing/2010/main">
      <mc:Choice Requires="a14">
        <xdr:graphicFrame macro="">
          <xdr:nvGraphicFramePr>
            <xdr:cNvPr id="4" name="AREA CATEGORY 9">
              <a:extLst>
                <a:ext uri="{FF2B5EF4-FFF2-40B4-BE49-F238E27FC236}">
                  <a16:creationId xmlns:a16="http://schemas.microsoft.com/office/drawing/2014/main" id="{00000000-0008-0000-1F00-000004000000}"/>
                </a:ext>
              </a:extLst>
            </xdr:cNvPr>
            <xdr:cNvGraphicFramePr/>
          </xdr:nvGraphicFramePr>
          <xdr:xfrm>
            <a:off x="0" y="0"/>
            <a:ext cx="0" cy="0"/>
          </xdr:xfrm>
          <a:graphic>
            <a:graphicData uri="http://schemas.microsoft.com/office/drawing/2010/slicer">
              <sle:slicer xmlns:sle="http://schemas.microsoft.com/office/drawing/2010/slicer" name="AREA CATEGORY 9"/>
            </a:graphicData>
          </a:graphic>
        </xdr:graphicFrame>
      </mc:Choice>
      <mc:Fallback xmlns="">
        <xdr:sp macro="" textlink="">
          <xdr:nvSpPr>
            <xdr:cNvPr id="0" name=""/>
            <xdr:cNvSpPr>
              <a:spLocks noTextEdit="1"/>
            </xdr:cNvSpPr>
          </xdr:nvSpPr>
          <xdr:spPr>
            <a:xfrm>
              <a:off x="2637304" y="142876"/>
              <a:ext cx="1823198"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211741</xdr:colOff>
      <xdr:row>10</xdr:row>
      <xdr:rowOff>43145</xdr:rowOff>
    </xdr:from>
    <xdr:to>
      <xdr:col>4</xdr:col>
      <xdr:colOff>76199</xdr:colOff>
      <xdr:row>13</xdr:row>
      <xdr:rowOff>89649</xdr:rowOff>
    </xdr:to>
    <xdr:sp macro="" textlink="$N$11">
      <xdr:nvSpPr>
        <xdr:cNvPr id="5" name="TextBox 4">
          <a:extLst>
            <a:ext uri="{FF2B5EF4-FFF2-40B4-BE49-F238E27FC236}">
              <a16:creationId xmlns:a16="http://schemas.microsoft.com/office/drawing/2014/main" id="{00000000-0008-0000-1F00-000005000000}"/>
            </a:ext>
          </a:extLst>
        </xdr:cNvPr>
        <xdr:cNvSpPr txBox="1"/>
      </xdr:nvSpPr>
      <xdr:spPr>
        <a:xfrm>
          <a:off x="2945416" y="1948145"/>
          <a:ext cx="635983" cy="6180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5557BDA-8CC6-4B7B-830A-EB70A12AC139}"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25</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248210</xdr:colOff>
      <xdr:row>6</xdr:row>
      <xdr:rowOff>168648</xdr:rowOff>
    </xdr:from>
    <xdr:to>
      <xdr:col>7</xdr:col>
      <xdr:colOff>588870</xdr:colOff>
      <xdr:row>8</xdr:row>
      <xdr:rowOff>179855</xdr:rowOff>
    </xdr:to>
    <xdr:sp macro="" textlink="$N$10">
      <xdr:nvSpPr>
        <xdr:cNvPr id="6" name="TextBox 5">
          <a:extLst>
            <a:ext uri="{FF2B5EF4-FFF2-40B4-BE49-F238E27FC236}">
              <a16:creationId xmlns:a16="http://schemas.microsoft.com/office/drawing/2014/main" id="{00000000-0008-0000-1F00-000006000000}"/>
            </a:ext>
          </a:extLst>
        </xdr:cNvPr>
        <xdr:cNvSpPr txBox="1"/>
      </xdr:nvSpPr>
      <xdr:spPr>
        <a:xfrm>
          <a:off x="4524935" y="1311648"/>
          <a:ext cx="2464735" cy="3922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4483A3-C565-46F1-9514-87E336CB3975}"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cs typeface="Calibri"/>
            </a:rPr>
            <a:pPr/>
            <a:t>R10 SALES DATA</a:t>
          </a:fld>
          <a:endParaRPr lang="en-US" sz="20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xdr:col>
      <xdr:colOff>795618</xdr:colOff>
      <xdr:row>8</xdr:row>
      <xdr:rowOff>152400</xdr:rowOff>
    </xdr:from>
    <xdr:to>
      <xdr:col>4</xdr:col>
      <xdr:colOff>277906</xdr:colOff>
      <xdr:row>10</xdr:row>
      <xdr:rowOff>89648</xdr:rowOff>
    </xdr:to>
    <xdr:sp macro="" textlink="$N$12">
      <xdr:nvSpPr>
        <xdr:cNvPr id="7" name="TextBox 6">
          <a:extLst>
            <a:ext uri="{FF2B5EF4-FFF2-40B4-BE49-F238E27FC236}">
              <a16:creationId xmlns:a16="http://schemas.microsoft.com/office/drawing/2014/main" id="{00000000-0008-0000-1F00-000007000000}"/>
            </a:ext>
          </a:extLst>
        </xdr:cNvPr>
        <xdr:cNvSpPr txBox="1"/>
      </xdr:nvSpPr>
      <xdr:spPr>
        <a:xfrm>
          <a:off x="2729193" y="1676400"/>
          <a:ext cx="1053913"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D5FE2B-5EFA-4B71-B871-BE81DDBE3CEB}"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cs typeface="Calibri"/>
            </a:rPr>
            <a:pPr/>
            <a:t>NO. OF UNITS</a:t>
          </a:fld>
          <a:endParaRPr lang="en-US" sz="28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5</xdr:col>
      <xdr:colOff>188259</xdr:colOff>
      <xdr:row>10</xdr:row>
      <xdr:rowOff>38663</xdr:rowOff>
    </xdr:from>
    <xdr:to>
      <xdr:col>8</xdr:col>
      <xdr:colOff>4483</xdr:colOff>
      <xdr:row>14</xdr:row>
      <xdr:rowOff>28575</xdr:rowOff>
    </xdr:to>
    <xdr:sp macro="" textlink="$N$14">
      <xdr:nvSpPr>
        <xdr:cNvPr id="8" name="TextBox 7">
          <a:extLst>
            <a:ext uri="{FF2B5EF4-FFF2-40B4-BE49-F238E27FC236}">
              <a16:creationId xmlns:a16="http://schemas.microsoft.com/office/drawing/2014/main" id="{00000000-0008-0000-1F00-000008000000}"/>
            </a:ext>
          </a:extLst>
        </xdr:cNvPr>
        <xdr:cNvSpPr txBox="1"/>
      </xdr:nvSpPr>
      <xdr:spPr>
        <a:xfrm>
          <a:off x="4464984" y="1943663"/>
          <a:ext cx="2892799" cy="751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FCBFEF-89C0-4692-B5CD-74907C563204}"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EGP 251,608,686 </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96371</xdr:colOff>
      <xdr:row>8</xdr:row>
      <xdr:rowOff>147918</xdr:rowOff>
    </xdr:from>
    <xdr:to>
      <xdr:col>8</xdr:col>
      <xdr:colOff>209550</xdr:colOff>
      <xdr:row>10</xdr:row>
      <xdr:rowOff>85166</xdr:rowOff>
    </xdr:to>
    <xdr:sp macro="" textlink="$N$13">
      <xdr:nvSpPr>
        <xdr:cNvPr id="9" name="TextBox 8">
          <a:extLst>
            <a:ext uri="{FF2B5EF4-FFF2-40B4-BE49-F238E27FC236}">
              <a16:creationId xmlns:a16="http://schemas.microsoft.com/office/drawing/2014/main" id="{00000000-0008-0000-1F00-000009000000}"/>
            </a:ext>
          </a:extLst>
        </xdr:cNvPr>
        <xdr:cNvSpPr txBox="1"/>
      </xdr:nvSpPr>
      <xdr:spPr>
        <a:xfrm>
          <a:off x="4373096" y="1671918"/>
          <a:ext cx="3189754"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00A2BC-5593-41B5-B4D9-16DCFD4E60EF}"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rPr>
            <a:pPr marL="0" indent="0"/>
            <a:t>TOTAL SALES VALUE (SEMI)</a:t>
          </a:fld>
          <a:endPar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5</xdr:col>
      <xdr:colOff>577663</xdr:colOff>
      <xdr:row>0</xdr:row>
      <xdr:rowOff>152400</xdr:rowOff>
    </xdr:from>
    <xdr:to>
      <xdr:col>7</xdr:col>
      <xdr:colOff>276784</xdr:colOff>
      <xdr:row>5</xdr:row>
      <xdr:rowOff>123825</xdr:rowOff>
    </xdr:to>
    <mc:AlternateContent xmlns:mc="http://schemas.openxmlformats.org/markup-compatibility/2006" xmlns:a14="http://schemas.microsoft.com/office/drawing/2010/main">
      <mc:Choice Requires="a14">
        <xdr:graphicFrame macro="">
          <xdr:nvGraphicFramePr>
            <xdr:cNvPr id="2" name="PREMIUM CATEGORY 13">
              <a:extLst>
                <a:ext uri="{FF2B5EF4-FFF2-40B4-BE49-F238E27FC236}">
                  <a16:creationId xmlns:a16="http://schemas.microsoft.com/office/drawing/2014/main" id="{00000000-0008-0000-2000-000002000000}"/>
                </a:ext>
              </a:extLst>
            </xdr:cNvPr>
            <xdr:cNvGraphicFramePr/>
          </xdr:nvGraphicFramePr>
          <xdr:xfrm>
            <a:off x="0" y="0"/>
            <a:ext cx="0" cy="0"/>
          </xdr:xfrm>
          <a:graphic>
            <a:graphicData uri="http://schemas.microsoft.com/office/drawing/2010/slicer">
              <sle:slicer xmlns:sle="http://schemas.microsoft.com/office/drawing/2010/slicer" name="PREMIUM CATEGORY 13"/>
            </a:graphicData>
          </a:graphic>
        </xdr:graphicFrame>
      </mc:Choice>
      <mc:Fallback xmlns="">
        <xdr:sp macro="" textlink="">
          <xdr:nvSpPr>
            <xdr:cNvPr id="0" name=""/>
            <xdr:cNvSpPr>
              <a:spLocks noTextEdit="1"/>
            </xdr:cNvSpPr>
          </xdr:nvSpPr>
          <xdr:spPr>
            <a:xfrm>
              <a:off x="4757457" y="152400"/>
              <a:ext cx="1828239"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0</xdr:row>
      <xdr:rowOff>123825</xdr:rowOff>
    </xdr:from>
    <xdr:to>
      <xdr:col>2</xdr:col>
      <xdr:colOff>26894</xdr:colOff>
      <xdr:row>12</xdr:row>
      <xdr:rowOff>104774</xdr:rowOff>
    </xdr:to>
    <mc:AlternateContent xmlns:mc="http://schemas.openxmlformats.org/markup-compatibility/2006" xmlns:a14="http://schemas.microsoft.com/office/drawing/2010/main">
      <mc:Choice Requires="a14">
        <xdr:graphicFrame macro="">
          <xdr:nvGraphicFramePr>
            <xdr:cNvPr id="3" name="SELLING PHASE NAME 10">
              <a:extLst>
                <a:ext uri="{FF2B5EF4-FFF2-40B4-BE49-F238E27FC236}">
                  <a16:creationId xmlns:a16="http://schemas.microsoft.com/office/drawing/2014/main" id="{00000000-0008-0000-2000-000003000000}"/>
                </a:ext>
              </a:extLst>
            </xdr:cNvPr>
            <xdr:cNvGraphicFramePr/>
          </xdr:nvGraphicFramePr>
          <xdr:xfrm>
            <a:off x="0" y="0"/>
            <a:ext cx="0" cy="0"/>
          </xdr:xfrm>
          <a:graphic>
            <a:graphicData uri="http://schemas.microsoft.com/office/drawing/2010/slicer">
              <sle:slicer xmlns:sle="http://schemas.microsoft.com/office/drawing/2010/slicer" name="SELLING PHASE NAME 10"/>
            </a:graphicData>
          </a:graphic>
        </xdr:graphicFrame>
      </mc:Choice>
      <mc:Fallback xmlns="">
        <xdr:sp macro="" textlink="">
          <xdr:nvSpPr>
            <xdr:cNvPr id="0" name=""/>
            <xdr:cNvSpPr>
              <a:spLocks noTextEdit="1"/>
            </xdr:cNvSpPr>
          </xdr:nvSpPr>
          <xdr:spPr>
            <a:xfrm>
              <a:off x="219075" y="123825"/>
              <a:ext cx="1768848" cy="2266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676275</xdr:colOff>
      <xdr:row>0</xdr:row>
      <xdr:rowOff>142876</xdr:rowOff>
    </xdr:from>
    <xdr:to>
      <xdr:col>5</xdr:col>
      <xdr:colOff>280708</xdr:colOff>
      <xdr:row>7</xdr:row>
      <xdr:rowOff>180976</xdr:rowOff>
    </xdr:to>
    <mc:AlternateContent xmlns:mc="http://schemas.openxmlformats.org/markup-compatibility/2006" xmlns:a14="http://schemas.microsoft.com/office/drawing/2010/main">
      <mc:Choice Requires="a14">
        <xdr:graphicFrame macro="">
          <xdr:nvGraphicFramePr>
            <xdr:cNvPr id="4" name="AREA CATEGORY 10">
              <a:extLst>
                <a:ext uri="{FF2B5EF4-FFF2-40B4-BE49-F238E27FC236}">
                  <a16:creationId xmlns:a16="http://schemas.microsoft.com/office/drawing/2014/main" id="{00000000-0008-0000-2000-000004000000}"/>
                </a:ext>
              </a:extLst>
            </xdr:cNvPr>
            <xdr:cNvGraphicFramePr/>
          </xdr:nvGraphicFramePr>
          <xdr:xfrm>
            <a:off x="0" y="0"/>
            <a:ext cx="0" cy="0"/>
          </xdr:xfrm>
          <a:graphic>
            <a:graphicData uri="http://schemas.microsoft.com/office/drawing/2010/slicer">
              <sle:slicer xmlns:sle="http://schemas.microsoft.com/office/drawing/2010/slicer" name="AREA CATEGORY 10"/>
            </a:graphicData>
          </a:graphic>
        </xdr:graphicFrame>
      </mc:Choice>
      <mc:Fallback xmlns="">
        <xdr:sp macro="" textlink="">
          <xdr:nvSpPr>
            <xdr:cNvPr id="0" name=""/>
            <xdr:cNvSpPr>
              <a:spLocks noTextEdit="1"/>
            </xdr:cNvSpPr>
          </xdr:nvSpPr>
          <xdr:spPr>
            <a:xfrm>
              <a:off x="2637304" y="142876"/>
              <a:ext cx="1823198"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211741</xdr:colOff>
      <xdr:row>10</xdr:row>
      <xdr:rowOff>43145</xdr:rowOff>
    </xdr:from>
    <xdr:to>
      <xdr:col>4</xdr:col>
      <xdr:colOff>76199</xdr:colOff>
      <xdr:row>13</xdr:row>
      <xdr:rowOff>89649</xdr:rowOff>
    </xdr:to>
    <xdr:sp macro="" textlink="$N$11">
      <xdr:nvSpPr>
        <xdr:cNvPr id="5" name="TextBox 4">
          <a:extLst>
            <a:ext uri="{FF2B5EF4-FFF2-40B4-BE49-F238E27FC236}">
              <a16:creationId xmlns:a16="http://schemas.microsoft.com/office/drawing/2014/main" id="{00000000-0008-0000-2000-000005000000}"/>
            </a:ext>
          </a:extLst>
        </xdr:cNvPr>
        <xdr:cNvSpPr txBox="1"/>
      </xdr:nvSpPr>
      <xdr:spPr>
        <a:xfrm>
          <a:off x="2945416" y="1948145"/>
          <a:ext cx="635983" cy="6180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5557BDA-8CC6-4B7B-830A-EB70A12AC139}"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22</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248210</xdr:colOff>
      <xdr:row>6</xdr:row>
      <xdr:rowOff>168648</xdr:rowOff>
    </xdr:from>
    <xdr:to>
      <xdr:col>7</xdr:col>
      <xdr:colOff>588870</xdr:colOff>
      <xdr:row>8</xdr:row>
      <xdr:rowOff>179855</xdr:rowOff>
    </xdr:to>
    <xdr:sp macro="" textlink="$N$10">
      <xdr:nvSpPr>
        <xdr:cNvPr id="6" name="TextBox 5">
          <a:extLst>
            <a:ext uri="{FF2B5EF4-FFF2-40B4-BE49-F238E27FC236}">
              <a16:creationId xmlns:a16="http://schemas.microsoft.com/office/drawing/2014/main" id="{00000000-0008-0000-2000-000006000000}"/>
            </a:ext>
          </a:extLst>
        </xdr:cNvPr>
        <xdr:cNvSpPr txBox="1"/>
      </xdr:nvSpPr>
      <xdr:spPr>
        <a:xfrm>
          <a:off x="4524935" y="1311648"/>
          <a:ext cx="2464735" cy="3922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4483A3-C565-46F1-9514-87E336CB3975}"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cs typeface="Calibri"/>
            </a:rPr>
            <a:pPr/>
            <a:t>R11 SALES DATA</a:t>
          </a:fld>
          <a:endParaRPr lang="en-US" sz="20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xdr:col>
      <xdr:colOff>795618</xdr:colOff>
      <xdr:row>8</xdr:row>
      <xdr:rowOff>152400</xdr:rowOff>
    </xdr:from>
    <xdr:to>
      <xdr:col>4</xdr:col>
      <xdr:colOff>277906</xdr:colOff>
      <xdr:row>10</xdr:row>
      <xdr:rowOff>89648</xdr:rowOff>
    </xdr:to>
    <xdr:sp macro="" textlink="$N$12">
      <xdr:nvSpPr>
        <xdr:cNvPr id="7" name="TextBox 6">
          <a:extLst>
            <a:ext uri="{FF2B5EF4-FFF2-40B4-BE49-F238E27FC236}">
              <a16:creationId xmlns:a16="http://schemas.microsoft.com/office/drawing/2014/main" id="{00000000-0008-0000-2000-000007000000}"/>
            </a:ext>
          </a:extLst>
        </xdr:cNvPr>
        <xdr:cNvSpPr txBox="1"/>
      </xdr:nvSpPr>
      <xdr:spPr>
        <a:xfrm>
          <a:off x="2729193" y="1676400"/>
          <a:ext cx="1053913"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D5FE2B-5EFA-4B71-B871-BE81DDBE3CEB}"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cs typeface="Calibri"/>
            </a:rPr>
            <a:pPr/>
            <a:t>NO. OF UNITS</a:t>
          </a:fld>
          <a:endParaRPr lang="en-US" sz="28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5</xdr:col>
      <xdr:colOff>188259</xdr:colOff>
      <xdr:row>10</xdr:row>
      <xdr:rowOff>38663</xdr:rowOff>
    </xdr:from>
    <xdr:to>
      <xdr:col>8</xdr:col>
      <xdr:colOff>4483</xdr:colOff>
      <xdr:row>14</xdr:row>
      <xdr:rowOff>28575</xdr:rowOff>
    </xdr:to>
    <xdr:sp macro="" textlink="$N$14">
      <xdr:nvSpPr>
        <xdr:cNvPr id="8" name="TextBox 7">
          <a:extLst>
            <a:ext uri="{FF2B5EF4-FFF2-40B4-BE49-F238E27FC236}">
              <a16:creationId xmlns:a16="http://schemas.microsoft.com/office/drawing/2014/main" id="{00000000-0008-0000-2000-000008000000}"/>
            </a:ext>
          </a:extLst>
        </xdr:cNvPr>
        <xdr:cNvSpPr txBox="1"/>
      </xdr:nvSpPr>
      <xdr:spPr>
        <a:xfrm>
          <a:off x="4464984" y="1943663"/>
          <a:ext cx="2892799" cy="751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FCBFEF-89C0-4692-B5CD-74907C563204}"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EGP 249,234,555 </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96371</xdr:colOff>
      <xdr:row>8</xdr:row>
      <xdr:rowOff>147918</xdr:rowOff>
    </xdr:from>
    <xdr:to>
      <xdr:col>8</xdr:col>
      <xdr:colOff>209550</xdr:colOff>
      <xdr:row>10</xdr:row>
      <xdr:rowOff>85166</xdr:rowOff>
    </xdr:to>
    <xdr:sp macro="" textlink="$N$13">
      <xdr:nvSpPr>
        <xdr:cNvPr id="9" name="TextBox 8">
          <a:extLst>
            <a:ext uri="{FF2B5EF4-FFF2-40B4-BE49-F238E27FC236}">
              <a16:creationId xmlns:a16="http://schemas.microsoft.com/office/drawing/2014/main" id="{00000000-0008-0000-2000-000009000000}"/>
            </a:ext>
          </a:extLst>
        </xdr:cNvPr>
        <xdr:cNvSpPr txBox="1"/>
      </xdr:nvSpPr>
      <xdr:spPr>
        <a:xfrm>
          <a:off x="4373096" y="1671918"/>
          <a:ext cx="3189754"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00A2BC-5593-41B5-B4D9-16DCFD4E60EF}"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rPr>
            <a:pPr marL="0" indent="0"/>
            <a:t>TOTAL SALES VALUE (SEMI)</a:t>
          </a:fld>
          <a:endPar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5</xdr:col>
      <xdr:colOff>577663</xdr:colOff>
      <xdr:row>0</xdr:row>
      <xdr:rowOff>152400</xdr:rowOff>
    </xdr:from>
    <xdr:to>
      <xdr:col>7</xdr:col>
      <xdr:colOff>276785</xdr:colOff>
      <xdr:row>5</xdr:row>
      <xdr:rowOff>123825</xdr:rowOff>
    </xdr:to>
    <mc:AlternateContent xmlns:mc="http://schemas.openxmlformats.org/markup-compatibility/2006" xmlns:a14="http://schemas.microsoft.com/office/drawing/2010/main">
      <mc:Choice Requires="a14">
        <xdr:graphicFrame macro="">
          <xdr:nvGraphicFramePr>
            <xdr:cNvPr id="2" name="PREMIUM CATEGORY 14">
              <a:extLst>
                <a:ext uri="{FF2B5EF4-FFF2-40B4-BE49-F238E27FC236}">
                  <a16:creationId xmlns:a16="http://schemas.microsoft.com/office/drawing/2014/main" id="{00000000-0008-0000-2100-000002000000}"/>
                </a:ext>
              </a:extLst>
            </xdr:cNvPr>
            <xdr:cNvGraphicFramePr/>
          </xdr:nvGraphicFramePr>
          <xdr:xfrm>
            <a:off x="0" y="0"/>
            <a:ext cx="0" cy="0"/>
          </xdr:xfrm>
          <a:graphic>
            <a:graphicData uri="http://schemas.microsoft.com/office/drawing/2010/slicer">
              <sle:slicer xmlns:sle="http://schemas.microsoft.com/office/drawing/2010/slicer" name="PREMIUM CATEGORY 14"/>
            </a:graphicData>
          </a:graphic>
        </xdr:graphicFrame>
      </mc:Choice>
      <mc:Fallback xmlns="">
        <xdr:sp macro="" textlink="">
          <xdr:nvSpPr>
            <xdr:cNvPr id="0" name=""/>
            <xdr:cNvSpPr>
              <a:spLocks noTextEdit="1"/>
            </xdr:cNvSpPr>
          </xdr:nvSpPr>
          <xdr:spPr>
            <a:xfrm>
              <a:off x="4791075" y="152400"/>
              <a:ext cx="1828239"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0</xdr:row>
      <xdr:rowOff>123825</xdr:rowOff>
    </xdr:from>
    <xdr:to>
      <xdr:col>2</xdr:col>
      <xdr:colOff>26894</xdr:colOff>
      <xdr:row>12</xdr:row>
      <xdr:rowOff>104774</xdr:rowOff>
    </xdr:to>
    <mc:AlternateContent xmlns:mc="http://schemas.openxmlformats.org/markup-compatibility/2006" xmlns:a14="http://schemas.microsoft.com/office/drawing/2010/main">
      <mc:Choice Requires="a14">
        <xdr:graphicFrame macro="">
          <xdr:nvGraphicFramePr>
            <xdr:cNvPr id="3" name="SELLING PHASE NAME 11">
              <a:extLst>
                <a:ext uri="{FF2B5EF4-FFF2-40B4-BE49-F238E27FC236}">
                  <a16:creationId xmlns:a16="http://schemas.microsoft.com/office/drawing/2014/main" id="{00000000-0008-0000-2100-000003000000}"/>
                </a:ext>
              </a:extLst>
            </xdr:cNvPr>
            <xdr:cNvGraphicFramePr/>
          </xdr:nvGraphicFramePr>
          <xdr:xfrm>
            <a:off x="0" y="0"/>
            <a:ext cx="0" cy="0"/>
          </xdr:xfrm>
          <a:graphic>
            <a:graphicData uri="http://schemas.microsoft.com/office/drawing/2010/slicer">
              <sle:slicer xmlns:sle="http://schemas.microsoft.com/office/drawing/2010/slicer" name="SELLING PHASE NAME 11"/>
            </a:graphicData>
          </a:graphic>
        </xdr:graphicFrame>
      </mc:Choice>
      <mc:Fallback xmlns="">
        <xdr:sp macro="" textlink="">
          <xdr:nvSpPr>
            <xdr:cNvPr id="0" name=""/>
            <xdr:cNvSpPr>
              <a:spLocks noTextEdit="1"/>
            </xdr:cNvSpPr>
          </xdr:nvSpPr>
          <xdr:spPr>
            <a:xfrm>
              <a:off x="219075" y="123825"/>
              <a:ext cx="1768848" cy="2266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676275</xdr:colOff>
      <xdr:row>0</xdr:row>
      <xdr:rowOff>142876</xdr:rowOff>
    </xdr:from>
    <xdr:to>
      <xdr:col>5</xdr:col>
      <xdr:colOff>247090</xdr:colOff>
      <xdr:row>7</xdr:row>
      <xdr:rowOff>180976</xdr:rowOff>
    </xdr:to>
    <mc:AlternateContent xmlns:mc="http://schemas.openxmlformats.org/markup-compatibility/2006" xmlns:a14="http://schemas.microsoft.com/office/drawing/2010/main">
      <mc:Choice Requires="a14">
        <xdr:graphicFrame macro="">
          <xdr:nvGraphicFramePr>
            <xdr:cNvPr id="4" name="AREA CATEGORY 11">
              <a:extLst>
                <a:ext uri="{FF2B5EF4-FFF2-40B4-BE49-F238E27FC236}">
                  <a16:creationId xmlns:a16="http://schemas.microsoft.com/office/drawing/2014/main" id="{00000000-0008-0000-2100-000004000000}"/>
                </a:ext>
              </a:extLst>
            </xdr:cNvPr>
            <xdr:cNvGraphicFramePr/>
          </xdr:nvGraphicFramePr>
          <xdr:xfrm>
            <a:off x="0" y="0"/>
            <a:ext cx="0" cy="0"/>
          </xdr:xfrm>
          <a:graphic>
            <a:graphicData uri="http://schemas.microsoft.com/office/drawing/2010/slicer">
              <sle:slicer xmlns:sle="http://schemas.microsoft.com/office/drawing/2010/slicer" name="AREA CATEGORY 11"/>
            </a:graphicData>
          </a:graphic>
        </xdr:graphicFrame>
      </mc:Choice>
      <mc:Fallback xmlns="">
        <xdr:sp macro="" textlink="">
          <xdr:nvSpPr>
            <xdr:cNvPr id="0" name=""/>
            <xdr:cNvSpPr>
              <a:spLocks noTextEdit="1"/>
            </xdr:cNvSpPr>
          </xdr:nvSpPr>
          <xdr:spPr>
            <a:xfrm>
              <a:off x="2637304" y="142876"/>
              <a:ext cx="1823198"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211741</xdr:colOff>
      <xdr:row>10</xdr:row>
      <xdr:rowOff>43145</xdr:rowOff>
    </xdr:from>
    <xdr:to>
      <xdr:col>4</xdr:col>
      <xdr:colOff>76199</xdr:colOff>
      <xdr:row>13</xdr:row>
      <xdr:rowOff>89649</xdr:rowOff>
    </xdr:to>
    <xdr:sp macro="" textlink="$N$11">
      <xdr:nvSpPr>
        <xdr:cNvPr id="5" name="TextBox 4">
          <a:extLst>
            <a:ext uri="{FF2B5EF4-FFF2-40B4-BE49-F238E27FC236}">
              <a16:creationId xmlns:a16="http://schemas.microsoft.com/office/drawing/2014/main" id="{00000000-0008-0000-2100-000005000000}"/>
            </a:ext>
          </a:extLst>
        </xdr:cNvPr>
        <xdr:cNvSpPr txBox="1"/>
      </xdr:nvSpPr>
      <xdr:spPr>
        <a:xfrm>
          <a:off x="2945416" y="1948145"/>
          <a:ext cx="635983" cy="6180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5557BDA-8CC6-4B7B-830A-EB70A12AC139}"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73</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248210</xdr:colOff>
      <xdr:row>6</xdr:row>
      <xdr:rowOff>168648</xdr:rowOff>
    </xdr:from>
    <xdr:to>
      <xdr:col>7</xdr:col>
      <xdr:colOff>588870</xdr:colOff>
      <xdr:row>8</xdr:row>
      <xdr:rowOff>179855</xdr:rowOff>
    </xdr:to>
    <xdr:sp macro="" textlink="$N$10">
      <xdr:nvSpPr>
        <xdr:cNvPr id="6" name="TextBox 5">
          <a:extLst>
            <a:ext uri="{FF2B5EF4-FFF2-40B4-BE49-F238E27FC236}">
              <a16:creationId xmlns:a16="http://schemas.microsoft.com/office/drawing/2014/main" id="{00000000-0008-0000-2100-000006000000}"/>
            </a:ext>
          </a:extLst>
        </xdr:cNvPr>
        <xdr:cNvSpPr txBox="1"/>
      </xdr:nvSpPr>
      <xdr:spPr>
        <a:xfrm>
          <a:off x="4524935" y="1311648"/>
          <a:ext cx="2464735" cy="3922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4483A3-C565-46F1-9514-87E336CB3975}"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cs typeface="Calibri"/>
            </a:rPr>
            <a:pPr/>
            <a:t>R12 SALES DATA</a:t>
          </a:fld>
          <a:endParaRPr lang="en-US" sz="20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xdr:col>
      <xdr:colOff>795618</xdr:colOff>
      <xdr:row>8</xdr:row>
      <xdr:rowOff>152400</xdr:rowOff>
    </xdr:from>
    <xdr:to>
      <xdr:col>4</xdr:col>
      <xdr:colOff>277906</xdr:colOff>
      <xdr:row>10</xdr:row>
      <xdr:rowOff>89648</xdr:rowOff>
    </xdr:to>
    <xdr:sp macro="" textlink="$N$12">
      <xdr:nvSpPr>
        <xdr:cNvPr id="7" name="TextBox 6">
          <a:extLst>
            <a:ext uri="{FF2B5EF4-FFF2-40B4-BE49-F238E27FC236}">
              <a16:creationId xmlns:a16="http://schemas.microsoft.com/office/drawing/2014/main" id="{00000000-0008-0000-2100-000007000000}"/>
            </a:ext>
          </a:extLst>
        </xdr:cNvPr>
        <xdr:cNvSpPr txBox="1"/>
      </xdr:nvSpPr>
      <xdr:spPr>
        <a:xfrm>
          <a:off x="2729193" y="1676400"/>
          <a:ext cx="1053913"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D5FE2B-5EFA-4B71-B871-BE81DDBE3CEB}"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cs typeface="Calibri"/>
            </a:rPr>
            <a:pPr/>
            <a:t>NO. OF UNITS</a:t>
          </a:fld>
          <a:endParaRPr lang="en-US" sz="28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5</xdr:col>
      <xdr:colOff>188259</xdr:colOff>
      <xdr:row>10</xdr:row>
      <xdr:rowOff>38663</xdr:rowOff>
    </xdr:from>
    <xdr:to>
      <xdr:col>8</xdr:col>
      <xdr:colOff>4483</xdr:colOff>
      <xdr:row>14</xdr:row>
      <xdr:rowOff>28575</xdr:rowOff>
    </xdr:to>
    <xdr:sp macro="" textlink="$N$14">
      <xdr:nvSpPr>
        <xdr:cNvPr id="8" name="TextBox 7">
          <a:extLst>
            <a:ext uri="{FF2B5EF4-FFF2-40B4-BE49-F238E27FC236}">
              <a16:creationId xmlns:a16="http://schemas.microsoft.com/office/drawing/2014/main" id="{00000000-0008-0000-2100-000008000000}"/>
            </a:ext>
          </a:extLst>
        </xdr:cNvPr>
        <xdr:cNvSpPr txBox="1"/>
      </xdr:nvSpPr>
      <xdr:spPr>
        <a:xfrm>
          <a:off x="4464984" y="1943663"/>
          <a:ext cx="2892799" cy="751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FCBFEF-89C0-4692-B5CD-74907C563204}"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EGP 833,499,710 </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96371</xdr:colOff>
      <xdr:row>8</xdr:row>
      <xdr:rowOff>147918</xdr:rowOff>
    </xdr:from>
    <xdr:to>
      <xdr:col>8</xdr:col>
      <xdr:colOff>209550</xdr:colOff>
      <xdr:row>10</xdr:row>
      <xdr:rowOff>85166</xdr:rowOff>
    </xdr:to>
    <xdr:sp macro="" textlink="$N$13">
      <xdr:nvSpPr>
        <xdr:cNvPr id="9" name="TextBox 8">
          <a:extLst>
            <a:ext uri="{FF2B5EF4-FFF2-40B4-BE49-F238E27FC236}">
              <a16:creationId xmlns:a16="http://schemas.microsoft.com/office/drawing/2014/main" id="{00000000-0008-0000-2100-000009000000}"/>
            </a:ext>
          </a:extLst>
        </xdr:cNvPr>
        <xdr:cNvSpPr txBox="1"/>
      </xdr:nvSpPr>
      <xdr:spPr>
        <a:xfrm>
          <a:off x="4373096" y="1671918"/>
          <a:ext cx="3189754"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00A2BC-5593-41B5-B4D9-16DCFD4E60EF}"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rPr>
            <a:pPr marL="0" indent="0"/>
            <a:t>TOTAL SALES VALUE (SEMI)</a:t>
          </a:fld>
          <a:endPar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5</xdr:col>
      <xdr:colOff>577663</xdr:colOff>
      <xdr:row>0</xdr:row>
      <xdr:rowOff>152400</xdr:rowOff>
    </xdr:from>
    <xdr:to>
      <xdr:col>7</xdr:col>
      <xdr:colOff>276785</xdr:colOff>
      <xdr:row>5</xdr:row>
      <xdr:rowOff>123825</xdr:rowOff>
    </xdr:to>
    <mc:AlternateContent xmlns:mc="http://schemas.openxmlformats.org/markup-compatibility/2006" xmlns:a14="http://schemas.microsoft.com/office/drawing/2010/main">
      <mc:Choice Requires="a14">
        <xdr:graphicFrame macro="">
          <xdr:nvGraphicFramePr>
            <xdr:cNvPr id="2" name="PREMIUM CATEGORY 15">
              <a:extLst>
                <a:ext uri="{FF2B5EF4-FFF2-40B4-BE49-F238E27FC236}">
                  <a16:creationId xmlns:a16="http://schemas.microsoft.com/office/drawing/2014/main" id="{00000000-0008-0000-2200-000002000000}"/>
                </a:ext>
              </a:extLst>
            </xdr:cNvPr>
            <xdr:cNvGraphicFramePr/>
          </xdr:nvGraphicFramePr>
          <xdr:xfrm>
            <a:off x="0" y="0"/>
            <a:ext cx="0" cy="0"/>
          </xdr:xfrm>
          <a:graphic>
            <a:graphicData uri="http://schemas.microsoft.com/office/drawing/2010/slicer">
              <sle:slicer xmlns:sle="http://schemas.microsoft.com/office/drawing/2010/slicer" name="PREMIUM CATEGORY 15"/>
            </a:graphicData>
          </a:graphic>
        </xdr:graphicFrame>
      </mc:Choice>
      <mc:Fallback xmlns="">
        <xdr:sp macro="" textlink="">
          <xdr:nvSpPr>
            <xdr:cNvPr id="0" name=""/>
            <xdr:cNvSpPr>
              <a:spLocks noTextEdit="1"/>
            </xdr:cNvSpPr>
          </xdr:nvSpPr>
          <xdr:spPr>
            <a:xfrm>
              <a:off x="4791075" y="152400"/>
              <a:ext cx="1828239"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0</xdr:row>
      <xdr:rowOff>123825</xdr:rowOff>
    </xdr:from>
    <xdr:to>
      <xdr:col>2</xdr:col>
      <xdr:colOff>26894</xdr:colOff>
      <xdr:row>12</xdr:row>
      <xdr:rowOff>104774</xdr:rowOff>
    </xdr:to>
    <mc:AlternateContent xmlns:mc="http://schemas.openxmlformats.org/markup-compatibility/2006" xmlns:a14="http://schemas.microsoft.com/office/drawing/2010/main">
      <mc:Choice Requires="a14">
        <xdr:graphicFrame macro="">
          <xdr:nvGraphicFramePr>
            <xdr:cNvPr id="3" name="SELLING PHASE NAME 12">
              <a:extLst>
                <a:ext uri="{FF2B5EF4-FFF2-40B4-BE49-F238E27FC236}">
                  <a16:creationId xmlns:a16="http://schemas.microsoft.com/office/drawing/2014/main" id="{00000000-0008-0000-2200-000003000000}"/>
                </a:ext>
              </a:extLst>
            </xdr:cNvPr>
            <xdr:cNvGraphicFramePr/>
          </xdr:nvGraphicFramePr>
          <xdr:xfrm>
            <a:off x="0" y="0"/>
            <a:ext cx="0" cy="0"/>
          </xdr:xfrm>
          <a:graphic>
            <a:graphicData uri="http://schemas.microsoft.com/office/drawing/2010/slicer">
              <sle:slicer xmlns:sle="http://schemas.microsoft.com/office/drawing/2010/slicer" name="SELLING PHASE NAME 12"/>
            </a:graphicData>
          </a:graphic>
        </xdr:graphicFrame>
      </mc:Choice>
      <mc:Fallback xmlns="">
        <xdr:sp macro="" textlink="">
          <xdr:nvSpPr>
            <xdr:cNvPr id="0" name=""/>
            <xdr:cNvSpPr>
              <a:spLocks noTextEdit="1"/>
            </xdr:cNvSpPr>
          </xdr:nvSpPr>
          <xdr:spPr>
            <a:xfrm>
              <a:off x="219075" y="123825"/>
              <a:ext cx="1768848" cy="2266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676275</xdr:colOff>
      <xdr:row>0</xdr:row>
      <xdr:rowOff>142876</xdr:rowOff>
    </xdr:from>
    <xdr:to>
      <xdr:col>5</xdr:col>
      <xdr:colOff>247090</xdr:colOff>
      <xdr:row>7</xdr:row>
      <xdr:rowOff>180976</xdr:rowOff>
    </xdr:to>
    <mc:AlternateContent xmlns:mc="http://schemas.openxmlformats.org/markup-compatibility/2006" xmlns:a14="http://schemas.microsoft.com/office/drawing/2010/main">
      <mc:Choice Requires="a14">
        <xdr:graphicFrame macro="">
          <xdr:nvGraphicFramePr>
            <xdr:cNvPr id="4" name="AREA CATEGORY 12">
              <a:extLst>
                <a:ext uri="{FF2B5EF4-FFF2-40B4-BE49-F238E27FC236}">
                  <a16:creationId xmlns:a16="http://schemas.microsoft.com/office/drawing/2014/main" id="{00000000-0008-0000-2200-000004000000}"/>
                </a:ext>
              </a:extLst>
            </xdr:cNvPr>
            <xdr:cNvGraphicFramePr/>
          </xdr:nvGraphicFramePr>
          <xdr:xfrm>
            <a:off x="0" y="0"/>
            <a:ext cx="0" cy="0"/>
          </xdr:xfrm>
          <a:graphic>
            <a:graphicData uri="http://schemas.microsoft.com/office/drawing/2010/slicer">
              <sle:slicer xmlns:sle="http://schemas.microsoft.com/office/drawing/2010/slicer" name="AREA CATEGORY 12"/>
            </a:graphicData>
          </a:graphic>
        </xdr:graphicFrame>
      </mc:Choice>
      <mc:Fallback xmlns="">
        <xdr:sp macro="" textlink="">
          <xdr:nvSpPr>
            <xdr:cNvPr id="0" name=""/>
            <xdr:cNvSpPr>
              <a:spLocks noTextEdit="1"/>
            </xdr:cNvSpPr>
          </xdr:nvSpPr>
          <xdr:spPr>
            <a:xfrm>
              <a:off x="2637304" y="142876"/>
              <a:ext cx="1823198"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211741</xdr:colOff>
      <xdr:row>10</xdr:row>
      <xdr:rowOff>43145</xdr:rowOff>
    </xdr:from>
    <xdr:to>
      <xdr:col>4</xdr:col>
      <xdr:colOff>76199</xdr:colOff>
      <xdr:row>13</xdr:row>
      <xdr:rowOff>89649</xdr:rowOff>
    </xdr:to>
    <xdr:sp macro="" textlink="$M$11">
      <xdr:nvSpPr>
        <xdr:cNvPr id="5" name="TextBox 4">
          <a:extLst>
            <a:ext uri="{FF2B5EF4-FFF2-40B4-BE49-F238E27FC236}">
              <a16:creationId xmlns:a16="http://schemas.microsoft.com/office/drawing/2014/main" id="{00000000-0008-0000-2200-000005000000}"/>
            </a:ext>
          </a:extLst>
        </xdr:cNvPr>
        <xdr:cNvSpPr txBox="1"/>
      </xdr:nvSpPr>
      <xdr:spPr>
        <a:xfrm>
          <a:off x="2945416" y="1948145"/>
          <a:ext cx="635983" cy="6180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5557BDA-8CC6-4B7B-830A-EB70A12AC139}"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57</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248210</xdr:colOff>
      <xdr:row>6</xdr:row>
      <xdr:rowOff>168648</xdr:rowOff>
    </xdr:from>
    <xdr:to>
      <xdr:col>7</xdr:col>
      <xdr:colOff>588870</xdr:colOff>
      <xdr:row>8</xdr:row>
      <xdr:rowOff>179855</xdr:rowOff>
    </xdr:to>
    <xdr:sp macro="" textlink="$M$10">
      <xdr:nvSpPr>
        <xdr:cNvPr id="6" name="TextBox 5">
          <a:extLst>
            <a:ext uri="{FF2B5EF4-FFF2-40B4-BE49-F238E27FC236}">
              <a16:creationId xmlns:a16="http://schemas.microsoft.com/office/drawing/2014/main" id="{00000000-0008-0000-2200-000006000000}"/>
            </a:ext>
          </a:extLst>
        </xdr:cNvPr>
        <xdr:cNvSpPr txBox="1"/>
      </xdr:nvSpPr>
      <xdr:spPr>
        <a:xfrm>
          <a:off x="4524935" y="1311648"/>
          <a:ext cx="2464735" cy="3922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4483A3-C565-46F1-9514-87E336CB3975}"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cs typeface="Calibri"/>
            </a:rPr>
            <a:pPr/>
            <a:t>RH SALES DATA</a:t>
          </a:fld>
          <a:endParaRPr lang="en-US" sz="20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xdr:col>
      <xdr:colOff>795618</xdr:colOff>
      <xdr:row>8</xdr:row>
      <xdr:rowOff>152400</xdr:rowOff>
    </xdr:from>
    <xdr:to>
      <xdr:col>4</xdr:col>
      <xdr:colOff>277906</xdr:colOff>
      <xdr:row>10</xdr:row>
      <xdr:rowOff>89648</xdr:rowOff>
    </xdr:to>
    <xdr:sp macro="" textlink="$M$12">
      <xdr:nvSpPr>
        <xdr:cNvPr id="7" name="TextBox 6">
          <a:extLst>
            <a:ext uri="{FF2B5EF4-FFF2-40B4-BE49-F238E27FC236}">
              <a16:creationId xmlns:a16="http://schemas.microsoft.com/office/drawing/2014/main" id="{00000000-0008-0000-2200-000007000000}"/>
            </a:ext>
          </a:extLst>
        </xdr:cNvPr>
        <xdr:cNvSpPr txBox="1"/>
      </xdr:nvSpPr>
      <xdr:spPr>
        <a:xfrm>
          <a:off x="2729193" y="1676400"/>
          <a:ext cx="1053913"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D5FE2B-5EFA-4B71-B871-BE81DDBE3CEB}"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cs typeface="Calibri"/>
            </a:rPr>
            <a:pPr/>
            <a:t>NO. OF UNITS</a:t>
          </a:fld>
          <a:endParaRPr lang="en-US" sz="28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5</xdr:col>
      <xdr:colOff>188259</xdr:colOff>
      <xdr:row>10</xdr:row>
      <xdr:rowOff>38663</xdr:rowOff>
    </xdr:from>
    <xdr:to>
      <xdr:col>8</xdr:col>
      <xdr:colOff>4483</xdr:colOff>
      <xdr:row>14</xdr:row>
      <xdr:rowOff>28575</xdr:rowOff>
    </xdr:to>
    <xdr:sp macro="" textlink="$M$14">
      <xdr:nvSpPr>
        <xdr:cNvPr id="8" name="TextBox 7">
          <a:extLst>
            <a:ext uri="{FF2B5EF4-FFF2-40B4-BE49-F238E27FC236}">
              <a16:creationId xmlns:a16="http://schemas.microsoft.com/office/drawing/2014/main" id="{00000000-0008-0000-2200-000008000000}"/>
            </a:ext>
          </a:extLst>
        </xdr:cNvPr>
        <xdr:cNvSpPr txBox="1"/>
      </xdr:nvSpPr>
      <xdr:spPr>
        <a:xfrm>
          <a:off x="4464984" y="1943663"/>
          <a:ext cx="2892799" cy="751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FCBFEF-89C0-4692-B5CD-74907C563204}" type="TxLink">
            <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rPr>
            <a:pPr marL="0" indent="0"/>
            <a:t>EGP 360,336,467 </a:t>
          </a:fld>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twoCellAnchor>
    <xdr:from>
      <xdr:col>5</xdr:col>
      <xdr:colOff>96371</xdr:colOff>
      <xdr:row>8</xdr:row>
      <xdr:rowOff>147918</xdr:rowOff>
    </xdr:from>
    <xdr:to>
      <xdr:col>8</xdr:col>
      <xdr:colOff>209550</xdr:colOff>
      <xdr:row>10</xdr:row>
      <xdr:rowOff>85166</xdr:rowOff>
    </xdr:to>
    <xdr:sp macro="" textlink="$M$13">
      <xdr:nvSpPr>
        <xdr:cNvPr id="9" name="TextBox 8">
          <a:extLst>
            <a:ext uri="{FF2B5EF4-FFF2-40B4-BE49-F238E27FC236}">
              <a16:creationId xmlns:a16="http://schemas.microsoft.com/office/drawing/2014/main" id="{00000000-0008-0000-2200-000009000000}"/>
            </a:ext>
          </a:extLst>
        </xdr:cNvPr>
        <xdr:cNvSpPr txBox="1"/>
      </xdr:nvSpPr>
      <xdr:spPr>
        <a:xfrm>
          <a:off x="4373096" y="1671918"/>
          <a:ext cx="3189754" cy="318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00A2BC-5593-41B5-B4D9-16DCFD4E60EF}" type="TxLink">
            <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rPr>
            <a:pPr marL="0" indent="0"/>
            <a:t>TOTAL SALES VALUE (SEMI)</a:t>
          </a:fld>
          <a:endParaRPr lang="en-US" sz="1400" b="0" i="0" u="none" strike="noStrike" cap="none" spc="0">
            <a:ln w="0"/>
            <a:solidFill>
              <a:srgbClr val="000000"/>
            </a:solidFill>
            <a:effectLst>
              <a:outerShdw blurRad="38100" dist="25400" dir="5400000" algn="ctr" rotWithShape="0">
                <a:srgbClr val="6E747A">
                  <a:alpha val="43000"/>
                </a:srgbClr>
              </a:outerShdw>
            </a:effectLst>
            <a:latin typeface="Calibri"/>
            <a:ea typeface="+mn-ea"/>
            <a:cs typeface="Calibri"/>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66674</xdr:colOff>
      <xdr:row>15</xdr:row>
      <xdr:rowOff>128587</xdr:rowOff>
    </xdr:from>
    <xdr:to>
      <xdr:col>11</xdr:col>
      <xdr:colOff>738187</xdr:colOff>
      <xdr:row>38</xdr:row>
      <xdr:rowOff>47625</xdr:rowOff>
    </xdr:to>
    <xdr:graphicFrame macro="">
      <xdr:nvGraphicFramePr>
        <xdr:cNvPr id="2" name="Chart 1">
          <a:extLst>
            <a:ext uri="{FF2B5EF4-FFF2-40B4-BE49-F238E27FC236}">
              <a16:creationId xmlns:a16="http://schemas.microsoft.com/office/drawing/2014/main" id="{00000000-0008-0000-2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editAs="oneCell">
    <xdr:from>
      <xdr:col>10</xdr:col>
      <xdr:colOff>371475</xdr:colOff>
      <xdr:row>851</xdr:row>
      <xdr:rowOff>19050</xdr:rowOff>
    </xdr:from>
    <xdr:to>
      <xdr:col>14</xdr:col>
      <xdr:colOff>828675</xdr:colOff>
      <xdr:row>862</xdr:row>
      <xdr:rowOff>115209</xdr:rowOff>
    </xdr:to>
    <xdr:pic>
      <xdr:nvPicPr>
        <xdr:cNvPr id="2" name="Picture 1" descr="Ordinary Annuity Present Value Formulas">
          <a:extLst>
            <a:ext uri="{FF2B5EF4-FFF2-40B4-BE49-F238E27FC236}">
              <a16:creationId xmlns:a16="http://schemas.microsoft.com/office/drawing/2014/main" id="{00000000-0008-0000-2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5" y="162134550"/>
          <a:ext cx="4714875" cy="21916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619125</xdr:colOff>
      <xdr:row>872</xdr:row>
      <xdr:rowOff>76200</xdr:rowOff>
    </xdr:from>
    <xdr:to>
      <xdr:col>5</xdr:col>
      <xdr:colOff>733425</xdr:colOff>
      <xdr:row>875</xdr:row>
      <xdr:rowOff>161925</xdr:rowOff>
    </xdr:to>
    <xdr:sp macro="" textlink="">
      <xdr:nvSpPr>
        <xdr:cNvPr id="3" name="TextBox 2">
          <a:extLst>
            <a:ext uri="{FF2B5EF4-FFF2-40B4-BE49-F238E27FC236}">
              <a16:creationId xmlns:a16="http://schemas.microsoft.com/office/drawing/2014/main" id="{00000000-0008-0000-2400-000003000000}"/>
            </a:ext>
          </a:extLst>
        </xdr:cNvPr>
        <xdr:cNvSpPr txBox="1"/>
      </xdr:nvSpPr>
      <xdr:spPr>
        <a:xfrm>
          <a:off x="3057525" y="166211250"/>
          <a:ext cx="1047750"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write down the unit number</a:t>
          </a:r>
        </a:p>
      </xdr:txBody>
    </xdr:sp>
    <xdr:clientData/>
  </xdr:twoCellAnchor>
  <xdr:twoCellAnchor>
    <xdr:from>
      <xdr:col>5</xdr:col>
      <xdr:colOff>209550</xdr:colOff>
      <xdr:row>875</xdr:row>
      <xdr:rowOff>161925</xdr:rowOff>
    </xdr:from>
    <xdr:to>
      <xdr:col>5</xdr:col>
      <xdr:colOff>1028700</xdr:colOff>
      <xdr:row>876</xdr:row>
      <xdr:rowOff>104775</xdr:rowOff>
    </xdr:to>
    <xdr:cxnSp macro="">
      <xdr:nvCxnSpPr>
        <xdr:cNvPr id="5" name="Straight Arrow Connector 4">
          <a:extLst>
            <a:ext uri="{FF2B5EF4-FFF2-40B4-BE49-F238E27FC236}">
              <a16:creationId xmlns:a16="http://schemas.microsoft.com/office/drawing/2014/main" id="{00000000-0008-0000-2400-000005000000}"/>
            </a:ext>
          </a:extLst>
        </xdr:cNvPr>
        <xdr:cNvCxnSpPr>
          <a:stCxn id="3" idx="2"/>
        </xdr:cNvCxnSpPr>
      </xdr:nvCxnSpPr>
      <xdr:spPr>
        <a:xfrm>
          <a:off x="3581400" y="166868475"/>
          <a:ext cx="819150" cy="1428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1000125</xdr:colOff>
      <xdr:row>870</xdr:row>
      <xdr:rowOff>180975</xdr:rowOff>
    </xdr:from>
    <xdr:to>
      <xdr:col>9</xdr:col>
      <xdr:colOff>19049</xdr:colOff>
      <xdr:row>874</xdr:row>
      <xdr:rowOff>76200</xdr:rowOff>
    </xdr:to>
    <xdr:sp macro="" textlink="">
      <xdr:nvSpPr>
        <xdr:cNvPr id="6" name="TextBox 5">
          <a:extLst>
            <a:ext uri="{FF2B5EF4-FFF2-40B4-BE49-F238E27FC236}">
              <a16:creationId xmlns:a16="http://schemas.microsoft.com/office/drawing/2014/main" id="{00000000-0008-0000-2400-000006000000}"/>
            </a:ext>
          </a:extLst>
        </xdr:cNvPr>
        <xdr:cNvSpPr txBox="1"/>
      </xdr:nvSpPr>
      <xdr:spPr>
        <a:xfrm>
          <a:off x="6553200" y="165935025"/>
          <a:ext cx="1866899"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 copy the blue value and paste it</a:t>
          </a:r>
          <a:r>
            <a:rPr lang="en-US" sz="1100" baseline="0"/>
            <a:t> as value in the other blue value (Basic or Fully)</a:t>
          </a:r>
          <a:endParaRPr lang="en-US" sz="1100"/>
        </a:p>
      </xdr:txBody>
    </xdr:sp>
    <xdr:clientData/>
  </xdr:twoCellAnchor>
  <xdr:twoCellAnchor>
    <xdr:from>
      <xdr:col>8</xdr:col>
      <xdr:colOff>9525</xdr:colOff>
      <xdr:row>874</xdr:row>
      <xdr:rowOff>76200</xdr:rowOff>
    </xdr:from>
    <xdr:to>
      <xdr:col>8</xdr:col>
      <xdr:colOff>209550</xdr:colOff>
      <xdr:row>875</xdr:row>
      <xdr:rowOff>161925</xdr:rowOff>
    </xdr:to>
    <xdr:cxnSp macro="">
      <xdr:nvCxnSpPr>
        <xdr:cNvPr id="7" name="Straight Arrow Connector 6">
          <a:extLst>
            <a:ext uri="{FF2B5EF4-FFF2-40B4-BE49-F238E27FC236}">
              <a16:creationId xmlns:a16="http://schemas.microsoft.com/office/drawing/2014/main" id="{00000000-0008-0000-2400-000007000000}"/>
            </a:ext>
          </a:extLst>
        </xdr:cNvPr>
        <xdr:cNvCxnSpPr>
          <a:stCxn id="6" idx="2"/>
        </xdr:cNvCxnSpPr>
      </xdr:nvCxnSpPr>
      <xdr:spPr>
        <a:xfrm flipH="1">
          <a:off x="7286625" y="166592250"/>
          <a:ext cx="200025" cy="276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9525</xdr:colOff>
      <xdr:row>876</xdr:row>
      <xdr:rowOff>104775</xdr:rowOff>
    </xdr:from>
    <xdr:to>
      <xdr:col>9</xdr:col>
      <xdr:colOff>9525</xdr:colOff>
      <xdr:row>876</xdr:row>
      <xdr:rowOff>257175</xdr:rowOff>
    </xdr:to>
    <xdr:cxnSp macro="">
      <xdr:nvCxnSpPr>
        <xdr:cNvPr id="10" name="Straight Arrow Connector 9">
          <a:extLst>
            <a:ext uri="{FF2B5EF4-FFF2-40B4-BE49-F238E27FC236}">
              <a16:creationId xmlns:a16="http://schemas.microsoft.com/office/drawing/2014/main" id="{00000000-0008-0000-2400-00000A000000}"/>
            </a:ext>
          </a:extLst>
        </xdr:cNvPr>
        <xdr:cNvCxnSpPr/>
      </xdr:nvCxnSpPr>
      <xdr:spPr>
        <a:xfrm>
          <a:off x="7286625" y="167011350"/>
          <a:ext cx="1123950" cy="152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874</xdr:row>
      <xdr:rowOff>76200</xdr:rowOff>
    </xdr:from>
    <xdr:to>
      <xdr:col>8</xdr:col>
      <xdr:colOff>209550</xdr:colOff>
      <xdr:row>878</xdr:row>
      <xdr:rowOff>180975</xdr:rowOff>
    </xdr:to>
    <xdr:cxnSp macro="">
      <xdr:nvCxnSpPr>
        <xdr:cNvPr id="13" name="Straight Arrow Connector 12">
          <a:extLst>
            <a:ext uri="{FF2B5EF4-FFF2-40B4-BE49-F238E27FC236}">
              <a16:creationId xmlns:a16="http://schemas.microsoft.com/office/drawing/2014/main" id="{00000000-0008-0000-2400-00000D000000}"/>
            </a:ext>
          </a:extLst>
        </xdr:cNvPr>
        <xdr:cNvCxnSpPr>
          <a:stCxn id="6" idx="2"/>
        </xdr:cNvCxnSpPr>
      </xdr:nvCxnSpPr>
      <xdr:spPr>
        <a:xfrm flipH="1">
          <a:off x="7324725" y="166592250"/>
          <a:ext cx="161925" cy="885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28575</xdr:colOff>
      <xdr:row>876</xdr:row>
      <xdr:rowOff>352425</xdr:rowOff>
    </xdr:from>
    <xdr:to>
      <xdr:col>9</xdr:col>
      <xdr:colOff>0</xdr:colOff>
      <xdr:row>879</xdr:row>
      <xdr:rowOff>47625</xdr:rowOff>
    </xdr:to>
    <xdr:cxnSp macro="">
      <xdr:nvCxnSpPr>
        <xdr:cNvPr id="16" name="Straight Arrow Connector 15">
          <a:extLst>
            <a:ext uri="{FF2B5EF4-FFF2-40B4-BE49-F238E27FC236}">
              <a16:creationId xmlns:a16="http://schemas.microsoft.com/office/drawing/2014/main" id="{00000000-0008-0000-2400-000010000000}"/>
            </a:ext>
          </a:extLst>
        </xdr:cNvPr>
        <xdr:cNvCxnSpPr/>
      </xdr:nvCxnSpPr>
      <xdr:spPr>
        <a:xfrm flipV="1">
          <a:off x="7305675" y="167259000"/>
          <a:ext cx="1095375" cy="6762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619125</xdr:colOff>
      <xdr:row>925</xdr:row>
      <xdr:rowOff>76200</xdr:rowOff>
    </xdr:from>
    <xdr:to>
      <xdr:col>5</xdr:col>
      <xdr:colOff>733425</xdr:colOff>
      <xdr:row>928</xdr:row>
      <xdr:rowOff>161925</xdr:rowOff>
    </xdr:to>
    <xdr:sp macro="" textlink="">
      <xdr:nvSpPr>
        <xdr:cNvPr id="21" name="TextBox 20">
          <a:extLst>
            <a:ext uri="{FF2B5EF4-FFF2-40B4-BE49-F238E27FC236}">
              <a16:creationId xmlns:a16="http://schemas.microsoft.com/office/drawing/2014/main" id="{00000000-0008-0000-2400-000015000000}"/>
            </a:ext>
          </a:extLst>
        </xdr:cNvPr>
        <xdr:cNvSpPr txBox="1"/>
      </xdr:nvSpPr>
      <xdr:spPr>
        <a:xfrm>
          <a:off x="3057525" y="166211250"/>
          <a:ext cx="1047750"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write down the unit number</a:t>
          </a:r>
        </a:p>
      </xdr:txBody>
    </xdr:sp>
    <xdr:clientData/>
  </xdr:twoCellAnchor>
  <xdr:twoCellAnchor>
    <xdr:from>
      <xdr:col>5</xdr:col>
      <xdr:colOff>209550</xdr:colOff>
      <xdr:row>928</xdr:row>
      <xdr:rowOff>161925</xdr:rowOff>
    </xdr:from>
    <xdr:to>
      <xdr:col>5</xdr:col>
      <xdr:colOff>1028700</xdr:colOff>
      <xdr:row>929</xdr:row>
      <xdr:rowOff>104775</xdr:rowOff>
    </xdr:to>
    <xdr:cxnSp macro="">
      <xdr:nvCxnSpPr>
        <xdr:cNvPr id="22" name="Straight Arrow Connector 21">
          <a:extLst>
            <a:ext uri="{FF2B5EF4-FFF2-40B4-BE49-F238E27FC236}">
              <a16:creationId xmlns:a16="http://schemas.microsoft.com/office/drawing/2014/main" id="{00000000-0008-0000-2400-000016000000}"/>
            </a:ext>
          </a:extLst>
        </xdr:cNvPr>
        <xdr:cNvCxnSpPr>
          <a:cxnSpLocks/>
          <a:stCxn id="21" idx="2"/>
        </xdr:cNvCxnSpPr>
      </xdr:nvCxnSpPr>
      <xdr:spPr>
        <a:xfrm>
          <a:off x="3581400" y="166868475"/>
          <a:ext cx="819150" cy="1428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1000125</xdr:colOff>
      <xdr:row>923</xdr:row>
      <xdr:rowOff>180975</xdr:rowOff>
    </xdr:from>
    <xdr:to>
      <xdr:col>9</xdr:col>
      <xdr:colOff>19049</xdr:colOff>
      <xdr:row>927</xdr:row>
      <xdr:rowOff>76200</xdr:rowOff>
    </xdr:to>
    <xdr:sp macro="" textlink="">
      <xdr:nvSpPr>
        <xdr:cNvPr id="23" name="TextBox 22">
          <a:extLst>
            <a:ext uri="{FF2B5EF4-FFF2-40B4-BE49-F238E27FC236}">
              <a16:creationId xmlns:a16="http://schemas.microsoft.com/office/drawing/2014/main" id="{00000000-0008-0000-2400-000017000000}"/>
            </a:ext>
          </a:extLst>
        </xdr:cNvPr>
        <xdr:cNvSpPr txBox="1"/>
      </xdr:nvSpPr>
      <xdr:spPr>
        <a:xfrm>
          <a:off x="6553200" y="165935025"/>
          <a:ext cx="1866899"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 copy the blue value and paste it</a:t>
          </a:r>
          <a:r>
            <a:rPr lang="en-US" sz="1100" baseline="0"/>
            <a:t> as value in the other blue value (Basic or Fully)</a:t>
          </a:r>
          <a:endParaRPr lang="en-US" sz="1100"/>
        </a:p>
      </xdr:txBody>
    </xdr:sp>
    <xdr:clientData/>
  </xdr:twoCellAnchor>
  <xdr:twoCellAnchor>
    <xdr:from>
      <xdr:col>8</xdr:col>
      <xdr:colOff>9525</xdr:colOff>
      <xdr:row>927</xdr:row>
      <xdr:rowOff>76200</xdr:rowOff>
    </xdr:from>
    <xdr:to>
      <xdr:col>8</xdr:col>
      <xdr:colOff>209550</xdr:colOff>
      <xdr:row>928</xdr:row>
      <xdr:rowOff>161925</xdr:rowOff>
    </xdr:to>
    <xdr:cxnSp macro="">
      <xdr:nvCxnSpPr>
        <xdr:cNvPr id="24" name="Straight Arrow Connector 23">
          <a:extLst>
            <a:ext uri="{FF2B5EF4-FFF2-40B4-BE49-F238E27FC236}">
              <a16:creationId xmlns:a16="http://schemas.microsoft.com/office/drawing/2014/main" id="{00000000-0008-0000-2400-000018000000}"/>
            </a:ext>
          </a:extLst>
        </xdr:cNvPr>
        <xdr:cNvCxnSpPr>
          <a:cxnSpLocks/>
          <a:stCxn id="23" idx="2"/>
        </xdr:cNvCxnSpPr>
      </xdr:nvCxnSpPr>
      <xdr:spPr>
        <a:xfrm flipH="1">
          <a:off x="7286625" y="166592250"/>
          <a:ext cx="200025" cy="276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9525</xdr:colOff>
      <xdr:row>929</xdr:row>
      <xdr:rowOff>104775</xdr:rowOff>
    </xdr:from>
    <xdr:to>
      <xdr:col>9</xdr:col>
      <xdr:colOff>47625</xdr:colOff>
      <xdr:row>929</xdr:row>
      <xdr:rowOff>123825</xdr:rowOff>
    </xdr:to>
    <xdr:cxnSp macro="">
      <xdr:nvCxnSpPr>
        <xdr:cNvPr id="25" name="Straight Arrow Connector 24">
          <a:extLst>
            <a:ext uri="{FF2B5EF4-FFF2-40B4-BE49-F238E27FC236}">
              <a16:creationId xmlns:a16="http://schemas.microsoft.com/office/drawing/2014/main" id="{00000000-0008-0000-2400-000019000000}"/>
            </a:ext>
          </a:extLst>
        </xdr:cNvPr>
        <xdr:cNvCxnSpPr/>
      </xdr:nvCxnSpPr>
      <xdr:spPr>
        <a:xfrm>
          <a:off x="7286625" y="167011350"/>
          <a:ext cx="1162050" cy="19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927</xdr:row>
      <xdr:rowOff>76200</xdr:rowOff>
    </xdr:from>
    <xdr:to>
      <xdr:col>8</xdr:col>
      <xdr:colOff>209550</xdr:colOff>
      <xdr:row>931</xdr:row>
      <xdr:rowOff>180975</xdr:rowOff>
    </xdr:to>
    <xdr:cxnSp macro="">
      <xdr:nvCxnSpPr>
        <xdr:cNvPr id="26" name="Straight Arrow Connector 25">
          <a:extLst>
            <a:ext uri="{FF2B5EF4-FFF2-40B4-BE49-F238E27FC236}">
              <a16:creationId xmlns:a16="http://schemas.microsoft.com/office/drawing/2014/main" id="{00000000-0008-0000-2400-00001A000000}"/>
            </a:ext>
          </a:extLst>
        </xdr:cNvPr>
        <xdr:cNvCxnSpPr>
          <a:cxnSpLocks/>
          <a:stCxn id="23" idx="2"/>
        </xdr:cNvCxnSpPr>
      </xdr:nvCxnSpPr>
      <xdr:spPr>
        <a:xfrm flipH="1">
          <a:off x="7324725" y="166592250"/>
          <a:ext cx="161925" cy="885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28575</xdr:colOff>
      <xdr:row>929</xdr:row>
      <xdr:rowOff>180975</xdr:rowOff>
    </xdr:from>
    <xdr:to>
      <xdr:col>9</xdr:col>
      <xdr:colOff>38100</xdr:colOff>
      <xdr:row>932</xdr:row>
      <xdr:rowOff>47625</xdr:rowOff>
    </xdr:to>
    <xdr:cxnSp macro="">
      <xdr:nvCxnSpPr>
        <xdr:cNvPr id="27" name="Straight Arrow Connector 26">
          <a:extLst>
            <a:ext uri="{FF2B5EF4-FFF2-40B4-BE49-F238E27FC236}">
              <a16:creationId xmlns:a16="http://schemas.microsoft.com/office/drawing/2014/main" id="{00000000-0008-0000-2400-00001B000000}"/>
            </a:ext>
          </a:extLst>
        </xdr:cNvPr>
        <xdr:cNvCxnSpPr/>
      </xdr:nvCxnSpPr>
      <xdr:spPr>
        <a:xfrm flipV="1">
          <a:off x="7305675" y="167087550"/>
          <a:ext cx="1133475" cy="457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95250</xdr:colOff>
      <xdr:row>921</xdr:row>
      <xdr:rowOff>171450</xdr:rowOff>
    </xdr:from>
    <xdr:to>
      <xdr:col>11</xdr:col>
      <xdr:colOff>209550</xdr:colOff>
      <xdr:row>925</xdr:row>
      <xdr:rowOff>47625</xdr:rowOff>
    </xdr:to>
    <xdr:sp macro="" textlink="">
      <xdr:nvSpPr>
        <xdr:cNvPr id="32" name="TextBox 31">
          <a:extLst>
            <a:ext uri="{FF2B5EF4-FFF2-40B4-BE49-F238E27FC236}">
              <a16:creationId xmlns:a16="http://schemas.microsoft.com/office/drawing/2014/main" id="{00000000-0008-0000-2400-000020000000}"/>
            </a:ext>
          </a:extLst>
        </xdr:cNvPr>
        <xdr:cNvSpPr txBox="1"/>
      </xdr:nvSpPr>
      <xdr:spPr>
        <a:xfrm>
          <a:off x="10153650" y="176212500"/>
          <a:ext cx="1238250"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 write down the Down Payment full date</a:t>
          </a:r>
        </a:p>
      </xdr:txBody>
    </xdr:sp>
    <xdr:clientData/>
  </xdr:twoCellAnchor>
  <xdr:twoCellAnchor>
    <xdr:from>
      <xdr:col>10</xdr:col>
      <xdr:colOff>714375</xdr:colOff>
      <xdr:row>925</xdr:row>
      <xdr:rowOff>47625</xdr:rowOff>
    </xdr:from>
    <xdr:to>
      <xdr:col>10</xdr:col>
      <xdr:colOff>762000</xdr:colOff>
      <xdr:row>927</xdr:row>
      <xdr:rowOff>47625</xdr:rowOff>
    </xdr:to>
    <xdr:cxnSp macro="">
      <xdr:nvCxnSpPr>
        <xdr:cNvPr id="33" name="Straight Arrow Connector 32">
          <a:extLst>
            <a:ext uri="{FF2B5EF4-FFF2-40B4-BE49-F238E27FC236}">
              <a16:creationId xmlns:a16="http://schemas.microsoft.com/office/drawing/2014/main" id="{00000000-0008-0000-2400-000021000000}"/>
            </a:ext>
          </a:extLst>
        </xdr:cNvPr>
        <xdr:cNvCxnSpPr>
          <a:cxnSpLocks/>
          <a:stCxn id="32" idx="2"/>
        </xdr:cNvCxnSpPr>
      </xdr:nvCxnSpPr>
      <xdr:spPr>
        <a:xfrm>
          <a:off x="10772775" y="176869725"/>
          <a:ext cx="47625" cy="381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190500</xdr:colOff>
      <xdr:row>905</xdr:row>
      <xdr:rowOff>161926</xdr:rowOff>
    </xdr:from>
    <xdr:to>
      <xdr:col>22</xdr:col>
      <xdr:colOff>561974</xdr:colOff>
      <xdr:row>912</xdr:row>
      <xdr:rowOff>28576</xdr:rowOff>
    </xdr:to>
    <xdr:sp macro="" textlink="">
      <xdr:nvSpPr>
        <xdr:cNvPr id="48" name="TextBox 47">
          <a:extLst>
            <a:ext uri="{FF2B5EF4-FFF2-40B4-BE49-F238E27FC236}">
              <a16:creationId xmlns:a16="http://schemas.microsoft.com/office/drawing/2014/main" id="{00000000-0008-0000-2400-000030000000}"/>
            </a:ext>
          </a:extLst>
        </xdr:cNvPr>
        <xdr:cNvSpPr txBox="1"/>
      </xdr:nvSpPr>
      <xdr:spPr>
        <a:xfrm>
          <a:off x="23850600" y="173535976"/>
          <a:ext cx="1866899" cy="1200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 Make a Goal Seek for Cell U918  to value equal to the present</a:t>
          </a:r>
          <a:r>
            <a:rPr lang="en-US" sz="1100" baseline="0"/>
            <a:t> value in cell no. V918 by writing the value by changing the cell of Down payment value cell no. T878</a:t>
          </a:r>
          <a:endParaRPr lang="en-US" sz="1100"/>
        </a:p>
      </xdr:txBody>
    </xdr:sp>
    <xdr:clientData/>
  </xdr:twoCellAnchor>
  <xdr:twoCellAnchor>
    <xdr:from>
      <xdr:col>21</xdr:col>
      <xdr:colOff>0</xdr:colOff>
      <xdr:row>912</xdr:row>
      <xdr:rowOff>28576</xdr:rowOff>
    </xdr:from>
    <xdr:to>
      <xdr:col>21</xdr:col>
      <xdr:colOff>1123950</xdr:colOff>
      <xdr:row>917</xdr:row>
      <xdr:rowOff>123825</xdr:rowOff>
    </xdr:to>
    <xdr:cxnSp macro="">
      <xdr:nvCxnSpPr>
        <xdr:cNvPr id="49" name="Straight Arrow Connector 48">
          <a:extLst>
            <a:ext uri="{FF2B5EF4-FFF2-40B4-BE49-F238E27FC236}">
              <a16:creationId xmlns:a16="http://schemas.microsoft.com/office/drawing/2014/main" id="{00000000-0008-0000-2400-000031000000}"/>
            </a:ext>
          </a:extLst>
        </xdr:cNvPr>
        <xdr:cNvCxnSpPr>
          <a:stCxn id="48" idx="2"/>
        </xdr:cNvCxnSpPr>
      </xdr:nvCxnSpPr>
      <xdr:spPr>
        <a:xfrm flipH="1">
          <a:off x="23660100" y="174736126"/>
          <a:ext cx="1123950" cy="10572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171450</xdr:colOff>
      <xdr:row>889</xdr:row>
      <xdr:rowOff>180975</xdr:rowOff>
    </xdr:from>
    <xdr:to>
      <xdr:col>22</xdr:col>
      <xdr:colOff>542924</xdr:colOff>
      <xdr:row>895</xdr:row>
      <xdr:rowOff>38101</xdr:rowOff>
    </xdr:to>
    <xdr:sp macro="" textlink="">
      <xdr:nvSpPr>
        <xdr:cNvPr id="51" name="TextBox 50">
          <a:extLst>
            <a:ext uri="{FF2B5EF4-FFF2-40B4-BE49-F238E27FC236}">
              <a16:creationId xmlns:a16="http://schemas.microsoft.com/office/drawing/2014/main" id="{00000000-0008-0000-2400-000033000000}"/>
            </a:ext>
          </a:extLst>
        </xdr:cNvPr>
        <xdr:cNvSpPr txBox="1"/>
      </xdr:nvSpPr>
      <xdr:spPr>
        <a:xfrm>
          <a:off x="23831550" y="170507025"/>
          <a:ext cx="1866899" cy="1000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Make all the chnges you want for</a:t>
          </a:r>
          <a:r>
            <a:rPr lang="en-US" sz="1100" baseline="0"/>
            <a:t> the Installments Values and the Dates Within the 7 Years from Down Payment</a:t>
          </a:r>
          <a:endParaRPr lang="en-US" sz="1100"/>
        </a:p>
      </xdr:txBody>
    </xdr:sp>
    <xdr:clientData/>
  </xdr:twoCellAnchor>
  <xdr:twoCellAnchor>
    <xdr:from>
      <xdr:col>20</xdr:col>
      <xdr:colOff>352425</xdr:colOff>
      <xdr:row>895</xdr:row>
      <xdr:rowOff>38101</xdr:rowOff>
    </xdr:from>
    <xdr:to>
      <xdr:col>21</xdr:col>
      <xdr:colOff>1104900</xdr:colOff>
      <xdr:row>900</xdr:row>
      <xdr:rowOff>95250</xdr:rowOff>
    </xdr:to>
    <xdr:cxnSp macro="">
      <xdr:nvCxnSpPr>
        <xdr:cNvPr id="52" name="Straight Arrow Connector 51">
          <a:extLst>
            <a:ext uri="{FF2B5EF4-FFF2-40B4-BE49-F238E27FC236}">
              <a16:creationId xmlns:a16="http://schemas.microsoft.com/office/drawing/2014/main" id="{00000000-0008-0000-2400-000034000000}"/>
            </a:ext>
          </a:extLst>
        </xdr:cNvPr>
        <xdr:cNvCxnSpPr>
          <a:stCxn id="51" idx="2"/>
        </xdr:cNvCxnSpPr>
      </xdr:nvCxnSpPr>
      <xdr:spPr>
        <a:xfrm flipH="1">
          <a:off x="22564725" y="171507151"/>
          <a:ext cx="2200275" cy="10096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28574</xdr:colOff>
      <xdr:row>887</xdr:row>
      <xdr:rowOff>85725</xdr:rowOff>
    </xdr:from>
    <xdr:to>
      <xdr:col>20</xdr:col>
      <xdr:colOff>342899</xdr:colOff>
      <xdr:row>914</xdr:row>
      <xdr:rowOff>114300</xdr:rowOff>
    </xdr:to>
    <xdr:sp macro="" textlink="">
      <xdr:nvSpPr>
        <xdr:cNvPr id="54" name="Right Brace 53">
          <a:extLst>
            <a:ext uri="{FF2B5EF4-FFF2-40B4-BE49-F238E27FC236}">
              <a16:creationId xmlns:a16="http://schemas.microsoft.com/office/drawing/2014/main" id="{00000000-0008-0000-2400-000036000000}"/>
            </a:ext>
          </a:extLst>
        </xdr:cNvPr>
        <xdr:cNvSpPr/>
      </xdr:nvSpPr>
      <xdr:spPr>
        <a:xfrm>
          <a:off x="22240874" y="170030775"/>
          <a:ext cx="314325" cy="517207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n w="76200">
              <a:solidFill>
                <a:schemeClr val="tx1"/>
              </a:solidFill>
            </a:ln>
          </a:endParaRPr>
        </a:p>
      </xdr:txBody>
    </xdr:sp>
    <xdr:clientData/>
  </xdr:twoCellAnchor>
  <xdr:twoCellAnchor>
    <xdr:from>
      <xdr:col>16</xdr:col>
      <xdr:colOff>1495424</xdr:colOff>
      <xdr:row>887</xdr:row>
      <xdr:rowOff>95250</xdr:rowOff>
    </xdr:from>
    <xdr:to>
      <xdr:col>17</xdr:col>
      <xdr:colOff>66674</xdr:colOff>
      <xdr:row>914</xdr:row>
      <xdr:rowOff>123825</xdr:rowOff>
    </xdr:to>
    <xdr:sp macro="" textlink="">
      <xdr:nvSpPr>
        <xdr:cNvPr id="55" name="Right Brace 54">
          <a:extLst>
            <a:ext uri="{FF2B5EF4-FFF2-40B4-BE49-F238E27FC236}">
              <a16:creationId xmlns:a16="http://schemas.microsoft.com/office/drawing/2014/main" id="{00000000-0008-0000-2400-000037000000}"/>
            </a:ext>
          </a:extLst>
        </xdr:cNvPr>
        <xdr:cNvSpPr/>
      </xdr:nvSpPr>
      <xdr:spPr>
        <a:xfrm rot="10800000">
          <a:off x="18059399" y="170040300"/>
          <a:ext cx="314325" cy="517207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n w="76200">
              <a:solidFill>
                <a:schemeClr val="tx1"/>
              </a:solidFill>
            </a:ln>
          </a:endParaRPr>
        </a:p>
      </xdr:txBody>
    </xdr:sp>
    <xdr:clientData/>
  </xdr:twoCellAnchor>
  <xdr:twoCellAnchor>
    <xdr:from>
      <xdr:col>20</xdr:col>
      <xdr:colOff>1038224</xdr:colOff>
      <xdr:row>876</xdr:row>
      <xdr:rowOff>133350</xdr:rowOff>
    </xdr:from>
    <xdr:to>
      <xdr:col>21</xdr:col>
      <xdr:colOff>990599</xdr:colOff>
      <xdr:row>880</xdr:row>
      <xdr:rowOff>57150</xdr:rowOff>
    </xdr:to>
    <xdr:sp macro="" textlink="">
      <xdr:nvSpPr>
        <xdr:cNvPr id="59" name="TextBox 58">
          <a:extLst>
            <a:ext uri="{FF2B5EF4-FFF2-40B4-BE49-F238E27FC236}">
              <a16:creationId xmlns:a16="http://schemas.microsoft.com/office/drawing/2014/main" id="{00000000-0008-0000-2400-00003B000000}"/>
            </a:ext>
          </a:extLst>
        </xdr:cNvPr>
        <xdr:cNvSpPr txBox="1"/>
      </xdr:nvSpPr>
      <xdr:spPr>
        <a:xfrm>
          <a:off x="23250524" y="167039925"/>
          <a:ext cx="1400175"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 You will get the new Value of</a:t>
          </a:r>
          <a:r>
            <a:rPr lang="en-US" sz="1100" baseline="0"/>
            <a:t> the Down Payment and it's % and the Unit new Value</a:t>
          </a:r>
          <a:endParaRPr lang="en-US" sz="1100"/>
        </a:p>
      </xdr:txBody>
    </xdr:sp>
    <xdr:clientData/>
  </xdr:twoCellAnchor>
  <xdr:twoCellAnchor>
    <xdr:from>
      <xdr:col>20</xdr:col>
      <xdr:colOff>0</xdr:colOff>
      <xdr:row>877</xdr:row>
      <xdr:rowOff>104775</xdr:rowOff>
    </xdr:from>
    <xdr:to>
      <xdr:col>20</xdr:col>
      <xdr:colOff>1038224</xdr:colOff>
      <xdr:row>877</xdr:row>
      <xdr:rowOff>152400</xdr:rowOff>
    </xdr:to>
    <xdr:cxnSp macro="">
      <xdr:nvCxnSpPr>
        <xdr:cNvPr id="60" name="Straight Arrow Connector 59">
          <a:extLst>
            <a:ext uri="{FF2B5EF4-FFF2-40B4-BE49-F238E27FC236}">
              <a16:creationId xmlns:a16="http://schemas.microsoft.com/office/drawing/2014/main" id="{00000000-0008-0000-2400-00003C000000}"/>
            </a:ext>
          </a:extLst>
        </xdr:cNvPr>
        <xdr:cNvCxnSpPr>
          <a:endCxn id="59" idx="1"/>
        </xdr:cNvCxnSpPr>
      </xdr:nvCxnSpPr>
      <xdr:spPr>
        <a:xfrm flipV="1">
          <a:off x="22212300" y="167592375"/>
          <a:ext cx="1038224" cy="47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38100</xdr:colOff>
      <xdr:row>875</xdr:row>
      <xdr:rowOff>180975</xdr:rowOff>
    </xdr:from>
    <xdr:to>
      <xdr:col>20</xdr:col>
      <xdr:colOff>1038224</xdr:colOff>
      <xdr:row>877</xdr:row>
      <xdr:rowOff>104775</xdr:rowOff>
    </xdr:to>
    <xdr:cxnSp macro="">
      <xdr:nvCxnSpPr>
        <xdr:cNvPr id="63" name="Straight Arrow Connector 62">
          <a:extLst>
            <a:ext uri="{FF2B5EF4-FFF2-40B4-BE49-F238E27FC236}">
              <a16:creationId xmlns:a16="http://schemas.microsoft.com/office/drawing/2014/main" id="{00000000-0008-0000-2400-00003F000000}"/>
            </a:ext>
          </a:extLst>
        </xdr:cNvPr>
        <xdr:cNvCxnSpPr>
          <a:endCxn id="59" idx="1"/>
        </xdr:cNvCxnSpPr>
      </xdr:nvCxnSpPr>
      <xdr:spPr>
        <a:xfrm>
          <a:off x="22250400" y="166887525"/>
          <a:ext cx="1000124" cy="7048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47625</xdr:colOff>
      <xdr:row>876</xdr:row>
      <xdr:rowOff>352425</xdr:rowOff>
    </xdr:from>
    <xdr:to>
      <xdr:col>20</xdr:col>
      <xdr:colOff>1038224</xdr:colOff>
      <xdr:row>877</xdr:row>
      <xdr:rowOff>104775</xdr:rowOff>
    </xdr:to>
    <xdr:cxnSp macro="">
      <xdr:nvCxnSpPr>
        <xdr:cNvPr id="68" name="Straight Arrow Connector 67">
          <a:extLst>
            <a:ext uri="{FF2B5EF4-FFF2-40B4-BE49-F238E27FC236}">
              <a16:creationId xmlns:a16="http://schemas.microsoft.com/office/drawing/2014/main" id="{00000000-0008-0000-2400-000044000000}"/>
            </a:ext>
          </a:extLst>
        </xdr:cNvPr>
        <xdr:cNvCxnSpPr>
          <a:endCxn id="59" idx="1"/>
        </xdr:cNvCxnSpPr>
      </xdr:nvCxnSpPr>
      <xdr:spPr>
        <a:xfrm>
          <a:off x="22259925" y="167259000"/>
          <a:ext cx="990599" cy="3333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152400</xdr:colOff>
      <xdr:row>906</xdr:row>
      <xdr:rowOff>57149</xdr:rowOff>
    </xdr:from>
    <xdr:to>
      <xdr:col>32</xdr:col>
      <xdr:colOff>904875</xdr:colOff>
      <xdr:row>911</xdr:row>
      <xdr:rowOff>142874</xdr:rowOff>
    </xdr:to>
    <xdr:sp macro="" textlink="">
      <xdr:nvSpPr>
        <xdr:cNvPr id="73" name="TextBox 72">
          <a:extLst>
            <a:ext uri="{FF2B5EF4-FFF2-40B4-BE49-F238E27FC236}">
              <a16:creationId xmlns:a16="http://schemas.microsoft.com/office/drawing/2014/main" id="{00000000-0008-0000-2400-000049000000}"/>
            </a:ext>
          </a:extLst>
        </xdr:cNvPr>
        <xdr:cNvSpPr txBox="1"/>
      </xdr:nvSpPr>
      <xdr:spPr>
        <a:xfrm>
          <a:off x="34985325" y="173897924"/>
          <a:ext cx="2314575" cy="1038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 Make a Goal Seek for Cell AE918  to value equal to the present</a:t>
          </a:r>
          <a:r>
            <a:rPr lang="en-US" sz="1100" baseline="0"/>
            <a:t> value in cell no. AF918 by writing the value by changing the cell of Installment value cell no. AD884</a:t>
          </a:r>
          <a:endParaRPr lang="en-US" sz="1100"/>
        </a:p>
      </xdr:txBody>
    </xdr:sp>
    <xdr:clientData/>
  </xdr:twoCellAnchor>
  <xdr:twoCellAnchor>
    <xdr:from>
      <xdr:col>31</xdr:col>
      <xdr:colOff>19050</xdr:colOff>
      <xdr:row>911</xdr:row>
      <xdr:rowOff>142874</xdr:rowOff>
    </xdr:from>
    <xdr:to>
      <xdr:col>31</xdr:col>
      <xdr:colOff>1309688</xdr:colOff>
      <xdr:row>917</xdr:row>
      <xdr:rowOff>76200</xdr:rowOff>
    </xdr:to>
    <xdr:cxnSp macro="">
      <xdr:nvCxnSpPr>
        <xdr:cNvPr id="74" name="Straight Arrow Connector 73">
          <a:extLst>
            <a:ext uri="{FF2B5EF4-FFF2-40B4-BE49-F238E27FC236}">
              <a16:creationId xmlns:a16="http://schemas.microsoft.com/office/drawing/2014/main" id="{00000000-0008-0000-2400-00004A000000}"/>
            </a:ext>
          </a:extLst>
        </xdr:cNvPr>
        <xdr:cNvCxnSpPr>
          <a:stCxn id="73" idx="2"/>
        </xdr:cNvCxnSpPr>
      </xdr:nvCxnSpPr>
      <xdr:spPr>
        <a:xfrm flipH="1">
          <a:off x="34851975" y="174936149"/>
          <a:ext cx="1290638" cy="10858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171450</xdr:colOff>
      <xdr:row>889</xdr:row>
      <xdr:rowOff>180975</xdr:rowOff>
    </xdr:from>
    <xdr:to>
      <xdr:col>32</xdr:col>
      <xdr:colOff>542924</xdr:colOff>
      <xdr:row>893</xdr:row>
      <xdr:rowOff>66675</xdr:rowOff>
    </xdr:to>
    <xdr:sp macro="" textlink="">
      <xdr:nvSpPr>
        <xdr:cNvPr id="75" name="TextBox 74">
          <a:extLst>
            <a:ext uri="{FF2B5EF4-FFF2-40B4-BE49-F238E27FC236}">
              <a16:creationId xmlns:a16="http://schemas.microsoft.com/office/drawing/2014/main" id="{00000000-0008-0000-2400-00004B000000}"/>
            </a:ext>
          </a:extLst>
        </xdr:cNvPr>
        <xdr:cNvSpPr txBox="1"/>
      </xdr:nvSpPr>
      <xdr:spPr>
        <a:xfrm>
          <a:off x="36223575" y="170754675"/>
          <a:ext cx="1257299"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(4) You</a:t>
          </a:r>
          <a:r>
            <a:rPr lang="en-US" sz="1100" baseline="0"/>
            <a:t> will get the new Installments Plan</a:t>
          </a:r>
          <a:endParaRPr lang="en-US" sz="1100"/>
        </a:p>
      </xdr:txBody>
    </xdr:sp>
    <xdr:clientData/>
  </xdr:twoCellAnchor>
  <xdr:twoCellAnchor>
    <xdr:from>
      <xdr:col>30</xdr:col>
      <xdr:colOff>342899</xdr:colOff>
      <xdr:row>893</xdr:row>
      <xdr:rowOff>66675</xdr:rowOff>
    </xdr:from>
    <xdr:to>
      <xdr:col>31</xdr:col>
      <xdr:colOff>800100</xdr:colOff>
      <xdr:row>901</xdr:row>
      <xdr:rowOff>4763</xdr:rowOff>
    </xdr:to>
    <xdr:cxnSp macro="">
      <xdr:nvCxnSpPr>
        <xdr:cNvPr id="76" name="Straight Arrow Connector 75">
          <a:extLst>
            <a:ext uri="{FF2B5EF4-FFF2-40B4-BE49-F238E27FC236}">
              <a16:creationId xmlns:a16="http://schemas.microsoft.com/office/drawing/2014/main" id="{00000000-0008-0000-2400-00004C000000}"/>
            </a:ext>
          </a:extLst>
        </xdr:cNvPr>
        <xdr:cNvCxnSpPr>
          <a:stCxn id="75" idx="2"/>
          <a:endCxn id="77" idx="1"/>
        </xdr:cNvCxnSpPr>
      </xdr:nvCxnSpPr>
      <xdr:spPr>
        <a:xfrm flipH="1">
          <a:off x="35423474" y="171402375"/>
          <a:ext cx="1428751" cy="14620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28574</xdr:colOff>
      <xdr:row>887</xdr:row>
      <xdr:rowOff>85725</xdr:rowOff>
    </xdr:from>
    <xdr:to>
      <xdr:col>30</xdr:col>
      <xdr:colOff>342899</xdr:colOff>
      <xdr:row>914</xdr:row>
      <xdr:rowOff>114300</xdr:rowOff>
    </xdr:to>
    <xdr:sp macro="" textlink="">
      <xdr:nvSpPr>
        <xdr:cNvPr id="77" name="Right Brace 76">
          <a:extLst>
            <a:ext uri="{FF2B5EF4-FFF2-40B4-BE49-F238E27FC236}">
              <a16:creationId xmlns:a16="http://schemas.microsoft.com/office/drawing/2014/main" id="{00000000-0008-0000-2400-00004D000000}"/>
            </a:ext>
          </a:extLst>
        </xdr:cNvPr>
        <xdr:cNvSpPr/>
      </xdr:nvSpPr>
      <xdr:spPr>
        <a:xfrm>
          <a:off x="22240874" y="170030775"/>
          <a:ext cx="314325" cy="517207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n w="76200">
              <a:solidFill>
                <a:schemeClr val="tx1"/>
              </a:solidFill>
            </a:ln>
          </a:endParaRPr>
        </a:p>
      </xdr:txBody>
    </xdr:sp>
    <xdr:clientData/>
  </xdr:twoCellAnchor>
  <xdr:twoCellAnchor>
    <xdr:from>
      <xdr:col>28</xdr:col>
      <xdr:colOff>1495425</xdr:colOff>
      <xdr:row>887</xdr:row>
      <xdr:rowOff>66674</xdr:rowOff>
    </xdr:from>
    <xdr:to>
      <xdr:col>29</xdr:col>
      <xdr:colOff>76199</xdr:colOff>
      <xdr:row>914</xdr:row>
      <xdr:rowOff>95249</xdr:rowOff>
    </xdr:to>
    <xdr:sp macro="" textlink="">
      <xdr:nvSpPr>
        <xdr:cNvPr id="78" name="Right Brace 77">
          <a:extLst>
            <a:ext uri="{FF2B5EF4-FFF2-40B4-BE49-F238E27FC236}">
              <a16:creationId xmlns:a16="http://schemas.microsoft.com/office/drawing/2014/main" id="{00000000-0008-0000-2400-00004E000000}"/>
            </a:ext>
          </a:extLst>
        </xdr:cNvPr>
        <xdr:cNvSpPr/>
      </xdr:nvSpPr>
      <xdr:spPr>
        <a:xfrm rot="10800000">
          <a:off x="33966150" y="170259374"/>
          <a:ext cx="238124" cy="517207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n w="76200">
              <a:solidFill>
                <a:schemeClr val="tx1"/>
              </a:solidFill>
            </a:ln>
          </a:endParaRPr>
        </a:p>
      </xdr:txBody>
    </xdr:sp>
    <xdr:clientData/>
  </xdr:twoCellAnchor>
  <xdr:twoCellAnchor>
    <xdr:from>
      <xdr:col>30</xdr:col>
      <xdr:colOff>971549</xdr:colOff>
      <xdr:row>876</xdr:row>
      <xdr:rowOff>133350</xdr:rowOff>
    </xdr:from>
    <xdr:to>
      <xdr:col>32</xdr:col>
      <xdr:colOff>142875</xdr:colOff>
      <xdr:row>881</xdr:row>
      <xdr:rowOff>104775</xdr:rowOff>
    </xdr:to>
    <xdr:sp macro="" textlink="">
      <xdr:nvSpPr>
        <xdr:cNvPr id="79" name="TextBox 78">
          <a:extLst>
            <a:ext uri="{FF2B5EF4-FFF2-40B4-BE49-F238E27FC236}">
              <a16:creationId xmlns:a16="http://schemas.microsoft.com/office/drawing/2014/main" id="{00000000-0008-0000-2400-00004F000000}"/>
            </a:ext>
          </a:extLst>
        </xdr:cNvPr>
        <xdr:cNvSpPr txBox="1"/>
      </xdr:nvSpPr>
      <xdr:spPr>
        <a:xfrm>
          <a:off x="34832924" y="167297100"/>
          <a:ext cx="1028701" cy="1352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 Write</a:t>
          </a:r>
          <a:r>
            <a:rPr lang="en-US" sz="1100" baseline="0"/>
            <a:t> Down the Default Installment Value from cell no. AF883</a:t>
          </a:r>
          <a:endParaRPr lang="en-US" sz="1100"/>
        </a:p>
      </xdr:txBody>
    </xdr:sp>
    <xdr:clientData/>
  </xdr:twoCellAnchor>
  <xdr:twoCellAnchor>
    <xdr:from>
      <xdr:col>30</xdr:col>
      <xdr:colOff>66675</xdr:colOff>
      <xdr:row>873</xdr:row>
      <xdr:rowOff>252413</xdr:rowOff>
    </xdr:from>
    <xdr:to>
      <xdr:col>30</xdr:col>
      <xdr:colOff>771524</xdr:colOff>
      <xdr:row>875</xdr:row>
      <xdr:rowOff>57150</xdr:rowOff>
    </xdr:to>
    <xdr:cxnSp macro="">
      <xdr:nvCxnSpPr>
        <xdr:cNvPr id="81" name="Straight Arrow Connector 80">
          <a:extLst>
            <a:ext uri="{FF2B5EF4-FFF2-40B4-BE49-F238E27FC236}">
              <a16:creationId xmlns:a16="http://schemas.microsoft.com/office/drawing/2014/main" id="{00000000-0008-0000-2400-000051000000}"/>
            </a:ext>
          </a:extLst>
        </xdr:cNvPr>
        <xdr:cNvCxnSpPr>
          <a:stCxn id="89" idx="1"/>
        </xdr:cNvCxnSpPr>
      </xdr:nvCxnSpPr>
      <xdr:spPr>
        <a:xfrm flipH="1">
          <a:off x="35147250" y="166577963"/>
          <a:ext cx="704849" cy="4333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933450</xdr:colOff>
      <xdr:row>878</xdr:row>
      <xdr:rowOff>28575</xdr:rowOff>
    </xdr:from>
    <xdr:to>
      <xdr:col>30</xdr:col>
      <xdr:colOff>971549</xdr:colOff>
      <xdr:row>883</xdr:row>
      <xdr:rowOff>114300</xdr:rowOff>
    </xdr:to>
    <xdr:cxnSp macro="">
      <xdr:nvCxnSpPr>
        <xdr:cNvPr id="82" name="Straight Arrow Connector 81">
          <a:extLst>
            <a:ext uri="{FF2B5EF4-FFF2-40B4-BE49-F238E27FC236}">
              <a16:creationId xmlns:a16="http://schemas.microsoft.com/office/drawing/2014/main" id="{00000000-0008-0000-2400-000052000000}"/>
            </a:ext>
          </a:extLst>
        </xdr:cNvPr>
        <xdr:cNvCxnSpPr>
          <a:stCxn id="79" idx="1"/>
        </xdr:cNvCxnSpPr>
      </xdr:nvCxnSpPr>
      <xdr:spPr>
        <a:xfrm flipH="1">
          <a:off x="33842325" y="167973375"/>
          <a:ext cx="990599" cy="1114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771524</xdr:colOff>
      <xdr:row>873</xdr:row>
      <xdr:rowOff>1</xdr:rowOff>
    </xdr:from>
    <xdr:to>
      <xdr:col>32</xdr:col>
      <xdr:colOff>161924</xdr:colOff>
      <xdr:row>874</xdr:row>
      <xdr:rowOff>66675</xdr:rowOff>
    </xdr:to>
    <xdr:sp macro="" textlink="">
      <xdr:nvSpPr>
        <xdr:cNvPr id="89" name="TextBox 88">
          <a:extLst>
            <a:ext uri="{FF2B5EF4-FFF2-40B4-BE49-F238E27FC236}">
              <a16:creationId xmlns:a16="http://schemas.microsoft.com/office/drawing/2014/main" id="{00000000-0008-0000-2400-000059000000}"/>
            </a:ext>
          </a:extLst>
        </xdr:cNvPr>
        <xdr:cNvSpPr txBox="1"/>
      </xdr:nvSpPr>
      <xdr:spPr>
        <a:xfrm>
          <a:off x="35852099" y="166325551"/>
          <a:ext cx="1247775" cy="5048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write down the Down Payment %</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Local%20Disk%20(E)\AL-DAWLIA%20REAL%20STATE\BUSINESS%20DEVELOPMENT\25%20fd%20from%20hay2a%20New%20Cairo%20Golden%20square\UNITS%20PRICING\New%20folder\REGENT'S%20PARK%20II%20UNITS%20PRICING_20230326.xlsx" TargetMode="External"/><Relationship Id="rId1" Type="http://schemas.openxmlformats.org/officeDocument/2006/relationships/externalLinkPath" Target="/Local%20Disk%20(E)/AL-DAWLIA%20REAL%20STATE/BUSINESS%20DEVELOPMENT/25%20fd%20from%20hay2a%20New%20Cairo%20Golden%20square/UNITS%20PRICING/New%20folder/REGENT'S%20PARK%20II%20UNITS%20PRICING_202303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2229ADNCRC-Dawlia%20Regents%202%20at%20New%20Cairo\3%20DESDEV\3.1%20ARCHITECTURE\3.1%20ARCHITECTURE\CALCULATIONS\AREA\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229ADNCRC-Dawlia%20Regents%202%20at%20New%20Cairo\3%20DESDEV\3.1%20ARCHITECTURE\3.1%20ARCHITECTURE\CALCULATIONS\AREA\B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2229ADNCRC-Dawlia%20Regents%202%20at%20New%20Cairo\3%20DESDEV\3.1%20ARCHITECTURE\3.1%20ARCHITECTURE\CALCULATIONS\AREA\C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229ADNCRC-Dawlia%20Regents%202%20at%20New%20Cairo\3%20DESDEV\3.1%20ARCHITECTURE\3.1%20ARCHITECTURE\CALCULATIONS\AREA\B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2229ADNCRC-Dawlia%20Regents%202%20at%20New%20Cairo\3%20DESDEV\3.1%20ARCHITECTURE\3.1%20ARCHITECTURE\CALCULATIONS\AREA\C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2229ADNCRC-Dawlia%20Regents%202%20at%20New%20Cairo\3%20DESDEV\3.1%20ARCHITECTURE\3.1%20ARCHITECTURE\CALCULATIONS\AREA\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NITS PRICING (3)"/>
      <sheetName val="UNITS PRICING FOR PIVOT"/>
      <sheetName val="FACTS"/>
      <sheetName val="UNITS PRICING"/>
      <sheetName val="PERCENTAGES  (C1)"/>
      <sheetName val="PERCENTAGES  (C2) "/>
      <sheetName val="PERCENTAGES  (C3)  "/>
      <sheetName val="PERCENTAGES ALL"/>
      <sheetName val="SELLING PHASES DISTRIBUTION"/>
      <sheetName val="R1"/>
      <sheetName val="ALL R"/>
      <sheetName val="R2"/>
      <sheetName val="R3"/>
      <sheetName val="R4"/>
      <sheetName val="R5"/>
      <sheetName val="R6"/>
      <sheetName val="R7"/>
      <sheetName val="R8"/>
      <sheetName val="R9"/>
      <sheetName val="R10"/>
      <sheetName val="R11"/>
      <sheetName val="PREMIUM TABLES"/>
      <sheetName val="BUILDINGS NEW N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4">
          <cell r="H4" t="str">
            <v>PREMIUM %</v>
          </cell>
        </row>
        <row r="5">
          <cell r="G5" t="str">
            <v>GROUND</v>
          </cell>
          <cell r="H5">
            <v>0.05</v>
          </cell>
        </row>
        <row r="6">
          <cell r="G6" t="str">
            <v>FIRST</v>
          </cell>
          <cell r="H6">
            <v>7.0000000000000007E-2</v>
          </cell>
        </row>
        <row r="7">
          <cell r="G7" t="str">
            <v>SECOND</v>
          </cell>
          <cell r="H7">
            <v>0.11</v>
          </cell>
        </row>
        <row r="8">
          <cell r="G8" t="str">
            <v>THIRD</v>
          </cell>
          <cell r="H8">
            <v>0.15</v>
          </cell>
        </row>
        <row r="9">
          <cell r="G9" t="str">
            <v>FORTH</v>
          </cell>
          <cell r="H9">
            <v>0.06</v>
          </cell>
        </row>
        <row r="104">
          <cell r="H104" t="str">
            <v>Premium %</v>
          </cell>
        </row>
        <row r="105">
          <cell r="G105" t="str">
            <v>View</v>
          </cell>
          <cell r="H105">
            <v>0.6</v>
          </cell>
        </row>
        <row r="106">
          <cell r="G106" t="str">
            <v>Orientation</v>
          </cell>
          <cell r="H106">
            <v>0.15</v>
          </cell>
        </row>
        <row r="107">
          <cell r="G107" t="str">
            <v>Floor</v>
          </cell>
          <cell r="H107">
            <v>0.15</v>
          </cell>
        </row>
        <row r="108">
          <cell r="G108" t="str">
            <v>Internal Location</v>
          </cell>
          <cell r="H108">
            <v>0.05</v>
          </cell>
        </row>
        <row r="109">
          <cell r="G109" t="str">
            <v>Area</v>
          </cell>
          <cell r="H109">
            <v>0.05</v>
          </cell>
        </row>
      </sheetData>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ow r="10">
          <cell r="E10">
            <v>1</v>
          </cell>
          <cell r="F10">
            <v>69.17</v>
          </cell>
          <cell r="G10">
            <v>88.322399999999988</v>
          </cell>
          <cell r="I10">
            <v>125.92</v>
          </cell>
          <cell r="J10">
            <v>441.66</v>
          </cell>
        </row>
        <row r="11">
          <cell r="E11">
            <v>2</v>
          </cell>
          <cell r="F11">
            <v>68.59</v>
          </cell>
          <cell r="G11">
            <v>87.581804481711714</v>
          </cell>
        </row>
        <row r="12">
          <cell r="E12">
            <v>3</v>
          </cell>
          <cell r="F12">
            <v>51.02</v>
          </cell>
          <cell r="G12">
            <v>65.146867832875529</v>
          </cell>
        </row>
        <row r="13">
          <cell r="E13">
            <v>4</v>
          </cell>
          <cell r="F13">
            <v>63.16</v>
          </cell>
          <cell r="G13">
            <v>80.648298163943892</v>
          </cell>
        </row>
        <row r="14">
          <cell r="E14">
            <v>5</v>
          </cell>
          <cell r="F14">
            <v>63.79</v>
          </cell>
          <cell r="G14">
            <v>81.452738123463917</v>
          </cell>
        </row>
        <row r="15">
          <cell r="E15">
            <v>1</v>
          </cell>
          <cell r="F15">
            <v>69.17</v>
          </cell>
          <cell r="G15">
            <v>88.322399999999988</v>
          </cell>
          <cell r="I15">
            <v>125.92</v>
          </cell>
          <cell r="J15">
            <v>440.97</v>
          </cell>
        </row>
        <row r="16">
          <cell r="E16">
            <v>2</v>
          </cell>
          <cell r="F16">
            <v>68.59</v>
          </cell>
          <cell r="G16">
            <v>87.581804481711714</v>
          </cell>
        </row>
        <row r="17">
          <cell r="E17">
            <v>3</v>
          </cell>
          <cell r="F17">
            <v>51.02</v>
          </cell>
          <cell r="G17">
            <v>65.146867832875529</v>
          </cell>
        </row>
        <row r="18">
          <cell r="E18">
            <v>4</v>
          </cell>
          <cell r="F18">
            <v>62.9</v>
          </cell>
          <cell r="G18">
            <v>80.316307069538809</v>
          </cell>
        </row>
        <row r="19">
          <cell r="E19">
            <v>5</v>
          </cell>
          <cell r="F19">
            <v>63.79</v>
          </cell>
          <cell r="G19">
            <v>81.452738123463917</v>
          </cell>
        </row>
        <row r="20">
          <cell r="E20">
            <v>1</v>
          </cell>
          <cell r="F20">
            <v>68.91</v>
          </cell>
          <cell r="G20">
            <v>87.990408905594904</v>
          </cell>
          <cell r="I20">
            <v>75.75</v>
          </cell>
          <cell r="J20">
            <v>442.77</v>
          </cell>
        </row>
        <row r="21">
          <cell r="E21">
            <v>2</v>
          </cell>
          <cell r="F21">
            <v>68.89</v>
          </cell>
          <cell r="G21">
            <v>87.964871129102207</v>
          </cell>
        </row>
        <row r="22">
          <cell r="E22">
            <v>3</v>
          </cell>
          <cell r="F22">
            <v>51.48</v>
          </cell>
          <cell r="G22">
            <v>65.734236692207588</v>
          </cell>
        </row>
        <row r="23">
          <cell r="E23">
            <v>4</v>
          </cell>
          <cell r="F23">
            <v>63.11</v>
          </cell>
          <cell r="G23">
            <v>80.584453722712155</v>
          </cell>
        </row>
        <row r="24">
          <cell r="E24">
            <v>5</v>
          </cell>
          <cell r="F24">
            <v>63.16</v>
          </cell>
          <cell r="G24">
            <v>80.648298163943892</v>
          </cell>
        </row>
        <row r="25">
          <cell r="E25">
            <v>6</v>
          </cell>
          <cell r="F25">
            <v>51.5</v>
          </cell>
          <cell r="G25">
            <v>65.7597744687003</v>
          </cell>
        </row>
        <row r="26">
          <cell r="E26">
            <v>1</v>
          </cell>
          <cell r="F26">
            <v>68.62</v>
          </cell>
          <cell r="G26">
            <v>87.620111146450768</v>
          </cell>
          <cell r="I26">
            <v>75.75</v>
          </cell>
          <cell r="J26">
            <v>440.39</v>
          </cell>
        </row>
        <row r="27">
          <cell r="E27">
            <v>2</v>
          </cell>
          <cell r="F27">
            <v>68.599999999999994</v>
          </cell>
          <cell r="G27">
            <v>87.594573369958056</v>
          </cell>
        </row>
        <row r="28">
          <cell r="E28">
            <v>3</v>
          </cell>
          <cell r="F28">
            <v>50.89</v>
          </cell>
          <cell r="G28">
            <v>64.980872285672973</v>
          </cell>
        </row>
        <row r="29">
          <cell r="E29">
            <v>4</v>
          </cell>
          <cell r="F29">
            <v>62.84</v>
          </cell>
          <cell r="G29">
            <v>80.239693740060716</v>
          </cell>
        </row>
        <row r="30">
          <cell r="E30">
            <v>5</v>
          </cell>
          <cell r="F30">
            <v>62.86</v>
          </cell>
          <cell r="G30">
            <v>80.265231516553413</v>
          </cell>
        </row>
        <row r="31">
          <cell r="E31">
            <v>6</v>
          </cell>
          <cell r="F31">
            <v>50.89</v>
          </cell>
          <cell r="G31">
            <v>64.980872285672973</v>
          </cell>
        </row>
        <row r="32">
          <cell r="E32">
            <v>1</v>
          </cell>
          <cell r="F32">
            <v>68.680000000000007</v>
          </cell>
          <cell r="G32">
            <v>87.696724475928875</v>
          </cell>
          <cell r="I32">
            <v>75.75</v>
          </cell>
          <cell r="J32">
            <v>442.27</v>
          </cell>
        </row>
        <row r="33">
          <cell r="E33">
            <v>2</v>
          </cell>
          <cell r="F33">
            <v>68.680000000000007</v>
          </cell>
          <cell r="G33">
            <v>87.696724475928875</v>
          </cell>
        </row>
        <row r="34">
          <cell r="E34">
            <v>3</v>
          </cell>
          <cell r="F34">
            <v>51.5</v>
          </cell>
          <cell r="G34">
            <v>65.7597744687003</v>
          </cell>
        </row>
        <row r="35">
          <cell r="E35">
            <v>4</v>
          </cell>
          <cell r="F35">
            <v>62.97</v>
          </cell>
          <cell r="G35">
            <v>80.405689287263257</v>
          </cell>
        </row>
        <row r="36">
          <cell r="E36">
            <v>5</v>
          </cell>
          <cell r="F36">
            <v>62.97</v>
          </cell>
          <cell r="G36">
            <v>80.405689287263257</v>
          </cell>
        </row>
        <row r="37">
          <cell r="E37">
            <v>6</v>
          </cell>
          <cell r="F37">
            <v>51.5</v>
          </cell>
          <cell r="G37">
            <v>65.7597744687003</v>
          </cell>
        </row>
        <row r="44">
          <cell r="E44">
            <v>1</v>
          </cell>
          <cell r="F44">
            <v>60.98</v>
          </cell>
          <cell r="G44">
            <v>66.845201763160503</v>
          </cell>
          <cell r="J44">
            <v>396.25</v>
          </cell>
        </row>
        <row r="45">
          <cell r="E45">
            <v>2</v>
          </cell>
          <cell r="F45">
            <v>89.96</v>
          </cell>
          <cell r="G45">
            <v>98.6125672452266</v>
          </cell>
        </row>
        <row r="46">
          <cell r="E46">
            <v>3</v>
          </cell>
          <cell r="F46">
            <v>97.98</v>
          </cell>
          <cell r="G46">
            <v>107.40394996317589</v>
          </cell>
        </row>
        <row r="47">
          <cell r="E47">
            <v>4</v>
          </cell>
          <cell r="F47">
            <v>98.17</v>
          </cell>
          <cell r="G47">
            <v>107.61222461609489</v>
          </cell>
        </row>
        <row r="48">
          <cell r="E48">
            <v>1</v>
          </cell>
          <cell r="F48">
            <v>61.82</v>
          </cell>
          <cell r="G48">
            <v>67.765994965539235</v>
          </cell>
          <cell r="J48">
            <v>380.7</v>
          </cell>
        </row>
        <row r="49">
          <cell r="E49">
            <v>2</v>
          </cell>
          <cell r="F49">
            <v>89.05</v>
          </cell>
          <cell r="G49">
            <v>97.615041275982989</v>
          </cell>
        </row>
        <row r="50">
          <cell r="E50">
            <v>3</v>
          </cell>
          <cell r="F50">
            <v>97.06</v>
          </cell>
          <cell r="G50">
            <v>106.39546217009443</v>
          </cell>
        </row>
        <row r="51">
          <cell r="E51">
            <v>4</v>
          </cell>
          <cell r="F51">
            <v>97.09</v>
          </cell>
          <cell r="G51">
            <v>106.42834764160796</v>
          </cell>
        </row>
        <row r="52">
          <cell r="E52">
            <v>1</v>
          </cell>
          <cell r="F52">
            <v>90.9</v>
          </cell>
          <cell r="G52">
            <v>99.642978685983763</v>
          </cell>
          <cell r="J52">
            <v>409.54</v>
          </cell>
        </row>
        <row r="53">
          <cell r="E53">
            <v>2</v>
          </cell>
          <cell r="F53">
            <v>90.91</v>
          </cell>
          <cell r="G53">
            <v>99.653940509821595</v>
          </cell>
        </row>
        <row r="54">
          <cell r="E54">
            <v>3</v>
          </cell>
          <cell r="F54">
            <v>98.93</v>
          </cell>
          <cell r="G54">
            <v>108.44532322777088</v>
          </cell>
        </row>
        <row r="55">
          <cell r="E55">
            <v>4</v>
          </cell>
          <cell r="F55">
            <v>98.95</v>
          </cell>
          <cell r="G55">
            <v>108.46724687544656</v>
          </cell>
        </row>
        <row r="56">
          <cell r="E56">
            <v>1</v>
          </cell>
          <cell r="F56">
            <v>89.05</v>
          </cell>
          <cell r="G56">
            <v>97.615041275982989</v>
          </cell>
          <cell r="J56">
            <v>402.11</v>
          </cell>
        </row>
        <row r="57">
          <cell r="E57">
            <v>2</v>
          </cell>
          <cell r="F57">
            <v>89.05</v>
          </cell>
          <cell r="G57">
            <v>97.615041275982989</v>
          </cell>
        </row>
        <row r="58">
          <cell r="E58">
            <v>3</v>
          </cell>
          <cell r="F58">
            <v>97.09</v>
          </cell>
          <cell r="G58">
            <v>106.42834764160796</v>
          </cell>
        </row>
        <row r="59">
          <cell r="E59">
            <v>4</v>
          </cell>
          <cell r="F59">
            <v>97.09</v>
          </cell>
          <cell r="G59">
            <v>106.42834764160796</v>
          </cell>
        </row>
        <row r="60">
          <cell r="E60">
            <v>1</v>
          </cell>
          <cell r="F60">
            <v>89.12</v>
          </cell>
          <cell r="G60">
            <v>97.691774042847882</v>
          </cell>
          <cell r="J60">
            <v>405.86</v>
          </cell>
        </row>
        <row r="61">
          <cell r="E61">
            <v>2</v>
          </cell>
          <cell r="F61">
            <v>90.52</v>
          </cell>
          <cell r="G61">
            <v>99.22642938014576</v>
          </cell>
        </row>
        <row r="62">
          <cell r="E62">
            <v>3</v>
          </cell>
          <cell r="F62">
            <v>98.57</v>
          </cell>
          <cell r="G62">
            <v>108.05069756960856</v>
          </cell>
        </row>
        <row r="63">
          <cell r="E63">
            <v>4</v>
          </cell>
          <cell r="F63">
            <v>97.17</v>
          </cell>
          <cell r="G63">
            <v>106.5160422323107</v>
          </cell>
        </row>
        <row r="70">
          <cell r="E70">
            <v>1</v>
          </cell>
          <cell r="F70">
            <v>98.17</v>
          </cell>
          <cell r="G70">
            <v>107.61045029101562</v>
          </cell>
        </row>
        <row r="71">
          <cell r="E71">
            <v>2</v>
          </cell>
          <cell r="F71">
            <v>97.98</v>
          </cell>
          <cell r="G71">
            <v>107.40217907215759</v>
          </cell>
        </row>
        <row r="72">
          <cell r="E72">
            <v>3</v>
          </cell>
          <cell r="F72">
            <v>89.96</v>
          </cell>
          <cell r="G72">
            <v>98.610941307729092</v>
          </cell>
        </row>
        <row r="73">
          <cell r="E73">
            <v>4</v>
          </cell>
          <cell r="F73">
            <v>60.98</v>
          </cell>
          <cell r="G73">
            <v>66.844099610330375</v>
          </cell>
        </row>
        <row r="74">
          <cell r="E74">
            <v>1</v>
          </cell>
          <cell r="F74">
            <v>97.09</v>
          </cell>
          <cell r="G74">
            <v>106.42659283645419</v>
          </cell>
        </row>
        <row r="75">
          <cell r="E75">
            <v>2</v>
          </cell>
          <cell r="F75">
            <v>97.06</v>
          </cell>
          <cell r="G75">
            <v>106.39370790716082</v>
          </cell>
        </row>
        <row r="76">
          <cell r="E76">
            <v>3</v>
          </cell>
          <cell r="F76">
            <v>89.05</v>
          </cell>
          <cell r="G76">
            <v>97.613431785830102</v>
          </cell>
        </row>
        <row r="77">
          <cell r="E77">
            <v>4</v>
          </cell>
          <cell r="F77">
            <v>61.82</v>
          </cell>
          <cell r="G77">
            <v>67.764877630544831</v>
          </cell>
        </row>
        <row r="78">
          <cell r="E78">
            <v>1</v>
          </cell>
          <cell r="F78">
            <v>98.95</v>
          </cell>
          <cell r="G78">
            <v>108.46545845264333</v>
          </cell>
        </row>
        <row r="79">
          <cell r="E79">
            <v>2</v>
          </cell>
          <cell r="F79">
            <v>98.95</v>
          </cell>
          <cell r="G79">
            <v>108.46545845264333</v>
          </cell>
        </row>
        <row r="80">
          <cell r="E80">
            <v>3</v>
          </cell>
          <cell r="F80">
            <v>90.91</v>
          </cell>
          <cell r="G80">
            <v>99.652297402019258</v>
          </cell>
        </row>
        <row r="81">
          <cell r="E81">
            <v>4</v>
          </cell>
          <cell r="F81">
            <v>90.91</v>
          </cell>
          <cell r="G81">
            <v>99.652297402019258</v>
          </cell>
        </row>
        <row r="82">
          <cell r="E82">
            <v>1</v>
          </cell>
          <cell r="F82">
            <v>97.09</v>
          </cell>
          <cell r="G82">
            <v>106.42659283645419</v>
          </cell>
        </row>
        <row r="83">
          <cell r="E83">
            <v>2</v>
          </cell>
          <cell r="F83">
            <v>97.09</v>
          </cell>
          <cell r="G83">
            <v>106.42659283645419</v>
          </cell>
        </row>
        <row r="84">
          <cell r="E84">
            <v>3</v>
          </cell>
          <cell r="F84">
            <v>89.05</v>
          </cell>
          <cell r="G84">
            <v>97.613431785830102</v>
          </cell>
        </row>
        <row r="85">
          <cell r="E85">
            <v>4</v>
          </cell>
          <cell r="F85">
            <v>89.05</v>
          </cell>
          <cell r="G85">
            <v>97.613431785830102</v>
          </cell>
        </row>
        <row r="86">
          <cell r="E86">
            <v>1</v>
          </cell>
          <cell r="F86">
            <v>97.17</v>
          </cell>
          <cell r="G86">
            <v>106.51428598123651</v>
          </cell>
        </row>
        <row r="87">
          <cell r="E87">
            <v>2</v>
          </cell>
          <cell r="F87">
            <v>98.57</v>
          </cell>
          <cell r="G87">
            <v>108.04891601492726</v>
          </cell>
        </row>
        <row r="88">
          <cell r="E88">
            <v>3</v>
          </cell>
          <cell r="F88">
            <v>90.52</v>
          </cell>
          <cell r="G88">
            <v>99.224793321205397</v>
          </cell>
        </row>
        <row r="89">
          <cell r="E89">
            <v>4</v>
          </cell>
          <cell r="F89">
            <v>89.12</v>
          </cell>
          <cell r="G89">
            <v>97.69016328751465</v>
          </cell>
        </row>
        <row r="96">
          <cell r="E96">
            <v>1</v>
          </cell>
          <cell r="F96">
            <v>60.98</v>
          </cell>
          <cell r="G96">
            <v>66.556564006124674</v>
          </cell>
          <cell r="I96">
            <v>48.87</v>
          </cell>
          <cell r="J96">
            <v>420.41</v>
          </cell>
        </row>
        <row r="97">
          <cell r="E97">
            <v>2</v>
          </cell>
          <cell r="F97">
            <v>89.96</v>
          </cell>
          <cell r="G97">
            <v>98.186757920481725</v>
          </cell>
        </row>
        <row r="98">
          <cell r="E98">
            <v>3</v>
          </cell>
          <cell r="F98">
            <v>110.14</v>
          </cell>
          <cell r="G98">
            <v>120.21220005960269</v>
          </cell>
        </row>
        <row r="99">
          <cell r="E99">
            <v>4</v>
          </cell>
          <cell r="F99">
            <v>110.32</v>
          </cell>
          <cell r="G99">
            <v>120.40866089136887</v>
          </cell>
        </row>
        <row r="100">
          <cell r="E100">
            <v>1</v>
          </cell>
          <cell r="F100">
            <v>61.82</v>
          </cell>
          <cell r="G100">
            <v>67.473381221033577</v>
          </cell>
          <cell r="I100">
            <v>35.729999999999997</v>
          </cell>
          <cell r="J100">
            <v>407.35</v>
          </cell>
        </row>
        <row r="101">
          <cell r="E101">
            <v>2</v>
          </cell>
          <cell r="F101">
            <v>89.05</v>
          </cell>
          <cell r="G101">
            <v>97.193539270997093</v>
          </cell>
        </row>
        <row r="102">
          <cell r="E102">
            <v>3</v>
          </cell>
          <cell r="F102">
            <v>110.14</v>
          </cell>
          <cell r="G102">
            <v>120.21220005960269</v>
          </cell>
        </row>
        <row r="103">
          <cell r="E103">
            <v>4</v>
          </cell>
          <cell r="F103">
            <v>110.61</v>
          </cell>
          <cell r="G103">
            <v>120.72518112032553</v>
          </cell>
        </row>
        <row r="104">
          <cell r="E104">
            <v>1</v>
          </cell>
          <cell r="F104">
            <v>90.91</v>
          </cell>
          <cell r="G104">
            <v>99.223634532581073</v>
          </cell>
          <cell r="I104">
            <v>29.85</v>
          </cell>
          <cell r="J104">
            <v>436.05</v>
          </cell>
        </row>
        <row r="105">
          <cell r="E105">
            <v>2</v>
          </cell>
          <cell r="F105">
            <v>90.91</v>
          </cell>
          <cell r="G105">
            <v>99.223634532581073</v>
          </cell>
        </row>
        <row r="106">
          <cell r="E106">
            <v>3</v>
          </cell>
          <cell r="F106">
            <v>112.2</v>
          </cell>
          <cell r="G106">
            <v>122.46058513426023</v>
          </cell>
        </row>
        <row r="107">
          <cell r="E107">
            <v>4</v>
          </cell>
          <cell r="F107">
            <v>112.2</v>
          </cell>
          <cell r="G107">
            <v>122.46058513426023</v>
          </cell>
        </row>
        <row r="108">
          <cell r="E108">
            <v>1</v>
          </cell>
          <cell r="F108">
            <v>89.05</v>
          </cell>
          <cell r="G108">
            <v>97.193539270997093</v>
          </cell>
          <cell r="I108">
            <v>29.85</v>
          </cell>
          <cell r="J108">
            <v>428.22</v>
          </cell>
        </row>
        <row r="109">
          <cell r="E109">
            <v>2</v>
          </cell>
          <cell r="F109">
            <v>89.05</v>
          </cell>
          <cell r="G109">
            <v>97.193539270997093</v>
          </cell>
        </row>
        <row r="110">
          <cell r="E110">
            <v>3</v>
          </cell>
          <cell r="F110">
            <v>110.14</v>
          </cell>
          <cell r="G110">
            <v>120.21220005960269</v>
          </cell>
        </row>
        <row r="111">
          <cell r="E111">
            <v>4</v>
          </cell>
          <cell r="F111">
            <v>110.14</v>
          </cell>
          <cell r="G111">
            <v>120.21220005960269</v>
          </cell>
        </row>
        <row r="112">
          <cell r="E112">
            <v>1</v>
          </cell>
          <cell r="F112">
            <v>89.12</v>
          </cell>
          <cell r="G112">
            <v>97.269940705572836</v>
          </cell>
          <cell r="I112">
            <v>29.85</v>
          </cell>
          <cell r="J112">
            <v>432.17</v>
          </cell>
        </row>
        <row r="113">
          <cell r="E113">
            <v>2</v>
          </cell>
          <cell r="F113">
            <v>89.12</v>
          </cell>
          <cell r="G113">
            <v>97.269940705572836</v>
          </cell>
        </row>
        <row r="114">
          <cell r="E114">
            <v>3</v>
          </cell>
          <cell r="F114">
            <v>110.18</v>
          </cell>
          <cell r="G114">
            <v>120.25585802221741</v>
          </cell>
        </row>
        <row r="115">
          <cell r="E115">
            <v>4</v>
          </cell>
          <cell r="F115">
            <v>110.18</v>
          </cell>
          <cell r="G115">
            <v>120.25585802221741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2"/>
    </sheetNames>
    <sheetDataSet>
      <sheetData sheetId="0">
        <row r="10">
          <cell r="E10">
            <v>1</v>
          </cell>
          <cell r="F10">
            <v>144.66</v>
          </cell>
          <cell r="G10">
            <v>160.29183324060244</v>
          </cell>
          <cell r="I10">
            <v>99.27</v>
          </cell>
          <cell r="J10">
            <v>685.9</v>
          </cell>
        </row>
        <row r="11">
          <cell r="E11">
            <v>2</v>
          </cell>
          <cell r="F11">
            <v>183.89</v>
          </cell>
          <cell r="G11">
            <v>203.76099277349911</v>
          </cell>
        </row>
        <row r="12">
          <cell r="E12">
            <v>3</v>
          </cell>
          <cell r="F12">
            <v>162.83000000000001</v>
          </cell>
          <cell r="G12">
            <v>180.42526756924718</v>
          </cell>
        </row>
        <row r="13">
          <cell r="E13">
            <v>4</v>
          </cell>
          <cell r="F13">
            <v>95.25</v>
          </cell>
          <cell r="G13">
            <v>105.54263179985747</v>
          </cell>
        </row>
        <row r="14">
          <cell r="E14">
            <v>1</v>
          </cell>
          <cell r="F14">
            <v>141.66</v>
          </cell>
          <cell r="G14">
            <v>156.96765586107935</v>
          </cell>
          <cell r="I14">
            <v>73.489999999999995</v>
          </cell>
          <cell r="J14">
            <v>657.67</v>
          </cell>
        </row>
        <row r="15">
          <cell r="E15">
            <v>2</v>
          </cell>
          <cell r="F15">
            <v>183.64</v>
          </cell>
          <cell r="G15">
            <v>203.48397799187217</v>
          </cell>
        </row>
        <row r="16">
          <cell r="E16">
            <v>3</v>
          </cell>
          <cell r="F16">
            <v>162.58000000000001</v>
          </cell>
          <cell r="G16">
            <v>180.14825278762027</v>
          </cell>
        </row>
        <row r="17">
          <cell r="E17">
            <v>4</v>
          </cell>
          <cell r="F17">
            <v>96.31</v>
          </cell>
          <cell r="G17">
            <v>106.71717447395562</v>
          </cell>
        </row>
        <row r="18">
          <cell r="E18">
            <v>1</v>
          </cell>
          <cell r="F18">
            <v>143.99</v>
          </cell>
          <cell r="G18">
            <v>159.54943362584228</v>
          </cell>
          <cell r="I18">
            <v>53.12</v>
          </cell>
          <cell r="J18">
            <v>692.65</v>
          </cell>
        </row>
        <row r="19">
          <cell r="E19">
            <v>2</v>
          </cell>
          <cell r="F19">
            <v>187.1</v>
          </cell>
          <cell r="G19">
            <v>207.31786256958878</v>
          </cell>
        </row>
        <row r="20">
          <cell r="E20">
            <v>3</v>
          </cell>
          <cell r="F20">
            <v>167.21</v>
          </cell>
          <cell r="G20">
            <v>185.27856654335085</v>
          </cell>
        </row>
        <row r="21">
          <cell r="E21">
            <v>4</v>
          </cell>
          <cell r="F21">
            <v>141.22999999999999</v>
          </cell>
          <cell r="G21">
            <v>156.49119043668105</v>
          </cell>
        </row>
        <row r="22">
          <cell r="E22">
            <v>1</v>
          </cell>
          <cell r="F22">
            <v>143.9</v>
          </cell>
          <cell r="G22">
            <v>159.44970830445661</v>
          </cell>
          <cell r="I22">
            <v>53.12</v>
          </cell>
          <cell r="J22">
            <v>689.81</v>
          </cell>
        </row>
        <row r="23">
          <cell r="E23">
            <v>2</v>
          </cell>
          <cell r="F23">
            <v>187.2</v>
          </cell>
          <cell r="G23">
            <v>207.42866848223954</v>
          </cell>
        </row>
        <row r="24">
          <cell r="E24">
            <v>3</v>
          </cell>
          <cell r="F24">
            <v>164.46</v>
          </cell>
          <cell r="G24">
            <v>182.2314039454547</v>
          </cell>
        </row>
        <row r="25">
          <cell r="E25">
            <v>4</v>
          </cell>
          <cell r="F25">
            <v>141.13</v>
          </cell>
          <cell r="G25">
            <v>156.38038452403029</v>
          </cell>
        </row>
        <row r="26">
          <cell r="E26">
            <v>1</v>
          </cell>
          <cell r="F26">
            <v>141.93</v>
          </cell>
          <cell r="G26">
            <v>157.26683182523644</v>
          </cell>
          <cell r="I26">
            <v>53.12</v>
          </cell>
          <cell r="J26">
            <v>679.49</v>
          </cell>
        </row>
        <row r="27">
          <cell r="E27">
            <v>2</v>
          </cell>
          <cell r="F27">
            <v>182.57</v>
          </cell>
          <cell r="G27">
            <v>202.29835472650896</v>
          </cell>
        </row>
        <row r="28">
          <cell r="E28">
            <v>3</v>
          </cell>
          <cell r="F28">
            <v>162.69999999999999</v>
          </cell>
          <cell r="G28">
            <v>180.28121988280114</v>
          </cell>
        </row>
        <row r="29">
          <cell r="E29">
            <v>4</v>
          </cell>
          <cell r="F29">
            <v>139.16999999999999</v>
          </cell>
          <cell r="G29">
            <v>154.20858863607521</v>
          </cell>
        </row>
        <row r="36">
          <cell r="E36">
            <v>1</v>
          </cell>
          <cell r="F36">
            <v>95.25</v>
          </cell>
          <cell r="G36">
            <v>105.54263179985747</v>
          </cell>
          <cell r="I36">
            <v>99.27</v>
          </cell>
          <cell r="J36">
            <v>685.9</v>
          </cell>
        </row>
        <row r="37">
          <cell r="E37">
            <v>2</v>
          </cell>
          <cell r="F37">
            <v>162.83000000000001</v>
          </cell>
          <cell r="G37">
            <v>180.42526756924718</v>
          </cell>
        </row>
        <row r="38">
          <cell r="E38">
            <v>3</v>
          </cell>
          <cell r="F38">
            <v>183.89</v>
          </cell>
          <cell r="G38">
            <v>203.76099277349911</v>
          </cell>
        </row>
        <row r="39">
          <cell r="E39">
            <v>4</v>
          </cell>
          <cell r="F39">
            <v>144.66</v>
          </cell>
          <cell r="G39">
            <v>160.29183324060244</v>
          </cell>
        </row>
        <row r="40">
          <cell r="E40">
            <v>1</v>
          </cell>
          <cell r="F40">
            <v>96.31</v>
          </cell>
          <cell r="G40">
            <v>106.71717447395562</v>
          </cell>
          <cell r="I40">
            <v>73.489999999999995</v>
          </cell>
          <cell r="J40">
            <v>657.67</v>
          </cell>
        </row>
        <row r="41">
          <cell r="E41">
            <v>2</v>
          </cell>
          <cell r="F41">
            <v>162.58000000000001</v>
          </cell>
          <cell r="G41">
            <v>180.14825278762027</v>
          </cell>
        </row>
        <row r="42">
          <cell r="E42">
            <v>3</v>
          </cell>
          <cell r="F42">
            <v>183.64</v>
          </cell>
          <cell r="G42">
            <v>203.48397799187217</v>
          </cell>
        </row>
        <row r="43">
          <cell r="E43">
            <v>4</v>
          </cell>
          <cell r="F43">
            <v>141.66</v>
          </cell>
          <cell r="G43">
            <v>156.96765586107935</v>
          </cell>
        </row>
        <row r="44">
          <cell r="E44">
            <v>1</v>
          </cell>
          <cell r="F44">
            <v>141.22999999999999</v>
          </cell>
          <cell r="G44">
            <v>156.49119043668105</v>
          </cell>
          <cell r="I44">
            <v>53.12</v>
          </cell>
          <cell r="J44">
            <v>692.65</v>
          </cell>
        </row>
        <row r="45">
          <cell r="E45">
            <v>2</v>
          </cell>
          <cell r="F45">
            <v>167.21</v>
          </cell>
          <cell r="G45">
            <v>185.27856654335085</v>
          </cell>
        </row>
        <row r="46">
          <cell r="E46">
            <v>3</v>
          </cell>
          <cell r="F46">
            <v>187.1</v>
          </cell>
          <cell r="G46">
            <v>207.31786256958878</v>
          </cell>
        </row>
        <row r="47">
          <cell r="E47">
            <v>4</v>
          </cell>
          <cell r="F47">
            <v>143.99</v>
          </cell>
          <cell r="G47">
            <v>159.54943362584228</v>
          </cell>
        </row>
        <row r="48">
          <cell r="E48">
            <v>1</v>
          </cell>
          <cell r="F48">
            <v>141.13</v>
          </cell>
          <cell r="G48">
            <v>156.38038452403029</v>
          </cell>
          <cell r="I48">
            <v>53.12</v>
          </cell>
          <cell r="J48">
            <v>689.81</v>
          </cell>
        </row>
        <row r="49">
          <cell r="E49">
            <v>2</v>
          </cell>
          <cell r="F49">
            <v>164.46</v>
          </cell>
          <cell r="G49">
            <v>182.2314039454547</v>
          </cell>
        </row>
        <row r="50">
          <cell r="E50">
            <v>3</v>
          </cell>
          <cell r="F50">
            <v>187.2</v>
          </cell>
          <cell r="G50">
            <v>207.42866848223954</v>
          </cell>
        </row>
        <row r="51">
          <cell r="E51">
            <v>4</v>
          </cell>
          <cell r="F51">
            <v>143.9</v>
          </cell>
          <cell r="G51">
            <v>159.44970830445661</v>
          </cell>
        </row>
        <row r="52">
          <cell r="E52">
            <v>1</v>
          </cell>
          <cell r="F52">
            <v>139.16999999999999</v>
          </cell>
          <cell r="G52">
            <v>154.20858863607521</v>
          </cell>
          <cell r="I52">
            <v>53.12</v>
          </cell>
          <cell r="J52">
            <v>679.49</v>
          </cell>
        </row>
        <row r="53">
          <cell r="E53">
            <v>2</v>
          </cell>
          <cell r="F53">
            <v>162.69999999999999</v>
          </cell>
          <cell r="G53">
            <v>180.28121988280114</v>
          </cell>
        </row>
        <row r="54">
          <cell r="E54">
            <v>3</v>
          </cell>
          <cell r="F54">
            <v>182.57</v>
          </cell>
          <cell r="G54">
            <v>202.29835472650896</v>
          </cell>
        </row>
        <row r="55">
          <cell r="E55">
            <v>4</v>
          </cell>
          <cell r="F55">
            <v>141.93</v>
          </cell>
          <cell r="G55">
            <v>157.26683182523644</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3"/>
    </sheetNames>
    <sheetDataSet>
      <sheetData sheetId="0">
        <row r="10">
          <cell r="E10">
            <v>1</v>
          </cell>
          <cell r="F10">
            <v>88.4</v>
          </cell>
          <cell r="G10">
            <v>96.063970794270958</v>
          </cell>
          <cell r="I10">
            <v>73.23</v>
          </cell>
          <cell r="J10">
            <v>547.82000000000005</v>
          </cell>
        </row>
        <row r="11">
          <cell r="E11">
            <v>2</v>
          </cell>
          <cell r="F11">
            <v>124.73</v>
          </cell>
          <cell r="G11">
            <v>135.54365471911103</v>
          </cell>
        </row>
        <row r="12">
          <cell r="E12">
            <v>3</v>
          </cell>
          <cell r="F12">
            <v>129.65</v>
          </cell>
          <cell r="G12">
            <v>140.8902015099234</v>
          </cell>
        </row>
        <row r="13">
          <cell r="E13">
            <v>4</v>
          </cell>
          <cell r="F13">
            <v>131.81</v>
          </cell>
          <cell r="G13">
            <v>143.23746595467028</v>
          </cell>
        </row>
        <row r="14">
          <cell r="E14">
            <v>1</v>
          </cell>
          <cell r="F14">
            <v>88.73</v>
          </cell>
          <cell r="G14">
            <v>96.42258063999617</v>
          </cell>
          <cell r="I14">
            <v>46.84</v>
          </cell>
          <cell r="J14">
            <v>521.86</v>
          </cell>
        </row>
        <row r="15">
          <cell r="E15">
            <v>2</v>
          </cell>
          <cell r="F15">
            <v>126.36</v>
          </cell>
          <cell r="G15">
            <v>137.31497001769318</v>
          </cell>
        </row>
        <row r="16">
          <cell r="E16">
            <v>3</v>
          </cell>
          <cell r="F16">
            <v>131.24</v>
          </cell>
          <cell r="G16">
            <v>142.61804894841765</v>
          </cell>
        </row>
        <row r="17">
          <cell r="E17">
            <v>4</v>
          </cell>
          <cell r="F17">
            <v>128.69</v>
          </cell>
          <cell r="G17">
            <v>139.84697286781366</v>
          </cell>
        </row>
        <row r="18">
          <cell r="E18">
            <v>1</v>
          </cell>
          <cell r="F18">
            <v>127.21</v>
          </cell>
          <cell r="G18">
            <v>138.23866204456115</v>
          </cell>
          <cell r="I18">
            <v>32.549999999999997</v>
          </cell>
          <cell r="J18">
            <v>549.92999999999995</v>
          </cell>
        </row>
        <row r="19">
          <cell r="E19">
            <v>2</v>
          </cell>
          <cell r="F19">
            <v>126.78</v>
          </cell>
          <cell r="G19">
            <v>137.77138254861617</v>
          </cell>
        </row>
        <row r="20">
          <cell r="E20">
            <v>3</v>
          </cell>
          <cell r="F20">
            <v>131.69999999999999</v>
          </cell>
          <cell r="G20">
            <v>143.11792933942854</v>
          </cell>
        </row>
        <row r="21">
          <cell r="E21">
            <v>4</v>
          </cell>
          <cell r="F21">
            <v>131.69</v>
          </cell>
          <cell r="G21">
            <v>143.10706237440658</v>
          </cell>
        </row>
        <row r="22">
          <cell r="E22">
            <v>1</v>
          </cell>
          <cell r="F22">
            <v>131.88</v>
          </cell>
          <cell r="G22">
            <v>143.31353470982413</v>
          </cell>
          <cell r="I22">
            <v>32.549999999999997</v>
          </cell>
          <cell r="J22">
            <v>549.14</v>
          </cell>
        </row>
        <row r="23">
          <cell r="E23">
            <v>2</v>
          </cell>
          <cell r="F23">
            <v>131.43</v>
          </cell>
          <cell r="G23">
            <v>142.8245212838352</v>
          </cell>
        </row>
        <row r="24">
          <cell r="E24">
            <v>3</v>
          </cell>
          <cell r="F24">
            <v>126.97</v>
          </cell>
          <cell r="G24">
            <v>137.97785488403375</v>
          </cell>
        </row>
        <row r="25">
          <cell r="E25">
            <v>4</v>
          </cell>
          <cell r="F25">
            <v>127.45</v>
          </cell>
          <cell r="G25">
            <v>138.49946920508859</v>
          </cell>
        </row>
        <row r="26">
          <cell r="E26">
            <v>1</v>
          </cell>
          <cell r="F26">
            <v>125.15</v>
          </cell>
          <cell r="G26">
            <v>136.00006725003405</v>
          </cell>
          <cell r="I26">
            <v>32.549999999999997</v>
          </cell>
          <cell r="J26">
            <v>545.97</v>
          </cell>
        </row>
        <row r="27">
          <cell r="E27">
            <v>2</v>
          </cell>
          <cell r="F27">
            <v>126.87</v>
          </cell>
          <cell r="G27">
            <v>137.86918523381397</v>
          </cell>
        </row>
        <row r="28">
          <cell r="E28">
            <v>3</v>
          </cell>
          <cell r="F28">
            <v>131.77000000000001</v>
          </cell>
          <cell r="G28">
            <v>143.19399809458238</v>
          </cell>
        </row>
        <row r="29">
          <cell r="E29">
            <v>4</v>
          </cell>
          <cell r="F29">
            <v>129.63</v>
          </cell>
          <cell r="G29">
            <v>140.86846757987945</v>
          </cell>
        </row>
        <row r="36">
          <cell r="E36">
            <v>1</v>
          </cell>
          <cell r="F36">
            <v>131.81</v>
          </cell>
          <cell r="G36">
            <v>143.33409972454882</v>
          </cell>
          <cell r="I36">
            <v>73.23</v>
          </cell>
          <cell r="J36">
            <v>547.82000000000005</v>
          </cell>
        </row>
        <row r="37">
          <cell r="E37">
            <v>2</v>
          </cell>
          <cell r="F37">
            <v>129.65</v>
          </cell>
          <cell r="G37">
            <v>140.98525172056563</v>
          </cell>
        </row>
        <row r="38">
          <cell r="E38">
            <v>3</v>
          </cell>
          <cell r="F38">
            <v>124.73</v>
          </cell>
          <cell r="G38">
            <v>135.63509793371503</v>
          </cell>
        </row>
        <row r="39">
          <cell r="E39">
            <v>4</v>
          </cell>
          <cell r="F39">
            <v>88.4</v>
          </cell>
          <cell r="G39">
            <v>96.128779422275372</v>
          </cell>
        </row>
        <row r="40">
          <cell r="E40">
            <v>1</v>
          </cell>
          <cell r="F40">
            <v>132.43</v>
          </cell>
          <cell r="G40">
            <v>144.00830609606254</v>
          </cell>
          <cell r="I40">
            <v>46.84</v>
          </cell>
          <cell r="J40">
            <v>515.34</v>
          </cell>
        </row>
        <row r="41">
          <cell r="E41">
            <v>2</v>
          </cell>
          <cell r="F41">
            <v>126.09</v>
          </cell>
          <cell r="G41">
            <v>137.11400223251925</v>
          </cell>
        </row>
        <row r="42">
          <cell r="E42">
            <v>3</v>
          </cell>
          <cell r="F42">
            <v>121.24</v>
          </cell>
          <cell r="G42">
            <v>131.83996851987177</v>
          </cell>
        </row>
        <row r="43">
          <cell r="E43">
            <v>4</v>
          </cell>
          <cell r="F43">
            <v>88.73</v>
          </cell>
          <cell r="G43">
            <v>96.487631200661696</v>
          </cell>
        </row>
        <row r="44">
          <cell r="E44">
            <v>1</v>
          </cell>
          <cell r="F44">
            <v>131.69</v>
          </cell>
          <cell r="G44">
            <v>143.20360816877198</v>
          </cell>
          <cell r="I44">
            <v>32.549999999999997</v>
          </cell>
          <cell r="J44">
            <v>549.92999999999995</v>
          </cell>
        </row>
        <row r="45">
          <cell r="E45">
            <v>2</v>
          </cell>
          <cell r="F45">
            <v>131.69999999999999</v>
          </cell>
          <cell r="G45">
            <v>143.21448246508672</v>
          </cell>
        </row>
        <row r="46">
          <cell r="E46">
            <v>3</v>
          </cell>
          <cell r="F46">
            <v>126.78</v>
          </cell>
          <cell r="G46">
            <v>137.86432867823612</v>
          </cell>
        </row>
        <row r="47">
          <cell r="E47">
            <v>4</v>
          </cell>
          <cell r="F47">
            <v>127.21</v>
          </cell>
          <cell r="G47">
            <v>138.33192341976979</v>
          </cell>
        </row>
        <row r="48">
          <cell r="E48">
            <v>1</v>
          </cell>
          <cell r="F48">
            <v>131.59</v>
          </cell>
          <cell r="G48">
            <v>143.09486520562461</v>
          </cell>
          <cell r="I48">
            <v>32.549999999999997</v>
          </cell>
          <cell r="J48">
            <v>549.14</v>
          </cell>
        </row>
        <row r="49">
          <cell r="E49">
            <v>2</v>
          </cell>
          <cell r="F49">
            <v>131.4</v>
          </cell>
          <cell r="G49">
            <v>142.88825357564463</v>
          </cell>
        </row>
        <row r="50">
          <cell r="E50">
            <v>3</v>
          </cell>
          <cell r="F50">
            <v>126.49</v>
          </cell>
          <cell r="G50">
            <v>137.54897408510874</v>
          </cell>
        </row>
        <row r="51">
          <cell r="E51">
            <v>4</v>
          </cell>
          <cell r="F51">
            <v>127.1</v>
          </cell>
          <cell r="G51">
            <v>138.21230616030769</v>
          </cell>
        </row>
        <row r="52">
          <cell r="E52">
            <v>1</v>
          </cell>
          <cell r="F52">
            <v>129.63</v>
          </cell>
          <cell r="G52">
            <v>140.96350312793615</v>
          </cell>
          <cell r="I52">
            <v>32.549999999999997</v>
          </cell>
          <cell r="J52">
            <v>545.97</v>
          </cell>
        </row>
        <row r="53">
          <cell r="E53">
            <v>2</v>
          </cell>
          <cell r="F53">
            <v>131.78</v>
          </cell>
          <cell r="G53">
            <v>143.30147683560463</v>
          </cell>
        </row>
        <row r="54">
          <cell r="E54">
            <v>3</v>
          </cell>
          <cell r="F54">
            <v>126.86</v>
          </cell>
          <cell r="G54">
            <v>137.95132304875401</v>
          </cell>
        </row>
        <row r="55">
          <cell r="E55">
            <v>4</v>
          </cell>
          <cell r="F55">
            <v>125.15</v>
          </cell>
          <cell r="G55">
            <v>136.09181837893397</v>
          </cell>
        </row>
        <row r="62">
          <cell r="E62">
            <v>1</v>
          </cell>
          <cell r="F62">
            <v>131.81</v>
          </cell>
          <cell r="G62">
            <v>143.30566590029719</v>
          </cell>
          <cell r="I62">
            <v>73.23</v>
          </cell>
          <cell r="J62">
            <v>547.75</v>
          </cell>
        </row>
        <row r="63">
          <cell r="E63">
            <v>2</v>
          </cell>
          <cell r="F63">
            <v>129.65</v>
          </cell>
          <cell r="G63">
            <v>140.95728384776217</v>
          </cell>
        </row>
        <row r="64">
          <cell r="E64">
            <v>3</v>
          </cell>
          <cell r="F64">
            <v>124.69</v>
          </cell>
          <cell r="G64">
            <v>135.56470283823728</v>
          </cell>
        </row>
        <row r="65">
          <cell r="E65">
            <v>4</v>
          </cell>
          <cell r="F65">
            <v>88.37</v>
          </cell>
          <cell r="G65">
            <v>96.077093510426081</v>
          </cell>
        </row>
        <row r="66">
          <cell r="E66">
            <v>1</v>
          </cell>
          <cell r="F66">
            <v>128.69</v>
          </cell>
          <cell r="G66">
            <v>139.91355849107993</v>
          </cell>
          <cell r="I66">
            <v>46.84</v>
          </cell>
          <cell r="J66">
            <v>521.79</v>
          </cell>
        </row>
        <row r="67">
          <cell r="E67">
            <v>2</v>
          </cell>
          <cell r="F67">
            <v>131.24</v>
          </cell>
          <cell r="G67">
            <v>142.6859539697671</v>
          </cell>
        </row>
        <row r="68">
          <cell r="E68">
            <v>3</v>
          </cell>
          <cell r="F68">
            <v>126.32</v>
          </cell>
          <cell r="G68">
            <v>137.33686151677065</v>
          </cell>
        </row>
        <row r="69">
          <cell r="E69">
            <v>4</v>
          </cell>
          <cell r="F69">
            <v>88.69</v>
          </cell>
          <cell r="G69">
            <v>96.425001962653482</v>
          </cell>
        </row>
        <row r="70">
          <cell r="E70">
            <v>1</v>
          </cell>
          <cell r="F70">
            <v>131.69</v>
          </cell>
          <cell r="G70">
            <v>143.17520023071191</v>
          </cell>
          <cell r="I70">
            <v>32.549999999999997</v>
          </cell>
          <cell r="J70">
            <v>549.86</v>
          </cell>
        </row>
        <row r="71">
          <cell r="E71">
            <v>2</v>
          </cell>
          <cell r="F71">
            <v>131.69999999999999</v>
          </cell>
          <cell r="G71">
            <v>143.186072369844</v>
          </cell>
        </row>
        <row r="72">
          <cell r="E72">
            <v>3</v>
          </cell>
          <cell r="F72">
            <v>126.75</v>
          </cell>
          <cell r="G72">
            <v>137.80436349945123</v>
          </cell>
        </row>
        <row r="73">
          <cell r="E73">
            <v>4</v>
          </cell>
          <cell r="F73">
            <v>127.17</v>
          </cell>
          <cell r="G73">
            <v>138.26099334299971</v>
          </cell>
        </row>
        <row r="74">
          <cell r="E74">
            <v>1</v>
          </cell>
          <cell r="F74">
            <v>131.59</v>
          </cell>
          <cell r="G74">
            <v>143.06647883939084</v>
          </cell>
          <cell r="I74">
            <v>32.549999999999997</v>
          </cell>
          <cell r="J74">
            <v>549.05999999999995</v>
          </cell>
        </row>
        <row r="75">
          <cell r="E75">
            <v>2</v>
          </cell>
          <cell r="F75">
            <v>131.4</v>
          </cell>
          <cell r="G75">
            <v>142.85990819588082</v>
          </cell>
        </row>
        <row r="76">
          <cell r="E76">
            <v>3</v>
          </cell>
          <cell r="F76">
            <v>126.46</v>
          </cell>
          <cell r="G76">
            <v>137.48907146462014</v>
          </cell>
        </row>
        <row r="77">
          <cell r="E77">
            <v>4</v>
          </cell>
          <cell r="F77">
            <v>127.06</v>
          </cell>
          <cell r="G77">
            <v>138.14139981254655</v>
          </cell>
        </row>
        <row r="78">
          <cell r="E78">
            <v>1</v>
          </cell>
          <cell r="F78">
            <v>129.63</v>
          </cell>
          <cell r="G78">
            <v>140.93553956949793</v>
          </cell>
          <cell r="I78">
            <v>32.549999999999997</v>
          </cell>
          <cell r="J78">
            <v>545.9</v>
          </cell>
        </row>
        <row r="79">
          <cell r="E79">
            <v>2</v>
          </cell>
          <cell r="F79">
            <v>131.77000000000001</v>
          </cell>
          <cell r="G79">
            <v>143.26217734376877</v>
          </cell>
        </row>
        <row r="80">
          <cell r="E80">
            <v>3</v>
          </cell>
          <cell r="F80">
            <v>126.83</v>
          </cell>
          <cell r="G80">
            <v>137.89134061250809</v>
          </cell>
        </row>
        <row r="81">
          <cell r="E81">
            <v>4</v>
          </cell>
          <cell r="F81">
            <v>125.11</v>
          </cell>
          <cell r="G81">
            <v>136.02133268178576</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2"/>
    </sheetNames>
    <sheetDataSet>
      <sheetData sheetId="0">
        <row r="10">
          <cell r="E10">
            <v>1</v>
          </cell>
          <cell r="F10">
            <v>144.66300000000001</v>
          </cell>
          <cell r="G10">
            <v>160.2974096687947</v>
          </cell>
          <cell r="I10">
            <v>99.266000000000005</v>
          </cell>
          <cell r="J10">
            <v>685.81200000000001</v>
          </cell>
        </row>
        <row r="11">
          <cell r="E11">
            <v>2</v>
          </cell>
          <cell r="F11">
            <v>183.887</v>
          </cell>
          <cell r="G11">
            <v>203.76053152337258</v>
          </cell>
        </row>
        <row r="12">
          <cell r="E12">
            <v>3</v>
          </cell>
          <cell r="F12">
            <v>162.78100000000001</v>
          </cell>
          <cell r="G12">
            <v>180.37350700107191</v>
          </cell>
        </row>
        <row r="13">
          <cell r="E13">
            <v>4</v>
          </cell>
          <cell r="F13">
            <v>95.213999999999999</v>
          </cell>
          <cell r="G13">
            <v>105.50422405317612</v>
          </cell>
        </row>
        <row r="14">
          <cell r="E14">
            <v>1</v>
          </cell>
          <cell r="F14">
            <v>141.66300000000001</v>
          </cell>
          <cell r="G14">
            <v>156.9731855824258</v>
          </cell>
          <cell r="I14">
            <v>73.486999999999995</v>
          </cell>
          <cell r="J14">
            <v>657.59</v>
          </cell>
        </row>
        <row r="15">
          <cell r="E15">
            <v>2</v>
          </cell>
          <cell r="F15">
            <v>183.637</v>
          </cell>
          <cell r="G15">
            <v>203.48351284950851</v>
          </cell>
        </row>
        <row r="16">
          <cell r="E16">
            <v>3</v>
          </cell>
          <cell r="F16">
            <v>162.53100000000001</v>
          </cell>
          <cell r="G16">
            <v>180.09648832720785</v>
          </cell>
        </row>
        <row r="17">
          <cell r="E17">
            <v>4</v>
          </cell>
          <cell r="F17">
            <v>96.271000000000001</v>
          </cell>
          <cell r="G17">
            <v>106.67545900627343</v>
          </cell>
        </row>
        <row r="18">
          <cell r="E18">
            <v>1</v>
          </cell>
          <cell r="F18">
            <v>143.989</v>
          </cell>
          <cell r="G18">
            <v>159.55056732405714</v>
          </cell>
          <cell r="I18">
            <v>53.119</v>
          </cell>
          <cell r="J18">
            <v>692.56700000000001</v>
          </cell>
        </row>
        <row r="19">
          <cell r="E19">
            <v>2</v>
          </cell>
          <cell r="F19">
            <v>187.1</v>
          </cell>
          <cell r="G19">
            <v>207.32077551987365</v>
          </cell>
        </row>
        <row r="20">
          <cell r="E20">
            <v>3</v>
          </cell>
          <cell r="F20">
            <v>167.16900000000001</v>
          </cell>
          <cell r="G20">
            <v>185.23573876473418</v>
          </cell>
        </row>
        <row r="21">
          <cell r="E21">
            <v>4</v>
          </cell>
          <cell r="F21">
            <v>141.18700000000001</v>
          </cell>
          <cell r="G21">
            <v>156.4457420273886</v>
          </cell>
        </row>
        <row r="22">
          <cell r="E22">
            <v>1</v>
          </cell>
          <cell r="F22">
            <v>143.89599999999999</v>
          </cell>
          <cell r="G22">
            <v>159.44751637737969</v>
          </cell>
          <cell r="I22">
            <v>53.12</v>
          </cell>
          <cell r="J22">
            <v>689.70799999999997</v>
          </cell>
        </row>
        <row r="23">
          <cell r="E23">
            <v>2</v>
          </cell>
          <cell r="F23">
            <v>187.20400000000001</v>
          </cell>
          <cell r="G23">
            <v>207.43601528820113</v>
          </cell>
        </row>
        <row r="24">
          <cell r="E24">
            <v>3</v>
          </cell>
          <cell r="F24">
            <v>164.417</v>
          </cell>
          <cell r="G24">
            <v>182.18631720283841</v>
          </cell>
        </row>
        <row r="25">
          <cell r="E25">
            <v>4</v>
          </cell>
          <cell r="F25">
            <v>141.07300000000001</v>
          </cell>
          <cell r="G25">
            <v>156.31942151210657</v>
          </cell>
        </row>
        <row r="26">
          <cell r="E26">
            <v>1</v>
          </cell>
          <cell r="F26">
            <v>141.929</v>
          </cell>
          <cell r="G26">
            <v>157.26793345141715</v>
          </cell>
          <cell r="I26">
            <v>53.12</v>
          </cell>
          <cell r="J26">
            <v>679.39</v>
          </cell>
        </row>
        <row r="27">
          <cell r="E27">
            <v>2</v>
          </cell>
          <cell r="F27">
            <v>182.57</v>
          </cell>
          <cell r="G27">
            <v>202.30119714945661</v>
          </cell>
        </row>
        <row r="28">
          <cell r="E28">
            <v>3</v>
          </cell>
          <cell r="F28">
            <v>162.65</v>
          </cell>
          <cell r="G28">
            <v>180.22834921596714</v>
          </cell>
        </row>
        <row r="29">
          <cell r="E29">
            <v>4</v>
          </cell>
          <cell r="F29">
            <v>139.12700000000001</v>
          </cell>
          <cell r="G29">
            <v>154.16310815474861</v>
          </cell>
        </row>
        <row r="36">
          <cell r="E36">
            <v>1</v>
          </cell>
          <cell r="F36">
            <v>141.82499999999999</v>
          </cell>
          <cell r="G36">
            <v>159.0528991060259</v>
          </cell>
          <cell r="I36">
            <v>99.266000000000005</v>
          </cell>
          <cell r="J36">
            <v>620.59799999999996</v>
          </cell>
        </row>
        <row r="37">
          <cell r="E37">
            <v>2</v>
          </cell>
          <cell r="F37">
            <v>142.05600000000001</v>
          </cell>
          <cell r="G37">
            <v>159.31195935417324</v>
          </cell>
        </row>
        <row r="38">
          <cell r="E38">
            <v>3</v>
          </cell>
          <cell r="F38">
            <v>142.197</v>
          </cell>
          <cell r="G38">
            <v>159.47008703810729</v>
          </cell>
        </row>
        <row r="39">
          <cell r="E39">
            <v>4</v>
          </cell>
          <cell r="F39">
            <v>95.254000000000005</v>
          </cell>
          <cell r="G39">
            <v>106.82478301741861</v>
          </cell>
        </row>
        <row r="40">
          <cell r="E40">
            <v>1</v>
          </cell>
          <cell r="F40">
            <v>142.977</v>
          </cell>
          <cell r="G40">
            <v>160.34483592795536</v>
          </cell>
          <cell r="I40">
            <v>73.486999999999995</v>
          </cell>
          <cell r="J40">
            <v>592.05999999999995</v>
          </cell>
        </row>
        <row r="41">
          <cell r="E41">
            <v>2</v>
          </cell>
          <cell r="F41">
            <v>139.572</v>
          </cell>
          <cell r="G41">
            <v>156.52622058188788</v>
          </cell>
        </row>
        <row r="42">
          <cell r="E42">
            <v>3</v>
          </cell>
          <cell r="F42">
            <v>139.71199999999999</v>
          </cell>
          <cell r="G42">
            <v>156.68322679288624</v>
          </cell>
        </row>
        <row r="43">
          <cell r="E43">
            <v>4</v>
          </cell>
          <cell r="F43">
            <v>96.311000000000007</v>
          </cell>
          <cell r="G43">
            <v>108.01017991045629</v>
          </cell>
        </row>
        <row r="44">
          <cell r="E44">
            <v>1</v>
          </cell>
          <cell r="F44">
            <v>141.18700000000001</v>
          </cell>
          <cell r="G44">
            <v>158.33739937304765</v>
          </cell>
          <cell r="I44">
            <v>53.119</v>
          </cell>
          <cell r="J44">
            <v>618.55200000000002</v>
          </cell>
        </row>
        <row r="45">
          <cell r="E45">
            <v>2</v>
          </cell>
          <cell r="F45">
            <v>141.446</v>
          </cell>
          <cell r="G45">
            <v>158.62786086339463</v>
          </cell>
        </row>
        <row r="46">
          <cell r="E46">
            <v>3</v>
          </cell>
          <cell r="F46">
            <v>141.572</v>
          </cell>
          <cell r="G46">
            <v>158.76916645329317</v>
          </cell>
        </row>
        <row r="47">
          <cell r="E47">
            <v>4</v>
          </cell>
          <cell r="F47">
            <v>141.226</v>
          </cell>
          <cell r="G47">
            <v>158.38113681754004</v>
          </cell>
        </row>
        <row r="48">
          <cell r="E48">
            <v>1</v>
          </cell>
          <cell r="F48">
            <v>141.48599999999999</v>
          </cell>
          <cell r="G48">
            <v>158.67271978082272</v>
          </cell>
          <cell r="I48">
            <v>53.119</v>
          </cell>
          <cell r="J48">
            <v>620.15</v>
          </cell>
        </row>
        <row r="49">
          <cell r="E49">
            <v>2</v>
          </cell>
          <cell r="F49">
            <v>141.94999999999999</v>
          </cell>
          <cell r="G49">
            <v>159.19308322298875</v>
          </cell>
        </row>
        <row r="50">
          <cell r="E50">
            <v>3</v>
          </cell>
          <cell r="F50">
            <v>142.07</v>
          </cell>
          <cell r="G50">
            <v>159.32765997527306</v>
          </cell>
        </row>
        <row r="51">
          <cell r="E51">
            <v>4</v>
          </cell>
          <cell r="F51">
            <v>141.52600000000001</v>
          </cell>
          <cell r="G51">
            <v>158.71757869825083</v>
          </cell>
        </row>
        <row r="52">
          <cell r="E52">
            <v>1</v>
          </cell>
          <cell r="F52">
            <v>139.13</v>
          </cell>
          <cell r="G52">
            <v>156.03052954430731</v>
          </cell>
          <cell r="I52">
            <v>53.119</v>
          </cell>
          <cell r="J52">
            <v>614.59</v>
          </cell>
        </row>
        <row r="53">
          <cell r="E53">
            <v>2</v>
          </cell>
          <cell r="F53">
            <v>141.53399999999999</v>
          </cell>
          <cell r="G53">
            <v>158.72655048173644</v>
          </cell>
        </row>
        <row r="54">
          <cell r="E54">
            <v>3</v>
          </cell>
          <cell r="F54">
            <v>141.65899999999999</v>
          </cell>
          <cell r="G54">
            <v>158.86673459869928</v>
          </cell>
        </row>
        <row r="55">
          <cell r="E55">
            <v>4</v>
          </cell>
          <cell r="F55">
            <v>139.16999999999999</v>
          </cell>
          <cell r="G55">
            <v>156.0753884617354</v>
          </cell>
        </row>
        <row r="62">
          <cell r="E62">
            <v>1</v>
          </cell>
          <cell r="F62">
            <v>95.254000000000005</v>
          </cell>
          <cell r="G62">
            <v>105.54728263471846</v>
          </cell>
          <cell r="I62">
            <v>99.266000000000005</v>
          </cell>
          <cell r="J62">
            <v>685.9</v>
          </cell>
        </row>
        <row r="63">
          <cell r="E63">
            <v>2</v>
          </cell>
          <cell r="F63">
            <v>162.82599999999999</v>
          </cell>
          <cell r="G63">
            <v>180.42120900204364</v>
          </cell>
        </row>
        <row r="64">
          <cell r="E64">
            <v>3</v>
          </cell>
          <cell r="F64">
            <v>183.887</v>
          </cell>
          <cell r="G64">
            <v>203.75809059830002</v>
          </cell>
        </row>
        <row r="65">
          <cell r="E65">
            <v>4</v>
          </cell>
          <cell r="F65">
            <v>144.66</v>
          </cell>
          <cell r="G65">
            <v>160.29216522076101</v>
          </cell>
        </row>
        <row r="66">
          <cell r="E66">
            <v>1</v>
          </cell>
          <cell r="F66">
            <v>96.311000000000007</v>
          </cell>
          <cell r="G66">
            <v>106.71850355714584</v>
          </cell>
          <cell r="I66">
            <v>73.486999999999995</v>
          </cell>
          <cell r="J66">
            <v>657.67399999999998</v>
          </cell>
        </row>
        <row r="67">
          <cell r="E67">
            <v>2</v>
          </cell>
          <cell r="F67">
            <v>162.57599999999999</v>
          </cell>
          <cell r="G67">
            <v>180.14419364669186</v>
          </cell>
        </row>
        <row r="68">
          <cell r="E68">
            <v>3</v>
          </cell>
          <cell r="F68">
            <v>183.637</v>
          </cell>
          <cell r="G68">
            <v>203.48107524294824</v>
          </cell>
        </row>
        <row r="69">
          <cell r="E69">
            <v>4</v>
          </cell>
          <cell r="F69">
            <v>141.66300000000001</v>
          </cell>
          <cell r="G69">
            <v>156.97130514080374</v>
          </cell>
        </row>
        <row r="70">
          <cell r="E70">
            <v>1</v>
          </cell>
          <cell r="F70">
            <v>141.22499999999999</v>
          </cell>
          <cell r="G70">
            <v>156.48597423822739</v>
          </cell>
          <cell r="I70">
            <v>53.119</v>
          </cell>
          <cell r="J70">
            <v>692.64</v>
          </cell>
        </row>
        <row r="71">
          <cell r="E71">
            <v>2</v>
          </cell>
          <cell r="F71">
            <v>167.214</v>
          </cell>
          <cell r="G71">
            <v>185.2833825191783</v>
          </cell>
        </row>
        <row r="72">
          <cell r="E72">
            <v>3</v>
          </cell>
          <cell r="F72">
            <v>187.10300000000001</v>
          </cell>
          <cell r="G72">
            <v>207.3216161295455</v>
          </cell>
        </row>
        <row r="73">
          <cell r="E73">
            <v>4</v>
          </cell>
          <cell r="F73">
            <v>143.989</v>
          </cell>
          <cell r="G73">
            <v>159.54865600699682</v>
          </cell>
        </row>
        <row r="74">
          <cell r="E74">
            <v>1</v>
          </cell>
          <cell r="F74">
            <v>141.131</v>
          </cell>
          <cell r="G74">
            <v>156.38181646461513</v>
          </cell>
          <cell r="I74">
            <v>53.12</v>
          </cell>
          <cell r="J74">
            <v>689.822</v>
          </cell>
        </row>
        <row r="75">
          <cell r="E75">
            <v>2</v>
          </cell>
          <cell r="F75">
            <v>164.43600000000001</v>
          </cell>
          <cell r="G75">
            <v>182.20518789050919</v>
          </cell>
        </row>
        <row r="76">
          <cell r="E76">
            <v>3</v>
          </cell>
          <cell r="F76">
            <v>187.20400000000001</v>
          </cell>
          <cell r="G76">
            <v>207.43353033310763</v>
          </cell>
        </row>
        <row r="77">
          <cell r="E77">
            <v>4</v>
          </cell>
          <cell r="F77">
            <v>143.911</v>
          </cell>
          <cell r="G77">
            <v>159.46222721612705</v>
          </cell>
        </row>
        <row r="78">
          <cell r="E78">
            <v>1</v>
          </cell>
          <cell r="F78">
            <v>139.16499999999999</v>
          </cell>
          <cell r="G78">
            <v>154.20336771012862</v>
          </cell>
          <cell r="I78">
            <v>53.12</v>
          </cell>
          <cell r="J78">
            <v>679.47</v>
          </cell>
        </row>
        <row r="79">
          <cell r="E79">
            <v>2</v>
          </cell>
          <cell r="F79">
            <v>162.69999999999999</v>
          </cell>
          <cell r="G79">
            <v>180.28159326294633</v>
          </cell>
        </row>
        <row r="80">
          <cell r="E80">
            <v>3</v>
          </cell>
          <cell r="F80">
            <v>182.57</v>
          </cell>
          <cell r="G80">
            <v>202.29877370630678</v>
          </cell>
        </row>
        <row r="81">
          <cell r="E81">
            <v>4</v>
          </cell>
          <cell r="F81">
            <v>141.929</v>
          </cell>
          <cell r="G81">
            <v>157.26604947889805</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2"/>
    </sheetNames>
    <sheetDataSet>
      <sheetData sheetId="0">
        <row r="10">
          <cell r="E10">
            <v>1</v>
          </cell>
          <cell r="F10">
            <v>131.83000000000001</v>
          </cell>
          <cell r="G10">
            <v>143.3085486859535</v>
          </cell>
          <cell r="I10">
            <v>73.11</v>
          </cell>
          <cell r="J10">
            <v>547.82000000000005</v>
          </cell>
        </row>
        <row r="11">
          <cell r="E11">
            <v>2</v>
          </cell>
          <cell r="F11">
            <v>129.66</v>
          </cell>
          <cell r="G11">
            <v>140.94960496564309</v>
          </cell>
        </row>
        <row r="12">
          <cell r="E12">
            <v>3</v>
          </cell>
          <cell r="F12">
            <v>124.72</v>
          </cell>
          <cell r="G12">
            <v>135.57947502171066</v>
          </cell>
        </row>
        <row r="13">
          <cell r="E13">
            <v>4</v>
          </cell>
          <cell r="F13">
            <v>88.49</v>
          </cell>
          <cell r="G13">
            <v>96.194898530076784</v>
          </cell>
        </row>
        <row r="14">
          <cell r="E14">
            <v>1</v>
          </cell>
          <cell r="F14">
            <v>128.71</v>
          </cell>
          <cell r="G14">
            <v>139.91688766873301</v>
          </cell>
          <cell r="I14">
            <v>46.75</v>
          </cell>
          <cell r="J14">
            <v>521.87</v>
          </cell>
        </row>
        <row r="15">
          <cell r="E15">
            <v>2</v>
          </cell>
          <cell r="F15">
            <v>131.28</v>
          </cell>
          <cell r="G15">
            <v>142.7106597245845</v>
          </cell>
        </row>
        <row r="16">
          <cell r="E16">
            <v>3</v>
          </cell>
          <cell r="F16">
            <v>126.34</v>
          </cell>
          <cell r="G16">
            <v>137.34052978065208</v>
          </cell>
        </row>
        <row r="17">
          <cell r="E17">
            <v>4</v>
          </cell>
          <cell r="F17">
            <v>88.79</v>
          </cell>
          <cell r="G17">
            <v>96.521019781732619</v>
          </cell>
        </row>
        <row r="18">
          <cell r="E18">
            <v>1</v>
          </cell>
          <cell r="F18">
            <v>131.72</v>
          </cell>
          <cell r="G18">
            <v>143.18897089367968</v>
          </cell>
          <cell r="I18">
            <v>32.56</v>
          </cell>
          <cell r="J18">
            <v>549.94000000000005</v>
          </cell>
        </row>
        <row r="19">
          <cell r="E19">
            <v>2</v>
          </cell>
          <cell r="F19">
            <v>131.72</v>
          </cell>
          <cell r="G19">
            <v>143.18897089367968</v>
          </cell>
        </row>
        <row r="20">
          <cell r="E20">
            <v>3</v>
          </cell>
          <cell r="F20">
            <v>126.78</v>
          </cell>
          <cell r="G20">
            <v>137.81884094974728</v>
          </cell>
        </row>
        <row r="21">
          <cell r="E21">
            <v>4</v>
          </cell>
          <cell r="F21">
            <v>127.15</v>
          </cell>
          <cell r="G21">
            <v>138.22105716012277</v>
          </cell>
        </row>
        <row r="22">
          <cell r="E22">
            <v>1</v>
          </cell>
          <cell r="F22">
            <v>132.02000000000001</v>
          </cell>
          <cell r="G22">
            <v>143.5150921453355</v>
          </cell>
          <cell r="I22">
            <v>32.56</v>
          </cell>
          <cell r="J22">
            <v>550.74</v>
          </cell>
        </row>
        <row r="23">
          <cell r="E23">
            <v>2</v>
          </cell>
          <cell r="F23">
            <v>131.82</v>
          </cell>
          <cell r="G23">
            <v>143.29767797756494</v>
          </cell>
        </row>
        <row r="24">
          <cell r="E24">
            <v>3</v>
          </cell>
          <cell r="F24">
            <v>126.88</v>
          </cell>
          <cell r="G24">
            <v>137.92754803363255</v>
          </cell>
        </row>
        <row r="25">
          <cell r="E25">
            <v>4</v>
          </cell>
          <cell r="F25">
            <v>127.45</v>
          </cell>
          <cell r="G25">
            <v>138.54717841177859</v>
          </cell>
        </row>
        <row r="26">
          <cell r="E26">
            <v>1</v>
          </cell>
          <cell r="F26">
            <v>129.66</v>
          </cell>
          <cell r="G26">
            <v>140.94960496564309</v>
          </cell>
          <cell r="I26">
            <v>32.56</v>
          </cell>
          <cell r="J26">
            <v>545.97</v>
          </cell>
        </row>
        <row r="27">
          <cell r="E27">
            <v>2</v>
          </cell>
          <cell r="F27">
            <v>131.80000000000001</v>
          </cell>
          <cell r="G27">
            <v>143.27593656078793</v>
          </cell>
        </row>
        <row r="28">
          <cell r="E28">
            <v>3</v>
          </cell>
          <cell r="F28">
            <v>126.86</v>
          </cell>
          <cell r="G28">
            <v>137.9058066168555</v>
          </cell>
        </row>
        <row r="29">
          <cell r="E29">
            <v>4</v>
          </cell>
          <cell r="F29">
            <v>125.09</v>
          </cell>
          <cell r="G29">
            <v>135.98169123208618</v>
          </cell>
        </row>
        <row r="36">
          <cell r="E36">
            <v>1</v>
          </cell>
          <cell r="F36">
            <v>88.49</v>
          </cell>
          <cell r="G36">
            <v>96.194898530076784</v>
          </cell>
        </row>
        <row r="37">
          <cell r="E37">
            <v>2</v>
          </cell>
          <cell r="F37">
            <v>124.72</v>
          </cell>
          <cell r="G37">
            <v>135.57947502171066</v>
          </cell>
        </row>
        <row r="38">
          <cell r="E38">
            <v>3</v>
          </cell>
          <cell r="F38">
            <v>129.66</v>
          </cell>
          <cell r="G38">
            <v>140.94960496564309</v>
          </cell>
        </row>
        <row r="39">
          <cell r="E39">
            <v>4</v>
          </cell>
          <cell r="F39">
            <v>131.83000000000001</v>
          </cell>
          <cell r="G39">
            <v>143.3085486859535</v>
          </cell>
        </row>
        <row r="40">
          <cell r="E40">
            <v>1</v>
          </cell>
          <cell r="F40">
            <v>88.79</v>
          </cell>
          <cell r="G40">
            <v>96.521019781732619</v>
          </cell>
        </row>
        <row r="41">
          <cell r="E41">
            <v>2</v>
          </cell>
          <cell r="F41">
            <v>126.34</v>
          </cell>
          <cell r="G41">
            <v>137.34052978065208</v>
          </cell>
        </row>
        <row r="42">
          <cell r="E42">
            <v>3</v>
          </cell>
          <cell r="F42">
            <v>131.28</v>
          </cell>
          <cell r="G42">
            <v>142.7106597245845</v>
          </cell>
        </row>
        <row r="43">
          <cell r="E43">
            <v>4</v>
          </cell>
          <cell r="F43">
            <v>128.71</v>
          </cell>
          <cell r="G43">
            <v>139.91688766873301</v>
          </cell>
        </row>
        <row r="44">
          <cell r="E44">
            <v>1</v>
          </cell>
          <cell r="F44">
            <v>127.15</v>
          </cell>
          <cell r="G44">
            <v>138.22105716012277</v>
          </cell>
        </row>
        <row r="45">
          <cell r="E45">
            <v>2</v>
          </cell>
          <cell r="F45">
            <v>126.78</v>
          </cell>
          <cell r="G45">
            <v>137.81884094974728</v>
          </cell>
        </row>
        <row r="46">
          <cell r="E46">
            <v>3</v>
          </cell>
          <cell r="F46">
            <v>131.72</v>
          </cell>
          <cell r="G46">
            <v>143.18897089367968</v>
          </cell>
        </row>
        <row r="47">
          <cell r="E47">
            <v>4</v>
          </cell>
          <cell r="F47">
            <v>131.72</v>
          </cell>
          <cell r="G47">
            <v>143.18897089367968</v>
          </cell>
        </row>
        <row r="48">
          <cell r="E48">
            <v>1</v>
          </cell>
          <cell r="F48">
            <v>127.45</v>
          </cell>
          <cell r="G48">
            <v>138.54717841177859</v>
          </cell>
        </row>
        <row r="49">
          <cell r="E49">
            <v>2</v>
          </cell>
          <cell r="F49">
            <v>126.88</v>
          </cell>
          <cell r="G49">
            <v>137.92754803363255</v>
          </cell>
        </row>
        <row r="50">
          <cell r="E50">
            <v>3</v>
          </cell>
          <cell r="F50">
            <v>131.82</v>
          </cell>
          <cell r="G50">
            <v>143.29767797756494</v>
          </cell>
        </row>
        <row r="51">
          <cell r="E51">
            <v>4</v>
          </cell>
          <cell r="F51">
            <v>132.02000000000001</v>
          </cell>
          <cell r="G51">
            <v>143.5150921453355</v>
          </cell>
        </row>
        <row r="52">
          <cell r="E52">
            <v>1</v>
          </cell>
          <cell r="F52">
            <v>125.09</v>
          </cell>
          <cell r="G52">
            <v>135.98169123208618</v>
          </cell>
        </row>
        <row r="53">
          <cell r="E53">
            <v>2</v>
          </cell>
          <cell r="F53">
            <v>126.86</v>
          </cell>
          <cell r="G53">
            <v>137.9058066168555</v>
          </cell>
        </row>
        <row r="54">
          <cell r="E54">
            <v>3</v>
          </cell>
          <cell r="F54">
            <v>131.80000000000001</v>
          </cell>
          <cell r="G54">
            <v>143.27593656078793</v>
          </cell>
        </row>
        <row r="55">
          <cell r="E55">
            <v>4</v>
          </cell>
          <cell r="F55">
            <v>129.66</v>
          </cell>
          <cell r="G55">
            <v>140.94960496564309</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ow r="10">
          <cell r="E10">
            <v>1</v>
          </cell>
          <cell r="F10">
            <v>110.32</v>
          </cell>
          <cell r="G10">
            <v>120.40866089136887</v>
          </cell>
          <cell r="I10">
            <v>48.87</v>
          </cell>
          <cell r="J10">
            <v>420.41</v>
          </cell>
        </row>
        <row r="11">
          <cell r="E11">
            <v>2</v>
          </cell>
          <cell r="F11">
            <v>110.14</v>
          </cell>
          <cell r="G11">
            <v>120.21220005960269</v>
          </cell>
        </row>
        <row r="12">
          <cell r="E12">
            <v>3</v>
          </cell>
          <cell r="F12">
            <v>89.96</v>
          </cell>
          <cell r="G12">
            <v>98.186757920481725</v>
          </cell>
        </row>
        <row r="13">
          <cell r="E13">
            <v>4</v>
          </cell>
          <cell r="F13">
            <v>60.98</v>
          </cell>
          <cell r="G13">
            <v>66.556564006124674</v>
          </cell>
        </row>
        <row r="14">
          <cell r="E14">
            <v>1</v>
          </cell>
          <cell r="F14">
            <v>110.61</v>
          </cell>
          <cell r="G14">
            <v>120.72518112032553</v>
          </cell>
          <cell r="I14">
            <v>35.729999999999997</v>
          </cell>
          <cell r="J14">
            <v>407.35</v>
          </cell>
        </row>
        <row r="15">
          <cell r="E15">
            <v>2</v>
          </cell>
          <cell r="F15">
            <v>110.14</v>
          </cell>
          <cell r="G15">
            <v>120.21220005960269</v>
          </cell>
        </row>
        <row r="16">
          <cell r="E16">
            <v>3</v>
          </cell>
          <cell r="F16">
            <v>89.05</v>
          </cell>
          <cell r="G16">
            <v>97.193539270997093</v>
          </cell>
        </row>
        <row r="17">
          <cell r="E17">
            <v>4</v>
          </cell>
          <cell r="F17">
            <v>61.82</v>
          </cell>
          <cell r="G17">
            <v>67.473381221033577</v>
          </cell>
        </row>
        <row r="18">
          <cell r="E18">
            <v>1</v>
          </cell>
          <cell r="F18">
            <v>112.2</v>
          </cell>
          <cell r="G18">
            <v>122.46058513426023</v>
          </cell>
          <cell r="I18">
            <v>29.85</v>
          </cell>
          <cell r="J18">
            <v>436.05</v>
          </cell>
        </row>
        <row r="19">
          <cell r="E19">
            <v>2</v>
          </cell>
          <cell r="F19">
            <v>112.2</v>
          </cell>
          <cell r="G19">
            <v>122.46058513426023</v>
          </cell>
        </row>
        <row r="20">
          <cell r="E20">
            <v>3</v>
          </cell>
          <cell r="F20">
            <v>90.91</v>
          </cell>
          <cell r="G20">
            <v>99.223634532581073</v>
          </cell>
        </row>
        <row r="21">
          <cell r="E21">
            <v>4</v>
          </cell>
          <cell r="F21">
            <v>90.91</v>
          </cell>
          <cell r="G21">
            <v>99.223634532581073</v>
          </cell>
        </row>
        <row r="22">
          <cell r="E22">
            <v>1</v>
          </cell>
          <cell r="F22">
            <v>110.14</v>
          </cell>
          <cell r="G22">
            <v>120.21220005960269</v>
          </cell>
          <cell r="I22">
            <v>29.85</v>
          </cell>
          <cell r="J22">
            <v>428.22</v>
          </cell>
        </row>
        <row r="23">
          <cell r="E23">
            <v>2</v>
          </cell>
          <cell r="F23">
            <v>110.14</v>
          </cell>
          <cell r="G23">
            <v>120.21220005960269</v>
          </cell>
        </row>
        <row r="24">
          <cell r="E24">
            <v>3</v>
          </cell>
          <cell r="F24">
            <v>89.05</v>
          </cell>
          <cell r="G24">
            <v>97.193539270997093</v>
          </cell>
        </row>
        <row r="25">
          <cell r="E25">
            <v>4</v>
          </cell>
          <cell r="F25">
            <v>89.05</v>
          </cell>
          <cell r="G25">
            <v>97.193539270997093</v>
          </cell>
        </row>
        <row r="26">
          <cell r="E26">
            <v>1</v>
          </cell>
          <cell r="F26">
            <v>110.18</v>
          </cell>
          <cell r="G26">
            <v>120.25585802221741</v>
          </cell>
          <cell r="I26">
            <v>29.85</v>
          </cell>
          <cell r="J26">
            <v>432.17</v>
          </cell>
        </row>
        <row r="27">
          <cell r="E27">
            <v>2</v>
          </cell>
          <cell r="F27">
            <v>110.18</v>
          </cell>
          <cell r="G27">
            <v>120.25585802221741</v>
          </cell>
        </row>
        <row r="28">
          <cell r="E28">
            <v>3</v>
          </cell>
          <cell r="F28">
            <v>89.12</v>
          </cell>
          <cell r="G28">
            <v>97.269940705572836</v>
          </cell>
        </row>
        <row r="29">
          <cell r="E29">
            <v>4</v>
          </cell>
          <cell r="F29">
            <v>89.12</v>
          </cell>
          <cell r="G29">
            <v>97.269940705572836</v>
          </cell>
        </row>
        <row r="36">
          <cell r="F36">
            <v>60.98</v>
          </cell>
          <cell r="G36">
            <v>66.844099610330389</v>
          </cell>
          <cell r="J36">
            <v>396.25</v>
          </cell>
        </row>
        <row r="37">
          <cell r="F37">
            <v>89.96</v>
          </cell>
          <cell r="G37">
            <v>98.610941307729107</v>
          </cell>
        </row>
        <row r="38">
          <cell r="F38">
            <v>97.98</v>
          </cell>
          <cell r="G38">
            <v>107.40217907215762</v>
          </cell>
        </row>
        <row r="39">
          <cell r="F39">
            <v>98.17</v>
          </cell>
          <cell r="G39">
            <v>107.61045029101565</v>
          </cell>
        </row>
        <row r="40">
          <cell r="F40">
            <v>61.82</v>
          </cell>
          <cell r="G40">
            <v>67.764877630544845</v>
          </cell>
          <cell r="J40">
            <v>380.7</v>
          </cell>
        </row>
        <row r="41">
          <cell r="F41">
            <v>89.05</v>
          </cell>
          <cell r="G41">
            <v>97.61343178583013</v>
          </cell>
        </row>
        <row r="42">
          <cell r="F42">
            <v>97.06</v>
          </cell>
          <cell r="G42">
            <v>106.39370790716083</v>
          </cell>
        </row>
        <row r="43">
          <cell r="F43">
            <v>97.09</v>
          </cell>
          <cell r="G43">
            <v>106.4265928364542</v>
          </cell>
        </row>
        <row r="44">
          <cell r="F44">
            <v>90.91</v>
          </cell>
          <cell r="G44">
            <v>99.652297402019272</v>
          </cell>
          <cell r="J44">
            <v>409.54</v>
          </cell>
        </row>
        <row r="45">
          <cell r="F45">
            <v>90.91</v>
          </cell>
          <cell r="G45">
            <v>99.652297402019272</v>
          </cell>
        </row>
        <row r="46">
          <cell r="F46">
            <v>98.95</v>
          </cell>
          <cell r="G46">
            <v>108.46545845264336</v>
          </cell>
        </row>
        <row r="47">
          <cell r="F47">
            <v>98.95</v>
          </cell>
          <cell r="G47">
            <v>108.46545845264336</v>
          </cell>
        </row>
        <row r="48">
          <cell r="F48">
            <v>89.05</v>
          </cell>
          <cell r="G48">
            <v>97.61343178583013</v>
          </cell>
          <cell r="J48">
            <v>402.11</v>
          </cell>
        </row>
        <row r="49">
          <cell r="F49">
            <v>89.05</v>
          </cell>
          <cell r="G49">
            <v>97.61343178583013</v>
          </cell>
        </row>
        <row r="50">
          <cell r="F50">
            <v>97.09</v>
          </cell>
          <cell r="G50">
            <v>106.4265928364542</v>
          </cell>
        </row>
        <row r="51">
          <cell r="F51">
            <v>97.09</v>
          </cell>
          <cell r="G51">
            <v>106.4265928364542</v>
          </cell>
        </row>
        <row r="52">
          <cell r="F52">
            <v>89.12</v>
          </cell>
          <cell r="G52">
            <v>97.690163287514665</v>
          </cell>
          <cell r="J52">
            <v>405.86</v>
          </cell>
        </row>
        <row r="53">
          <cell r="F53">
            <v>90.52</v>
          </cell>
          <cell r="G53">
            <v>99.224793321205425</v>
          </cell>
        </row>
        <row r="54">
          <cell r="F54">
            <v>98.57</v>
          </cell>
          <cell r="G54">
            <v>108.04891601492729</v>
          </cell>
        </row>
        <row r="55">
          <cell r="F55">
            <v>97.17</v>
          </cell>
          <cell r="G55">
            <v>106.51428598123654</v>
          </cell>
        </row>
        <row r="62">
          <cell r="E62">
            <v>1</v>
          </cell>
          <cell r="F62">
            <v>98.17</v>
          </cell>
          <cell r="G62">
            <v>107.61222461609491</v>
          </cell>
        </row>
        <row r="63">
          <cell r="E63">
            <v>2</v>
          </cell>
          <cell r="F63">
            <v>97.98</v>
          </cell>
          <cell r="G63">
            <v>107.40394996317592</v>
          </cell>
        </row>
        <row r="64">
          <cell r="E64">
            <v>3</v>
          </cell>
          <cell r="F64">
            <v>89.96</v>
          </cell>
          <cell r="G64">
            <v>98.612567245226629</v>
          </cell>
        </row>
        <row r="65">
          <cell r="E65">
            <v>4</v>
          </cell>
          <cell r="F65">
            <v>60.98</v>
          </cell>
          <cell r="G65">
            <v>66.845201763160517</v>
          </cell>
        </row>
        <row r="66">
          <cell r="E66">
            <v>1</v>
          </cell>
          <cell r="F66">
            <v>97.09</v>
          </cell>
          <cell r="G66">
            <v>106.42834764160798</v>
          </cell>
        </row>
        <row r="67">
          <cell r="E67">
            <v>2</v>
          </cell>
          <cell r="F67">
            <v>97.06</v>
          </cell>
          <cell r="G67">
            <v>106.39546217009445</v>
          </cell>
        </row>
        <row r="68">
          <cell r="E68">
            <v>3</v>
          </cell>
          <cell r="F68">
            <v>89.05</v>
          </cell>
          <cell r="G68">
            <v>97.615041275983003</v>
          </cell>
        </row>
        <row r="69">
          <cell r="E69">
            <v>4</v>
          </cell>
          <cell r="F69">
            <v>61.82</v>
          </cell>
          <cell r="G69">
            <v>67.765994965539235</v>
          </cell>
        </row>
        <row r="70">
          <cell r="E70">
            <v>1</v>
          </cell>
          <cell r="F70">
            <v>98.95</v>
          </cell>
          <cell r="G70">
            <v>108.46724687544659</v>
          </cell>
        </row>
        <row r="71">
          <cell r="E71">
            <v>2</v>
          </cell>
          <cell r="F71">
            <v>98.93</v>
          </cell>
          <cell r="G71">
            <v>108.44532322777091</v>
          </cell>
        </row>
        <row r="72">
          <cell r="E72">
            <v>3</v>
          </cell>
          <cell r="F72">
            <v>90.91</v>
          </cell>
          <cell r="G72">
            <v>99.653940509821609</v>
          </cell>
        </row>
        <row r="73">
          <cell r="E73">
            <v>4</v>
          </cell>
          <cell r="F73">
            <v>90.9</v>
          </cell>
          <cell r="G73">
            <v>99.642978685983778</v>
          </cell>
        </row>
        <row r="74">
          <cell r="E74">
            <v>1</v>
          </cell>
          <cell r="F74">
            <v>97.09</v>
          </cell>
          <cell r="G74">
            <v>106.42834764160798</v>
          </cell>
        </row>
        <row r="75">
          <cell r="E75">
            <v>2</v>
          </cell>
          <cell r="F75">
            <v>97.09</v>
          </cell>
          <cell r="G75">
            <v>106.42834764160798</v>
          </cell>
        </row>
        <row r="76">
          <cell r="E76">
            <v>3</v>
          </cell>
          <cell r="F76">
            <v>89.05</v>
          </cell>
          <cell r="G76">
            <v>97.615041275983003</v>
          </cell>
        </row>
        <row r="77">
          <cell r="E77">
            <v>4</v>
          </cell>
          <cell r="F77">
            <v>89.05</v>
          </cell>
          <cell r="G77">
            <v>97.615041275983003</v>
          </cell>
        </row>
        <row r="78">
          <cell r="E78">
            <v>1</v>
          </cell>
          <cell r="F78">
            <v>97.17</v>
          </cell>
          <cell r="G78">
            <v>106.51604223231071</v>
          </cell>
        </row>
        <row r="79">
          <cell r="E79">
            <v>2</v>
          </cell>
          <cell r="F79">
            <v>98.57</v>
          </cell>
          <cell r="G79">
            <v>108.05069756960859</v>
          </cell>
        </row>
        <row r="80">
          <cell r="E80">
            <v>3</v>
          </cell>
          <cell r="F80">
            <v>90.52</v>
          </cell>
          <cell r="G80">
            <v>99.226429380145774</v>
          </cell>
        </row>
        <row r="81">
          <cell r="E81">
            <v>4</v>
          </cell>
          <cell r="F81">
            <v>89.12</v>
          </cell>
          <cell r="G81">
            <v>97.691774042847911</v>
          </cell>
        </row>
        <row r="87">
          <cell r="E87">
            <v>1</v>
          </cell>
          <cell r="F87">
            <v>63.79</v>
          </cell>
          <cell r="G87">
            <v>81.452738123463917</v>
          </cell>
          <cell r="I87">
            <v>125.92</v>
          </cell>
          <cell r="J87">
            <v>441.66</v>
          </cell>
        </row>
        <row r="88">
          <cell r="E88">
            <v>2</v>
          </cell>
          <cell r="F88">
            <v>63.16</v>
          </cell>
          <cell r="G88">
            <v>80.648298163943892</v>
          </cell>
        </row>
        <row r="89">
          <cell r="E89">
            <v>3</v>
          </cell>
          <cell r="F89">
            <v>51.02</v>
          </cell>
          <cell r="G89">
            <v>65.146867832875529</v>
          </cell>
        </row>
        <row r="90">
          <cell r="E90">
            <v>4</v>
          </cell>
          <cell r="F90">
            <v>68.59</v>
          </cell>
          <cell r="G90">
            <v>87.581804481711714</v>
          </cell>
        </row>
        <row r="91">
          <cell r="E91">
            <v>5</v>
          </cell>
          <cell r="F91">
            <v>69.17</v>
          </cell>
          <cell r="G91">
            <v>88.322399999999988</v>
          </cell>
        </row>
        <row r="92">
          <cell r="E92">
            <v>1</v>
          </cell>
          <cell r="F92">
            <v>63.79</v>
          </cell>
          <cell r="G92">
            <v>81.452738123463917</v>
          </cell>
          <cell r="I92">
            <v>125.92</v>
          </cell>
          <cell r="J92">
            <v>440.97</v>
          </cell>
        </row>
        <row r="93">
          <cell r="E93">
            <v>2</v>
          </cell>
          <cell r="F93">
            <v>62.9</v>
          </cell>
          <cell r="G93">
            <v>80.316307069538809</v>
          </cell>
        </row>
        <row r="94">
          <cell r="E94">
            <v>3</v>
          </cell>
          <cell r="F94">
            <v>51.02</v>
          </cell>
          <cell r="G94">
            <v>65.146867832875529</v>
          </cell>
        </row>
        <row r="95">
          <cell r="E95">
            <v>4</v>
          </cell>
          <cell r="F95">
            <v>68.59</v>
          </cell>
          <cell r="G95">
            <v>87.581804481711714</v>
          </cell>
        </row>
        <row r="96">
          <cell r="E96">
            <v>5</v>
          </cell>
          <cell r="F96">
            <v>69.17</v>
          </cell>
          <cell r="G96">
            <v>88.322399999999988</v>
          </cell>
        </row>
        <row r="97">
          <cell r="E97">
            <v>1</v>
          </cell>
          <cell r="F97">
            <v>63.16</v>
          </cell>
          <cell r="G97">
            <v>80.648298163943892</v>
          </cell>
          <cell r="I97">
            <v>75.75</v>
          </cell>
          <cell r="J97">
            <v>442.77</v>
          </cell>
        </row>
        <row r="98">
          <cell r="E98">
            <v>2</v>
          </cell>
          <cell r="F98">
            <v>63.11</v>
          </cell>
          <cell r="G98">
            <v>80.584453722712155</v>
          </cell>
        </row>
        <row r="99">
          <cell r="E99">
            <v>3</v>
          </cell>
          <cell r="F99">
            <v>51.48</v>
          </cell>
          <cell r="G99">
            <v>65.734236692207588</v>
          </cell>
        </row>
        <row r="100">
          <cell r="E100">
            <v>4</v>
          </cell>
          <cell r="F100">
            <v>68.89</v>
          </cell>
          <cell r="G100">
            <v>87.964871129102207</v>
          </cell>
        </row>
        <row r="101">
          <cell r="E101">
            <v>5</v>
          </cell>
          <cell r="F101">
            <v>68.91</v>
          </cell>
          <cell r="G101">
            <v>87.990408905594904</v>
          </cell>
        </row>
        <row r="102">
          <cell r="E102">
            <v>6</v>
          </cell>
          <cell r="F102">
            <v>51.5</v>
          </cell>
          <cell r="G102">
            <v>65.7597744687003</v>
          </cell>
        </row>
        <row r="103">
          <cell r="E103">
            <v>1</v>
          </cell>
          <cell r="F103">
            <v>62.86</v>
          </cell>
          <cell r="G103">
            <v>80.265231516553413</v>
          </cell>
          <cell r="I103">
            <v>75.75</v>
          </cell>
          <cell r="J103">
            <v>440.39</v>
          </cell>
        </row>
        <row r="104">
          <cell r="E104">
            <v>2</v>
          </cell>
          <cell r="F104">
            <v>62.84</v>
          </cell>
          <cell r="G104">
            <v>80.239693740060716</v>
          </cell>
        </row>
        <row r="105">
          <cell r="E105">
            <v>3</v>
          </cell>
          <cell r="F105">
            <v>50.89</v>
          </cell>
          <cell r="G105">
            <v>64.980872285672973</v>
          </cell>
        </row>
        <row r="106">
          <cell r="E106">
            <v>4</v>
          </cell>
          <cell r="F106">
            <v>68.599999999999994</v>
          </cell>
          <cell r="G106">
            <v>87.594573369958056</v>
          </cell>
        </row>
        <row r="107">
          <cell r="E107">
            <v>5</v>
          </cell>
          <cell r="F107">
            <v>68.62</v>
          </cell>
          <cell r="G107">
            <v>87.620111146450768</v>
          </cell>
        </row>
        <row r="108">
          <cell r="E108">
            <v>6</v>
          </cell>
          <cell r="F108">
            <v>50.89</v>
          </cell>
          <cell r="G108">
            <v>64.980872285672973</v>
          </cell>
        </row>
        <row r="109">
          <cell r="E109">
            <v>1</v>
          </cell>
          <cell r="F109">
            <v>62.97</v>
          </cell>
          <cell r="G109">
            <v>80.405689287263257</v>
          </cell>
          <cell r="I109">
            <v>75.75</v>
          </cell>
          <cell r="J109">
            <v>442.27</v>
          </cell>
        </row>
        <row r="110">
          <cell r="E110">
            <v>2</v>
          </cell>
          <cell r="F110">
            <v>62.97</v>
          </cell>
          <cell r="G110">
            <v>80.405689287263257</v>
          </cell>
        </row>
        <row r="111">
          <cell r="E111">
            <v>3</v>
          </cell>
          <cell r="F111">
            <v>51.5</v>
          </cell>
          <cell r="G111">
            <v>65.7597744687003</v>
          </cell>
        </row>
        <row r="112">
          <cell r="E112">
            <v>4</v>
          </cell>
          <cell r="F112">
            <v>68.680000000000007</v>
          </cell>
          <cell r="G112">
            <v>87.696724475928875</v>
          </cell>
        </row>
        <row r="113">
          <cell r="E113">
            <v>5</v>
          </cell>
          <cell r="F113">
            <v>68.680000000000007</v>
          </cell>
          <cell r="G113">
            <v>87.696724475928875</v>
          </cell>
        </row>
        <row r="114">
          <cell r="E114">
            <v>6</v>
          </cell>
          <cell r="F114">
            <v>51.5</v>
          </cell>
          <cell r="G114">
            <v>65.7597744687003</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5186.601467245368" createdVersion="8" refreshedVersion="8" minRefreshableVersion="3" recordCount="858" xr:uid="{2994946A-5D02-4126-8B33-4C7B753806B6}">
  <cacheSource type="worksheet">
    <worksheetSource name="Table1"/>
  </cacheSource>
  <cacheFields count="48">
    <cacheField name="BLD_x000a_Type" numFmtId="0">
      <sharedItems containsBlank="1"/>
    </cacheField>
    <cacheField name="ZONE" numFmtId="2">
      <sharedItems/>
    </cacheField>
    <cacheField name="BLD_x000a_No." numFmtId="2">
      <sharedItems/>
    </cacheField>
    <cacheField name="BLD. TYPE" numFmtId="2">
      <sharedItems/>
    </cacheField>
    <cacheField name="Floor" numFmtId="1">
      <sharedItems containsSemiMixedTypes="0" containsString="0" containsNumber="1" containsInteger="1" minValue="0" maxValue="4"/>
    </cacheField>
    <cacheField name="UNIT " numFmtId="1">
      <sharedItems containsSemiMixedTypes="0" containsString="0" containsNumber="1" containsInteger="1" minValue="1" maxValue="6"/>
    </cacheField>
    <cacheField name="Unit Number" numFmtId="2">
      <sharedItems count="858">
        <s v="A101"/>
        <s v="A102"/>
        <s v="A103"/>
        <s v="A104"/>
        <s v="A111"/>
        <s v="A112"/>
        <s v="A113"/>
        <s v="A114"/>
        <s v="A121"/>
        <s v="A122"/>
        <s v="A123"/>
        <s v="A124"/>
        <s v="A131"/>
        <s v="A132"/>
        <s v="A133"/>
        <s v="A134"/>
        <s v="A141"/>
        <s v="A142"/>
        <s v="A143"/>
        <s v="A144"/>
        <s v="A201"/>
        <s v="A202"/>
        <s v="A203"/>
        <s v="A204"/>
        <s v="A211"/>
        <s v="A212"/>
        <s v="A213"/>
        <s v="A214"/>
        <s v="A221"/>
        <s v="A222"/>
        <s v="A223"/>
        <s v="A224"/>
        <s v="A231"/>
        <s v="A232"/>
        <s v="A233"/>
        <s v="A234"/>
        <s v="A241"/>
        <s v="A242"/>
        <s v="A243"/>
        <s v="A244"/>
        <s v="A301"/>
        <s v="A302"/>
        <s v="A303"/>
        <s v="A304"/>
        <s v="A311"/>
        <s v="A312"/>
        <s v="A313"/>
        <s v="A314"/>
        <s v="A321"/>
        <s v="A322"/>
        <s v="A323"/>
        <s v="A324"/>
        <s v="A331"/>
        <s v="A332"/>
        <s v="A333"/>
        <s v="A334"/>
        <s v="A341"/>
        <s v="A342"/>
        <s v="A343"/>
        <s v="A344"/>
        <s v="A401"/>
        <s v="A402"/>
        <s v="A403"/>
        <s v="A404"/>
        <s v="A405"/>
        <s v="A411"/>
        <s v="A412"/>
        <s v="A413"/>
        <s v="A414"/>
        <s v="A415"/>
        <s v="A421"/>
        <s v="A422"/>
        <s v="A423"/>
        <s v="A424"/>
        <s v="A425"/>
        <s v="A426"/>
        <s v="A431"/>
        <s v="A432"/>
        <s v="A433"/>
        <s v="A434"/>
        <s v="A435"/>
        <s v="A436"/>
        <s v="A441"/>
        <s v="A442"/>
        <s v="A443"/>
        <s v="A444"/>
        <s v="A445"/>
        <s v="A446"/>
        <s v="A501"/>
        <s v="A502"/>
        <s v="A503"/>
        <s v="A504"/>
        <s v="A505"/>
        <s v="A511"/>
        <s v="A512"/>
        <s v="A513"/>
        <s v="A514"/>
        <s v="A515"/>
        <s v="A521"/>
        <s v="A522"/>
        <s v="A523"/>
        <s v="A524"/>
        <s v="A525"/>
        <s v="A526"/>
        <s v="A531"/>
        <s v="A532"/>
        <s v="A533"/>
        <s v="A534"/>
        <s v="A535"/>
        <s v="A536"/>
        <s v="A541"/>
        <s v="A542"/>
        <s v="A543"/>
        <s v="A544"/>
        <s v="A545"/>
        <s v="A546"/>
        <s v="A601"/>
        <s v="A602"/>
        <s v="A603"/>
        <s v="A604"/>
        <s v="A611"/>
        <s v="A612"/>
        <s v="A613"/>
        <s v="A614"/>
        <s v="A621"/>
        <s v="A622"/>
        <s v="A623"/>
        <s v="A624"/>
        <s v="A631"/>
        <s v="A632"/>
        <s v="A633"/>
        <s v="A634"/>
        <s v="A641"/>
        <s v="A642"/>
        <s v="A643"/>
        <s v="A644"/>
        <s v="A701"/>
        <s v="A702"/>
        <s v="A703"/>
        <s v="A704"/>
        <s v="A711"/>
        <s v="A712"/>
        <s v="A713"/>
        <s v="A714"/>
        <s v="A721"/>
        <s v="A722"/>
        <s v="A723"/>
        <s v="A724"/>
        <s v="A731"/>
        <s v="A732"/>
        <s v="A733"/>
        <s v="A734"/>
        <s v="A741"/>
        <s v="A742"/>
        <s v="A743"/>
        <s v="A744"/>
        <s v="A801"/>
        <s v="A802"/>
        <s v="A803"/>
        <s v="A804"/>
        <s v="A811"/>
        <s v="A812"/>
        <s v="A813"/>
        <s v="A814"/>
        <s v="A821"/>
        <s v="A822"/>
        <s v="A823"/>
        <s v="A824"/>
        <s v="A831"/>
        <s v="A832"/>
        <s v="A833"/>
        <s v="A834"/>
        <s v="A841"/>
        <s v="A842"/>
        <s v="A843"/>
        <s v="A844"/>
        <s v="B101"/>
        <s v="B102"/>
        <s v="B103"/>
        <s v="B104"/>
        <s v="B111"/>
        <s v="B112"/>
        <s v="B113"/>
        <s v="B114"/>
        <s v="B121"/>
        <s v="B122"/>
        <s v="B123"/>
        <s v="B124"/>
        <s v="B131"/>
        <s v="B132"/>
        <s v="B133"/>
        <s v="B134"/>
        <s v="B141"/>
        <s v="B142"/>
        <s v="B143"/>
        <s v="B144"/>
        <s v="B201"/>
        <s v="B202"/>
        <s v="B203"/>
        <s v="B204"/>
        <s v="B211"/>
        <s v="B212"/>
        <s v="B213"/>
        <s v="B214"/>
        <s v="B221"/>
        <s v="B222"/>
        <s v="B223"/>
        <s v="B224"/>
        <s v="B231"/>
        <s v="B232"/>
        <s v="B233"/>
        <s v="B234"/>
        <s v="B241"/>
        <s v="B242"/>
        <s v="B243"/>
        <s v="B244"/>
        <s v="B301"/>
        <s v="B302"/>
        <s v="B303"/>
        <s v="B304"/>
        <s v="B311"/>
        <s v="B312"/>
        <s v="B313"/>
        <s v="B314"/>
        <s v="B321"/>
        <s v="B322"/>
        <s v="B323"/>
        <s v="B324"/>
        <s v="B331"/>
        <s v="B332"/>
        <s v="B333"/>
        <s v="B334"/>
        <s v="B341"/>
        <s v="B342"/>
        <s v="B343"/>
        <s v="B344"/>
        <s v="B401"/>
        <s v="B402"/>
        <s v="B403"/>
        <s v="B404"/>
        <s v="B411"/>
        <s v="B414"/>
        <s v="B421"/>
        <s v="B422"/>
        <s v="B423"/>
        <s v="B424"/>
        <s v="B431"/>
        <s v="B432"/>
        <s v="B433"/>
        <s v="B434"/>
        <s v="B441"/>
        <s v="B442"/>
        <s v="B443"/>
        <s v="B444"/>
        <s v="B501"/>
        <s v="B502"/>
        <s v="B503"/>
        <s v="B504"/>
        <s v="B511"/>
        <s v="B512"/>
        <s v="B513"/>
        <s v="B514"/>
        <s v="B521"/>
        <s v="B522"/>
        <s v="B523"/>
        <s v="B524"/>
        <s v="B531"/>
        <s v="B532"/>
        <s v="B533"/>
        <s v="B534"/>
        <s v="B541"/>
        <s v="B542"/>
        <s v="B543"/>
        <s v="B544"/>
        <s v="B601"/>
        <s v="B602"/>
        <s v="B603"/>
        <s v="B604"/>
        <s v="B611"/>
        <s v="B612"/>
        <s v="B613"/>
        <s v="B614"/>
        <s v="B621"/>
        <s v="B622"/>
        <s v="B623"/>
        <s v="B624"/>
        <s v="B631"/>
        <s v="B632"/>
        <s v="B633"/>
        <s v="B634"/>
        <s v="B641"/>
        <s v="B642"/>
        <s v="B643"/>
        <s v="B644"/>
        <s v="B701"/>
        <s v="B702"/>
        <s v="B703"/>
        <s v="B704"/>
        <s v="B711"/>
        <s v="B714"/>
        <s v="B721"/>
        <s v="B722"/>
        <s v="B723"/>
        <s v="B724"/>
        <s v="B731"/>
        <s v="B732"/>
        <s v="B733"/>
        <s v="B734"/>
        <s v="B741"/>
        <s v="B742"/>
        <s v="B743"/>
        <s v="B744"/>
        <s v="B801"/>
        <s v="B802"/>
        <s v="B803"/>
        <s v="B804"/>
        <s v="B811"/>
        <s v="B812"/>
        <s v="B813"/>
        <s v="B814"/>
        <s v="B821"/>
        <s v="B822"/>
        <s v="B823"/>
        <s v="B824"/>
        <s v="B831"/>
        <s v="B832"/>
        <s v="B833"/>
        <s v="B834"/>
        <s v="B841"/>
        <s v="B842"/>
        <s v="B843"/>
        <s v="B844"/>
        <s v="B901"/>
        <s v="B902"/>
        <s v="B903"/>
        <s v="B904"/>
        <s v="B911"/>
        <s v="B912"/>
        <s v="B913"/>
        <s v="B914"/>
        <s v="B921"/>
        <s v="B922"/>
        <s v="B923"/>
        <s v="B924"/>
        <s v="B931"/>
        <s v="B932"/>
        <s v="B933"/>
        <s v="B934"/>
        <s v="B941"/>
        <s v="B942"/>
        <s v="B943"/>
        <s v="B944"/>
        <s v="B1001"/>
        <s v="B1002"/>
        <s v="B1003"/>
        <s v="B1004"/>
        <s v="B1011"/>
        <s v="B1014"/>
        <s v="B1021"/>
        <s v="B1022"/>
        <s v="B1023"/>
        <s v="B1024"/>
        <s v="B1031"/>
        <s v="B1032"/>
        <s v="B1033"/>
        <s v="B1034"/>
        <s v="B1041"/>
        <s v="B1042"/>
        <s v="B1043"/>
        <s v="B1044"/>
        <s v="B1101"/>
        <s v="B1102"/>
        <s v="B1103"/>
        <s v="B1104"/>
        <s v="B1111"/>
        <s v="B1112"/>
        <s v="B1113"/>
        <s v="B1114"/>
        <s v="B1121"/>
        <s v="B1122"/>
        <s v="B1123"/>
        <s v="B1124"/>
        <s v="B1131"/>
        <s v="B1132"/>
        <s v="B1133"/>
        <s v="B1134"/>
        <s v="B1141"/>
        <s v="B1142"/>
        <s v="B1143"/>
        <s v="B1144"/>
        <s v="B1201"/>
        <s v="B1202"/>
        <s v="B1203"/>
        <s v="B1204"/>
        <s v="B1211"/>
        <s v="B1212"/>
        <s v="B1213"/>
        <s v="B1214"/>
        <s v="B1221"/>
        <s v="B1222"/>
        <s v="B1223"/>
        <s v="B1224"/>
        <s v="B1231"/>
        <s v="B1232"/>
        <s v="B1233"/>
        <s v="B1234"/>
        <s v="B1241"/>
        <s v="B1242"/>
        <s v="B1243"/>
        <s v="B1244"/>
        <s v="B1301"/>
        <s v="B1302"/>
        <s v="B1303"/>
        <s v="B1304"/>
        <s v="B1311"/>
        <s v="B1314"/>
        <s v="B1321"/>
        <s v="B1322"/>
        <s v="B1323"/>
        <s v="B1324"/>
        <s v="B1331"/>
        <s v="B1332"/>
        <s v="B1333"/>
        <s v="B1334"/>
        <s v="B1341"/>
        <s v="B1342"/>
        <s v="B1343"/>
        <s v="B1344"/>
        <s v="B1401"/>
        <s v="B1402"/>
        <s v="B1403"/>
        <s v="B1404"/>
        <s v="B1411"/>
        <s v="B1412"/>
        <s v="B1413"/>
        <s v="B1414"/>
        <s v="B1421"/>
        <s v="B1422"/>
        <s v="B1423"/>
        <s v="B1424"/>
        <s v="B1431"/>
        <s v="B1432"/>
        <s v="B1433"/>
        <s v="B1434"/>
        <s v="B1441"/>
        <s v="B1442"/>
        <s v="B1443"/>
        <s v="B1444"/>
        <s v="B1501"/>
        <s v="B1502"/>
        <s v="B1503"/>
        <s v="B1504"/>
        <s v="B1511"/>
        <s v="B1512"/>
        <s v="B1513"/>
        <s v="B1514"/>
        <s v="B1521"/>
        <s v="B1522"/>
        <s v="B1523"/>
        <s v="B1524"/>
        <s v="B1531"/>
        <s v="B1532"/>
        <s v="B1533"/>
        <s v="B1534"/>
        <s v="B1541"/>
        <s v="B1542"/>
        <s v="B1543"/>
        <s v="B1544"/>
        <s v="B1601"/>
        <s v="B1602"/>
        <s v="B1603"/>
        <s v="B1604"/>
        <s v="B1611"/>
        <s v="B1614"/>
        <s v="B1621"/>
        <s v="B1622"/>
        <s v="B1623"/>
        <s v="B1624"/>
        <s v="B1631"/>
        <s v="B1632"/>
        <s v="B1633"/>
        <s v="B1634"/>
        <s v="B1641"/>
        <s v="B1642"/>
        <s v="B1643"/>
        <s v="B1644"/>
        <s v="B1701"/>
        <s v="B1702"/>
        <s v="B1703"/>
        <s v="B1704"/>
        <s v="B1711"/>
        <s v="B1712"/>
        <s v="B1713"/>
        <s v="B1714"/>
        <s v="B1721"/>
        <s v="B1722"/>
        <s v="B1723"/>
        <s v="B1724"/>
        <s v="B1731"/>
        <s v="B1732"/>
        <s v="B1733"/>
        <s v="B1734"/>
        <s v="B1741"/>
        <s v="B1742"/>
        <s v="B1743"/>
        <s v="B1744"/>
        <s v="B1801"/>
        <s v="B1802"/>
        <s v="B1803"/>
        <s v="B1804"/>
        <s v="B1811"/>
        <s v="B1812"/>
        <s v="B1813"/>
        <s v="B1814"/>
        <s v="B1821"/>
        <s v="B1822"/>
        <s v="B1823"/>
        <s v="B1824"/>
        <s v="B1831"/>
        <s v="B1832"/>
        <s v="B1833"/>
        <s v="B1834"/>
        <s v="B1841"/>
        <s v="B1842"/>
        <s v="B1843"/>
        <s v="B1844"/>
        <s v="B1901"/>
        <s v="B1902"/>
        <s v="B1903"/>
        <s v="B1904"/>
        <s v="B1911"/>
        <s v="B1912"/>
        <s v="B1913"/>
        <s v="B1914"/>
        <s v="B1921"/>
        <s v="B1922"/>
        <s v="B1923"/>
        <s v="B1924"/>
        <s v="B1931"/>
        <s v="B1932"/>
        <s v="B1933"/>
        <s v="B1934"/>
        <s v="B1941"/>
        <s v="B1942"/>
        <s v="B1943"/>
        <s v="B1944"/>
        <s v="C101"/>
        <s v="C102"/>
        <s v="C103"/>
        <s v="C104"/>
        <s v="C111"/>
        <s v="C112"/>
        <s v="C113"/>
        <s v="C114"/>
        <s v="C121"/>
        <s v="C122"/>
        <s v="C123"/>
        <s v="C124"/>
        <s v="C131"/>
        <s v="C132"/>
        <s v="C133"/>
        <s v="C134"/>
        <s v="C141"/>
        <s v="C142"/>
        <s v="C143"/>
        <s v="C144"/>
        <s v="C201"/>
        <s v="C202"/>
        <s v="C203"/>
        <s v="C204"/>
        <s v="C211"/>
        <s v="C214"/>
        <s v="C221"/>
        <s v="C222"/>
        <s v="C223"/>
        <s v="C224"/>
        <s v="C231"/>
        <s v="C232"/>
        <s v="C233"/>
        <s v="C234"/>
        <s v="C241"/>
        <s v="C242"/>
        <s v="C243"/>
        <s v="C244"/>
        <s v="C301"/>
        <s v="C302"/>
        <s v="C303"/>
        <s v="C304"/>
        <s v="C311"/>
        <s v="C312"/>
        <s v="C313"/>
        <s v="C314"/>
        <s v="C321"/>
        <s v="C322"/>
        <s v="C323"/>
        <s v="C324"/>
        <s v="C331"/>
        <s v="C332"/>
        <s v="C333"/>
        <s v="C334"/>
        <s v="C341"/>
        <s v="C342"/>
        <s v="C343"/>
        <s v="C344"/>
        <s v="C401"/>
        <s v="C402"/>
        <s v="C403"/>
        <s v="C404"/>
        <s v="C411"/>
        <s v="C412"/>
        <s v="C413"/>
        <s v="C414"/>
        <s v="C421"/>
        <s v="C422"/>
        <s v="C423"/>
        <s v="C424"/>
        <s v="C431"/>
        <s v="C432"/>
        <s v="C433"/>
        <s v="C434"/>
        <s v="C441"/>
        <s v="C442"/>
        <s v="C443"/>
        <s v="C444"/>
        <s v="C501"/>
        <s v="C502"/>
        <s v="C503"/>
        <s v="C504"/>
        <s v="C511"/>
        <s v="C514"/>
        <s v="C521"/>
        <s v="C522"/>
        <s v="C523"/>
        <s v="C524"/>
        <s v="C531"/>
        <s v="C532"/>
        <s v="C533"/>
        <s v="C534"/>
        <s v="C541"/>
        <s v="C542"/>
        <s v="C543"/>
        <s v="C544"/>
        <s v="C601"/>
        <s v="C602"/>
        <s v="C603"/>
        <s v="C604"/>
        <s v="C611"/>
        <s v="C612"/>
        <s v="C613"/>
        <s v="C614"/>
        <s v="C621"/>
        <s v="C622"/>
        <s v="C623"/>
        <s v="C624"/>
        <s v="C631"/>
        <s v="C632"/>
        <s v="C633"/>
        <s v="C634"/>
        <s v="C641"/>
        <s v="C642"/>
        <s v="C643"/>
        <s v="C644"/>
        <s v="D101"/>
        <s v="D102"/>
        <s v="D103"/>
        <s v="D104"/>
        <s v="D111"/>
        <s v="D112"/>
        <s v="D113"/>
        <s v="D114"/>
        <s v="D121"/>
        <s v="D122"/>
        <s v="D123"/>
        <s v="D124"/>
        <s v="D131"/>
        <s v="D132"/>
        <s v="D133"/>
        <s v="D134"/>
        <s v="D141"/>
        <s v="D142"/>
        <s v="D143"/>
        <s v="D144"/>
        <s v="D201"/>
        <s v="D202"/>
        <s v="D203"/>
        <s v="D204"/>
        <s v="D211"/>
        <s v="D214"/>
        <s v="D221"/>
        <s v="D222"/>
        <s v="D223"/>
        <s v="D224"/>
        <s v="D231"/>
        <s v="D232"/>
        <s v="D233"/>
        <s v="D234"/>
        <s v="D241"/>
        <s v="D242"/>
        <s v="D243"/>
        <s v="D244"/>
        <s v="D301"/>
        <s v="D302"/>
        <s v="D303"/>
        <s v="D304"/>
        <s v="D311"/>
        <s v="D312"/>
        <s v="D313"/>
        <s v="D314"/>
        <s v="D321"/>
        <s v="D322"/>
        <s v="D323"/>
        <s v="D324"/>
        <s v="D331"/>
        <s v="D332"/>
        <s v="D333"/>
        <s v="D334"/>
        <s v="D341"/>
        <s v="D342"/>
        <s v="D343"/>
        <s v="D344"/>
        <s v="D401"/>
        <s v="D402"/>
        <s v="D403"/>
        <s v="D404"/>
        <s v="D411"/>
        <s v="D412"/>
        <s v="D413"/>
        <s v="D414"/>
        <s v="D421"/>
        <s v="D422"/>
        <s v="D423"/>
        <s v="D424"/>
        <s v="D431"/>
        <s v="D432"/>
        <s v="D433"/>
        <s v="D434"/>
        <s v="D441"/>
        <s v="D442"/>
        <s v="D443"/>
        <s v="D444"/>
        <s v="D501"/>
        <s v="D502"/>
        <s v="D503"/>
        <s v="D504"/>
        <s v="D511"/>
        <s v="D512"/>
        <s v="D513"/>
        <s v="D514"/>
        <s v="D521"/>
        <s v="D522"/>
        <s v="D523"/>
        <s v="D524"/>
        <s v="D531"/>
        <s v="D532"/>
        <s v="D533"/>
        <s v="D534"/>
        <s v="D541"/>
        <s v="D542"/>
        <s v="D543"/>
        <s v="D544"/>
        <s v="E101"/>
        <s v="E102"/>
        <s v="E103"/>
        <s v="E104"/>
        <s v="E111"/>
        <s v="E112"/>
        <s v="E113"/>
        <s v="E114"/>
        <s v="E121"/>
        <s v="E122"/>
        <s v="E123"/>
        <s v="E124"/>
        <s v="E131"/>
        <s v="E132"/>
        <s v="E133"/>
        <s v="E134"/>
        <s v="E141"/>
        <s v="E142"/>
        <s v="E143"/>
        <s v="E144"/>
        <s v="E201"/>
        <s v="E202"/>
        <s v="E203"/>
        <s v="E204"/>
        <s v="E211"/>
        <s v="E212"/>
        <s v="E213"/>
        <s v="E214"/>
        <s v="E221"/>
        <s v="E222"/>
        <s v="E223"/>
        <s v="E224"/>
        <s v="E231"/>
        <s v="E232"/>
        <s v="E233"/>
        <s v="E234"/>
        <s v="E241"/>
        <s v="E242"/>
        <s v="E243"/>
        <s v="E244"/>
        <s v="E301"/>
        <s v="E302"/>
        <s v="E303"/>
        <s v="E304"/>
        <s v="E311"/>
        <s v="E312"/>
        <s v="E313"/>
        <s v="E314"/>
        <s v="E321"/>
        <s v="E322"/>
        <s v="E323"/>
        <s v="E324"/>
        <s v="E331"/>
        <s v="E332"/>
        <s v="E333"/>
        <s v="E334"/>
        <s v="E341"/>
        <s v="E342"/>
        <s v="E343"/>
        <s v="E344"/>
        <s v="E401"/>
        <s v="E402"/>
        <s v="E403"/>
        <s v="E404"/>
        <s v="E411"/>
        <s v="E414"/>
        <s v="E421"/>
        <s v="E422"/>
        <s v="E423"/>
        <s v="E424"/>
        <s v="E431"/>
        <s v="E432"/>
        <s v="E433"/>
        <s v="E434"/>
        <s v="E441"/>
        <s v="E442"/>
        <s v="E443"/>
        <s v="E444"/>
        <s v="E501"/>
        <s v="E502"/>
        <s v="E503"/>
        <s v="E504"/>
        <s v="E511"/>
        <s v="E512"/>
        <s v="E513"/>
        <s v="E514"/>
        <s v="E521"/>
        <s v="E522"/>
        <s v="E523"/>
        <s v="E524"/>
        <s v="E531"/>
        <s v="E532"/>
        <s v="E533"/>
        <s v="E534"/>
        <s v="E541"/>
        <s v="E542"/>
        <s v="E543"/>
        <s v="E544"/>
      </sharedItems>
    </cacheField>
    <cacheField name="NO. OF BEDROOMS" numFmtId="2">
      <sharedItems/>
    </cacheField>
    <cacheField name="CONSTRUCTION PHASE" numFmtId="0">
      <sharedItems/>
    </cacheField>
    <cacheField name="Unit Net Area" numFmtId="0">
      <sharedItems containsSemiMixedTypes="0" containsString="0" containsNumber="1" minValue="50.89" maxValue="187.91"/>
    </cacheField>
    <cacheField name="Unit Gross Area" numFmtId="0">
      <sharedItems containsSemiMixedTypes="0" containsString="0" containsNumber="1" minValue="64.980872285672973" maxValue="208.11891560587694"/>
    </cacheField>
    <cacheField name="Unit Selling Area" numFmtId="0">
      <sharedItems containsSemiMixedTypes="0" containsString="0" containsNumber="1" containsInteger="1" minValue="63" maxValue="344" count="50">
        <n v="136"/>
        <n v="135"/>
        <n v="111"/>
        <n v="75"/>
        <n v="110"/>
        <n v="76"/>
        <n v="138"/>
        <n v="112"/>
        <n v="121"/>
        <n v="120"/>
        <n v="119"/>
        <n v="122"/>
        <n v="78"/>
        <n v="63"/>
        <n v="84"/>
        <n v="85"/>
        <n v="77"/>
        <n v="116"/>
        <n v="199"/>
        <n v="224"/>
        <n v="176"/>
        <n v="117"/>
        <n v="173"/>
        <n v="172"/>
        <n v="205"/>
        <n v="228"/>
        <n v="202"/>
        <n v="229"/>
        <n v="170"/>
        <n v="223"/>
        <n v="106"/>
        <n v="153"/>
        <n v="158"/>
        <n v="160"/>
        <n v="108"/>
        <n v="155"/>
        <n v="157"/>
        <n v="161"/>
        <n v="309"/>
        <n v="301"/>
        <n v="162"/>
        <n v="180"/>
        <n v="198"/>
        <n v="204"/>
        <n v="201"/>
        <n v="222"/>
        <n v="344"/>
        <n v="174"/>
        <n v="152"/>
        <n v="154"/>
      </sharedItems>
    </cacheField>
    <cacheField name="Private Garden Area" numFmtId="0">
      <sharedItems containsString="0" containsBlank="1" containsNumber="1" minValue="23.799600000000002" maxValue="97.868200000000002"/>
    </cacheField>
    <cacheField name="No. of Bedrooms2" numFmtId="0">
      <sharedItems containsNonDate="0" containsString="0" containsBlank="1"/>
    </cacheField>
    <cacheField name="ORIENTATION" numFmtId="2">
      <sharedItems/>
    </cacheField>
    <cacheField name="INTERNAL LOCATION" numFmtId="2">
      <sharedItems/>
    </cacheField>
    <cacheField name="VIEW" numFmtId="2">
      <sharedItems/>
    </cacheField>
    <cacheField name="FLOOR2" numFmtId="2">
      <sharedItems/>
    </cacheField>
    <cacheField name="AREA CATEGORY" numFmtId="2">
      <sharedItems count="6">
        <s v="C"/>
        <s v="B"/>
        <s v="A"/>
        <s v="E"/>
        <s v="D"/>
        <s v="F"/>
      </sharedItems>
    </cacheField>
    <cacheField name="P1" numFmtId="164">
      <sharedItems containsSemiMixedTypes="0" containsString="0" containsNumber="1" minValue="0.06" maxValue="0.15"/>
    </cacheField>
    <cacheField name="P2" numFmtId="164">
      <sharedItems containsSemiMixedTypes="0" containsString="0" containsNumber="1" minValue="2.5000000000000001E-2" maxValue="0.05"/>
    </cacheField>
    <cacheField name="P3" numFmtId="164">
      <sharedItems containsSemiMixedTypes="0" containsString="0" containsNumber="1" minValue="0.1" maxValue="0.6"/>
    </cacheField>
    <cacheField name="P4" numFmtId="164">
      <sharedItems containsSemiMixedTypes="0" containsString="0" containsNumber="1" minValue="0.05" maxValue="0.15"/>
    </cacheField>
    <cacheField name="P5" numFmtId="164">
      <sharedItems containsSemiMixedTypes="0" containsString="0" containsNumber="1" minValue="0" maxValue="0.05"/>
    </cacheField>
    <cacheField name="TOTAL PREMIUM %" numFmtId="10">
      <sharedItems containsSemiMixedTypes="0" containsString="0" containsNumber="1" minValue="0.27499999999999997" maxValue="0.96500000000000008"/>
    </cacheField>
    <cacheField name="PREMIUM CATEGORY" numFmtId="10">
      <sharedItems count="4">
        <s v="C"/>
        <s v="B"/>
        <s v="A"/>
        <s v="HOTEL"/>
      </sharedItems>
    </cacheField>
    <cacheField name="SELLING PHASE NAME" numFmtId="10">
      <sharedItems count="13">
        <s v="R 2"/>
        <s v="R 6"/>
        <s v="R 4"/>
        <s v="R 1"/>
        <s v="R 8"/>
        <s v="R 5"/>
        <s v="R 3"/>
        <s v="R 12"/>
        <s v="R 10"/>
        <s v="R 11"/>
        <s v="R 9"/>
        <s v="RH"/>
        <s v="R 7"/>
      </sharedItems>
    </cacheField>
    <cacheField name="PHASE (BUILDING) STARTING PRICE" numFmtId="165">
      <sharedItems containsSemiMixedTypes="0" containsString="0" containsNumber="1" minValue="42500" maxValue="76850"/>
    </cacheField>
    <cacheField name="PHASE (BUILDING) CLOSING PRICE" numFmtId="165">
      <sharedItems containsSemiMixedTypes="0" containsString="0" containsNumber="1" minValue="47500" maxValue="82950"/>
    </cacheField>
    <cacheField name="PHASE PREMIUM RANGE" numFmtId="165">
      <sharedItems containsSemiMixedTypes="0" containsString="0" containsNumber="1" minValue="5000" maxValue="7250"/>
    </cacheField>
    <cacheField name="UNIT PREMIUM VALUE" numFmtId="165">
      <sharedItems containsSemiMixedTypes="0" containsString="0" containsNumber="1" minValue="1374.9999999999998" maxValue="6996.2500000000009"/>
    </cacheField>
    <cacheField name="UNIT (BUILDING) RATE (SEMI FINISHED)" numFmtId="165">
      <sharedItems containsSemiMixedTypes="0" containsString="0" containsNumber="1" minValue="43875" maxValue="80815"/>
    </cacheField>
    <cacheField name="UNIT (GARDEN) RATE" numFmtId="165">
      <sharedItems containsSemiMixedTypes="0" containsString="0" containsNumber="1" minValue="14478.75" maxValue="26668.95"/>
    </cacheField>
    <cacheField name="UNIT (BUILDING) RATE (BASIC FINISH)" numFmtId="165">
      <sharedItems containsSemiMixedTypes="0" containsString="0" containsNumber="1" minValue="48375" maxValue="85315"/>
    </cacheField>
    <cacheField name="UNIT (BUILDING) RATE (FULLY FINISH)" numFmtId="165">
      <sharedItems containsSemiMixedTypes="0" containsString="0" containsNumber="1" minValue="51375" maxValue="88315"/>
    </cacheField>
    <cacheField name="UNIT (BUILDING) VALUE SEMI FINISHED" numFmtId="165">
      <sharedItems containsSemiMixedTypes="0" containsString="0" containsNumber="1" minValue="3320625" maxValue="19273804"/>
    </cacheField>
    <cacheField name="UNIT (BUILDING) VALUE BASIC FINISHED" numFmtId="165">
      <sharedItems containsSemiMixedTypes="0" containsString="0" containsNumber="1" minValue="3658125" maxValue="20821804"/>
    </cacheField>
    <cacheField name="UNIT (BUILDING) VALUE FULLY FINISHED" numFmtId="165">
      <sharedItems containsSemiMixedTypes="0" containsString="0" containsNumber="1" minValue="3883125" maxValue="21853804"/>
    </cacheField>
    <cacheField name="UNIT (GARDEN) VALUE" numFmtId="165">
      <sharedItems containsSemiMixedTypes="0" containsString="0" containsNumber="1" minValue="0" maxValue="1798266.5877165003"/>
    </cacheField>
    <cacheField name="MAINTENANCE VALUE" numFmtId="165">
      <sharedItems containsSemiMixedTypes="0" containsString="0" containsNumber="1" minValue="300995.625" maxValue="1791125.9999559028"/>
    </cacheField>
    <cacheField name="MAX. NO. OF CAR PARKING" numFmtId="1">
      <sharedItems containsSemiMixedTypes="0" containsString="0" containsNumber="1" containsInteger="1" minValue="1" maxValue="2"/>
    </cacheField>
    <cacheField name="PARKING VALUE" numFmtId="165">
      <sharedItems containsSemiMixedTypes="0" containsString="0" containsNumber="1" minValue="200000" maxValue="290000"/>
    </cacheField>
    <cacheField name="TOTAL CARS VALUE" numFmtId="165">
      <sharedItems containsSemiMixedTypes="0" containsString="0" containsNumber="1" minValue="200000" maxValue="290000"/>
    </cacheField>
    <cacheField name="TOTAL UNIT VALUE (SEMI FINISHED)" numFmtId="165">
      <sharedItems containsSemiMixedTypes="0" containsString="0" containsNumber="1" minValue="3751125" maxValue="21316070.587716501"/>
    </cacheField>
    <cacheField name="TOTAL UNIT VALUE (BASIC FINISHED)" numFmtId="165">
      <sharedItems containsSemiMixedTypes="0" containsString="0" containsNumber="1" minValue="4093125" maxValue="22864070.587716501"/>
    </cacheField>
    <cacheField name="TOTAL UNIT VALUE (FULLY FINISHED)" numFmtId="165">
      <sharedItems containsSemiMixedTypes="0" containsString="0" containsNumber="1" minValue="4321125" maxValue="23896070.587716501"/>
    </cacheField>
    <cacheField name=" UNIT DELIVERY DATE" numFmtId="168">
      <sharedItems containsSemiMixedTypes="0" containsNonDate="0" containsDate="1" containsString="0" minDate="2025-07-01T00:00:00" maxDate="2027-07-02T00:00:00"/>
    </cacheField>
    <cacheField name="PHASE SELLING START DATE" numFmtId="168">
      <sharedItems containsSemiMixedTypes="0" containsNonDate="0" containsDate="1" containsString="0" minDate="2023-09-01T00:00:00" maxDate="2026-07-02T00:00:00"/>
    </cacheField>
  </cacheFields>
  <extLst>
    <ext xmlns:x14="http://schemas.microsoft.com/office/spreadsheetml/2009/9/main" uri="{725AE2AE-9491-48be-B2B4-4EB974FC3084}">
      <x14:pivotCacheDefinition pivotCacheId="15714786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5186.601484375002" createdVersion="8" refreshedVersion="8" minRefreshableVersion="3" recordCount="859" xr:uid="{C22772E3-A547-4A04-B84B-9BA049AAD1DF}">
  <cacheSource type="worksheet">
    <worksheetSource ref="A4:AR880" sheet="DATA FOR PIVOT"/>
  </cacheSource>
  <cacheFields count="44">
    <cacheField name="BLD_x000a_Type" numFmtId="0">
      <sharedItems containsBlank="1"/>
    </cacheField>
    <cacheField name="ZONE" numFmtId="2">
      <sharedItems containsBlank="1"/>
    </cacheField>
    <cacheField name="BLD_x000a_No." numFmtId="2">
      <sharedItems containsBlank="1" count="44">
        <s v="A1"/>
        <s v="A2"/>
        <s v="A3"/>
        <s v="A4"/>
        <s v="A5"/>
        <s v="A6"/>
        <s v="A7"/>
        <s v="A8"/>
        <s v="B1"/>
        <s v="B2"/>
        <s v="B3"/>
        <s v="B4"/>
        <s v="B5"/>
        <s v="B6"/>
        <s v="B7"/>
        <s v="B8"/>
        <s v="B9"/>
        <s v="B10"/>
        <s v="B11"/>
        <s v="B12"/>
        <s v="B13"/>
        <s v="B14"/>
        <s v="B15"/>
        <s v="B16"/>
        <s v="B17"/>
        <s v="B18"/>
        <s v="B19"/>
        <s v="C1"/>
        <s v="C2"/>
        <s v="C3"/>
        <s v="C4"/>
        <s v="C5"/>
        <s v="C6"/>
        <s v="D1"/>
        <s v="D2"/>
        <s v="D3"/>
        <s v="D4"/>
        <s v="D5"/>
        <s v="E1"/>
        <s v="E2"/>
        <s v="E3"/>
        <s v="E4"/>
        <s v="E5"/>
        <m/>
      </sharedItems>
    </cacheField>
    <cacheField name="BLD. TYPE" numFmtId="2">
      <sharedItems containsBlank="1" count="3">
        <s v="RESIDENTIAL"/>
        <s v="HOTEL APP."/>
        <m/>
      </sharedItems>
    </cacheField>
    <cacheField name="Floor" numFmtId="1">
      <sharedItems containsString="0" containsBlank="1" containsNumber="1" containsInteger="1" minValue="0" maxValue="4"/>
    </cacheField>
    <cacheField name="UNIT " numFmtId="1">
      <sharedItems containsString="0" containsBlank="1" containsNumber="1" containsInteger="1" minValue="1" maxValue="6"/>
    </cacheField>
    <cacheField name="Unit Number" numFmtId="2">
      <sharedItems containsBlank="1" count="859">
        <s v="A101"/>
        <s v="A102"/>
        <s v="A103"/>
        <s v="A104"/>
        <s v="A111"/>
        <s v="A112"/>
        <s v="A113"/>
        <s v="A114"/>
        <s v="A121"/>
        <s v="A122"/>
        <s v="A123"/>
        <s v="A124"/>
        <s v="A131"/>
        <s v="A132"/>
        <s v="A133"/>
        <s v="A134"/>
        <s v="A141"/>
        <s v="A142"/>
        <s v="A143"/>
        <s v="A144"/>
        <s v="A201"/>
        <s v="A202"/>
        <s v="A203"/>
        <s v="A204"/>
        <s v="A211"/>
        <s v="A212"/>
        <s v="A213"/>
        <s v="A214"/>
        <s v="A221"/>
        <s v="A222"/>
        <s v="A223"/>
        <s v="A224"/>
        <s v="A231"/>
        <s v="A232"/>
        <s v="A233"/>
        <s v="A234"/>
        <s v="A241"/>
        <s v="A242"/>
        <s v="A243"/>
        <s v="A244"/>
        <s v="A301"/>
        <s v="A302"/>
        <s v="A303"/>
        <s v="A304"/>
        <s v="A311"/>
        <s v="A312"/>
        <s v="A313"/>
        <s v="A314"/>
        <s v="A321"/>
        <s v="A322"/>
        <s v="A323"/>
        <s v="A324"/>
        <s v="A331"/>
        <s v="A332"/>
        <s v="A333"/>
        <s v="A334"/>
        <s v="A341"/>
        <s v="A342"/>
        <s v="A343"/>
        <s v="A344"/>
        <s v="A401"/>
        <s v="A402"/>
        <s v="A403"/>
        <s v="A404"/>
        <s v="A405"/>
        <s v="A411"/>
        <s v="A412"/>
        <s v="A413"/>
        <s v="A414"/>
        <s v="A415"/>
        <s v="A421"/>
        <s v="A422"/>
        <s v="A423"/>
        <s v="A424"/>
        <s v="A425"/>
        <s v="A426"/>
        <s v="A431"/>
        <s v="A432"/>
        <s v="A433"/>
        <s v="A434"/>
        <s v="A435"/>
        <s v="A436"/>
        <s v="A441"/>
        <s v="A442"/>
        <s v="A443"/>
        <s v="A444"/>
        <s v="A445"/>
        <s v="A446"/>
        <s v="A501"/>
        <s v="A502"/>
        <s v="A503"/>
        <s v="A504"/>
        <s v="A505"/>
        <s v="A511"/>
        <s v="A512"/>
        <s v="A513"/>
        <s v="A514"/>
        <s v="A515"/>
        <s v="A521"/>
        <s v="A522"/>
        <s v="A523"/>
        <s v="A524"/>
        <s v="A525"/>
        <s v="A526"/>
        <s v="A531"/>
        <s v="A532"/>
        <s v="A533"/>
        <s v="A534"/>
        <s v="A535"/>
        <s v="A536"/>
        <s v="A541"/>
        <s v="A542"/>
        <s v="A543"/>
        <s v="A544"/>
        <s v="A545"/>
        <s v="A546"/>
        <s v="A601"/>
        <s v="A602"/>
        <s v="A603"/>
        <s v="A604"/>
        <s v="A611"/>
        <s v="A612"/>
        <s v="A613"/>
        <s v="A614"/>
        <s v="A621"/>
        <s v="A622"/>
        <s v="A623"/>
        <s v="A624"/>
        <s v="A631"/>
        <s v="A632"/>
        <s v="A633"/>
        <s v="A634"/>
        <s v="A641"/>
        <s v="A642"/>
        <s v="A643"/>
        <s v="A644"/>
        <s v="A701"/>
        <s v="A702"/>
        <s v="A703"/>
        <s v="A704"/>
        <s v="A711"/>
        <s v="A712"/>
        <s v="A713"/>
        <s v="A714"/>
        <s v="A721"/>
        <s v="A722"/>
        <s v="A723"/>
        <s v="A724"/>
        <s v="A731"/>
        <s v="A732"/>
        <s v="A733"/>
        <s v="A734"/>
        <s v="A741"/>
        <s v="A742"/>
        <s v="A743"/>
        <s v="A744"/>
        <s v="A801"/>
        <s v="A802"/>
        <s v="A803"/>
        <s v="A804"/>
        <s v="A811"/>
        <s v="A812"/>
        <s v="A813"/>
        <s v="A814"/>
        <s v="A821"/>
        <s v="A822"/>
        <s v="A823"/>
        <s v="A824"/>
        <s v="A831"/>
        <s v="A832"/>
        <s v="A833"/>
        <s v="A834"/>
        <s v="A841"/>
        <s v="A842"/>
        <s v="A843"/>
        <s v="A844"/>
        <s v="B101"/>
        <s v="B102"/>
        <s v="B103"/>
        <s v="B104"/>
        <s v="B111"/>
        <s v="B112"/>
        <s v="B113"/>
        <s v="B114"/>
        <s v="B121"/>
        <s v="B122"/>
        <s v="B123"/>
        <s v="B124"/>
        <s v="B131"/>
        <s v="B132"/>
        <s v="B133"/>
        <s v="B134"/>
        <s v="B141"/>
        <s v="B142"/>
        <s v="B143"/>
        <s v="B144"/>
        <s v="B201"/>
        <s v="B202"/>
        <s v="B203"/>
        <s v="B204"/>
        <s v="B211"/>
        <s v="B212"/>
        <s v="B213"/>
        <s v="B214"/>
        <s v="B221"/>
        <s v="B222"/>
        <s v="B223"/>
        <s v="B224"/>
        <s v="B231"/>
        <s v="B232"/>
        <s v="B233"/>
        <s v="B234"/>
        <s v="B241"/>
        <s v="B242"/>
        <s v="B243"/>
        <s v="B244"/>
        <s v="B301"/>
        <s v="B302"/>
        <s v="B303"/>
        <s v="B304"/>
        <s v="B311"/>
        <s v="B312"/>
        <s v="B313"/>
        <s v="B314"/>
        <s v="B321"/>
        <s v="B322"/>
        <s v="B323"/>
        <s v="B324"/>
        <s v="B331"/>
        <s v="B332"/>
        <s v="B333"/>
        <s v="B334"/>
        <s v="B341"/>
        <s v="B342"/>
        <s v="B343"/>
        <s v="B344"/>
        <s v="B401"/>
        <s v="B402"/>
        <s v="B403"/>
        <s v="B404"/>
        <s v="B411"/>
        <s v="B414"/>
        <s v="B421"/>
        <s v="B422"/>
        <s v="B423"/>
        <s v="B424"/>
        <s v="B431"/>
        <s v="B432"/>
        <s v="B433"/>
        <s v="B434"/>
        <s v="B441"/>
        <s v="B442"/>
        <s v="B443"/>
        <s v="B444"/>
        <s v="B501"/>
        <s v="B502"/>
        <s v="B503"/>
        <s v="B504"/>
        <s v="B511"/>
        <s v="B512"/>
        <s v="B513"/>
        <s v="B514"/>
        <s v="B521"/>
        <s v="B522"/>
        <s v="B523"/>
        <s v="B524"/>
        <s v="B531"/>
        <s v="B532"/>
        <s v="B533"/>
        <s v="B534"/>
        <s v="B541"/>
        <s v="B542"/>
        <s v="B543"/>
        <s v="B544"/>
        <s v="B601"/>
        <s v="B602"/>
        <s v="B603"/>
        <s v="B604"/>
        <s v="B611"/>
        <s v="B612"/>
        <s v="B613"/>
        <s v="B614"/>
        <s v="B621"/>
        <s v="B622"/>
        <s v="B623"/>
        <s v="B624"/>
        <s v="B631"/>
        <s v="B632"/>
        <s v="B633"/>
        <s v="B634"/>
        <s v="B641"/>
        <s v="B642"/>
        <s v="B643"/>
        <s v="B644"/>
        <s v="B701"/>
        <s v="B702"/>
        <s v="B703"/>
        <s v="B704"/>
        <s v="B711"/>
        <s v="B714"/>
        <s v="B721"/>
        <s v="B722"/>
        <s v="B723"/>
        <s v="B724"/>
        <s v="B731"/>
        <s v="B732"/>
        <s v="B733"/>
        <s v="B734"/>
        <s v="B741"/>
        <s v="B742"/>
        <s v="B743"/>
        <s v="B744"/>
        <s v="B801"/>
        <s v="B802"/>
        <s v="B803"/>
        <s v="B804"/>
        <s v="B811"/>
        <s v="B812"/>
        <s v="B813"/>
        <s v="B814"/>
        <s v="B821"/>
        <s v="B822"/>
        <s v="B823"/>
        <s v="B824"/>
        <s v="B831"/>
        <s v="B832"/>
        <s v="B833"/>
        <s v="B834"/>
        <s v="B841"/>
        <s v="B842"/>
        <s v="B843"/>
        <s v="B844"/>
        <s v="B901"/>
        <s v="B902"/>
        <s v="B903"/>
        <s v="B904"/>
        <s v="B911"/>
        <s v="B912"/>
        <s v="B913"/>
        <s v="B914"/>
        <s v="B921"/>
        <s v="B922"/>
        <s v="B923"/>
        <s v="B924"/>
        <s v="B931"/>
        <s v="B932"/>
        <s v="B933"/>
        <s v="B934"/>
        <s v="B941"/>
        <s v="B942"/>
        <s v="B943"/>
        <s v="B944"/>
        <s v="B1001"/>
        <s v="B1002"/>
        <s v="B1003"/>
        <s v="B1004"/>
        <s v="B1011"/>
        <s v="B1014"/>
        <s v="B1021"/>
        <s v="B1022"/>
        <s v="B1023"/>
        <s v="B1024"/>
        <s v="B1031"/>
        <s v="B1032"/>
        <s v="B1033"/>
        <s v="B1034"/>
        <s v="B1041"/>
        <s v="B1042"/>
        <s v="B1043"/>
        <s v="B1044"/>
        <s v="B1101"/>
        <s v="B1102"/>
        <s v="B1103"/>
        <s v="B1104"/>
        <s v="B1111"/>
        <s v="B1112"/>
        <s v="B1113"/>
        <s v="B1114"/>
        <s v="B1121"/>
        <s v="B1122"/>
        <s v="B1123"/>
        <s v="B1124"/>
        <s v="B1131"/>
        <s v="B1132"/>
        <s v="B1133"/>
        <s v="B1134"/>
        <s v="B1141"/>
        <s v="B1142"/>
        <s v="B1143"/>
        <s v="B1144"/>
        <s v="B1201"/>
        <s v="B1202"/>
        <s v="B1203"/>
        <s v="B1204"/>
        <s v="B1211"/>
        <s v="B1212"/>
        <s v="B1213"/>
        <s v="B1214"/>
        <s v="B1221"/>
        <s v="B1222"/>
        <s v="B1223"/>
        <s v="B1224"/>
        <s v="B1231"/>
        <s v="B1232"/>
        <s v="B1233"/>
        <s v="B1234"/>
        <s v="B1241"/>
        <s v="B1242"/>
        <s v="B1243"/>
        <s v="B1244"/>
        <s v="B1301"/>
        <s v="B1302"/>
        <s v="B1303"/>
        <s v="B1304"/>
        <s v="B1311"/>
        <s v="B1314"/>
        <s v="B1321"/>
        <s v="B1322"/>
        <s v="B1323"/>
        <s v="B1324"/>
        <s v="B1331"/>
        <s v="B1332"/>
        <s v="B1333"/>
        <s v="B1334"/>
        <s v="B1341"/>
        <s v="B1342"/>
        <s v="B1343"/>
        <s v="B1344"/>
        <s v="B1401"/>
        <s v="B1402"/>
        <s v="B1403"/>
        <s v="B1404"/>
        <s v="B1411"/>
        <s v="B1412"/>
        <s v="B1413"/>
        <s v="B1414"/>
        <s v="B1421"/>
        <s v="B1422"/>
        <s v="B1423"/>
        <s v="B1424"/>
        <s v="B1431"/>
        <s v="B1432"/>
        <s v="B1433"/>
        <s v="B1434"/>
        <s v="B1441"/>
        <s v="B1442"/>
        <s v="B1443"/>
        <s v="B1444"/>
        <s v="B1501"/>
        <s v="B1502"/>
        <s v="B1503"/>
        <s v="B1504"/>
        <s v="B1511"/>
        <s v="B1512"/>
        <s v="B1513"/>
        <s v="B1514"/>
        <s v="B1521"/>
        <s v="B1522"/>
        <s v="B1523"/>
        <s v="B1524"/>
        <s v="B1531"/>
        <s v="B1532"/>
        <s v="B1533"/>
        <s v="B1534"/>
        <s v="B1541"/>
        <s v="B1542"/>
        <s v="B1543"/>
        <s v="B1544"/>
        <s v="B1601"/>
        <s v="B1602"/>
        <s v="B1603"/>
        <s v="B1604"/>
        <s v="B1611"/>
        <s v="B1614"/>
        <s v="B1621"/>
        <s v="B1622"/>
        <s v="B1623"/>
        <s v="B1624"/>
        <s v="B1631"/>
        <s v="B1632"/>
        <s v="B1633"/>
        <s v="B1634"/>
        <s v="B1641"/>
        <s v="B1642"/>
        <s v="B1643"/>
        <s v="B1644"/>
        <s v="B1701"/>
        <s v="B1702"/>
        <s v="B1703"/>
        <s v="B1704"/>
        <s v="B1711"/>
        <s v="B1712"/>
        <s v="B1713"/>
        <s v="B1714"/>
        <s v="B1721"/>
        <s v="B1722"/>
        <s v="B1723"/>
        <s v="B1724"/>
        <s v="B1731"/>
        <s v="B1732"/>
        <s v="B1733"/>
        <s v="B1734"/>
        <s v="B1741"/>
        <s v="B1742"/>
        <s v="B1743"/>
        <s v="B1744"/>
        <s v="B1801"/>
        <s v="B1802"/>
        <s v="B1803"/>
        <s v="B1804"/>
        <s v="B1811"/>
        <s v="B1812"/>
        <s v="B1813"/>
        <s v="B1814"/>
        <s v="B1821"/>
        <s v="B1822"/>
        <s v="B1823"/>
        <s v="B1824"/>
        <s v="B1831"/>
        <s v="B1832"/>
        <s v="B1833"/>
        <s v="B1834"/>
        <s v="B1841"/>
        <s v="B1842"/>
        <s v="B1843"/>
        <s v="B1844"/>
        <s v="B1901"/>
        <s v="B1902"/>
        <s v="B1903"/>
        <s v="B1904"/>
        <s v="B1911"/>
        <s v="B1912"/>
        <s v="B1913"/>
        <s v="B1914"/>
        <s v="B1921"/>
        <s v="B1922"/>
        <s v="B1923"/>
        <s v="B1924"/>
        <s v="B1931"/>
        <s v="B1932"/>
        <s v="B1933"/>
        <s v="B1934"/>
        <s v="B1941"/>
        <s v="B1942"/>
        <s v="B1943"/>
        <s v="B1944"/>
        <s v="C101"/>
        <s v="C102"/>
        <s v="C103"/>
        <s v="C104"/>
        <s v="C111"/>
        <s v="C112"/>
        <s v="C113"/>
        <s v="C114"/>
        <s v="C121"/>
        <s v="C122"/>
        <s v="C123"/>
        <s v="C124"/>
        <s v="C131"/>
        <s v="C132"/>
        <s v="C133"/>
        <s v="C134"/>
        <s v="C141"/>
        <s v="C142"/>
        <s v="C143"/>
        <s v="C144"/>
        <s v="C201"/>
        <s v="C202"/>
        <s v="C203"/>
        <s v="C204"/>
        <s v="C211"/>
        <s v="C214"/>
        <s v="C221"/>
        <s v="C222"/>
        <s v="C223"/>
        <s v="C224"/>
        <s v="C231"/>
        <s v="C232"/>
        <s v="C233"/>
        <s v="C234"/>
        <s v="C241"/>
        <s v="C242"/>
        <s v="C243"/>
        <s v="C244"/>
        <s v="C301"/>
        <s v="C302"/>
        <s v="C303"/>
        <s v="C304"/>
        <s v="C311"/>
        <s v="C312"/>
        <s v="C313"/>
        <s v="C314"/>
        <s v="C321"/>
        <s v="C322"/>
        <s v="C323"/>
        <s v="C324"/>
        <s v="C331"/>
        <s v="C332"/>
        <s v="C333"/>
        <s v="C334"/>
        <s v="C341"/>
        <s v="C342"/>
        <s v="C343"/>
        <s v="C344"/>
        <s v="C401"/>
        <s v="C402"/>
        <s v="C403"/>
        <s v="C404"/>
        <s v="C411"/>
        <s v="C412"/>
        <s v="C413"/>
        <s v="C414"/>
        <s v="C421"/>
        <s v="C422"/>
        <s v="C423"/>
        <s v="C424"/>
        <s v="C431"/>
        <s v="C432"/>
        <s v="C433"/>
        <s v="C434"/>
        <s v="C441"/>
        <s v="C442"/>
        <s v="C443"/>
        <s v="C444"/>
        <s v="C501"/>
        <s v="C502"/>
        <s v="C503"/>
        <s v="C504"/>
        <s v="C511"/>
        <s v="C514"/>
        <s v="C521"/>
        <s v="C522"/>
        <s v="C523"/>
        <s v="C524"/>
        <s v="C531"/>
        <s v="C532"/>
        <s v="C533"/>
        <s v="C534"/>
        <s v="C541"/>
        <s v="C542"/>
        <s v="C543"/>
        <s v="C544"/>
        <s v="C601"/>
        <s v="C602"/>
        <s v="C603"/>
        <s v="C604"/>
        <s v="C611"/>
        <s v="C612"/>
        <s v="C613"/>
        <s v="C614"/>
        <s v="C621"/>
        <s v="C622"/>
        <s v="C623"/>
        <s v="C624"/>
        <s v="C631"/>
        <s v="C632"/>
        <s v="C633"/>
        <s v="C634"/>
        <s v="C641"/>
        <s v="C642"/>
        <s v="C643"/>
        <s v="C644"/>
        <s v="D101"/>
        <s v="D102"/>
        <s v="D103"/>
        <s v="D104"/>
        <s v="D111"/>
        <s v="D112"/>
        <s v="D113"/>
        <s v="D114"/>
        <s v="D121"/>
        <s v="D122"/>
        <s v="D123"/>
        <s v="D124"/>
        <s v="D131"/>
        <s v="D132"/>
        <s v="D133"/>
        <s v="D134"/>
        <s v="D141"/>
        <s v="D142"/>
        <s v="D143"/>
        <s v="D144"/>
        <s v="D201"/>
        <s v="D202"/>
        <s v="D203"/>
        <s v="D204"/>
        <s v="D211"/>
        <s v="D214"/>
        <s v="D221"/>
        <s v="D222"/>
        <s v="D223"/>
        <s v="D224"/>
        <s v="D231"/>
        <s v="D232"/>
        <s v="D233"/>
        <s v="D234"/>
        <s v="D241"/>
        <s v="D242"/>
        <s v="D243"/>
        <s v="D244"/>
        <s v="D301"/>
        <s v="D302"/>
        <s v="D303"/>
        <s v="D304"/>
        <s v="D311"/>
        <s v="D312"/>
        <s v="D313"/>
        <s v="D314"/>
        <s v="D321"/>
        <s v="D322"/>
        <s v="D323"/>
        <s v="D324"/>
        <s v="D331"/>
        <s v="D332"/>
        <s v="D333"/>
        <s v="D334"/>
        <s v="D341"/>
        <s v="D342"/>
        <s v="D343"/>
        <s v="D344"/>
        <s v="D401"/>
        <s v="D402"/>
        <s v="D403"/>
        <s v="D404"/>
        <s v="D411"/>
        <s v="D412"/>
        <s v="D413"/>
        <s v="D414"/>
        <s v="D421"/>
        <s v="D422"/>
        <s v="D423"/>
        <s v="D424"/>
        <s v="D431"/>
        <s v="D432"/>
        <s v="D433"/>
        <s v="D434"/>
        <s v="D441"/>
        <s v="D442"/>
        <s v="D443"/>
        <s v="D444"/>
        <s v="D501"/>
        <s v="D502"/>
        <s v="D503"/>
        <s v="D504"/>
        <s v="D511"/>
        <s v="D512"/>
        <s v="D513"/>
        <s v="D514"/>
        <s v="D521"/>
        <s v="D522"/>
        <s v="D523"/>
        <s v="D524"/>
        <s v="D531"/>
        <s v="D532"/>
        <s v="D533"/>
        <s v="D534"/>
        <s v="D541"/>
        <s v="D542"/>
        <s v="D543"/>
        <s v="D544"/>
        <s v="E101"/>
        <s v="E102"/>
        <s v="E103"/>
        <s v="E104"/>
        <s v="E111"/>
        <s v="E112"/>
        <s v="E113"/>
        <s v="E114"/>
        <s v="E121"/>
        <s v="E122"/>
        <s v="E123"/>
        <s v="E124"/>
        <s v="E131"/>
        <s v="E132"/>
        <s v="E133"/>
        <s v="E134"/>
        <s v="E141"/>
        <s v="E142"/>
        <s v="E143"/>
        <s v="E144"/>
        <s v="E201"/>
        <s v="E202"/>
        <s v="E203"/>
        <s v="E204"/>
        <s v="E211"/>
        <s v="E212"/>
        <s v="E213"/>
        <s v="E214"/>
        <s v="E221"/>
        <s v="E222"/>
        <s v="E223"/>
        <s v="E224"/>
        <s v="E231"/>
        <s v="E232"/>
        <s v="E233"/>
        <s v="E234"/>
        <s v="E241"/>
        <s v="E242"/>
        <s v="E243"/>
        <s v="E244"/>
        <s v="E301"/>
        <s v="E302"/>
        <s v="E303"/>
        <s v="E304"/>
        <s v="E311"/>
        <s v="E312"/>
        <s v="E313"/>
        <s v="E314"/>
        <s v="E321"/>
        <s v="E322"/>
        <s v="E323"/>
        <s v="E324"/>
        <s v="E331"/>
        <s v="E332"/>
        <s v="E333"/>
        <s v="E334"/>
        <s v="E341"/>
        <s v="E342"/>
        <s v="E343"/>
        <s v="E344"/>
        <s v="E401"/>
        <s v="E402"/>
        <s v="E403"/>
        <s v="E404"/>
        <s v="E411"/>
        <s v="E414"/>
        <s v="E421"/>
        <s v="E422"/>
        <s v="E423"/>
        <s v="E424"/>
        <s v="E431"/>
        <s v="E432"/>
        <s v="E433"/>
        <s v="E434"/>
        <s v="E441"/>
        <s v="E442"/>
        <s v="E443"/>
        <s v="E444"/>
        <s v="E501"/>
        <s v="E502"/>
        <s v="E503"/>
        <s v="E504"/>
        <s v="E511"/>
        <s v="E512"/>
        <s v="E513"/>
        <s v="E514"/>
        <s v="E521"/>
        <s v="E522"/>
        <s v="E523"/>
        <s v="E524"/>
        <s v="E531"/>
        <s v="E532"/>
        <s v="E533"/>
        <s v="E534"/>
        <s v="E541"/>
        <s v="E542"/>
        <s v="E543"/>
        <s v="E544"/>
        <m/>
      </sharedItems>
    </cacheField>
    <cacheField name="NO. OF BEDROOMS" numFmtId="2">
      <sharedItems containsBlank="1"/>
    </cacheField>
    <cacheField name="CONSTRUCTION PHASE" numFmtId="0">
      <sharedItems containsBlank="1" count="4">
        <s v="C1"/>
        <s v="C2"/>
        <s v="C3"/>
        <m/>
      </sharedItems>
    </cacheField>
    <cacheField name="Unit Net Area" numFmtId="0">
      <sharedItems containsString="0" containsBlank="1" containsNumber="1" minValue="50.89" maxValue="187.91"/>
    </cacheField>
    <cacheField name="Unit Gross Area" numFmtId="0">
      <sharedItems containsString="0" containsBlank="1" containsNumber="1" minValue="64.980872285672973" maxValue="208.11891560587694"/>
    </cacheField>
    <cacheField name="Unit Selling Area" numFmtId="0">
      <sharedItems containsString="0" containsBlank="1" containsNumber="1" containsInteger="1" minValue="63" maxValue="344"/>
    </cacheField>
    <cacheField name="Private Garden Area" numFmtId="0">
      <sharedItems containsString="0" containsBlank="1" containsNumber="1" minValue="23.799600000000002" maxValue="97.868200000000002"/>
    </cacheField>
    <cacheField name="No. of Bedrooms2" numFmtId="0">
      <sharedItems containsNonDate="0" containsString="0" containsBlank="1"/>
    </cacheField>
    <cacheField name="ORIENTATION" numFmtId="2">
      <sharedItems containsBlank="1"/>
    </cacheField>
    <cacheField name="INTERNAL LOCATION" numFmtId="2">
      <sharedItems containsBlank="1"/>
    </cacheField>
    <cacheField name="VIEW" numFmtId="2">
      <sharedItems containsBlank="1"/>
    </cacheField>
    <cacheField name="FLOOR2" numFmtId="2">
      <sharedItems containsBlank="1"/>
    </cacheField>
    <cacheField name="AREA CATEGORY" numFmtId="2">
      <sharedItems containsBlank="1"/>
    </cacheField>
    <cacheField name="P1" numFmtId="164">
      <sharedItems containsString="0" containsBlank="1" containsNumber="1" minValue="0.06" maxValue="0.15"/>
    </cacheField>
    <cacheField name="P2" numFmtId="164">
      <sharedItems containsString="0" containsBlank="1" containsNumber="1" minValue="2.5000000000000001E-2" maxValue="0.05"/>
    </cacheField>
    <cacheField name="P3" numFmtId="164">
      <sharedItems containsString="0" containsBlank="1" containsNumber="1" minValue="0.1" maxValue="0.6"/>
    </cacheField>
    <cacheField name="P4" numFmtId="164">
      <sharedItems containsString="0" containsBlank="1" containsNumber="1" minValue="0.05" maxValue="0.15"/>
    </cacheField>
    <cacheField name="P5" numFmtId="164">
      <sharedItems containsString="0" containsBlank="1" containsNumber="1" minValue="0" maxValue="0.05"/>
    </cacheField>
    <cacheField name="TOTAL PREMIUM %" numFmtId="10">
      <sharedItems containsString="0" containsBlank="1" containsNumber="1" minValue="0.27499999999999997" maxValue="0.96500000000000008"/>
    </cacheField>
    <cacheField name="PREMIUM CATEGORY" numFmtId="10">
      <sharedItems containsBlank="1" count="6">
        <s v="C"/>
        <s v="B"/>
        <s v="A"/>
        <s v="HOTEL"/>
        <m/>
        <e v="#NAME?" u="1"/>
      </sharedItems>
    </cacheField>
    <cacheField name="SELLING PHASE NAME" numFmtId="10">
      <sharedItems containsBlank="1"/>
    </cacheField>
    <cacheField name="PHASE (BUILDING) STARTING PRICE" numFmtId="0">
      <sharedItems containsString="0" containsBlank="1" containsNumber="1" minValue="42500" maxValue="76850"/>
    </cacheField>
    <cacheField name="PHASE (BUILDING) CLOSING PRICE" numFmtId="0">
      <sharedItems containsString="0" containsBlank="1" containsNumber="1" minValue="47500" maxValue="82950"/>
    </cacheField>
    <cacheField name="PHASE PREMIUM RANGE" numFmtId="0">
      <sharedItems containsString="0" containsBlank="1" containsNumber="1" minValue="5000" maxValue="7250"/>
    </cacheField>
    <cacheField name="UNIT PREMIUM VALUE" numFmtId="165">
      <sharedItems containsString="0" containsBlank="1" containsNumber="1" minValue="1374.9999999999998" maxValue="6996.2500000000009"/>
    </cacheField>
    <cacheField name="UNIT (BUILDING) RATE (SEMI FINISHED)" numFmtId="165">
      <sharedItems containsString="0" containsBlank="1" containsNumber="1" minValue="43875" maxValue="80815"/>
    </cacheField>
    <cacheField name="UNIT (GARDEN) RATE" numFmtId="165">
      <sharedItems containsString="0" containsBlank="1" containsNumber="1" minValue="14478.75" maxValue="26668.95"/>
    </cacheField>
    <cacheField name="UNIT (BUILDING) RATE (BASIC FINISH)" numFmtId="165">
      <sharedItems containsString="0" containsBlank="1" containsNumber="1" minValue="48375" maxValue="85315"/>
    </cacheField>
    <cacheField name="UNIT (BUILDING) RATE (FULLY FINISH)" numFmtId="165">
      <sharedItems containsString="0" containsBlank="1" containsNumber="1" minValue="51375" maxValue="88315"/>
    </cacheField>
    <cacheField name="UNIT (BUILDING) VALUE SEMI FINISHED" numFmtId="0">
      <sharedItems containsString="0" containsBlank="1" containsNumber="1" minValue="3320625" maxValue="19273804"/>
    </cacheField>
    <cacheField name="UNIT (BUILDING) VALUE BASIC FINISHED" numFmtId="0">
      <sharedItems containsString="0" containsBlank="1" containsNumber="1" minValue="3658125" maxValue="20821804"/>
    </cacheField>
    <cacheField name="UNIT (BUILDING) VALUE FULLY FINISHED" numFmtId="0">
      <sharedItems containsString="0" containsBlank="1" containsNumber="1" minValue="3883125" maxValue="21853804"/>
    </cacheField>
    <cacheField name="UNIT (GARDEN) VALUE" numFmtId="165">
      <sharedItems containsString="0" containsBlank="1" containsNumber="1" minValue="0" maxValue="1798266.5877165003"/>
    </cacheField>
    <cacheField name="MAINTENANCE VALUE" numFmtId="0">
      <sharedItems containsString="0" containsBlank="1" containsNumber="1" minValue="300995.625" maxValue="1791125.9999559028"/>
    </cacheField>
    <cacheField name="MAX. NO. OF CAR PARKING" numFmtId="0">
      <sharedItems containsString="0" containsBlank="1" containsNumber="1" containsInteger="1" minValue="1" maxValue="2"/>
    </cacheField>
    <cacheField name="PARKING VALUE" numFmtId="0">
      <sharedItems containsString="0" containsBlank="1" containsNumber="1" minValue="200000" maxValue="290000"/>
    </cacheField>
    <cacheField name="TOTAL CARS VALUE" numFmtId="0">
      <sharedItems containsString="0" containsBlank="1" containsNumber="1" minValue="200000" maxValue="290000"/>
    </cacheField>
    <cacheField name="TOTAL UNIT VALUE (SEMI FINISHED)" numFmtId="0">
      <sharedItems containsString="0" containsBlank="1" containsNumber="1" minValue="3751125" maxValue="21316070.587716501"/>
    </cacheField>
  </cacheFields>
  <extLst>
    <ext xmlns:x14="http://schemas.microsoft.com/office/spreadsheetml/2009/9/main" uri="{725AE2AE-9491-48be-B2B4-4EB974FC3084}">
      <x14:pivotCacheDefinition pivotCacheId="112557173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5186.601488888889" createdVersion="8" refreshedVersion="8" minRefreshableVersion="3" recordCount="858" xr:uid="{6226F1BF-DC4D-48AE-92D8-9C1DDDDADF18}">
  <cacheSource type="worksheet">
    <worksheetSource ref="A4:AR862" sheet="DATA FOR PIVOT"/>
  </cacheSource>
  <cacheFields count="44">
    <cacheField name="BLD_x000a_Type" numFmtId="0">
      <sharedItems containsBlank="1"/>
    </cacheField>
    <cacheField name="ZONE" numFmtId="2">
      <sharedItems/>
    </cacheField>
    <cacheField name="BLD_x000a_No." numFmtId="2">
      <sharedItems count="43">
        <s v="A1"/>
        <s v="A2"/>
        <s v="A3"/>
        <s v="A4"/>
        <s v="A5"/>
        <s v="A6"/>
        <s v="A7"/>
        <s v="A8"/>
        <s v="B1"/>
        <s v="B2"/>
        <s v="B3"/>
        <s v="B4"/>
        <s v="B5"/>
        <s v="B6"/>
        <s v="B7"/>
        <s v="B8"/>
        <s v="B9"/>
        <s v="B10"/>
        <s v="B11"/>
        <s v="B12"/>
        <s v="B13"/>
        <s v="B14"/>
        <s v="B15"/>
        <s v="B16"/>
        <s v="B17"/>
        <s v="B18"/>
        <s v="B19"/>
        <s v="C1"/>
        <s v="C2"/>
        <s v="C3"/>
        <s v="C4"/>
        <s v="C5"/>
        <s v="C6"/>
        <s v="D1"/>
        <s v="D2"/>
        <s v="D3"/>
        <s v="D4"/>
        <s v="D5"/>
        <s v="E1"/>
        <s v="E2"/>
        <s v="E3"/>
        <s v="E4"/>
        <s v="E5"/>
      </sharedItems>
    </cacheField>
    <cacheField name="BLD. TYPE" numFmtId="2">
      <sharedItems/>
    </cacheField>
    <cacheField name="Floor" numFmtId="1">
      <sharedItems containsSemiMixedTypes="0" containsString="0" containsNumber="1" containsInteger="1" minValue="0" maxValue="4" count="5">
        <n v="0"/>
        <n v="1"/>
        <n v="2"/>
        <n v="3"/>
        <n v="4"/>
      </sharedItems>
    </cacheField>
    <cacheField name="UNIT " numFmtId="1">
      <sharedItems containsSemiMixedTypes="0" containsString="0" containsNumber="1" containsInteger="1" minValue="1" maxValue="6"/>
    </cacheField>
    <cacheField name="Unit Number" numFmtId="2">
      <sharedItems count="876">
        <s v="A101"/>
        <s v="A102"/>
        <s v="A103"/>
        <s v="A104"/>
        <s v="A111"/>
        <s v="A112"/>
        <s v="A113"/>
        <s v="A114"/>
        <s v="A121"/>
        <s v="A122"/>
        <s v="A123"/>
        <s v="A124"/>
        <s v="A131"/>
        <s v="A132"/>
        <s v="A133"/>
        <s v="A134"/>
        <s v="A141"/>
        <s v="A142"/>
        <s v="A143"/>
        <s v="A144"/>
        <s v="A201"/>
        <s v="A202"/>
        <s v="A203"/>
        <s v="A204"/>
        <s v="A211"/>
        <s v="A212"/>
        <s v="A213"/>
        <s v="A214"/>
        <s v="A221"/>
        <s v="A222"/>
        <s v="A223"/>
        <s v="A224"/>
        <s v="A231"/>
        <s v="A232"/>
        <s v="A233"/>
        <s v="A234"/>
        <s v="A241"/>
        <s v="A242"/>
        <s v="A243"/>
        <s v="A244"/>
        <s v="A301"/>
        <s v="A302"/>
        <s v="A303"/>
        <s v="A304"/>
        <s v="A311"/>
        <s v="A312"/>
        <s v="A313"/>
        <s v="A314"/>
        <s v="A321"/>
        <s v="A322"/>
        <s v="A323"/>
        <s v="A324"/>
        <s v="A331"/>
        <s v="A332"/>
        <s v="A333"/>
        <s v="A334"/>
        <s v="A341"/>
        <s v="A342"/>
        <s v="A343"/>
        <s v="A344"/>
        <s v="A401"/>
        <s v="A402"/>
        <s v="A403"/>
        <s v="A404"/>
        <s v="A405"/>
        <s v="A411"/>
        <s v="A412"/>
        <s v="A413"/>
        <s v="A414"/>
        <s v="A415"/>
        <s v="A421"/>
        <s v="A422"/>
        <s v="A423"/>
        <s v="A424"/>
        <s v="A425"/>
        <s v="A426"/>
        <s v="A431"/>
        <s v="A432"/>
        <s v="A433"/>
        <s v="A434"/>
        <s v="A435"/>
        <s v="A436"/>
        <s v="A441"/>
        <s v="A442"/>
        <s v="A443"/>
        <s v="A444"/>
        <s v="A445"/>
        <s v="A446"/>
        <s v="A501"/>
        <s v="A502"/>
        <s v="A503"/>
        <s v="A504"/>
        <s v="A505"/>
        <s v="A511"/>
        <s v="A512"/>
        <s v="A513"/>
        <s v="A514"/>
        <s v="A515"/>
        <s v="A521"/>
        <s v="A522"/>
        <s v="A523"/>
        <s v="A524"/>
        <s v="A525"/>
        <s v="A526"/>
        <s v="A531"/>
        <s v="A532"/>
        <s v="A533"/>
        <s v="A534"/>
        <s v="A535"/>
        <s v="A536"/>
        <s v="A541"/>
        <s v="A542"/>
        <s v="A543"/>
        <s v="A544"/>
        <s v="A545"/>
        <s v="A546"/>
        <s v="A601"/>
        <s v="A602"/>
        <s v="A603"/>
        <s v="A604"/>
        <s v="A611"/>
        <s v="A612"/>
        <s v="A613"/>
        <s v="A614"/>
        <s v="A621"/>
        <s v="A622"/>
        <s v="A623"/>
        <s v="A624"/>
        <s v="A631"/>
        <s v="A632"/>
        <s v="A633"/>
        <s v="A634"/>
        <s v="A641"/>
        <s v="A642"/>
        <s v="A643"/>
        <s v="A644"/>
        <s v="A701"/>
        <s v="A702"/>
        <s v="A703"/>
        <s v="A704"/>
        <s v="A711"/>
        <s v="A712"/>
        <s v="A713"/>
        <s v="A714"/>
        <s v="A721"/>
        <s v="A722"/>
        <s v="A723"/>
        <s v="A724"/>
        <s v="A731"/>
        <s v="A732"/>
        <s v="A733"/>
        <s v="A734"/>
        <s v="A741"/>
        <s v="A742"/>
        <s v="A743"/>
        <s v="A744"/>
        <s v="A801"/>
        <s v="A802"/>
        <s v="A803"/>
        <s v="A804"/>
        <s v="A811"/>
        <s v="A812"/>
        <s v="A813"/>
        <s v="A814"/>
        <s v="A821"/>
        <s v="A822"/>
        <s v="A823"/>
        <s v="A824"/>
        <s v="A831"/>
        <s v="A832"/>
        <s v="A833"/>
        <s v="A834"/>
        <s v="A841"/>
        <s v="A842"/>
        <s v="A843"/>
        <s v="A844"/>
        <s v="B101"/>
        <s v="B102"/>
        <s v="B103"/>
        <s v="B104"/>
        <s v="B111"/>
        <s v="B112"/>
        <s v="B113"/>
        <s v="B114"/>
        <s v="B121"/>
        <s v="B122"/>
        <s v="B123"/>
        <s v="B124"/>
        <s v="B131"/>
        <s v="B132"/>
        <s v="B133"/>
        <s v="B134"/>
        <s v="B141"/>
        <s v="B142"/>
        <s v="B143"/>
        <s v="B144"/>
        <s v="B201"/>
        <s v="B202"/>
        <s v="B203"/>
        <s v="B204"/>
        <s v="B211"/>
        <s v="B212"/>
        <s v="B213"/>
        <s v="B214"/>
        <s v="B221"/>
        <s v="B222"/>
        <s v="B223"/>
        <s v="B224"/>
        <s v="B231"/>
        <s v="B232"/>
        <s v="B233"/>
        <s v="B234"/>
        <s v="B241"/>
        <s v="B242"/>
        <s v="B243"/>
        <s v="B244"/>
        <s v="B301"/>
        <s v="B302"/>
        <s v="B303"/>
        <s v="B304"/>
        <s v="B311"/>
        <s v="B312"/>
        <s v="B313"/>
        <s v="B314"/>
        <s v="B321"/>
        <s v="B322"/>
        <s v="B323"/>
        <s v="B324"/>
        <s v="B331"/>
        <s v="B332"/>
        <s v="B333"/>
        <s v="B334"/>
        <s v="B341"/>
        <s v="B342"/>
        <s v="B343"/>
        <s v="B344"/>
        <s v="B401"/>
        <s v="B402"/>
        <s v="B403"/>
        <s v="B404"/>
        <s v="B411"/>
        <s v="B414"/>
        <s v="B421"/>
        <s v="B422"/>
        <s v="B423"/>
        <s v="B424"/>
        <s v="B431"/>
        <s v="B432"/>
        <s v="B433"/>
        <s v="B434"/>
        <s v="B441"/>
        <s v="B442"/>
        <s v="B443"/>
        <s v="B444"/>
        <s v="B501"/>
        <s v="B502"/>
        <s v="B503"/>
        <s v="B504"/>
        <s v="B511"/>
        <s v="B512"/>
        <s v="B513"/>
        <s v="B514"/>
        <s v="B521"/>
        <s v="B522"/>
        <s v="B523"/>
        <s v="B524"/>
        <s v="B531"/>
        <s v="B532"/>
        <s v="B533"/>
        <s v="B534"/>
        <s v="B541"/>
        <s v="B542"/>
        <s v="B543"/>
        <s v="B544"/>
        <s v="B601"/>
        <s v="B602"/>
        <s v="B603"/>
        <s v="B604"/>
        <s v="B611"/>
        <s v="B612"/>
        <s v="B613"/>
        <s v="B614"/>
        <s v="B621"/>
        <s v="B622"/>
        <s v="B623"/>
        <s v="B624"/>
        <s v="B631"/>
        <s v="B632"/>
        <s v="B633"/>
        <s v="B634"/>
        <s v="B641"/>
        <s v="B642"/>
        <s v="B643"/>
        <s v="B644"/>
        <s v="B701"/>
        <s v="B702"/>
        <s v="B703"/>
        <s v="B704"/>
        <s v="B711"/>
        <s v="B714"/>
        <s v="B721"/>
        <s v="B722"/>
        <s v="B723"/>
        <s v="B724"/>
        <s v="B731"/>
        <s v="B732"/>
        <s v="B733"/>
        <s v="B734"/>
        <s v="B741"/>
        <s v="B742"/>
        <s v="B743"/>
        <s v="B744"/>
        <s v="B801"/>
        <s v="B802"/>
        <s v="B803"/>
        <s v="B804"/>
        <s v="B811"/>
        <s v="B812"/>
        <s v="B813"/>
        <s v="B814"/>
        <s v="B821"/>
        <s v="B822"/>
        <s v="B823"/>
        <s v="B824"/>
        <s v="B831"/>
        <s v="B832"/>
        <s v="B833"/>
        <s v="B834"/>
        <s v="B841"/>
        <s v="B842"/>
        <s v="B843"/>
        <s v="B844"/>
        <s v="B901"/>
        <s v="B902"/>
        <s v="B903"/>
        <s v="B904"/>
        <s v="B911"/>
        <s v="B912"/>
        <s v="B913"/>
        <s v="B914"/>
        <s v="B921"/>
        <s v="B922"/>
        <s v="B923"/>
        <s v="B924"/>
        <s v="B931"/>
        <s v="B932"/>
        <s v="B933"/>
        <s v="B934"/>
        <s v="B941"/>
        <s v="B942"/>
        <s v="B943"/>
        <s v="B944"/>
        <s v="B1001"/>
        <s v="B1002"/>
        <s v="B1003"/>
        <s v="B1004"/>
        <s v="B1011"/>
        <s v="B1014"/>
        <s v="B1021"/>
        <s v="B1022"/>
        <s v="B1023"/>
        <s v="B1024"/>
        <s v="B1031"/>
        <s v="B1032"/>
        <s v="B1033"/>
        <s v="B1034"/>
        <s v="B1041"/>
        <s v="B1042"/>
        <s v="B1043"/>
        <s v="B1044"/>
        <s v="B1101"/>
        <s v="B1102"/>
        <s v="B1103"/>
        <s v="B1104"/>
        <s v="B1111"/>
        <s v="B1112"/>
        <s v="B1113"/>
        <s v="B1114"/>
        <s v="B1121"/>
        <s v="B1122"/>
        <s v="B1123"/>
        <s v="B1124"/>
        <s v="B1131"/>
        <s v="B1132"/>
        <s v="B1133"/>
        <s v="B1134"/>
        <s v="B1141"/>
        <s v="B1142"/>
        <s v="B1143"/>
        <s v="B1144"/>
        <s v="B1201"/>
        <s v="B1202"/>
        <s v="B1203"/>
        <s v="B1204"/>
        <s v="B1211"/>
        <s v="B1212"/>
        <s v="B1213"/>
        <s v="B1214"/>
        <s v="B1221"/>
        <s v="B1222"/>
        <s v="B1223"/>
        <s v="B1224"/>
        <s v="B1231"/>
        <s v="B1232"/>
        <s v="B1233"/>
        <s v="B1234"/>
        <s v="B1241"/>
        <s v="B1242"/>
        <s v="B1243"/>
        <s v="B1244"/>
        <s v="B1301"/>
        <s v="B1302"/>
        <s v="B1303"/>
        <s v="B1304"/>
        <s v="B1311"/>
        <s v="B1314"/>
        <s v="B1321"/>
        <s v="B1322"/>
        <s v="B1323"/>
        <s v="B1324"/>
        <s v="B1331"/>
        <s v="B1332"/>
        <s v="B1333"/>
        <s v="B1334"/>
        <s v="B1341"/>
        <s v="B1342"/>
        <s v="B1343"/>
        <s v="B1344"/>
        <s v="B1401"/>
        <s v="B1402"/>
        <s v="B1403"/>
        <s v="B1404"/>
        <s v="B1411"/>
        <s v="B1412"/>
        <s v="B1413"/>
        <s v="B1414"/>
        <s v="B1421"/>
        <s v="B1422"/>
        <s v="B1423"/>
        <s v="B1424"/>
        <s v="B1431"/>
        <s v="B1432"/>
        <s v="B1433"/>
        <s v="B1434"/>
        <s v="B1441"/>
        <s v="B1442"/>
        <s v="B1443"/>
        <s v="B1444"/>
        <s v="B1501"/>
        <s v="B1502"/>
        <s v="B1503"/>
        <s v="B1504"/>
        <s v="B1511"/>
        <s v="B1512"/>
        <s v="B1513"/>
        <s v="B1514"/>
        <s v="B1521"/>
        <s v="B1522"/>
        <s v="B1523"/>
        <s v="B1524"/>
        <s v="B1531"/>
        <s v="B1532"/>
        <s v="B1533"/>
        <s v="B1534"/>
        <s v="B1541"/>
        <s v="B1542"/>
        <s v="B1543"/>
        <s v="B1544"/>
        <s v="B1601"/>
        <s v="B1602"/>
        <s v="B1603"/>
        <s v="B1604"/>
        <s v="B1611"/>
        <s v="B1614"/>
        <s v="B1621"/>
        <s v="B1622"/>
        <s v="B1623"/>
        <s v="B1624"/>
        <s v="B1631"/>
        <s v="B1632"/>
        <s v="B1633"/>
        <s v="B1634"/>
        <s v="B1641"/>
        <s v="B1642"/>
        <s v="B1643"/>
        <s v="B1644"/>
        <s v="B1701"/>
        <s v="B1702"/>
        <s v="B1703"/>
        <s v="B1704"/>
        <s v="B1711"/>
        <s v="B1712"/>
        <s v="B1713"/>
        <s v="B1714"/>
        <s v="B1721"/>
        <s v="B1722"/>
        <s v="B1723"/>
        <s v="B1724"/>
        <s v="B1731"/>
        <s v="B1732"/>
        <s v="B1733"/>
        <s v="B1734"/>
        <s v="B1741"/>
        <s v="B1742"/>
        <s v="B1743"/>
        <s v="B1744"/>
        <s v="B1801"/>
        <s v="B1802"/>
        <s v="B1803"/>
        <s v="B1804"/>
        <s v="B1811"/>
        <s v="B1812"/>
        <s v="B1813"/>
        <s v="B1814"/>
        <s v="B1821"/>
        <s v="B1822"/>
        <s v="B1823"/>
        <s v="B1824"/>
        <s v="B1831"/>
        <s v="B1832"/>
        <s v="B1833"/>
        <s v="B1834"/>
        <s v="B1841"/>
        <s v="B1842"/>
        <s v="B1843"/>
        <s v="B1844"/>
        <s v="B1901"/>
        <s v="B1902"/>
        <s v="B1903"/>
        <s v="B1904"/>
        <s v="B1911"/>
        <s v="B1912"/>
        <s v="B1913"/>
        <s v="B1914"/>
        <s v="B1921"/>
        <s v="B1922"/>
        <s v="B1923"/>
        <s v="B1924"/>
        <s v="B1931"/>
        <s v="B1932"/>
        <s v="B1933"/>
        <s v="B1934"/>
        <s v="B1941"/>
        <s v="B1942"/>
        <s v="B1943"/>
        <s v="B1944"/>
        <s v="C101"/>
        <s v="C102"/>
        <s v="C103"/>
        <s v="C104"/>
        <s v="C111"/>
        <s v="C112"/>
        <s v="C113"/>
        <s v="C114"/>
        <s v="C121"/>
        <s v="C122"/>
        <s v="C123"/>
        <s v="C124"/>
        <s v="C131"/>
        <s v="C132"/>
        <s v="C133"/>
        <s v="C134"/>
        <s v="C141"/>
        <s v="C142"/>
        <s v="C143"/>
        <s v="C144"/>
        <s v="C201"/>
        <s v="C202"/>
        <s v="C203"/>
        <s v="C204"/>
        <s v="C211"/>
        <s v="C214"/>
        <s v="C221"/>
        <s v="C222"/>
        <s v="C223"/>
        <s v="C224"/>
        <s v="C231"/>
        <s v="C232"/>
        <s v="C233"/>
        <s v="C234"/>
        <s v="C241"/>
        <s v="C242"/>
        <s v="C243"/>
        <s v="C244"/>
        <s v="C301"/>
        <s v="C302"/>
        <s v="C303"/>
        <s v="C304"/>
        <s v="C311"/>
        <s v="C312"/>
        <s v="C313"/>
        <s v="C314"/>
        <s v="C321"/>
        <s v="C322"/>
        <s v="C323"/>
        <s v="C324"/>
        <s v="C331"/>
        <s v="C332"/>
        <s v="C333"/>
        <s v="C334"/>
        <s v="C341"/>
        <s v="C342"/>
        <s v="C343"/>
        <s v="C344"/>
        <s v="C401"/>
        <s v="C402"/>
        <s v="C403"/>
        <s v="C404"/>
        <s v="C411"/>
        <s v="C412"/>
        <s v="C413"/>
        <s v="C414"/>
        <s v="C421"/>
        <s v="C422"/>
        <s v="C423"/>
        <s v="C424"/>
        <s v="C431"/>
        <s v="C432"/>
        <s v="C433"/>
        <s v="C434"/>
        <s v="C441"/>
        <s v="C442"/>
        <s v="C443"/>
        <s v="C444"/>
        <s v="C501"/>
        <s v="C502"/>
        <s v="C503"/>
        <s v="C504"/>
        <s v="C511"/>
        <s v="C514"/>
        <s v="C521"/>
        <s v="C522"/>
        <s v="C523"/>
        <s v="C524"/>
        <s v="C531"/>
        <s v="C532"/>
        <s v="C533"/>
        <s v="C534"/>
        <s v="C541"/>
        <s v="C542"/>
        <s v="C543"/>
        <s v="C544"/>
        <s v="C601"/>
        <s v="C602"/>
        <s v="C603"/>
        <s v="C604"/>
        <s v="C611"/>
        <s v="C612"/>
        <s v="C613"/>
        <s v="C614"/>
        <s v="C621"/>
        <s v="C622"/>
        <s v="C623"/>
        <s v="C624"/>
        <s v="C631"/>
        <s v="C632"/>
        <s v="C633"/>
        <s v="C634"/>
        <s v="C641"/>
        <s v="C642"/>
        <s v="C643"/>
        <s v="C644"/>
        <s v="D101"/>
        <s v="D102"/>
        <s v="D103"/>
        <s v="D104"/>
        <s v="D111"/>
        <s v="D112"/>
        <s v="D113"/>
        <s v="D114"/>
        <s v="D121"/>
        <s v="D122"/>
        <s v="D123"/>
        <s v="D124"/>
        <s v="D131"/>
        <s v="D132"/>
        <s v="D133"/>
        <s v="D134"/>
        <s v="D141"/>
        <s v="D142"/>
        <s v="D143"/>
        <s v="D144"/>
        <s v="D201"/>
        <s v="D202"/>
        <s v="D203"/>
        <s v="D204"/>
        <s v="D211"/>
        <s v="D214"/>
        <s v="D221"/>
        <s v="D222"/>
        <s v="D223"/>
        <s v="D224"/>
        <s v="D231"/>
        <s v="D232"/>
        <s v="D233"/>
        <s v="D234"/>
        <s v="D241"/>
        <s v="D242"/>
        <s v="D243"/>
        <s v="D244"/>
        <s v="D301"/>
        <s v="D302"/>
        <s v="D303"/>
        <s v="D304"/>
        <s v="D311"/>
        <s v="D312"/>
        <s v="D313"/>
        <s v="D314"/>
        <s v="D321"/>
        <s v="D322"/>
        <s v="D323"/>
        <s v="D324"/>
        <s v="D331"/>
        <s v="D332"/>
        <s v="D333"/>
        <s v="D334"/>
        <s v="D341"/>
        <s v="D342"/>
        <s v="D343"/>
        <s v="D344"/>
        <s v="D401"/>
        <s v="D402"/>
        <s v="D403"/>
        <s v="D404"/>
        <s v="D411"/>
        <s v="D412"/>
        <s v="D413"/>
        <s v="D414"/>
        <s v="D421"/>
        <s v="D422"/>
        <s v="D423"/>
        <s v="D424"/>
        <s v="D431"/>
        <s v="D432"/>
        <s v="D433"/>
        <s v="D434"/>
        <s v="D441"/>
        <s v="D442"/>
        <s v="D443"/>
        <s v="D444"/>
        <s v="D501"/>
        <s v="D502"/>
        <s v="D503"/>
        <s v="D504"/>
        <s v="D511"/>
        <s v="D512"/>
        <s v="D513"/>
        <s v="D514"/>
        <s v="D521"/>
        <s v="D522"/>
        <s v="D523"/>
        <s v="D524"/>
        <s v="D531"/>
        <s v="D532"/>
        <s v="D533"/>
        <s v="D534"/>
        <s v="D541"/>
        <s v="D542"/>
        <s v="D543"/>
        <s v="D544"/>
        <s v="E101"/>
        <s v="E102"/>
        <s v="E103"/>
        <s v="E104"/>
        <s v="E111"/>
        <s v="E112"/>
        <s v="E113"/>
        <s v="E114"/>
        <s v="E121"/>
        <s v="E122"/>
        <s v="E123"/>
        <s v="E124"/>
        <s v="E131"/>
        <s v="E132"/>
        <s v="E133"/>
        <s v="E134"/>
        <s v="E141"/>
        <s v="E142"/>
        <s v="E143"/>
        <s v="E144"/>
        <s v="E201"/>
        <s v="E202"/>
        <s v="E203"/>
        <s v="E204"/>
        <s v="E211"/>
        <s v="E212"/>
        <s v="E213"/>
        <s v="E214"/>
        <s v="E221"/>
        <s v="E222"/>
        <s v="E223"/>
        <s v="E224"/>
        <s v="E231"/>
        <s v="E232"/>
        <s v="E233"/>
        <s v="E234"/>
        <s v="E241"/>
        <s v="E242"/>
        <s v="E243"/>
        <s v="E244"/>
        <s v="E301"/>
        <s v="E302"/>
        <s v="E303"/>
        <s v="E304"/>
        <s v="E311"/>
        <s v="E312"/>
        <s v="E313"/>
        <s v="E314"/>
        <s v="E321"/>
        <s v="E322"/>
        <s v="E323"/>
        <s v="E324"/>
        <s v="E331"/>
        <s v="E332"/>
        <s v="E333"/>
        <s v="E334"/>
        <s v="E341"/>
        <s v="E342"/>
        <s v="E343"/>
        <s v="E344"/>
        <s v="E401"/>
        <s v="E402"/>
        <s v="E403"/>
        <s v="E404"/>
        <s v="E411"/>
        <s v="E414"/>
        <s v="E421"/>
        <s v="E422"/>
        <s v="E423"/>
        <s v="E424"/>
        <s v="E431"/>
        <s v="E432"/>
        <s v="E433"/>
        <s v="E434"/>
        <s v="E441"/>
        <s v="E442"/>
        <s v="E443"/>
        <s v="E444"/>
        <s v="E501"/>
        <s v="E502"/>
        <s v="E503"/>
        <s v="E504"/>
        <s v="E511"/>
        <s v="E512"/>
        <s v="E513"/>
        <s v="E514"/>
        <s v="E521"/>
        <s v="E522"/>
        <s v="E523"/>
        <s v="E524"/>
        <s v="E531"/>
        <s v="E532"/>
        <s v="E533"/>
        <s v="E534"/>
        <s v="E541"/>
        <s v="E542"/>
        <s v="E543"/>
        <s v="E544"/>
        <s v="E412" u="1"/>
        <s v="D212" u="1"/>
        <s v="E413" u="1"/>
        <s v="D213" u="1"/>
        <s v="B712" u="1"/>
        <s v="C512" u="1"/>
        <s v="B713" u="1"/>
        <s v="C513" u="1"/>
        <s v="B1012" u="1"/>
        <s v="B412" u="1"/>
        <s v="B1312" u="1"/>
        <s v="B1612" u="1"/>
        <s v="B1013" u="1"/>
        <s v="C212" u="1"/>
        <s v="B1313" u="1"/>
        <s v="B1613" u="1"/>
        <s v="B413" u="1"/>
        <s v="C213" u="1"/>
      </sharedItems>
    </cacheField>
    <cacheField name="NO. OF BEDROOMS" numFmtId="2">
      <sharedItems count="5">
        <s v="2 BEDROOM"/>
        <s v="1 BEDROOM (STUDIO)"/>
        <s v="3 BEDROOM"/>
        <s v="3 BEDROOM + LIVING"/>
        <s v="3 BEDROOM + LIVING (DUPLEX)"/>
      </sharedItems>
    </cacheField>
    <cacheField name="CONSTRUCTION PHASE" numFmtId="0">
      <sharedItems/>
    </cacheField>
    <cacheField name="Unit Net Area" numFmtId="0">
      <sharedItems containsSemiMixedTypes="0" containsString="0" containsNumber="1" minValue="50.89" maxValue="187.91"/>
    </cacheField>
    <cacheField name="Unit Gross Area" numFmtId="0">
      <sharedItems containsSemiMixedTypes="0" containsString="0" containsNumber="1" minValue="64.980872285672973" maxValue="208.11891560587694"/>
    </cacheField>
    <cacheField name="Unit Selling Area" numFmtId="0">
      <sharedItems containsSemiMixedTypes="0" containsString="0" containsNumber="1" minValue="63" maxValue="344" count="222">
        <n v="136"/>
        <n v="135"/>
        <n v="111"/>
        <n v="75"/>
        <n v="110"/>
        <n v="76"/>
        <n v="138"/>
        <n v="112"/>
        <n v="121"/>
        <n v="120"/>
        <n v="119"/>
        <n v="122"/>
        <n v="78"/>
        <n v="63"/>
        <n v="84"/>
        <n v="85"/>
        <n v="77"/>
        <n v="116"/>
        <n v="199"/>
        <n v="224"/>
        <n v="176"/>
        <n v="117"/>
        <n v="173"/>
        <n v="172"/>
        <n v="205"/>
        <n v="228"/>
        <n v="202"/>
        <n v="229"/>
        <n v="170"/>
        <n v="223"/>
        <n v="106"/>
        <n v="153"/>
        <n v="158"/>
        <n v="160"/>
        <n v="108"/>
        <n v="155"/>
        <n v="157"/>
        <n v="161"/>
        <n v="309"/>
        <n v="301"/>
        <n v="162"/>
        <n v="180"/>
        <n v="198"/>
        <n v="204"/>
        <n v="201"/>
        <n v="222"/>
        <n v="344"/>
        <n v="174"/>
        <n v="152"/>
        <n v="154"/>
        <n v="172.67147999999997" u="1"/>
        <n v="228.38888" u="1"/>
        <n v="80.460800000000006" u="1"/>
        <n v="118.4498" u="1"/>
        <n v="155.12299999999999" u="1"/>
        <n v="223.97980000000001" u="1"/>
        <n v="172.10906" u="1"/>
        <n v="87.795200000000008" u="1"/>
        <n v="155.4402" u="1"/>
        <n v="160.21039999999999" u="1"/>
        <n v="162.18680000000001" u="1"/>
        <n v="65.305599999999998" u="1"/>
        <n v="74.395599999999988" u="1"/>
        <n v="158.08760000000001" u="1"/>
        <n v="198.34271999999999" u="1"/>
        <n v="204.81359999999998" u="1"/>
        <n v="81.651200000000003" u="1"/>
        <n v="115.80240000000001" u="1"/>
        <n v="134.59039999999999" u="1"/>
        <n v="175.57141999999999" u="1"/>
        <n v="175.66658000000001" u="1"/>
        <n v="199.28699999999998" u="1"/>
        <n v="228.24979999999999" u="1"/>
        <n v="152.6464" u="1"/>
        <n v="172.66172" u="1"/>
        <n v="172.7398" u="1"/>
        <n v="200.58874" u="1"/>
        <n v="155.0864" u="1"/>
        <n v="66" u="1"/>
        <n v="80.844799999999992" u="1"/>
        <n v="117.47380000000001" u="1"/>
        <n v="117.49942" u="1"/>
        <n v="159.85659999999999" u="1"/>
        <n v="202.1662" u="1"/>
        <n v="80.780799999999999" u="1"/>
        <n v="160.23480000000001" u="1"/>
        <n v="173.70115999999999" u="1"/>
        <n v="222.72319999999999" u="1"/>
        <n v="65.89439999999999" u="1"/>
        <n v="80.512" u="1"/>
        <n v="175.93620000000001" u="1"/>
        <n v="198.23779999999999" u="1"/>
        <n v="88.179200000000009" u="1"/>
        <n v="160.69839999999999" u="1"/>
        <n v="173.02649999999997" u="1"/>
        <n v="87.91040000000001" u="1"/>
        <n v="172.82886000000002" u="1"/>
        <n v="224.34214" u="1"/>
        <n v="74" u="1"/>
        <n v="180.00489999999999" u="1"/>
        <n v="110.4344" u="1"/>
        <n v="136.88400000000001" u="1"/>
        <n v="116.20988" u="1"/>
        <n v="154.7936" u="1"/>
        <n v="154.87899999999999" u="1"/>
        <n v="109.75119999999998" u="1"/>
        <n v="118.5474" u="1"/>
        <n v="119.5356" u="1"/>
        <n v="148.42519999999999" u="1"/>
        <n v="155.17179999999999" u="1"/>
        <n v="169.73493999999999" u="1"/>
        <n v="224.34579999999997" u="1"/>
        <n v="175.64339999999999" u="1"/>
        <n v="300.96179999999998" u="1"/>
        <n v="119.76739999999999" u="1"/>
        <n v="155.489" u="1"/>
        <n v="159.96639999999999" u="1"/>
        <n v="80.435200000000009" u="1"/>
        <n v="82" u="1"/>
        <n v="106.42060000000001" u="1"/>
        <n v="110.89800000000001" u="1"/>
        <n v="157.99" u="1"/>
        <n v="160.34460000000001" u="1"/>
        <n v="160.86920000000001" u="1"/>
        <n v="65" u="1"/>
        <n v="173.48034000000001" u="1"/>
        <n v="152.60980000000001" u="1"/>
        <n v="155.11079999999998" u="1"/>
        <n v="108.32380000000001" u="1"/>
        <n v="118.4132" u="1"/>
        <n v="198.59281999999999" u="1"/>
        <n v="117.45062" u="1"/>
        <n v="176.48886000000002" u="1"/>
        <n v="172.2945" u="1"/>
        <n v="87.833600000000004" u="1"/>
        <n v="158.0754" u="1"/>
        <n v="160.28359999999998" u="1"/>
        <n v="75.420400000000001" u="1"/>
        <n v="203.94618" u="1"/>
        <n v="160.89359999999999" u="1"/>
        <n v="173.15338" u="1"/>
        <n v="198.64771999999999" u="1"/>
        <n v="156.5016" u="1"/>
        <n v="172.203" u="1"/>
        <n v="172.49579999999997" u="1"/>
        <n v="222.47554" u="1"/>
        <n v="154.67160000000001" u="1"/>
        <n v="154.9034" u="1"/>
        <n v="170.27784" u="1"/>
        <n v="172.56412" u="1"/>
        <n v="81" u="1"/>
        <n v="116.16108" u="1"/>
        <n v="204.00108" u="1"/>
        <n v="110.91019999999999" u="1"/>
        <n v="120.69460000000001" u="1"/>
        <n v="108.64099999999999" u="1"/>
        <n v="134" u="1"/>
        <n v="159.84440000000001" u="1"/>
        <n v="158.09979999999999" u="1"/>
        <n v="65.139200000000002" u="1"/>
        <n v="107.95779999999999" u="1"/>
        <n v="89" u="1"/>
        <n v="134.3708" u="1"/>
        <n v="198.92100000000002" u="1"/>
        <n v="152.65859999999998" u="1"/>
        <n v="154.78139999999999" u="1"/>
        <n v="154.92779999999999" u="1"/>
        <n v="170.44863999999998" u="1"/>
        <n v="172.71784" u="1"/>
        <n v="228.262" u="1"/>
        <n v="118" u="1"/>
        <n v="157.4288" u="1"/>
        <n v="108.42140000000001" u="1"/>
        <n v="173.1302" u="1"/>
        <n v="137" u="1"/>
        <n v="174.43194" u="1"/>
        <n v="175.55311999999998" u="1"/>
        <n v="229.25019999999998" u="1"/>
        <n v="343.92898000000002" u="1"/>
        <n v="108.7264" u="1"/>
        <n v="172.17982000000001" u="1"/>
        <n v="172.24814000000001" u="1"/>
        <n v="198.18167999999997" u="1"/>
        <n v="160.33239999999998" u="1"/>
        <n v="160.62519999999998" u="1"/>
        <n v="228.26566" u="1"/>
        <n v="172.82397999999998" u="1"/>
        <n v="224.03713999999999" u="1"/>
        <n v="87.807999999999993" u="1"/>
        <n v="120.25539999999999" u="1"/>
        <n v="169.72640000000001" u="1"/>
        <n v="80" u="1"/>
        <n v="172.29571999999999" u="1"/>
        <n v="156.8432" u="1"/>
        <n v="88.537599999999998" u="1"/>
        <n v="152.53659999999999" u="1"/>
        <n v="172.61291999999997" u="1"/>
        <n v="134.9442" u="1"/>
        <n v="154.8058" u="1"/>
        <n v="198.28782000000001" u="1"/>
        <n v="80.601600000000005" u="1"/>
        <n v="88.204799999999992" u="1"/>
        <n v="109" u="1"/>
        <n v="120.71899999999999" u="1"/>
        <n v="169.78129999999999" u="1"/>
        <n v="173.54987999999997" u="1"/>
        <n v="65.92" u="1"/>
        <n v="88" u="1"/>
        <n v="173.30832000000001" u="1"/>
        <n v="343.58616000000001" u="1"/>
        <n v="160.35679999999999" u="1"/>
        <n v="308.83079999999995" u="1"/>
        <n v="160.50319999999999" u="1"/>
        <n v="160.64959999999999" u="1"/>
        <n v="200.61192" u="1"/>
        <n v="169.68979999999999" u="1"/>
        <n v="152.1584" u="1"/>
        <n v="154.13480000000001" u="1"/>
        <n v="222.48041999999998" u="1"/>
        <n v="134.4196" u="1"/>
        <n v="152.32919999999999" u="1"/>
        <n v="169.966252" u="1"/>
      </sharedItems>
    </cacheField>
    <cacheField name="Private Garden Area" numFmtId="0">
      <sharedItems containsString="0" containsBlank="1" containsNumber="1" minValue="23.799600000000002" maxValue="97.868200000000002"/>
    </cacheField>
    <cacheField name="No. of Bedrooms2" numFmtId="0">
      <sharedItems containsNonDate="0" containsString="0" containsBlank="1"/>
    </cacheField>
    <cacheField name="ORIENTATION" numFmtId="2">
      <sharedItems/>
    </cacheField>
    <cacheField name="INTERNAL LOCATION" numFmtId="2">
      <sharedItems/>
    </cacheField>
    <cacheField name="VIEW" numFmtId="2">
      <sharedItems/>
    </cacheField>
    <cacheField name="FLOOR2" numFmtId="2">
      <sharedItems/>
    </cacheField>
    <cacheField name="AREA CATEGORY" numFmtId="2">
      <sharedItems count="8">
        <s v="C"/>
        <s v="B"/>
        <s v="A"/>
        <s v="E"/>
        <s v="D"/>
        <s v="F"/>
        <e v="#NAME?" u="1"/>
        <s v="HOTEL" u="1"/>
      </sharedItems>
    </cacheField>
    <cacheField name="P1" numFmtId="164">
      <sharedItems containsSemiMixedTypes="0" containsString="0" containsNumber="1" minValue="0.06" maxValue="0.15"/>
    </cacheField>
    <cacheField name="P2" numFmtId="164">
      <sharedItems containsSemiMixedTypes="0" containsString="0" containsNumber="1" minValue="2.5000000000000001E-2" maxValue="0.05"/>
    </cacheField>
    <cacheField name="P3" numFmtId="164">
      <sharedItems containsSemiMixedTypes="0" containsString="0" containsNumber="1" minValue="0.1" maxValue="0.6"/>
    </cacheField>
    <cacheField name="P4" numFmtId="164">
      <sharedItems containsSemiMixedTypes="0" containsString="0" containsNumber="1" minValue="0.05" maxValue="0.15"/>
    </cacheField>
    <cacheField name="P5" numFmtId="164">
      <sharedItems containsSemiMixedTypes="0" containsString="0" containsNumber="1" minValue="0" maxValue="0.05"/>
    </cacheField>
    <cacheField name="TOTAL PREMIUM %" numFmtId="10">
      <sharedItems containsSemiMixedTypes="0" containsString="0" containsNumber="1" minValue="0.27499999999999997" maxValue="0.96500000000000008" count="226">
        <n v="0.36499999999999999"/>
        <n v="0.66500000000000015"/>
        <n v="0.64500000000000013"/>
        <n v="0.35499999999999998"/>
        <n v="0.38500000000000001"/>
        <n v="0.68500000000000016"/>
        <n v="0.66500000000000004"/>
        <n v="0.375"/>
        <n v="0.42500000000000004"/>
        <n v="0.72500000000000009"/>
        <n v="0.70500000000000007"/>
        <n v="0.40499999999999997"/>
        <n v="0.46500000000000008"/>
        <n v="0.76500000000000012"/>
        <n v="0.74500000000000011"/>
        <n v="0.44500000000000001"/>
        <n v="0.67500000000000016"/>
        <n v="0.65500000000000003"/>
        <n v="0.34499999999999997"/>
        <n v="0.495"/>
        <n v="0.51500000000000001"/>
        <n v="0.46499999999999997"/>
        <n v="0.55500000000000005"/>
        <n v="0.505"/>
        <n v="0.59500000000000008"/>
        <n v="0.54500000000000004"/>
        <n v="0.45499999999999996"/>
        <n v="0.38"/>
        <n v="0.48"/>
        <n v="0.47499999999999998"/>
        <n v="0.5"/>
        <n v="0.41499999999999998"/>
        <n v="0.54"/>
        <n v="0.45500000000000002"/>
        <n v="0.58000000000000007"/>
        <n v="0.49"/>
        <n v="0.55000000000000004"/>
        <n v="0.31"/>
        <n v="0.28499999999999998"/>
        <n v="0.42499999999999993"/>
        <n v="0.57000000000000006"/>
        <n v="0.43"/>
        <n v="0.40500000000000003"/>
        <n v="0.44499999999999995"/>
        <n v="0.6100000000000001"/>
        <n v="0.47"/>
        <n v="0.48499999999999993"/>
        <n v="0.65"/>
        <n v="0.51"/>
        <n v="0.48500000000000004"/>
        <n v="0.52500000000000002"/>
        <n v="0.56000000000000005"/>
        <n v="0.42"/>
        <n v="0.39500000000000002"/>
        <n v="0.43499999999999994"/>
        <n v="0.27499999999999997"/>
        <n v="0.41499999999999992"/>
        <n v="0.47499999999999992"/>
        <n v="0.435"/>
        <n v="0.47500000000000003"/>
        <n v="0.57500000000000007"/>
        <n v="0.59499999999999997"/>
        <n v="0.63500000000000001"/>
        <n v="0.67500000000000004"/>
        <n v="0.58499999999999996"/>
        <n v="0.6150000000000001"/>
        <n v="0.69500000000000006"/>
        <n v="0.53500000000000003"/>
        <n v="0.60500000000000009"/>
        <n v="0.32499999999999996"/>
        <n v="0.84"/>
        <n v="0.8650000000000001"/>
        <n v="0.33500000000000002"/>
        <n v="0.86"/>
        <n v="0.88500000000000012"/>
        <n v="0.35500000000000004"/>
        <n v="0.37"/>
        <n v="0.89999999999999991"/>
        <n v="0.92500000000000004"/>
        <n v="0.41000000000000003"/>
        <n v="0.94"/>
        <n v="0.96500000000000008"/>
        <n v="0.43500000000000005"/>
        <n v="0.32"/>
        <n v="0.85"/>
        <n v="0.87500000000000011"/>
        <n v="0.34500000000000003"/>
        <n v="0.84000000000000008"/>
        <n v="0.36500000000000005"/>
        <n v="0.9"/>
        <n v="0.91500000000000004"/>
        <n v="0.45000000000000007"/>
        <n v="0.94000000000000006"/>
        <n v="0.95500000000000007"/>
        <n v="0.36"/>
        <n v="0.34"/>
        <n v="0.80500000000000005"/>
        <n v="0.36000000000000004"/>
        <n v="0.4"/>
        <n v="0.89"/>
        <n v="0.44000000000000006"/>
        <n v="0.93"/>
        <n v="0.745"/>
        <n v="0.755"/>
        <n v="0.79499999999999993"/>
        <n v="0.83499999999999996"/>
        <n v="0.75000000000000011"/>
        <n v="0.66900000000000015"/>
        <n v="0.77000000000000013"/>
        <n v="0.68900000000000017"/>
        <n v="0.38500000000000006"/>
        <n v="0.81"/>
        <n v="0.72900000000000009"/>
        <n v="0.85000000000000009"/>
        <n v="0.76900000000000013"/>
        <n v="0.35000000000000003"/>
        <n v="0.76000000000000012"/>
        <n v="0.67900000000000016"/>
        <n v="0.37500000000000006"/>
        <n v="0.7350000000000001"/>
        <n v="0.82000000000000006"/>
        <n v="0.8600000000000001"/>
        <n v="0.77500000000000002"/>
        <n v="0.79500000000000004"/>
        <n v="0.875"/>
        <n v="0.78500000000000003"/>
        <n v="0.58750000000000002"/>
        <n v="0.68"/>
        <n v="0.60750000000000004"/>
        <n v="0.70000000000000007"/>
        <n v="0.72499999999999998"/>
        <n v="0.63250000000000006"/>
        <n v="0.74"/>
        <n v="0.76500000000000001"/>
        <n v="0.67249999999999999"/>
        <n v="0.78"/>
        <n v="0.58250000000000002"/>
        <n v="0.69000000000000006"/>
        <n v="0.71499999999999997"/>
        <n v="0.39999999999999997"/>
        <n v="0.56999999999999995"/>
        <n v="0.61"/>
        <n v="0.75"/>
        <n v="0.79"/>
        <n v="0.55999999999999994"/>
        <n v="0.39499999999999996"/>
        <n v="0.72000000000000008"/>
        <n v="0.42499999999999999"/>
        <n v="0.44"/>
        <n v="0.76"/>
        <n v="0.8"/>
        <n v="0.82500000000000007"/>
        <n v="0.39"/>
        <n v="0.71000000000000008"/>
        <n v="0.73499999999999999"/>
        <n v="0.68500000000000005"/>
        <n v="0.77"/>
        <n v="0.61900000000000011"/>
        <n v="0.63900000000000012"/>
        <n v="0.67900000000000005"/>
        <n v="0.71900000000000008"/>
        <n v="0.62900000000000011"/>
        <n v="0.80999999999999994"/>
        <n v="0.70499999999999996"/>
        <n v="0.44999999999999996"/>
        <n v="0.79999999999999993"/>
        <n v="0.69499999999999995"/>
        <n v="0.88"/>
        <n v="0.78999999999999992"/>
        <n v="0.81500000000000006"/>
        <n v="0.86499999999999999"/>
        <n v="0.90500000000000003"/>
        <n v="0.83"/>
        <n v="0.85499999999999998"/>
        <n v="0.87"/>
        <n v="0.89500000000000002"/>
        <n v="0.77999999999999992"/>
        <n v="0.56500000000000006"/>
        <n v="0.60499999999999998"/>
        <n v="0.49000000000000005"/>
        <n v="0.32500000000000001"/>
        <n v="0.84500000000000008"/>
        <n v="0.37000000000000005"/>
        <n v="0.94500000000000006"/>
        <n v="0.32000000000000006"/>
        <n v="0.85500000000000009"/>
        <n v="0.33"/>
        <n v="0.43000000000000005"/>
        <n v="0.64900000000000013"/>
        <n v="0.68900000000000006"/>
        <n v="0.63000000000000012"/>
        <n v="0.69900000000000018"/>
        <n v="0.42000000000000004"/>
        <n v="0.7390000000000001"/>
        <n v="0.46000000000000008"/>
        <n v="0.73000000000000009"/>
        <n v="0.77900000000000014"/>
        <n v="0.64"/>
        <n v="0.7400000000000001"/>
        <n v="0.57750000000000001"/>
        <n v="0.59750000000000003"/>
        <n v="0.63749999999999996"/>
        <n v="0.67749999999999999"/>
        <n v="0.68499999999999994"/>
        <n v="0.67"/>
        <n v="0.73"/>
        <n v="0.72"/>
        <n v="0.62000000000000011"/>
        <n v="0.65500000000000014"/>
        <n v="0.58500000000000008"/>
        <n v="0.61499999999999999"/>
        <n v="0.63"/>
        <n v="0.41500000000000004"/>
        <n v="0.48499999999999999"/>
        <n v="0.47000000000000008"/>
        <n v="0.33000000000000007"/>
        <n v="0.62"/>
        <n v="0.62500000000000011" u="1"/>
        <n v="0.64500000000000002" u="1"/>
        <n v="0.84499999999999997" u="1"/>
        <n v="0.83500000000000008" u="1"/>
        <n v="0.64000000000000012" u="1"/>
        <n v="0.35" u="1"/>
        <n v="0.80499999999999994" u="1"/>
        <n v="0.78000000000000014" u="1"/>
        <n v="0.66" u="1"/>
      </sharedItems>
    </cacheField>
    <cacheField name="PREMIUM CATEGORY" numFmtId="10">
      <sharedItems count="5">
        <s v="C"/>
        <s v="B"/>
        <s v="A"/>
        <s v="HOTEL"/>
        <e v="#NAME?" u="1"/>
      </sharedItems>
    </cacheField>
    <cacheField name="SELLING PHASE NAME" numFmtId="10">
      <sharedItems containsBlank="1" count="26">
        <s v="R 2"/>
        <s v="R 6"/>
        <s v="R 4"/>
        <s v="R 1"/>
        <s v="R 8"/>
        <s v="R 5"/>
        <s v="R 3"/>
        <s v="R 12"/>
        <s v="R 10"/>
        <s v="R 11"/>
        <s v="R 9"/>
        <s v="RH"/>
        <s v="R 7"/>
        <m u="1"/>
        <s v="R1" u="1"/>
        <s v="R3" u="1"/>
        <s v="R5" u="1"/>
        <s v="R7" u="1"/>
        <s v="R9" u="1"/>
        <s v="R10" u="1"/>
        <s v="R11" u="1"/>
        <s v="R12" u="1"/>
        <s v="R2" u="1"/>
        <s v="R4" u="1"/>
        <s v="R6" u="1"/>
        <s v="R8" u="1"/>
      </sharedItems>
    </cacheField>
    <cacheField name="PHASE (BUILDING) STARTING PRICE" numFmtId="165">
      <sharedItems containsSemiMixedTypes="0" containsString="0" containsNumber="1" minValue="42500" maxValue="76850"/>
    </cacheField>
    <cacheField name="PHASE (BUILDING) CLOSING PRICE" numFmtId="165">
      <sharedItems containsSemiMixedTypes="0" containsString="0" containsNumber="1" minValue="47500" maxValue="82950"/>
    </cacheField>
    <cacheField name="PHASE PREMIUM RANGE" numFmtId="165">
      <sharedItems containsSemiMixedTypes="0" containsString="0" containsNumber="1" minValue="5000" maxValue="7250"/>
    </cacheField>
    <cacheField name="UNIT PREMIUM VALUE" numFmtId="165">
      <sharedItems containsSemiMixedTypes="0" containsString="0" containsNumber="1" minValue="1374.9999999999998" maxValue="6996.2500000000009"/>
    </cacheField>
    <cacheField name="UNIT (BUILDING) RATE (SEMI FINISHED)" numFmtId="165">
      <sharedItems containsSemiMixedTypes="0" containsString="0" containsNumber="1" minValue="43875" maxValue="80815"/>
    </cacheField>
    <cacheField name="UNIT (GARDEN) RATE" numFmtId="165">
      <sharedItems containsSemiMixedTypes="0" containsString="0" containsNumber="1" minValue="14478.75" maxValue="26668.95"/>
    </cacheField>
    <cacheField name="UNIT (BUILDING) RATE (BASIC FINISH)" numFmtId="165">
      <sharedItems containsSemiMixedTypes="0" containsString="0" containsNumber="1" minValue="48375" maxValue="85315"/>
    </cacheField>
    <cacheField name="UNIT (BUILDING) RATE (FULLY FINISH)" numFmtId="165">
      <sharedItems containsSemiMixedTypes="0" containsString="0" containsNumber="1" minValue="51375" maxValue="88315"/>
    </cacheField>
    <cacheField name="UNIT (BUILDING) VALUE SEMI FINISHED" numFmtId="165">
      <sharedItems containsSemiMixedTypes="0" containsString="0" containsNumber="1" minValue="3320625" maxValue="19273804"/>
    </cacheField>
    <cacheField name="UNIT (BUILDING) VALUE BASIC FINISHED" numFmtId="165">
      <sharedItems containsSemiMixedTypes="0" containsString="0" containsNumber="1" minValue="3658125" maxValue="20821804"/>
    </cacheField>
    <cacheField name="UNIT (BUILDING) VALUE FULLY FINISHED" numFmtId="165">
      <sharedItems containsSemiMixedTypes="0" containsString="0" containsNumber="1" minValue="3883125" maxValue="21853804"/>
    </cacheField>
    <cacheField name="UNIT (GARDEN) VALUE" numFmtId="165">
      <sharedItems containsSemiMixedTypes="0" containsString="0" containsNumber="1" minValue="0" maxValue="1798266.5877165003"/>
    </cacheField>
    <cacheField name="MAINTENANCE VALUE" numFmtId="165">
      <sharedItems containsSemiMixedTypes="0" containsString="0" containsNumber="1" minValue="300995.625" maxValue="1791125.9999559028"/>
    </cacheField>
    <cacheField name="MAX. NO. OF CAR PARKING" numFmtId="1">
      <sharedItems containsSemiMixedTypes="0" containsString="0" containsNumber="1" containsInteger="1" minValue="1" maxValue="2"/>
    </cacheField>
    <cacheField name="PARKING VALUE" numFmtId="165">
      <sharedItems containsSemiMixedTypes="0" containsString="0" containsNumber="1" minValue="200000" maxValue="290000"/>
    </cacheField>
    <cacheField name="TOTAL CARS VALUE" numFmtId="165">
      <sharedItems containsSemiMixedTypes="0" containsString="0" containsNumber="1" minValue="200000" maxValue="290000"/>
    </cacheField>
    <cacheField name="TOTAL UNIT VALUE (SEMI FINISHED)" numFmtId="165">
      <sharedItems containsSemiMixedTypes="0" containsString="0" containsNumber="1" minValue="3751125" maxValue="21316070.587716501"/>
    </cacheField>
  </cacheFields>
  <extLst>
    <ext xmlns:x14="http://schemas.microsoft.com/office/spreadsheetml/2009/9/main" uri="{725AE2AE-9491-48be-B2B4-4EB974FC3084}">
      <x14:pivotCacheDefinition pivotCacheId="379992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8">
  <r>
    <s v="A"/>
    <s v="A"/>
    <s v="A1"/>
    <s v="RESIDENTIAL"/>
    <n v="0"/>
    <n v="1"/>
    <x v="0"/>
    <s v="2 BEDROOM"/>
    <s v="C1"/>
    <n v="110.32"/>
    <n v="120.40866089136887"/>
    <x v="0"/>
    <n v="42.779499999999999"/>
    <m/>
    <s v="SE"/>
    <s v="CORNER "/>
    <s v="ROAD 18M (BUILDINGS)"/>
    <s v="GROUND"/>
    <x v="0"/>
    <n v="0.08"/>
    <n v="0.05"/>
    <n v="0.15"/>
    <n v="0.05"/>
    <n v="3.5000000000000003E-2"/>
    <n v="0.36499999999999999"/>
    <x v="0"/>
    <x v="0"/>
    <n v="43562.499999999993"/>
    <n v="48687.499999999993"/>
    <n v="5125"/>
    <n v="1870.625"/>
    <n v="45433.124999999993"/>
    <n v="14992.931249999998"/>
    <n v="49933.124999999993"/>
    <n v="52933.124999999993"/>
    <n v="6178904.9999999991"/>
    <n v="6790904.9999999991"/>
    <n v="7198904.9999999991"/>
    <n v="641390.1024093749"/>
    <n v="579725.08370479685"/>
    <n v="2"/>
    <n v="204999.99999999997"/>
    <n v="204999.99999999997"/>
    <n v="7025295.102409374"/>
    <n v="7637295.102409374"/>
    <n v="8045295.102409374"/>
    <d v="2025-07-01T00:00:00"/>
    <d v="2024-01-01T00:00:00"/>
  </r>
  <r>
    <m/>
    <s v="A"/>
    <s v="A1"/>
    <s v="RESIDENTIAL"/>
    <n v="0"/>
    <n v="2"/>
    <x v="1"/>
    <s v="2 BEDROOM"/>
    <s v="C1"/>
    <n v="110.14"/>
    <n v="120.21220005960269"/>
    <x v="1"/>
    <n v="59.482100000000003"/>
    <m/>
    <s v="NW"/>
    <s v="CORNER "/>
    <s v="LAKE A-1"/>
    <s v="GROUND"/>
    <x v="0"/>
    <n v="0.13"/>
    <n v="0.05"/>
    <n v="0.4"/>
    <n v="0.05"/>
    <n v="3.5000000000000003E-2"/>
    <n v="0.66500000000000015"/>
    <x v="1"/>
    <x v="1"/>
    <n v="48450.000000000007"/>
    <n v="54150.000000000007"/>
    <n v="5700"/>
    <n v="3790.5000000000009"/>
    <n v="52240.500000000007"/>
    <n v="17239.365000000002"/>
    <n v="56740.500000000007"/>
    <n v="59740.500000000007"/>
    <n v="7052467.5000000009"/>
    <n v="7659967.5000000009"/>
    <n v="8064967.5000000009"/>
    <n v="1025433.6328665002"/>
    <n v="686621.59629365266"/>
    <n v="2"/>
    <n v="228000.00000000003"/>
    <n v="228000.00000000003"/>
    <n v="8305901.1328665009"/>
    <n v="8913401.1328665018"/>
    <n v="9318401.1328665018"/>
    <d v="2025-07-01T00:00:00"/>
    <d v="2025-01-01T00:00:00"/>
  </r>
  <r>
    <m/>
    <s v="A"/>
    <s v="A1"/>
    <s v="RESIDENTIAL"/>
    <n v="0"/>
    <n v="3"/>
    <x v="2"/>
    <s v="2 BEDROOM"/>
    <s v="C1"/>
    <n v="89.96"/>
    <n v="98.186757920481725"/>
    <x v="2"/>
    <n v="50.507800000000003"/>
    <m/>
    <s v="NW"/>
    <s v="MIDDLE"/>
    <s v="LAKE A-1"/>
    <s v="GROUND"/>
    <x v="1"/>
    <n v="0.13"/>
    <n v="2.5000000000000001E-2"/>
    <n v="0.4"/>
    <n v="0.05"/>
    <n v="0.04"/>
    <n v="0.64500000000000013"/>
    <x v="1"/>
    <x v="2"/>
    <n v="45687.5"/>
    <n v="51062.5"/>
    <n v="5375"/>
    <n v="3466.8750000000009"/>
    <n v="49154.375"/>
    <n v="16220.94375"/>
    <n v="53654.375"/>
    <n v="56654.375"/>
    <n v="5456135.625"/>
    <n v="5955635.625"/>
    <n v="6288635.625"/>
    <n v="819284.18273625011"/>
    <n v="533410.68365758122"/>
    <n v="1"/>
    <n v="215000"/>
    <n v="215000"/>
    <n v="6490419.8077362496"/>
    <n v="6989919.8077362496"/>
    <n v="7322919.8077362496"/>
    <d v="2025-07-01T00:00:00"/>
    <d v="2024-07-01T00:00:00"/>
  </r>
  <r>
    <m/>
    <s v="A"/>
    <s v="A1"/>
    <s v="RESIDENTIAL"/>
    <n v="0"/>
    <n v="4"/>
    <x v="3"/>
    <s v="1 BEDROOM (STUDIO)"/>
    <s v="C1"/>
    <n v="60.98"/>
    <n v="66.556564006124674"/>
    <x v="3"/>
    <n v="23.808399999999999"/>
    <m/>
    <s v="SE"/>
    <s v="MIDDLE"/>
    <s v="ROAD 18M (BUILDINGS)"/>
    <s v="GROUND"/>
    <x v="2"/>
    <n v="0.08"/>
    <n v="2.5000000000000001E-2"/>
    <n v="0.15"/>
    <n v="0.05"/>
    <n v="0.05"/>
    <n v="0.35499999999999998"/>
    <x v="0"/>
    <x v="3"/>
    <n v="42500"/>
    <n v="47500"/>
    <n v="5000"/>
    <n v="1775"/>
    <n v="44275"/>
    <n v="14610.75"/>
    <n v="48775"/>
    <n v="51775"/>
    <n v="3320625"/>
    <n v="3658125"/>
    <n v="3883125"/>
    <n v="347858.58029999997"/>
    <n v="311821.10432550003"/>
    <n v="1"/>
    <n v="200000"/>
    <n v="200000"/>
    <n v="3868483.5803"/>
    <n v="4205983.5802999996"/>
    <n v="4430983.5802999996"/>
    <d v="2025-07-01T00:00:00"/>
    <d v="2023-09-01T00:00:00"/>
  </r>
  <r>
    <m/>
    <s v="A"/>
    <s v="A1"/>
    <s v="RESIDENTIAL"/>
    <n v="1"/>
    <n v="1"/>
    <x v="4"/>
    <s v="2 BEDROOM"/>
    <s v="C1"/>
    <n v="110.61"/>
    <n v="120.72518112032553"/>
    <x v="0"/>
    <m/>
    <m/>
    <s v="SE"/>
    <s v="CORNER "/>
    <s v="ROAD 18M (BUILDINGS)"/>
    <s v="FIRST"/>
    <x v="0"/>
    <n v="0.08"/>
    <n v="0.05"/>
    <n v="0.15"/>
    <n v="7.0000000000000007E-2"/>
    <n v="3.5000000000000003E-2"/>
    <n v="0.38500000000000001"/>
    <x v="0"/>
    <x v="2"/>
    <n v="45687.5"/>
    <n v="51062.5"/>
    <n v="5375"/>
    <n v="2069.375"/>
    <n v="47756.875"/>
    <n v="15759.768750000001"/>
    <n v="52256.875"/>
    <n v="55256.875"/>
    <n v="6494935"/>
    <n v="7106935"/>
    <n v="7514935"/>
    <n v="0"/>
    <n v="552069.47500000009"/>
    <n v="2"/>
    <n v="215000"/>
    <n v="215000"/>
    <n v="6709935"/>
    <n v="7321935"/>
    <n v="7729935"/>
    <d v="2025-07-01T00:00:00"/>
    <d v="2024-07-01T00:00:00"/>
  </r>
  <r>
    <m/>
    <s v="A"/>
    <s v="A1"/>
    <s v="RESIDENTIAL"/>
    <n v="1"/>
    <n v="2"/>
    <x v="5"/>
    <s v="2 BEDROOM"/>
    <s v="C1"/>
    <n v="110.14"/>
    <n v="120.21220005960269"/>
    <x v="1"/>
    <m/>
    <m/>
    <s v="NW"/>
    <s v="CORNER "/>
    <s v="LAKE A-1"/>
    <s v="FIRST"/>
    <x v="0"/>
    <n v="0.13"/>
    <n v="0.05"/>
    <n v="0.4"/>
    <n v="7.0000000000000007E-2"/>
    <n v="3.5000000000000003E-2"/>
    <n v="0.68500000000000016"/>
    <x v="1"/>
    <x v="4"/>
    <n v="51850"/>
    <n v="57950"/>
    <n v="6100"/>
    <n v="4178.5000000000009"/>
    <n v="56028.5"/>
    <n v="18489.405000000002"/>
    <n v="60528.5"/>
    <n v="63528.5"/>
    <n v="7563847.5"/>
    <n v="8171347.5"/>
    <n v="8576347.5"/>
    <n v="0"/>
    <n v="642927.03750000009"/>
    <n v="2"/>
    <n v="244000"/>
    <n v="244000"/>
    <n v="7807847.5"/>
    <n v="8415347.5"/>
    <n v="8820347.5"/>
    <d v="2025-07-01T00:00:00"/>
    <d v="2025-07-01T00:00:00"/>
  </r>
  <r>
    <m/>
    <s v="A"/>
    <s v="A1"/>
    <s v="RESIDENTIAL"/>
    <n v="1"/>
    <n v="3"/>
    <x v="6"/>
    <s v="2 BEDROOM"/>
    <s v="C1"/>
    <n v="89.05"/>
    <n v="97.193539270997093"/>
    <x v="4"/>
    <m/>
    <m/>
    <s v="NW"/>
    <s v="MIDDLE"/>
    <s v="LAKE A-1"/>
    <s v="FIRST"/>
    <x v="1"/>
    <n v="0.13"/>
    <n v="2.5000000000000001E-2"/>
    <n v="0.4"/>
    <n v="7.0000000000000007E-2"/>
    <n v="0.04"/>
    <n v="0.66500000000000004"/>
    <x v="1"/>
    <x v="5"/>
    <n v="46750.000000000007"/>
    <n v="52250.000000000007"/>
    <n v="5500"/>
    <n v="3657.5"/>
    <n v="50407.500000000007"/>
    <n v="16634.475000000002"/>
    <n v="54907.500000000007"/>
    <n v="57907.500000000007"/>
    <n v="5544825.0000000009"/>
    <n v="6039825.0000000009"/>
    <n v="6369825.0000000009"/>
    <n v="0"/>
    <n v="471310.12500000012"/>
    <n v="1"/>
    <n v="220000.00000000003"/>
    <n v="220000.00000000003"/>
    <n v="5764825.0000000009"/>
    <n v="6259825.0000000009"/>
    <n v="6589825.0000000009"/>
    <d v="2025-07-01T00:00:00"/>
    <d v="2024-10-01T00:00:00"/>
  </r>
  <r>
    <m/>
    <s v="A"/>
    <s v="A1"/>
    <s v="RESIDENTIAL"/>
    <n v="1"/>
    <n v="4"/>
    <x v="7"/>
    <s v="1 BEDROOM (STUDIO)"/>
    <s v="C1"/>
    <n v="61.82"/>
    <n v="67.473381221033577"/>
    <x v="5"/>
    <m/>
    <m/>
    <s v="SE"/>
    <s v="MIDDLE"/>
    <s v="ROAD 18M (BUILDINGS)"/>
    <s v="FIRST"/>
    <x v="2"/>
    <n v="0.08"/>
    <n v="2.5000000000000001E-2"/>
    <n v="0.15"/>
    <n v="7.0000000000000007E-2"/>
    <n v="0.05"/>
    <n v="0.375"/>
    <x v="0"/>
    <x v="6"/>
    <n v="44625"/>
    <n v="49875"/>
    <n v="5250"/>
    <n v="1968.75"/>
    <n v="46593.75"/>
    <n v="15375.9375"/>
    <n v="51093.75"/>
    <n v="54093.75"/>
    <n v="3541125"/>
    <n v="3883125"/>
    <n v="4111125"/>
    <n v="0"/>
    <n v="300995.625"/>
    <n v="1"/>
    <n v="210000"/>
    <n v="210000"/>
    <n v="3751125"/>
    <n v="4093125"/>
    <n v="4321125"/>
    <d v="2025-07-01T00:00:00"/>
    <d v="2024-04-01T00:00:00"/>
  </r>
  <r>
    <m/>
    <s v="A"/>
    <s v="A1"/>
    <s v="RESIDENTIAL"/>
    <n v="2"/>
    <n v="1"/>
    <x v="8"/>
    <s v="2 BEDROOM"/>
    <s v="C1"/>
    <n v="112.2"/>
    <n v="122.46058513426023"/>
    <x v="6"/>
    <m/>
    <m/>
    <s v="SE"/>
    <s v="CORNER "/>
    <s v="ROAD 18M (BUILDINGS)"/>
    <s v="SECOND"/>
    <x v="0"/>
    <n v="0.08"/>
    <n v="0.05"/>
    <n v="0.15"/>
    <n v="0.11"/>
    <n v="3.5000000000000003E-2"/>
    <n v="0.42500000000000004"/>
    <x v="0"/>
    <x v="4"/>
    <n v="51850"/>
    <n v="57950"/>
    <n v="6100"/>
    <n v="2592.5000000000005"/>
    <n v="54442.5"/>
    <n v="17966.025000000001"/>
    <n v="58942.5"/>
    <n v="61942.5"/>
    <n v="7513065"/>
    <n v="8134065"/>
    <n v="8548065"/>
    <n v="0"/>
    <n v="638610.52500000002"/>
    <n v="2"/>
    <n v="244000"/>
    <n v="244000"/>
    <n v="7757065"/>
    <n v="8378065"/>
    <n v="8792065"/>
    <d v="2025-07-01T00:00:00"/>
    <d v="2025-07-01T00:00:00"/>
  </r>
  <r>
    <m/>
    <s v="A"/>
    <s v="A1"/>
    <s v="RESIDENTIAL"/>
    <n v="2"/>
    <n v="2"/>
    <x v="9"/>
    <s v="2 BEDROOM"/>
    <s v="C1"/>
    <n v="112.2"/>
    <n v="122.46058513426023"/>
    <x v="6"/>
    <m/>
    <m/>
    <s v="NW"/>
    <s v="CORNER "/>
    <s v="LAKE A-1"/>
    <s v="SECOND"/>
    <x v="0"/>
    <n v="0.13"/>
    <n v="0.05"/>
    <n v="0.4"/>
    <n v="0.11"/>
    <n v="3.5000000000000003E-2"/>
    <n v="0.72500000000000009"/>
    <x v="1"/>
    <x v="7"/>
    <n v="61625"/>
    <n v="68875"/>
    <n v="7250"/>
    <n v="5256.2500000000009"/>
    <n v="66881.25"/>
    <n v="22070.8125"/>
    <n v="71381.25"/>
    <n v="74381.25"/>
    <n v="9229612.5"/>
    <n v="9850612.5"/>
    <n v="10264612.5"/>
    <n v="0"/>
    <n v="784517.0625"/>
    <n v="2"/>
    <n v="290000"/>
    <n v="290000"/>
    <n v="9519612.5"/>
    <n v="10140612.5"/>
    <n v="10554612.5"/>
    <d v="2025-07-01T00:00:00"/>
    <d v="2026-07-01T00:00:00"/>
  </r>
  <r>
    <m/>
    <s v="A"/>
    <s v="A1"/>
    <s v="RESIDENTIAL"/>
    <n v="2"/>
    <n v="3"/>
    <x v="10"/>
    <s v="2 BEDROOM"/>
    <s v="C1"/>
    <n v="90.91"/>
    <n v="99.223634532581073"/>
    <x v="7"/>
    <m/>
    <m/>
    <s v="NW"/>
    <s v="MIDDLE"/>
    <s v="LAKE A-1"/>
    <s v="SECOND"/>
    <x v="1"/>
    <n v="0.13"/>
    <n v="2.5000000000000001E-2"/>
    <n v="0.4"/>
    <n v="0.11"/>
    <n v="0.04"/>
    <n v="0.70500000000000007"/>
    <x v="1"/>
    <x v="8"/>
    <n v="56100"/>
    <n v="62700"/>
    <n v="6600"/>
    <n v="4653.0000000000009"/>
    <n v="60753"/>
    <n v="20048.490000000002"/>
    <n v="65253"/>
    <n v="68253"/>
    <n v="6804336"/>
    <n v="7308336"/>
    <n v="7644336"/>
    <n v="0"/>
    <n v="578368.56000000006"/>
    <n v="1"/>
    <n v="264000"/>
    <n v="264000"/>
    <n v="7068336"/>
    <n v="7572336"/>
    <n v="7908336"/>
    <d v="2025-07-01T00:00:00"/>
    <d v="2026-01-01T00:00:00"/>
  </r>
  <r>
    <m/>
    <s v="A"/>
    <s v="A1"/>
    <s v="RESIDENTIAL"/>
    <n v="2"/>
    <n v="4"/>
    <x v="11"/>
    <s v="2 BEDROOM"/>
    <s v="C1"/>
    <n v="90.91"/>
    <n v="99.223634532581073"/>
    <x v="7"/>
    <m/>
    <m/>
    <s v="SE"/>
    <s v="MIDDLE"/>
    <s v="ROAD 18M (BUILDINGS)"/>
    <s v="SECOND"/>
    <x v="1"/>
    <n v="0.08"/>
    <n v="2.5000000000000001E-2"/>
    <n v="0.15"/>
    <n v="0.11"/>
    <n v="0.04"/>
    <n v="0.40499999999999997"/>
    <x v="0"/>
    <x v="5"/>
    <n v="46750.000000000007"/>
    <n v="52250.000000000007"/>
    <n v="5500"/>
    <n v="2227.5"/>
    <n v="48977.500000000007"/>
    <n v="16162.575000000003"/>
    <n v="53477.500000000007"/>
    <n v="56477.500000000007"/>
    <n v="5485480.0000000009"/>
    <n v="5989480.0000000009"/>
    <n v="6325480.0000000009"/>
    <n v="0"/>
    <n v="466265.8000000001"/>
    <n v="1"/>
    <n v="220000.00000000003"/>
    <n v="220000.00000000003"/>
    <n v="5705480.0000000009"/>
    <n v="6209480.0000000009"/>
    <n v="6545480.0000000009"/>
    <d v="2025-07-01T00:00:00"/>
    <d v="2024-10-01T00:00:00"/>
  </r>
  <r>
    <m/>
    <s v="A"/>
    <s v="A1"/>
    <s v="RESIDENTIAL"/>
    <n v="3"/>
    <n v="1"/>
    <x v="12"/>
    <s v="2 BEDROOM"/>
    <s v="C1"/>
    <n v="110.14"/>
    <n v="120.21220005960269"/>
    <x v="1"/>
    <m/>
    <m/>
    <s v="SE"/>
    <s v="CORNER "/>
    <s v="ROAD 18M (BUILDINGS)"/>
    <s v="THIRD"/>
    <x v="0"/>
    <n v="0.08"/>
    <n v="0.05"/>
    <n v="0.15"/>
    <n v="0.15"/>
    <n v="3.5000000000000003E-2"/>
    <n v="0.46500000000000008"/>
    <x v="0"/>
    <x v="9"/>
    <n v="58649.999999999993"/>
    <n v="65550"/>
    <n v="6900.0000000000073"/>
    <n v="3208.5000000000041"/>
    <n v="61858.5"/>
    <n v="20413.305"/>
    <n v="66358.5"/>
    <n v="69358.5"/>
    <n v="8350897.5"/>
    <n v="8958397.5"/>
    <n v="9363397.5"/>
    <n v="0"/>
    <n v="709826.28750000009"/>
    <n v="2"/>
    <n v="276000"/>
    <n v="276000"/>
    <n v="8626897.5"/>
    <n v="9234397.5"/>
    <n v="9639397.5"/>
    <d v="2025-07-01T00:00:00"/>
    <d v="2026-04-01T00:00:00"/>
  </r>
  <r>
    <m/>
    <s v="A"/>
    <s v="A1"/>
    <s v="RESIDENTIAL"/>
    <n v="3"/>
    <n v="2"/>
    <x v="13"/>
    <s v="2 BEDROOM"/>
    <s v="C1"/>
    <n v="110.14"/>
    <n v="120.21220005960269"/>
    <x v="1"/>
    <m/>
    <m/>
    <s v="NW"/>
    <s v="CORNER "/>
    <s v="LAKE A-1"/>
    <s v="THIRD"/>
    <x v="0"/>
    <n v="0.13"/>
    <n v="0.05"/>
    <n v="0.4"/>
    <n v="0.15"/>
    <n v="3.5000000000000003E-2"/>
    <n v="0.76500000000000012"/>
    <x v="2"/>
    <x v="6"/>
    <n v="44625"/>
    <n v="49875"/>
    <n v="5250"/>
    <n v="4016.2500000000005"/>
    <n v="48641.25"/>
    <n v="16051.612500000001"/>
    <n v="53141.25"/>
    <n v="56141.25"/>
    <n v="6566568.75"/>
    <n v="7174068.75"/>
    <n v="7579068.75"/>
    <n v="0"/>
    <n v="558158.34375"/>
    <n v="2"/>
    <n v="210000"/>
    <n v="210000"/>
    <n v="6776568.75"/>
    <n v="7384068.75"/>
    <n v="7789068.75"/>
    <d v="2025-07-01T00:00:00"/>
    <d v="2024-04-01T00:00:00"/>
  </r>
  <r>
    <m/>
    <s v="A"/>
    <s v="A1"/>
    <s v="RESIDENTIAL"/>
    <n v="3"/>
    <n v="3"/>
    <x v="14"/>
    <s v="2 BEDROOM"/>
    <s v="C1"/>
    <n v="89.05"/>
    <n v="97.193539270997093"/>
    <x v="4"/>
    <m/>
    <m/>
    <s v="NW"/>
    <s v="MIDDLE"/>
    <s v="LAKE A-1"/>
    <s v="THIRD"/>
    <x v="1"/>
    <n v="0.13"/>
    <n v="2.5000000000000001E-2"/>
    <n v="0.4"/>
    <n v="0.15"/>
    <n v="0.04"/>
    <n v="0.74500000000000011"/>
    <x v="2"/>
    <x v="0"/>
    <n v="43562.499999999993"/>
    <n v="48687.499999999993"/>
    <n v="5125"/>
    <n v="3818.1250000000005"/>
    <n v="47380.624999999993"/>
    <n v="15635.606249999999"/>
    <n v="51880.624999999993"/>
    <n v="54880.624999999993"/>
    <n v="5211868.7499999991"/>
    <n v="5706868.7499999991"/>
    <n v="6036868.7499999991"/>
    <n v="0"/>
    <n v="443008.84374999994"/>
    <n v="1"/>
    <n v="204999.99999999997"/>
    <n v="204999.99999999997"/>
    <n v="5416868.7499999991"/>
    <n v="5911868.7499999991"/>
    <n v="6241868.7499999991"/>
    <d v="2025-07-01T00:00:00"/>
    <d v="2024-01-01T00:00:00"/>
  </r>
  <r>
    <m/>
    <s v="A"/>
    <s v="A1"/>
    <s v="RESIDENTIAL"/>
    <n v="3"/>
    <n v="4"/>
    <x v="15"/>
    <s v="2 BEDROOM"/>
    <s v="C1"/>
    <n v="89.05"/>
    <n v="97.193539270997093"/>
    <x v="4"/>
    <m/>
    <m/>
    <s v="SE"/>
    <s v="MIDDLE"/>
    <s v="ROAD 18M (BUILDINGS)"/>
    <s v="THIRD"/>
    <x v="1"/>
    <n v="0.08"/>
    <n v="2.5000000000000001E-2"/>
    <n v="0.15"/>
    <n v="0.15"/>
    <n v="0.04"/>
    <n v="0.44500000000000001"/>
    <x v="0"/>
    <x v="10"/>
    <n v="53550"/>
    <n v="59850"/>
    <n v="6300"/>
    <n v="2803.5"/>
    <n v="56353.5"/>
    <n v="18596.655000000002"/>
    <n v="60853.5"/>
    <n v="63853.5"/>
    <n v="6198885"/>
    <n v="6693885"/>
    <n v="7023885"/>
    <n v="0"/>
    <n v="526905.22500000009"/>
    <n v="1"/>
    <n v="252000"/>
    <n v="252000"/>
    <n v="6450885"/>
    <n v="6945885"/>
    <n v="7275885"/>
    <d v="2025-07-01T00:00:00"/>
    <d v="2025-10-01T00:00:00"/>
  </r>
  <r>
    <m/>
    <s v="A"/>
    <s v="A1"/>
    <s v="RESIDENTIAL"/>
    <n v="4"/>
    <n v="1"/>
    <x v="16"/>
    <s v="2 BEDROOM"/>
    <s v="C1"/>
    <n v="110.18"/>
    <n v="120.25585802221741"/>
    <x v="0"/>
    <m/>
    <m/>
    <s v="SE"/>
    <s v="CORNER "/>
    <s v="ROAD 18M (BUILDINGS)"/>
    <s v="FORTH"/>
    <x v="0"/>
    <n v="0.08"/>
    <n v="0.05"/>
    <n v="0.15"/>
    <n v="0.06"/>
    <n v="3.5000000000000003E-2"/>
    <n v="0.375"/>
    <x v="0"/>
    <x v="6"/>
    <n v="44625"/>
    <n v="49875"/>
    <n v="5250"/>
    <n v="1968.75"/>
    <n v="46593.75"/>
    <n v="15375.9375"/>
    <n v="51093.75"/>
    <n v="54093.75"/>
    <n v="6336750"/>
    <n v="6948750"/>
    <n v="7356750"/>
    <n v="0"/>
    <n v="538623.75"/>
    <n v="2"/>
    <n v="210000"/>
    <n v="210000"/>
    <n v="6546750"/>
    <n v="7158750"/>
    <n v="7566750"/>
    <d v="2025-07-01T00:00:00"/>
    <d v="2024-04-01T00:00:00"/>
  </r>
  <r>
    <m/>
    <s v="A"/>
    <s v="A1"/>
    <s v="RESIDENTIAL"/>
    <n v="4"/>
    <n v="2"/>
    <x v="17"/>
    <s v="2 BEDROOM"/>
    <s v="C1"/>
    <n v="110.18"/>
    <n v="120.25585802221741"/>
    <x v="0"/>
    <m/>
    <m/>
    <s v="NW"/>
    <s v="CORNER "/>
    <s v="LAKE A-1"/>
    <s v="FORTH"/>
    <x v="0"/>
    <n v="0.13"/>
    <n v="0.05"/>
    <n v="0.4"/>
    <n v="0.06"/>
    <n v="3.5000000000000003E-2"/>
    <n v="0.67500000000000016"/>
    <x v="1"/>
    <x v="1"/>
    <n v="48450.000000000007"/>
    <n v="54150.000000000007"/>
    <n v="5700"/>
    <n v="3847.5000000000009"/>
    <n v="52297.500000000007"/>
    <n v="17258.175000000003"/>
    <n v="56797.500000000007"/>
    <n v="59797.500000000007"/>
    <n v="7112460.0000000009"/>
    <n v="7724460.0000000009"/>
    <n v="8132460.0000000009"/>
    <n v="0"/>
    <n v="604559.10000000009"/>
    <n v="2"/>
    <n v="228000.00000000003"/>
    <n v="228000.00000000003"/>
    <n v="7340460.0000000009"/>
    <n v="7952460.0000000009"/>
    <n v="8360460.0000000009"/>
    <d v="2025-07-01T00:00:00"/>
    <d v="2025-01-01T00:00:00"/>
  </r>
  <r>
    <m/>
    <s v="A"/>
    <s v="A1"/>
    <s v="RESIDENTIAL"/>
    <n v="4"/>
    <n v="3"/>
    <x v="18"/>
    <s v="2 BEDROOM"/>
    <s v="C1"/>
    <n v="89.12"/>
    <n v="97.269940705572836"/>
    <x v="4"/>
    <m/>
    <m/>
    <s v="NW"/>
    <s v="MIDDLE"/>
    <s v="LAKE A-1"/>
    <s v="FORTH"/>
    <x v="1"/>
    <n v="0.13"/>
    <n v="2.5000000000000001E-2"/>
    <n v="0.4"/>
    <n v="0.06"/>
    <n v="0.04"/>
    <n v="0.65500000000000003"/>
    <x v="1"/>
    <x v="5"/>
    <n v="46750.000000000007"/>
    <n v="52250.000000000007"/>
    <n v="5500"/>
    <n v="3602.5"/>
    <n v="50352.500000000007"/>
    <n v="16616.325000000004"/>
    <n v="54852.500000000007"/>
    <n v="57852.500000000007"/>
    <n v="5538775.0000000009"/>
    <n v="6033775.0000000009"/>
    <n v="6363775.0000000009"/>
    <n v="0"/>
    <n v="470795.87500000012"/>
    <n v="1"/>
    <n v="220000.00000000003"/>
    <n v="220000.00000000003"/>
    <n v="5758775.0000000009"/>
    <n v="6253775.0000000009"/>
    <n v="6583775.0000000009"/>
    <d v="2025-07-01T00:00:00"/>
    <d v="2024-10-01T00:00:00"/>
  </r>
  <r>
    <m/>
    <s v="A"/>
    <s v="A1"/>
    <s v="RESIDENTIAL"/>
    <n v="4"/>
    <n v="4"/>
    <x v="19"/>
    <s v="2 BEDROOM"/>
    <s v="C1"/>
    <n v="89.12"/>
    <n v="97.269940705572836"/>
    <x v="4"/>
    <m/>
    <m/>
    <s v="SE"/>
    <s v="MIDDLE"/>
    <s v="ROAD 18M (BUILDINGS)"/>
    <s v="FORTH"/>
    <x v="1"/>
    <n v="0.08"/>
    <n v="2.5000000000000001E-2"/>
    <n v="0.15"/>
    <n v="0.06"/>
    <n v="0.04"/>
    <n v="0.35499999999999998"/>
    <x v="0"/>
    <x v="3"/>
    <n v="42500"/>
    <n v="47500"/>
    <n v="5000"/>
    <n v="1775"/>
    <n v="44275"/>
    <n v="14610.75"/>
    <n v="48775"/>
    <n v="51775"/>
    <n v="4870250"/>
    <n v="5365250"/>
    <n v="5695250"/>
    <n v="0"/>
    <n v="413971.25000000006"/>
    <n v="1"/>
    <n v="200000"/>
    <n v="200000"/>
    <n v="5070250"/>
    <n v="5565250"/>
    <n v="5895250"/>
    <d v="2025-07-01T00:00:00"/>
    <d v="2023-09-01T00:00:00"/>
  </r>
  <r>
    <s v="A"/>
    <s v="A"/>
    <s v="A2"/>
    <s v="RESIDENTIAL"/>
    <n v="0"/>
    <n v="1"/>
    <x v="20"/>
    <s v="1 BEDROOM (STUDIO)"/>
    <s v="C1"/>
    <n v="60.98"/>
    <n v="66.844099610330389"/>
    <x v="3"/>
    <n v="23.808399999999999"/>
    <m/>
    <s v="SE"/>
    <s v="MIDDLE"/>
    <s v="ROAD 18M (BUILDINGS)"/>
    <s v="GROUND"/>
    <x v="2"/>
    <n v="0.08"/>
    <n v="2.5000000000000001E-2"/>
    <n v="0.15"/>
    <n v="0.05"/>
    <n v="0.05"/>
    <n v="0.35499999999999998"/>
    <x v="0"/>
    <x v="3"/>
    <n v="42500"/>
    <n v="47500"/>
    <n v="5000"/>
    <n v="1775"/>
    <n v="44275"/>
    <n v="14610.75"/>
    <n v="48775"/>
    <n v="51775"/>
    <n v="3320625"/>
    <n v="3658125"/>
    <n v="3883125"/>
    <n v="347858.58029999997"/>
    <n v="311821.10432550003"/>
    <n v="1"/>
    <n v="200000"/>
    <n v="200000"/>
    <n v="3868483.5803"/>
    <n v="4205983.5802999996"/>
    <n v="4430983.5802999996"/>
    <d v="2025-07-01T00:00:00"/>
    <d v="2023-09-01T00:00:00"/>
  </r>
  <r>
    <m/>
    <s v="A"/>
    <s v="A2"/>
    <s v="RESIDENTIAL"/>
    <n v="0"/>
    <n v="2"/>
    <x v="21"/>
    <s v="2 BEDROOM"/>
    <s v="C1"/>
    <n v="89.96"/>
    <n v="98.610941307729107"/>
    <x v="2"/>
    <n v="50.503900000000002"/>
    <m/>
    <s v="NW"/>
    <s v="MIDDLE"/>
    <s v="LAKE A-1"/>
    <s v="GROUND"/>
    <x v="1"/>
    <n v="0.13"/>
    <n v="2.5000000000000001E-2"/>
    <n v="0.4"/>
    <n v="0.05"/>
    <n v="0.04"/>
    <n v="0.64500000000000013"/>
    <x v="1"/>
    <x v="2"/>
    <n v="45687.5"/>
    <n v="51062.5"/>
    <n v="5375"/>
    <n v="3466.8750000000009"/>
    <n v="49154.375"/>
    <n v="16220.94375"/>
    <n v="53654.375"/>
    <n v="56654.375"/>
    <n v="5456135.625"/>
    <n v="5955635.625"/>
    <n v="6288635.625"/>
    <n v="819220.92105562508"/>
    <n v="533405.30641472817"/>
    <n v="1"/>
    <n v="215000"/>
    <n v="215000"/>
    <n v="6490356.5460556252"/>
    <n v="6989856.5460556252"/>
    <n v="7322856.5460556252"/>
    <d v="2025-07-01T00:00:00"/>
    <d v="2024-07-01T00:00:00"/>
  </r>
  <r>
    <m/>
    <s v="A"/>
    <s v="A2"/>
    <s v="RESIDENTIAL"/>
    <n v="0"/>
    <n v="3"/>
    <x v="22"/>
    <s v="2 BEDROOM"/>
    <s v="C1"/>
    <n v="97.98"/>
    <n v="107.40217907215762"/>
    <x v="8"/>
    <n v="50.705300000000001"/>
    <m/>
    <s v="NW"/>
    <s v="MIDDLE"/>
    <s v="LAKE A-1"/>
    <s v="GROUND"/>
    <x v="1"/>
    <n v="0.13"/>
    <n v="2.5000000000000001E-2"/>
    <n v="0.4"/>
    <n v="0.05"/>
    <n v="0.04"/>
    <n v="0.64500000000000013"/>
    <x v="1"/>
    <x v="2"/>
    <n v="45687.5"/>
    <n v="51062.5"/>
    <n v="5375"/>
    <n v="3466.8750000000009"/>
    <n v="49154.375"/>
    <n v="16220.94375"/>
    <n v="53654.375"/>
    <n v="56654.375"/>
    <n v="5947679.375"/>
    <n v="6492179.375"/>
    <n v="6855179.375"/>
    <n v="822487.81912687502"/>
    <n v="575464.21150078438"/>
    <n v="1"/>
    <n v="215000"/>
    <n v="215000"/>
    <n v="6985167.1941268751"/>
    <n v="7529667.1941268751"/>
    <n v="7892667.1941268751"/>
    <d v="2025-07-01T00:00:00"/>
    <d v="2024-07-01T00:00:00"/>
  </r>
  <r>
    <m/>
    <s v="A"/>
    <s v="A2"/>
    <s v="RESIDENTIAL"/>
    <n v="0"/>
    <n v="4"/>
    <x v="23"/>
    <s v="2 BEDROOM"/>
    <s v="C1"/>
    <n v="98.17"/>
    <n v="107.61045029101565"/>
    <x v="8"/>
    <n v="31.613900000000001"/>
    <m/>
    <s v="SE"/>
    <s v="MIDDLE"/>
    <s v="ROAD 18M (BUILDINGS)"/>
    <s v="GROUND"/>
    <x v="1"/>
    <n v="0.08"/>
    <n v="2.5000000000000001E-2"/>
    <n v="0.15"/>
    <n v="0.05"/>
    <n v="0.04"/>
    <n v="0.34499999999999997"/>
    <x v="0"/>
    <x v="3"/>
    <n v="42500"/>
    <n v="47500"/>
    <n v="5000"/>
    <n v="1724.9999999999998"/>
    <n v="44225"/>
    <n v="14594.25"/>
    <n v="48725"/>
    <n v="51725"/>
    <n v="5351225"/>
    <n v="5895725"/>
    <n v="6258725"/>
    <n v="461381.16007500002"/>
    <n v="494071.52360637498"/>
    <n v="1"/>
    <n v="200000"/>
    <n v="200000"/>
    <n v="6012606.1600749996"/>
    <n v="6557106.1600749996"/>
    <n v="6920106.1600749996"/>
    <d v="2025-07-01T00:00:00"/>
    <d v="2023-09-01T00:00:00"/>
  </r>
  <r>
    <m/>
    <s v="A"/>
    <s v="A2"/>
    <s v="RESIDENTIAL"/>
    <n v="1"/>
    <n v="1"/>
    <x v="24"/>
    <s v="1 BEDROOM (STUDIO)"/>
    <s v="C1"/>
    <n v="61.82"/>
    <n v="67.764877630544845"/>
    <x v="5"/>
    <m/>
    <m/>
    <s v="SE"/>
    <s v="MIDDLE"/>
    <s v="ROAD 18M (BUILDINGS)"/>
    <s v="FIRST"/>
    <x v="2"/>
    <n v="0.08"/>
    <n v="2.5000000000000001E-2"/>
    <n v="0.15"/>
    <n v="7.0000000000000007E-2"/>
    <n v="0.05"/>
    <n v="0.375"/>
    <x v="0"/>
    <x v="6"/>
    <n v="44625"/>
    <n v="49875"/>
    <n v="5250"/>
    <n v="1968.75"/>
    <n v="46593.75"/>
    <n v="15375.9375"/>
    <n v="51093.75"/>
    <n v="54093.75"/>
    <n v="3541125"/>
    <n v="3883125"/>
    <n v="4111125"/>
    <n v="0"/>
    <n v="300995.625"/>
    <n v="1"/>
    <n v="210000"/>
    <n v="210000"/>
    <n v="3751125"/>
    <n v="4093125"/>
    <n v="4321125"/>
    <d v="2025-07-01T00:00:00"/>
    <d v="2024-04-01T00:00:00"/>
  </r>
  <r>
    <m/>
    <s v="A"/>
    <s v="A2"/>
    <s v="RESIDENTIAL"/>
    <n v="1"/>
    <n v="2"/>
    <x v="25"/>
    <s v="2 BEDROOM"/>
    <s v="C1"/>
    <n v="89.05"/>
    <n v="97.61343178583013"/>
    <x v="4"/>
    <m/>
    <m/>
    <s v="NW"/>
    <s v="MIDDLE"/>
    <s v="LAKE A-1"/>
    <s v="FIRST"/>
    <x v="1"/>
    <n v="0.13"/>
    <n v="2.5000000000000001E-2"/>
    <n v="0.4"/>
    <n v="7.0000000000000007E-2"/>
    <n v="0.04"/>
    <n v="0.66500000000000004"/>
    <x v="1"/>
    <x v="5"/>
    <n v="46750.000000000007"/>
    <n v="52250.000000000007"/>
    <n v="5500"/>
    <n v="3657.5"/>
    <n v="50407.500000000007"/>
    <n v="16634.475000000002"/>
    <n v="54907.500000000007"/>
    <n v="57907.500000000007"/>
    <n v="5544825.0000000009"/>
    <n v="6039825.0000000009"/>
    <n v="6369825.0000000009"/>
    <n v="0"/>
    <n v="471310.12500000012"/>
    <n v="1"/>
    <n v="220000.00000000003"/>
    <n v="220000.00000000003"/>
    <n v="5764825.0000000009"/>
    <n v="6259825.0000000009"/>
    <n v="6589825.0000000009"/>
    <d v="2025-07-01T00:00:00"/>
    <d v="2024-10-01T00:00:00"/>
  </r>
  <r>
    <m/>
    <s v="A"/>
    <s v="A2"/>
    <s v="RESIDENTIAL"/>
    <n v="1"/>
    <n v="3"/>
    <x v="26"/>
    <s v="2 BEDROOM"/>
    <s v="C1"/>
    <n v="97.06"/>
    <n v="106.39370790716083"/>
    <x v="9"/>
    <m/>
    <m/>
    <s v="NW"/>
    <s v="MIDDLE"/>
    <s v="LAKE A-1"/>
    <s v="FIRST"/>
    <x v="1"/>
    <n v="0.13"/>
    <n v="2.5000000000000001E-2"/>
    <n v="0.4"/>
    <n v="7.0000000000000007E-2"/>
    <n v="0.04"/>
    <n v="0.66500000000000004"/>
    <x v="1"/>
    <x v="5"/>
    <n v="46750.000000000007"/>
    <n v="52250.000000000007"/>
    <n v="5500"/>
    <n v="3657.5"/>
    <n v="50407.500000000007"/>
    <n v="16634.475000000002"/>
    <n v="54907.500000000007"/>
    <n v="57907.500000000007"/>
    <n v="6048900.0000000009"/>
    <n v="6588900.0000000009"/>
    <n v="6948900.0000000009"/>
    <n v="0"/>
    <n v="514156.50000000012"/>
    <n v="1"/>
    <n v="220000.00000000003"/>
    <n v="220000.00000000003"/>
    <n v="6268900.0000000009"/>
    <n v="6808900.0000000009"/>
    <n v="7168900.0000000009"/>
    <d v="2025-07-01T00:00:00"/>
    <d v="2024-10-01T00:00:00"/>
  </r>
  <r>
    <m/>
    <s v="A"/>
    <s v="A2"/>
    <s v="RESIDENTIAL"/>
    <n v="1"/>
    <n v="4"/>
    <x v="27"/>
    <s v="2 BEDROOM"/>
    <s v="C1"/>
    <n v="97.09"/>
    <n v="106.4265928364542"/>
    <x v="10"/>
    <m/>
    <m/>
    <s v="SE"/>
    <s v="MIDDLE"/>
    <s v="ROAD 18M (BUILDINGS)"/>
    <s v="FIRST"/>
    <x v="1"/>
    <n v="0.08"/>
    <n v="2.5000000000000001E-2"/>
    <n v="0.15"/>
    <n v="7.0000000000000007E-2"/>
    <n v="0.04"/>
    <n v="0.36499999999999999"/>
    <x v="0"/>
    <x v="0"/>
    <n v="43562.499999999993"/>
    <n v="48687.499999999993"/>
    <n v="5125"/>
    <n v="1870.625"/>
    <n v="45433.124999999993"/>
    <n v="14992.931249999998"/>
    <n v="49933.124999999993"/>
    <n v="52933.124999999993"/>
    <n v="5406541.8749999991"/>
    <n v="5942041.8749999991"/>
    <n v="6299041.8749999991"/>
    <n v="0"/>
    <n v="459556.05937499995"/>
    <n v="1"/>
    <n v="204999.99999999997"/>
    <n v="204999.99999999997"/>
    <n v="5611541.8749999991"/>
    <n v="6147041.8749999991"/>
    <n v="6504041.8749999991"/>
    <d v="2025-07-01T00:00:00"/>
    <d v="2024-01-01T00:00:00"/>
  </r>
  <r>
    <m/>
    <s v="A"/>
    <s v="A2"/>
    <s v="RESIDENTIAL"/>
    <n v="2"/>
    <n v="1"/>
    <x v="28"/>
    <s v="2 BEDROOM"/>
    <s v="C1"/>
    <n v="90.91"/>
    <n v="99.652297402019272"/>
    <x v="7"/>
    <m/>
    <m/>
    <s v="SE"/>
    <s v="MIDDLE"/>
    <s v="ROAD 18M (BUILDINGS)"/>
    <s v="SECOND"/>
    <x v="1"/>
    <n v="0.08"/>
    <n v="2.5000000000000001E-2"/>
    <n v="0.15"/>
    <n v="0.11"/>
    <n v="0.04"/>
    <n v="0.40499999999999997"/>
    <x v="0"/>
    <x v="1"/>
    <n v="48450.000000000007"/>
    <n v="54150.000000000007"/>
    <n v="5700"/>
    <n v="2308.5"/>
    <n v="50758.500000000007"/>
    <n v="16750.305000000004"/>
    <n v="55258.500000000007"/>
    <n v="58258.500000000007"/>
    <n v="5684952.0000000009"/>
    <n v="6188952.0000000009"/>
    <n v="6524952.0000000009"/>
    <n v="0"/>
    <n v="483220.9200000001"/>
    <n v="1"/>
    <n v="228000.00000000003"/>
    <n v="228000.00000000003"/>
    <n v="5912952.0000000009"/>
    <n v="6416952.0000000009"/>
    <n v="6752952.0000000009"/>
    <d v="2025-07-01T00:00:00"/>
    <d v="2025-01-01T00:00:00"/>
  </r>
  <r>
    <m/>
    <s v="A"/>
    <s v="A2"/>
    <s v="RESIDENTIAL"/>
    <n v="2"/>
    <n v="2"/>
    <x v="29"/>
    <s v="2 BEDROOM"/>
    <s v="C1"/>
    <n v="90.91"/>
    <n v="99.652297402019272"/>
    <x v="7"/>
    <m/>
    <m/>
    <s v="NW"/>
    <s v="MIDDLE"/>
    <s v="LAKE A-1"/>
    <s v="SECOND"/>
    <x v="1"/>
    <n v="0.13"/>
    <n v="2.5000000000000001E-2"/>
    <n v="0.4"/>
    <n v="0.11"/>
    <n v="0.04"/>
    <n v="0.70500000000000007"/>
    <x v="1"/>
    <x v="8"/>
    <n v="56100"/>
    <n v="62700"/>
    <n v="6600"/>
    <n v="4653.0000000000009"/>
    <n v="60753"/>
    <n v="20048.490000000002"/>
    <n v="65253"/>
    <n v="68253"/>
    <n v="6804336"/>
    <n v="7308336"/>
    <n v="7644336"/>
    <n v="0"/>
    <n v="578368.56000000006"/>
    <n v="1"/>
    <n v="264000"/>
    <n v="264000"/>
    <n v="7068336"/>
    <n v="7572336"/>
    <n v="7908336"/>
    <d v="2025-07-01T00:00:00"/>
    <d v="2026-01-01T00:00:00"/>
  </r>
  <r>
    <m/>
    <s v="A"/>
    <s v="A2"/>
    <s v="RESIDENTIAL"/>
    <n v="2"/>
    <n v="3"/>
    <x v="30"/>
    <s v="2 BEDROOM"/>
    <s v="C1"/>
    <n v="98.95"/>
    <n v="108.46545845264336"/>
    <x v="11"/>
    <m/>
    <m/>
    <s v="NW"/>
    <s v="MIDDLE"/>
    <s v="LAKE A-1"/>
    <s v="SECOND"/>
    <x v="1"/>
    <n v="0.13"/>
    <n v="2.5000000000000001E-2"/>
    <n v="0.4"/>
    <n v="0.11"/>
    <n v="0.04"/>
    <n v="0.70500000000000007"/>
    <x v="1"/>
    <x v="8"/>
    <n v="56100"/>
    <n v="62700"/>
    <n v="6600"/>
    <n v="4653.0000000000009"/>
    <n v="60753"/>
    <n v="20048.490000000002"/>
    <n v="65253"/>
    <n v="68253"/>
    <n v="7411866"/>
    <n v="7960866"/>
    <n v="8326866"/>
    <n v="0"/>
    <n v="630008.6100000001"/>
    <n v="1"/>
    <n v="264000"/>
    <n v="264000"/>
    <n v="7675866"/>
    <n v="8224866"/>
    <n v="8590866"/>
    <d v="2025-07-01T00:00:00"/>
    <d v="2026-01-01T00:00:00"/>
  </r>
  <r>
    <m/>
    <s v="A"/>
    <s v="A2"/>
    <s v="RESIDENTIAL"/>
    <n v="2"/>
    <n v="4"/>
    <x v="31"/>
    <s v="2 BEDROOM"/>
    <s v="C1"/>
    <n v="98.95"/>
    <n v="108.46545845264336"/>
    <x v="11"/>
    <m/>
    <m/>
    <s v="SE"/>
    <s v="MIDDLE"/>
    <s v="ROAD 18M (BUILDINGS)"/>
    <s v="SECOND"/>
    <x v="1"/>
    <n v="0.08"/>
    <n v="2.5000000000000001E-2"/>
    <n v="0.15"/>
    <n v="0.11"/>
    <n v="0.04"/>
    <n v="0.40499999999999997"/>
    <x v="0"/>
    <x v="1"/>
    <n v="48450.000000000007"/>
    <n v="54150.000000000007"/>
    <n v="5700"/>
    <n v="2308.5"/>
    <n v="50758.500000000007"/>
    <n v="16750.305000000004"/>
    <n v="55258.500000000007"/>
    <n v="58258.500000000007"/>
    <n v="6192537.0000000009"/>
    <n v="6741537.0000000009"/>
    <n v="7107537.0000000009"/>
    <n v="0"/>
    <n v="526365.64500000014"/>
    <n v="1"/>
    <n v="228000.00000000003"/>
    <n v="228000.00000000003"/>
    <n v="6420537.0000000009"/>
    <n v="6969537.0000000009"/>
    <n v="7335537.0000000009"/>
    <d v="2025-07-01T00:00:00"/>
    <d v="2025-01-01T00:00:00"/>
  </r>
  <r>
    <m/>
    <s v="A"/>
    <s v="A2"/>
    <s v="RESIDENTIAL"/>
    <n v="3"/>
    <n v="1"/>
    <x v="32"/>
    <s v="2 BEDROOM"/>
    <s v="C1"/>
    <n v="89.05"/>
    <n v="97.61343178583013"/>
    <x v="4"/>
    <m/>
    <m/>
    <s v="SE"/>
    <s v="MIDDLE"/>
    <s v="ROAD 18M (BUILDINGS)"/>
    <s v="THIRD"/>
    <x v="1"/>
    <n v="0.08"/>
    <n v="2.5000000000000001E-2"/>
    <n v="0.15"/>
    <n v="0.15"/>
    <n v="0.04"/>
    <n v="0.44500000000000001"/>
    <x v="0"/>
    <x v="10"/>
    <n v="53550"/>
    <n v="59850"/>
    <n v="6300"/>
    <n v="2803.5"/>
    <n v="56353.5"/>
    <n v="18596.655000000002"/>
    <n v="60853.5"/>
    <n v="63853.5"/>
    <n v="6198885"/>
    <n v="6693885"/>
    <n v="7023885"/>
    <n v="0"/>
    <n v="526905.22500000009"/>
    <n v="1"/>
    <n v="252000"/>
    <n v="252000"/>
    <n v="6450885"/>
    <n v="6945885"/>
    <n v="7275885"/>
    <d v="2025-07-01T00:00:00"/>
    <d v="2025-10-01T00:00:00"/>
  </r>
  <r>
    <m/>
    <s v="A"/>
    <s v="A2"/>
    <s v="RESIDENTIAL"/>
    <n v="3"/>
    <n v="2"/>
    <x v="33"/>
    <s v="2 BEDROOM"/>
    <s v="C1"/>
    <n v="89.05"/>
    <n v="97.61343178583013"/>
    <x v="4"/>
    <m/>
    <m/>
    <s v="NW"/>
    <s v="MIDDLE"/>
    <s v="LAKE A-1"/>
    <s v="THIRD"/>
    <x v="1"/>
    <n v="0.13"/>
    <n v="2.5000000000000001E-2"/>
    <n v="0.4"/>
    <n v="0.15"/>
    <n v="0.04"/>
    <n v="0.74500000000000011"/>
    <x v="2"/>
    <x v="3"/>
    <n v="42500"/>
    <n v="47500"/>
    <n v="5000"/>
    <n v="3725.0000000000005"/>
    <n v="46225"/>
    <n v="15254.25"/>
    <n v="50725"/>
    <n v="53725"/>
    <n v="5084750"/>
    <n v="5579750"/>
    <n v="5909750"/>
    <n v="0"/>
    <n v="432203.75000000006"/>
    <n v="1"/>
    <n v="200000"/>
    <n v="200000"/>
    <n v="5284750"/>
    <n v="5779750"/>
    <n v="6109750"/>
    <d v="2025-07-01T00:00:00"/>
    <d v="2023-09-01T00:00:00"/>
  </r>
  <r>
    <m/>
    <s v="A"/>
    <s v="A2"/>
    <s v="RESIDENTIAL"/>
    <n v="3"/>
    <n v="3"/>
    <x v="34"/>
    <s v="2 BEDROOM"/>
    <s v="C1"/>
    <n v="97.09"/>
    <n v="106.4265928364542"/>
    <x v="10"/>
    <m/>
    <m/>
    <s v="NW"/>
    <s v="MIDDLE"/>
    <s v="LAKE A-1"/>
    <s v="THIRD"/>
    <x v="1"/>
    <n v="0.13"/>
    <n v="2.5000000000000001E-2"/>
    <n v="0.4"/>
    <n v="0.15"/>
    <n v="0.04"/>
    <n v="0.74500000000000011"/>
    <x v="2"/>
    <x v="3"/>
    <n v="42500"/>
    <n v="47500"/>
    <n v="5000"/>
    <n v="3725.0000000000005"/>
    <n v="46225"/>
    <n v="15254.25"/>
    <n v="50725"/>
    <n v="53725"/>
    <n v="5500775"/>
    <n v="6036275"/>
    <n v="6393275"/>
    <n v="0"/>
    <n v="467565.87500000006"/>
    <n v="1"/>
    <n v="200000"/>
    <n v="200000"/>
    <n v="5700775"/>
    <n v="6236275"/>
    <n v="6593275"/>
    <d v="2025-07-01T00:00:00"/>
    <d v="2023-09-01T00:00:00"/>
  </r>
  <r>
    <m/>
    <s v="A"/>
    <s v="A2"/>
    <s v="RESIDENTIAL"/>
    <n v="3"/>
    <n v="4"/>
    <x v="35"/>
    <s v="2 BEDROOM"/>
    <s v="C1"/>
    <n v="97.09"/>
    <n v="106.4265928364542"/>
    <x v="10"/>
    <m/>
    <m/>
    <s v="SE"/>
    <s v="MIDDLE"/>
    <s v="ROAD 18M (BUILDINGS)"/>
    <s v="THIRD"/>
    <x v="1"/>
    <n v="0.08"/>
    <n v="2.5000000000000001E-2"/>
    <n v="0.15"/>
    <n v="0.15"/>
    <n v="0.04"/>
    <n v="0.44500000000000001"/>
    <x v="0"/>
    <x v="10"/>
    <n v="53550"/>
    <n v="59850"/>
    <n v="6300"/>
    <n v="2803.5"/>
    <n v="56353.5"/>
    <n v="18596.655000000002"/>
    <n v="60853.5"/>
    <n v="63853.5"/>
    <n v="6706066.5"/>
    <n v="7241566.5"/>
    <n v="7598566.5"/>
    <n v="0"/>
    <n v="570015.65250000008"/>
    <n v="1"/>
    <n v="252000"/>
    <n v="252000"/>
    <n v="6958066.5"/>
    <n v="7493566.5"/>
    <n v="7850566.5"/>
    <d v="2025-07-01T00:00:00"/>
    <d v="2025-10-01T00:00:00"/>
  </r>
  <r>
    <m/>
    <s v="A"/>
    <s v="A2"/>
    <s v="RESIDENTIAL"/>
    <n v="4"/>
    <n v="1"/>
    <x v="36"/>
    <s v="2 BEDROOM"/>
    <s v="C1"/>
    <n v="89.12"/>
    <n v="97.690163287514665"/>
    <x v="4"/>
    <m/>
    <m/>
    <s v="SE"/>
    <s v="MIDDLE"/>
    <s v="ROAD 18M (BUILDINGS)"/>
    <s v="FORTH"/>
    <x v="1"/>
    <n v="0.08"/>
    <n v="2.5000000000000001E-2"/>
    <n v="0.15"/>
    <n v="0.06"/>
    <n v="0.04"/>
    <n v="0.35499999999999998"/>
    <x v="0"/>
    <x v="3"/>
    <n v="42500"/>
    <n v="47500"/>
    <n v="5000"/>
    <n v="1775"/>
    <n v="44275"/>
    <n v="14610.75"/>
    <n v="48775"/>
    <n v="51775"/>
    <n v="4870250"/>
    <n v="5365250"/>
    <n v="5695250"/>
    <n v="0"/>
    <n v="413971.25000000006"/>
    <n v="1"/>
    <n v="200000"/>
    <n v="200000"/>
    <n v="5070250"/>
    <n v="5565250"/>
    <n v="5895250"/>
    <d v="2025-07-01T00:00:00"/>
    <d v="2023-09-01T00:00:00"/>
  </r>
  <r>
    <m/>
    <s v="A"/>
    <s v="A2"/>
    <s v="RESIDENTIAL"/>
    <n v="4"/>
    <n v="2"/>
    <x v="37"/>
    <s v="2 BEDROOM"/>
    <s v="C1"/>
    <n v="90.52"/>
    <n v="99.224793321205425"/>
    <x v="2"/>
    <m/>
    <m/>
    <s v="NW"/>
    <s v="MIDDLE"/>
    <s v="LAKE A-1"/>
    <s v="FORTH"/>
    <x v="1"/>
    <n v="0.13"/>
    <n v="2.5000000000000001E-2"/>
    <n v="0.4"/>
    <n v="0.06"/>
    <n v="0.04"/>
    <n v="0.65500000000000003"/>
    <x v="1"/>
    <x v="5"/>
    <n v="46750.000000000007"/>
    <n v="52250.000000000007"/>
    <n v="5500"/>
    <n v="3602.5"/>
    <n v="50352.500000000007"/>
    <n v="16616.325000000004"/>
    <n v="54852.500000000007"/>
    <n v="57852.500000000007"/>
    <n v="5589127.5000000009"/>
    <n v="6088627.5000000009"/>
    <n v="6421627.5000000009"/>
    <n v="0"/>
    <n v="475075.83750000014"/>
    <n v="1"/>
    <n v="220000.00000000003"/>
    <n v="220000.00000000003"/>
    <n v="5809127.5000000009"/>
    <n v="6308627.5000000009"/>
    <n v="6641627.5000000009"/>
    <d v="2025-07-01T00:00:00"/>
    <d v="2024-10-01T00:00:00"/>
  </r>
  <r>
    <m/>
    <s v="A"/>
    <s v="A2"/>
    <s v="RESIDENTIAL"/>
    <n v="4"/>
    <n v="3"/>
    <x v="38"/>
    <s v="2 BEDROOM"/>
    <s v="C1"/>
    <n v="98.57"/>
    <n v="108.04891601492729"/>
    <x v="8"/>
    <m/>
    <m/>
    <s v="NW"/>
    <s v="MIDDLE"/>
    <s v="LAKE A-1"/>
    <s v="FORTH"/>
    <x v="1"/>
    <n v="0.13"/>
    <n v="2.5000000000000001E-2"/>
    <n v="0.4"/>
    <n v="0.06"/>
    <n v="0.04"/>
    <n v="0.65500000000000003"/>
    <x v="1"/>
    <x v="5"/>
    <n v="46750.000000000007"/>
    <n v="52250.000000000007"/>
    <n v="5500"/>
    <n v="3602.5"/>
    <n v="50352.500000000007"/>
    <n v="16616.325000000004"/>
    <n v="54852.500000000007"/>
    <n v="57852.500000000007"/>
    <n v="6092652.5000000009"/>
    <n v="6637152.5000000009"/>
    <n v="7000152.5000000009"/>
    <n v="0"/>
    <n v="517875.46250000014"/>
    <n v="1"/>
    <n v="220000.00000000003"/>
    <n v="220000.00000000003"/>
    <n v="6312652.5000000009"/>
    <n v="6857152.5000000009"/>
    <n v="7220152.5000000009"/>
    <d v="2025-07-01T00:00:00"/>
    <d v="2024-10-01T00:00:00"/>
  </r>
  <r>
    <m/>
    <s v="A"/>
    <s v="A2"/>
    <s v="RESIDENTIAL"/>
    <n v="4"/>
    <n v="4"/>
    <x v="39"/>
    <s v="2 BEDROOM"/>
    <s v="C1"/>
    <n v="97.17"/>
    <n v="106.51428598123654"/>
    <x v="9"/>
    <m/>
    <m/>
    <s v="SE"/>
    <s v="MIDDLE"/>
    <s v="ROAD 18M (BUILDINGS)"/>
    <s v="FORTH"/>
    <x v="1"/>
    <n v="0.08"/>
    <n v="2.5000000000000001E-2"/>
    <n v="0.15"/>
    <n v="0.06"/>
    <n v="0.04"/>
    <n v="0.35499999999999998"/>
    <x v="0"/>
    <x v="3"/>
    <n v="42500"/>
    <n v="47500"/>
    <n v="5000"/>
    <n v="1775"/>
    <n v="44275"/>
    <n v="14610.75"/>
    <n v="48775"/>
    <n v="51775"/>
    <n v="5313000"/>
    <n v="5853000"/>
    <n v="6213000"/>
    <n v="0"/>
    <n v="451605.00000000006"/>
    <n v="1"/>
    <n v="200000"/>
    <n v="200000"/>
    <n v="5513000"/>
    <n v="6053000"/>
    <n v="6413000"/>
    <d v="2025-07-01T00:00:00"/>
    <d v="2023-09-01T00:00:00"/>
  </r>
  <r>
    <s v="A"/>
    <s v="A"/>
    <s v="A3"/>
    <s v="RESIDENTIAL"/>
    <n v="0"/>
    <n v="1"/>
    <x v="40"/>
    <s v="2 BEDROOM"/>
    <s v="C1"/>
    <n v="98.17"/>
    <n v="107.61222461609491"/>
    <x v="8"/>
    <n v="31.614699999999999"/>
    <m/>
    <s v="SE"/>
    <s v="MIDDLE"/>
    <s v="ROAD 18M (BUILDINGS)"/>
    <s v="GROUND"/>
    <x v="1"/>
    <n v="0.08"/>
    <n v="2.5000000000000001E-2"/>
    <n v="0.15"/>
    <n v="0.05"/>
    <n v="0.04"/>
    <n v="0.34499999999999997"/>
    <x v="0"/>
    <x v="3"/>
    <n v="42500"/>
    <n v="47500"/>
    <n v="5000"/>
    <n v="1724.9999999999998"/>
    <n v="44225"/>
    <n v="14594.25"/>
    <n v="48725"/>
    <n v="51725"/>
    <n v="5351225"/>
    <n v="5895725"/>
    <n v="6258725"/>
    <n v="461392.83547499997"/>
    <n v="494072.51601537497"/>
    <n v="1"/>
    <n v="200000"/>
    <n v="200000"/>
    <n v="6012617.8354749996"/>
    <n v="6557117.8354749996"/>
    <n v="6920117.8354749996"/>
    <d v="2025-07-01T00:00:00"/>
    <d v="2023-09-01T00:00:00"/>
  </r>
  <r>
    <m/>
    <s v="A"/>
    <s v="A3"/>
    <s v="RESIDENTIAL"/>
    <n v="0"/>
    <n v="2"/>
    <x v="41"/>
    <s v="2 BEDROOM"/>
    <s v="C1"/>
    <n v="97.98"/>
    <n v="107.40394996317592"/>
    <x v="8"/>
    <n v="50.705300000000001"/>
    <m/>
    <s v="NW"/>
    <s v="MIDDLE"/>
    <s v="SEMI LAKE AND FENCE"/>
    <s v="GROUND"/>
    <x v="1"/>
    <n v="0.13"/>
    <n v="2.5000000000000001E-2"/>
    <n v="0.25"/>
    <n v="0.05"/>
    <n v="0.04"/>
    <n v="0.495"/>
    <x v="0"/>
    <x v="7"/>
    <n v="61625"/>
    <n v="68875"/>
    <n v="7250"/>
    <n v="3588.75"/>
    <n v="65213.75"/>
    <n v="21520.537500000002"/>
    <n v="69713.75"/>
    <n v="72713.75"/>
    <n v="7890863.75"/>
    <n v="8435363.75"/>
    <n v="8798363.75"/>
    <n v="1091205.3100987501"/>
    <n v="763475.87010839384"/>
    <n v="1"/>
    <n v="290000"/>
    <n v="290000"/>
    <n v="9272069.0600987505"/>
    <n v="9816569.0600987505"/>
    <n v="10179569.060098751"/>
    <d v="2025-07-01T00:00:00"/>
    <d v="2026-07-01T00:00:00"/>
  </r>
  <r>
    <m/>
    <s v="A"/>
    <s v="A3"/>
    <s v="RESIDENTIAL"/>
    <n v="0"/>
    <n v="3"/>
    <x v="42"/>
    <s v="2 BEDROOM"/>
    <s v="C1"/>
    <n v="89.96"/>
    <n v="98.612567245226629"/>
    <x v="2"/>
    <n v="50.540100000000002"/>
    <m/>
    <s v="NW"/>
    <s v="MIDDLE"/>
    <s v="FENCE"/>
    <s v="GROUND"/>
    <x v="1"/>
    <n v="0.13"/>
    <n v="2.5000000000000001E-2"/>
    <n v="0.1"/>
    <n v="0.05"/>
    <n v="0.04"/>
    <n v="0.34499999999999997"/>
    <x v="0"/>
    <x v="3"/>
    <n v="42500"/>
    <n v="47500"/>
    <n v="5000"/>
    <n v="1724.9999999999998"/>
    <n v="44225"/>
    <n v="14594.25"/>
    <n v="48725"/>
    <n v="51725"/>
    <n v="4908975"/>
    <n v="5408475"/>
    <n v="5741475"/>
    <n v="737594.85442500003"/>
    <n v="479958.43762612506"/>
    <n v="1"/>
    <n v="200000"/>
    <n v="200000"/>
    <n v="5846569.854425"/>
    <n v="6346069.854425"/>
    <n v="6679069.854425"/>
    <d v="2025-07-01T00:00:00"/>
    <d v="2023-09-01T00:00:00"/>
  </r>
  <r>
    <m/>
    <s v="A"/>
    <s v="A3"/>
    <s v="RESIDENTIAL"/>
    <n v="0"/>
    <n v="4"/>
    <x v="43"/>
    <s v="1 BEDROOM (STUDIO)"/>
    <s v="C1"/>
    <n v="60.98"/>
    <n v="66.845201763160517"/>
    <x v="3"/>
    <n v="23.830100000000002"/>
    <m/>
    <s v="SE"/>
    <s v="MIDDLE"/>
    <s v="ROAD 18M (BUILDINGS)"/>
    <s v="GROUND"/>
    <x v="2"/>
    <n v="0.08"/>
    <n v="2.5000000000000001E-2"/>
    <n v="0.15"/>
    <n v="0.05"/>
    <n v="0.05"/>
    <n v="0.35499999999999998"/>
    <x v="0"/>
    <x v="3"/>
    <n v="42500"/>
    <n v="47500"/>
    <n v="5000"/>
    <n v="1775"/>
    <n v="44275"/>
    <n v="14610.75"/>
    <n v="48775"/>
    <n v="51775"/>
    <n v="3320625"/>
    <n v="3658125"/>
    <n v="3883125"/>
    <n v="348175.63357500004"/>
    <n v="311848.05385387503"/>
    <n v="1"/>
    <n v="200000"/>
    <n v="200000"/>
    <n v="3868800.6335749999"/>
    <n v="4206300.6335749999"/>
    <n v="4431300.6335749999"/>
    <d v="2025-07-01T00:00:00"/>
    <d v="2023-09-01T00:00:00"/>
  </r>
  <r>
    <m/>
    <s v="A"/>
    <s v="A3"/>
    <s v="RESIDENTIAL"/>
    <n v="1"/>
    <n v="1"/>
    <x v="44"/>
    <s v="2 BEDROOM"/>
    <s v="C1"/>
    <n v="97.09"/>
    <n v="106.42834764160798"/>
    <x v="10"/>
    <m/>
    <m/>
    <s v="SE"/>
    <s v="MIDDLE"/>
    <s v="ROAD 18M (BUILDINGS)"/>
    <s v="FIRST"/>
    <x v="1"/>
    <n v="0.08"/>
    <n v="2.5000000000000001E-2"/>
    <n v="0.15"/>
    <n v="7.0000000000000007E-2"/>
    <n v="0.04"/>
    <n v="0.36499999999999999"/>
    <x v="0"/>
    <x v="0"/>
    <n v="43562.499999999993"/>
    <n v="48687.499999999993"/>
    <n v="5125"/>
    <n v="1870.625"/>
    <n v="45433.124999999993"/>
    <n v="14992.931249999998"/>
    <n v="49933.124999999993"/>
    <n v="52933.124999999993"/>
    <n v="5406541.8749999991"/>
    <n v="5942041.8749999991"/>
    <n v="6299041.8749999991"/>
    <n v="0"/>
    <n v="459556.05937499995"/>
    <n v="1"/>
    <n v="204999.99999999997"/>
    <n v="204999.99999999997"/>
    <n v="5611541.8749999991"/>
    <n v="6147041.8749999991"/>
    <n v="6504041.8749999991"/>
    <d v="2025-07-01T00:00:00"/>
    <d v="2024-01-01T00:00:00"/>
  </r>
  <r>
    <m/>
    <s v="A"/>
    <s v="A3"/>
    <s v="RESIDENTIAL"/>
    <n v="1"/>
    <n v="2"/>
    <x v="45"/>
    <s v="2 BEDROOM"/>
    <s v="C1"/>
    <n v="97.06"/>
    <n v="106.39546217009445"/>
    <x v="10"/>
    <m/>
    <m/>
    <s v="NW"/>
    <s v="MIDDLE"/>
    <s v="SEMI LAKE AND FENCE"/>
    <s v="FIRST"/>
    <x v="1"/>
    <n v="0.13"/>
    <n v="2.5000000000000001E-2"/>
    <n v="0.25"/>
    <n v="7.0000000000000007E-2"/>
    <n v="0.04"/>
    <n v="0.51500000000000001"/>
    <x v="1"/>
    <x v="3"/>
    <n v="42500"/>
    <n v="47500"/>
    <n v="5000"/>
    <n v="2575"/>
    <n v="45075"/>
    <n v="14874.75"/>
    <n v="49575"/>
    <n v="52575"/>
    <n v="5363925"/>
    <n v="5899425"/>
    <n v="6256425"/>
    <n v="0"/>
    <n v="455933.62500000006"/>
    <n v="1"/>
    <n v="200000"/>
    <n v="200000"/>
    <n v="5563925"/>
    <n v="6099425"/>
    <n v="6456425"/>
    <d v="2025-07-01T00:00:00"/>
    <d v="2023-09-01T00:00:00"/>
  </r>
  <r>
    <m/>
    <s v="A"/>
    <s v="A3"/>
    <s v="RESIDENTIAL"/>
    <n v="1"/>
    <n v="3"/>
    <x v="46"/>
    <s v="2 BEDROOM"/>
    <s v="C1"/>
    <n v="89.05"/>
    <n v="97.615041275983003"/>
    <x v="4"/>
    <m/>
    <m/>
    <s v="NW"/>
    <s v="MIDDLE"/>
    <s v="LAYAN VILLAS"/>
    <s v="FIRST"/>
    <x v="1"/>
    <n v="0.13"/>
    <n v="2.5000000000000001E-2"/>
    <n v="0.2"/>
    <n v="7.0000000000000007E-2"/>
    <n v="0.04"/>
    <n v="0.46499999999999997"/>
    <x v="0"/>
    <x v="8"/>
    <n v="56100"/>
    <n v="62700"/>
    <n v="6600"/>
    <n v="3069"/>
    <n v="59169"/>
    <n v="19525.77"/>
    <n v="63669"/>
    <n v="66669"/>
    <n v="6508590"/>
    <n v="7003590"/>
    <n v="7333590"/>
    <n v="0"/>
    <n v="553230.15"/>
    <n v="1"/>
    <n v="264000"/>
    <n v="264000"/>
    <n v="6772590"/>
    <n v="7267590"/>
    <n v="7597590"/>
    <d v="2025-07-01T00:00:00"/>
    <d v="2026-01-01T00:00:00"/>
  </r>
  <r>
    <m/>
    <s v="A"/>
    <s v="A3"/>
    <s v="RESIDENTIAL"/>
    <n v="1"/>
    <n v="4"/>
    <x v="47"/>
    <s v="1 BEDROOM (STUDIO)"/>
    <s v="C1"/>
    <n v="61.82"/>
    <n v="67.765994965539235"/>
    <x v="5"/>
    <m/>
    <m/>
    <s v="SE"/>
    <s v="MIDDLE"/>
    <s v="ROAD 18M (BUILDINGS)"/>
    <s v="FIRST"/>
    <x v="2"/>
    <n v="0.08"/>
    <n v="2.5000000000000001E-2"/>
    <n v="0.15"/>
    <n v="7.0000000000000007E-2"/>
    <n v="0.05"/>
    <n v="0.375"/>
    <x v="0"/>
    <x v="6"/>
    <n v="44625"/>
    <n v="49875"/>
    <n v="5250"/>
    <n v="1968.75"/>
    <n v="46593.75"/>
    <n v="15375.9375"/>
    <n v="51093.75"/>
    <n v="54093.75"/>
    <n v="3541125"/>
    <n v="3883125"/>
    <n v="4111125"/>
    <n v="0"/>
    <n v="300995.625"/>
    <n v="1"/>
    <n v="210000"/>
    <n v="210000"/>
    <n v="3751125"/>
    <n v="4093125"/>
    <n v="4321125"/>
    <d v="2025-07-01T00:00:00"/>
    <d v="2024-04-01T00:00:00"/>
  </r>
  <r>
    <m/>
    <s v="A"/>
    <s v="A3"/>
    <s v="RESIDENTIAL"/>
    <n v="2"/>
    <n v="1"/>
    <x v="48"/>
    <s v="2 BEDROOM"/>
    <s v="C1"/>
    <n v="98.95"/>
    <n v="108.46724687544659"/>
    <x v="11"/>
    <m/>
    <m/>
    <s v="SE"/>
    <s v="MIDDLE"/>
    <s v="ROAD 18M (BUILDINGS)"/>
    <s v="SECOND"/>
    <x v="1"/>
    <n v="0.08"/>
    <n v="2.5000000000000001E-2"/>
    <n v="0.15"/>
    <n v="0.11"/>
    <n v="0.04"/>
    <n v="0.40499999999999997"/>
    <x v="0"/>
    <x v="1"/>
    <n v="48450.000000000007"/>
    <n v="54150.000000000007"/>
    <n v="5700"/>
    <n v="2308.5"/>
    <n v="50758.500000000007"/>
    <n v="16750.305000000004"/>
    <n v="55258.500000000007"/>
    <n v="58258.500000000007"/>
    <n v="6192537.0000000009"/>
    <n v="6741537.0000000009"/>
    <n v="7107537.0000000009"/>
    <n v="0"/>
    <n v="526365.64500000014"/>
    <n v="1"/>
    <n v="228000.00000000003"/>
    <n v="228000.00000000003"/>
    <n v="6420537.0000000009"/>
    <n v="6969537.0000000009"/>
    <n v="7335537.0000000009"/>
    <d v="2025-07-01T00:00:00"/>
    <d v="2025-01-01T00:00:00"/>
  </r>
  <r>
    <m/>
    <s v="A"/>
    <s v="A3"/>
    <s v="RESIDENTIAL"/>
    <n v="2"/>
    <n v="2"/>
    <x v="49"/>
    <s v="2 BEDROOM"/>
    <s v="C1"/>
    <n v="98.93"/>
    <n v="108.44532322777091"/>
    <x v="11"/>
    <m/>
    <m/>
    <s v="NW"/>
    <s v="MIDDLE"/>
    <s v="SEMI LAKE AND FENCE"/>
    <s v="SECOND"/>
    <x v="1"/>
    <n v="0.13"/>
    <n v="2.5000000000000001E-2"/>
    <n v="0.25"/>
    <n v="0.11"/>
    <n v="0.04"/>
    <n v="0.55500000000000005"/>
    <x v="1"/>
    <x v="3"/>
    <n v="42500"/>
    <n v="47500"/>
    <n v="5000"/>
    <n v="2775.0000000000005"/>
    <n v="45275"/>
    <n v="14940.75"/>
    <n v="49775"/>
    <n v="52775"/>
    <n v="5523550"/>
    <n v="6072550"/>
    <n v="6438550"/>
    <n v="0"/>
    <n v="469501.75000000006"/>
    <n v="1"/>
    <n v="200000"/>
    <n v="200000"/>
    <n v="5723550"/>
    <n v="6272550"/>
    <n v="6638550"/>
    <d v="2025-07-01T00:00:00"/>
    <d v="2023-09-01T00:00:00"/>
  </r>
  <r>
    <m/>
    <s v="A"/>
    <s v="A3"/>
    <s v="RESIDENTIAL"/>
    <n v="2"/>
    <n v="3"/>
    <x v="50"/>
    <s v="2 BEDROOM"/>
    <s v="C1"/>
    <n v="90.91"/>
    <n v="99.653940509821609"/>
    <x v="7"/>
    <m/>
    <m/>
    <s v="NW"/>
    <s v="MIDDLE"/>
    <s v="LAYAN VILLAS"/>
    <s v="SECOND"/>
    <x v="1"/>
    <n v="0.13"/>
    <n v="2.5000000000000001E-2"/>
    <n v="0.2"/>
    <n v="0.11"/>
    <n v="0.04"/>
    <n v="0.505"/>
    <x v="1"/>
    <x v="3"/>
    <n v="42500"/>
    <n v="47500"/>
    <n v="5000"/>
    <n v="2525"/>
    <n v="45025"/>
    <n v="14858.25"/>
    <n v="49525"/>
    <n v="52525"/>
    <n v="5042800"/>
    <n v="5546800"/>
    <n v="5882800"/>
    <n v="0"/>
    <n v="428638.00000000006"/>
    <n v="1"/>
    <n v="200000"/>
    <n v="200000"/>
    <n v="5242800"/>
    <n v="5746800"/>
    <n v="6082800"/>
    <d v="2025-07-01T00:00:00"/>
    <d v="2023-09-01T00:00:00"/>
  </r>
  <r>
    <m/>
    <s v="A"/>
    <s v="A3"/>
    <s v="RESIDENTIAL"/>
    <n v="2"/>
    <n v="4"/>
    <x v="51"/>
    <s v="2 BEDROOM"/>
    <s v="C1"/>
    <n v="90.9"/>
    <n v="99.642978685983778"/>
    <x v="7"/>
    <m/>
    <m/>
    <s v="SE"/>
    <s v="MIDDLE"/>
    <s v="ROAD 18M (BUILDINGS)"/>
    <s v="SECOND"/>
    <x v="1"/>
    <n v="0.08"/>
    <n v="2.5000000000000001E-2"/>
    <n v="0.15"/>
    <n v="0.11"/>
    <n v="0.04"/>
    <n v="0.40499999999999997"/>
    <x v="0"/>
    <x v="5"/>
    <n v="46750.000000000007"/>
    <n v="52250.000000000007"/>
    <n v="5500"/>
    <n v="2227.5"/>
    <n v="48977.500000000007"/>
    <n v="16162.575000000003"/>
    <n v="53477.500000000007"/>
    <n v="56477.500000000007"/>
    <n v="5485480.0000000009"/>
    <n v="5989480.0000000009"/>
    <n v="6325480.0000000009"/>
    <n v="0"/>
    <n v="466265.8000000001"/>
    <n v="1"/>
    <n v="220000.00000000003"/>
    <n v="220000.00000000003"/>
    <n v="5705480.0000000009"/>
    <n v="6209480.0000000009"/>
    <n v="6545480.0000000009"/>
    <d v="2025-07-01T00:00:00"/>
    <d v="2024-10-01T00:00:00"/>
  </r>
  <r>
    <m/>
    <s v="A"/>
    <s v="A3"/>
    <s v="RESIDENTIAL"/>
    <n v="3"/>
    <n v="1"/>
    <x v="52"/>
    <s v="2 BEDROOM"/>
    <s v="C1"/>
    <n v="97.09"/>
    <n v="106.42834764160798"/>
    <x v="10"/>
    <m/>
    <m/>
    <s v="SE"/>
    <s v="MIDDLE"/>
    <s v="ROAD 18M (BUILDINGS)"/>
    <s v="THIRD"/>
    <x v="1"/>
    <n v="0.08"/>
    <n v="2.5000000000000001E-2"/>
    <n v="0.15"/>
    <n v="0.15"/>
    <n v="0.04"/>
    <n v="0.44500000000000001"/>
    <x v="0"/>
    <x v="10"/>
    <n v="53550"/>
    <n v="59850"/>
    <n v="6300"/>
    <n v="2803.5"/>
    <n v="56353.5"/>
    <n v="18596.655000000002"/>
    <n v="60853.5"/>
    <n v="63853.5"/>
    <n v="6706066.5"/>
    <n v="7241566.5"/>
    <n v="7598566.5"/>
    <n v="0"/>
    <n v="570015.65250000008"/>
    <n v="1"/>
    <n v="252000"/>
    <n v="252000"/>
    <n v="6958066.5"/>
    <n v="7493566.5"/>
    <n v="7850566.5"/>
    <d v="2025-07-01T00:00:00"/>
    <d v="2025-10-01T00:00:00"/>
  </r>
  <r>
    <m/>
    <s v="A"/>
    <s v="A3"/>
    <s v="RESIDENTIAL"/>
    <n v="3"/>
    <n v="2"/>
    <x v="53"/>
    <s v="2 BEDROOM"/>
    <s v="C1"/>
    <n v="97.09"/>
    <n v="106.42834764160798"/>
    <x v="10"/>
    <m/>
    <m/>
    <s v="NW"/>
    <s v="MIDDLE"/>
    <s v="SEMI LAKE AND FENCE"/>
    <s v="THIRD"/>
    <x v="1"/>
    <n v="0.13"/>
    <n v="2.5000000000000001E-2"/>
    <n v="0.25"/>
    <n v="0.15"/>
    <n v="0.04"/>
    <n v="0.59500000000000008"/>
    <x v="1"/>
    <x v="0"/>
    <n v="43562.499999999993"/>
    <n v="48687.499999999993"/>
    <n v="5125"/>
    <n v="3049.3750000000005"/>
    <n v="46611.874999999993"/>
    <n v="15381.918749999999"/>
    <n v="51111.874999999993"/>
    <n v="54111.874999999993"/>
    <n v="5546813.1249999991"/>
    <n v="6082313.1249999991"/>
    <n v="6439313.1249999991"/>
    <n v="0"/>
    <n v="471479.11562499998"/>
    <n v="1"/>
    <n v="204999.99999999997"/>
    <n v="204999.99999999997"/>
    <n v="5751813.1249999991"/>
    <n v="6287313.1249999991"/>
    <n v="6644313.1249999991"/>
    <d v="2025-07-01T00:00:00"/>
    <d v="2024-01-01T00:00:00"/>
  </r>
  <r>
    <m/>
    <s v="A"/>
    <s v="A3"/>
    <s v="RESIDENTIAL"/>
    <n v="3"/>
    <n v="3"/>
    <x v="54"/>
    <s v="2 BEDROOM"/>
    <s v="C1"/>
    <n v="89.05"/>
    <n v="97.615041275983003"/>
    <x v="4"/>
    <m/>
    <m/>
    <s v="NW"/>
    <s v="MIDDLE"/>
    <s v="LAYAN VILLAS"/>
    <s v="THIRD"/>
    <x v="1"/>
    <n v="0.13"/>
    <n v="2.5000000000000001E-2"/>
    <n v="0.2"/>
    <n v="0.15"/>
    <n v="0.04"/>
    <n v="0.54500000000000004"/>
    <x v="1"/>
    <x v="3"/>
    <n v="42500"/>
    <n v="47500"/>
    <n v="5000"/>
    <n v="2725"/>
    <n v="45225"/>
    <n v="14924.25"/>
    <n v="49725"/>
    <n v="52725"/>
    <n v="4974750"/>
    <n v="5469750"/>
    <n v="5799750"/>
    <n v="0"/>
    <n v="422853.75000000006"/>
    <n v="1"/>
    <n v="200000"/>
    <n v="200000"/>
    <n v="5174750"/>
    <n v="5669750"/>
    <n v="5999750"/>
    <d v="2025-07-01T00:00:00"/>
    <d v="2023-09-01T00:00:00"/>
  </r>
  <r>
    <m/>
    <s v="A"/>
    <s v="A3"/>
    <s v="RESIDENTIAL"/>
    <n v="3"/>
    <n v="4"/>
    <x v="55"/>
    <s v="2 BEDROOM"/>
    <s v="C1"/>
    <n v="89.05"/>
    <n v="97.615041275983003"/>
    <x v="4"/>
    <m/>
    <m/>
    <s v="SE"/>
    <s v="MIDDLE"/>
    <s v="ROAD 18M (BUILDINGS)"/>
    <s v="THIRD"/>
    <x v="1"/>
    <n v="0.08"/>
    <n v="2.5000000000000001E-2"/>
    <n v="0.15"/>
    <n v="0.15"/>
    <n v="0.04"/>
    <n v="0.44500000000000001"/>
    <x v="0"/>
    <x v="10"/>
    <n v="53550"/>
    <n v="59850"/>
    <n v="6300"/>
    <n v="2803.5"/>
    <n v="56353.5"/>
    <n v="18596.655000000002"/>
    <n v="60853.5"/>
    <n v="63853.5"/>
    <n v="6198885"/>
    <n v="6693885"/>
    <n v="7023885"/>
    <n v="0"/>
    <n v="526905.22500000009"/>
    <n v="1"/>
    <n v="252000"/>
    <n v="252000"/>
    <n v="6450885"/>
    <n v="6945885"/>
    <n v="7275885"/>
    <d v="2025-07-01T00:00:00"/>
    <d v="2025-10-01T00:00:00"/>
  </r>
  <r>
    <m/>
    <s v="A"/>
    <s v="A3"/>
    <s v="RESIDENTIAL"/>
    <n v="4"/>
    <n v="1"/>
    <x v="56"/>
    <s v="2 BEDROOM"/>
    <s v="C1"/>
    <n v="97.17"/>
    <n v="106.51604223231071"/>
    <x v="9"/>
    <m/>
    <m/>
    <s v="SE"/>
    <s v="MIDDLE"/>
    <s v="ROAD 18M (BUILDINGS)"/>
    <s v="FORTH"/>
    <x v="1"/>
    <n v="0.08"/>
    <n v="2.5000000000000001E-2"/>
    <n v="0.15"/>
    <n v="0.06"/>
    <n v="0.04"/>
    <n v="0.35499999999999998"/>
    <x v="0"/>
    <x v="3"/>
    <n v="42500"/>
    <n v="47500"/>
    <n v="5000"/>
    <n v="1775"/>
    <n v="44275"/>
    <n v="14610.75"/>
    <n v="48775"/>
    <n v="51775"/>
    <n v="5313000"/>
    <n v="5853000"/>
    <n v="6213000"/>
    <n v="0"/>
    <n v="451605.00000000006"/>
    <n v="1"/>
    <n v="200000"/>
    <n v="200000"/>
    <n v="5513000"/>
    <n v="6053000"/>
    <n v="6413000"/>
    <d v="2025-07-01T00:00:00"/>
    <d v="2023-09-01T00:00:00"/>
  </r>
  <r>
    <m/>
    <s v="A"/>
    <s v="A3"/>
    <s v="RESIDENTIAL"/>
    <n v="4"/>
    <n v="2"/>
    <x v="57"/>
    <s v="2 BEDROOM"/>
    <s v="C1"/>
    <n v="98.57"/>
    <n v="108.05069756960859"/>
    <x v="8"/>
    <m/>
    <m/>
    <s v="NW"/>
    <s v="MIDDLE"/>
    <s v="SEMI LAKE AND FENCE"/>
    <s v="FORTH"/>
    <x v="1"/>
    <n v="0.13"/>
    <n v="2.5000000000000001E-2"/>
    <n v="0.25"/>
    <n v="0.06"/>
    <n v="0.04"/>
    <n v="0.505"/>
    <x v="1"/>
    <x v="3"/>
    <n v="42500"/>
    <n v="47500"/>
    <n v="5000"/>
    <n v="2525"/>
    <n v="45025"/>
    <n v="14858.25"/>
    <n v="49525"/>
    <n v="52525"/>
    <n v="5448025"/>
    <n v="5992525"/>
    <n v="6355525"/>
    <n v="0"/>
    <n v="463082.12500000006"/>
    <n v="1"/>
    <n v="200000"/>
    <n v="200000"/>
    <n v="5648025"/>
    <n v="6192525"/>
    <n v="6555525"/>
    <d v="2025-07-01T00:00:00"/>
    <d v="2023-09-01T00:00:00"/>
  </r>
  <r>
    <m/>
    <s v="A"/>
    <s v="A3"/>
    <s v="RESIDENTIAL"/>
    <n v="4"/>
    <n v="3"/>
    <x v="58"/>
    <s v="2 BEDROOM"/>
    <s v="C1"/>
    <n v="90.52"/>
    <n v="99.226429380145774"/>
    <x v="2"/>
    <m/>
    <m/>
    <s v="NW"/>
    <s v="MIDDLE"/>
    <s v="LAYAN VILLAS"/>
    <s v="FORTH"/>
    <x v="1"/>
    <n v="0.13"/>
    <n v="2.5000000000000001E-2"/>
    <n v="0.2"/>
    <n v="0.06"/>
    <n v="0.04"/>
    <n v="0.45499999999999996"/>
    <x v="0"/>
    <x v="8"/>
    <n v="56100"/>
    <n v="62700"/>
    <n v="6600"/>
    <n v="3002.9999999999995"/>
    <n v="59103"/>
    <n v="19503.990000000002"/>
    <n v="63603"/>
    <n v="66603"/>
    <n v="6560433"/>
    <n v="7059933"/>
    <n v="7392933"/>
    <n v="0"/>
    <n v="557636.80500000005"/>
    <n v="1"/>
    <n v="264000"/>
    <n v="264000"/>
    <n v="6824433"/>
    <n v="7323933"/>
    <n v="7656933"/>
    <d v="2025-07-01T00:00:00"/>
    <d v="2026-01-01T00:00:00"/>
  </r>
  <r>
    <m/>
    <s v="A"/>
    <s v="A3"/>
    <s v="RESIDENTIAL"/>
    <n v="4"/>
    <n v="4"/>
    <x v="59"/>
    <s v="2 BEDROOM"/>
    <s v="C1"/>
    <n v="89.12"/>
    <n v="97.691774042847911"/>
    <x v="4"/>
    <m/>
    <m/>
    <s v="SE"/>
    <s v="MIDDLE"/>
    <s v="ROAD 18M (BUILDINGS)"/>
    <s v="FORTH"/>
    <x v="1"/>
    <n v="0.08"/>
    <n v="2.5000000000000001E-2"/>
    <n v="0.15"/>
    <n v="0.06"/>
    <n v="0.04"/>
    <n v="0.35499999999999998"/>
    <x v="0"/>
    <x v="3"/>
    <n v="42500"/>
    <n v="47500"/>
    <n v="5000"/>
    <n v="1775"/>
    <n v="44275"/>
    <n v="14610.75"/>
    <n v="48775"/>
    <n v="51775"/>
    <n v="4870250"/>
    <n v="5365250"/>
    <n v="5695250"/>
    <n v="0"/>
    <n v="413971.25000000006"/>
    <n v="1"/>
    <n v="200000"/>
    <n v="200000"/>
    <n v="5070250"/>
    <n v="5565250"/>
    <n v="5895250"/>
    <d v="2025-07-01T00:00:00"/>
    <d v="2023-09-01T00:00:00"/>
  </r>
  <r>
    <s v="A"/>
    <s v="A"/>
    <s v="A4"/>
    <s v="HOTEL APP."/>
    <n v="0"/>
    <n v="1"/>
    <x v="60"/>
    <s v="1 BEDROOM (STUDIO)"/>
    <s v="C1"/>
    <n v="63.79"/>
    <n v="81.452738123463917"/>
    <x v="12"/>
    <n v="24.682200000000002"/>
    <m/>
    <s v="SE"/>
    <s v="MIDDLE"/>
    <s v="ROAD 18M (BUILDINGS)"/>
    <s v="GROUND"/>
    <x v="2"/>
    <n v="0.08"/>
    <n v="2.5000000000000001E-2"/>
    <n v="0.15"/>
    <n v="0.05"/>
    <n v="0.05"/>
    <n v="0.35499999999999998"/>
    <x v="3"/>
    <x v="11"/>
    <n v="76850"/>
    <n v="82950"/>
    <n v="6100"/>
    <n v="2165.5"/>
    <n v="79015.5"/>
    <n v="26075.115000000002"/>
    <n v="83515.5"/>
    <n v="86515.5"/>
    <n v="6163209"/>
    <n v="6514209"/>
    <n v="6748209"/>
    <n v="643591.20345300005"/>
    <n v="578578.01729350502"/>
    <n v="1"/>
    <n v="244000"/>
    <n v="244000"/>
    <n v="7050800.2034529997"/>
    <n v="7401800.2034529997"/>
    <n v="7635800.2034529997"/>
    <d v="2025-07-01T00:00:00"/>
    <d v="2025-07-01T00:00:00"/>
  </r>
  <r>
    <m/>
    <s v="A"/>
    <s v="A4"/>
    <s v="HOTEL APP."/>
    <n v="0"/>
    <n v="2"/>
    <x v="61"/>
    <s v="1 BEDROOM (STUDIO)"/>
    <s v="C1"/>
    <n v="63.16"/>
    <n v="80.648298163943892"/>
    <x v="12"/>
    <n v="37.717199999999998"/>
    <m/>
    <s v="NW"/>
    <s v="MIDDLE"/>
    <s v="FENCE"/>
    <s v="GROUND"/>
    <x v="2"/>
    <n v="0.13"/>
    <n v="2.5000000000000001E-2"/>
    <n v="0.1"/>
    <n v="0.05"/>
    <n v="0.05"/>
    <n v="0.35499999999999998"/>
    <x v="3"/>
    <x v="11"/>
    <n v="76850"/>
    <n v="82950"/>
    <n v="6100"/>
    <n v="2165.5"/>
    <n v="79015.5"/>
    <n v="26075.115000000002"/>
    <n v="83515.5"/>
    <n v="86515.5"/>
    <n v="6163209"/>
    <n v="6514209"/>
    <n v="6748209"/>
    <n v="983480.32747799996"/>
    <n v="607468.59283563006"/>
    <n v="1"/>
    <n v="244000"/>
    <n v="244000"/>
    <n v="7390689.327478"/>
    <n v="7741689.327478"/>
    <n v="7975689.327478"/>
    <d v="2025-07-01T00:00:00"/>
    <d v="2025-07-01T00:00:00"/>
  </r>
  <r>
    <m/>
    <s v="A"/>
    <s v="A4"/>
    <s v="HOTEL APP."/>
    <n v="0"/>
    <n v="3"/>
    <x v="62"/>
    <s v="1 BEDROOM (STUDIO)"/>
    <s v="C1"/>
    <n v="51.02"/>
    <n v="65.146867832875529"/>
    <x v="13"/>
    <n v="34.889099999999999"/>
    <m/>
    <s v="NW"/>
    <s v="MIDDLE"/>
    <s v="FENCE"/>
    <s v="GROUND"/>
    <x v="2"/>
    <n v="0.13"/>
    <n v="2.5000000000000001E-2"/>
    <n v="0.1"/>
    <n v="0.05"/>
    <n v="0.05"/>
    <n v="0.35499999999999998"/>
    <x v="3"/>
    <x v="11"/>
    <n v="76850"/>
    <n v="82950"/>
    <n v="6100"/>
    <n v="2165.5"/>
    <n v="79015.5"/>
    <n v="26075.115000000002"/>
    <n v="83515.5"/>
    <n v="86515.5"/>
    <n v="4977976.5"/>
    <n v="5261476.5"/>
    <n v="5450476.5"/>
    <n v="909737.29474650009"/>
    <n v="500455.67255345255"/>
    <n v="1"/>
    <n v="244000"/>
    <n v="244000"/>
    <n v="6131713.7947464995"/>
    <n v="6415213.7947465004"/>
    <n v="6604213.7947464995"/>
    <d v="2025-07-01T00:00:00"/>
    <d v="2025-07-01T00:00:00"/>
  </r>
  <r>
    <m/>
    <s v="A"/>
    <s v="A4"/>
    <s v="HOTEL APP."/>
    <n v="0"/>
    <n v="4"/>
    <x v="63"/>
    <s v="1 BEDROOM (STUDIO)"/>
    <s v="C1"/>
    <n v="68.59"/>
    <n v="87.581804481711714"/>
    <x v="14"/>
    <n v="35.785600000000002"/>
    <m/>
    <s v="NW"/>
    <s v="CORNER "/>
    <s v="FENCE"/>
    <s v="GROUND"/>
    <x v="2"/>
    <n v="0.13"/>
    <n v="0.05"/>
    <n v="0.1"/>
    <n v="0.05"/>
    <n v="0.05"/>
    <n v="0.38"/>
    <x v="3"/>
    <x v="11"/>
    <n v="76850"/>
    <n v="82950"/>
    <n v="6100"/>
    <n v="2318"/>
    <n v="79168"/>
    <n v="26125.440000000002"/>
    <n v="83668"/>
    <n v="86668"/>
    <n v="6650112"/>
    <n v="7028112"/>
    <n v="7280112"/>
    <n v="934914.54566400009"/>
    <n v="644727.25638144009"/>
    <n v="1"/>
    <n v="244000"/>
    <n v="244000"/>
    <n v="7829026.5456640003"/>
    <n v="8207026.5456640003"/>
    <n v="8459026.5456639994"/>
    <d v="2025-07-01T00:00:00"/>
    <d v="2025-07-01T00:00:00"/>
  </r>
  <r>
    <m/>
    <s v="A"/>
    <s v="A4"/>
    <s v="HOTEL APP."/>
    <n v="0"/>
    <n v="5"/>
    <x v="64"/>
    <s v="1 BEDROOM (STUDIO)"/>
    <s v="C1"/>
    <n v="69.17"/>
    <n v="88.322399999999988"/>
    <x v="15"/>
    <n v="24.142299999999999"/>
    <m/>
    <s v="SE"/>
    <s v="CORNER "/>
    <s v="MAIN GATE &amp; LAKE ENTRANCE"/>
    <s v="GROUND"/>
    <x v="2"/>
    <n v="0.08"/>
    <n v="0.05"/>
    <n v="0.25"/>
    <n v="0.05"/>
    <n v="0.05"/>
    <n v="0.48"/>
    <x v="3"/>
    <x v="11"/>
    <n v="76850"/>
    <n v="82950"/>
    <n v="6100"/>
    <n v="2928"/>
    <n v="79778"/>
    <n v="26326.74"/>
    <n v="84278"/>
    <n v="87278"/>
    <n v="6781130"/>
    <n v="7163630"/>
    <n v="7418630"/>
    <n v="635588.05510200001"/>
    <n v="630421.03468367003"/>
    <n v="1"/>
    <n v="244000"/>
    <n v="244000"/>
    <n v="7660718.055102"/>
    <n v="8043218.055102"/>
    <n v="8298218.055102"/>
    <d v="2025-07-01T00:00:00"/>
    <d v="2025-07-01T00:00:00"/>
  </r>
  <r>
    <m/>
    <s v="A"/>
    <s v="A4"/>
    <s v="HOTEL APP."/>
    <n v="1"/>
    <n v="1"/>
    <x v="65"/>
    <s v="1 BEDROOM (STUDIO)"/>
    <s v="C1"/>
    <n v="63.79"/>
    <n v="81.452738123463917"/>
    <x v="12"/>
    <m/>
    <m/>
    <s v="SE"/>
    <s v="MIDDLE"/>
    <s v="ROAD 18M (BUILDINGS)"/>
    <s v="FIRST"/>
    <x v="2"/>
    <n v="0.08"/>
    <n v="2.5000000000000001E-2"/>
    <n v="0.15"/>
    <n v="7.0000000000000007E-2"/>
    <n v="0.05"/>
    <n v="0.375"/>
    <x v="3"/>
    <x v="11"/>
    <n v="76850"/>
    <n v="82950"/>
    <n v="6100"/>
    <n v="2287.5"/>
    <n v="79137.5"/>
    <n v="26115.375"/>
    <n v="83637.5"/>
    <n v="86637.5"/>
    <n v="6172725"/>
    <n v="6523725"/>
    <n v="6757725"/>
    <n v="0"/>
    <n v="524681.625"/>
    <n v="1"/>
    <n v="244000"/>
    <n v="244000"/>
    <n v="6416725"/>
    <n v="6767725"/>
    <n v="7001725"/>
    <d v="2025-07-01T00:00:00"/>
    <d v="2025-07-01T00:00:00"/>
  </r>
  <r>
    <m/>
    <s v="A"/>
    <s v="A4"/>
    <s v="HOTEL APP."/>
    <n v="1"/>
    <n v="2"/>
    <x v="66"/>
    <s v="1 BEDROOM (STUDIO)"/>
    <s v="C1"/>
    <n v="62.9"/>
    <n v="80.316307069538809"/>
    <x v="16"/>
    <m/>
    <m/>
    <s v="NW"/>
    <s v="MIDDLE"/>
    <s v="LAYAN VILLAS"/>
    <s v="FIRST"/>
    <x v="2"/>
    <n v="0.13"/>
    <n v="2.5000000000000001E-2"/>
    <n v="0.2"/>
    <n v="7.0000000000000007E-2"/>
    <n v="0.05"/>
    <n v="0.47499999999999998"/>
    <x v="3"/>
    <x v="11"/>
    <n v="76850"/>
    <n v="82950"/>
    <n v="6100"/>
    <n v="2897.5"/>
    <n v="79747.5"/>
    <n v="26316.675000000003"/>
    <n v="84247.5"/>
    <n v="87247.5"/>
    <n v="6140557.5"/>
    <n v="6487057.5"/>
    <n v="6718057.5"/>
    <n v="0"/>
    <n v="521947.38750000001"/>
    <n v="1"/>
    <n v="244000"/>
    <n v="244000"/>
    <n v="6384557.5"/>
    <n v="6731057.5"/>
    <n v="6962057.5"/>
    <d v="2025-07-01T00:00:00"/>
    <d v="2025-07-01T00:00:00"/>
  </r>
  <r>
    <m/>
    <s v="A"/>
    <s v="A4"/>
    <s v="HOTEL APP."/>
    <n v="1"/>
    <n v="3"/>
    <x v="67"/>
    <s v="1 BEDROOM (STUDIO)"/>
    <s v="C1"/>
    <n v="51.02"/>
    <n v="65.146867832875529"/>
    <x v="13"/>
    <m/>
    <m/>
    <s v="NW"/>
    <s v="MIDDLE"/>
    <s v="LAYAN VILLAS"/>
    <s v="FIRST"/>
    <x v="2"/>
    <n v="0.13"/>
    <n v="2.5000000000000001E-2"/>
    <n v="0.2"/>
    <n v="7.0000000000000007E-2"/>
    <n v="0.05"/>
    <n v="0.47499999999999998"/>
    <x v="3"/>
    <x v="11"/>
    <n v="76850"/>
    <n v="82950"/>
    <n v="6100"/>
    <n v="2897.5"/>
    <n v="79747.5"/>
    <n v="26316.675000000003"/>
    <n v="84247.5"/>
    <n v="87247.5"/>
    <n v="5024092.5"/>
    <n v="5307592.5"/>
    <n v="5496592.5"/>
    <n v="0"/>
    <n v="427047.86250000005"/>
    <n v="1"/>
    <n v="244000"/>
    <n v="244000"/>
    <n v="5268092.5"/>
    <n v="5551592.5"/>
    <n v="5740592.5"/>
    <d v="2025-07-01T00:00:00"/>
    <d v="2025-07-01T00:00:00"/>
  </r>
  <r>
    <m/>
    <s v="A"/>
    <s v="A4"/>
    <s v="HOTEL APP."/>
    <n v="1"/>
    <n v="4"/>
    <x v="68"/>
    <s v="1 BEDROOM (STUDIO)"/>
    <s v="C1"/>
    <n v="68.59"/>
    <n v="87.581804481711714"/>
    <x v="14"/>
    <m/>
    <m/>
    <s v="NW"/>
    <s v="CORNER "/>
    <s v="LAYAN VILLAS"/>
    <s v="FIRST"/>
    <x v="2"/>
    <n v="0.13"/>
    <n v="0.05"/>
    <n v="0.2"/>
    <n v="7.0000000000000007E-2"/>
    <n v="0.05"/>
    <n v="0.5"/>
    <x v="3"/>
    <x v="11"/>
    <n v="76850"/>
    <n v="82950"/>
    <n v="6100"/>
    <n v="3050"/>
    <n v="79900"/>
    <n v="26367"/>
    <n v="84400"/>
    <n v="87400"/>
    <n v="6711600"/>
    <n v="7089600"/>
    <n v="7341600"/>
    <n v="0"/>
    <n v="570486"/>
    <n v="1"/>
    <n v="244000"/>
    <n v="244000"/>
    <n v="6955600"/>
    <n v="7333600"/>
    <n v="7585600"/>
    <d v="2025-07-01T00:00:00"/>
    <d v="2025-07-01T00:00:00"/>
  </r>
  <r>
    <m/>
    <s v="A"/>
    <s v="A4"/>
    <s v="HOTEL APP."/>
    <n v="1"/>
    <n v="5"/>
    <x v="69"/>
    <s v="1 BEDROOM (STUDIO)"/>
    <s v="C1"/>
    <n v="69.17"/>
    <n v="88.322399999999988"/>
    <x v="15"/>
    <m/>
    <m/>
    <s v="SE"/>
    <s v="CORNER "/>
    <s v="MAIN GATE &amp; LAKE ENTRANCE"/>
    <s v="FIRST"/>
    <x v="2"/>
    <n v="0.08"/>
    <n v="0.05"/>
    <n v="0.25"/>
    <n v="7.0000000000000007E-2"/>
    <n v="0.05"/>
    <n v="0.5"/>
    <x v="3"/>
    <x v="11"/>
    <n v="76850"/>
    <n v="82950"/>
    <n v="6100"/>
    <n v="3050"/>
    <n v="79900"/>
    <n v="26367"/>
    <n v="84400"/>
    <n v="87400"/>
    <n v="6791500"/>
    <n v="7174000"/>
    <n v="7429000"/>
    <n v="0"/>
    <n v="577277.5"/>
    <n v="1"/>
    <n v="244000"/>
    <n v="244000"/>
    <n v="7035500"/>
    <n v="7418000"/>
    <n v="7673000"/>
    <d v="2025-07-01T00:00:00"/>
    <d v="2025-07-01T00:00:00"/>
  </r>
  <r>
    <m/>
    <s v="A"/>
    <s v="A4"/>
    <s v="HOTEL APP."/>
    <n v="2"/>
    <n v="1"/>
    <x v="70"/>
    <s v="1 BEDROOM (STUDIO)"/>
    <s v="C1"/>
    <n v="63.16"/>
    <n v="80.648298163943892"/>
    <x v="12"/>
    <m/>
    <m/>
    <s v="SE"/>
    <s v="MIDDLE"/>
    <s v="ROAD 18M (BUILDINGS)"/>
    <s v="SECOND"/>
    <x v="2"/>
    <n v="0.08"/>
    <n v="2.5000000000000001E-2"/>
    <n v="0.15"/>
    <n v="0.11"/>
    <n v="0.05"/>
    <n v="0.41499999999999998"/>
    <x v="3"/>
    <x v="11"/>
    <n v="76850"/>
    <n v="82950"/>
    <n v="6100"/>
    <n v="2531.5"/>
    <n v="79381.5"/>
    <n v="26195.895"/>
    <n v="83881.5"/>
    <n v="86881.5"/>
    <n v="6191757"/>
    <n v="6542757"/>
    <n v="6776757"/>
    <n v="0"/>
    <n v="526299.34500000009"/>
    <n v="1"/>
    <n v="244000"/>
    <n v="244000"/>
    <n v="6435757"/>
    <n v="6786757"/>
    <n v="7020757"/>
    <d v="2025-07-01T00:00:00"/>
    <d v="2025-07-01T00:00:00"/>
  </r>
  <r>
    <m/>
    <s v="A"/>
    <s v="A4"/>
    <s v="HOTEL APP."/>
    <n v="2"/>
    <n v="2"/>
    <x v="71"/>
    <s v="1 BEDROOM (STUDIO)"/>
    <s v="C1"/>
    <n v="63.11"/>
    <n v="80.584453722712155"/>
    <x v="12"/>
    <m/>
    <m/>
    <s v="NW"/>
    <s v="MIDDLE"/>
    <s v="LAYAN VILLAS"/>
    <s v="SECOND"/>
    <x v="2"/>
    <n v="0.13"/>
    <n v="2.5000000000000001E-2"/>
    <n v="0.2"/>
    <n v="0.11"/>
    <n v="0.05"/>
    <n v="0.51500000000000001"/>
    <x v="3"/>
    <x v="11"/>
    <n v="76850"/>
    <n v="82950"/>
    <n v="6100"/>
    <n v="3141.5"/>
    <n v="79991.5"/>
    <n v="26397.195"/>
    <n v="84491.5"/>
    <n v="87491.5"/>
    <n v="6239337"/>
    <n v="6590337"/>
    <n v="6824337"/>
    <n v="0"/>
    <n v="530343.64500000002"/>
    <n v="1"/>
    <n v="244000"/>
    <n v="244000"/>
    <n v="6483337"/>
    <n v="6834337"/>
    <n v="7068337"/>
    <d v="2025-07-01T00:00:00"/>
    <d v="2025-07-01T00:00:00"/>
  </r>
  <r>
    <m/>
    <s v="A"/>
    <s v="A4"/>
    <s v="HOTEL APP."/>
    <n v="2"/>
    <n v="3"/>
    <x v="72"/>
    <s v="1 BEDROOM (STUDIO)"/>
    <s v="C1"/>
    <n v="51.48"/>
    <n v="65.734236692207588"/>
    <x v="13"/>
    <m/>
    <m/>
    <s v="NW"/>
    <s v="MIDDLE"/>
    <s v="LAYAN VILLAS"/>
    <s v="SECOND"/>
    <x v="2"/>
    <n v="0.13"/>
    <n v="2.5000000000000001E-2"/>
    <n v="0.2"/>
    <n v="0.11"/>
    <n v="0.05"/>
    <n v="0.51500000000000001"/>
    <x v="3"/>
    <x v="11"/>
    <n v="76850"/>
    <n v="82950"/>
    <n v="6100"/>
    <n v="3141.5"/>
    <n v="79991.5"/>
    <n v="26397.195"/>
    <n v="84491.5"/>
    <n v="87491.5"/>
    <n v="5039464.5"/>
    <n v="5322964.5"/>
    <n v="5511964.5"/>
    <n v="0"/>
    <n v="428354.48250000004"/>
    <n v="1"/>
    <n v="244000"/>
    <n v="244000"/>
    <n v="5283464.5"/>
    <n v="5566964.5"/>
    <n v="5755964.5"/>
    <d v="2025-07-01T00:00:00"/>
    <d v="2025-07-01T00:00:00"/>
  </r>
  <r>
    <m/>
    <s v="A"/>
    <s v="A4"/>
    <s v="HOTEL APP."/>
    <n v="2"/>
    <n v="4"/>
    <x v="73"/>
    <s v="1 BEDROOM (STUDIO)"/>
    <s v="C1"/>
    <n v="68.89"/>
    <n v="87.964871129102207"/>
    <x v="15"/>
    <m/>
    <m/>
    <s v="NW"/>
    <s v="CORNER "/>
    <s v="LAYAN VILLAS"/>
    <s v="SECOND"/>
    <x v="2"/>
    <n v="0.13"/>
    <n v="0.05"/>
    <n v="0.2"/>
    <n v="0.11"/>
    <n v="0.05"/>
    <n v="0.54"/>
    <x v="3"/>
    <x v="11"/>
    <n v="76850"/>
    <n v="82950"/>
    <n v="6100"/>
    <n v="3294"/>
    <n v="80144"/>
    <n v="26447.52"/>
    <n v="84644"/>
    <n v="87644"/>
    <n v="6812240"/>
    <n v="7194740"/>
    <n v="7449740"/>
    <n v="0"/>
    <n v="579040.4"/>
    <n v="1"/>
    <n v="244000"/>
    <n v="244000"/>
    <n v="7056240"/>
    <n v="7438740"/>
    <n v="7693740"/>
    <d v="2025-07-01T00:00:00"/>
    <d v="2025-07-01T00:00:00"/>
  </r>
  <r>
    <m/>
    <s v="A"/>
    <s v="A4"/>
    <s v="HOTEL APP."/>
    <n v="2"/>
    <n v="5"/>
    <x v="74"/>
    <s v="1 BEDROOM (STUDIO)"/>
    <s v="C1"/>
    <n v="68.91"/>
    <n v="87.990408905594904"/>
    <x v="15"/>
    <m/>
    <m/>
    <s v="SE"/>
    <s v="CORNER "/>
    <s v="MAIN GATE &amp; LAKE ENTRANCE"/>
    <s v="SECOND"/>
    <x v="2"/>
    <n v="0.08"/>
    <n v="0.05"/>
    <n v="0.25"/>
    <n v="0.11"/>
    <n v="0.05"/>
    <n v="0.54"/>
    <x v="3"/>
    <x v="11"/>
    <n v="76850"/>
    <n v="82950"/>
    <n v="6100"/>
    <n v="3294"/>
    <n v="80144"/>
    <n v="26447.52"/>
    <n v="84644"/>
    <n v="87644"/>
    <n v="6812240"/>
    <n v="7194740"/>
    <n v="7449740"/>
    <n v="0"/>
    <n v="579040.4"/>
    <n v="1"/>
    <n v="244000"/>
    <n v="244000"/>
    <n v="7056240"/>
    <n v="7438740"/>
    <n v="7693740"/>
    <d v="2025-07-01T00:00:00"/>
    <d v="2025-07-01T00:00:00"/>
  </r>
  <r>
    <m/>
    <s v="A"/>
    <s v="A4"/>
    <s v="HOTEL APP."/>
    <n v="2"/>
    <n v="6"/>
    <x v="75"/>
    <s v="1 BEDROOM (STUDIO)"/>
    <s v="C1"/>
    <n v="51.5"/>
    <n v="65.7597744687003"/>
    <x v="13"/>
    <m/>
    <m/>
    <s v="SE"/>
    <s v="MIDDLE"/>
    <s v="MAIN GATE &amp; LAKE ENTRANCE"/>
    <s v="SECOND"/>
    <x v="2"/>
    <n v="0.08"/>
    <n v="2.5000000000000001E-2"/>
    <n v="0.25"/>
    <n v="0.11"/>
    <n v="0.05"/>
    <n v="0.51500000000000001"/>
    <x v="3"/>
    <x v="11"/>
    <n v="76850"/>
    <n v="82950"/>
    <n v="6100"/>
    <n v="3141.5"/>
    <n v="79991.5"/>
    <n v="26397.195"/>
    <n v="84491.5"/>
    <n v="87491.5"/>
    <n v="5039464.5"/>
    <n v="5322964.5"/>
    <n v="5511964.5"/>
    <n v="0"/>
    <n v="428354.48250000004"/>
    <n v="1"/>
    <n v="244000"/>
    <n v="244000"/>
    <n v="5283464.5"/>
    <n v="5566964.5"/>
    <n v="5755964.5"/>
    <d v="2025-07-01T00:00:00"/>
    <d v="2025-07-01T00:00:00"/>
  </r>
  <r>
    <m/>
    <s v="A"/>
    <s v="A4"/>
    <s v="HOTEL APP."/>
    <n v="3"/>
    <n v="1"/>
    <x v="76"/>
    <s v="1 BEDROOM (STUDIO)"/>
    <s v="C1"/>
    <n v="62.86"/>
    <n v="80.265231516553413"/>
    <x v="16"/>
    <m/>
    <m/>
    <s v="SE"/>
    <s v="MIDDLE"/>
    <s v="ROAD 18M (BUILDINGS)"/>
    <s v="THIRD"/>
    <x v="2"/>
    <n v="0.08"/>
    <n v="2.5000000000000001E-2"/>
    <n v="0.15"/>
    <n v="0.15"/>
    <n v="0.05"/>
    <n v="0.45500000000000002"/>
    <x v="3"/>
    <x v="11"/>
    <n v="76850"/>
    <n v="82950"/>
    <n v="6100"/>
    <n v="2775.5"/>
    <n v="79625.5"/>
    <n v="26276.415000000001"/>
    <n v="84125.5"/>
    <n v="87125.5"/>
    <n v="6131163.5"/>
    <n v="6477663.5"/>
    <n v="6708663.5"/>
    <n v="0"/>
    <n v="521148.89750000002"/>
    <n v="1"/>
    <n v="244000"/>
    <n v="244000"/>
    <n v="6375163.5"/>
    <n v="6721663.5"/>
    <n v="6952663.5"/>
    <d v="2025-07-01T00:00:00"/>
    <d v="2025-07-01T00:00:00"/>
  </r>
  <r>
    <m/>
    <s v="A"/>
    <s v="A4"/>
    <s v="HOTEL APP."/>
    <n v="3"/>
    <n v="2"/>
    <x v="77"/>
    <s v="1 BEDROOM (STUDIO)"/>
    <s v="C1"/>
    <n v="62.84"/>
    <n v="80.239693740060716"/>
    <x v="16"/>
    <m/>
    <m/>
    <s v="NW"/>
    <s v="MIDDLE"/>
    <s v="LAYAN VILLAS"/>
    <s v="THIRD"/>
    <x v="2"/>
    <n v="0.13"/>
    <n v="2.5000000000000001E-2"/>
    <n v="0.2"/>
    <n v="0.15"/>
    <n v="0.05"/>
    <n v="0.55500000000000005"/>
    <x v="3"/>
    <x v="11"/>
    <n v="76850"/>
    <n v="82950"/>
    <n v="6100"/>
    <n v="3385.5000000000005"/>
    <n v="80235.5"/>
    <n v="26477.715"/>
    <n v="84735.5"/>
    <n v="87735.5"/>
    <n v="6178133.5"/>
    <n v="6524633.5"/>
    <n v="6755633.5"/>
    <n v="0"/>
    <n v="525141.34750000003"/>
    <n v="1"/>
    <n v="244000"/>
    <n v="244000"/>
    <n v="6422133.5"/>
    <n v="6768633.5"/>
    <n v="6999633.5"/>
    <d v="2025-07-01T00:00:00"/>
    <d v="2025-07-01T00:00:00"/>
  </r>
  <r>
    <m/>
    <s v="A"/>
    <s v="A4"/>
    <s v="HOTEL APP."/>
    <n v="3"/>
    <n v="3"/>
    <x v="78"/>
    <s v="1 BEDROOM (STUDIO)"/>
    <s v="C1"/>
    <n v="50.89"/>
    <n v="64.980872285672973"/>
    <x v="13"/>
    <m/>
    <m/>
    <s v="NW"/>
    <s v="MIDDLE"/>
    <s v="LAYAN VILLAS"/>
    <s v="THIRD"/>
    <x v="2"/>
    <n v="0.13"/>
    <n v="2.5000000000000001E-2"/>
    <n v="0.2"/>
    <n v="0.15"/>
    <n v="0.05"/>
    <n v="0.55500000000000005"/>
    <x v="3"/>
    <x v="11"/>
    <n v="76850"/>
    <n v="82950"/>
    <n v="6100"/>
    <n v="3385.5000000000005"/>
    <n v="80235.5"/>
    <n v="26477.715"/>
    <n v="84735.5"/>
    <n v="87735.5"/>
    <n v="5054836.5"/>
    <n v="5338336.5"/>
    <n v="5527336.5"/>
    <n v="0"/>
    <n v="429661.10250000004"/>
    <n v="1"/>
    <n v="244000"/>
    <n v="244000"/>
    <n v="5298836.5"/>
    <n v="5582336.5"/>
    <n v="5771336.5"/>
    <d v="2025-07-01T00:00:00"/>
    <d v="2025-07-01T00:00:00"/>
  </r>
  <r>
    <m/>
    <s v="A"/>
    <s v="A4"/>
    <s v="HOTEL APP."/>
    <n v="3"/>
    <n v="4"/>
    <x v="79"/>
    <s v="1 BEDROOM (STUDIO)"/>
    <s v="C1"/>
    <n v="68.599999999999994"/>
    <n v="87.594573369958056"/>
    <x v="14"/>
    <m/>
    <m/>
    <s v="NW"/>
    <s v="CORNER "/>
    <s v="LAYAN VILLAS"/>
    <s v="THIRD"/>
    <x v="2"/>
    <n v="0.13"/>
    <n v="0.05"/>
    <n v="0.2"/>
    <n v="0.15"/>
    <n v="0.05"/>
    <n v="0.58000000000000007"/>
    <x v="3"/>
    <x v="11"/>
    <n v="76850"/>
    <n v="82950"/>
    <n v="6100"/>
    <n v="3538.0000000000005"/>
    <n v="80388"/>
    <n v="26528.04"/>
    <n v="84888"/>
    <n v="87888"/>
    <n v="6752592"/>
    <n v="7130592"/>
    <n v="7382592"/>
    <n v="0"/>
    <n v="573970.32000000007"/>
    <n v="1"/>
    <n v="244000"/>
    <n v="244000"/>
    <n v="6996592"/>
    <n v="7374592"/>
    <n v="7626592"/>
    <d v="2025-07-01T00:00:00"/>
    <d v="2025-07-01T00:00:00"/>
  </r>
  <r>
    <m/>
    <s v="A"/>
    <s v="A4"/>
    <s v="HOTEL APP."/>
    <n v="3"/>
    <n v="5"/>
    <x v="80"/>
    <s v="1 BEDROOM (STUDIO)"/>
    <s v="C1"/>
    <n v="68.62"/>
    <n v="87.620111146450768"/>
    <x v="14"/>
    <m/>
    <m/>
    <s v="SE"/>
    <s v="CORNER "/>
    <s v="MAIN GATE &amp; LAKE ENTRANCE"/>
    <s v="THIRD"/>
    <x v="2"/>
    <n v="0.08"/>
    <n v="0.05"/>
    <n v="0.25"/>
    <n v="0.15"/>
    <n v="0.05"/>
    <n v="0.58000000000000007"/>
    <x v="3"/>
    <x v="11"/>
    <n v="76850"/>
    <n v="82950"/>
    <n v="6100"/>
    <n v="3538.0000000000005"/>
    <n v="80388"/>
    <n v="26528.04"/>
    <n v="84888"/>
    <n v="87888"/>
    <n v="6752592"/>
    <n v="7130592"/>
    <n v="7382592"/>
    <n v="0"/>
    <n v="573970.32000000007"/>
    <n v="1"/>
    <n v="244000"/>
    <n v="244000"/>
    <n v="6996592"/>
    <n v="7374592"/>
    <n v="7626592"/>
    <d v="2025-07-01T00:00:00"/>
    <d v="2025-07-01T00:00:00"/>
  </r>
  <r>
    <m/>
    <s v="A"/>
    <s v="A4"/>
    <s v="HOTEL APP."/>
    <n v="3"/>
    <n v="6"/>
    <x v="81"/>
    <s v="1 BEDROOM (STUDIO)"/>
    <s v="C1"/>
    <n v="50.89"/>
    <n v="64.980872285672973"/>
    <x v="13"/>
    <m/>
    <m/>
    <s v="SE"/>
    <s v="MIDDLE"/>
    <s v="MAIN GATE &amp; LAKE ENTRANCE"/>
    <s v="THIRD"/>
    <x v="2"/>
    <n v="0.08"/>
    <n v="2.5000000000000001E-2"/>
    <n v="0.25"/>
    <n v="0.15"/>
    <n v="0.05"/>
    <n v="0.55500000000000005"/>
    <x v="3"/>
    <x v="11"/>
    <n v="76850"/>
    <n v="82950"/>
    <n v="6100"/>
    <n v="3385.5000000000005"/>
    <n v="80235.5"/>
    <n v="26477.715"/>
    <n v="84735.5"/>
    <n v="87735.5"/>
    <n v="5054836.5"/>
    <n v="5338336.5"/>
    <n v="5527336.5"/>
    <n v="0"/>
    <n v="429661.10250000004"/>
    <n v="1"/>
    <n v="244000"/>
    <n v="244000"/>
    <n v="5298836.5"/>
    <n v="5582336.5"/>
    <n v="5771336.5"/>
    <d v="2025-07-01T00:00:00"/>
    <d v="2025-07-01T00:00:00"/>
  </r>
  <r>
    <m/>
    <s v="A"/>
    <s v="A4"/>
    <s v="HOTEL APP."/>
    <n v="4"/>
    <n v="1"/>
    <x v="82"/>
    <s v="1 BEDROOM (STUDIO)"/>
    <s v="C1"/>
    <n v="62.97"/>
    <n v="80.405689287263257"/>
    <x v="16"/>
    <m/>
    <m/>
    <s v="SE"/>
    <s v="MIDDLE"/>
    <s v="ROAD 18M (BUILDINGS)"/>
    <s v="FORTH"/>
    <x v="2"/>
    <n v="0.08"/>
    <n v="2.5000000000000001E-2"/>
    <n v="0.15"/>
    <n v="0.06"/>
    <n v="0.05"/>
    <n v="0.36499999999999999"/>
    <x v="3"/>
    <x v="11"/>
    <n v="76850"/>
    <n v="82950"/>
    <n v="6100"/>
    <n v="2226.5"/>
    <n v="79076.5"/>
    <n v="26095.245000000003"/>
    <n v="83576.5"/>
    <n v="86576.5"/>
    <n v="6088890.5"/>
    <n v="6435390.5"/>
    <n v="6666390.5"/>
    <n v="0"/>
    <n v="517555.69250000006"/>
    <n v="1"/>
    <n v="244000"/>
    <n v="244000"/>
    <n v="6332890.5"/>
    <n v="6679390.5"/>
    <n v="6910390.5"/>
    <d v="2025-07-01T00:00:00"/>
    <d v="2025-07-01T00:00:00"/>
  </r>
  <r>
    <m/>
    <s v="A"/>
    <s v="A4"/>
    <s v="HOTEL APP."/>
    <n v="4"/>
    <n v="2"/>
    <x v="83"/>
    <s v="1 BEDROOM (STUDIO)"/>
    <s v="C1"/>
    <n v="62.97"/>
    <n v="80.405689287263257"/>
    <x v="16"/>
    <m/>
    <m/>
    <s v="NW"/>
    <s v="MIDDLE"/>
    <s v="LAYAN VILLAS"/>
    <s v="FORTH"/>
    <x v="2"/>
    <n v="0.13"/>
    <n v="2.5000000000000001E-2"/>
    <n v="0.2"/>
    <n v="0.06"/>
    <n v="0.05"/>
    <n v="0.46499999999999997"/>
    <x v="3"/>
    <x v="11"/>
    <n v="76850"/>
    <n v="82950"/>
    <n v="6100"/>
    <n v="2836.5"/>
    <n v="79686.5"/>
    <n v="26296.545000000002"/>
    <n v="84186.5"/>
    <n v="87186.5"/>
    <n v="6135860.5"/>
    <n v="6482360.5"/>
    <n v="6713360.5"/>
    <n v="0"/>
    <n v="521548.14250000002"/>
    <n v="1"/>
    <n v="244000"/>
    <n v="244000"/>
    <n v="6379860.5"/>
    <n v="6726360.5"/>
    <n v="6957360.5"/>
    <d v="2025-07-01T00:00:00"/>
    <d v="2025-07-01T00:00:00"/>
  </r>
  <r>
    <m/>
    <s v="A"/>
    <s v="A4"/>
    <s v="HOTEL APP."/>
    <n v="4"/>
    <n v="3"/>
    <x v="84"/>
    <s v="1 BEDROOM (STUDIO)"/>
    <s v="C1"/>
    <n v="51.5"/>
    <n v="65.7597744687003"/>
    <x v="13"/>
    <m/>
    <m/>
    <s v="NW"/>
    <s v="MIDDLE"/>
    <s v="LAYAN VILLAS"/>
    <s v="FORTH"/>
    <x v="2"/>
    <n v="0.13"/>
    <n v="2.5000000000000001E-2"/>
    <n v="0.2"/>
    <n v="0.06"/>
    <n v="0.05"/>
    <n v="0.46499999999999997"/>
    <x v="3"/>
    <x v="11"/>
    <n v="76850"/>
    <n v="82950"/>
    <n v="6100"/>
    <n v="2836.5"/>
    <n v="79686.5"/>
    <n v="26296.545000000002"/>
    <n v="84186.5"/>
    <n v="87186.5"/>
    <n v="5020249.5"/>
    <n v="5303749.5"/>
    <n v="5492749.5"/>
    <n v="0"/>
    <n v="426721.20750000002"/>
    <n v="1"/>
    <n v="244000"/>
    <n v="244000"/>
    <n v="5264249.5"/>
    <n v="5547749.5"/>
    <n v="5736749.5"/>
    <d v="2025-07-01T00:00:00"/>
    <d v="2025-07-01T00:00:00"/>
  </r>
  <r>
    <m/>
    <s v="A"/>
    <s v="A4"/>
    <s v="HOTEL APP."/>
    <n v="4"/>
    <n v="4"/>
    <x v="85"/>
    <s v="1 BEDROOM (STUDIO)"/>
    <s v="C1"/>
    <n v="68.680000000000007"/>
    <n v="87.696724475928875"/>
    <x v="14"/>
    <m/>
    <m/>
    <s v="NW"/>
    <s v="CORNER "/>
    <s v="LAYAN VILLAS"/>
    <s v="FORTH"/>
    <x v="2"/>
    <n v="0.13"/>
    <n v="0.05"/>
    <n v="0.2"/>
    <n v="0.06"/>
    <n v="0.05"/>
    <n v="0.49"/>
    <x v="3"/>
    <x v="11"/>
    <n v="76850"/>
    <n v="82950"/>
    <n v="6100"/>
    <n v="2989"/>
    <n v="79839"/>
    <n v="26346.870000000003"/>
    <n v="84339"/>
    <n v="87339"/>
    <n v="6706476"/>
    <n v="7084476"/>
    <n v="7336476"/>
    <n v="0"/>
    <n v="570050.46000000008"/>
    <n v="1"/>
    <n v="244000"/>
    <n v="244000"/>
    <n v="6950476"/>
    <n v="7328476"/>
    <n v="7580476"/>
    <d v="2025-07-01T00:00:00"/>
    <d v="2025-07-01T00:00:00"/>
  </r>
  <r>
    <m/>
    <s v="A"/>
    <s v="A4"/>
    <s v="HOTEL APP."/>
    <n v="4"/>
    <n v="5"/>
    <x v="86"/>
    <s v="1 BEDROOM (STUDIO)"/>
    <s v="C1"/>
    <n v="68.680000000000007"/>
    <n v="87.696724475928875"/>
    <x v="14"/>
    <m/>
    <m/>
    <s v="SE"/>
    <s v="CORNER "/>
    <s v="MAIN GATE &amp; LAKE ENTRANCE"/>
    <s v="FORTH"/>
    <x v="2"/>
    <n v="0.08"/>
    <n v="0.05"/>
    <n v="0.25"/>
    <n v="0.06"/>
    <n v="0.05"/>
    <n v="0.49"/>
    <x v="3"/>
    <x v="11"/>
    <n v="76850"/>
    <n v="82950"/>
    <n v="6100"/>
    <n v="2989"/>
    <n v="79839"/>
    <n v="26346.870000000003"/>
    <n v="84339"/>
    <n v="87339"/>
    <n v="6706476"/>
    <n v="7084476"/>
    <n v="7336476"/>
    <n v="0"/>
    <n v="570050.46000000008"/>
    <n v="1"/>
    <n v="244000"/>
    <n v="244000"/>
    <n v="6950476"/>
    <n v="7328476"/>
    <n v="7580476"/>
    <d v="2025-07-01T00:00:00"/>
    <d v="2025-07-01T00:00:00"/>
  </r>
  <r>
    <m/>
    <s v="A"/>
    <s v="A4"/>
    <s v="HOTEL APP."/>
    <n v="4"/>
    <n v="6"/>
    <x v="87"/>
    <s v="1 BEDROOM (STUDIO)"/>
    <s v="C1"/>
    <n v="51.5"/>
    <n v="65.7597744687003"/>
    <x v="13"/>
    <m/>
    <m/>
    <s v="SE"/>
    <s v="MIDDLE"/>
    <s v="MAIN GATE &amp; LAKE ENTRANCE"/>
    <s v="FORTH"/>
    <x v="2"/>
    <n v="0.08"/>
    <n v="2.5000000000000001E-2"/>
    <n v="0.25"/>
    <n v="0.06"/>
    <n v="0.05"/>
    <n v="0.46499999999999997"/>
    <x v="3"/>
    <x v="11"/>
    <n v="76850"/>
    <n v="82950"/>
    <n v="6100"/>
    <n v="2836.5"/>
    <n v="79686.5"/>
    <n v="26296.545000000002"/>
    <n v="84186.5"/>
    <n v="87186.5"/>
    <n v="5020249.5"/>
    <n v="5303749.5"/>
    <n v="5492749.5"/>
    <n v="0"/>
    <n v="426721.20750000002"/>
    <n v="1"/>
    <n v="244000"/>
    <n v="244000"/>
    <n v="5264249.5"/>
    <n v="5547749.5"/>
    <n v="5736749.5"/>
    <d v="2025-07-01T00:00:00"/>
    <d v="2025-07-01T00:00:00"/>
  </r>
  <r>
    <s v="A'"/>
    <s v="A"/>
    <s v="A5"/>
    <s v="HOTEL APP."/>
    <n v="0"/>
    <n v="1"/>
    <x v="88"/>
    <s v="1 BEDROOM (STUDIO)"/>
    <s v="C1"/>
    <n v="69.17"/>
    <n v="88.322399999999988"/>
    <x v="15"/>
    <n v="24.4619"/>
    <m/>
    <s v="NE"/>
    <s v="CORNER "/>
    <s v="MAIN GATE &amp; LAKE ENTRANCE"/>
    <s v="GROUND"/>
    <x v="2"/>
    <n v="0.15"/>
    <n v="0.05"/>
    <n v="0.25"/>
    <n v="0.05"/>
    <n v="0.05"/>
    <n v="0.55000000000000004"/>
    <x v="3"/>
    <x v="11"/>
    <n v="76850"/>
    <n v="82950"/>
    <n v="6100"/>
    <n v="3355.0000000000005"/>
    <n v="80205"/>
    <n v="26467.65"/>
    <n v="84705"/>
    <n v="87705"/>
    <n v="6817425"/>
    <n v="7199925"/>
    <n v="7454925"/>
    <n v="647449.00753499998"/>
    <n v="634514.29064047511"/>
    <n v="1"/>
    <n v="244000"/>
    <n v="244000"/>
    <n v="7708874.0075350003"/>
    <n v="8091374.0075350003"/>
    <n v="8346374.0075350003"/>
    <d v="2025-07-01T00:00:00"/>
    <d v="2025-07-01T00:00:00"/>
  </r>
  <r>
    <m/>
    <s v="A"/>
    <s v="A5"/>
    <s v="HOTEL APP."/>
    <n v="0"/>
    <n v="2"/>
    <x v="89"/>
    <s v="1 BEDROOM (STUDIO)"/>
    <s v="C1"/>
    <n v="68.59"/>
    <n v="87.581804481711714"/>
    <x v="14"/>
    <n v="35.785600000000002"/>
    <m/>
    <s v="SW"/>
    <s v="CORNER "/>
    <s v="FENCE"/>
    <s v="GROUND"/>
    <x v="2"/>
    <n v="0.06"/>
    <n v="0.05"/>
    <n v="0.1"/>
    <n v="0.05"/>
    <n v="0.05"/>
    <n v="0.31"/>
    <x v="3"/>
    <x v="11"/>
    <n v="76850"/>
    <n v="82950"/>
    <n v="6100"/>
    <n v="1891"/>
    <n v="78741"/>
    <n v="25984.530000000002"/>
    <n v="83241"/>
    <n v="86241"/>
    <n v="6614244"/>
    <n v="6992244"/>
    <n v="7244244"/>
    <n v="929871.99676800019"/>
    <n v="641249.85972528008"/>
    <n v="1"/>
    <n v="244000"/>
    <n v="244000"/>
    <n v="7788115.9967679996"/>
    <n v="8166115.9967680005"/>
    <n v="8418115.9967679996"/>
    <d v="2025-07-01T00:00:00"/>
    <d v="2025-07-01T00:00:00"/>
  </r>
  <r>
    <m/>
    <s v="A"/>
    <s v="A5"/>
    <s v="HOTEL APP."/>
    <n v="0"/>
    <n v="3"/>
    <x v="90"/>
    <s v="1 BEDROOM (STUDIO)"/>
    <s v="C1"/>
    <n v="51.02"/>
    <n v="65.146867832875529"/>
    <x v="13"/>
    <n v="34.889099999999999"/>
    <m/>
    <s v="SW"/>
    <s v="MIDDLE"/>
    <s v="FENCE"/>
    <s v="GROUND"/>
    <x v="2"/>
    <n v="0.06"/>
    <n v="2.5000000000000001E-2"/>
    <n v="0.1"/>
    <n v="0.05"/>
    <n v="0.05"/>
    <n v="0.28499999999999998"/>
    <x v="3"/>
    <x v="11"/>
    <n v="76850"/>
    <n v="82950"/>
    <n v="6100"/>
    <n v="1738.4999999999998"/>
    <n v="78588.5"/>
    <n v="25934.205000000002"/>
    <n v="83088.5"/>
    <n v="86088.5"/>
    <n v="4951075.5"/>
    <n v="5234575.5"/>
    <n v="5423575.5"/>
    <n v="904821.07166550006"/>
    <n v="497751.20859156759"/>
    <n v="1"/>
    <n v="244000"/>
    <n v="244000"/>
    <n v="6099896.5716655003"/>
    <n v="6383396.5716655003"/>
    <n v="6572396.5716655003"/>
    <d v="2025-07-01T00:00:00"/>
    <d v="2025-07-01T00:00:00"/>
  </r>
  <r>
    <m/>
    <s v="A"/>
    <s v="A5"/>
    <s v="HOTEL APP."/>
    <n v="0"/>
    <n v="4"/>
    <x v="91"/>
    <s v="1 BEDROOM (STUDIO)"/>
    <s v="C1"/>
    <n v="63.16"/>
    <n v="80.648298163943892"/>
    <x v="12"/>
    <n v="37.717199999999998"/>
    <m/>
    <s v="SW"/>
    <s v="MIDDLE"/>
    <s v="FENCE"/>
    <s v="GROUND"/>
    <x v="2"/>
    <n v="0.06"/>
    <n v="2.5000000000000001E-2"/>
    <n v="0.1"/>
    <n v="0.05"/>
    <n v="0.05"/>
    <n v="0.28499999999999998"/>
    <x v="3"/>
    <x v="11"/>
    <n v="76850"/>
    <n v="82950"/>
    <n v="6100"/>
    <n v="1738.4999999999998"/>
    <n v="78588.5"/>
    <n v="25934.205000000002"/>
    <n v="83088.5"/>
    <n v="86088.5"/>
    <n v="6129903"/>
    <n v="6480903"/>
    <n v="6714903"/>
    <n v="978165.59682600002"/>
    <n v="604185.83073021006"/>
    <n v="1"/>
    <n v="244000"/>
    <n v="244000"/>
    <n v="7352068.5968260001"/>
    <n v="7703068.5968260001"/>
    <n v="7937068.5968260001"/>
    <d v="2025-07-01T00:00:00"/>
    <d v="2025-07-01T00:00:00"/>
  </r>
  <r>
    <m/>
    <s v="A"/>
    <s v="A5"/>
    <s v="HOTEL APP."/>
    <n v="0"/>
    <n v="5"/>
    <x v="92"/>
    <s v="1 BEDROOM (STUDIO)"/>
    <s v="C1"/>
    <n v="63.79"/>
    <n v="81.452738123463917"/>
    <x v="12"/>
    <n v="24.668800000000001"/>
    <m/>
    <s v="NE"/>
    <s v="MIDDLE"/>
    <s v="ROAD 18M (BUILDINGS)"/>
    <s v="GROUND"/>
    <x v="2"/>
    <n v="0.15"/>
    <n v="2.5000000000000001E-2"/>
    <n v="0.15"/>
    <n v="0.05"/>
    <n v="0.05"/>
    <n v="0.42499999999999993"/>
    <x v="3"/>
    <x v="11"/>
    <n v="76850"/>
    <n v="82950"/>
    <n v="6100"/>
    <n v="2592.4999999999995"/>
    <n v="79442.5"/>
    <n v="26216.025000000001"/>
    <n v="83942.5"/>
    <n v="86942.5"/>
    <n v="6196515"/>
    <n v="6547515"/>
    <n v="6781515"/>
    <n v="646717.8775200001"/>
    <n v="581674.79458920006"/>
    <n v="1"/>
    <n v="244000"/>
    <n v="244000"/>
    <n v="7087232.8775200006"/>
    <n v="7438232.8775200006"/>
    <n v="7672232.8775200006"/>
    <d v="2025-07-01T00:00:00"/>
    <d v="2025-07-01T00:00:00"/>
  </r>
  <r>
    <m/>
    <s v="A"/>
    <s v="A5"/>
    <s v="HOTEL APP."/>
    <n v="1"/>
    <n v="1"/>
    <x v="93"/>
    <s v="1 BEDROOM (STUDIO)"/>
    <s v="C1"/>
    <n v="69.17"/>
    <n v="88.322399999999988"/>
    <x v="15"/>
    <m/>
    <m/>
    <s v="NE"/>
    <s v="CORNER "/>
    <s v="MAIN GATE &amp; LAKE ENTRANCE"/>
    <s v="FIRST"/>
    <x v="2"/>
    <n v="0.15"/>
    <n v="0.05"/>
    <n v="0.25"/>
    <n v="7.0000000000000007E-2"/>
    <n v="0.05"/>
    <n v="0.57000000000000006"/>
    <x v="3"/>
    <x v="11"/>
    <n v="76850"/>
    <n v="82950"/>
    <n v="6100"/>
    <n v="3477.0000000000005"/>
    <n v="80327"/>
    <n v="26507.91"/>
    <n v="84827"/>
    <n v="87827"/>
    <n v="6827795"/>
    <n v="7210295"/>
    <n v="7465295"/>
    <n v="0"/>
    <n v="580362.57500000007"/>
    <n v="1"/>
    <n v="244000"/>
    <n v="244000"/>
    <n v="7071795"/>
    <n v="7454295"/>
    <n v="7709295"/>
    <d v="2025-07-01T00:00:00"/>
    <d v="2025-07-01T00:00:00"/>
  </r>
  <r>
    <m/>
    <s v="A"/>
    <s v="A5"/>
    <s v="HOTEL APP."/>
    <n v="1"/>
    <n v="2"/>
    <x v="94"/>
    <s v="1 BEDROOM (STUDIO)"/>
    <s v="C1"/>
    <n v="68.59"/>
    <n v="87.581804481711714"/>
    <x v="14"/>
    <m/>
    <m/>
    <s v="SW"/>
    <s v="CORNER "/>
    <s v="LAYAN VILLAS"/>
    <s v="FIRST"/>
    <x v="2"/>
    <n v="0.06"/>
    <n v="0.05"/>
    <n v="0.2"/>
    <n v="7.0000000000000007E-2"/>
    <n v="0.05"/>
    <n v="0.43"/>
    <x v="3"/>
    <x v="11"/>
    <n v="76850"/>
    <n v="82950"/>
    <n v="6100"/>
    <n v="2623"/>
    <n v="79473"/>
    <n v="26226.09"/>
    <n v="83973"/>
    <n v="86973"/>
    <n v="6675732"/>
    <n v="7053732"/>
    <n v="7305732"/>
    <n v="0"/>
    <n v="567437.22000000009"/>
    <n v="1"/>
    <n v="244000"/>
    <n v="244000"/>
    <n v="6919732"/>
    <n v="7297732"/>
    <n v="7549732"/>
    <d v="2025-07-01T00:00:00"/>
    <d v="2025-07-01T00:00:00"/>
  </r>
  <r>
    <m/>
    <s v="A"/>
    <s v="A5"/>
    <s v="HOTEL APP."/>
    <n v="1"/>
    <n v="3"/>
    <x v="95"/>
    <s v="1 BEDROOM (STUDIO)"/>
    <s v="C1"/>
    <n v="51.02"/>
    <n v="65.146867832875529"/>
    <x v="13"/>
    <m/>
    <m/>
    <s v="SW"/>
    <s v="MIDDLE"/>
    <s v="LAYAN VILLAS"/>
    <s v="FIRST"/>
    <x v="2"/>
    <n v="0.06"/>
    <n v="2.5000000000000001E-2"/>
    <n v="0.2"/>
    <n v="7.0000000000000007E-2"/>
    <n v="0.05"/>
    <n v="0.40500000000000003"/>
    <x v="3"/>
    <x v="11"/>
    <n v="76850"/>
    <n v="82950"/>
    <n v="6100"/>
    <n v="2470.5"/>
    <n v="79320.5"/>
    <n v="26175.764999999999"/>
    <n v="83820.5"/>
    <n v="86820.5"/>
    <n v="4997191.5"/>
    <n v="5280691.5"/>
    <n v="5469691.5"/>
    <n v="0"/>
    <n v="424761.27750000003"/>
    <n v="1"/>
    <n v="244000"/>
    <n v="244000"/>
    <n v="5241191.5"/>
    <n v="5524691.5"/>
    <n v="5713691.5"/>
    <d v="2025-07-01T00:00:00"/>
    <d v="2025-07-01T00:00:00"/>
  </r>
  <r>
    <m/>
    <s v="A"/>
    <s v="A5"/>
    <s v="HOTEL APP."/>
    <n v="1"/>
    <n v="4"/>
    <x v="96"/>
    <s v="1 BEDROOM (STUDIO)"/>
    <s v="C1"/>
    <n v="62.9"/>
    <n v="80.316307069538809"/>
    <x v="16"/>
    <m/>
    <m/>
    <s v="SW"/>
    <s v="MIDDLE"/>
    <s v="LAYAN VILLAS"/>
    <s v="FIRST"/>
    <x v="2"/>
    <n v="0.06"/>
    <n v="2.5000000000000001E-2"/>
    <n v="0.2"/>
    <n v="7.0000000000000007E-2"/>
    <n v="0.05"/>
    <n v="0.40500000000000003"/>
    <x v="3"/>
    <x v="11"/>
    <n v="76850"/>
    <n v="82950"/>
    <n v="6100"/>
    <n v="2470.5"/>
    <n v="79320.5"/>
    <n v="26175.764999999999"/>
    <n v="83820.5"/>
    <n v="86820.5"/>
    <n v="6107678.5"/>
    <n v="6454178.5"/>
    <n v="6685178.5"/>
    <n v="0"/>
    <n v="519152.67250000004"/>
    <n v="1"/>
    <n v="244000"/>
    <n v="244000"/>
    <n v="6351678.5"/>
    <n v="6698178.5"/>
    <n v="6929178.5"/>
    <d v="2025-07-01T00:00:00"/>
    <d v="2025-07-01T00:00:00"/>
  </r>
  <r>
    <m/>
    <s v="A"/>
    <s v="A5"/>
    <s v="HOTEL APP."/>
    <n v="1"/>
    <n v="5"/>
    <x v="97"/>
    <s v="1 BEDROOM (STUDIO)"/>
    <s v="C1"/>
    <n v="63.79"/>
    <n v="81.452738123463917"/>
    <x v="12"/>
    <m/>
    <m/>
    <s v="NE"/>
    <s v="MIDDLE"/>
    <s v="ROAD 18M (BUILDINGS)"/>
    <s v="FIRST"/>
    <x v="2"/>
    <n v="0.15"/>
    <n v="2.5000000000000001E-2"/>
    <n v="0.15"/>
    <n v="7.0000000000000007E-2"/>
    <n v="0.05"/>
    <n v="0.44499999999999995"/>
    <x v="3"/>
    <x v="11"/>
    <n v="76850"/>
    <n v="82950"/>
    <n v="6100"/>
    <n v="2714.4999999999995"/>
    <n v="79564.5"/>
    <n v="26256.285"/>
    <n v="84064.5"/>
    <n v="87064.5"/>
    <n v="6206031"/>
    <n v="6557031"/>
    <n v="6791031"/>
    <n v="0"/>
    <n v="527512.63500000001"/>
    <n v="1"/>
    <n v="244000"/>
    <n v="244000"/>
    <n v="6450031"/>
    <n v="6801031"/>
    <n v="7035031"/>
    <d v="2025-07-01T00:00:00"/>
    <d v="2025-07-01T00:00:00"/>
  </r>
  <r>
    <m/>
    <s v="A"/>
    <s v="A5"/>
    <s v="HOTEL APP."/>
    <n v="2"/>
    <n v="1"/>
    <x v="98"/>
    <s v="1 BEDROOM (STUDIO)"/>
    <s v="C1"/>
    <n v="68.91"/>
    <n v="87.990408905594904"/>
    <x v="15"/>
    <m/>
    <m/>
    <s v="NE"/>
    <s v="CORNER "/>
    <s v="MAIN GATE &amp; LAKE ENTRANCE"/>
    <s v="SECOND"/>
    <x v="2"/>
    <n v="0.15"/>
    <n v="0.05"/>
    <n v="0.25"/>
    <n v="0.11"/>
    <n v="0.05"/>
    <n v="0.6100000000000001"/>
    <x v="3"/>
    <x v="11"/>
    <n v="76850"/>
    <n v="82950"/>
    <n v="6100"/>
    <n v="3721.0000000000005"/>
    <n v="80571"/>
    <n v="26588.43"/>
    <n v="85071"/>
    <n v="88071"/>
    <n v="6848535"/>
    <n v="7231035"/>
    <n v="7486035"/>
    <n v="0"/>
    <n v="582125.47500000009"/>
    <n v="1"/>
    <n v="244000"/>
    <n v="244000"/>
    <n v="7092535"/>
    <n v="7475035"/>
    <n v="7730035"/>
    <d v="2025-07-01T00:00:00"/>
    <d v="2025-07-01T00:00:00"/>
  </r>
  <r>
    <m/>
    <s v="A"/>
    <s v="A5"/>
    <s v="HOTEL APP."/>
    <n v="2"/>
    <n v="2"/>
    <x v="99"/>
    <s v="1 BEDROOM (STUDIO)"/>
    <s v="C1"/>
    <n v="68.89"/>
    <n v="87.964871129102207"/>
    <x v="15"/>
    <m/>
    <m/>
    <s v="SW"/>
    <s v="CORNER "/>
    <s v="LAYAN VILLAS"/>
    <s v="SECOND"/>
    <x v="2"/>
    <n v="0.06"/>
    <n v="0.05"/>
    <n v="0.2"/>
    <n v="0.11"/>
    <n v="0.05"/>
    <n v="0.47"/>
    <x v="3"/>
    <x v="11"/>
    <n v="76850"/>
    <n v="82950"/>
    <n v="6100"/>
    <n v="2867"/>
    <n v="79717"/>
    <n v="26306.61"/>
    <n v="84217"/>
    <n v="87217"/>
    <n v="6775945"/>
    <n v="7158445"/>
    <n v="7413445"/>
    <n v="0"/>
    <n v="575955.32500000007"/>
    <n v="1"/>
    <n v="244000"/>
    <n v="244000"/>
    <n v="7019945"/>
    <n v="7402445"/>
    <n v="7657445"/>
    <d v="2025-07-01T00:00:00"/>
    <d v="2025-07-01T00:00:00"/>
  </r>
  <r>
    <m/>
    <s v="A"/>
    <s v="A5"/>
    <s v="HOTEL APP."/>
    <n v="2"/>
    <n v="3"/>
    <x v="100"/>
    <s v="1 BEDROOM (STUDIO)"/>
    <s v="C1"/>
    <n v="51.48"/>
    <n v="65.734236692207588"/>
    <x v="13"/>
    <m/>
    <m/>
    <s v="SW"/>
    <s v="MIDDLE"/>
    <s v="LAYAN VILLAS"/>
    <s v="SECOND"/>
    <x v="2"/>
    <n v="0.06"/>
    <n v="2.5000000000000001E-2"/>
    <n v="0.2"/>
    <n v="0.11"/>
    <n v="0.05"/>
    <n v="0.44500000000000001"/>
    <x v="3"/>
    <x v="11"/>
    <n v="76850"/>
    <n v="82950"/>
    <n v="6100"/>
    <n v="2714.5"/>
    <n v="79564.5"/>
    <n v="26256.285"/>
    <n v="84064.5"/>
    <n v="87064.5"/>
    <n v="5012563.5"/>
    <n v="5296063.5"/>
    <n v="5485063.5"/>
    <n v="0"/>
    <n v="426067.89750000002"/>
    <n v="1"/>
    <n v="244000"/>
    <n v="244000"/>
    <n v="5256563.5"/>
    <n v="5540063.5"/>
    <n v="5729063.5"/>
    <d v="2025-07-01T00:00:00"/>
    <d v="2025-07-01T00:00:00"/>
  </r>
  <r>
    <m/>
    <s v="A"/>
    <s v="A5"/>
    <s v="HOTEL APP."/>
    <n v="2"/>
    <n v="4"/>
    <x v="101"/>
    <s v="1 BEDROOM (STUDIO)"/>
    <s v="C1"/>
    <n v="63.11"/>
    <n v="80.584453722712155"/>
    <x v="12"/>
    <m/>
    <m/>
    <s v="SW"/>
    <s v="MIDDLE"/>
    <s v="LAYAN VILLAS"/>
    <s v="SECOND"/>
    <x v="2"/>
    <n v="0.06"/>
    <n v="2.5000000000000001E-2"/>
    <n v="0.2"/>
    <n v="0.11"/>
    <n v="0.05"/>
    <n v="0.44500000000000001"/>
    <x v="3"/>
    <x v="11"/>
    <n v="76850"/>
    <n v="82950"/>
    <n v="6100"/>
    <n v="2714.5"/>
    <n v="79564.5"/>
    <n v="26256.285"/>
    <n v="84064.5"/>
    <n v="87064.5"/>
    <n v="6206031"/>
    <n v="6557031"/>
    <n v="6791031"/>
    <n v="0"/>
    <n v="527512.63500000001"/>
    <n v="1"/>
    <n v="244000"/>
    <n v="244000"/>
    <n v="6450031"/>
    <n v="6801031"/>
    <n v="7035031"/>
    <d v="2025-07-01T00:00:00"/>
    <d v="2025-07-01T00:00:00"/>
  </r>
  <r>
    <m/>
    <s v="A"/>
    <s v="A5"/>
    <s v="HOTEL APP."/>
    <n v="2"/>
    <n v="5"/>
    <x v="102"/>
    <s v="1 BEDROOM (STUDIO)"/>
    <s v="C1"/>
    <n v="63.16"/>
    <n v="80.648298163943892"/>
    <x v="12"/>
    <m/>
    <m/>
    <s v="NE"/>
    <s v="MIDDLE"/>
    <s v="ROAD 18M (BUILDINGS)"/>
    <s v="SECOND"/>
    <x v="2"/>
    <n v="0.15"/>
    <n v="2.5000000000000001E-2"/>
    <n v="0.15"/>
    <n v="0.11"/>
    <n v="0.05"/>
    <n v="0.48499999999999993"/>
    <x v="3"/>
    <x v="11"/>
    <n v="76850"/>
    <n v="82950"/>
    <n v="6100"/>
    <n v="2958.4999999999995"/>
    <n v="79808.5"/>
    <n v="26336.805"/>
    <n v="84308.5"/>
    <n v="87308.5"/>
    <n v="6225063"/>
    <n v="6576063"/>
    <n v="6810063"/>
    <n v="0"/>
    <n v="529130.35499999998"/>
    <n v="1"/>
    <n v="244000"/>
    <n v="244000"/>
    <n v="6469063"/>
    <n v="6820063"/>
    <n v="7054063"/>
    <d v="2025-07-01T00:00:00"/>
    <d v="2025-07-01T00:00:00"/>
  </r>
  <r>
    <m/>
    <s v="A"/>
    <s v="A5"/>
    <s v="HOTEL APP."/>
    <n v="2"/>
    <n v="6"/>
    <x v="103"/>
    <s v="1 BEDROOM (STUDIO)"/>
    <s v="C1"/>
    <n v="51.5"/>
    <n v="65.7597744687003"/>
    <x v="13"/>
    <m/>
    <m/>
    <s v="NE"/>
    <s v="MIDDLE"/>
    <s v="ROAD 18M (BUILDINGS)"/>
    <s v="SECOND"/>
    <x v="2"/>
    <n v="0.15"/>
    <n v="2.5000000000000001E-2"/>
    <n v="0.15"/>
    <n v="0.11"/>
    <n v="0.05"/>
    <n v="0.48499999999999993"/>
    <x v="3"/>
    <x v="11"/>
    <n v="76850"/>
    <n v="82950"/>
    <n v="6100"/>
    <n v="2958.4999999999995"/>
    <n v="79808.5"/>
    <n v="26336.805"/>
    <n v="84308.5"/>
    <n v="87308.5"/>
    <n v="5027935.5"/>
    <n v="5311435.5"/>
    <n v="5500435.5"/>
    <n v="0"/>
    <n v="427374.51750000002"/>
    <n v="1"/>
    <n v="244000"/>
    <n v="244000"/>
    <n v="5271935.5"/>
    <n v="5555435.5"/>
    <n v="5744435.5"/>
    <d v="2025-07-01T00:00:00"/>
    <d v="2025-07-01T00:00:00"/>
  </r>
  <r>
    <m/>
    <s v="A"/>
    <s v="A5"/>
    <s v="HOTEL APP."/>
    <n v="3"/>
    <n v="1"/>
    <x v="104"/>
    <s v="1 BEDROOM (STUDIO)"/>
    <s v="C1"/>
    <n v="68.62"/>
    <n v="87.620111146450768"/>
    <x v="14"/>
    <m/>
    <m/>
    <s v="NE"/>
    <s v="CORNER "/>
    <s v="MAIN GATE &amp; LAKE ENTRANCE"/>
    <s v="THIRD"/>
    <x v="2"/>
    <n v="0.15"/>
    <n v="0.05"/>
    <n v="0.25"/>
    <n v="0.15"/>
    <n v="0.05"/>
    <n v="0.65"/>
    <x v="3"/>
    <x v="11"/>
    <n v="76850"/>
    <n v="82950"/>
    <n v="6100"/>
    <n v="3965"/>
    <n v="80815"/>
    <n v="26668.95"/>
    <n v="85315"/>
    <n v="88315"/>
    <n v="6788460"/>
    <n v="7166460"/>
    <n v="7418460"/>
    <n v="0"/>
    <n v="577019.10000000009"/>
    <n v="1"/>
    <n v="244000"/>
    <n v="244000"/>
    <n v="7032460"/>
    <n v="7410460"/>
    <n v="7662460"/>
    <d v="2025-07-01T00:00:00"/>
    <d v="2025-07-01T00:00:00"/>
  </r>
  <r>
    <m/>
    <s v="A"/>
    <s v="A5"/>
    <s v="HOTEL APP."/>
    <n v="3"/>
    <n v="2"/>
    <x v="105"/>
    <s v="1 BEDROOM (STUDIO)"/>
    <s v="C1"/>
    <n v="68.599999999999994"/>
    <n v="87.594573369958056"/>
    <x v="14"/>
    <m/>
    <m/>
    <s v="SW"/>
    <s v="CORNER "/>
    <s v="LAYAN VILLAS"/>
    <s v="THIRD"/>
    <x v="2"/>
    <n v="0.06"/>
    <n v="0.05"/>
    <n v="0.2"/>
    <n v="0.15"/>
    <n v="0.05"/>
    <n v="0.51"/>
    <x v="3"/>
    <x v="11"/>
    <n v="76850"/>
    <n v="82950"/>
    <n v="6100"/>
    <n v="3111"/>
    <n v="79961"/>
    <n v="26387.13"/>
    <n v="84461"/>
    <n v="87461"/>
    <n v="6716724"/>
    <n v="7094724"/>
    <n v="7346724"/>
    <n v="0"/>
    <n v="570921.54"/>
    <n v="1"/>
    <n v="244000"/>
    <n v="244000"/>
    <n v="6960724"/>
    <n v="7338724"/>
    <n v="7590724"/>
    <d v="2025-07-01T00:00:00"/>
    <d v="2025-07-01T00:00:00"/>
  </r>
  <r>
    <m/>
    <s v="A"/>
    <s v="A5"/>
    <s v="HOTEL APP."/>
    <n v="3"/>
    <n v="3"/>
    <x v="106"/>
    <s v="1 BEDROOM (STUDIO)"/>
    <s v="C1"/>
    <n v="50.89"/>
    <n v="64.980872285672973"/>
    <x v="13"/>
    <m/>
    <m/>
    <s v="SW"/>
    <s v="MIDDLE"/>
    <s v="LAYAN VILLAS"/>
    <s v="THIRD"/>
    <x v="2"/>
    <n v="0.06"/>
    <n v="2.5000000000000001E-2"/>
    <n v="0.2"/>
    <n v="0.15"/>
    <n v="0.05"/>
    <n v="0.48500000000000004"/>
    <x v="3"/>
    <x v="11"/>
    <n v="76850"/>
    <n v="82950"/>
    <n v="6100"/>
    <n v="2958.5000000000005"/>
    <n v="79808.5"/>
    <n v="26336.805"/>
    <n v="84308.5"/>
    <n v="87308.5"/>
    <n v="5027935.5"/>
    <n v="5311435.5"/>
    <n v="5500435.5"/>
    <n v="0"/>
    <n v="427374.51750000002"/>
    <n v="1"/>
    <n v="244000"/>
    <n v="244000"/>
    <n v="5271935.5"/>
    <n v="5555435.5"/>
    <n v="5744435.5"/>
    <d v="2025-07-01T00:00:00"/>
    <d v="2025-07-01T00:00:00"/>
  </r>
  <r>
    <m/>
    <s v="A"/>
    <s v="A5"/>
    <s v="HOTEL APP."/>
    <n v="3"/>
    <n v="4"/>
    <x v="107"/>
    <s v="1 BEDROOM (STUDIO)"/>
    <s v="C1"/>
    <n v="62.84"/>
    <n v="80.239693740060716"/>
    <x v="16"/>
    <m/>
    <m/>
    <s v="SW"/>
    <s v="MIDDLE"/>
    <s v="LAYAN VILLAS"/>
    <s v="THIRD"/>
    <x v="2"/>
    <n v="0.06"/>
    <n v="2.5000000000000001E-2"/>
    <n v="0.2"/>
    <n v="0.15"/>
    <n v="0.05"/>
    <n v="0.48500000000000004"/>
    <x v="3"/>
    <x v="11"/>
    <n v="76850"/>
    <n v="82950"/>
    <n v="6100"/>
    <n v="2958.5000000000005"/>
    <n v="79808.5"/>
    <n v="26336.805"/>
    <n v="84308.5"/>
    <n v="87308.5"/>
    <n v="6145254.5"/>
    <n v="6491754.5"/>
    <n v="6722754.5"/>
    <n v="0"/>
    <n v="522346.63250000007"/>
    <n v="1"/>
    <n v="244000"/>
    <n v="244000"/>
    <n v="6389254.5"/>
    <n v="6735754.5"/>
    <n v="6966754.5"/>
    <d v="2025-07-01T00:00:00"/>
    <d v="2025-07-01T00:00:00"/>
  </r>
  <r>
    <m/>
    <s v="A"/>
    <s v="A5"/>
    <s v="HOTEL APP."/>
    <n v="3"/>
    <n v="5"/>
    <x v="108"/>
    <s v="1 BEDROOM (STUDIO)"/>
    <s v="C1"/>
    <n v="62.86"/>
    <n v="80.265231516553413"/>
    <x v="16"/>
    <m/>
    <m/>
    <s v="NE"/>
    <s v="MIDDLE"/>
    <s v="ROAD 18M (BUILDINGS)"/>
    <s v="THIRD"/>
    <x v="2"/>
    <n v="0.15"/>
    <n v="2.5000000000000001E-2"/>
    <n v="0.15"/>
    <n v="0.15"/>
    <n v="0.05"/>
    <n v="0.52500000000000002"/>
    <x v="3"/>
    <x v="11"/>
    <n v="76850"/>
    <n v="82950"/>
    <n v="6100"/>
    <n v="3202.5"/>
    <n v="80052.5"/>
    <n v="26417.325000000001"/>
    <n v="84552.5"/>
    <n v="87552.5"/>
    <n v="6164042.5"/>
    <n v="6510542.5"/>
    <n v="6741542.5"/>
    <n v="0"/>
    <n v="523943.61250000005"/>
    <n v="1"/>
    <n v="244000"/>
    <n v="244000"/>
    <n v="6408042.5"/>
    <n v="6754542.5"/>
    <n v="6985542.5"/>
    <d v="2025-07-01T00:00:00"/>
    <d v="2025-07-01T00:00:00"/>
  </r>
  <r>
    <m/>
    <s v="A"/>
    <s v="A5"/>
    <s v="HOTEL APP."/>
    <n v="3"/>
    <n v="6"/>
    <x v="109"/>
    <s v="1 BEDROOM (STUDIO)"/>
    <s v="C1"/>
    <n v="50.89"/>
    <n v="64.980872285672973"/>
    <x v="13"/>
    <m/>
    <m/>
    <s v="NE"/>
    <s v="MIDDLE"/>
    <s v="ROAD 18M (BUILDINGS)"/>
    <s v="THIRD"/>
    <x v="2"/>
    <n v="0.15"/>
    <n v="2.5000000000000001E-2"/>
    <n v="0.15"/>
    <n v="0.15"/>
    <n v="0.05"/>
    <n v="0.52500000000000002"/>
    <x v="3"/>
    <x v="11"/>
    <n v="76850"/>
    <n v="82950"/>
    <n v="6100"/>
    <n v="3202.5"/>
    <n v="80052.5"/>
    <n v="26417.325000000001"/>
    <n v="84552.5"/>
    <n v="87552.5"/>
    <n v="5043307.5"/>
    <n v="5326807.5"/>
    <n v="5515807.5"/>
    <n v="0"/>
    <n v="428681.13750000001"/>
    <n v="1"/>
    <n v="244000"/>
    <n v="244000"/>
    <n v="5287307.5"/>
    <n v="5570807.5"/>
    <n v="5759807.5"/>
    <d v="2025-07-01T00:00:00"/>
    <d v="2025-07-01T00:00:00"/>
  </r>
  <r>
    <m/>
    <s v="A"/>
    <s v="A5"/>
    <s v="HOTEL APP."/>
    <n v="4"/>
    <n v="1"/>
    <x v="110"/>
    <s v="1 BEDROOM (STUDIO)"/>
    <s v="C1"/>
    <n v="68.680000000000007"/>
    <n v="87.696724475928875"/>
    <x v="14"/>
    <m/>
    <m/>
    <s v="NE"/>
    <s v="CORNER "/>
    <s v="MAIN GATE &amp; LAKE ENTRANCE"/>
    <s v="FORTH"/>
    <x v="2"/>
    <n v="0.15"/>
    <n v="0.05"/>
    <n v="0.25"/>
    <n v="0.06"/>
    <n v="0.05"/>
    <n v="0.56000000000000005"/>
    <x v="3"/>
    <x v="11"/>
    <n v="76850"/>
    <n v="82950"/>
    <n v="6100"/>
    <n v="3416.0000000000005"/>
    <n v="80266"/>
    <n v="26487.780000000002"/>
    <n v="84766"/>
    <n v="87766"/>
    <n v="6742344"/>
    <n v="7120344"/>
    <n v="7372344"/>
    <n v="0"/>
    <n v="573099.24"/>
    <n v="1"/>
    <n v="244000"/>
    <n v="244000"/>
    <n v="6986344"/>
    <n v="7364344"/>
    <n v="7616344"/>
    <d v="2025-07-01T00:00:00"/>
    <d v="2025-07-01T00:00:00"/>
  </r>
  <r>
    <m/>
    <s v="A"/>
    <s v="A5"/>
    <s v="HOTEL APP."/>
    <n v="4"/>
    <n v="2"/>
    <x v="111"/>
    <s v="1 BEDROOM (STUDIO)"/>
    <s v="C1"/>
    <n v="68.680000000000007"/>
    <n v="87.696724475928875"/>
    <x v="14"/>
    <m/>
    <m/>
    <s v="SW"/>
    <s v="CORNER "/>
    <s v="LAYAN VILLAS"/>
    <s v="FORTH"/>
    <x v="2"/>
    <n v="0.06"/>
    <n v="0.05"/>
    <n v="0.2"/>
    <n v="0.06"/>
    <n v="0.05"/>
    <n v="0.42"/>
    <x v="3"/>
    <x v="11"/>
    <n v="76850"/>
    <n v="82950"/>
    <n v="6100"/>
    <n v="2562"/>
    <n v="79412"/>
    <n v="26205.960000000003"/>
    <n v="83912"/>
    <n v="86912"/>
    <n v="6670608"/>
    <n v="7048608"/>
    <n v="7300608"/>
    <n v="0"/>
    <n v="567001.68000000005"/>
    <n v="1"/>
    <n v="244000"/>
    <n v="244000"/>
    <n v="6914608"/>
    <n v="7292608"/>
    <n v="7544608"/>
    <d v="2025-07-01T00:00:00"/>
    <d v="2025-07-01T00:00:00"/>
  </r>
  <r>
    <m/>
    <s v="A"/>
    <s v="A5"/>
    <s v="HOTEL APP."/>
    <n v="4"/>
    <n v="3"/>
    <x v="112"/>
    <s v="1 BEDROOM (STUDIO)"/>
    <s v="C1"/>
    <n v="51.5"/>
    <n v="65.7597744687003"/>
    <x v="13"/>
    <m/>
    <m/>
    <s v="SW"/>
    <s v="MIDDLE"/>
    <s v="LAYAN VILLAS"/>
    <s v="FORTH"/>
    <x v="2"/>
    <n v="0.06"/>
    <n v="2.5000000000000001E-2"/>
    <n v="0.2"/>
    <n v="0.06"/>
    <n v="0.05"/>
    <n v="0.39500000000000002"/>
    <x v="3"/>
    <x v="11"/>
    <n v="76850"/>
    <n v="82950"/>
    <n v="6100"/>
    <n v="2409.5"/>
    <n v="79259.5"/>
    <n v="26155.635000000002"/>
    <n v="83759.5"/>
    <n v="86759.5"/>
    <n v="4993348.5"/>
    <n v="5276848.5"/>
    <n v="5465848.5"/>
    <n v="0"/>
    <n v="424434.62250000006"/>
    <n v="1"/>
    <n v="244000"/>
    <n v="244000"/>
    <n v="5237348.5"/>
    <n v="5520848.5"/>
    <n v="5709848.5"/>
    <d v="2025-07-01T00:00:00"/>
    <d v="2025-07-01T00:00:00"/>
  </r>
  <r>
    <m/>
    <s v="A"/>
    <s v="A5"/>
    <s v="HOTEL APP."/>
    <n v="4"/>
    <n v="4"/>
    <x v="113"/>
    <s v="1 BEDROOM (STUDIO)"/>
    <s v="C1"/>
    <n v="62.97"/>
    <n v="80.405689287263257"/>
    <x v="16"/>
    <m/>
    <m/>
    <s v="SW"/>
    <s v="MIDDLE"/>
    <s v="LAYAN VILLAS"/>
    <s v="FORTH"/>
    <x v="2"/>
    <n v="0.06"/>
    <n v="2.5000000000000001E-2"/>
    <n v="0.2"/>
    <n v="0.06"/>
    <n v="0.05"/>
    <n v="0.39500000000000002"/>
    <x v="3"/>
    <x v="11"/>
    <n v="76850"/>
    <n v="82950"/>
    <n v="6100"/>
    <n v="2409.5"/>
    <n v="79259.5"/>
    <n v="26155.635000000002"/>
    <n v="83759.5"/>
    <n v="86759.5"/>
    <n v="6102981.5"/>
    <n v="6449481.5"/>
    <n v="6680481.5"/>
    <n v="0"/>
    <n v="518753.42750000005"/>
    <n v="1"/>
    <n v="244000"/>
    <n v="244000"/>
    <n v="6346981.5"/>
    <n v="6693481.5"/>
    <n v="6924481.5"/>
    <d v="2025-07-01T00:00:00"/>
    <d v="2025-07-01T00:00:00"/>
  </r>
  <r>
    <m/>
    <s v="A"/>
    <s v="A5"/>
    <s v="HOTEL APP."/>
    <n v="4"/>
    <n v="5"/>
    <x v="114"/>
    <s v="1 BEDROOM (STUDIO)"/>
    <s v="C1"/>
    <n v="62.97"/>
    <n v="80.405689287263257"/>
    <x v="16"/>
    <m/>
    <m/>
    <s v="NE"/>
    <s v="MIDDLE"/>
    <s v="ROAD 18M (BUILDINGS)"/>
    <s v="FORTH"/>
    <x v="2"/>
    <n v="0.15"/>
    <n v="2.5000000000000001E-2"/>
    <n v="0.15"/>
    <n v="0.06"/>
    <n v="0.05"/>
    <n v="0.43499999999999994"/>
    <x v="3"/>
    <x v="11"/>
    <n v="76850"/>
    <n v="82950"/>
    <n v="6100"/>
    <n v="2653.4999999999995"/>
    <n v="79503.5"/>
    <n v="26236.155000000002"/>
    <n v="84003.5"/>
    <n v="87003.5"/>
    <n v="6121769.5"/>
    <n v="6468269.5"/>
    <n v="6699269.5"/>
    <n v="0"/>
    <n v="520350.40750000003"/>
    <n v="1"/>
    <n v="244000"/>
    <n v="244000"/>
    <n v="6365769.5"/>
    <n v="6712269.5"/>
    <n v="6943269.5"/>
    <d v="2025-07-01T00:00:00"/>
    <d v="2025-07-01T00:00:00"/>
  </r>
  <r>
    <m/>
    <s v="A"/>
    <s v="A5"/>
    <s v="HOTEL APP."/>
    <n v="4"/>
    <n v="6"/>
    <x v="115"/>
    <s v="1 BEDROOM (STUDIO)"/>
    <s v="C1"/>
    <n v="51.5"/>
    <n v="65.7597744687003"/>
    <x v="13"/>
    <m/>
    <m/>
    <s v="NE"/>
    <s v="MIDDLE"/>
    <s v="ROAD 18M (BUILDINGS)"/>
    <s v="FORTH"/>
    <x v="2"/>
    <n v="0.15"/>
    <n v="2.5000000000000001E-2"/>
    <n v="0.15"/>
    <n v="0.06"/>
    <n v="0.05"/>
    <n v="0.43499999999999994"/>
    <x v="3"/>
    <x v="11"/>
    <n v="76850"/>
    <n v="82950"/>
    <n v="6100"/>
    <n v="2653.4999999999995"/>
    <n v="79503.5"/>
    <n v="26236.155000000002"/>
    <n v="84003.5"/>
    <n v="87003.5"/>
    <n v="5008720.5"/>
    <n v="5292220.5"/>
    <n v="5481220.5"/>
    <n v="0"/>
    <n v="425741.24250000005"/>
    <n v="1"/>
    <n v="244000"/>
    <n v="244000"/>
    <n v="5252720.5"/>
    <n v="5536220.5"/>
    <n v="5725220.5"/>
    <d v="2025-07-01T00:00:00"/>
    <d v="2025-07-01T00:00:00"/>
  </r>
  <r>
    <s v="A'"/>
    <s v="A"/>
    <s v="A6"/>
    <s v="RESIDENTIAL"/>
    <n v="0"/>
    <n v="1"/>
    <x v="116"/>
    <s v="1 BEDROOM (STUDIO)"/>
    <s v="C1"/>
    <n v="60.98"/>
    <n v="66.845201763160503"/>
    <x v="3"/>
    <n v="23.818100000000001"/>
    <m/>
    <s v="NE"/>
    <s v="MIDDLE"/>
    <s v="ROAD 18M (BUILDINGS)"/>
    <s v="GROUND"/>
    <x v="2"/>
    <n v="0.15"/>
    <n v="2.5000000000000001E-2"/>
    <n v="0.15"/>
    <n v="0.05"/>
    <n v="0.05"/>
    <n v="0.42499999999999993"/>
    <x v="0"/>
    <x v="12"/>
    <n v="50150"/>
    <n v="56050"/>
    <n v="5900"/>
    <n v="2507.4999999999995"/>
    <n v="52657.5"/>
    <n v="17376.975000000002"/>
    <n v="57157.5"/>
    <n v="60157.5"/>
    <n v="3949312.5"/>
    <n v="4286812.5"/>
    <n v="4511812.5"/>
    <n v="413886.52824750007"/>
    <n v="370871.91740103753"/>
    <n v="1"/>
    <n v="236000"/>
    <n v="236000"/>
    <n v="4599199.0282474998"/>
    <n v="4936699.0282474998"/>
    <n v="5161699.0282474998"/>
    <d v="2025-07-01T00:00:00"/>
    <d v="2025-04-01T00:00:00"/>
  </r>
  <r>
    <m/>
    <s v="A"/>
    <s v="A6"/>
    <s v="RESIDENTIAL"/>
    <n v="0"/>
    <n v="2"/>
    <x v="117"/>
    <s v="2 BEDROOM"/>
    <s v="C1"/>
    <n v="89.96"/>
    <n v="98.6125672452266"/>
    <x v="2"/>
    <n v="50.540100000000002"/>
    <m/>
    <s v="SW"/>
    <s v="MIDDLE"/>
    <s v="FENCE"/>
    <s v="GROUND"/>
    <x v="1"/>
    <n v="0.06"/>
    <n v="2.5000000000000001E-2"/>
    <n v="0.1"/>
    <n v="0.05"/>
    <n v="0.04"/>
    <n v="0.27499999999999997"/>
    <x v="0"/>
    <x v="3"/>
    <n v="42500"/>
    <n v="47500"/>
    <n v="5000"/>
    <n v="1374.9999999999998"/>
    <n v="43875"/>
    <n v="14478.75"/>
    <n v="48375"/>
    <n v="51375"/>
    <n v="4870125"/>
    <n v="5369625"/>
    <n v="5702625"/>
    <n v="731757.47287499998"/>
    <n v="476160.01019437501"/>
    <n v="1"/>
    <n v="200000"/>
    <n v="200000"/>
    <n v="5801882.472875"/>
    <n v="6301382.472875"/>
    <n v="6634382.472875"/>
    <d v="2025-07-01T00:00:00"/>
    <d v="2023-09-01T00:00:00"/>
  </r>
  <r>
    <m/>
    <s v="A"/>
    <s v="A6"/>
    <s v="RESIDENTIAL"/>
    <n v="0"/>
    <n v="3"/>
    <x v="118"/>
    <s v="2 BEDROOM"/>
    <s v="C1"/>
    <n v="97.98"/>
    <n v="107.40394996317589"/>
    <x v="8"/>
    <n v="50.705300000000001"/>
    <m/>
    <s v="SW"/>
    <s v="MIDDLE"/>
    <s v="SEMI LAKE AND FENCE"/>
    <s v="GROUND"/>
    <x v="1"/>
    <n v="0.06"/>
    <n v="2.5000000000000001E-2"/>
    <n v="0.25"/>
    <n v="0.05"/>
    <n v="0.04"/>
    <n v="0.42499999999999993"/>
    <x v="0"/>
    <x v="12"/>
    <n v="50150"/>
    <n v="56050"/>
    <n v="5900"/>
    <n v="2507.4999999999995"/>
    <n v="52657.5"/>
    <n v="17376.975000000002"/>
    <n v="57157.5"/>
    <n v="60157.5"/>
    <n v="6371557.5"/>
    <n v="6916057.5"/>
    <n v="7279057.5"/>
    <n v="881104.73046750017"/>
    <n v="616476.28958973754"/>
    <n v="1"/>
    <n v="236000"/>
    <n v="236000"/>
    <n v="7488662.2304675002"/>
    <n v="8033162.2304675002"/>
    <n v="8396162.2304675002"/>
    <d v="2025-07-01T00:00:00"/>
    <d v="2025-04-01T00:00:00"/>
  </r>
  <r>
    <m/>
    <s v="A"/>
    <s v="A6"/>
    <s v="RESIDENTIAL"/>
    <n v="0"/>
    <n v="4"/>
    <x v="119"/>
    <s v="2 BEDROOM"/>
    <s v="C1"/>
    <n v="98.17"/>
    <n v="107.61222461609489"/>
    <x v="8"/>
    <n v="31.597200000000001"/>
    <m/>
    <s v="NE"/>
    <s v="MIDDLE"/>
    <s v="ROAD 18M (BUILDINGS)"/>
    <s v="GROUND"/>
    <x v="1"/>
    <n v="0.15"/>
    <n v="2.5000000000000001E-2"/>
    <n v="0.15"/>
    <n v="0.05"/>
    <n v="0.04"/>
    <n v="0.41499999999999992"/>
    <x v="0"/>
    <x v="1"/>
    <n v="48450.000000000007"/>
    <n v="54150.000000000007"/>
    <n v="5700"/>
    <n v="2365.4999999999995"/>
    <n v="50815.500000000007"/>
    <n v="16769.115000000002"/>
    <n v="55315.500000000007"/>
    <n v="58315.500000000007"/>
    <n v="6148675.5000000009"/>
    <n v="6693175.5000000009"/>
    <n v="7056175.5000000009"/>
    <n v="529857.08047800011"/>
    <n v="567675.26934063016"/>
    <n v="1"/>
    <n v="228000.00000000003"/>
    <n v="228000.00000000003"/>
    <n v="6906532.5804780014"/>
    <n v="7451032.5804780014"/>
    <n v="7814032.5804780014"/>
    <d v="2025-07-01T00:00:00"/>
    <d v="2025-01-01T00:00:00"/>
  </r>
  <r>
    <m/>
    <s v="A"/>
    <s v="A6"/>
    <s v="RESIDENTIAL"/>
    <n v="1"/>
    <n v="1"/>
    <x v="120"/>
    <s v="1 BEDROOM (STUDIO)"/>
    <s v="C1"/>
    <n v="61.82"/>
    <n v="67.765994965539235"/>
    <x v="5"/>
    <m/>
    <m/>
    <s v="NE"/>
    <s v="MIDDLE"/>
    <s v="ROAD 18M (BUILDINGS)"/>
    <s v="FIRST"/>
    <x v="2"/>
    <n v="0.15"/>
    <n v="2.5000000000000001E-2"/>
    <n v="0.15"/>
    <n v="7.0000000000000007E-2"/>
    <n v="0.05"/>
    <n v="0.44499999999999995"/>
    <x v="0"/>
    <x v="10"/>
    <n v="53550"/>
    <n v="59850"/>
    <n v="6300"/>
    <n v="2803.4999999999995"/>
    <n v="56353.5"/>
    <n v="18596.655000000002"/>
    <n v="60853.5"/>
    <n v="63853.5"/>
    <n v="4282866"/>
    <n v="4624866"/>
    <n v="4852866"/>
    <n v="0"/>
    <n v="364043.61000000004"/>
    <n v="1"/>
    <n v="252000"/>
    <n v="252000"/>
    <n v="4534866"/>
    <n v="4876866"/>
    <n v="5104866"/>
    <d v="2025-07-01T00:00:00"/>
    <d v="2025-10-01T00:00:00"/>
  </r>
  <r>
    <m/>
    <s v="A"/>
    <s v="A6"/>
    <s v="RESIDENTIAL"/>
    <n v="1"/>
    <n v="2"/>
    <x v="121"/>
    <s v="2 BEDROOM"/>
    <s v="C1"/>
    <n v="89.05"/>
    <n v="97.615041275982989"/>
    <x v="4"/>
    <m/>
    <m/>
    <s v="SW"/>
    <s v="MIDDLE"/>
    <s v="LAYAN VILLAS"/>
    <s v="FIRST"/>
    <x v="1"/>
    <n v="0.06"/>
    <n v="2.5000000000000001E-2"/>
    <n v="0.2"/>
    <n v="7.0000000000000007E-2"/>
    <n v="0.04"/>
    <n v="0.39500000000000002"/>
    <x v="0"/>
    <x v="5"/>
    <n v="46750.000000000007"/>
    <n v="52250.000000000007"/>
    <n v="5500"/>
    <n v="2172.5"/>
    <n v="48922.500000000007"/>
    <n v="16144.425000000003"/>
    <n v="53422.500000000007"/>
    <n v="56422.500000000007"/>
    <n v="5381475.0000000009"/>
    <n v="5876475.0000000009"/>
    <n v="6206475.0000000009"/>
    <n v="0"/>
    <n v="457425.37500000012"/>
    <n v="1"/>
    <n v="220000.00000000003"/>
    <n v="220000.00000000003"/>
    <n v="5601475.0000000009"/>
    <n v="6096475.0000000009"/>
    <n v="6426475.0000000009"/>
    <d v="2025-07-01T00:00:00"/>
    <d v="2024-10-01T00:00:00"/>
  </r>
  <r>
    <m/>
    <s v="A"/>
    <s v="A6"/>
    <s v="RESIDENTIAL"/>
    <n v="1"/>
    <n v="3"/>
    <x v="122"/>
    <s v="2 BEDROOM"/>
    <s v="C1"/>
    <n v="97.06"/>
    <n v="106.39546217009443"/>
    <x v="10"/>
    <m/>
    <m/>
    <s v="SW"/>
    <s v="MIDDLE"/>
    <s v="SEMI LAKE AND FENCE"/>
    <s v="FIRST"/>
    <x v="1"/>
    <n v="0.06"/>
    <n v="2.5000000000000001E-2"/>
    <n v="0.25"/>
    <n v="7.0000000000000007E-2"/>
    <n v="0.04"/>
    <n v="0.44499999999999995"/>
    <x v="0"/>
    <x v="10"/>
    <n v="53550"/>
    <n v="59850"/>
    <n v="6300"/>
    <n v="2803.4999999999995"/>
    <n v="56353.5"/>
    <n v="18596.655000000002"/>
    <n v="60853.5"/>
    <n v="63853.5"/>
    <n v="6706066.5"/>
    <n v="7241566.5"/>
    <n v="7598566.5"/>
    <n v="0"/>
    <n v="570015.65250000008"/>
    <n v="1"/>
    <n v="252000"/>
    <n v="252000"/>
    <n v="6958066.5"/>
    <n v="7493566.5"/>
    <n v="7850566.5"/>
    <d v="2025-07-01T00:00:00"/>
    <d v="2025-10-01T00:00:00"/>
  </r>
  <r>
    <m/>
    <s v="A"/>
    <s v="A6"/>
    <s v="RESIDENTIAL"/>
    <n v="1"/>
    <n v="4"/>
    <x v="123"/>
    <s v="2 BEDROOM"/>
    <s v="C1"/>
    <n v="97.09"/>
    <n v="106.42834764160796"/>
    <x v="10"/>
    <m/>
    <m/>
    <s v="NE"/>
    <s v="MIDDLE"/>
    <s v="ROAD 18M (BUILDINGS)"/>
    <s v="FIRST"/>
    <x v="1"/>
    <n v="0.15"/>
    <n v="2.5000000000000001E-2"/>
    <n v="0.15"/>
    <n v="7.0000000000000007E-2"/>
    <n v="0.04"/>
    <n v="0.43499999999999994"/>
    <x v="0"/>
    <x v="4"/>
    <n v="51850"/>
    <n v="57950"/>
    <n v="6100"/>
    <n v="2653.4999999999995"/>
    <n v="54503.5"/>
    <n v="17986.155000000002"/>
    <n v="59003.5"/>
    <n v="62003.5"/>
    <n v="6485916.5"/>
    <n v="7021416.5"/>
    <n v="7378416.5"/>
    <n v="0"/>
    <n v="551302.90250000008"/>
    <n v="1"/>
    <n v="244000"/>
    <n v="244000"/>
    <n v="6729916.5"/>
    <n v="7265416.5"/>
    <n v="7622416.5"/>
    <d v="2025-07-01T00:00:00"/>
    <d v="2025-07-01T00:00:00"/>
  </r>
  <r>
    <m/>
    <s v="A"/>
    <s v="A6"/>
    <s v="RESIDENTIAL"/>
    <n v="2"/>
    <n v="1"/>
    <x v="124"/>
    <s v="2 BEDROOM"/>
    <s v="C1"/>
    <n v="90.9"/>
    <n v="99.642978685983763"/>
    <x v="7"/>
    <m/>
    <m/>
    <s v="NE"/>
    <s v="MIDDLE"/>
    <s v="ROAD 18M (BUILDINGS)"/>
    <s v="SECOND"/>
    <x v="1"/>
    <n v="0.15"/>
    <n v="2.5000000000000001E-2"/>
    <n v="0.15"/>
    <n v="0.11"/>
    <n v="0.04"/>
    <n v="0.47499999999999992"/>
    <x v="0"/>
    <x v="7"/>
    <n v="61625"/>
    <n v="68875"/>
    <n v="7250"/>
    <n v="3443.7499999999995"/>
    <n v="65068.75"/>
    <n v="21472.6875"/>
    <n v="69568.75"/>
    <n v="72568.75"/>
    <n v="7287700"/>
    <n v="7791700"/>
    <n v="8127700"/>
    <n v="0"/>
    <n v="619454.5"/>
    <n v="1"/>
    <n v="290000"/>
    <n v="290000"/>
    <n v="7577700"/>
    <n v="8081700"/>
    <n v="8417700"/>
    <d v="2025-07-01T00:00:00"/>
    <d v="2026-07-01T00:00:00"/>
  </r>
  <r>
    <m/>
    <s v="A"/>
    <s v="A6"/>
    <s v="RESIDENTIAL"/>
    <n v="2"/>
    <n v="2"/>
    <x v="125"/>
    <s v="2 BEDROOM"/>
    <s v="C1"/>
    <n v="90.91"/>
    <n v="99.653940509821595"/>
    <x v="7"/>
    <m/>
    <m/>
    <s v="SW"/>
    <s v="MIDDLE"/>
    <s v="LAYAN VILLAS"/>
    <s v="SECOND"/>
    <x v="1"/>
    <n v="0.06"/>
    <n v="2.5000000000000001E-2"/>
    <n v="0.2"/>
    <n v="0.11"/>
    <n v="0.04"/>
    <n v="0.435"/>
    <x v="0"/>
    <x v="4"/>
    <n v="51850"/>
    <n v="57950"/>
    <n v="6100"/>
    <n v="2653.5"/>
    <n v="54503.5"/>
    <n v="17986.155000000002"/>
    <n v="59003.5"/>
    <n v="62003.5"/>
    <n v="6104392"/>
    <n v="6608392"/>
    <n v="6944392"/>
    <n v="0"/>
    <n v="518873.32000000007"/>
    <n v="1"/>
    <n v="244000"/>
    <n v="244000"/>
    <n v="6348392"/>
    <n v="6852392"/>
    <n v="7188392"/>
    <d v="2025-07-01T00:00:00"/>
    <d v="2025-07-01T00:00:00"/>
  </r>
  <r>
    <m/>
    <s v="A"/>
    <s v="A6"/>
    <s v="RESIDENTIAL"/>
    <n v="2"/>
    <n v="3"/>
    <x v="126"/>
    <s v="2 BEDROOM"/>
    <s v="C1"/>
    <n v="98.93"/>
    <n v="108.44532322777088"/>
    <x v="11"/>
    <m/>
    <m/>
    <s v="SW"/>
    <s v="MIDDLE"/>
    <s v="SEMI LAKE AND FENCE"/>
    <s v="SECOND"/>
    <x v="1"/>
    <n v="0.06"/>
    <n v="2.5000000000000001E-2"/>
    <n v="0.25"/>
    <n v="0.11"/>
    <n v="0.04"/>
    <n v="0.48499999999999993"/>
    <x v="0"/>
    <x v="7"/>
    <n v="61625"/>
    <n v="68875"/>
    <n v="7250"/>
    <n v="3516.2499999999995"/>
    <n v="65141.25"/>
    <n v="21496.612499999999"/>
    <n v="69641.25"/>
    <n v="72641.25"/>
    <n v="7947232.5"/>
    <n v="8496232.5"/>
    <n v="8862232.5"/>
    <n v="0"/>
    <n v="675514.76250000007"/>
    <n v="1"/>
    <n v="290000"/>
    <n v="290000"/>
    <n v="8237232.5"/>
    <n v="8786232.5"/>
    <n v="9152232.5"/>
    <d v="2025-07-01T00:00:00"/>
    <d v="2026-07-01T00:00:00"/>
  </r>
  <r>
    <m/>
    <s v="A"/>
    <s v="A6"/>
    <s v="RESIDENTIAL"/>
    <n v="2"/>
    <n v="4"/>
    <x v="127"/>
    <s v="2 BEDROOM"/>
    <s v="C1"/>
    <n v="98.95"/>
    <n v="108.46724687544656"/>
    <x v="11"/>
    <m/>
    <m/>
    <s v="NE"/>
    <s v="MIDDLE"/>
    <s v="ROAD 18M (BUILDINGS)"/>
    <s v="SECOND"/>
    <x v="1"/>
    <n v="0.15"/>
    <n v="2.5000000000000001E-2"/>
    <n v="0.15"/>
    <n v="0.11"/>
    <n v="0.04"/>
    <n v="0.47499999999999992"/>
    <x v="0"/>
    <x v="7"/>
    <n v="61625"/>
    <n v="68875"/>
    <n v="7250"/>
    <n v="3443.7499999999995"/>
    <n v="65068.75"/>
    <n v="21472.6875"/>
    <n v="69568.75"/>
    <n v="72568.75"/>
    <n v="7938387.5"/>
    <n v="8487387.5"/>
    <n v="8853387.5"/>
    <n v="0"/>
    <n v="674762.9375"/>
    <n v="1"/>
    <n v="290000"/>
    <n v="290000"/>
    <n v="8228387.5"/>
    <n v="8777387.5"/>
    <n v="9143387.5"/>
    <d v="2025-07-01T00:00:00"/>
    <d v="2026-07-01T00:00:00"/>
  </r>
  <r>
    <m/>
    <s v="A"/>
    <s v="A6"/>
    <s v="RESIDENTIAL"/>
    <n v="3"/>
    <n v="1"/>
    <x v="128"/>
    <s v="2 BEDROOM"/>
    <s v="C1"/>
    <n v="89.05"/>
    <n v="97.615041275982989"/>
    <x v="4"/>
    <m/>
    <m/>
    <s v="NE"/>
    <s v="MIDDLE"/>
    <s v="ROAD 18M (BUILDINGS)"/>
    <s v="THIRD"/>
    <x v="1"/>
    <n v="0.15"/>
    <n v="2.5000000000000001E-2"/>
    <n v="0.15"/>
    <n v="0.15"/>
    <n v="0.04"/>
    <n v="0.51500000000000001"/>
    <x v="1"/>
    <x v="3"/>
    <n v="42500"/>
    <n v="47500"/>
    <n v="5000"/>
    <n v="2575"/>
    <n v="45075"/>
    <n v="14874.75"/>
    <n v="49575"/>
    <n v="52575"/>
    <n v="4958250"/>
    <n v="5453250"/>
    <n v="5783250"/>
    <n v="0"/>
    <n v="421451.25000000006"/>
    <n v="1"/>
    <n v="200000"/>
    <n v="200000"/>
    <n v="5158250"/>
    <n v="5653250"/>
    <n v="5983250"/>
    <d v="2025-07-01T00:00:00"/>
    <d v="2023-09-01T00:00:00"/>
  </r>
  <r>
    <m/>
    <s v="A"/>
    <s v="A6"/>
    <s v="RESIDENTIAL"/>
    <n v="3"/>
    <n v="2"/>
    <x v="129"/>
    <s v="2 BEDROOM"/>
    <s v="C1"/>
    <n v="89.05"/>
    <n v="97.615041275982989"/>
    <x v="4"/>
    <m/>
    <m/>
    <s v="SW"/>
    <s v="MIDDLE"/>
    <s v="LAYAN VILLAS"/>
    <s v="THIRD"/>
    <x v="1"/>
    <n v="0.06"/>
    <n v="2.5000000000000001E-2"/>
    <n v="0.2"/>
    <n v="0.15"/>
    <n v="0.04"/>
    <n v="0.47500000000000003"/>
    <x v="0"/>
    <x v="7"/>
    <n v="61625"/>
    <n v="68875"/>
    <n v="7250"/>
    <n v="3443.7500000000005"/>
    <n v="65068.75"/>
    <n v="21472.6875"/>
    <n v="69568.75"/>
    <n v="72568.75"/>
    <n v="7157562.5"/>
    <n v="7652562.5"/>
    <n v="7982562.5"/>
    <n v="0"/>
    <n v="608392.8125"/>
    <n v="1"/>
    <n v="290000"/>
    <n v="290000"/>
    <n v="7447562.5"/>
    <n v="7942562.5"/>
    <n v="8272562.5"/>
    <d v="2025-07-01T00:00:00"/>
    <d v="2026-07-01T00:00:00"/>
  </r>
  <r>
    <m/>
    <s v="A"/>
    <s v="A6"/>
    <s v="RESIDENTIAL"/>
    <n v="3"/>
    <n v="3"/>
    <x v="130"/>
    <s v="2 BEDROOM"/>
    <s v="C1"/>
    <n v="97.09"/>
    <n v="106.42834764160796"/>
    <x v="10"/>
    <m/>
    <m/>
    <s v="SW"/>
    <s v="MIDDLE"/>
    <s v="SEMI LAKE AND FENCE"/>
    <s v="THIRD"/>
    <x v="1"/>
    <n v="0.06"/>
    <n v="2.5000000000000001E-2"/>
    <n v="0.25"/>
    <n v="0.15"/>
    <n v="0.04"/>
    <n v="0.52500000000000002"/>
    <x v="1"/>
    <x v="3"/>
    <n v="42500"/>
    <n v="47500"/>
    <n v="5000"/>
    <n v="2625"/>
    <n v="45125"/>
    <n v="14891.25"/>
    <n v="49625"/>
    <n v="52625"/>
    <n v="5369875"/>
    <n v="5905375"/>
    <n v="6262375"/>
    <n v="0"/>
    <n v="456439.37500000006"/>
    <n v="1"/>
    <n v="200000"/>
    <n v="200000"/>
    <n v="5569875"/>
    <n v="6105375"/>
    <n v="6462375"/>
    <d v="2025-07-01T00:00:00"/>
    <d v="2023-09-01T00:00:00"/>
  </r>
  <r>
    <m/>
    <s v="A"/>
    <s v="A6"/>
    <s v="RESIDENTIAL"/>
    <n v="3"/>
    <n v="4"/>
    <x v="131"/>
    <s v="2 BEDROOM"/>
    <s v="C1"/>
    <n v="97.09"/>
    <n v="106.42834764160796"/>
    <x v="10"/>
    <m/>
    <m/>
    <s v="NE"/>
    <s v="MIDDLE"/>
    <s v="ROAD 18M (BUILDINGS)"/>
    <s v="THIRD"/>
    <x v="1"/>
    <n v="0.15"/>
    <n v="2.5000000000000001E-2"/>
    <n v="0.15"/>
    <n v="0.15"/>
    <n v="0.04"/>
    <n v="0.51500000000000001"/>
    <x v="1"/>
    <x v="3"/>
    <n v="42500"/>
    <n v="47500"/>
    <n v="5000"/>
    <n v="2575"/>
    <n v="45075"/>
    <n v="14874.75"/>
    <n v="49575"/>
    <n v="52575"/>
    <n v="5363925"/>
    <n v="5899425"/>
    <n v="6256425"/>
    <n v="0"/>
    <n v="455933.62500000006"/>
    <n v="1"/>
    <n v="200000"/>
    <n v="200000"/>
    <n v="5563925"/>
    <n v="6099425"/>
    <n v="6456425"/>
    <d v="2025-07-01T00:00:00"/>
    <d v="2023-09-01T00:00:00"/>
  </r>
  <r>
    <m/>
    <s v="A"/>
    <s v="A6"/>
    <s v="RESIDENTIAL"/>
    <n v="4"/>
    <n v="1"/>
    <x v="132"/>
    <s v="2 BEDROOM"/>
    <s v="C1"/>
    <n v="89.12"/>
    <n v="97.691774042847882"/>
    <x v="4"/>
    <m/>
    <m/>
    <s v="NE"/>
    <s v="MIDDLE"/>
    <s v="ROAD 18M (BUILDINGS)"/>
    <s v="FORTH"/>
    <x v="1"/>
    <n v="0.15"/>
    <n v="2.5000000000000001E-2"/>
    <n v="0.15"/>
    <n v="0.06"/>
    <n v="0.04"/>
    <n v="0.42499999999999993"/>
    <x v="0"/>
    <x v="12"/>
    <n v="50150"/>
    <n v="56050"/>
    <n v="5900"/>
    <n v="2507.4999999999995"/>
    <n v="52657.5"/>
    <n v="17376.975000000002"/>
    <n v="57157.5"/>
    <n v="60157.5"/>
    <n v="5792325"/>
    <n v="6287325"/>
    <n v="6617325"/>
    <n v="0"/>
    <n v="492347.62500000006"/>
    <n v="1"/>
    <n v="236000"/>
    <n v="236000"/>
    <n v="6028325"/>
    <n v="6523325"/>
    <n v="6853325"/>
    <d v="2025-07-01T00:00:00"/>
    <d v="2025-04-01T00:00:00"/>
  </r>
  <r>
    <m/>
    <s v="A"/>
    <s v="A6"/>
    <s v="RESIDENTIAL"/>
    <n v="4"/>
    <n v="2"/>
    <x v="133"/>
    <s v="2 BEDROOM"/>
    <s v="C1"/>
    <n v="90.52"/>
    <n v="99.22642938014576"/>
    <x v="2"/>
    <m/>
    <m/>
    <s v="SW"/>
    <s v="MIDDLE"/>
    <s v="LAYAN VILLAS"/>
    <s v="FORTH"/>
    <x v="1"/>
    <n v="0.06"/>
    <n v="2.5000000000000001E-2"/>
    <n v="0.2"/>
    <n v="0.06"/>
    <n v="0.04"/>
    <n v="0.38500000000000001"/>
    <x v="0"/>
    <x v="6"/>
    <n v="44625"/>
    <n v="49875"/>
    <n v="5250"/>
    <n v="2021.25"/>
    <n v="46646.25"/>
    <n v="15393.262500000001"/>
    <n v="51146.25"/>
    <n v="54146.25"/>
    <n v="5177733.75"/>
    <n v="5677233.75"/>
    <n v="6010233.75"/>
    <n v="0"/>
    <n v="440107.36875000002"/>
    <n v="1"/>
    <n v="210000"/>
    <n v="210000"/>
    <n v="5387733.75"/>
    <n v="5887233.75"/>
    <n v="6220233.75"/>
    <d v="2025-07-01T00:00:00"/>
    <d v="2024-04-01T00:00:00"/>
  </r>
  <r>
    <m/>
    <s v="A"/>
    <s v="A6"/>
    <s v="RESIDENTIAL"/>
    <n v="4"/>
    <n v="3"/>
    <x v="134"/>
    <s v="2 BEDROOM"/>
    <s v="C1"/>
    <n v="98.57"/>
    <n v="108.05069756960856"/>
    <x v="8"/>
    <m/>
    <m/>
    <s v="SW"/>
    <s v="MIDDLE"/>
    <s v="SEMI LAKE AND FENCE"/>
    <s v="FORTH"/>
    <x v="1"/>
    <n v="0.06"/>
    <n v="2.5000000000000001E-2"/>
    <n v="0.25"/>
    <n v="0.06"/>
    <n v="0.04"/>
    <n v="0.43499999999999994"/>
    <x v="0"/>
    <x v="4"/>
    <n v="51850"/>
    <n v="57950"/>
    <n v="6100"/>
    <n v="2653.4999999999995"/>
    <n v="54503.5"/>
    <n v="17986.155000000002"/>
    <n v="59003.5"/>
    <n v="62003.5"/>
    <n v="6594923.5"/>
    <n v="7139423.5"/>
    <n v="7502423.5"/>
    <n v="0"/>
    <n v="560568.49750000006"/>
    <n v="1"/>
    <n v="244000"/>
    <n v="244000"/>
    <n v="6838923.5"/>
    <n v="7383423.5"/>
    <n v="7746423.5"/>
    <d v="2025-07-01T00:00:00"/>
    <d v="2025-07-01T00:00:00"/>
  </r>
  <r>
    <m/>
    <s v="A"/>
    <s v="A6"/>
    <s v="RESIDENTIAL"/>
    <n v="4"/>
    <n v="4"/>
    <x v="135"/>
    <s v="2 BEDROOM"/>
    <s v="C1"/>
    <n v="97.17"/>
    <n v="106.5160422323107"/>
    <x v="9"/>
    <m/>
    <m/>
    <s v="NE"/>
    <s v="MIDDLE"/>
    <s v="ROAD 18M (BUILDINGS)"/>
    <s v="FORTH"/>
    <x v="1"/>
    <n v="0.15"/>
    <n v="2.5000000000000001E-2"/>
    <n v="0.15"/>
    <n v="0.06"/>
    <n v="0.04"/>
    <n v="0.42499999999999993"/>
    <x v="0"/>
    <x v="12"/>
    <n v="50150"/>
    <n v="56050"/>
    <n v="5900"/>
    <n v="2507.4999999999995"/>
    <n v="52657.5"/>
    <n v="17376.975000000002"/>
    <n v="57157.5"/>
    <n v="60157.5"/>
    <n v="6318900"/>
    <n v="6858900"/>
    <n v="7218900"/>
    <n v="0"/>
    <n v="537106.5"/>
    <n v="1"/>
    <n v="236000"/>
    <n v="236000"/>
    <n v="6554900"/>
    <n v="7094900"/>
    <n v="7454900"/>
    <d v="2025-07-01T00:00:00"/>
    <d v="2025-04-01T00:00:00"/>
  </r>
  <r>
    <s v="A'"/>
    <s v="A"/>
    <s v="A7"/>
    <s v="RESIDENTIAL"/>
    <n v="0"/>
    <n v="1"/>
    <x v="136"/>
    <s v="2 BEDROOM"/>
    <s v="C1"/>
    <n v="98.17"/>
    <n v="107.61045029101562"/>
    <x v="8"/>
    <n v="31.597899999999999"/>
    <m/>
    <s v="NE"/>
    <s v="MIDDLE"/>
    <s v="ROAD 18M (BUILDINGS)"/>
    <s v="GROUND"/>
    <x v="1"/>
    <n v="0.15"/>
    <n v="2.5000000000000001E-2"/>
    <n v="0.15"/>
    <n v="0.05"/>
    <n v="0.04"/>
    <n v="0.41499999999999992"/>
    <x v="0"/>
    <x v="1"/>
    <n v="48450.000000000007"/>
    <n v="54150.000000000007"/>
    <n v="5700"/>
    <n v="2365.4999999999995"/>
    <n v="50815.500000000007"/>
    <n v="16769.115000000002"/>
    <n v="55315.500000000007"/>
    <n v="58315.500000000007"/>
    <n v="6148675.5000000009"/>
    <n v="6693175.5000000009"/>
    <n v="7056175.5000000009"/>
    <n v="529868.81885849999"/>
    <n v="567676.2671029726"/>
    <n v="1"/>
    <n v="228000.00000000003"/>
    <n v="228000.00000000003"/>
    <n v="6906544.3188585006"/>
    <n v="7451044.3188585006"/>
    <n v="7814044.3188585006"/>
    <d v="2025-07-01T00:00:00"/>
    <d v="2025-01-01T00:00:00"/>
  </r>
  <r>
    <m/>
    <s v="A"/>
    <s v="A7"/>
    <s v="RESIDENTIAL"/>
    <n v="0"/>
    <n v="2"/>
    <x v="137"/>
    <s v="2 BEDROOM"/>
    <s v="C1"/>
    <n v="97.98"/>
    <n v="107.40217907215759"/>
    <x v="8"/>
    <n v="50.705300000000001"/>
    <m/>
    <s v="SW"/>
    <s v="MIDDLE"/>
    <s v="LAKE A-2"/>
    <s v="GROUND"/>
    <x v="1"/>
    <n v="0.06"/>
    <n v="2.5000000000000001E-2"/>
    <n v="0.4"/>
    <n v="0.05"/>
    <n v="0.04"/>
    <n v="0.57500000000000007"/>
    <x v="1"/>
    <x v="3"/>
    <n v="42500"/>
    <n v="47500"/>
    <n v="5000"/>
    <n v="2875.0000000000005"/>
    <n v="45375"/>
    <n v="14973.75"/>
    <n v="49875"/>
    <n v="52875"/>
    <n v="5490375"/>
    <n v="6034875"/>
    <n v="6397875"/>
    <n v="759248.48587500001"/>
    <n v="531217.99629937508"/>
    <n v="1"/>
    <n v="200000"/>
    <n v="200000"/>
    <n v="6449623.4858750002"/>
    <n v="6994123.4858750002"/>
    <n v="7357123.4858750002"/>
    <d v="2025-07-01T00:00:00"/>
    <d v="2023-09-01T00:00:00"/>
  </r>
  <r>
    <m/>
    <s v="A"/>
    <s v="A7"/>
    <s v="RESIDENTIAL"/>
    <n v="0"/>
    <n v="3"/>
    <x v="138"/>
    <s v="2 BEDROOM"/>
    <s v="C1"/>
    <n v="89.96"/>
    <n v="98.610941307729092"/>
    <x v="2"/>
    <n v="50.503900000000002"/>
    <m/>
    <s v="SW"/>
    <s v="MIDDLE"/>
    <s v="LAKE A-2"/>
    <s v="GROUND"/>
    <x v="1"/>
    <n v="0.06"/>
    <n v="2.5000000000000001E-2"/>
    <n v="0.4"/>
    <n v="0.05"/>
    <n v="0.04"/>
    <n v="0.57500000000000007"/>
    <x v="1"/>
    <x v="3"/>
    <n v="42500"/>
    <n v="47500"/>
    <n v="5000"/>
    <n v="2875.0000000000005"/>
    <n v="45375"/>
    <n v="14973.75"/>
    <n v="49875"/>
    <n v="52875"/>
    <n v="5036625"/>
    <n v="5536125"/>
    <n v="5869125"/>
    <n v="756232.77262499998"/>
    <n v="492392.91067312506"/>
    <n v="1"/>
    <n v="200000"/>
    <n v="200000"/>
    <n v="5992857.7726250002"/>
    <n v="6492357.7726250002"/>
    <n v="6825357.7726250002"/>
    <d v="2025-07-01T00:00:00"/>
    <d v="2023-09-01T00:00:00"/>
  </r>
  <r>
    <m/>
    <s v="A"/>
    <s v="A7"/>
    <s v="RESIDENTIAL"/>
    <n v="0"/>
    <n v="4"/>
    <x v="139"/>
    <s v="1 BEDROOM (STUDIO)"/>
    <s v="C1"/>
    <n v="60.98"/>
    <n v="66.844099610330375"/>
    <x v="3"/>
    <n v="23.799600000000002"/>
    <m/>
    <s v="NE"/>
    <s v="MIDDLE"/>
    <s v="ROAD 18M (BUILDINGS)"/>
    <s v="GROUND"/>
    <x v="2"/>
    <n v="0.15"/>
    <n v="2.5000000000000001E-2"/>
    <n v="0.15"/>
    <n v="0.05"/>
    <n v="0.05"/>
    <n v="0.42499999999999993"/>
    <x v="0"/>
    <x v="4"/>
    <n v="51850"/>
    <n v="57950"/>
    <n v="6100"/>
    <n v="2592.4999999999995"/>
    <n v="54442.5"/>
    <n v="17966.025000000001"/>
    <n v="58942.5"/>
    <n v="61942.5"/>
    <n v="4083187.5"/>
    <n v="4420687.5"/>
    <n v="4645687.5"/>
    <n v="427584.20859000005"/>
    <n v="383415.59523015004"/>
    <n v="1"/>
    <n v="244000"/>
    <n v="244000"/>
    <n v="4754771.7085899999"/>
    <n v="5092271.7085899999"/>
    <n v="5317271.7085899999"/>
    <d v="2025-07-01T00:00:00"/>
    <d v="2025-07-01T00:00:00"/>
  </r>
  <r>
    <m/>
    <s v="A"/>
    <s v="A7"/>
    <s v="RESIDENTIAL"/>
    <n v="1"/>
    <n v="1"/>
    <x v="140"/>
    <s v="2 BEDROOM"/>
    <s v="C1"/>
    <n v="97.09"/>
    <n v="106.42659283645419"/>
    <x v="10"/>
    <m/>
    <m/>
    <s v="NE"/>
    <s v="MIDDLE"/>
    <s v="ROAD 18M (BUILDINGS)"/>
    <s v="FIRST"/>
    <x v="1"/>
    <n v="0.15"/>
    <n v="2.5000000000000001E-2"/>
    <n v="0.15"/>
    <n v="7.0000000000000007E-2"/>
    <n v="0.04"/>
    <n v="0.43499999999999994"/>
    <x v="0"/>
    <x v="4"/>
    <n v="51850"/>
    <n v="57950"/>
    <n v="6100"/>
    <n v="2653.4999999999995"/>
    <n v="54503.5"/>
    <n v="17986.155000000002"/>
    <n v="59003.5"/>
    <n v="62003.5"/>
    <n v="6485916.5"/>
    <n v="7021416.5"/>
    <n v="7378416.5"/>
    <n v="0"/>
    <n v="551302.90250000008"/>
    <n v="1"/>
    <n v="244000"/>
    <n v="244000"/>
    <n v="6729916.5"/>
    <n v="7265416.5"/>
    <n v="7622416.5"/>
    <d v="2025-07-01T00:00:00"/>
    <d v="2025-07-01T00:00:00"/>
  </r>
  <r>
    <m/>
    <s v="A"/>
    <s v="A7"/>
    <s v="RESIDENTIAL"/>
    <n v="1"/>
    <n v="2"/>
    <x v="141"/>
    <s v="2 BEDROOM"/>
    <s v="C1"/>
    <n v="97.06"/>
    <n v="106.39370790716082"/>
    <x v="10"/>
    <m/>
    <m/>
    <s v="SW"/>
    <s v="MIDDLE"/>
    <s v="LAKE A-2"/>
    <s v="FIRST"/>
    <x v="1"/>
    <n v="0.06"/>
    <n v="2.5000000000000001E-2"/>
    <n v="0.4"/>
    <n v="7.0000000000000007E-2"/>
    <n v="0.04"/>
    <n v="0.59499999999999997"/>
    <x v="1"/>
    <x v="0"/>
    <n v="43562.499999999993"/>
    <n v="48687.499999999993"/>
    <n v="5125"/>
    <n v="3049.375"/>
    <n v="46611.874999999993"/>
    <n v="15381.918749999999"/>
    <n v="51111.874999999993"/>
    <n v="54111.874999999993"/>
    <n v="5546813.1249999991"/>
    <n v="6082313.1249999991"/>
    <n v="6439313.1249999991"/>
    <n v="0"/>
    <n v="471479.11562499998"/>
    <n v="1"/>
    <n v="204999.99999999997"/>
    <n v="204999.99999999997"/>
    <n v="5751813.1249999991"/>
    <n v="6287313.1249999991"/>
    <n v="6644313.1249999991"/>
    <d v="2025-07-01T00:00:00"/>
    <d v="2024-01-01T00:00:00"/>
  </r>
  <r>
    <m/>
    <s v="A"/>
    <s v="A7"/>
    <s v="RESIDENTIAL"/>
    <n v="1"/>
    <n v="3"/>
    <x v="142"/>
    <s v="2 BEDROOM"/>
    <s v="C1"/>
    <n v="89.05"/>
    <n v="97.613431785830102"/>
    <x v="4"/>
    <m/>
    <m/>
    <s v="SW"/>
    <s v="MIDDLE"/>
    <s v="LAKE A-2"/>
    <s v="FIRST"/>
    <x v="1"/>
    <n v="0.06"/>
    <n v="2.5000000000000001E-2"/>
    <n v="0.4"/>
    <n v="7.0000000000000007E-2"/>
    <n v="0.04"/>
    <n v="0.59499999999999997"/>
    <x v="1"/>
    <x v="0"/>
    <n v="43562.499999999993"/>
    <n v="48687.499999999993"/>
    <n v="5125"/>
    <n v="3049.375"/>
    <n v="46611.874999999993"/>
    <n v="15381.918749999999"/>
    <n v="51111.874999999993"/>
    <n v="54111.874999999993"/>
    <n v="5127306.2499999991"/>
    <n v="5622306.2499999991"/>
    <n v="5952306.2499999991"/>
    <n v="0"/>
    <n v="435821.03124999994"/>
    <n v="1"/>
    <n v="204999.99999999997"/>
    <n v="204999.99999999997"/>
    <n v="5332306.2499999991"/>
    <n v="5827306.2499999991"/>
    <n v="6157306.2499999991"/>
    <d v="2025-07-01T00:00:00"/>
    <d v="2024-01-01T00:00:00"/>
  </r>
  <r>
    <m/>
    <s v="A"/>
    <s v="A7"/>
    <s v="RESIDENTIAL"/>
    <n v="1"/>
    <n v="4"/>
    <x v="143"/>
    <s v="1 BEDROOM (STUDIO)"/>
    <s v="C1"/>
    <n v="61.82"/>
    <n v="67.764877630544831"/>
    <x v="5"/>
    <m/>
    <m/>
    <s v="NE"/>
    <s v="MIDDLE"/>
    <s v="ROAD 18M (BUILDINGS)"/>
    <s v="FIRST"/>
    <x v="2"/>
    <n v="0.15"/>
    <n v="2.5000000000000001E-2"/>
    <n v="0.15"/>
    <n v="7.0000000000000007E-2"/>
    <n v="0.05"/>
    <n v="0.44499999999999995"/>
    <x v="0"/>
    <x v="10"/>
    <n v="53550"/>
    <n v="59850"/>
    <n v="6300"/>
    <n v="2803.4999999999995"/>
    <n v="56353.5"/>
    <n v="18596.655000000002"/>
    <n v="60853.5"/>
    <n v="63853.5"/>
    <n v="4282866"/>
    <n v="4624866"/>
    <n v="4852866"/>
    <n v="0"/>
    <n v="364043.61000000004"/>
    <n v="1"/>
    <n v="252000"/>
    <n v="252000"/>
    <n v="4534866"/>
    <n v="4876866"/>
    <n v="5104866"/>
    <d v="2025-07-01T00:00:00"/>
    <d v="2025-10-01T00:00:00"/>
  </r>
  <r>
    <m/>
    <s v="A"/>
    <s v="A7"/>
    <s v="RESIDENTIAL"/>
    <n v="2"/>
    <n v="1"/>
    <x v="144"/>
    <s v="2 BEDROOM"/>
    <s v="C1"/>
    <n v="98.95"/>
    <n v="108.46545845264333"/>
    <x v="11"/>
    <m/>
    <m/>
    <s v="NE"/>
    <s v="MIDDLE"/>
    <s v="ROAD 18M (BUILDINGS)"/>
    <s v="SECOND"/>
    <x v="1"/>
    <n v="0.15"/>
    <n v="2.5000000000000001E-2"/>
    <n v="0.15"/>
    <n v="0.11"/>
    <n v="0.04"/>
    <n v="0.47499999999999992"/>
    <x v="0"/>
    <x v="7"/>
    <n v="61625"/>
    <n v="68875"/>
    <n v="7250"/>
    <n v="3443.7499999999995"/>
    <n v="65068.75"/>
    <n v="21472.6875"/>
    <n v="69568.75"/>
    <n v="72568.75"/>
    <n v="7938387.5"/>
    <n v="8487387.5"/>
    <n v="8853387.5"/>
    <n v="0"/>
    <n v="674762.9375"/>
    <n v="1"/>
    <n v="290000"/>
    <n v="290000"/>
    <n v="8228387.5"/>
    <n v="8777387.5"/>
    <n v="9143387.5"/>
    <d v="2025-07-01T00:00:00"/>
    <d v="2026-07-01T00:00:00"/>
  </r>
  <r>
    <m/>
    <s v="A"/>
    <s v="A7"/>
    <s v="RESIDENTIAL"/>
    <n v="2"/>
    <n v="2"/>
    <x v="145"/>
    <s v="2 BEDROOM"/>
    <s v="C1"/>
    <n v="98.95"/>
    <n v="108.46545845264333"/>
    <x v="11"/>
    <m/>
    <m/>
    <s v="SW"/>
    <s v="MIDDLE"/>
    <s v="LAKE A-2"/>
    <s v="SECOND"/>
    <x v="1"/>
    <n v="0.06"/>
    <n v="2.5000000000000001E-2"/>
    <n v="0.4"/>
    <n v="0.11"/>
    <n v="0.04"/>
    <n v="0.63500000000000001"/>
    <x v="1"/>
    <x v="2"/>
    <n v="45687.5"/>
    <n v="51062.5"/>
    <n v="5375"/>
    <n v="3413.125"/>
    <n v="49100.625"/>
    <n v="16203.206250000001"/>
    <n v="53600.625"/>
    <n v="56600.625"/>
    <n v="5990276.25"/>
    <n v="6539276.25"/>
    <n v="6905276.25"/>
    <n v="0"/>
    <n v="509173.48125000001"/>
    <n v="1"/>
    <n v="215000"/>
    <n v="215000"/>
    <n v="6205276.25"/>
    <n v="6754276.25"/>
    <n v="7120276.25"/>
    <d v="2025-07-01T00:00:00"/>
    <d v="2024-07-01T00:00:00"/>
  </r>
  <r>
    <m/>
    <s v="A"/>
    <s v="A7"/>
    <s v="RESIDENTIAL"/>
    <n v="2"/>
    <n v="3"/>
    <x v="146"/>
    <s v="2 BEDROOM"/>
    <s v="C1"/>
    <n v="90.91"/>
    <n v="99.652297402019258"/>
    <x v="7"/>
    <m/>
    <m/>
    <s v="SW"/>
    <s v="MIDDLE"/>
    <s v="LAKE A-2"/>
    <s v="SECOND"/>
    <x v="1"/>
    <n v="0.06"/>
    <n v="2.5000000000000001E-2"/>
    <n v="0.4"/>
    <n v="0.11"/>
    <n v="0.04"/>
    <n v="0.63500000000000001"/>
    <x v="1"/>
    <x v="2"/>
    <n v="45687.5"/>
    <n v="51062.5"/>
    <n v="5375"/>
    <n v="3413.125"/>
    <n v="49100.625"/>
    <n v="16203.206250000001"/>
    <n v="53600.625"/>
    <n v="56600.625"/>
    <n v="5499270"/>
    <n v="6003270"/>
    <n v="6339270"/>
    <n v="0"/>
    <n v="467437.95"/>
    <n v="1"/>
    <n v="215000"/>
    <n v="215000"/>
    <n v="5714270"/>
    <n v="6218270"/>
    <n v="6554270"/>
    <d v="2025-07-01T00:00:00"/>
    <d v="2024-07-01T00:00:00"/>
  </r>
  <r>
    <m/>
    <s v="A"/>
    <s v="A7"/>
    <s v="RESIDENTIAL"/>
    <n v="2"/>
    <n v="4"/>
    <x v="147"/>
    <s v="2 BEDROOM"/>
    <s v="C1"/>
    <n v="90.91"/>
    <n v="99.652297402019258"/>
    <x v="7"/>
    <m/>
    <m/>
    <s v="NE"/>
    <s v="MIDDLE"/>
    <s v="ROAD 18M (BUILDINGS)"/>
    <s v="SECOND"/>
    <x v="1"/>
    <n v="0.15"/>
    <n v="2.5000000000000001E-2"/>
    <n v="0.15"/>
    <n v="0.11"/>
    <n v="0.04"/>
    <n v="0.47499999999999992"/>
    <x v="0"/>
    <x v="7"/>
    <n v="61625"/>
    <n v="68875"/>
    <n v="7250"/>
    <n v="3443.7499999999995"/>
    <n v="65068.75"/>
    <n v="21472.6875"/>
    <n v="69568.75"/>
    <n v="72568.75"/>
    <n v="7287700"/>
    <n v="7791700"/>
    <n v="8127700"/>
    <n v="0"/>
    <n v="619454.5"/>
    <n v="1"/>
    <n v="290000"/>
    <n v="290000"/>
    <n v="7577700"/>
    <n v="8081700"/>
    <n v="8417700"/>
    <d v="2025-07-01T00:00:00"/>
    <d v="2026-07-01T00:00:00"/>
  </r>
  <r>
    <m/>
    <s v="A"/>
    <s v="A7"/>
    <s v="RESIDENTIAL"/>
    <n v="3"/>
    <n v="1"/>
    <x v="148"/>
    <s v="2 BEDROOM"/>
    <s v="C1"/>
    <n v="97.09"/>
    <n v="106.42659283645419"/>
    <x v="10"/>
    <m/>
    <m/>
    <s v="NE"/>
    <s v="MIDDLE"/>
    <s v="ROAD 18M (BUILDINGS)"/>
    <s v="THIRD"/>
    <x v="1"/>
    <n v="0.15"/>
    <n v="2.5000000000000001E-2"/>
    <n v="0.15"/>
    <n v="0.15"/>
    <n v="0.04"/>
    <n v="0.51500000000000001"/>
    <x v="1"/>
    <x v="3"/>
    <n v="42500"/>
    <n v="47500"/>
    <n v="5000"/>
    <n v="2575"/>
    <n v="45075"/>
    <n v="14874.75"/>
    <n v="49575"/>
    <n v="52575"/>
    <n v="5363925"/>
    <n v="5899425"/>
    <n v="6256425"/>
    <n v="0"/>
    <n v="455933.62500000006"/>
    <n v="1"/>
    <n v="200000"/>
    <n v="200000"/>
    <n v="5563925"/>
    <n v="6099425"/>
    <n v="6456425"/>
    <d v="2025-07-01T00:00:00"/>
    <d v="2023-09-01T00:00:00"/>
  </r>
  <r>
    <m/>
    <s v="A"/>
    <s v="A7"/>
    <s v="RESIDENTIAL"/>
    <n v="3"/>
    <n v="2"/>
    <x v="149"/>
    <s v="2 BEDROOM"/>
    <s v="C1"/>
    <n v="97.09"/>
    <n v="106.42659283645419"/>
    <x v="10"/>
    <m/>
    <m/>
    <s v="SW"/>
    <s v="MIDDLE"/>
    <s v="LAKE A-2"/>
    <s v="THIRD"/>
    <x v="1"/>
    <n v="0.06"/>
    <n v="2.5000000000000001E-2"/>
    <n v="0.4"/>
    <n v="0.15"/>
    <n v="0.04"/>
    <n v="0.67500000000000004"/>
    <x v="1"/>
    <x v="1"/>
    <n v="48450.000000000007"/>
    <n v="54150.000000000007"/>
    <n v="5700"/>
    <n v="3847.5000000000005"/>
    <n v="52297.500000000007"/>
    <n v="17258.175000000003"/>
    <n v="56797.500000000007"/>
    <n v="59797.500000000007"/>
    <n v="6223402.5000000009"/>
    <n v="6758902.5000000009"/>
    <n v="7115902.5000000009"/>
    <n v="0"/>
    <n v="528989.21250000014"/>
    <n v="1"/>
    <n v="228000.00000000003"/>
    <n v="228000.00000000003"/>
    <n v="6451402.5000000009"/>
    <n v="6986902.5000000009"/>
    <n v="7343902.5000000009"/>
    <d v="2025-07-01T00:00:00"/>
    <d v="2025-01-01T00:00:00"/>
  </r>
  <r>
    <m/>
    <s v="A"/>
    <s v="A7"/>
    <s v="RESIDENTIAL"/>
    <n v="3"/>
    <n v="3"/>
    <x v="150"/>
    <s v="2 BEDROOM"/>
    <s v="C1"/>
    <n v="89.05"/>
    <n v="97.613431785830102"/>
    <x v="4"/>
    <m/>
    <m/>
    <s v="SW"/>
    <s v="MIDDLE"/>
    <s v="LAKE A-2"/>
    <s v="THIRD"/>
    <x v="1"/>
    <n v="0.06"/>
    <n v="2.5000000000000001E-2"/>
    <n v="0.4"/>
    <n v="0.15"/>
    <n v="0.04"/>
    <n v="0.67500000000000004"/>
    <x v="1"/>
    <x v="1"/>
    <n v="48450.000000000007"/>
    <n v="54150.000000000007"/>
    <n v="5700"/>
    <n v="3847.5000000000005"/>
    <n v="52297.500000000007"/>
    <n v="17258.175000000003"/>
    <n v="56797.500000000007"/>
    <n v="59797.500000000007"/>
    <n v="5752725.0000000009"/>
    <n v="6247725.0000000009"/>
    <n v="6577725.0000000009"/>
    <n v="0"/>
    <n v="488981.62500000012"/>
    <n v="1"/>
    <n v="228000.00000000003"/>
    <n v="228000.00000000003"/>
    <n v="5980725.0000000009"/>
    <n v="6475725.0000000009"/>
    <n v="6805725.0000000009"/>
    <d v="2025-07-01T00:00:00"/>
    <d v="2025-01-01T00:00:00"/>
  </r>
  <r>
    <m/>
    <s v="A"/>
    <s v="A7"/>
    <s v="RESIDENTIAL"/>
    <n v="3"/>
    <n v="4"/>
    <x v="151"/>
    <s v="2 BEDROOM"/>
    <s v="C1"/>
    <n v="89.05"/>
    <n v="97.613431785830102"/>
    <x v="4"/>
    <m/>
    <m/>
    <s v="NE"/>
    <s v="MIDDLE"/>
    <s v="ROAD 18M (BUILDINGS)"/>
    <s v="THIRD"/>
    <x v="1"/>
    <n v="0.15"/>
    <n v="2.5000000000000001E-2"/>
    <n v="0.15"/>
    <n v="0.15"/>
    <n v="0.04"/>
    <n v="0.51500000000000001"/>
    <x v="1"/>
    <x v="3"/>
    <n v="42500"/>
    <n v="47500"/>
    <n v="5000"/>
    <n v="2575"/>
    <n v="45075"/>
    <n v="14874.75"/>
    <n v="49575"/>
    <n v="52575"/>
    <n v="4958250"/>
    <n v="5453250"/>
    <n v="5783250"/>
    <n v="0"/>
    <n v="421451.25000000006"/>
    <n v="1"/>
    <n v="200000"/>
    <n v="200000"/>
    <n v="5158250"/>
    <n v="5653250"/>
    <n v="5983250"/>
    <d v="2025-07-01T00:00:00"/>
    <d v="2023-09-01T00:00:00"/>
  </r>
  <r>
    <m/>
    <s v="A"/>
    <s v="A7"/>
    <s v="RESIDENTIAL"/>
    <n v="4"/>
    <n v="1"/>
    <x v="152"/>
    <s v="2 BEDROOM"/>
    <s v="C1"/>
    <n v="97.17"/>
    <n v="106.51428598123651"/>
    <x v="9"/>
    <m/>
    <m/>
    <s v="NE"/>
    <s v="MIDDLE"/>
    <s v="ROAD 18M (BUILDINGS)"/>
    <s v="FORTH"/>
    <x v="1"/>
    <n v="0.15"/>
    <n v="2.5000000000000001E-2"/>
    <n v="0.15"/>
    <n v="0.06"/>
    <n v="0.04"/>
    <n v="0.42499999999999993"/>
    <x v="0"/>
    <x v="12"/>
    <n v="50150"/>
    <n v="56050"/>
    <n v="5900"/>
    <n v="2507.4999999999995"/>
    <n v="52657.5"/>
    <n v="17376.975000000002"/>
    <n v="57157.5"/>
    <n v="60157.5"/>
    <n v="6318900"/>
    <n v="6858900"/>
    <n v="7218900"/>
    <n v="0"/>
    <n v="537106.5"/>
    <n v="1"/>
    <n v="236000"/>
    <n v="236000"/>
    <n v="6554900"/>
    <n v="7094900"/>
    <n v="7454900"/>
    <d v="2025-07-01T00:00:00"/>
    <d v="2025-04-01T00:00:00"/>
  </r>
  <r>
    <m/>
    <s v="A"/>
    <s v="A7"/>
    <s v="RESIDENTIAL"/>
    <n v="4"/>
    <n v="2"/>
    <x v="153"/>
    <s v="2 BEDROOM"/>
    <s v="C1"/>
    <n v="98.57"/>
    <n v="108.04891601492726"/>
    <x v="8"/>
    <m/>
    <m/>
    <s v="SW"/>
    <s v="MIDDLE"/>
    <s v="LAKE A-2"/>
    <s v="FORTH"/>
    <x v="1"/>
    <n v="0.06"/>
    <n v="2.5000000000000001E-2"/>
    <n v="0.4"/>
    <n v="0.06"/>
    <n v="0.04"/>
    <n v="0.58499999999999996"/>
    <x v="1"/>
    <x v="3"/>
    <n v="42500"/>
    <n v="47500"/>
    <n v="5000"/>
    <n v="2925"/>
    <n v="45425"/>
    <n v="14990.25"/>
    <n v="49925"/>
    <n v="52925"/>
    <n v="5496425"/>
    <n v="6040925"/>
    <n v="6403925"/>
    <n v="0"/>
    <n v="467196.12500000006"/>
    <n v="1"/>
    <n v="200000"/>
    <n v="200000"/>
    <n v="5696425"/>
    <n v="6240925"/>
    <n v="6603925"/>
    <d v="2025-07-01T00:00:00"/>
    <d v="2023-09-01T00:00:00"/>
  </r>
  <r>
    <m/>
    <s v="A"/>
    <s v="A7"/>
    <s v="RESIDENTIAL"/>
    <n v="4"/>
    <n v="3"/>
    <x v="154"/>
    <s v="2 BEDROOM"/>
    <s v="C1"/>
    <n v="90.52"/>
    <n v="99.224793321205397"/>
    <x v="2"/>
    <m/>
    <m/>
    <s v="SW"/>
    <s v="MIDDLE"/>
    <s v="LAKE A-2"/>
    <s v="FORTH"/>
    <x v="1"/>
    <n v="0.06"/>
    <n v="2.5000000000000001E-2"/>
    <n v="0.4"/>
    <n v="0.06"/>
    <n v="0.04"/>
    <n v="0.58499999999999996"/>
    <x v="1"/>
    <x v="3"/>
    <n v="42500"/>
    <n v="47500"/>
    <n v="5000"/>
    <n v="2925"/>
    <n v="45425"/>
    <n v="14990.25"/>
    <n v="49925"/>
    <n v="52925"/>
    <n v="5042175"/>
    <n v="5541675"/>
    <n v="5874675"/>
    <n v="0"/>
    <n v="428584.87500000006"/>
    <n v="1"/>
    <n v="200000"/>
    <n v="200000"/>
    <n v="5242175"/>
    <n v="5741675"/>
    <n v="6074675"/>
    <d v="2025-07-01T00:00:00"/>
    <d v="2023-09-01T00:00:00"/>
  </r>
  <r>
    <m/>
    <s v="A"/>
    <s v="A7"/>
    <s v="RESIDENTIAL"/>
    <n v="4"/>
    <n v="4"/>
    <x v="155"/>
    <s v="2 BEDROOM"/>
    <s v="C1"/>
    <n v="89.12"/>
    <n v="97.69016328751465"/>
    <x v="4"/>
    <m/>
    <m/>
    <s v="NE"/>
    <s v="MIDDLE"/>
    <s v="ROAD 18M (BUILDINGS)"/>
    <s v="FORTH"/>
    <x v="1"/>
    <n v="0.15"/>
    <n v="2.5000000000000001E-2"/>
    <n v="0.15"/>
    <n v="0.06"/>
    <n v="0.04"/>
    <n v="0.42499999999999993"/>
    <x v="0"/>
    <x v="4"/>
    <n v="51850"/>
    <n v="57950"/>
    <n v="6100"/>
    <n v="2592.4999999999995"/>
    <n v="54442.5"/>
    <n v="17966.025000000001"/>
    <n v="58942.5"/>
    <n v="61942.5"/>
    <n v="5988675"/>
    <n v="6483675"/>
    <n v="6813675"/>
    <n v="0"/>
    <n v="509037.37500000006"/>
    <n v="1"/>
    <n v="244000"/>
    <n v="244000"/>
    <n v="6232675"/>
    <n v="6727675"/>
    <n v="7057675"/>
    <d v="2025-07-01T00:00:00"/>
    <d v="2025-07-01T00:00:00"/>
  </r>
  <r>
    <s v="A'"/>
    <s v="A"/>
    <s v="A8"/>
    <s v="RESIDENTIAL"/>
    <n v="0"/>
    <n v="1"/>
    <x v="156"/>
    <s v="1 BEDROOM (STUDIO)"/>
    <s v="C1"/>
    <n v="60.98"/>
    <n v="66.556564006124674"/>
    <x v="3"/>
    <n v="23.800799999999999"/>
    <m/>
    <s v="NE"/>
    <s v="MIDDLE"/>
    <s v="ROAD 18M (BUILDINGS)"/>
    <s v="GROUND"/>
    <x v="2"/>
    <n v="0.15"/>
    <n v="2.5000000000000001E-2"/>
    <n v="0.15"/>
    <n v="0.05"/>
    <n v="0.05"/>
    <n v="0.42499999999999993"/>
    <x v="0"/>
    <x v="4"/>
    <n v="51850"/>
    <n v="57950"/>
    <n v="6100"/>
    <n v="2592.4999999999995"/>
    <n v="54442.5"/>
    <n v="17966.025000000001"/>
    <n v="58942.5"/>
    <n v="61942.5"/>
    <n v="4083187.5"/>
    <n v="4420687.5"/>
    <n v="4645687.5"/>
    <n v="427605.76782000001"/>
    <n v="383417.42776470003"/>
    <n v="1"/>
    <n v="244000"/>
    <n v="244000"/>
    <n v="4754793.2678199997"/>
    <n v="5092293.2678199997"/>
    <n v="5317293.2678199997"/>
    <d v="2025-07-01T00:00:00"/>
    <d v="2025-07-01T00:00:00"/>
  </r>
  <r>
    <m/>
    <s v="A"/>
    <s v="A8"/>
    <s v="RESIDENTIAL"/>
    <n v="0"/>
    <n v="2"/>
    <x v="157"/>
    <s v="2 BEDROOM"/>
    <s v="C1"/>
    <n v="89.96"/>
    <n v="98.186757920481725"/>
    <x v="2"/>
    <n v="50.507800000000003"/>
    <m/>
    <s v="SW"/>
    <s v="MIDDLE"/>
    <s v="LAKE A-2"/>
    <s v="GROUND"/>
    <x v="1"/>
    <n v="0.06"/>
    <n v="2.5000000000000001E-2"/>
    <n v="0.4"/>
    <n v="0.05"/>
    <n v="0.04"/>
    <n v="0.57500000000000007"/>
    <x v="1"/>
    <x v="3"/>
    <n v="42500"/>
    <n v="47500"/>
    <n v="5000"/>
    <n v="2875.0000000000005"/>
    <n v="45375"/>
    <n v="14973.75"/>
    <n v="49875"/>
    <n v="52875"/>
    <n v="5036625"/>
    <n v="5536125"/>
    <n v="5869125"/>
    <n v="756291.17025000008"/>
    <n v="492397.87447125005"/>
    <n v="1"/>
    <n v="200000"/>
    <n v="200000"/>
    <n v="5992916.1702500004"/>
    <n v="6492416.1702500004"/>
    <n v="6825416.1702500004"/>
    <d v="2025-07-01T00:00:00"/>
    <d v="2023-09-01T00:00:00"/>
  </r>
  <r>
    <m/>
    <s v="A"/>
    <s v="A8"/>
    <s v="RESIDENTIAL"/>
    <n v="0"/>
    <n v="3"/>
    <x v="158"/>
    <s v="2 BEDROOM"/>
    <s v="C1"/>
    <n v="110.14"/>
    <n v="120.21220005960269"/>
    <x v="1"/>
    <n v="59.482100000000003"/>
    <m/>
    <s v="SW"/>
    <s v="CORNER "/>
    <s v="LAKE A-2"/>
    <s v="GROUND"/>
    <x v="0"/>
    <n v="0.06"/>
    <n v="0.05"/>
    <n v="0.4"/>
    <n v="0.05"/>
    <n v="3.5000000000000003E-2"/>
    <n v="0.59500000000000008"/>
    <x v="1"/>
    <x v="0"/>
    <n v="43562.499999999993"/>
    <n v="48687.499999999993"/>
    <n v="5125"/>
    <n v="3049.3750000000005"/>
    <n v="46611.874999999993"/>
    <n v="15381.918749999999"/>
    <n v="51111.874999999993"/>
    <n v="54111.874999999993"/>
    <n v="6292603.1249999991"/>
    <n v="6900103.1249999991"/>
    <n v="7305103.1249999991"/>
    <n v="914948.82927937503"/>
    <n v="612641.91611374682"/>
    <n v="2"/>
    <n v="204999.99999999997"/>
    <n v="204999.99999999997"/>
    <n v="7412551.9542793743"/>
    <n v="8020051.9542793743"/>
    <n v="8425051.9542793743"/>
    <d v="2025-07-01T00:00:00"/>
    <d v="2024-01-01T00:00:00"/>
  </r>
  <r>
    <m/>
    <s v="A"/>
    <s v="A8"/>
    <s v="RESIDENTIAL"/>
    <n v="0"/>
    <n v="4"/>
    <x v="159"/>
    <s v="2 BEDROOM"/>
    <s v="C1"/>
    <n v="110.32"/>
    <n v="120.40866089136887"/>
    <x v="0"/>
    <n v="50.038899999999998"/>
    <m/>
    <s v="NE"/>
    <s v="CORNER "/>
    <s v="ROAD 18M (BUILDINGS)"/>
    <s v="GROUND"/>
    <x v="0"/>
    <n v="0.15"/>
    <n v="0.05"/>
    <n v="0.15"/>
    <n v="0.05"/>
    <n v="3.5000000000000003E-2"/>
    <n v="0.43499999999999994"/>
    <x v="0"/>
    <x v="4"/>
    <n v="51850"/>
    <n v="57950"/>
    <n v="6100"/>
    <n v="2653.4999999999995"/>
    <n v="54503.5"/>
    <n v="17986.155000000002"/>
    <n v="59003.5"/>
    <n v="62003.5"/>
    <n v="7412476"/>
    <n v="8024476"/>
    <n v="8432476"/>
    <n v="900007.41142950009"/>
    <n v="706561.08997150755"/>
    <n v="2"/>
    <n v="244000"/>
    <n v="244000"/>
    <n v="8556483.4114295002"/>
    <n v="9168483.4114295002"/>
    <n v="9576483.4114295002"/>
    <d v="2025-07-01T00:00:00"/>
    <d v="2025-07-01T00:00:00"/>
  </r>
  <r>
    <m/>
    <s v="A"/>
    <s v="A8"/>
    <s v="RESIDENTIAL"/>
    <n v="1"/>
    <n v="1"/>
    <x v="160"/>
    <s v="1 BEDROOM (STUDIO)"/>
    <s v="C1"/>
    <n v="61.82"/>
    <n v="67.473381221033577"/>
    <x v="5"/>
    <m/>
    <m/>
    <s v="NE"/>
    <s v="MIDDLE"/>
    <s v="ROAD 18M (BUILDINGS)"/>
    <s v="FIRST"/>
    <x v="2"/>
    <n v="0.15"/>
    <n v="2.5000000000000001E-2"/>
    <n v="0.15"/>
    <n v="7.0000000000000007E-2"/>
    <n v="0.05"/>
    <n v="0.44499999999999995"/>
    <x v="0"/>
    <x v="10"/>
    <n v="53550"/>
    <n v="59850"/>
    <n v="6300"/>
    <n v="2803.4999999999995"/>
    <n v="56353.5"/>
    <n v="18596.655000000002"/>
    <n v="60853.5"/>
    <n v="63853.5"/>
    <n v="4282866"/>
    <n v="4624866"/>
    <n v="4852866"/>
    <n v="0"/>
    <n v="364043.61000000004"/>
    <n v="1"/>
    <n v="252000"/>
    <n v="252000"/>
    <n v="4534866"/>
    <n v="4876866"/>
    <n v="5104866"/>
    <d v="2025-07-01T00:00:00"/>
    <d v="2025-10-01T00:00:00"/>
  </r>
  <r>
    <m/>
    <s v="A"/>
    <s v="A8"/>
    <s v="RESIDENTIAL"/>
    <n v="1"/>
    <n v="2"/>
    <x v="161"/>
    <s v="2 BEDROOM"/>
    <s v="C1"/>
    <n v="89.05"/>
    <n v="97.193539270997093"/>
    <x v="4"/>
    <m/>
    <m/>
    <s v="SW"/>
    <s v="MIDDLE"/>
    <s v="LAKE A-2"/>
    <s v="FIRST"/>
    <x v="1"/>
    <n v="0.06"/>
    <n v="2.5000000000000001E-2"/>
    <n v="0.4"/>
    <n v="7.0000000000000007E-2"/>
    <n v="0.04"/>
    <n v="0.59499999999999997"/>
    <x v="1"/>
    <x v="0"/>
    <n v="43562.499999999993"/>
    <n v="48687.499999999993"/>
    <n v="5125"/>
    <n v="3049.375"/>
    <n v="46611.874999999993"/>
    <n v="15381.918749999999"/>
    <n v="51111.874999999993"/>
    <n v="54111.874999999993"/>
    <n v="5127306.2499999991"/>
    <n v="5622306.2499999991"/>
    <n v="5952306.2499999991"/>
    <n v="0"/>
    <n v="435821.03124999994"/>
    <n v="1"/>
    <n v="204999.99999999997"/>
    <n v="204999.99999999997"/>
    <n v="5332306.2499999991"/>
    <n v="5827306.2499999991"/>
    <n v="6157306.2499999991"/>
    <d v="2025-07-01T00:00:00"/>
    <d v="2024-01-01T00:00:00"/>
  </r>
  <r>
    <m/>
    <s v="A"/>
    <s v="A8"/>
    <s v="RESIDENTIAL"/>
    <n v="1"/>
    <n v="3"/>
    <x v="162"/>
    <s v="2 BEDROOM"/>
    <s v="C1"/>
    <n v="110.14"/>
    <n v="120.21220005960269"/>
    <x v="1"/>
    <m/>
    <m/>
    <s v="SW"/>
    <s v="CORNER "/>
    <s v="LAKE A-2"/>
    <s v="FIRST"/>
    <x v="0"/>
    <n v="0.06"/>
    <n v="0.05"/>
    <n v="0.4"/>
    <n v="7.0000000000000007E-2"/>
    <n v="3.5000000000000003E-2"/>
    <n v="0.6150000000000001"/>
    <x v="1"/>
    <x v="6"/>
    <n v="44625"/>
    <n v="49875"/>
    <n v="5250"/>
    <n v="3228.7500000000005"/>
    <n v="47853.75"/>
    <n v="15791.737500000001"/>
    <n v="52353.75"/>
    <n v="55353.75"/>
    <n v="6460256.25"/>
    <n v="7067756.25"/>
    <n v="7472756.25"/>
    <n v="0"/>
    <n v="549121.78125"/>
    <n v="2"/>
    <n v="210000"/>
    <n v="210000"/>
    <n v="6670256.25"/>
    <n v="7277756.25"/>
    <n v="7682756.25"/>
    <d v="2025-07-01T00:00:00"/>
    <d v="2024-04-01T00:00:00"/>
  </r>
  <r>
    <m/>
    <s v="A"/>
    <s v="A8"/>
    <s v="RESIDENTIAL"/>
    <n v="1"/>
    <n v="4"/>
    <x v="163"/>
    <s v="2 BEDROOM"/>
    <s v="C1"/>
    <n v="110.61"/>
    <n v="120.72518112032553"/>
    <x v="0"/>
    <m/>
    <m/>
    <s v="NE"/>
    <s v="CORNER "/>
    <s v="ROAD 18M (BUILDINGS)"/>
    <s v="FIRST"/>
    <x v="0"/>
    <n v="0.15"/>
    <n v="0.05"/>
    <n v="0.15"/>
    <n v="7.0000000000000007E-2"/>
    <n v="3.5000000000000003E-2"/>
    <n v="0.45499999999999996"/>
    <x v="0"/>
    <x v="8"/>
    <n v="56100"/>
    <n v="62700"/>
    <n v="6600"/>
    <n v="3002.9999999999995"/>
    <n v="59103"/>
    <n v="19503.990000000002"/>
    <n v="63603"/>
    <n v="66603"/>
    <n v="8038008"/>
    <n v="8650008"/>
    <n v="9058008"/>
    <n v="0"/>
    <n v="683230.68"/>
    <n v="2"/>
    <n v="264000"/>
    <n v="264000"/>
    <n v="8302008"/>
    <n v="8914008"/>
    <n v="9322008"/>
    <d v="2025-07-01T00:00:00"/>
    <d v="2026-01-01T00:00:00"/>
  </r>
  <r>
    <m/>
    <s v="A"/>
    <s v="A8"/>
    <s v="RESIDENTIAL"/>
    <n v="2"/>
    <n v="1"/>
    <x v="164"/>
    <s v="2 BEDROOM"/>
    <s v="C1"/>
    <n v="90.91"/>
    <n v="99.223634532581073"/>
    <x v="7"/>
    <m/>
    <m/>
    <s v="NE"/>
    <s v="MIDDLE"/>
    <s v="ROAD 18M (BUILDINGS)"/>
    <s v="SECOND"/>
    <x v="1"/>
    <n v="0.15"/>
    <n v="2.5000000000000001E-2"/>
    <n v="0.15"/>
    <n v="0.11"/>
    <n v="0.04"/>
    <n v="0.47499999999999992"/>
    <x v="0"/>
    <x v="7"/>
    <n v="61625"/>
    <n v="68875"/>
    <n v="7250"/>
    <n v="3443.7499999999995"/>
    <n v="65068.75"/>
    <n v="21472.6875"/>
    <n v="69568.75"/>
    <n v="72568.75"/>
    <n v="7287700"/>
    <n v="7791700"/>
    <n v="8127700"/>
    <n v="0"/>
    <n v="619454.5"/>
    <n v="1"/>
    <n v="290000"/>
    <n v="290000"/>
    <n v="7577700"/>
    <n v="8081700"/>
    <n v="8417700"/>
    <d v="2025-07-01T00:00:00"/>
    <d v="2026-07-01T00:00:00"/>
  </r>
  <r>
    <m/>
    <s v="A"/>
    <s v="A8"/>
    <s v="RESIDENTIAL"/>
    <n v="2"/>
    <n v="2"/>
    <x v="165"/>
    <s v="2 BEDROOM"/>
    <s v="C1"/>
    <n v="90.91"/>
    <n v="99.223634532581073"/>
    <x v="7"/>
    <m/>
    <m/>
    <s v="SW"/>
    <s v="MIDDLE"/>
    <s v="LAKE A-2"/>
    <s v="SECOND"/>
    <x v="1"/>
    <n v="0.06"/>
    <n v="2.5000000000000001E-2"/>
    <n v="0.4"/>
    <n v="0.11"/>
    <n v="0.04"/>
    <n v="0.63500000000000001"/>
    <x v="1"/>
    <x v="2"/>
    <n v="45687.5"/>
    <n v="51062.5"/>
    <n v="5375"/>
    <n v="3413.125"/>
    <n v="49100.625"/>
    <n v="16203.206250000001"/>
    <n v="53600.625"/>
    <n v="56600.625"/>
    <n v="5499270"/>
    <n v="6003270"/>
    <n v="6339270"/>
    <n v="0"/>
    <n v="467437.95"/>
    <n v="1"/>
    <n v="215000"/>
    <n v="215000"/>
    <n v="5714270"/>
    <n v="6218270"/>
    <n v="6554270"/>
    <d v="2025-07-01T00:00:00"/>
    <d v="2024-07-01T00:00:00"/>
  </r>
  <r>
    <m/>
    <s v="A"/>
    <s v="A8"/>
    <s v="RESIDENTIAL"/>
    <n v="2"/>
    <n v="3"/>
    <x v="166"/>
    <s v="2 BEDROOM"/>
    <s v="C1"/>
    <n v="112.2"/>
    <n v="122.46058513426023"/>
    <x v="6"/>
    <m/>
    <m/>
    <s v="SW"/>
    <s v="CORNER "/>
    <s v="LAKE A-2"/>
    <s v="SECOND"/>
    <x v="0"/>
    <n v="0.06"/>
    <n v="0.05"/>
    <n v="0.4"/>
    <n v="0.11"/>
    <n v="3.5000000000000003E-2"/>
    <n v="0.65500000000000003"/>
    <x v="1"/>
    <x v="5"/>
    <n v="46750.000000000007"/>
    <n v="52250.000000000007"/>
    <n v="5500"/>
    <n v="3602.5"/>
    <n v="50352.500000000007"/>
    <n v="16616.325000000004"/>
    <n v="54852.500000000007"/>
    <n v="57852.500000000007"/>
    <n v="6948645.0000000009"/>
    <n v="7569645.0000000009"/>
    <n v="7983645.0000000009"/>
    <n v="0"/>
    <n v="590634.82500000007"/>
    <n v="2"/>
    <n v="220000.00000000003"/>
    <n v="220000.00000000003"/>
    <n v="7168645.0000000009"/>
    <n v="7789645.0000000009"/>
    <n v="8203645.0000000009"/>
    <d v="2025-07-01T00:00:00"/>
    <d v="2024-10-01T00:00:00"/>
  </r>
  <r>
    <m/>
    <s v="A"/>
    <s v="A8"/>
    <s v="RESIDENTIAL"/>
    <n v="2"/>
    <n v="4"/>
    <x v="167"/>
    <s v="2 BEDROOM"/>
    <s v="C1"/>
    <n v="112.2"/>
    <n v="122.46058513426023"/>
    <x v="6"/>
    <m/>
    <m/>
    <s v="NE"/>
    <s v="CORNER "/>
    <s v="ROAD 18M (BUILDINGS)"/>
    <s v="SECOND"/>
    <x v="0"/>
    <n v="0.15"/>
    <n v="0.05"/>
    <n v="0.15"/>
    <n v="0.11"/>
    <n v="3.5000000000000003E-2"/>
    <n v="0.495"/>
    <x v="0"/>
    <x v="7"/>
    <n v="61625"/>
    <n v="68875"/>
    <n v="7250"/>
    <n v="3588.75"/>
    <n v="65213.75"/>
    <n v="21520.537500000002"/>
    <n v="69713.75"/>
    <n v="72713.75"/>
    <n v="8999497.5"/>
    <n v="9620497.5"/>
    <n v="10034497.5"/>
    <n v="0"/>
    <n v="764957.28750000009"/>
    <n v="2"/>
    <n v="290000"/>
    <n v="290000"/>
    <n v="9289497.5"/>
    <n v="9910497.5"/>
    <n v="10324497.5"/>
    <d v="2025-07-01T00:00:00"/>
    <d v="2026-07-01T00:00:00"/>
  </r>
  <r>
    <m/>
    <s v="A"/>
    <s v="A8"/>
    <s v="RESIDENTIAL"/>
    <n v="3"/>
    <n v="1"/>
    <x v="168"/>
    <s v="2 BEDROOM"/>
    <s v="C1"/>
    <n v="89.05"/>
    <n v="97.193539270997093"/>
    <x v="4"/>
    <m/>
    <m/>
    <s v="NE"/>
    <s v="MIDDLE"/>
    <s v="ROAD 18M (BUILDINGS)"/>
    <s v="THIRD"/>
    <x v="1"/>
    <n v="0.15"/>
    <n v="2.5000000000000001E-2"/>
    <n v="0.15"/>
    <n v="0.15"/>
    <n v="0.04"/>
    <n v="0.51500000000000001"/>
    <x v="1"/>
    <x v="3"/>
    <n v="42500"/>
    <n v="47500"/>
    <n v="5000"/>
    <n v="2575"/>
    <n v="45075"/>
    <n v="14874.75"/>
    <n v="49575"/>
    <n v="52575"/>
    <n v="4958250"/>
    <n v="5453250"/>
    <n v="5783250"/>
    <n v="0"/>
    <n v="421451.25000000006"/>
    <n v="1"/>
    <n v="200000"/>
    <n v="200000"/>
    <n v="5158250"/>
    <n v="5653250"/>
    <n v="5983250"/>
    <d v="2025-07-01T00:00:00"/>
    <d v="2023-09-01T00:00:00"/>
  </r>
  <r>
    <m/>
    <s v="A"/>
    <s v="A8"/>
    <s v="RESIDENTIAL"/>
    <n v="3"/>
    <n v="2"/>
    <x v="169"/>
    <s v="2 BEDROOM"/>
    <s v="C1"/>
    <n v="89.05"/>
    <n v="97.193539270997093"/>
    <x v="4"/>
    <m/>
    <m/>
    <s v="SW"/>
    <s v="MIDDLE"/>
    <s v="LAKE A-2"/>
    <s v="THIRD"/>
    <x v="1"/>
    <n v="0.06"/>
    <n v="2.5000000000000001E-2"/>
    <n v="0.4"/>
    <n v="0.15"/>
    <n v="0.04"/>
    <n v="0.67500000000000004"/>
    <x v="1"/>
    <x v="1"/>
    <n v="48450.000000000007"/>
    <n v="54150.000000000007"/>
    <n v="5700"/>
    <n v="3847.5000000000005"/>
    <n v="52297.500000000007"/>
    <n v="17258.175000000003"/>
    <n v="56797.500000000007"/>
    <n v="59797.500000000007"/>
    <n v="5752725.0000000009"/>
    <n v="6247725.0000000009"/>
    <n v="6577725.0000000009"/>
    <n v="0"/>
    <n v="488981.62500000012"/>
    <n v="1"/>
    <n v="228000.00000000003"/>
    <n v="228000.00000000003"/>
    <n v="5980725.0000000009"/>
    <n v="6475725.0000000009"/>
    <n v="6805725.0000000009"/>
    <d v="2025-07-01T00:00:00"/>
    <d v="2025-01-01T00:00:00"/>
  </r>
  <r>
    <m/>
    <s v="A"/>
    <s v="A8"/>
    <s v="RESIDENTIAL"/>
    <n v="3"/>
    <n v="3"/>
    <x v="170"/>
    <s v="2 BEDROOM"/>
    <s v="C1"/>
    <n v="110.14"/>
    <n v="120.21220005960269"/>
    <x v="1"/>
    <m/>
    <m/>
    <s v="SW"/>
    <s v="CORNER "/>
    <s v="LAKE A-2"/>
    <s v="THIRD"/>
    <x v="0"/>
    <n v="0.06"/>
    <n v="0.05"/>
    <n v="0.4"/>
    <n v="0.15"/>
    <n v="3.5000000000000003E-2"/>
    <n v="0.69500000000000006"/>
    <x v="1"/>
    <x v="4"/>
    <n v="51850"/>
    <n v="57950"/>
    <n v="6100"/>
    <n v="4239.5"/>
    <n v="56089.5"/>
    <n v="18509.535"/>
    <n v="60589.5"/>
    <n v="63589.5"/>
    <n v="7572082.5"/>
    <n v="8179582.5"/>
    <n v="8584582.5"/>
    <n v="0"/>
    <n v="643627.01250000007"/>
    <n v="2"/>
    <n v="244000"/>
    <n v="244000"/>
    <n v="7816082.5"/>
    <n v="8423582.5"/>
    <n v="8828582.5"/>
    <d v="2025-07-01T00:00:00"/>
    <d v="2025-07-01T00:00:00"/>
  </r>
  <r>
    <m/>
    <s v="A"/>
    <s v="A8"/>
    <s v="RESIDENTIAL"/>
    <n v="3"/>
    <n v="4"/>
    <x v="171"/>
    <s v="2 BEDROOM"/>
    <s v="C1"/>
    <n v="110.14"/>
    <n v="120.21220005960269"/>
    <x v="1"/>
    <m/>
    <m/>
    <s v="NE"/>
    <s v="CORNER "/>
    <s v="ROAD 18M (BUILDINGS)"/>
    <s v="THIRD"/>
    <x v="0"/>
    <n v="0.15"/>
    <n v="0.05"/>
    <n v="0.15"/>
    <n v="0.15"/>
    <n v="3.5000000000000003E-2"/>
    <n v="0.53500000000000003"/>
    <x v="1"/>
    <x v="3"/>
    <n v="42500"/>
    <n v="47500"/>
    <n v="5000"/>
    <n v="2675"/>
    <n v="45175"/>
    <n v="14907.75"/>
    <n v="49675"/>
    <n v="52675"/>
    <n v="6098625"/>
    <n v="6706125"/>
    <n v="7111125"/>
    <n v="0"/>
    <n v="518383.12500000006"/>
    <n v="2"/>
    <n v="200000"/>
    <n v="200000"/>
    <n v="6298625"/>
    <n v="6906125"/>
    <n v="7311125"/>
    <d v="2025-07-01T00:00:00"/>
    <d v="2023-09-01T00:00:00"/>
  </r>
  <r>
    <m/>
    <s v="A"/>
    <s v="A8"/>
    <s v="RESIDENTIAL"/>
    <n v="4"/>
    <n v="1"/>
    <x v="172"/>
    <s v="2 BEDROOM"/>
    <s v="C1"/>
    <n v="89.12"/>
    <n v="97.269940705572836"/>
    <x v="4"/>
    <m/>
    <m/>
    <s v="NE"/>
    <s v="MIDDLE"/>
    <s v="ROAD 18M (BUILDINGS)"/>
    <s v="FORTH"/>
    <x v="1"/>
    <n v="0.15"/>
    <n v="2.5000000000000001E-2"/>
    <n v="0.15"/>
    <n v="0.06"/>
    <n v="0.04"/>
    <n v="0.42499999999999993"/>
    <x v="0"/>
    <x v="12"/>
    <n v="50150"/>
    <n v="56050"/>
    <n v="5900"/>
    <n v="2507.4999999999995"/>
    <n v="52657.5"/>
    <n v="17376.975000000002"/>
    <n v="57157.5"/>
    <n v="60157.5"/>
    <n v="5792325"/>
    <n v="6287325"/>
    <n v="6617325"/>
    <n v="0"/>
    <n v="492347.62500000006"/>
    <n v="1"/>
    <n v="236000"/>
    <n v="236000"/>
    <n v="6028325"/>
    <n v="6523325"/>
    <n v="6853325"/>
    <d v="2025-07-01T00:00:00"/>
    <d v="2025-04-01T00:00:00"/>
  </r>
  <r>
    <m/>
    <s v="A"/>
    <s v="A8"/>
    <s v="RESIDENTIAL"/>
    <n v="4"/>
    <n v="2"/>
    <x v="173"/>
    <s v="2 BEDROOM"/>
    <s v="C1"/>
    <n v="89.12"/>
    <n v="97.269940705572836"/>
    <x v="4"/>
    <m/>
    <m/>
    <s v="SW"/>
    <s v="MIDDLE"/>
    <s v="LAKE A-2"/>
    <s v="FORTH"/>
    <x v="1"/>
    <n v="0.06"/>
    <n v="2.5000000000000001E-2"/>
    <n v="0.4"/>
    <n v="0.06"/>
    <n v="0.04"/>
    <n v="0.58499999999999996"/>
    <x v="1"/>
    <x v="3"/>
    <n v="42500"/>
    <n v="47500"/>
    <n v="5000"/>
    <n v="2925"/>
    <n v="45425"/>
    <n v="14990.25"/>
    <n v="49925"/>
    <n v="52925"/>
    <n v="4996750"/>
    <n v="5491750"/>
    <n v="5821750"/>
    <n v="0"/>
    <n v="424723.75000000006"/>
    <n v="1"/>
    <n v="200000"/>
    <n v="200000"/>
    <n v="5196750"/>
    <n v="5691750"/>
    <n v="6021750"/>
    <d v="2025-07-01T00:00:00"/>
    <d v="2023-09-01T00:00:00"/>
  </r>
  <r>
    <m/>
    <s v="A"/>
    <s v="A8"/>
    <s v="RESIDENTIAL"/>
    <n v="4"/>
    <n v="3"/>
    <x v="174"/>
    <s v="2 BEDROOM"/>
    <s v="C1"/>
    <n v="110.18"/>
    <n v="120.25585802221741"/>
    <x v="0"/>
    <m/>
    <m/>
    <s v="SW"/>
    <s v="CORNER "/>
    <s v="LAKE A-2"/>
    <s v="FORTH"/>
    <x v="0"/>
    <n v="0.06"/>
    <n v="0.05"/>
    <n v="0.4"/>
    <n v="0.06"/>
    <n v="3.5000000000000003E-2"/>
    <n v="0.60500000000000009"/>
    <x v="1"/>
    <x v="0"/>
    <n v="43562.499999999993"/>
    <n v="48687.499999999993"/>
    <n v="5125"/>
    <n v="3100.6250000000005"/>
    <n v="46663.124999999993"/>
    <n v="15398.831249999997"/>
    <n v="51163.124999999993"/>
    <n v="54163.124999999993"/>
    <n v="6346184.9999999991"/>
    <n v="6958184.9999999991"/>
    <n v="7366184.9999999991"/>
    <n v="0"/>
    <n v="539425.72499999998"/>
    <n v="2"/>
    <n v="204999.99999999997"/>
    <n v="204999.99999999997"/>
    <n v="6551184.9999999991"/>
    <n v="7163184.9999999991"/>
    <n v="7571184.9999999991"/>
    <d v="2025-07-01T00:00:00"/>
    <d v="2024-01-01T00:00:00"/>
  </r>
  <r>
    <m/>
    <s v="A"/>
    <s v="A8"/>
    <s v="RESIDENTIAL"/>
    <n v="4"/>
    <n v="4"/>
    <x v="175"/>
    <s v="2 BEDROOM"/>
    <s v="C1"/>
    <n v="110.18"/>
    <n v="120.25585802221741"/>
    <x v="0"/>
    <m/>
    <m/>
    <s v="NE"/>
    <s v="CORNER "/>
    <s v="ROAD 18M (BUILDINGS)"/>
    <s v="FORTH"/>
    <x v="0"/>
    <n v="0.15"/>
    <n v="0.05"/>
    <n v="0.15"/>
    <n v="0.06"/>
    <n v="3.5000000000000003E-2"/>
    <n v="0.44499999999999995"/>
    <x v="0"/>
    <x v="10"/>
    <n v="53550"/>
    <n v="59850"/>
    <n v="6300"/>
    <n v="2803.4999999999995"/>
    <n v="56353.5"/>
    <n v="18596.655000000002"/>
    <n v="60853.5"/>
    <n v="63853.5"/>
    <n v="7664076"/>
    <n v="8276076"/>
    <n v="8684076"/>
    <n v="0"/>
    <n v="651446.46000000008"/>
    <n v="2"/>
    <n v="252000"/>
    <n v="252000"/>
    <n v="7916076"/>
    <n v="8528076"/>
    <n v="8936076"/>
    <d v="2025-07-01T00:00:00"/>
    <d v="2025-10-01T00:00:00"/>
  </r>
  <r>
    <s v="B2"/>
    <s v="B"/>
    <s v="B1"/>
    <s v="RESIDENTIAL"/>
    <n v="0"/>
    <n v="1"/>
    <x v="176"/>
    <s v="2 BEDROOM"/>
    <s v="C1"/>
    <n v="94.92"/>
    <n v="105.12823941945527"/>
    <x v="17"/>
    <n v="62.601799999999997"/>
    <m/>
    <s v="SW"/>
    <s v="MIDDLE"/>
    <s v="ROAD 18M (BUILDINGS)"/>
    <s v="GROUND"/>
    <x v="1"/>
    <n v="0.06"/>
    <n v="2.5000000000000001E-2"/>
    <n v="0.15"/>
    <n v="0.05"/>
    <n v="0.04"/>
    <n v="0.32499999999999996"/>
    <x v="0"/>
    <x v="3"/>
    <n v="42500"/>
    <n v="47500"/>
    <n v="5000"/>
    <n v="1624.9999999999998"/>
    <n v="44125"/>
    <n v="14561.25"/>
    <n v="48625"/>
    <n v="51625"/>
    <n v="5118500"/>
    <n v="5640500"/>
    <n v="5988500"/>
    <n v="911560.46025"/>
    <n v="512555.13912125002"/>
    <n v="1"/>
    <n v="200000"/>
    <n v="200000"/>
    <n v="6230060.4602499995"/>
    <n v="6752060.4602499995"/>
    <n v="7100060.4602499995"/>
    <d v="2025-07-01T00:00:00"/>
    <d v="2023-09-01T00:00:00"/>
  </r>
  <r>
    <m/>
    <s v="B"/>
    <s v="B1"/>
    <s v="RESIDENTIAL"/>
    <n v="0"/>
    <n v="2"/>
    <x v="177"/>
    <s v="3 BEDROOM"/>
    <s v="C1"/>
    <n v="163.35"/>
    <n v="180.91759280623702"/>
    <x v="18"/>
    <n v="76.321799999999996"/>
    <m/>
    <s v="NE"/>
    <s v="MIDDLE"/>
    <s v="LAKE B-1"/>
    <s v="GROUND"/>
    <x v="3"/>
    <n v="0.15"/>
    <n v="2.5000000000000001E-2"/>
    <n v="0.6"/>
    <n v="0.05"/>
    <n v="1.4999999999999999E-2"/>
    <n v="0.84"/>
    <x v="2"/>
    <x v="4"/>
    <n v="51850"/>
    <n v="57950"/>
    <n v="6100"/>
    <n v="5124"/>
    <n v="56974"/>
    <n v="18801.420000000002"/>
    <n v="61474"/>
    <n v="64474"/>
    <n v="11337826"/>
    <n v="12233326"/>
    <n v="12830326"/>
    <n v="1434958.2169560001"/>
    <n v="1085686.6584412602"/>
    <n v="2"/>
    <n v="244000"/>
    <n v="244000"/>
    <n v="13016784.216956001"/>
    <n v="13912284.216956001"/>
    <n v="14509284.216956001"/>
    <d v="2025-07-01T00:00:00"/>
    <d v="2025-07-01T00:00:00"/>
  </r>
  <r>
    <m/>
    <s v="B"/>
    <s v="B1"/>
    <s v="RESIDENTIAL"/>
    <n v="0"/>
    <n v="3"/>
    <x v="178"/>
    <s v="3 BEDROOM + LIVING"/>
    <s v="C1"/>
    <n v="183.89"/>
    <n v="203.66658182515411"/>
    <x v="19"/>
    <n v="61.571399999999997"/>
    <m/>
    <s v="NE"/>
    <s v="CORNER "/>
    <s v="LAKE B-1"/>
    <s v="GROUND"/>
    <x v="3"/>
    <n v="0.15"/>
    <n v="0.05"/>
    <n v="0.6"/>
    <n v="0.05"/>
    <n v="1.4999999999999999E-2"/>
    <n v="0.8650000000000001"/>
    <x v="2"/>
    <x v="10"/>
    <n v="53550"/>
    <n v="59850"/>
    <n v="6300"/>
    <n v="5449.5000000000009"/>
    <n v="58999.5"/>
    <n v="19469.834999999999"/>
    <n v="63499.5"/>
    <n v="66499.5"/>
    <n v="13215888"/>
    <n v="14223888"/>
    <n v="14895888"/>
    <n v="1198784.9987189998"/>
    <n v="1225247.204891115"/>
    <n v="2"/>
    <n v="252000"/>
    <n v="252000"/>
    <n v="14666672.998718999"/>
    <n v="15674672.998718999"/>
    <n v="16346672.998718999"/>
    <d v="2025-07-01T00:00:00"/>
    <d v="2025-10-01T00:00:00"/>
  </r>
  <r>
    <m/>
    <s v="B"/>
    <s v="B1"/>
    <s v="RESIDENTIAL"/>
    <n v="0"/>
    <n v="4"/>
    <x v="179"/>
    <s v="3 BEDROOM"/>
    <s v="C1"/>
    <n v="144.21"/>
    <n v="159.71916779055672"/>
    <x v="20"/>
    <n v="83.296199999999999"/>
    <m/>
    <s v="SW"/>
    <s v="CORNER "/>
    <s v="ROAD 18M (BUILDINGS)"/>
    <s v="GROUND"/>
    <x v="4"/>
    <n v="0.06"/>
    <n v="0.05"/>
    <n v="0.15"/>
    <n v="0.05"/>
    <n v="2.5000000000000001E-2"/>
    <n v="0.33500000000000002"/>
    <x v="0"/>
    <x v="3"/>
    <n v="42500"/>
    <n v="47500"/>
    <n v="5000"/>
    <n v="1675"/>
    <n v="44175"/>
    <n v="14577.75"/>
    <n v="48675"/>
    <n v="51675"/>
    <n v="7774800"/>
    <n v="8566800"/>
    <n v="9094800"/>
    <n v="1214271.17955"/>
    <n v="764071.05026175"/>
    <n v="2"/>
    <n v="200000"/>
    <n v="200000"/>
    <n v="9189071.1795499995"/>
    <n v="9981071.1795499995"/>
    <n v="10509071.17955"/>
    <d v="2025-07-01T00:00:00"/>
    <d v="2023-09-01T00:00:00"/>
  </r>
  <r>
    <m/>
    <s v="B"/>
    <s v="B1"/>
    <s v="RESIDENTIAL"/>
    <n v="1"/>
    <n v="1"/>
    <x v="180"/>
    <s v="2 BEDROOM"/>
    <s v="C1"/>
    <n v="96.29"/>
    <n v="106.64557705119415"/>
    <x v="21"/>
    <m/>
    <m/>
    <s v="SW"/>
    <s v="MIDDLE"/>
    <s v="ROAD 18M (BUILDINGS)"/>
    <s v="FIRST"/>
    <x v="1"/>
    <n v="0.06"/>
    <n v="2.5000000000000001E-2"/>
    <n v="0.15"/>
    <n v="7.0000000000000007E-2"/>
    <n v="0.04"/>
    <n v="0.34499999999999997"/>
    <x v="0"/>
    <x v="3"/>
    <n v="42500"/>
    <n v="47500"/>
    <n v="5000"/>
    <n v="1724.9999999999998"/>
    <n v="44225"/>
    <n v="14594.25"/>
    <n v="48725"/>
    <n v="51725"/>
    <n v="5174325"/>
    <n v="5700825"/>
    <n v="6051825"/>
    <n v="0"/>
    <n v="439817.62500000006"/>
    <n v="1"/>
    <n v="200000"/>
    <n v="200000"/>
    <n v="5374325"/>
    <n v="5900825"/>
    <n v="6251825"/>
    <d v="2025-07-01T00:00:00"/>
    <d v="2023-09-01T00:00:00"/>
  </r>
  <r>
    <m/>
    <s v="B"/>
    <s v="B1"/>
    <s v="RESIDENTIAL"/>
    <n v="1"/>
    <n v="2"/>
    <x v="181"/>
    <s v="3 BEDROOM"/>
    <s v="C1"/>
    <n v="163.05000000000001"/>
    <n v="180.58532909125773"/>
    <x v="18"/>
    <m/>
    <m/>
    <s v="NE"/>
    <s v="MIDDLE"/>
    <s v="LAKE B-1"/>
    <s v="FIRST"/>
    <x v="3"/>
    <n v="0.15"/>
    <n v="2.5000000000000001E-2"/>
    <n v="0.6"/>
    <n v="7.0000000000000007E-2"/>
    <n v="1.4999999999999999E-2"/>
    <n v="0.86"/>
    <x v="2"/>
    <x v="10"/>
    <n v="53550"/>
    <n v="59850"/>
    <n v="6300"/>
    <n v="5418"/>
    <n v="58968"/>
    <n v="19459.440000000002"/>
    <n v="63468"/>
    <n v="66468"/>
    <n v="11734632"/>
    <n v="12630132"/>
    <n v="13227132"/>
    <n v="0"/>
    <n v="997443.72000000009"/>
    <n v="2"/>
    <n v="252000"/>
    <n v="252000"/>
    <n v="11986632"/>
    <n v="12882132"/>
    <n v="13479132"/>
    <d v="2025-07-01T00:00:00"/>
    <d v="2025-10-01T00:00:00"/>
  </r>
  <r>
    <m/>
    <s v="B"/>
    <s v="B1"/>
    <s v="RESIDENTIAL"/>
    <n v="1"/>
    <n v="3"/>
    <x v="182"/>
    <s v="3 BEDROOM + LIVING"/>
    <s v="C1"/>
    <n v="183.59"/>
    <n v="203.33431811017482"/>
    <x v="19"/>
    <m/>
    <m/>
    <s v="NE"/>
    <s v="CORNER "/>
    <s v="LAKE B-1"/>
    <s v="FIRST"/>
    <x v="3"/>
    <n v="0.15"/>
    <n v="0.05"/>
    <n v="0.6"/>
    <n v="7.0000000000000007E-2"/>
    <n v="1.4999999999999999E-2"/>
    <n v="0.88500000000000012"/>
    <x v="2"/>
    <x v="8"/>
    <n v="56100"/>
    <n v="62700"/>
    <n v="6600"/>
    <n v="5841.0000000000009"/>
    <n v="61941"/>
    <n v="20440.530000000002"/>
    <n v="66441"/>
    <n v="69441"/>
    <n v="13874784"/>
    <n v="14882784"/>
    <n v="15554784"/>
    <n v="0"/>
    <n v="1179356.6400000001"/>
    <n v="2"/>
    <n v="264000"/>
    <n v="264000"/>
    <n v="14138784"/>
    <n v="15146784"/>
    <n v="15818784"/>
    <d v="2025-07-01T00:00:00"/>
    <d v="2026-01-01T00:00:00"/>
  </r>
  <r>
    <m/>
    <s v="B"/>
    <s v="B1"/>
    <s v="RESIDENTIAL"/>
    <n v="1"/>
    <n v="4"/>
    <x v="183"/>
    <s v="3 BEDROOM"/>
    <s v="C1"/>
    <n v="141.59"/>
    <n v="156.81739801307072"/>
    <x v="22"/>
    <m/>
    <m/>
    <s v="SW"/>
    <s v="CORNER "/>
    <s v="ROAD 18M (BUILDINGS)"/>
    <s v="FIRST"/>
    <x v="4"/>
    <n v="0.06"/>
    <n v="0.05"/>
    <n v="0.15"/>
    <n v="7.0000000000000007E-2"/>
    <n v="2.5000000000000001E-2"/>
    <n v="0.35500000000000004"/>
    <x v="0"/>
    <x v="3"/>
    <n v="42500"/>
    <n v="47500"/>
    <n v="5000"/>
    <n v="1775.0000000000002"/>
    <n v="44275"/>
    <n v="14610.75"/>
    <n v="48775"/>
    <n v="51775"/>
    <n v="7659575"/>
    <n v="8438075"/>
    <n v="8957075"/>
    <n v="0"/>
    <n v="651063.875"/>
    <n v="2"/>
    <n v="200000"/>
    <n v="200000"/>
    <n v="7859575"/>
    <n v="8638075"/>
    <n v="9157075"/>
    <d v="2025-07-01T00:00:00"/>
    <d v="2023-09-01T00:00:00"/>
  </r>
  <r>
    <m/>
    <s v="B"/>
    <s v="B1"/>
    <s v="RESIDENTIAL"/>
    <n v="2"/>
    <n v="1"/>
    <x v="184"/>
    <s v="3 BEDROOM"/>
    <s v="C1"/>
    <n v="141.15"/>
    <n v="156.33007789776772"/>
    <x v="23"/>
    <m/>
    <m/>
    <s v="SW"/>
    <s v="MIDDLE"/>
    <s v="ROAD 18M (BUILDINGS)"/>
    <s v="SECOND"/>
    <x v="4"/>
    <n v="0.06"/>
    <n v="2.5000000000000001E-2"/>
    <n v="0.15"/>
    <n v="0.11"/>
    <n v="2.5000000000000001E-2"/>
    <n v="0.37"/>
    <x v="0"/>
    <x v="0"/>
    <n v="43562.499999999993"/>
    <n v="48687.499999999993"/>
    <n v="5125"/>
    <n v="1896.25"/>
    <n v="45458.749999999993"/>
    <n v="15001.387499999999"/>
    <n v="49958.749999999993"/>
    <n v="52958.749999999993"/>
    <n v="7818904.9999999991"/>
    <n v="8592904.9999999981"/>
    <n v="9108904.9999999981"/>
    <n v="0"/>
    <n v="664606.92499999993"/>
    <n v="2"/>
    <n v="204999.99999999997"/>
    <n v="204999.99999999997"/>
    <n v="8023904.9999999991"/>
    <n v="8797904.9999999981"/>
    <n v="9313904.9999999981"/>
    <d v="2025-07-01T00:00:00"/>
    <d v="2024-01-01T00:00:00"/>
  </r>
  <r>
    <m/>
    <s v="B"/>
    <s v="B1"/>
    <s v="RESIDENTIAL"/>
    <n v="2"/>
    <n v="2"/>
    <x v="185"/>
    <s v="3 BEDROOM"/>
    <s v="C1"/>
    <n v="167.88"/>
    <n v="185.93477490242469"/>
    <x v="24"/>
    <m/>
    <m/>
    <s v="NE"/>
    <s v="MIDDLE"/>
    <s v="LAKE B-1"/>
    <s v="SECOND"/>
    <x v="3"/>
    <n v="0.15"/>
    <n v="2.5000000000000001E-2"/>
    <n v="0.6"/>
    <n v="0.11"/>
    <n v="1.4999999999999999E-2"/>
    <n v="0.89999999999999991"/>
    <x v="2"/>
    <x v="9"/>
    <n v="58649.999999999993"/>
    <n v="65550"/>
    <n v="6900.0000000000073"/>
    <n v="6210.0000000000064"/>
    <n v="64860"/>
    <n v="21403.8"/>
    <n v="69360"/>
    <n v="72360"/>
    <n v="13296300"/>
    <n v="14218800"/>
    <n v="14833800"/>
    <n v="0"/>
    <n v="1130185.5"/>
    <n v="2"/>
    <n v="276000"/>
    <n v="276000"/>
    <n v="13572300"/>
    <n v="14494800"/>
    <n v="15109800"/>
    <d v="2025-07-01T00:00:00"/>
    <d v="2026-04-01T00:00:00"/>
  </r>
  <r>
    <m/>
    <s v="B"/>
    <s v="B1"/>
    <s v="RESIDENTIAL"/>
    <n v="2"/>
    <n v="3"/>
    <x v="186"/>
    <s v="3 BEDROOM + LIVING"/>
    <s v="C1"/>
    <n v="187.09"/>
    <n v="207.21072811826681"/>
    <x v="25"/>
    <m/>
    <m/>
    <s v="NE"/>
    <s v="CORNER "/>
    <s v="LAKE B-1"/>
    <s v="SECOND"/>
    <x v="3"/>
    <n v="0.15"/>
    <n v="0.05"/>
    <n v="0.6"/>
    <n v="0.11"/>
    <n v="1.4999999999999999E-2"/>
    <n v="0.92500000000000004"/>
    <x v="2"/>
    <x v="7"/>
    <n v="61625"/>
    <n v="68875"/>
    <n v="7250"/>
    <n v="6706.25"/>
    <n v="68331.25"/>
    <n v="22549.3125"/>
    <n v="72831.25"/>
    <n v="75831.25"/>
    <n v="15579525"/>
    <n v="16605525"/>
    <n v="17289525"/>
    <n v="0"/>
    <n v="1324259.625"/>
    <n v="2"/>
    <n v="290000"/>
    <n v="290000"/>
    <n v="15869525"/>
    <n v="16895525"/>
    <n v="17579525"/>
    <d v="2025-07-01T00:00:00"/>
    <d v="2026-07-01T00:00:00"/>
  </r>
  <r>
    <m/>
    <s v="B"/>
    <s v="B1"/>
    <s v="RESIDENTIAL"/>
    <n v="2"/>
    <n v="4"/>
    <x v="187"/>
    <s v="3 BEDROOM"/>
    <s v="C1"/>
    <n v="143.97"/>
    <n v="159.45335681857327"/>
    <x v="20"/>
    <m/>
    <m/>
    <s v="SW"/>
    <s v="CORNER "/>
    <s v="ROAD 18M (BUILDINGS)"/>
    <s v="SECOND"/>
    <x v="4"/>
    <n v="0.06"/>
    <n v="0.05"/>
    <n v="0.15"/>
    <n v="0.11"/>
    <n v="2.5000000000000001E-2"/>
    <n v="0.39500000000000002"/>
    <x v="0"/>
    <x v="2"/>
    <n v="45687.5"/>
    <n v="51062.5"/>
    <n v="5375"/>
    <n v="2123.125"/>
    <n v="47810.625"/>
    <n v="15777.50625"/>
    <n v="52310.625"/>
    <n v="55310.625"/>
    <n v="8414670"/>
    <n v="9206670"/>
    <n v="9734670"/>
    <n v="0"/>
    <n v="715246.95000000007"/>
    <n v="2"/>
    <n v="215000"/>
    <n v="215000"/>
    <n v="8629670"/>
    <n v="9421670"/>
    <n v="9949670"/>
    <d v="2025-07-01T00:00:00"/>
    <d v="2024-07-01T00:00:00"/>
  </r>
  <r>
    <m/>
    <s v="B"/>
    <s v="B1"/>
    <s v="RESIDENTIAL"/>
    <n v="3"/>
    <n v="1"/>
    <x v="188"/>
    <s v="3 BEDROOM"/>
    <s v="C1"/>
    <n v="141.38999999999999"/>
    <n v="156.59588886975115"/>
    <x v="23"/>
    <m/>
    <m/>
    <s v="SW"/>
    <s v="MIDDLE"/>
    <s v="ROAD 18M (BUILDINGS)"/>
    <s v="THIRD"/>
    <x v="4"/>
    <n v="0.06"/>
    <n v="2.5000000000000001E-2"/>
    <n v="0.15"/>
    <n v="0.15"/>
    <n v="2.5000000000000001E-2"/>
    <n v="0.41000000000000003"/>
    <x v="0"/>
    <x v="1"/>
    <n v="48450.000000000007"/>
    <n v="54150.000000000007"/>
    <n v="5700"/>
    <n v="2337"/>
    <n v="50787.000000000007"/>
    <n v="16759.710000000003"/>
    <n v="55287.000000000007"/>
    <n v="58287.000000000007"/>
    <n v="8735364.0000000019"/>
    <n v="9509364.0000000019"/>
    <n v="10025364.000000002"/>
    <n v="0"/>
    <n v="742505.94000000018"/>
    <n v="2"/>
    <n v="228000.00000000003"/>
    <n v="228000.00000000003"/>
    <n v="8963364.0000000019"/>
    <n v="9737364.0000000019"/>
    <n v="10253364.000000002"/>
    <d v="2025-07-01T00:00:00"/>
    <d v="2025-01-01T00:00:00"/>
  </r>
  <r>
    <m/>
    <s v="B"/>
    <s v="B1"/>
    <s v="RESIDENTIAL"/>
    <n v="3"/>
    <n v="2"/>
    <x v="189"/>
    <s v="3 BEDROOM"/>
    <s v="C1"/>
    <n v="165.71"/>
    <n v="183.53140069740763"/>
    <x v="26"/>
    <m/>
    <m/>
    <s v="NE"/>
    <s v="MIDDLE"/>
    <s v="LAKE B-1"/>
    <s v="THIRD"/>
    <x v="3"/>
    <n v="0.15"/>
    <n v="2.5000000000000001E-2"/>
    <n v="0.6"/>
    <n v="0.15"/>
    <n v="1.4999999999999999E-2"/>
    <n v="0.94"/>
    <x v="2"/>
    <x v="7"/>
    <n v="61625"/>
    <n v="68875"/>
    <n v="7250"/>
    <n v="6815"/>
    <n v="68440"/>
    <n v="22585.200000000001"/>
    <n v="72940"/>
    <n v="75940"/>
    <n v="13824880"/>
    <n v="14733880"/>
    <n v="15339880"/>
    <n v="0"/>
    <n v="1175114.8"/>
    <n v="2"/>
    <n v="290000"/>
    <n v="290000"/>
    <n v="14114880"/>
    <n v="15023880"/>
    <n v="15629880"/>
    <d v="2025-07-01T00:00:00"/>
    <d v="2026-07-01T00:00:00"/>
  </r>
  <r>
    <m/>
    <s v="B"/>
    <s v="B1"/>
    <s v="RESIDENTIAL"/>
    <n v="3"/>
    <n v="3"/>
    <x v="190"/>
    <s v="3 BEDROOM + LIVING"/>
    <s v="C1"/>
    <n v="187.91"/>
    <n v="208.11891560587694"/>
    <x v="27"/>
    <m/>
    <m/>
    <s v="NE"/>
    <s v="CORNER "/>
    <s v="LAKE B-1"/>
    <s v="THIRD"/>
    <x v="3"/>
    <n v="0.15"/>
    <n v="0.05"/>
    <n v="0.6"/>
    <n v="0.15"/>
    <n v="1.4999999999999999E-2"/>
    <n v="0.96500000000000008"/>
    <x v="2"/>
    <x v="7"/>
    <n v="61625"/>
    <n v="68875"/>
    <n v="7250"/>
    <n v="6996.2500000000009"/>
    <n v="68621.25"/>
    <n v="22645.012500000001"/>
    <n v="73121.25"/>
    <n v="76121.25"/>
    <n v="15714266.25"/>
    <n v="16744766.25"/>
    <n v="17431766.25"/>
    <n v="0"/>
    <n v="1335712.6312500001"/>
    <n v="2"/>
    <n v="290000"/>
    <n v="290000"/>
    <n v="16004266.25"/>
    <n v="17034766.25"/>
    <n v="17721766.25"/>
    <d v="2025-07-01T00:00:00"/>
    <d v="2026-07-01T00:00:00"/>
  </r>
  <r>
    <m/>
    <s v="B"/>
    <s v="B1"/>
    <s v="RESIDENTIAL"/>
    <n v="3"/>
    <n v="4"/>
    <x v="191"/>
    <s v="3 BEDROOM"/>
    <s v="C1"/>
    <n v="144.21"/>
    <n v="159.71916779055672"/>
    <x v="20"/>
    <m/>
    <m/>
    <s v="SW"/>
    <s v="CORNER "/>
    <s v="ROAD 18M (BUILDINGS)"/>
    <s v="THIRD"/>
    <x v="4"/>
    <n v="0.06"/>
    <n v="0.05"/>
    <n v="0.15"/>
    <n v="0.15"/>
    <n v="2.5000000000000001E-2"/>
    <n v="0.43500000000000005"/>
    <x v="0"/>
    <x v="4"/>
    <n v="51850"/>
    <n v="57950"/>
    <n v="6100"/>
    <n v="2653.5000000000005"/>
    <n v="54503.5"/>
    <n v="17986.155000000002"/>
    <n v="59003.5"/>
    <n v="62003.5"/>
    <n v="9592616"/>
    <n v="10384616"/>
    <n v="10912616"/>
    <n v="0"/>
    <n v="815372.3600000001"/>
    <n v="2"/>
    <n v="244000"/>
    <n v="244000"/>
    <n v="9836616"/>
    <n v="10628616"/>
    <n v="11156616"/>
    <d v="2025-07-01T00:00:00"/>
    <d v="2025-07-01T00:00:00"/>
  </r>
  <r>
    <m/>
    <s v="B"/>
    <s v="B1"/>
    <s v="RESIDENTIAL"/>
    <n v="4"/>
    <n v="1"/>
    <x v="192"/>
    <s v="3 BEDROOM"/>
    <s v="C1"/>
    <n v="139.09"/>
    <n v="154.04853372157643"/>
    <x v="28"/>
    <m/>
    <m/>
    <s v="SW"/>
    <s v="MIDDLE"/>
    <s v="ROAD 18M (BUILDINGS)"/>
    <s v="FORTH"/>
    <x v="4"/>
    <n v="0.06"/>
    <n v="2.5000000000000001E-2"/>
    <n v="0.15"/>
    <n v="0.06"/>
    <n v="2.5000000000000001E-2"/>
    <n v="0.32"/>
    <x v="0"/>
    <x v="3"/>
    <n v="42500"/>
    <n v="47500"/>
    <n v="5000"/>
    <n v="1600"/>
    <n v="44100"/>
    <n v="14553"/>
    <n v="48600"/>
    <n v="51600"/>
    <n v="7497000"/>
    <n v="8262000"/>
    <n v="8772000"/>
    <n v="0"/>
    <n v="637245"/>
    <n v="2"/>
    <n v="200000"/>
    <n v="200000"/>
    <n v="7697000"/>
    <n v="8462000"/>
    <n v="8972000"/>
    <d v="2025-07-01T00:00:00"/>
    <d v="2023-09-01T00:00:00"/>
  </r>
  <r>
    <m/>
    <s v="B"/>
    <s v="B1"/>
    <s v="RESIDENTIAL"/>
    <n v="4"/>
    <n v="2"/>
    <x v="193"/>
    <s v="3 BEDROOM"/>
    <s v="C1"/>
    <n v="163.35"/>
    <n v="180.91759280623702"/>
    <x v="18"/>
    <m/>
    <m/>
    <s v="NE"/>
    <s v="MIDDLE"/>
    <s v="LAKE B-1"/>
    <s v="FORTH"/>
    <x v="3"/>
    <n v="0.15"/>
    <n v="2.5000000000000001E-2"/>
    <n v="0.6"/>
    <n v="0.06"/>
    <n v="1.4999999999999999E-2"/>
    <n v="0.85"/>
    <x v="2"/>
    <x v="4"/>
    <n v="51850"/>
    <n v="57950"/>
    <n v="6100"/>
    <n v="5185"/>
    <n v="57035"/>
    <n v="18821.55"/>
    <n v="61535"/>
    <n v="64535"/>
    <n v="11349965"/>
    <n v="12245465"/>
    <n v="12842465"/>
    <n v="0"/>
    <n v="964747.02500000002"/>
    <n v="2"/>
    <n v="244000"/>
    <n v="244000"/>
    <n v="11593965"/>
    <n v="12489465"/>
    <n v="13086465"/>
    <d v="2025-07-01T00:00:00"/>
    <d v="2025-07-01T00:00:00"/>
  </r>
  <r>
    <m/>
    <s v="B"/>
    <s v="B1"/>
    <s v="RESIDENTIAL"/>
    <n v="4"/>
    <n v="3"/>
    <x v="194"/>
    <s v="3 BEDROOM + LIVING"/>
    <s v="C1"/>
    <n v="182.56"/>
    <n v="202.19354602207918"/>
    <x v="29"/>
    <m/>
    <m/>
    <s v="NE"/>
    <s v="CORNER "/>
    <s v="LAKE B-1"/>
    <s v="FORTH"/>
    <x v="3"/>
    <n v="0.15"/>
    <n v="0.05"/>
    <n v="0.6"/>
    <n v="0.06"/>
    <n v="1.4999999999999999E-2"/>
    <n v="0.87500000000000011"/>
    <x v="2"/>
    <x v="10"/>
    <n v="53550"/>
    <n v="59850"/>
    <n v="6300"/>
    <n v="5512.5000000000009"/>
    <n v="59062.5"/>
    <n v="19490.625"/>
    <n v="63562.5"/>
    <n v="66562.5"/>
    <n v="13170937.5"/>
    <n v="14174437.5"/>
    <n v="14843437.5"/>
    <n v="0"/>
    <n v="1119529.6875"/>
    <n v="2"/>
    <n v="252000"/>
    <n v="252000"/>
    <n v="13422937.5"/>
    <n v="14426437.5"/>
    <n v="15095437.5"/>
    <d v="2025-07-01T00:00:00"/>
    <d v="2025-10-01T00:00:00"/>
  </r>
  <r>
    <m/>
    <s v="B"/>
    <s v="B1"/>
    <s v="RESIDENTIAL"/>
    <n v="4"/>
    <n v="4"/>
    <x v="195"/>
    <s v="3 BEDROOM"/>
    <s v="C1"/>
    <n v="141.91"/>
    <n v="157.17181264238198"/>
    <x v="22"/>
    <m/>
    <m/>
    <s v="SW"/>
    <s v="CORNER "/>
    <s v="ROAD 18M (BUILDINGS)"/>
    <s v="FORTH"/>
    <x v="4"/>
    <n v="0.06"/>
    <n v="0.05"/>
    <n v="0.15"/>
    <n v="0.06"/>
    <n v="2.5000000000000001E-2"/>
    <n v="0.34500000000000003"/>
    <x v="0"/>
    <x v="3"/>
    <n v="42500"/>
    <n v="47500"/>
    <n v="5000"/>
    <n v="1725.0000000000002"/>
    <n v="44225"/>
    <n v="14594.25"/>
    <n v="48725"/>
    <n v="51725"/>
    <n v="7650925"/>
    <n v="8429425"/>
    <n v="8948425"/>
    <n v="0"/>
    <n v="650328.625"/>
    <n v="2"/>
    <n v="200000"/>
    <n v="200000"/>
    <n v="7850925"/>
    <n v="8629425"/>
    <n v="9148425"/>
    <d v="2025-07-01T00:00:00"/>
    <d v="2023-09-01T00:00:00"/>
  </r>
  <r>
    <s v="B2"/>
    <s v="B"/>
    <s v="B2"/>
    <s v="RESIDENTIAL"/>
    <n v="0"/>
    <n v="1"/>
    <x v="196"/>
    <s v="3 BEDROOM"/>
    <s v="C1"/>
    <n v="144.21"/>
    <n v="159.71916779055672"/>
    <x v="20"/>
    <n v="82.528400000000005"/>
    <m/>
    <s v="SW"/>
    <s v="CORNER "/>
    <s v="ROAD 18M (BUILDINGS)"/>
    <s v="GROUND"/>
    <x v="4"/>
    <n v="0.06"/>
    <n v="0.05"/>
    <n v="0.15"/>
    <n v="0.05"/>
    <n v="2.5000000000000001E-2"/>
    <n v="0.33500000000000002"/>
    <x v="0"/>
    <x v="3"/>
    <n v="42500"/>
    <n v="47500"/>
    <n v="5000"/>
    <n v="1675"/>
    <n v="44175"/>
    <n v="14577.75"/>
    <n v="48675"/>
    <n v="51675"/>
    <n v="7774800"/>
    <n v="8566800"/>
    <n v="9094800"/>
    <n v="1203078.3831"/>
    <n v="763119.66256349999"/>
    <n v="2"/>
    <n v="200000"/>
    <n v="200000"/>
    <n v="9177878.3830999993"/>
    <n v="9969878.3830999993"/>
    <n v="10497878.383099999"/>
    <d v="2025-07-01T00:00:00"/>
    <d v="2023-09-01T00:00:00"/>
  </r>
  <r>
    <m/>
    <s v="B"/>
    <s v="B2"/>
    <s v="RESIDENTIAL"/>
    <n v="0"/>
    <n v="2"/>
    <x v="197"/>
    <s v="3 BEDROOM + LIVING"/>
    <s v="C1"/>
    <n v="183.89"/>
    <n v="203.66658182515411"/>
    <x v="19"/>
    <n v="61.571399999999997"/>
    <m/>
    <s v="NE"/>
    <s v="CORNER "/>
    <s v="LAKE B-1"/>
    <s v="GROUND"/>
    <x v="3"/>
    <n v="0.15"/>
    <n v="0.05"/>
    <n v="0.6"/>
    <n v="0.05"/>
    <n v="1.4999999999999999E-2"/>
    <n v="0.8650000000000001"/>
    <x v="2"/>
    <x v="10"/>
    <n v="53550"/>
    <n v="59850"/>
    <n v="6300"/>
    <n v="5449.5000000000009"/>
    <n v="58999.5"/>
    <n v="19469.834999999999"/>
    <n v="63499.5"/>
    <n v="66499.5"/>
    <n v="13215888"/>
    <n v="14223888"/>
    <n v="14895888"/>
    <n v="1198784.9987189998"/>
    <n v="1225247.204891115"/>
    <n v="2"/>
    <n v="252000"/>
    <n v="252000"/>
    <n v="14666672.998718999"/>
    <n v="15674672.998718999"/>
    <n v="16346672.998718999"/>
    <d v="2025-07-01T00:00:00"/>
    <d v="2025-10-01T00:00:00"/>
  </r>
  <r>
    <m/>
    <s v="B"/>
    <s v="B2"/>
    <s v="RESIDENTIAL"/>
    <n v="0"/>
    <n v="3"/>
    <x v="198"/>
    <s v="3 BEDROOM"/>
    <s v="C1"/>
    <n v="163.35"/>
    <n v="180.91759280623702"/>
    <x v="18"/>
    <n v="76.321799999999996"/>
    <m/>
    <s v="NE"/>
    <s v="MIDDLE"/>
    <s v="LAKE B-1"/>
    <s v="GROUND"/>
    <x v="3"/>
    <n v="0.15"/>
    <n v="2.5000000000000001E-2"/>
    <n v="0.6"/>
    <n v="0.05"/>
    <n v="1.4999999999999999E-2"/>
    <n v="0.84"/>
    <x v="2"/>
    <x v="4"/>
    <n v="51850"/>
    <n v="57950"/>
    <n v="6100"/>
    <n v="5124"/>
    <n v="56974"/>
    <n v="18801.420000000002"/>
    <n v="61474"/>
    <n v="64474"/>
    <n v="11337826"/>
    <n v="12233326"/>
    <n v="12830326"/>
    <n v="1434958.2169560001"/>
    <n v="1085686.6584412602"/>
    <n v="2"/>
    <n v="244000"/>
    <n v="244000"/>
    <n v="13016784.216956001"/>
    <n v="13912284.216956001"/>
    <n v="14509284.216956001"/>
    <d v="2025-07-01T00:00:00"/>
    <d v="2025-07-01T00:00:00"/>
  </r>
  <r>
    <m/>
    <s v="B"/>
    <s v="B2"/>
    <s v="RESIDENTIAL"/>
    <n v="0"/>
    <n v="4"/>
    <x v="199"/>
    <s v="3 BEDROOM"/>
    <s v="C1"/>
    <n v="94.92"/>
    <n v="105.12823941945527"/>
    <x v="17"/>
    <n v="62.468000000000004"/>
    <m/>
    <s v="SW"/>
    <s v="MIDDLE"/>
    <s v="ROAD 18M (BUILDINGS)"/>
    <s v="GROUND"/>
    <x v="1"/>
    <n v="0.06"/>
    <n v="2.5000000000000001E-2"/>
    <n v="0.15"/>
    <n v="0.05"/>
    <n v="0.04"/>
    <n v="0.32499999999999996"/>
    <x v="0"/>
    <x v="3"/>
    <n v="42500"/>
    <n v="47500"/>
    <n v="5000"/>
    <n v="1624.9999999999998"/>
    <n v="44125"/>
    <n v="14561.25"/>
    <n v="48625"/>
    <n v="51625"/>
    <n v="5118500"/>
    <n v="5640500"/>
    <n v="5988500"/>
    <n v="909612.16500000004"/>
    <n v="512389.53402500006"/>
    <n v="1"/>
    <n v="200000"/>
    <n v="200000"/>
    <n v="6228112.165"/>
    <n v="6750112.165"/>
    <n v="7098112.165"/>
    <d v="2025-07-01T00:00:00"/>
    <d v="2023-09-01T00:00:00"/>
  </r>
  <r>
    <m/>
    <s v="B"/>
    <s v="B2"/>
    <s v="RESIDENTIAL"/>
    <n v="1"/>
    <n v="1"/>
    <x v="200"/>
    <s v="3 BEDROOM"/>
    <s v="C1"/>
    <n v="141.59"/>
    <n v="156.81739801307072"/>
    <x v="22"/>
    <m/>
    <m/>
    <s v="SW"/>
    <s v="CORNER "/>
    <s v="ROAD 18M (BUILDINGS)"/>
    <s v="FIRST"/>
    <x v="4"/>
    <n v="0.06"/>
    <n v="0.05"/>
    <n v="0.15"/>
    <n v="7.0000000000000007E-2"/>
    <n v="2.5000000000000001E-2"/>
    <n v="0.35500000000000004"/>
    <x v="0"/>
    <x v="3"/>
    <n v="42500"/>
    <n v="47500"/>
    <n v="5000"/>
    <n v="1775.0000000000002"/>
    <n v="44275"/>
    <n v="14610.75"/>
    <n v="48775"/>
    <n v="51775"/>
    <n v="7659575"/>
    <n v="8438075"/>
    <n v="8957075"/>
    <n v="0"/>
    <n v="651063.875"/>
    <n v="2"/>
    <n v="200000"/>
    <n v="200000"/>
    <n v="7859575"/>
    <n v="8638075"/>
    <n v="9157075"/>
    <d v="2025-07-01T00:00:00"/>
    <d v="2023-09-01T00:00:00"/>
  </r>
  <r>
    <m/>
    <s v="B"/>
    <s v="B2"/>
    <s v="RESIDENTIAL"/>
    <n v="1"/>
    <n v="2"/>
    <x v="201"/>
    <s v="3 BEDROOM + LIVING"/>
    <s v="C1"/>
    <n v="183.59"/>
    <n v="203.33431811017482"/>
    <x v="19"/>
    <m/>
    <m/>
    <s v="NE"/>
    <s v="CORNER "/>
    <s v="LAKE B-1"/>
    <s v="FIRST"/>
    <x v="3"/>
    <n v="0.15"/>
    <n v="0.05"/>
    <n v="0.6"/>
    <n v="7.0000000000000007E-2"/>
    <n v="1.4999999999999999E-2"/>
    <n v="0.88500000000000012"/>
    <x v="2"/>
    <x v="8"/>
    <n v="56100"/>
    <n v="62700"/>
    <n v="6600"/>
    <n v="5841.0000000000009"/>
    <n v="61941"/>
    <n v="20440.530000000002"/>
    <n v="66441"/>
    <n v="69441"/>
    <n v="13874784"/>
    <n v="14882784"/>
    <n v="15554784"/>
    <n v="0"/>
    <n v="1179356.6400000001"/>
    <n v="2"/>
    <n v="264000"/>
    <n v="264000"/>
    <n v="14138784"/>
    <n v="15146784"/>
    <n v="15818784"/>
    <d v="2025-07-01T00:00:00"/>
    <d v="2026-01-01T00:00:00"/>
  </r>
  <r>
    <m/>
    <s v="B"/>
    <s v="B2"/>
    <s v="RESIDENTIAL"/>
    <n v="1"/>
    <n v="3"/>
    <x v="202"/>
    <s v="3 BEDROOM"/>
    <s v="C1"/>
    <n v="163.05000000000001"/>
    <n v="180.58532909125773"/>
    <x v="18"/>
    <m/>
    <m/>
    <s v="NE"/>
    <s v="MIDDLE"/>
    <s v="LAKE B-1"/>
    <s v="FIRST"/>
    <x v="3"/>
    <n v="0.15"/>
    <n v="2.5000000000000001E-2"/>
    <n v="0.6"/>
    <n v="7.0000000000000007E-2"/>
    <n v="1.4999999999999999E-2"/>
    <n v="0.86"/>
    <x v="2"/>
    <x v="10"/>
    <n v="53550"/>
    <n v="59850"/>
    <n v="6300"/>
    <n v="5418"/>
    <n v="58968"/>
    <n v="19459.440000000002"/>
    <n v="63468"/>
    <n v="66468"/>
    <n v="11734632"/>
    <n v="12630132"/>
    <n v="13227132"/>
    <n v="0"/>
    <n v="997443.72000000009"/>
    <n v="2"/>
    <n v="252000"/>
    <n v="252000"/>
    <n v="11986632"/>
    <n v="12882132"/>
    <n v="13479132"/>
    <d v="2025-07-01T00:00:00"/>
    <d v="2025-10-01T00:00:00"/>
  </r>
  <r>
    <m/>
    <s v="B"/>
    <s v="B2"/>
    <s v="RESIDENTIAL"/>
    <n v="1"/>
    <n v="4"/>
    <x v="203"/>
    <s v="2 BEDROOM"/>
    <s v="C1"/>
    <n v="96.29"/>
    <n v="106.64557705119415"/>
    <x v="21"/>
    <m/>
    <m/>
    <s v="SW"/>
    <s v="MIDDLE"/>
    <s v="ROAD 18M (BUILDINGS)"/>
    <s v="FIRST"/>
    <x v="1"/>
    <n v="0.06"/>
    <n v="2.5000000000000001E-2"/>
    <n v="0.15"/>
    <n v="7.0000000000000007E-2"/>
    <n v="0.04"/>
    <n v="0.34499999999999997"/>
    <x v="0"/>
    <x v="3"/>
    <n v="42500"/>
    <n v="47500"/>
    <n v="5000"/>
    <n v="1724.9999999999998"/>
    <n v="44225"/>
    <n v="14594.25"/>
    <n v="48725"/>
    <n v="51725"/>
    <n v="5174325"/>
    <n v="5700825"/>
    <n v="6051825"/>
    <n v="0"/>
    <n v="439817.62500000006"/>
    <n v="1"/>
    <n v="200000"/>
    <n v="200000"/>
    <n v="5374325"/>
    <n v="5900825"/>
    <n v="6251825"/>
    <d v="2025-07-01T00:00:00"/>
    <d v="2023-09-01T00:00:00"/>
  </r>
  <r>
    <m/>
    <s v="B"/>
    <s v="B2"/>
    <s v="RESIDENTIAL"/>
    <n v="2"/>
    <n v="1"/>
    <x v="204"/>
    <s v="3 BEDROOM"/>
    <s v="C1"/>
    <n v="143.97"/>
    <n v="159.45335681857327"/>
    <x v="20"/>
    <m/>
    <m/>
    <s v="SW"/>
    <s v="CORNER "/>
    <s v="ROAD 18M (BUILDINGS)"/>
    <s v="SECOND"/>
    <x v="4"/>
    <n v="0.06"/>
    <n v="0.05"/>
    <n v="0.15"/>
    <n v="0.11"/>
    <n v="2.5000000000000001E-2"/>
    <n v="0.39500000000000002"/>
    <x v="0"/>
    <x v="5"/>
    <n v="46750.000000000007"/>
    <n v="52250.000000000007"/>
    <n v="5500"/>
    <n v="2172.5"/>
    <n v="48922.500000000007"/>
    <n v="16144.425000000003"/>
    <n v="53422.500000000007"/>
    <n v="56422.500000000007"/>
    <n v="8610360.0000000019"/>
    <n v="9402360.0000000019"/>
    <n v="9930360.0000000019"/>
    <n v="0"/>
    <n v="731880.60000000021"/>
    <n v="2"/>
    <n v="220000.00000000003"/>
    <n v="220000.00000000003"/>
    <n v="8830360.0000000019"/>
    <n v="9622360.0000000019"/>
    <n v="10150360.000000002"/>
    <d v="2025-07-01T00:00:00"/>
    <d v="2024-10-01T00:00:00"/>
  </r>
  <r>
    <m/>
    <s v="B"/>
    <s v="B2"/>
    <s v="RESIDENTIAL"/>
    <n v="2"/>
    <n v="2"/>
    <x v="205"/>
    <s v="3 BEDROOM + LIVING"/>
    <s v="C1"/>
    <n v="187.09"/>
    <n v="207.21072811826681"/>
    <x v="25"/>
    <m/>
    <m/>
    <s v="NE"/>
    <s v="CORNER "/>
    <s v="LAKE B-1"/>
    <s v="SECOND"/>
    <x v="3"/>
    <n v="0.15"/>
    <n v="0.05"/>
    <n v="0.6"/>
    <n v="0.11"/>
    <n v="1.4999999999999999E-2"/>
    <n v="0.92500000000000004"/>
    <x v="2"/>
    <x v="7"/>
    <n v="61625"/>
    <n v="68875"/>
    <n v="7250"/>
    <n v="6706.25"/>
    <n v="68331.25"/>
    <n v="22549.3125"/>
    <n v="72831.25"/>
    <n v="75831.25"/>
    <n v="15579525"/>
    <n v="16605525"/>
    <n v="17289525"/>
    <n v="0"/>
    <n v="1324259.625"/>
    <n v="2"/>
    <n v="290000"/>
    <n v="290000"/>
    <n v="15869525"/>
    <n v="16895525"/>
    <n v="17579525"/>
    <d v="2025-07-01T00:00:00"/>
    <d v="2026-07-01T00:00:00"/>
  </r>
  <r>
    <m/>
    <s v="B"/>
    <s v="B2"/>
    <s v="RESIDENTIAL"/>
    <n v="2"/>
    <n v="3"/>
    <x v="206"/>
    <s v="3 BEDROOM"/>
    <s v="C1"/>
    <n v="167.88"/>
    <n v="185.93477490242469"/>
    <x v="24"/>
    <m/>
    <m/>
    <s v="NE"/>
    <s v="MIDDLE"/>
    <s v="LAKE B-1"/>
    <s v="SECOND"/>
    <x v="3"/>
    <n v="0.15"/>
    <n v="2.5000000000000001E-2"/>
    <n v="0.6"/>
    <n v="0.11"/>
    <n v="1.4999999999999999E-2"/>
    <n v="0.89999999999999991"/>
    <x v="2"/>
    <x v="9"/>
    <n v="58649.999999999993"/>
    <n v="65550"/>
    <n v="6900.0000000000073"/>
    <n v="6210.0000000000064"/>
    <n v="64860"/>
    <n v="21403.8"/>
    <n v="69360"/>
    <n v="72360"/>
    <n v="13296300"/>
    <n v="14218800"/>
    <n v="14833800"/>
    <n v="0"/>
    <n v="1130185.5"/>
    <n v="2"/>
    <n v="276000"/>
    <n v="276000"/>
    <n v="13572300"/>
    <n v="14494800"/>
    <n v="15109800"/>
    <d v="2025-07-01T00:00:00"/>
    <d v="2026-04-01T00:00:00"/>
  </r>
  <r>
    <m/>
    <s v="B"/>
    <s v="B2"/>
    <s v="RESIDENTIAL"/>
    <n v="2"/>
    <n v="4"/>
    <x v="207"/>
    <s v="3 BEDROOM"/>
    <s v="C1"/>
    <n v="141.15"/>
    <n v="156.33007789776772"/>
    <x v="23"/>
    <m/>
    <m/>
    <s v="SW"/>
    <s v="MIDDLE"/>
    <s v="ROAD 18M (BUILDINGS)"/>
    <s v="SECOND"/>
    <x v="4"/>
    <n v="0.06"/>
    <n v="2.5000000000000001E-2"/>
    <n v="0.15"/>
    <n v="0.11"/>
    <n v="2.5000000000000001E-2"/>
    <n v="0.37"/>
    <x v="0"/>
    <x v="0"/>
    <n v="43562.499999999993"/>
    <n v="48687.499999999993"/>
    <n v="5125"/>
    <n v="1896.25"/>
    <n v="45458.749999999993"/>
    <n v="15001.387499999999"/>
    <n v="49958.749999999993"/>
    <n v="52958.749999999993"/>
    <n v="7818904.9999999991"/>
    <n v="8592904.9999999981"/>
    <n v="9108904.9999999981"/>
    <n v="0"/>
    <n v="664606.92499999993"/>
    <n v="2"/>
    <n v="204999.99999999997"/>
    <n v="204999.99999999997"/>
    <n v="8023904.9999999991"/>
    <n v="8797904.9999999981"/>
    <n v="9313904.9999999981"/>
    <d v="2025-07-01T00:00:00"/>
    <d v="2024-01-01T00:00:00"/>
  </r>
  <r>
    <m/>
    <s v="B"/>
    <s v="B2"/>
    <s v="RESIDENTIAL"/>
    <n v="3"/>
    <n v="1"/>
    <x v="208"/>
    <s v="3 BEDROOM"/>
    <s v="C1"/>
    <n v="144.21"/>
    <n v="159.71916779055672"/>
    <x v="20"/>
    <m/>
    <m/>
    <s v="SW"/>
    <s v="CORNER "/>
    <s v="ROAD 18M (BUILDINGS)"/>
    <s v="THIRD"/>
    <x v="4"/>
    <n v="0.06"/>
    <n v="0.05"/>
    <n v="0.15"/>
    <n v="0.15"/>
    <n v="2.5000000000000001E-2"/>
    <n v="0.43500000000000005"/>
    <x v="0"/>
    <x v="4"/>
    <n v="51850"/>
    <n v="57950"/>
    <n v="6100"/>
    <n v="2653.5000000000005"/>
    <n v="54503.5"/>
    <n v="17986.155000000002"/>
    <n v="59003.5"/>
    <n v="62003.5"/>
    <n v="9592616"/>
    <n v="10384616"/>
    <n v="10912616"/>
    <n v="0"/>
    <n v="815372.3600000001"/>
    <n v="2"/>
    <n v="244000"/>
    <n v="244000"/>
    <n v="9836616"/>
    <n v="10628616"/>
    <n v="11156616"/>
    <d v="2025-07-01T00:00:00"/>
    <d v="2025-07-01T00:00:00"/>
  </r>
  <r>
    <m/>
    <s v="B"/>
    <s v="B2"/>
    <s v="RESIDENTIAL"/>
    <n v="3"/>
    <n v="2"/>
    <x v="209"/>
    <s v="3 BEDROOM + LIVING"/>
    <s v="C1"/>
    <n v="187.91"/>
    <n v="208.11891560587694"/>
    <x v="27"/>
    <m/>
    <m/>
    <s v="NE"/>
    <s v="CORNER "/>
    <s v="LAKE B-1"/>
    <s v="THIRD"/>
    <x v="3"/>
    <n v="0.15"/>
    <n v="0.05"/>
    <n v="0.6"/>
    <n v="0.15"/>
    <n v="1.4999999999999999E-2"/>
    <n v="0.96500000000000008"/>
    <x v="2"/>
    <x v="7"/>
    <n v="61625"/>
    <n v="68875"/>
    <n v="7250"/>
    <n v="6996.2500000000009"/>
    <n v="68621.25"/>
    <n v="22645.012500000001"/>
    <n v="73121.25"/>
    <n v="76121.25"/>
    <n v="15714266.25"/>
    <n v="16744766.25"/>
    <n v="17431766.25"/>
    <n v="0"/>
    <n v="1335712.6312500001"/>
    <n v="2"/>
    <n v="290000"/>
    <n v="290000"/>
    <n v="16004266.25"/>
    <n v="17034766.25"/>
    <n v="17721766.25"/>
    <d v="2025-07-01T00:00:00"/>
    <d v="2026-07-01T00:00:00"/>
  </r>
  <r>
    <m/>
    <s v="B"/>
    <s v="B2"/>
    <s v="RESIDENTIAL"/>
    <n v="3"/>
    <n v="3"/>
    <x v="210"/>
    <s v="3 BEDROOM"/>
    <s v="C1"/>
    <n v="165.71"/>
    <n v="183.53140069740763"/>
    <x v="26"/>
    <m/>
    <m/>
    <s v="NE"/>
    <s v="MIDDLE"/>
    <s v="LAKE B-1"/>
    <s v="THIRD"/>
    <x v="3"/>
    <n v="0.15"/>
    <n v="2.5000000000000001E-2"/>
    <n v="0.6"/>
    <n v="0.15"/>
    <n v="1.4999999999999999E-2"/>
    <n v="0.94"/>
    <x v="2"/>
    <x v="7"/>
    <n v="61625"/>
    <n v="68875"/>
    <n v="7250"/>
    <n v="6815"/>
    <n v="68440"/>
    <n v="22585.200000000001"/>
    <n v="72940"/>
    <n v="75940"/>
    <n v="13824880"/>
    <n v="14733880"/>
    <n v="15339880"/>
    <n v="0"/>
    <n v="1175114.8"/>
    <n v="2"/>
    <n v="290000"/>
    <n v="290000"/>
    <n v="14114880"/>
    <n v="15023880"/>
    <n v="15629880"/>
    <d v="2025-07-01T00:00:00"/>
    <d v="2026-07-01T00:00:00"/>
  </r>
  <r>
    <m/>
    <s v="B"/>
    <s v="B2"/>
    <s v="RESIDENTIAL"/>
    <n v="3"/>
    <n v="4"/>
    <x v="211"/>
    <s v="3 BEDROOM"/>
    <s v="C1"/>
    <n v="141.38999999999999"/>
    <n v="156.59588886975115"/>
    <x v="23"/>
    <m/>
    <m/>
    <s v="SW"/>
    <s v="MIDDLE"/>
    <s v="ROAD 18M (BUILDINGS)"/>
    <s v="THIRD"/>
    <x v="4"/>
    <n v="0.06"/>
    <n v="2.5000000000000001E-2"/>
    <n v="0.15"/>
    <n v="0.15"/>
    <n v="2.5000000000000001E-2"/>
    <n v="0.41000000000000003"/>
    <x v="0"/>
    <x v="1"/>
    <n v="48450.000000000007"/>
    <n v="54150.000000000007"/>
    <n v="5700"/>
    <n v="2337"/>
    <n v="50787.000000000007"/>
    <n v="16759.710000000003"/>
    <n v="55287.000000000007"/>
    <n v="58287.000000000007"/>
    <n v="8735364.0000000019"/>
    <n v="9509364.0000000019"/>
    <n v="10025364.000000002"/>
    <n v="0"/>
    <n v="742505.94000000018"/>
    <n v="2"/>
    <n v="228000.00000000003"/>
    <n v="228000.00000000003"/>
    <n v="8963364.0000000019"/>
    <n v="9737364.0000000019"/>
    <n v="10253364.000000002"/>
    <d v="2025-07-01T00:00:00"/>
    <d v="2025-01-01T00:00:00"/>
  </r>
  <r>
    <m/>
    <s v="B"/>
    <s v="B2"/>
    <s v="RESIDENTIAL"/>
    <n v="4"/>
    <n v="1"/>
    <x v="212"/>
    <s v="3 BEDROOM"/>
    <s v="C1"/>
    <n v="141.91"/>
    <n v="157.17181264238198"/>
    <x v="22"/>
    <m/>
    <m/>
    <s v="SW"/>
    <s v="CORNER "/>
    <s v="ROAD 18M (BUILDINGS)"/>
    <s v="FORTH"/>
    <x v="4"/>
    <n v="0.06"/>
    <n v="0.05"/>
    <n v="0.15"/>
    <n v="0.06"/>
    <n v="2.5000000000000001E-2"/>
    <n v="0.34500000000000003"/>
    <x v="0"/>
    <x v="3"/>
    <n v="42500"/>
    <n v="47500"/>
    <n v="5000"/>
    <n v="1725.0000000000002"/>
    <n v="44225"/>
    <n v="14594.25"/>
    <n v="48725"/>
    <n v="51725"/>
    <n v="7650925"/>
    <n v="8429425"/>
    <n v="8948425"/>
    <n v="0"/>
    <n v="650328.625"/>
    <n v="2"/>
    <n v="200000"/>
    <n v="200000"/>
    <n v="7850925"/>
    <n v="8629425"/>
    <n v="9148425"/>
    <d v="2025-07-01T00:00:00"/>
    <d v="2023-09-01T00:00:00"/>
  </r>
  <r>
    <m/>
    <s v="B"/>
    <s v="B2"/>
    <s v="RESIDENTIAL"/>
    <n v="4"/>
    <n v="2"/>
    <x v="213"/>
    <s v="3 BEDROOM + LIVING"/>
    <s v="C1"/>
    <n v="182.56"/>
    <n v="202.19354602207918"/>
    <x v="29"/>
    <m/>
    <m/>
    <s v="NE"/>
    <s v="CORNER "/>
    <s v="LAKE B-1"/>
    <s v="FORTH"/>
    <x v="3"/>
    <n v="0.15"/>
    <n v="0.05"/>
    <n v="0.6"/>
    <n v="0.06"/>
    <n v="1.4999999999999999E-2"/>
    <n v="0.87500000000000011"/>
    <x v="2"/>
    <x v="8"/>
    <n v="56100"/>
    <n v="62700"/>
    <n v="6600"/>
    <n v="5775.0000000000009"/>
    <n v="61875"/>
    <n v="20418.75"/>
    <n v="66375"/>
    <n v="69375"/>
    <n v="13798125"/>
    <n v="14801625"/>
    <n v="15470625"/>
    <n v="0"/>
    <n v="1172840.625"/>
    <n v="2"/>
    <n v="264000"/>
    <n v="264000"/>
    <n v="14062125"/>
    <n v="15065625"/>
    <n v="15734625"/>
    <d v="2025-07-01T00:00:00"/>
    <d v="2026-01-01T00:00:00"/>
  </r>
  <r>
    <m/>
    <s v="B"/>
    <s v="B2"/>
    <s v="RESIDENTIAL"/>
    <n v="4"/>
    <n v="3"/>
    <x v="214"/>
    <s v="3 BEDROOM"/>
    <s v="C1"/>
    <n v="163.35"/>
    <n v="180.91759280623702"/>
    <x v="18"/>
    <m/>
    <m/>
    <s v="NE"/>
    <s v="MIDDLE"/>
    <s v="LAKE B-1"/>
    <s v="FORTH"/>
    <x v="3"/>
    <n v="0.15"/>
    <n v="2.5000000000000001E-2"/>
    <n v="0.6"/>
    <n v="0.06"/>
    <n v="1.4999999999999999E-2"/>
    <n v="0.85"/>
    <x v="2"/>
    <x v="4"/>
    <n v="51850"/>
    <n v="57950"/>
    <n v="6100"/>
    <n v="5185"/>
    <n v="57035"/>
    <n v="18821.55"/>
    <n v="61535"/>
    <n v="64535"/>
    <n v="11349965"/>
    <n v="12245465"/>
    <n v="12842465"/>
    <n v="0"/>
    <n v="964747.02500000002"/>
    <n v="2"/>
    <n v="244000"/>
    <n v="244000"/>
    <n v="11593965"/>
    <n v="12489465"/>
    <n v="13086465"/>
    <d v="2025-07-01T00:00:00"/>
    <d v="2025-07-01T00:00:00"/>
  </r>
  <r>
    <m/>
    <s v="B"/>
    <s v="B2"/>
    <s v="RESIDENTIAL"/>
    <n v="4"/>
    <n v="4"/>
    <x v="215"/>
    <s v="3 BEDROOM"/>
    <s v="C1"/>
    <n v="139.09"/>
    <n v="154.04853372157643"/>
    <x v="28"/>
    <m/>
    <m/>
    <s v="SW"/>
    <s v="MIDDLE"/>
    <s v="ROAD 18M (BUILDINGS)"/>
    <s v="FORTH"/>
    <x v="4"/>
    <n v="0.06"/>
    <n v="2.5000000000000001E-2"/>
    <n v="0.15"/>
    <n v="0.06"/>
    <n v="2.5000000000000001E-2"/>
    <n v="0.32"/>
    <x v="0"/>
    <x v="3"/>
    <n v="42500"/>
    <n v="47500"/>
    <n v="5000"/>
    <n v="1600"/>
    <n v="44100"/>
    <n v="14553"/>
    <n v="48600"/>
    <n v="51600"/>
    <n v="7497000"/>
    <n v="8262000"/>
    <n v="8772000"/>
    <n v="0"/>
    <n v="637245"/>
    <n v="2"/>
    <n v="200000"/>
    <n v="200000"/>
    <n v="7697000"/>
    <n v="8462000"/>
    <n v="8972000"/>
    <d v="2025-07-01T00:00:00"/>
    <d v="2023-09-01T00:00:00"/>
  </r>
  <r>
    <s v="C3"/>
    <s v="B"/>
    <s v="B3"/>
    <s v="RESIDENTIAL"/>
    <n v="0"/>
    <n v="1"/>
    <x v="216"/>
    <s v="2 BEDROOM"/>
    <s v="C1"/>
    <n v="87.23"/>
    <n v="94.72160516317075"/>
    <x v="30"/>
    <n v="66.0976"/>
    <m/>
    <s v="SE"/>
    <s v="MIDDLE"/>
    <s v="ROAD 18M (VILLAS)"/>
    <s v="GROUND"/>
    <x v="1"/>
    <n v="0.08"/>
    <n v="2.5000000000000001E-2"/>
    <n v="0.16"/>
    <n v="0.05"/>
    <n v="0.04"/>
    <n v="0.35499999999999998"/>
    <x v="0"/>
    <x v="3"/>
    <n v="42500"/>
    <n v="47500"/>
    <n v="5000"/>
    <n v="1775"/>
    <n v="44275"/>
    <n v="14610.75"/>
    <n v="48775"/>
    <n v="51775"/>
    <n v="4693150"/>
    <n v="5170150"/>
    <n v="5488150"/>
    <n v="965735.50919999997"/>
    <n v="481005.26828200003"/>
    <n v="1"/>
    <n v="200000"/>
    <n v="200000"/>
    <n v="5858885.5092000002"/>
    <n v="6335885.5092000002"/>
    <n v="6653885.5092000002"/>
    <d v="2025-07-01T00:00:00"/>
    <d v="2023-09-01T00:00:00"/>
  </r>
  <r>
    <m/>
    <s v="B"/>
    <s v="B3"/>
    <s v="RESIDENTIAL"/>
    <n v="0"/>
    <n v="2"/>
    <x v="217"/>
    <s v="3 BEDROOM"/>
    <s v="C1"/>
    <n v="125.09"/>
    <n v="135.83314902970341"/>
    <x v="31"/>
    <n v="85.619500000000002"/>
    <m/>
    <s v="NW"/>
    <s v="MIDDLE"/>
    <s v="LAKE B-1"/>
    <s v="GROUND"/>
    <x v="0"/>
    <n v="0.13"/>
    <n v="2.5000000000000001E-2"/>
    <n v="0.6"/>
    <n v="0.05"/>
    <n v="3.5000000000000003E-2"/>
    <n v="0.84000000000000008"/>
    <x v="2"/>
    <x v="4"/>
    <n v="51850"/>
    <n v="57950"/>
    <n v="6100"/>
    <n v="5124.0000000000009"/>
    <n v="56974"/>
    <n v="18801.420000000002"/>
    <n v="61474"/>
    <n v="64474"/>
    <n v="8717022"/>
    <n v="9405522"/>
    <n v="9864522"/>
    <n v="1609768.1796900001"/>
    <n v="877777.16527365008"/>
    <n v="2"/>
    <n v="244000"/>
    <n v="244000"/>
    <n v="10570790.17969"/>
    <n v="11259290.17969"/>
    <n v="11718290.17969"/>
    <d v="2025-07-01T00:00:00"/>
    <d v="2025-07-01T00:00:00"/>
  </r>
  <r>
    <m/>
    <s v="B"/>
    <s v="B3"/>
    <s v="RESIDENTIAL"/>
    <n v="0"/>
    <n v="3"/>
    <x v="218"/>
    <s v="3 BEDROOM"/>
    <s v="C1"/>
    <n v="129.57"/>
    <n v="140.69790646557414"/>
    <x v="32"/>
    <n v="84.075199999999995"/>
    <m/>
    <s v="NW"/>
    <s v="CORNER "/>
    <s v="LAKE B-1"/>
    <s v="GROUND"/>
    <x v="0"/>
    <n v="0.13"/>
    <n v="0.05"/>
    <n v="0.6"/>
    <n v="0.05"/>
    <n v="3.5000000000000003E-2"/>
    <n v="0.8650000000000001"/>
    <x v="2"/>
    <x v="10"/>
    <n v="53550"/>
    <n v="59850"/>
    <n v="6300"/>
    <n v="5449.5000000000009"/>
    <n v="58999.5"/>
    <n v="19469.834999999999"/>
    <n v="63499.5"/>
    <n v="66499.5"/>
    <n v="9321921"/>
    <n v="10032921"/>
    <n v="10506921"/>
    <n v="1636930.2715919998"/>
    <n v="931502.3580853201"/>
    <n v="2"/>
    <n v="252000"/>
    <n v="252000"/>
    <n v="11210851.271592"/>
    <n v="11921851.271592"/>
    <n v="12395851.271592"/>
    <d v="2025-07-01T00:00:00"/>
    <d v="2025-10-01T00:00:00"/>
  </r>
  <r>
    <m/>
    <s v="B"/>
    <s v="B3"/>
    <s v="RESIDENTIAL"/>
    <n v="0"/>
    <n v="4"/>
    <x v="219"/>
    <s v="3 BEDROOM"/>
    <s v="C1"/>
    <n v="131.34"/>
    <n v="142.61992000608558"/>
    <x v="33"/>
    <n v="80.916700000000006"/>
    <m/>
    <s v="SE"/>
    <s v="CORNER "/>
    <s v="ROAD 18M (VILLAS)"/>
    <s v="GROUND"/>
    <x v="4"/>
    <n v="0.08"/>
    <n v="0.05"/>
    <n v="0.16"/>
    <n v="0.05"/>
    <n v="2.5000000000000001E-2"/>
    <n v="0.36500000000000005"/>
    <x v="0"/>
    <x v="0"/>
    <n v="43562.499999999993"/>
    <n v="48687.499999999993"/>
    <n v="5125"/>
    <n v="1870.6250000000002"/>
    <n v="45433.124999999993"/>
    <n v="14992.931249999998"/>
    <n v="49933.124999999993"/>
    <n v="52933.124999999993"/>
    <n v="7269299.9999999991"/>
    <n v="7989299.9999999991"/>
    <n v="8469299.9999999981"/>
    <n v="1213178.5200768749"/>
    <n v="721010.6742065344"/>
    <n v="2"/>
    <n v="204999.99999999997"/>
    <n v="204999.99999999997"/>
    <n v="8687478.5200768746"/>
    <n v="9407478.5200768746"/>
    <n v="9887478.5200768728"/>
    <d v="2025-07-01T00:00:00"/>
    <d v="2024-01-01T00:00:00"/>
  </r>
  <r>
    <m/>
    <s v="B"/>
    <s v="B3"/>
    <s v="RESIDENTIAL"/>
    <n v="1"/>
    <n v="1"/>
    <x v="220"/>
    <s v="2 BEDROOM"/>
    <s v="C1"/>
    <n v="88.87"/>
    <n v="96.502453867373433"/>
    <x v="34"/>
    <m/>
    <m/>
    <s v="SE"/>
    <s v="MIDDLE"/>
    <s v="ROAD 18M (VILLAS)"/>
    <s v="FIRST"/>
    <x v="1"/>
    <n v="0.08"/>
    <n v="2.5000000000000001E-2"/>
    <n v="0.16"/>
    <n v="7.0000000000000007E-2"/>
    <n v="0.04"/>
    <n v="0.375"/>
    <x v="0"/>
    <x v="6"/>
    <n v="44625"/>
    <n v="49875"/>
    <n v="5250"/>
    <n v="1968.75"/>
    <n v="46593.75"/>
    <n v="15375.9375"/>
    <n v="51093.75"/>
    <n v="54093.75"/>
    <n v="5032125"/>
    <n v="5518125"/>
    <n v="5842125"/>
    <n v="0"/>
    <n v="427730.62500000006"/>
    <n v="1"/>
    <n v="210000"/>
    <n v="210000"/>
    <n v="5242125"/>
    <n v="5728125"/>
    <n v="6052125"/>
    <d v="2025-07-01T00:00:00"/>
    <d v="2024-04-01T00:00:00"/>
  </r>
  <r>
    <m/>
    <s v="B"/>
    <s v="B3"/>
    <s v="RESIDENTIAL"/>
    <n v="1"/>
    <n v="2"/>
    <x v="221"/>
    <s v="3 BEDROOM"/>
    <s v="C1"/>
    <n v="127.14"/>
    <n v="138.05920990995676"/>
    <x v="35"/>
    <m/>
    <m/>
    <s v="NW"/>
    <s v="MIDDLE"/>
    <s v="LAKE B-1"/>
    <s v="FIRST"/>
    <x v="0"/>
    <n v="0.13"/>
    <n v="2.5000000000000001E-2"/>
    <n v="0.6"/>
    <n v="7.0000000000000007E-2"/>
    <n v="3.5000000000000003E-2"/>
    <n v="0.86"/>
    <x v="2"/>
    <x v="4"/>
    <n v="51850"/>
    <n v="57950"/>
    <n v="6100"/>
    <n v="5246"/>
    <n v="57096"/>
    <n v="18841.68"/>
    <n v="61596"/>
    <n v="64596"/>
    <n v="8849880"/>
    <n v="9547380"/>
    <n v="10012380"/>
    <n v="0"/>
    <n v="752239.8"/>
    <n v="2"/>
    <n v="244000"/>
    <n v="244000"/>
    <n v="9093880"/>
    <n v="9791380"/>
    <n v="10256380"/>
    <d v="2025-07-01T00:00:00"/>
    <d v="2025-07-01T00:00:00"/>
  </r>
  <r>
    <m/>
    <s v="B"/>
    <s v="B3"/>
    <s v="RESIDENTIAL"/>
    <n v="1"/>
    <n v="3"/>
    <x v="222"/>
    <s v="3 BEDROOM"/>
    <s v="C1"/>
    <n v="131.43"/>
    <n v="142.71764950814548"/>
    <x v="33"/>
    <m/>
    <m/>
    <s v="NW"/>
    <s v="CORNER "/>
    <s v="LAKE B-1"/>
    <s v="FIRST"/>
    <x v="4"/>
    <n v="0.13"/>
    <n v="0.05"/>
    <n v="0.6"/>
    <n v="7.0000000000000007E-2"/>
    <n v="2.5000000000000001E-2"/>
    <n v="0.87500000000000011"/>
    <x v="2"/>
    <x v="8"/>
    <n v="56100"/>
    <n v="62700"/>
    <n v="6600"/>
    <n v="5775.0000000000009"/>
    <n v="61875"/>
    <n v="20418.75"/>
    <n v="66375"/>
    <n v="69375"/>
    <n v="9900000"/>
    <n v="10620000"/>
    <n v="11100000"/>
    <n v="0"/>
    <n v="841500.00000000012"/>
    <n v="2"/>
    <n v="264000"/>
    <n v="264000"/>
    <n v="10164000"/>
    <n v="10884000"/>
    <n v="11364000"/>
    <d v="2025-07-01T00:00:00"/>
    <d v="2026-01-01T00:00:00"/>
  </r>
  <r>
    <m/>
    <s v="B"/>
    <s v="B3"/>
    <s v="RESIDENTIAL"/>
    <n v="1"/>
    <n v="4"/>
    <x v="223"/>
    <s v="3 BEDROOM"/>
    <s v="C1"/>
    <n v="129.04"/>
    <n v="140.12238828677692"/>
    <x v="36"/>
    <m/>
    <m/>
    <s v="SE"/>
    <s v="CORNER "/>
    <s v="ROAD 18M (VILLAS)"/>
    <s v="FIRST"/>
    <x v="0"/>
    <n v="0.08"/>
    <n v="0.05"/>
    <n v="0.16"/>
    <n v="7.0000000000000007E-2"/>
    <n v="3.5000000000000003E-2"/>
    <n v="0.39500000000000002"/>
    <x v="0"/>
    <x v="2"/>
    <n v="45687.5"/>
    <n v="51062.5"/>
    <n v="5375"/>
    <n v="2123.125"/>
    <n v="47810.625"/>
    <n v="15777.50625"/>
    <n v="52310.625"/>
    <n v="55310.625"/>
    <n v="7506268.125"/>
    <n v="8212768.125"/>
    <n v="8683768.125"/>
    <n v="0"/>
    <n v="638032.79062500002"/>
    <n v="2"/>
    <n v="215000"/>
    <n v="215000"/>
    <n v="7721268.125"/>
    <n v="8427768.125"/>
    <n v="8898768.125"/>
    <d v="2025-07-01T00:00:00"/>
    <d v="2024-07-01T00:00:00"/>
  </r>
  <r>
    <m/>
    <s v="B"/>
    <s v="B3"/>
    <s v="RESIDENTIAL"/>
    <n v="2"/>
    <n v="1"/>
    <x v="224"/>
    <s v="3 BEDROOM"/>
    <s v="C1"/>
    <n v="127.15"/>
    <n v="138.07006874351899"/>
    <x v="35"/>
    <m/>
    <m/>
    <s v="SE"/>
    <s v="MIDDLE"/>
    <s v="ROAD 18M (VILLAS)"/>
    <s v="SECOND"/>
    <x v="0"/>
    <n v="0.08"/>
    <n v="2.5000000000000001E-2"/>
    <n v="0.16"/>
    <n v="0.11"/>
    <n v="3.5000000000000003E-2"/>
    <n v="0.41000000000000003"/>
    <x v="0"/>
    <x v="1"/>
    <n v="48450.000000000007"/>
    <n v="54150.000000000007"/>
    <n v="5700"/>
    <n v="2337"/>
    <n v="50787.000000000007"/>
    <n v="16759.710000000003"/>
    <n v="55287.000000000007"/>
    <n v="58287.000000000007"/>
    <n v="7871985.0000000009"/>
    <n v="8569485.0000000019"/>
    <n v="9034485.0000000019"/>
    <n v="0"/>
    <n v="669118.72500000009"/>
    <n v="2"/>
    <n v="228000.00000000003"/>
    <n v="228000.00000000003"/>
    <n v="8099985.0000000009"/>
    <n v="8797485.0000000019"/>
    <n v="9262485.0000000019"/>
    <d v="2025-07-01T00:00:00"/>
    <d v="2025-01-01T00:00:00"/>
  </r>
  <r>
    <m/>
    <s v="B"/>
    <s v="B3"/>
    <s v="RESIDENTIAL"/>
    <n v="2"/>
    <n v="2"/>
    <x v="225"/>
    <s v="3 BEDROOM"/>
    <s v="C1"/>
    <n v="126.95"/>
    <n v="137.85289207227476"/>
    <x v="35"/>
    <m/>
    <m/>
    <s v="NW"/>
    <s v="MIDDLE"/>
    <s v="LAKE B-1"/>
    <s v="SECOND"/>
    <x v="0"/>
    <n v="0.13"/>
    <n v="2.5000000000000001E-2"/>
    <n v="0.6"/>
    <n v="0.11"/>
    <n v="3.5000000000000003E-2"/>
    <n v="0.9"/>
    <x v="2"/>
    <x v="7"/>
    <n v="61625"/>
    <n v="68875"/>
    <n v="7250"/>
    <n v="6525"/>
    <n v="68150"/>
    <n v="22489.5"/>
    <n v="72650"/>
    <n v="75650"/>
    <n v="10563250"/>
    <n v="11260750"/>
    <n v="11725750"/>
    <n v="0"/>
    <n v="897876.25000000012"/>
    <n v="2"/>
    <n v="290000"/>
    <n v="290000"/>
    <n v="10853250"/>
    <n v="11550750"/>
    <n v="12015750"/>
    <d v="2025-07-01T00:00:00"/>
    <d v="2026-07-01T00:00:00"/>
  </r>
  <r>
    <m/>
    <s v="B"/>
    <s v="B3"/>
    <s v="RESIDENTIAL"/>
    <n v="2"/>
    <n v="3"/>
    <x v="226"/>
    <s v="3 BEDROOM"/>
    <s v="C1"/>
    <n v="131.44"/>
    <n v="142.72850834170771"/>
    <x v="33"/>
    <m/>
    <m/>
    <s v="NW"/>
    <s v="CORNER "/>
    <s v="LAKE B-1"/>
    <s v="SECOND"/>
    <x v="4"/>
    <n v="0.13"/>
    <n v="0.05"/>
    <n v="0.6"/>
    <n v="0.11"/>
    <n v="2.5000000000000001E-2"/>
    <n v="0.91500000000000004"/>
    <x v="2"/>
    <x v="7"/>
    <n v="61625"/>
    <n v="68875"/>
    <n v="7250"/>
    <n v="6633.75"/>
    <n v="68258.75"/>
    <n v="22525.387500000001"/>
    <n v="72758.75"/>
    <n v="75758.75"/>
    <n v="10921400"/>
    <n v="11641400"/>
    <n v="12121400"/>
    <n v="0"/>
    <n v="928319.00000000012"/>
    <n v="2"/>
    <n v="290000"/>
    <n v="290000"/>
    <n v="11211400"/>
    <n v="11931400"/>
    <n v="12411400"/>
    <d v="2025-07-01T00:00:00"/>
    <d v="2026-07-01T00:00:00"/>
  </r>
  <r>
    <m/>
    <s v="B"/>
    <s v="B3"/>
    <s v="RESIDENTIAL"/>
    <n v="2"/>
    <n v="4"/>
    <x v="227"/>
    <s v="3 BEDROOM"/>
    <s v="C1"/>
    <n v="131.43"/>
    <n v="142.71764950814548"/>
    <x v="33"/>
    <m/>
    <m/>
    <s v="SE"/>
    <s v="CORNER "/>
    <s v="ROAD 18M (VILLAS)"/>
    <s v="SECOND"/>
    <x v="4"/>
    <n v="0.08"/>
    <n v="0.05"/>
    <n v="0.16"/>
    <n v="0.11"/>
    <n v="2.5000000000000001E-2"/>
    <n v="0.42500000000000004"/>
    <x v="0"/>
    <x v="4"/>
    <n v="51850"/>
    <n v="57950"/>
    <n v="6100"/>
    <n v="2592.5000000000005"/>
    <n v="54442.5"/>
    <n v="17966.025000000001"/>
    <n v="58942.5"/>
    <n v="61942.5"/>
    <n v="8710800"/>
    <n v="9430800"/>
    <n v="9910800"/>
    <n v="0"/>
    <n v="740418"/>
    <n v="2"/>
    <n v="244000"/>
    <n v="244000"/>
    <n v="8954800"/>
    <n v="9674800"/>
    <n v="10154800"/>
    <d v="2025-07-01T00:00:00"/>
    <d v="2025-07-01T00:00:00"/>
  </r>
  <r>
    <m/>
    <s v="B"/>
    <s v="B3"/>
    <s v="RESIDENTIAL"/>
    <n v="3"/>
    <n v="1"/>
    <x v="228"/>
    <s v="3 BEDROOM"/>
    <s v="C1"/>
    <n v="127.45"/>
    <n v="138.39583375038532"/>
    <x v="35"/>
    <m/>
    <m/>
    <s v="SE"/>
    <s v="MIDDLE"/>
    <s v="ROAD 18M (VILLAS)"/>
    <s v="THIRD"/>
    <x v="0"/>
    <n v="0.08"/>
    <n v="2.5000000000000001E-2"/>
    <n v="0.16"/>
    <n v="0.15"/>
    <n v="3.5000000000000003E-2"/>
    <n v="0.45000000000000007"/>
    <x v="0"/>
    <x v="10"/>
    <n v="53550"/>
    <n v="59850"/>
    <n v="6300"/>
    <n v="2835.0000000000005"/>
    <n v="56385"/>
    <n v="18607.05"/>
    <n v="60885"/>
    <n v="63885"/>
    <n v="8739675"/>
    <n v="9437175"/>
    <n v="9902175"/>
    <n v="0"/>
    <n v="742872.375"/>
    <n v="2"/>
    <n v="252000"/>
    <n v="252000"/>
    <n v="8991675"/>
    <n v="9689175"/>
    <n v="10154175"/>
    <d v="2025-07-01T00:00:00"/>
    <d v="2025-10-01T00:00:00"/>
  </r>
  <r>
    <m/>
    <s v="B"/>
    <s v="B3"/>
    <s v="RESIDENTIAL"/>
    <n v="3"/>
    <n v="2"/>
    <x v="229"/>
    <s v="3 BEDROOM"/>
    <s v="C1"/>
    <n v="126.97"/>
    <n v="137.87460973939918"/>
    <x v="35"/>
    <m/>
    <m/>
    <s v="NW"/>
    <s v="MIDDLE"/>
    <s v="LAKE B-1"/>
    <s v="THIRD"/>
    <x v="0"/>
    <n v="0.13"/>
    <n v="2.5000000000000001E-2"/>
    <n v="0.6"/>
    <n v="0.15"/>
    <n v="3.5000000000000003E-2"/>
    <n v="0.94000000000000006"/>
    <x v="2"/>
    <x v="7"/>
    <n v="61625"/>
    <n v="68875"/>
    <n v="7250"/>
    <n v="6815"/>
    <n v="68440"/>
    <n v="22585.200000000001"/>
    <n v="72940"/>
    <n v="75940"/>
    <n v="10608200"/>
    <n v="11305700"/>
    <n v="11770700"/>
    <n v="0"/>
    <n v="901697.00000000012"/>
    <n v="2"/>
    <n v="290000"/>
    <n v="290000"/>
    <n v="10898200"/>
    <n v="11595700"/>
    <n v="12060700"/>
    <d v="2025-07-01T00:00:00"/>
    <d v="2026-07-01T00:00:00"/>
  </r>
  <r>
    <m/>
    <s v="B"/>
    <s v="B3"/>
    <s v="RESIDENTIAL"/>
    <n v="3"/>
    <n v="3"/>
    <x v="230"/>
    <s v="3 BEDROOM"/>
    <s v="C1"/>
    <n v="131.43"/>
    <n v="142.71764950814548"/>
    <x v="33"/>
    <m/>
    <m/>
    <s v="NW"/>
    <s v="CORNER "/>
    <s v="LAKE B-1"/>
    <s v="THIRD"/>
    <x v="4"/>
    <n v="0.13"/>
    <n v="0.05"/>
    <n v="0.6"/>
    <n v="0.15"/>
    <n v="2.5000000000000001E-2"/>
    <n v="0.95500000000000007"/>
    <x v="2"/>
    <x v="7"/>
    <n v="61625"/>
    <n v="68875"/>
    <n v="7250"/>
    <n v="6923.7500000000009"/>
    <n v="68548.75"/>
    <n v="22621.087500000001"/>
    <n v="73048.75"/>
    <n v="76048.75"/>
    <n v="10967800"/>
    <n v="11687800"/>
    <n v="12167800"/>
    <n v="0"/>
    <n v="932263.00000000012"/>
    <n v="2"/>
    <n v="290000"/>
    <n v="290000"/>
    <n v="11257800"/>
    <n v="11977800"/>
    <n v="12457800"/>
    <d v="2025-07-01T00:00:00"/>
    <d v="2026-07-01T00:00:00"/>
  </r>
  <r>
    <m/>
    <s v="B"/>
    <s v="B3"/>
    <s v="RESIDENTIAL"/>
    <n v="3"/>
    <n v="4"/>
    <x v="231"/>
    <s v="3 BEDROOM"/>
    <s v="C1"/>
    <n v="131.88"/>
    <n v="143.20629701844501"/>
    <x v="37"/>
    <m/>
    <m/>
    <s v="SE"/>
    <s v="CORNER "/>
    <s v="ROAD 18M (VILLAS)"/>
    <s v="THIRD"/>
    <x v="4"/>
    <n v="0.08"/>
    <n v="0.05"/>
    <n v="0.16"/>
    <n v="0.15"/>
    <n v="2.5000000000000001E-2"/>
    <n v="0.46500000000000008"/>
    <x v="0"/>
    <x v="9"/>
    <n v="58649.999999999993"/>
    <n v="65550"/>
    <n v="6900.0000000000073"/>
    <n v="3208.5000000000041"/>
    <n v="61858.5"/>
    <n v="20413.305"/>
    <n v="66358.5"/>
    <n v="69358.5"/>
    <n v="9959218.5"/>
    <n v="10683718.5"/>
    <n v="11166718.5"/>
    <n v="0"/>
    <n v="846533.57250000001"/>
    <n v="2"/>
    <n v="276000"/>
    <n v="276000"/>
    <n v="10235218.5"/>
    <n v="10959718.5"/>
    <n v="11442718.5"/>
    <d v="2025-07-01T00:00:00"/>
    <d v="2026-04-01T00:00:00"/>
  </r>
  <r>
    <m/>
    <s v="B"/>
    <s v="B3"/>
    <s v="RESIDENTIAL"/>
    <n v="4"/>
    <n v="1"/>
    <x v="232"/>
    <s v="3 BEDROOM"/>
    <s v="C1"/>
    <n v="125.13"/>
    <n v="135.87658436395225"/>
    <x v="31"/>
    <m/>
    <m/>
    <s v="SE"/>
    <s v="MIDDLE"/>
    <s v="ROAD 18M (VILLAS)"/>
    <s v="FORTH"/>
    <x v="0"/>
    <n v="0.08"/>
    <n v="2.5000000000000001E-2"/>
    <n v="0.16"/>
    <n v="0.06"/>
    <n v="3.5000000000000003E-2"/>
    <n v="0.36"/>
    <x v="0"/>
    <x v="0"/>
    <n v="43562.499999999993"/>
    <n v="48687.499999999993"/>
    <n v="5125"/>
    <n v="1845"/>
    <n v="45407.499999999993"/>
    <n v="14984.474999999999"/>
    <n v="49907.499999999993"/>
    <n v="52907.499999999993"/>
    <n v="6947347.4999999991"/>
    <n v="7635847.4999999991"/>
    <n v="8094847.4999999991"/>
    <n v="0"/>
    <n v="590524.53749999998"/>
    <n v="2"/>
    <n v="204999.99999999997"/>
    <n v="204999.99999999997"/>
    <n v="7152347.4999999991"/>
    <n v="7840847.4999999991"/>
    <n v="8299847.4999999991"/>
    <d v="2025-07-01T00:00:00"/>
    <d v="2024-01-01T00:00:00"/>
  </r>
  <r>
    <m/>
    <s v="B"/>
    <s v="B3"/>
    <s v="RESIDENTIAL"/>
    <n v="4"/>
    <n v="2"/>
    <x v="233"/>
    <s v="3 BEDROOM"/>
    <s v="C1"/>
    <n v="127.19"/>
    <n v="138.11350407776783"/>
    <x v="35"/>
    <m/>
    <m/>
    <s v="NW"/>
    <s v="MIDDLE"/>
    <s v="LAKE B-1"/>
    <s v="FORTH"/>
    <x v="0"/>
    <n v="0.13"/>
    <n v="2.5000000000000001E-2"/>
    <n v="0.6"/>
    <n v="0.06"/>
    <n v="3.5000000000000003E-2"/>
    <n v="0.85"/>
    <x v="2"/>
    <x v="4"/>
    <n v="51850"/>
    <n v="57950"/>
    <n v="6100"/>
    <n v="5185"/>
    <n v="57035"/>
    <n v="18821.55"/>
    <n v="61535"/>
    <n v="64535"/>
    <n v="8840425"/>
    <n v="9537925"/>
    <n v="10002925"/>
    <n v="0"/>
    <n v="751436.125"/>
    <n v="2"/>
    <n v="244000"/>
    <n v="244000"/>
    <n v="9084425"/>
    <n v="9781925"/>
    <n v="10246925"/>
    <d v="2025-07-01T00:00:00"/>
    <d v="2025-07-01T00:00:00"/>
  </r>
  <r>
    <m/>
    <s v="B"/>
    <s v="B3"/>
    <s v="RESIDENTIAL"/>
    <n v="4"/>
    <n v="3"/>
    <x v="234"/>
    <s v="3 BEDROOM"/>
    <s v="C1"/>
    <n v="131.38"/>
    <n v="142.66335534033442"/>
    <x v="33"/>
    <m/>
    <m/>
    <s v="NW"/>
    <s v="CORNER "/>
    <s v="LAKE B-1"/>
    <s v="FORTH"/>
    <x v="4"/>
    <n v="0.13"/>
    <n v="0.05"/>
    <n v="0.6"/>
    <n v="0.06"/>
    <n v="2.5000000000000001E-2"/>
    <n v="0.8650000000000001"/>
    <x v="2"/>
    <x v="10"/>
    <n v="53550"/>
    <n v="59850"/>
    <n v="6300"/>
    <n v="5449.5000000000009"/>
    <n v="58999.5"/>
    <n v="19469.834999999999"/>
    <n v="63499.5"/>
    <n v="66499.5"/>
    <n v="9439920"/>
    <n v="10159920"/>
    <n v="10639920"/>
    <n v="0"/>
    <n v="802393.20000000007"/>
    <n v="2"/>
    <n v="252000"/>
    <n v="252000"/>
    <n v="9691920"/>
    <n v="10411920"/>
    <n v="10891920"/>
    <d v="2025-07-01T00:00:00"/>
    <d v="2025-10-01T00:00:00"/>
  </r>
  <r>
    <m/>
    <s v="B"/>
    <s v="B3"/>
    <s v="RESIDENTIAL"/>
    <n v="4"/>
    <n v="4"/>
    <x v="235"/>
    <s v="3 BEDROOM"/>
    <s v="C1"/>
    <n v="129.58000000000001"/>
    <n v="140.70876529913639"/>
    <x v="32"/>
    <m/>
    <m/>
    <s v="SE"/>
    <s v="CORNER "/>
    <s v="ROAD 18M (VILLAS)"/>
    <s v="FORTH"/>
    <x v="0"/>
    <n v="0.08"/>
    <n v="0.05"/>
    <n v="0.16"/>
    <n v="0.06"/>
    <n v="3.5000000000000003E-2"/>
    <n v="0.38500000000000001"/>
    <x v="0"/>
    <x v="2"/>
    <n v="45687.5"/>
    <n v="51062.5"/>
    <n v="5375"/>
    <n v="2069.375"/>
    <n v="47756.875"/>
    <n v="15759.768750000001"/>
    <n v="52256.875"/>
    <n v="55256.875"/>
    <n v="7545586.25"/>
    <n v="8256586.25"/>
    <n v="8730586.25"/>
    <n v="0"/>
    <n v="641374.83125000005"/>
    <n v="2"/>
    <n v="215000"/>
    <n v="215000"/>
    <n v="7760586.25"/>
    <n v="8471586.25"/>
    <n v="8945586.25"/>
    <d v="2025-07-01T00:00:00"/>
    <d v="2024-07-01T00:00:00"/>
  </r>
  <r>
    <s v="C3"/>
    <s v="B"/>
    <s v="B4"/>
    <s v="RESIDENTIAL"/>
    <n v="0"/>
    <n v="1"/>
    <x v="236"/>
    <s v="3 BEDROOM"/>
    <s v="C1"/>
    <n v="131.32"/>
    <n v="142.66718842094684"/>
    <x v="33"/>
    <n v="81.224599999999995"/>
    <m/>
    <s v="SE"/>
    <s v="MIDDLE"/>
    <s v="ROAD 18M (VILLAS)"/>
    <s v="GROUND"/>
    <x v="4"/>
    <n v="0.08"/>
    <n v="2.5000000000000001E-2"/>
    <n v="0.16"/>
    <n v="0.05"/>
    <n v="2.5000000000000001E-2"/>
    <n v="0.34"/>
    <x v="0"/>
    <x v="3"/>
    <n v="42500"/>
    <n v="47500"/>
    <n v="5000"/>
    <n v="1700.0000000000002"/>
    <n v="44200"/>
    <n v="14586"/>
    <n v="48700"/>
    <n v="51700"/>
    <n v="7072000"/>
    <n v="7792000"/>
    <n v="8272000"/>
    <n v="1184742.0156"/>
    <n v="701823.07132600003"/>
    <n v="2"/>
    <n v="200000"/>
    <n v="200000"/>
    <n v="8456742.0155999996"/>
    <n v="9176742.0155999996"/>
    <n v="9656742.0155999996"/>
    <d v="2025-07-01T00:00:00"/>
    <d v="2023-09-01T00:00:00"/>
  </r>
  <r>
    <m/>
    <s v="B"/>
    <s v="B4"/>
    <s v="RESIDENTIAL"/>
    <n v="0"/>
    <n v="2"/>
    <x v="237"/>
    <s v="3 BEDROOM + LIVING (DUPLEX)"/>
    <s v="C1"/>
    <n v="128.28"/>
    <n v="139.36450602070562"/>
    <x v="38"/>
    <n v="86.075999999999993"/>
    <m/>
    <s v="NW"/>
    <s v="MIDDLE"/>
    <s v="LAKE B-1"/>
    <s v="GROUND"/>
    <x v="5"/>
    <n v="0.13"/>
    <n v="2.5000000000000001E-2"/>
    <n v="0.6"/>
    <n v="0.05"/>
    <n v="0"/>
    <n v="0.80500000000000005"/>
    <x v="2"/>
    <x v="1"/>
    <n v="48450.000000000007"/>
    <n v="54150.000000000007"/>
    <n v="5700"/>
    <n v="4588.5"/>
    <n v="53038.500000000007"/>
    <n v="17502.705000000002"/>
    <n v="57538.500000000007"/>
    <n v="60538.500000000007"/>
    <n v="16388896.500000002"/>
    <n v="17779396.500000004"/>
    <n v="18706396.500000004"/>
    <n v="1506562.83558"/>
    <n v="1521114.0435243002"/>
    <n v="2"/>
    <n v="228000.00000000003"/>
    <n v="228000.00000000003"/>
    <n v="18123459.335580003"/>
    <n v="19513959.335580003"/>
    <n v="20440959.335580003"/>
    <d v="2025-07-01T00:00:00"/>
    <d v="2025-01-01T00:00:00"/>
  </r>
  <r>
    <m/>
    <s v="B"/>
    <s v="B4"/>
    <s v="RESIDENTIAL"/>
    <n v="0"/>
    <n v="3"/>
    <x v="238"/>
    <s v="3 BEDROOM + LIVING (DUPLEX)"/>
    <s v="C1"/>
    <n v="125.03"/>
    <n v="135.83367779676351"/>
    <x v="39"/>
    <n v="85.509600000000006"/>
    <m/>
    <s v="NW"/>
    <s v="MIDDLE"/>
    <s v="LAKE B-1"/>
    <s v="GROUND"/>
    <x v="5"/>
    <n v="0.13"/>
    <n v="2.5000000000000001E-2"/>
    <n v="0.6"/>
    <n v="0.05"/>
    <n v="0"/>
    <n v="0.80500000000000005"/>
    <x v="2"/>
    <x v="1"/>
    <n v="48450.000000000007"/>
    <n v="54150.000000000007"/>
    <n v="5700"/>
    <n v="4588.5"/>
    <n v="53038.500000000007"/>
    <n v="17502.705000000002"/>
    <n v="57538.500000000007"/>
    <n v="60538.500000000007"/>
    <n v="15964588.500000002"/>
    <n v="17319088.500000004"/>
    <n v="18222088.500000004"/>
    <n v="1496649.3034680001"/>
    <n v="1484205.2132947803"/>
    <n v="2"/>
    <n v="228000.00000000003"/>
    <n v="228000.00000000003"/>
    <n v="17689237.803468004"/>
    <n v="19043737.803468004"/>
    <n v="19946737.803468004"/>
    <d v="2025-07-01T00:00:00"/>
    <d v="2025-01-01T00:00:00"/>
  </r>
  <r>
    <m/>
    <s v="B"/>
    <s v="B4"/>
    <s v="RESIDENTIAL"/>
    <n v="0"/>
    <n v="4"/>
    <x v="239"/>
    <s v="2 BEDROOM"/>
    <s v="C1"/>
    <n v="87.23"/>
    <n v="94.767429530606108"/>
    <x v="30"/>
    <n v="66.334900000000005"/>
    <m/>
    <s v="SE"/>
    <s v="MIDDLE"/>
    <s v="ROAD 18M (VILLAS)"/>
    <s v="GROUND"/>
    <x v="1"/>
    <n v="0.08"/>
    <n v="2.5000000000000001E-2"/>
    <n v="0.16"/>
    <n v="0.05"/>
    <n v="0.04"/>
    <n v="0.35499999999999998"/>
    <x v="0"/>
    <x v="3"/>
    <n v="42500"/>
    <n v="47500"/>
    <n v="5000"/>
    <n v="1775"/>
    <n v="44275"/>
    <n v="14610.75"/>
    <n v="48775"/>
    <n v="51775"/>
    <n v="4693150"/>
    <n v="5170150"/>
    <n v="5488150"/>
    <n v="969202.64017500007"/>
    <n v="481299.97441487503"/>
    <n v="1"/>
    <n v="200000"/>
    <n v="200000"/>
    <n v="5862352.6401749998"/>
    <n v="6339352.6401749998"/>
    <n v="6657352.6401749998"/>
    <d v="2025-07-01T00:00:00"/>
    <d v="2023-09-01T00:00:00"/>
  </r>
  <r>
    <m/>
    <s v="B"/>
    <s v="B4"/>
    <s v="RESIDENTIAL"/>
    <n v="1"/>
    <n v="1"/>
    <x v="240"/>
    <s v="3 BEDROOM"/>
    <s v="C1"/>
    <n v="132.94"/>
    <n v="144.42717048949646"/>
    <x v="40"/>
    <m/>
    <m/>
    <s v="SE"/>
    <s v="MIDDLE"/>
    <s v="ROAD 18M (VILLAS)"/>
    <s v="FIRST"/>
    <x v="4"/>
    <n v="0.08"/>
    <n v="2.5000000000000001E-2"/>
    <n v="0.16"/>
    <n v="7.0000000000000007E-2"/>
    <n v="2.5000000000000001E-2"/>
    <n v="0.36000000000000004"/>
    <x v="0"/>
    <x v="0"/>
    <n v="43562.499999999993"/>
    <n v="48687.499999999993"/>
    <n v="5125"/>
    <n v="1845.0000000000002"/>
    <n v="45407.499999999993"/>
    <n v="14984.474999999999"/>
    <n v="49907.499999999993"/>
    <n v="52907.499999999993"/>
    <n v="7356014.9999999991"/>
    <n v="8085014.9999999991"/>
    <n v="8571014.9999999981"/>
    <n v="0"/>
    <n v="625261.27500000002"/>
    <n v="2"/>
    <n v="204999.99999999997"/>
    <n v="204999.99999999997"/>
    <n v="7561014.9999999991"/>
    <n v="8290014.9999999991"/>
    <n v="8776014.9999999981"/>
    <d v="2025-07-01T00:00:00"/>
    <d v="2024-01-01T00:00:00"/>
  </r>
  <r>
    <m/>
    <s v="B"/>
    <s v="B4"/>
    <s v="RESIDENTIAL"/>
    <n v="1"/>
    <n v="4"/>
    <x v="241"/>
    <s v="2 BEDROOM"/>
    <s v="C1"/>
    <n v="88.87"/>
    <n v="96.549139772841514"/>
    <x v="34"/>
    <m/>
    <m/>
    <s v="SE"/>
    <s v="MIDDLE"/>
    <s v="ROAD 18M (VILLAS)"/>
    <s v="FIRST"/>
    <x v="1"/>
    <n v="0.08"/>
    <n v="2.5000000000000001E-2"/>
    <n v="0.16"/>
    <n v="7.0000000000000007E-2"/>
    <n v="0.04"/>
    <n v="0.375"/>
    <x v="0"/>
    <x v="6"/>
    <n v="44625"/>
    <n v="49875"/>
    <n v="5250"/>
    <n v="1968.75"/>
    <n v="46593.75"/>
    <n v="15375.9375"/>
    <n v="51093.75"/>
    <n v="54093.75"/>
    <n v="5032125"/>
    <n v="5518125"/>
    <n v="5842125"/>
    <n v="0"/>
    <n v="427730.62500000006"/>
    <n v="1"/>
    <n v="210000"/>
    <n v="210000"/>
    <n v="5242125"/>
    <n v="5728125"/>
    <n v="6052125"/>
    <d v="2025-07-01T00:00:00"/>
    <d v="2024-04-01T00:00:00"/>
  </r>
  <r>
    <m/>
    <s v="B"/>
    <s v="B4"/>
    <s v="RESIDENTIAL"/>
    <n v="2"/>
    <n v="1"/>
    <x v="242"/>
    <s v="3 BEDROOM"/>
    <s v="C1"/>
    <n v="131.41999999999999"/>
    <n v="142.77582928937582"/>
    <x v="33"/>
    <m/>
    <m/>
    <s v="SE"/>
    <s v="MIDDLE"/>
    <s v="ROAD 18M (VILLAS)"/>
    <s v="SECOND"/>
    <x v="4"/>
    <n v="0.08"/>
    <n v="2.5000000000000001E-2"/>
    <n v="0.16"/>
    <n v="0.11"/>
    <n v="2.5000000000000001E-2"/>
    <n v="0.4"/>
    <x v="0"/>
    <x v="5"/>
    <n v="46750.000000000007"/>
    <n v="52250.000000000007"/>
    <n v="5500"/>
    <n v="2200"/>
    <n v="48950.000000000007"/>
    <n v="16153.500000000004"/>
    <n v="53450.000000000007"/>
    <n v="56450.000000000007"/>
    <n v="7832000.0000000009"/>
    <n v="8552000.0000000019"/>
    <n v="9032000.0000000019"/>
    <n v="0"/>
    <n v="665720.00000000012"/>
    <n v="2"/>
    <n v="220000.00000000003"/>
    <n v="220000.00000000003"/>
    <n v="8052000.0000000009"/>
    <n v="8772000.0000000019"/>
    <n v="9252000.0000000019"/>
    <d v="2025-07-01T00:00:00"/>
    <d v="2024-10-01T00:00:00"/>
  </r>
  <r>
    <m/>
    <s v="B"/>
    <s v="B4"/>
    <s v="RESIDENTIAL"/>
    <n v="2"/>
    <n v="2"/>
    <x v="243"/>
    <s v="3 BEDROOM"/>
    <s v="C1"/>
    <n v="131.03"/>
    <n v="142.35212990250278"/>
    <x v="33"/>
    <m/>
    <m/>
    <s v="NW"/>
    <s v="MIDDLE"/>
    <s v="LAKE B-1"/>
    <s v="SECOND"/>
    <x v="4"/>
    <n v="0.13"/>
    <n v="2.5000000000000001E-2"/>
    <n v="0.6"/>
    <n v="0.11"/>
    <n v="2.5000000000000001E-2"/>
    <n v="0.89"/>
    <x v="2"/>
    <x v="7"/>
    <n v="61625"/>
    <n v="68875"/>
    <n v="7250"/>
    <n v="6452.5"/>
    <n v="68077.5"/>
    <n v="22465.575000000001"/>
    <n v="72577.5"/>
    <n v="75577.5"/>
    <n v="10892400"/>
    <n v="11612400"/>
    <n v="12092400"/>
    <n v="0"/>
    <n v="925854.00000000012"/>
    <n v="2"/>
    <n v="290000"/>
    <n v="290000"/>
    <n v="11182400"/>
    <n v="11902400"/>
    <n v="12382400"/>
    <d v="2025-07-01T00:00:00"/>
    <d v="2026-07-01T00:00:00"/>
  </r>
  <r>
    <m/>
    <s v="B"/>
    <s v="B4"/>
    <s v="RESIDENTIAL"/>
    <n v="2"/>
    <n v="3"/>
    <x v="244"/>
    <s v="3 BEDROOM"/>
    <s v="C1"/>
    <n v="126.89"/>
    <n v="137.85439794954269"/>
    <x v="35"/>
    <m/>
    <m/>
    <s v="NW"/>
    <s v="MIDDLE"/>
    <s v="LAKE B-1"/>
    <s v="SECOND"/>
    <x v="0"/>
    <n v="0.13"/>
    <n v="2.5000000000000001E-2"/>
    <n v="0.6"/>
    <n v="0.11"/>
    <n v="3.5000000000000003E-2"/>
    <n v="0.9"/>
    <x v="2"/>
    <x v="7"/>
    <n v="61625"/>
    <n v="68875"/>
    <n v="7250"/>
    <n v="6525"/>
    <n v="68150"/>
    <n v="22489.5"/>
    <n v="72650"/>
    <n v="75650"/>
    <n v="10563250"/>
    <n v="11260750"/>
    <n v="11725750"/>
    <n v="0"/>
    <n v="897876.25000000012"/>
    <n v="2"/>
    <n v="290000"/>
    <n v="290000"/>
    <n v="10853250"/>
    <n v="11550750"/>
    <n v="12015750"/>
    <d v="2025-07-01T00:00:00"/>
    <d v="2026-07-01T00:00:00"/>
  </r>
  <r>
    <m/>
    <s v="B"/>
    <s v="B4"/>
    <s v="RESIDENTIAL"/>
    <n v="2"/>
    <n v="4"/>
    <x v="245"/>
    <s v="3 BEDROOM"/>
    <s v="C1"/>
    <n v="126.99"/>
    <n v="137.96303881797166"/>
    <x v="35"/>
    <m/>
    <m/>
    <s v="SE"/>
    <s v="MIDDLE"/>
    <s v="ROAD 18M (VILLAS)"/>
    <s v="SECOND"/>
    <x v="0"/>
    <n v="0.08"/>
    <n v="2.5000000000000001E-2"/>
    <n v="0.16"/>
    <n v="0.11"/>
    <n v="3.5000000000000003E-2"/>
    <n v="0.41000000000000003"/>
    <x v="0"/>
    <x v="1"/>
    <n v="48450.000000000007"/>
    <n v="54150.000000000007"/>
    <n v="5700"/>
    <n v="2337"/>
    <n v="50787.000000000007"/>
    <n v="16759.710000000003"/>
    <n v="55287.000000000007"/>
    <n v="58287.000000000007"/>
    <n v="7871985.0000000009"/>
    <n v="8569485.0000000019"/>
    <n v="9034485.0000000019"/>
    <n v="0"/>
    <n v="669118.72500000009"/>
    <n v="2"/>
    <n v="228000.00000000003"/>
    <n v="228000.00000000003"/>
    <n v="8099985.0000000009"/>
    <n v="8797485.0000000019"/>
    <n v="9262485.0000000019"/>
    <d v="2025-07-01T00:00:00"/>
    <d v="2025-01-01T00:00:00"/>
  </r>
  <r>
    <m/>
    <s v="B"/>
    <s v="B4"/>
    <s v="RESIDENTIAL"/>
    <n v="3"/>
    <n v="1"/>
    <x v="246"/>
    <s v="3 BEDROOM"/>
    <s v="C1"/>
    <n v="131.88"/>
    <n v="143.27557728414919"/>
    <x v="37"/>
    <m/>
    <m/>
    <s v="SE"/>
    <s v="MIDDLE"/>
    <s v="ROAD 18M (VILLAS)"/>
    <s v="THIRD"/>
    <x v="4"/>
    <n v="0.08"/>
    <n v="2.5000000000000001E-2"/>
    <n v="0.16"/>
    <n v="0.15"/>
    <n v="2.5000000000000001E-2"/>
    <n v="0.44000000000000006"/>
    <x v="0"/>
    <x v="4"/>
    <n v="51850"/>
    <n v="57950"/>
    <n v="6100"/>
    <n v="2684.0000000000005"/>
    <n v="54534"/>
    <n v="17996.22"/>
    <n v="59034"/>
    <n v="62034"/>
    <n v="8779974"/>
    <n v="9504474"/>
    <n v="9987474"/>
    <n v="0"/>
    <n v="746297.79"/>
    <n v="2"/>
    <n v="244000"/>
    <n v="244000"/>
    <n v="9023974"/>
    <n v="9748474"/>
    <n v="10231474"/>
    <d v="2025-07-01T00:00:00"/>
    <d v="2025-07-01T00:00:00"/>
  </r>
  <r>
    <m/>
    <s v="B"/>
    <s v="B4"/>
    <s v="RESIDENTIAL"/>
    <n v="3"/>
    <n v="2"/>
    <x v="247"/>
    <s v="3 BEDROOM"/>
    <s v="C1"/>
    <n v="131.02000000000001"/>
    <n v="142.34126581565991"/>
    <x v="33"/>
    <m/>
    <m/>
    <s v="NW"/>
    <s v="MIDDLE"/>
    <s v="LAKE B-1"/>
    <s v="THIRD"/>
    <x v="4"/>
    <n v="0.13"/>
    <n v="2.5000000000000001E-2"/>
    <n v="0.6"/>
    <n v="0.15"/>
    <n v="2.5000000000000001E-2"/>
    <n v="0.93"/>
    <x v="2"/>
    <x v="7"/>
    <n v="61625"/>
    <n v="68875"/>
    <n v="7250"/>
    <n v="6742.5"/>
    <n v="68367.5"/>
    <n v="22561.275000000001"/>
    <n v="72867.5"/>
    <n v="75867.5"/>
    <n v="10938800"/>
    <n v="11658800"/>
    <n v="12138800"/>
    <n v="0"/>
    <n v="929798.00000000012"/>
    <n v="2"/>
    <n v="290000"/>
    <n v="290000"/>
    <n v="11228800"/>
    <n v="11948800"/>
    <n v="12428800"/>
    <d v="2025-07-01T00:00:00"/>
    <d v="2026-07-01T00:00:00"/>
  </r>
  <r>
    <m/>
    <s v="B"/>
    <s v="B4"/>
    <s v="RESIDENTIAL"/>
    <n v="3"/>
    <n v="3"/>
    <x v="248"/>
    <s v="3 BEDROOM"/>
    <s v="C1"/>
    <n v="126.87"/>
    <n v="137.83266977585691"/>
    <x v="35"/>
    <m/>
    <m/>
    <s v="NW"/>
    <s v="MIDDLE"/>
    <s v="LAKE B-1"/>
    <s v="THIRD"/>
    <x v="0"/>
    <n v="0.13"/>
    <n v="2.5000000000000001E-2"/>
    <n v="0.6"/>
    <n v="0.15"/>
    <n v="3.5000000000000003E-2"/>
    <n v="0.94000000000000006"/>
    <x v="2"/>
    <x v="7"/>
    <n v="61625"/>
    <n v="68875"/>
    <n v="7250"/>
    <n v="6815"/>
    <n v="68440"/>
    <n v="22585.200000000001"/>
    <n v="72940"/>
    <n v="75940"/>
    <n v="10608200"/>
    <n v="11305700"/>
    <n v="11770700"/>
    <n v="0"/>
    <n v="901697.00000000012"/>
    <n v="2"/>
    <n v="290000"/>
    <n v="290000"/>
    <n v="10898200"/>
    <n v="11595700"/>
    <n v="12060700"/>
    <d v="2025-07-01T00:00:00"/>
    <d v="2026-07-01T00:00:00"/>
  </r>
  <r>
    <m/>
    <s v="B"/>
    <s v="B4"/>
    <s v="RESIDENTIAL"/>
    <n v="3"/>
    <n v="4"/>
    <x v="249"/>
    <s v="3 BEDROOM"/>
    <s v="C1"/>
    <n v="127.41"/>
    <n v="138.41933046537343"/>
    <x v="35"/>
    <m/>
    <m/>
    <s v="SE"/>
    <s v="MIDDLE"/>
    <s v="ROAD 18M (VILLAS)"/>
    <s v="THIRD"/>
    <x v="0"/>
    <n v="0.08"/>
    <n v="2.5000000000000001E-2"/>
    <n v="0.16"/>
    <n v="0.15"/>
    <n v="3.5000000000000003E-2"/>
    <n v="0.45000000000000007"/>
    <x v="0"/>
    <x v="10"/>
    <n v="53550"/>
    <n v="59850"/>
    <n v="6300"/>
    <n v="2835.0000000000005"/>
    <n v="56385"/>
    <n v="18607.05"/>
    <n v="60885"/>
    <n v="63885"/>
    <n v="8739675"/>
    <n v="9437175"/>
    <n v="9902175"/>
    <n v="0"/>
    <n v="742872.375"/>
    <n v="2"/>
    <n v="252000"/>
    <n v="252000"/>
    <n v="8991675"/>
    <n v="9689175"/>
    <n v="10154175"/>
    <d v="2025-07-01T00:00:00"/>
    <d v="2025-10-01T00:00:00"/>
  </r>
  <r>
    <m/>
    <s v="B"/>
    <s v="B4"/>
    <s v="RESIDENTIAL"/>
    <n v="4"/>
    <n v="1"/>
    <x v="250"/>
    <s v="3 BEDROOM"/>
    <s v="C1"/>
    <n v="129.59"/>
    <n v="140.78770139712537"/>
    <x v="32"/>
    <m/>
    <m/>
    <s v="SE"/>
    <s v="MIDDLE"/>
    <s v="ROAD 18M (VILLAS)"/>
    <s v="FORTH"/>
    <x v="0"/>
    <n v="0.08"/>
    <n v="2.5000000000000001E-2"/>
    <n v="0.16"/>
    <n v="0.06"/>
    <n v="3.5000000000000003E-2"/>
    <n v="0.36"/>
    <x v="0"/>
    <x v="3"/>
    <n v="42500"/>
    <n v="47500"/>
    <n v="5000"/>
    <n v="1800"/>
    <n v="44300"/>
    <n v="14619"/>
    <n v="48800"/>
    <n v="51800"/>
    <n v="6999400"/>
    <n v="7710400"/>
    <n v="8184400"/>
    <n v="0"/>
    <n v="594949"/>
    <n v="2"/>
    <n v="200000"/>
    <n v="200000"/>
    <n v="7199400"/>
    <n v="7910400"/>
    <n v="8384400"/>
    <d v="2025-07-01T00:00:00"/>
    <d v="2023-09-01T00:00:00"/>
  </r>
  <r>
    <m/>
    <s v="B"/>
    <s v="B4"/>
    <s v="RESIDENTIAL"/>
    <n v="4"/>
    <n v="2"/>
    <x v="251"/>
    <s v="3 BEDROOM"/>
    <s v="C1"/>
    <n v="131.72"/>
    <n v="143.10175189466281"/>
    <x v="37"/>
    <m/>
    <m/>
    <s v="NW"/>
    <s v="MIDDLE"/>
    <s v="LAKE B-1"/>
    <s v="FORTH"/>
    <x v="4"/>
    <n v="0.13"/>
    <n v="2.5000000000000001E-2"/>
    <n v="0.6"/>
    <n v="0.06"/>
    <n v="2.5000000000000001E-2"/>
    <n v="0.84"/>
    <x v="2"/>
    <x v="4"/>
    <n v="51850"/>
    <n v="57950"/>
    <n v="6100"/>
    <n v="5124"/>
    <n v="56974"/>
    <n v="18801.420000000002"/>
    <n v="61474"/>
    <n v="64474"/>
    <n v="9172814"/>
    <n v="9897314"/>
    <n v="10380314"/>
    <n v="0"/>
    <n v="779689.19000000006"/>
    <n v="2"/>
    <n v="244000"/>
    <n v="244000"/>
    <n v="9416814"/>
    <n v="10141314"/>
    <n v="10624314"/>
    <d v="2025-07-01T00:00:00"/>
    <d v="2025-07-01T00:00:00"/>
  </r>
  <r>
    <m/>
    <s v="B"/>
    <s v="B4"/>
    <s v="RESIDENTIAL"/>
    <n v="4"/>
    <n v="3"/>
    <x v="252"/>
    <s v="3 BEDROOM"/>
    <s v="C1"/>
    <n v="127.12"/>
    <n v="138.10427194692937"/>
    <x v="35"/>
    <m/>
    <m/>
    <s v="NW"/>
    <s v="MIDDLE"/>
    <s v="LAKE B-1"/>
    <s v="FORTH"/>
    <x v="0"/>
    <n v="0.13"/>
    <n v="2.5000000000000001E-2"/>
    <n v="0.6"/>
    <n v="0.06"/>
    <n v="3.5000000000000003E-2"/>
    <n v="0.85"/>
    <x v="2"/>
    <x v="4"/>
    <n v="51850"/>
    <n v="57950"/>
    <n v="6100"/>
    <n v="5185"/>
    <n v="57035"/>
    <n v="18821.55"/>
    <n v="61535"/>
    <n v="64535"/>
    <n v="8840425"/>
    <n v="9537925"/>
    <n v="10002925"/>
    <n v="0"/>
    <n v="751436.125"/>
    <n v="2"/>
    <n v="244000"/>
    <n v="244000"/>
    <n v="9084425"/>
    <n v="9781925"/>
    <n v="10246925"/>
    <d v="2025-07-01T00:00:00"/>
    <d v="2025-07-01T00:00:00"/>
  </r>
  <r>
    <m/>
    <s v="B"/>
    <s v="B4"/>
    <s v="RESIDENTIAL"/>
    <n v="4"/>
    <n v="4"/>
    <x v="253"/>
    <s v="3 BEDROOM"/>
    <s v="C1"/>
    <n v="125.12"/>
    <n v="135.93145457834962"/>
    <x v="31"/>
    <m/>
    <m/>
    <s v="SE"/>
    <s v="MIDDLE"/>
    <s v="ROAD 18M (VILLAS)"/>
    <s v="FORTH"/>
    <x v="0"/>
    <n v="0.08"/>
    <n v="2.5000000000000001E-2"/>
    <n v="0.16"/>
    <n v="0.06"/>
    <n v="3.5000000000000003E-2"/>
    <n v="0.36"/>
    <x v="0"/>
    <x v="3"/>
    <n v="42500"/>
    <n v="47500"/>
    <n v="5000"/>
    <n v="1800"/>
    <n v="44300"/>
    <n v="14619"/>
    <n v="48800"/>
    <n v="51800"/>
    <n v="6777900"/>
    <n v="7466400"/>
    <n v="7925400"/>
    <n v="0"/>
    <n v="576121.5"/>
    <n v="2"/>
    <n v="200000"/>
    <n v="200000"/>
    <n v="6977900"/>
    <n v="7666400"/>
    <n v="8125400"/>
    <d v="2025-07-01T00:00:00"/>
    <d v="2023-09-01T00:00:00"/>
  </r>
  <r>
    <s v="C3"/>
    <s v="B"/>
    <s v="B5"/>
    <s v="RESIDENTIAL"/>
    <n v="0"/>
    <n v="1"/>
    <x v="254"/>
    <s v="3 BEDROOM"/>
    <s v="C1"/>
    <n v="131.34"/>
    <n v="142.61992000608555"/>
    <x v="33"/>
    <n v="75.025700000000001"/>
    <m/>
    <s v="SE"/>
    <s v="CORNER "/>
    <s v="ROAD 18M (VILLAS)"/>
    <s v="GROUND"/>
    <x v="4"/>
    <n v="0.08"/>
    <n v="0.05"/>
    <n v="0.16"/>
    <n v="0.05"/>
    <n v="2.5000000000000001E-2"/>
    <n v="0.36500000000000005"/>
    <x v="0"/>
    <x v="0"/>
    <n v="43562.499999999993"/>
    <n v="48687.499999999993"/>
    <n v="5125"/>
    <n v="1870.6250000000002"/>
    <n v="45433.124999999993"/>
    <n v="14992.931249999998"/>
    <n v="49933.124999999993"/>
    <n v="52933.124999999993"/>
    <n v="7269299.9999999991"/>
    <n v="7989299.9999999991"/>
    <n v="8469299.9999999981"/>
    <n v="1124855.1620831247"/>
    <n v="713503.18877706549"/>
    <n v="2"/>
    <n v="204999.99999999997"/>
    <n v="204999.99999999997"/>
    <n v="8599155.1620831229"/>
    <n v="9319155.1620831229"/>
    <n v="9799155.1620831229"/>
    <d v="2025-07-01T00:00:00"/>
    <d v="2024-01-01T00:00:00"/>
  </r>
  <r>
    <m/>
    <s v="B"/>
    <s v="B5"/>
    <s v="RESIDENTIAL"/>
    <n v="0"/>
    <n v="2"/>
    <x v="255"/>
    <s v="3 BEDROOM"/>
    <s v="C1"/>
    <n v="129.57"/>
    <n v="140.69790646557411"/>
    <x v="32"/>
    <n v="84.036199999999994"/>
    <m/>
    <s v="NW"/>
    <s v="CORNER "/>
    <s v="SEMI LAKE B-1"/>
    <s v="GROUND"/>
    <x v="0"/>
    <n v="0.13"/>
    <n v="0.05"/>
    <n v="0.48"/>
    <n v="0.05"/>
    <n v="3.5000000000000003E-2"/>
    <n v="0.745"/>
    <x v="2"/>
    <x v="3"/>
    <n v="42500"/>
    <n v="47500"/>
    <n v="5000"/>
    <n v="3725"/>
    <n v="46225"/>
    <n v="15254.25"/>
    <n v="50725"/>
    <n v="53725"/>
    <n v="7303550"/>
    <n v="8014550"/>
    <n v="8488550"/>
    <n v="1281909.2038499999"/>
    <n v="729764.03232725"/>
    <n v="2"/>
    <n v="200000"/>
    <n v="200000"/>
    <n v="8785459.2038499992"/>
    <n v="9496459.2038499992"/>
    <n v="9970459.2038499992"/>
    <d v="2025-07-01T00:00:00"/>
    <d v="2023-09-01T00:00:00"/>
  </r>
  <r>
    <m/>
    <s v="B"/>
    <s v="B5"/>
    <s v="RESIDENTIAL"/>
    <n v="0"/>
    <n v="3"/>
    <x v="256"/>
    <s v="3 BEDROOM"/>
    <s v="C1"/>
    <n v="125.09"/>
    <n v="135.83314902970338"/>
    <x v="31"/>
    <n v="85.562899999999999"/>
    <m/>
    <s v="NW"/>
    <s v="MIDDLE"/>
    <s v="LAKE B-1"/>
    <s v="GROUND"/>
    <x v="0"/>
    <n v="0.13"/>
    <n v="2.5000000000000001E-2"/>
    <n v="0.6"/>
    <n v="0.05"/>
    <n v="3.5000000000000003E-2"/>
    <n v="0.84000000000000008"/>
    <x v="2"/>
    <x v="4"/>
    <n v="51850"/>
    <n v="57950"/>
    <n v="6100"/>
    <n v="5124.0000000000009"/>
    <n v="56974"/>
    <n v="18801.420000000002"/>
    <n v="61474"/>
    <n v="64474"/>
    <n v="8717022"/>
    <n v="9405522"/>
    <n v="9864522"/>
    <n v="1608704.0193180002"/>
    <n v="877686.71164203004"/>
    <n v="2"/>
    <n v="244000"/>
    <n v="244000"/>
    <n v="10569726.019317999"/>
    <n v="11258226.019317999"/>
    <n v="11717226.019317999"/>
    <d v="2025-07-01T00:00:00"/>
    <d v="2025-07-01T00:00:00"/>
  </r>
  <r>
    <m/>
    <s v="B"/>
    <s v="B5"/>
    <s v="RESIDENTIAL"/>
    <n v="0"/>
    <n v="4"/>
    <x v="257"/>
    <s v="2 BEDROOM"/>
    <s v="C1"/>
    <n v="87.23"/>
    <n v="94.721605163170736"/>
    <x v="30"/>
    <n v="67.096199999999996"/>
    <m/>
    <s v="SE"/>
    <s v="MIDDLE"/>
    <s v="ROAD 18M (VILLAS)"/>
    <s v="GROUND"/>
    <x v="1"/>
    <n v="0.08"/>
    <n v="2.5000000000000001E-2"/>
    <n v="0.16"/>
    <n v="0.05"/>
    <n v="0.04"/>
    <n v="0.35499999999999998"/>
    <x v="0"/>
    <x v="3"/>
    <n v="42500"/>
    <n v="47500"/>
    <n v="5000"/>
    <n v="1775"/>
    <n v="44275"/>
    <n v="14610.75"/>
    <n v="48775"/>
    <n v="51775"/>
    <n v="4693150"/>
    <n v="5170150"/>
    <n v="5488150"/>
    <n v="980325.80414999998"/>
    <n v="482245.44335275004"/>
    <n v="1"/>
    <n v="200000"/>
    <n v="200000"/>
    <n v="5873475.8041500002"/>
    <n v="6350475.8041500002"/>
    <n v="6668475.8041500002"/>
    <d v="2025-07-01T00:00:00"/>
    <d v="2023-09-01T00:00:00"/>
  </r>
  <r>
    <m/>
    <s v="B"/>
    <s v="B5"/>
    <s v="RESIDENTIAL"/>
    <n v="1"/>
    <n v="1"/>
    <x v="258"/>
    <s v="3 BEDROOM"/>
    <s v="C1"/>
    <n v="129.04"/>
    <n v="140.1223882867769"/>
    <x v="36"/>
    <m/>
    <m/>
    <s v="SE"/>
    <s v="CORNER "/>
    <s v="ROAD 18M (VILLAS)"/>
    <s v="FIRST"/>
    <x v="0"/>
    <n v="0.08"/>
    <n v="0.05"/>
    <n v="0.16"/>
    <n v="7.0000000000000007E-2"/>
    <n v="3.5000000000000003E-2"/>
    <n v="0.39500000000000002"/>
    <x v="0"/>
    <x v="2"/>
    <n v="45687.5"/>
    <n v="51062.5"/>
    <n v="5375"/>
    <n v="2123.125"/>
    <n v="47810.625"/>
    <n v="15777.50625"/>
    <n v="52310.625"/>
    <n v="55310.625"/>
    <n v="7506268.125"/>
    <n v="8212768.125"/>
    <n v="8683768.125"/>
    <n v="0"/>
    <n v="638032.79062500002"/>
    <n v="2"/>
    <n v="215000"/>
    <n v="215000"/>
    <n v="7721268.125"/>
    <n v="8427768.125"/>
    <n v="8898768.125"/>
    <d v="2025-07-01T00:00:00"/>
    <d v="2024-07-01T00:00:00"/>
  </r>
  <r>
    <m/>
    <s v="B"/>
    <s v="B5"/>
    <s v="RESIDENTIAL"/>
    <n v="1"/>
    <n v="2"/>
    <x v="259"/>
    <s v="3 BEDROOM"/>
    <s v="C1"/>
    <n v="131.43"/>
    <n v="142.71764950814546"/>
    <x v="33"/>
    <m/>
    <m/>
    <s v="NW"/>
    <s v="CORNER "/>
    <s v="SEMI LAKE B-1"/>
    <s v="FIRST"/>
    <x v="4"/>
    <n v="0.13"/>
    <n v="0.05"/>
    <n v="0.48"/>
    <n v="7.0000000000000007E-2"/>
    <n v="2.5000000000000001E-2"/>
    <n v="0.755"/>
    <x v="2"/>
    <x v="0"/>
    <n v="43562.499999999993"/>
    <n v="48687.499999999993"/>
    <n v="5125"/>
    <n v="3869.375"/>
    <n v="47431.874999999993"/>
    <n v="15652.518749999997"/>
    <n v="51931.874999999993"/>
    <n v="54931.874999999993"/>
    <n v="7589099.9999999991"/>
    <n v="8309099.9999999991"/>
    <n v="8789099.9999999981"/>
    <n v="0"/>
    <n v="645073.5"/>
    <n v="2"/>
    <n v="204999.99999999997"/>
    <n v="204999.99999999997"/>
    <n v="7794099.9999999991"/>
    <n v="8514099.9999999981"/>
    <n v="8994099.9999999981"/>
    <d v="2025-07-01T00:00:00"/>
    <d v="2024-01-01T00:00:00"/>
  </r>
  <r>
    <m/>
    <s v="B"/>
    <s v="B5"/>
    <s v="RESIDENTIAL"/>
    <n v="1"/>
    <n v="3"/>
    <x v="260"/>
    <s v="3 BEDROOM"/>
    <s v="C1"/>
    <n v="127.14"/>
    <n v="138.05920990995673"/>
    <x v="35"/>
    <m/>
    <m/>
    <s v="NW"/>
    <s v="MIDDLE"/>
    <s v="LAKE B-1"/>
    <s v="FIRST"/>
    <x v="0"/>
    <n v="0.13"/>
    <n v="2.5000000000000001E-2"/>
    <n v="0.6"/>
    <n v="7.0000000000000007E-2"/>
    <n v="3.5000000000000003E-2"/>
    <n v="0.86"/>
    <x v="2"/>
    <x v="10"/>
    <n v="53550"/>
    <n v="59850"/>
    <n v="6300"/>
    <n v="5418"/>
    <n v="58968"/>
    <n v="19459.440000000002"/>
    <n v="63468"/>
    <n v="66468"/>
    <n v="9140040"/>
    <n v="9837540"/>
    <n v="10302540"/>
    <n v="0"/>
    <n v="776903.4"/>
    <n v="2"/>
    <n v="252000"/>
    <n v="252000"/>
    <n v="9392040"/>
    <n v="10089540"/>
    <n v="10554540"/>
    <d v="2025-07-01T00:00:00"/>
    <d v="2025-10-01T00:00:00"/>
  </r>
  <r>
    <m/>
    <s v="B"/>
    <s v="B5"/>
    <s v="RESIDENTIAL"/>
    <n v="1"/>
    <n v="4"/>
    <x v="261"/>
    <s v="2 BEDROOM"/>
    <s v="C1"/>
    <n v="88.87"/>
    <n v="96.502453867373418"/>
    <x v="34"/>
    <m/>
    <m/>
    <s v="SE"/>
    <s v="MIDDLE"/>
    <s v="ROAD 18M (VILLAS)"/>
    <s v="FIRST"/>
    <x v="1"/>
    <n v="0.08"/>
    <n v="2.5000000000000001E-2"/>
    <n v="0.16"/>
    <n v="7.0000000000000007E-2"/>
    <n v="0.04"/>
    <n v="0.375"/>
    <x v="0"/>
    <x v="6"/>
    <n v="44625"/>
    <n v="49875"/>
    <n v="5250"/>
    <n v="1968.75"/>
    <n v="46593.75"/>
    <n v="15375.9375"/>
    <n v="51093.75"/>
    <n v="54093.75"/>
    <n v="5032125"/>
    <n v="5518125"/>
    <n v="5842125"/>
    <n v="0"/>
    <n v="427730.62500000006"/>
    <n v="1"/>
    <n v="210000"/>
    <n v="210000"/>
    <n v="5242125"/>
    <n v="5728125"/>
    <n v="6052125"/>
    <d v="2025-07-01T00:00:00"/>
    <d v="2024-04-01T00:00:00"/>
  </r>
  <r>
    <m/>
    <s v="B"/>
    <s v="B5"/>
    <s v="RESIDENTIAL"/>
    <n v="2"/>
    <n v="1"/>
    <x v="262"/>
    <s v="3 BEDROOM"/>
    <s v="C1"/>
    <n v="131.43"/>
    <n v="142.71764950814546"/>
    <x v="33"/>
    <m/>
    <m/>
    <s v="SE"/>
    <s v="CORNER "/>
    <s v="ROAD 18M (VILLAS)"/>
    <s v="SECOND"/>
    <x v="4"/>
    <n v="0.08"/>
    <n v="0.05"/>
    <n v="0.16"/>
    <n v="0.11"/>
    <n v="2.5000000000000001E-2"/>
    <n v="0.42500000000000004"/>
    <x v="0"/>
    <x v="4"/>
    <n v="51850"/>
    <n v="57950"/>
    <n v="6100"/>
    <n v="2592.5000000000005"/>
    <n v="54442.5"/>
    <n v="17966.025000000001"/>
    <n v="58942.5"/>
    <n v="61942.5"/>
    <n v="8710800"/>
    <n v="9430800"/>
    <n v="9910800"/>
    <n v="0"/>
    <n v="740418"/>
    <n v="2"/>
    <n v="244000"/>
    <n v="244000"/>
    <n v="8954800"/>
    <n v="9674800"/>
    <n v="10154800"/>
    <d v="2025-07-01T00:00:00"/>
    <d v="2025-07-01T00:00:00"/>
  </r>
  <r>
    <m/>
    <s v="B"/>
    <s v="B5"/>
    <s v="RESIDENTIAL"/>
    <n v="2"/>
    <n v="2"/>
    <x v="263"/>
    <s v="3 BEDROOM"/>
    <s v="C1"/>
    <n v="131.44"/>
    <n v="142.72850834170768"/>
    <x v="33"/>
    <m/>
    <m/>
    <s v="NW"/>
    <s v="CORNER "/>
    <s v="SEMI LAKE B-1"/>
    <s v="SECOND"/>
    <x v="4"/>
    <n v="0.13"/>
    <n v="0.05"/>
    <n v="0.48"/>
    <n v="0.11"/>
    <n v="2.5000000000000001E-2"/>
    <n v="0.79499999999999993"/>
    <x v="2"/>
    <x v="5"/>
    <n v="46750.000000000007"/>
    <n v="52250.000000000007"/>
    <n v="5500"/>
    <n v="4372.5"/>
    <n v="51122.500000000007"/>
    <n v="16870.425000000003"/>
    <n v="55622.500000000007"/>
    <n v="58622.500000000007"/>
    <n v="8179600.0000000009"/>
    <n v="8899600.0000000019"/>
    <n v="9379600.0000000019"/>
    <n v="0"/>
    <n v="695266.00000000012"/>
    <n v="2"/>
    <n v="220000.00000000003"/>
    <n v="220000.00000000003"/>
    <n v="8399600.0000000019"/>
    <n v="9119600.0000000019"/>
    <n v="9599600.0000000019"/>
    <d v="2025-07-01T00:00:00"/>
    <d v="2024-10-01T00:00:00"/>
  </r>
  <r>
    <m/>
    <s v="B"/>
    <s v="B5"/>
    <s v="RESIDENTIAL"/>
    <n v="2"/>
    <n v="3"/>
    <x v="264"/>
    <s v="3 BEDROOM"/>
    <s v="C1"/>
    <n v="126.95"/>
    <n v="137.85289207227473"/>
    <x v="35"/>
    <m/>
    <m/>
    <s v="NW"/>
    <s v="MIDDLE"/>
    <s v="LAKE B-1"/>
    <s v="SECOND"/>
    <x v="0"/>
    <n v="0.13"/>
    <n v="2.5000000000000001E-2"/>
    <n v="0.6"/>
    <n v="0.11"/>
    <n v="3.5000000000000003E-2"/>
    <n v="0.9"/>
    <x v="2"/>
    <x v="7"/>
    <n v="61625"/>
    <n v="68875"/>
    <n v="7250"/>
    <n v="6525"/>
    <n v="68150"/>
    <n v="22489.5"/>
    <n v="72650"/>
    <n v="75650"/>
    <n v="10563250"/>
    <n v="11260750"/>
    <n v="11725750"/>
    <n v="0"/>
    <n v="897876.25000000012"/>
    <n v="2"/>
    <n v="290000"/>
    <n v="290000"/>
    <n v="10853250"/>
    <n v="11550750"/>
    <n v="12015750"/>
    <d v="2025-07-01T00:00:00"/>
    <d v="2026-07-01T00:00:00"/>
  </r>
  <r>
    <m/>
    <s v="B"/>
    <s v="B5"/>
    <s v="RESIDENTIAL"/>
    <n v="2"/>
    <n v="4"/>
    <x v="265"/>
    <s v="3 BEDROOM"/>
    <s v="C1"/>
    <n v="127.15"/>
    <n v="138.07006874351896"/>
    <x v="35"/>
    <m/>
    <m/>
    <s v="SE"/>
    <s v="MIDDLE"/>
    <s v="ROAD 18M (VILLAS)"/>
    <s v="SECOND"/>
    <x v="0"/>
    <n v="0.08"/>
    <n v="2.5000000000000001E-2"/>
    <n v="0.16"/>
    <n v="0.11"/>
    <n v="3.5000000000000003E-2"/>
    <n v="0.41000000000000003"/>
    <x v="0"/>
    <x v="1"/>
    <n v="48450.000000000007"/>
    <n v="54150.000000000007"/>
    <n v="5700"/>
    <n v="2337"/>
    <n v="50787.000000000007"/>
    <n v="16759.710000000003"/>
    <n v="55287.000000000007"/>
    <n v="58287.000000000007"/>
    <n v="7871985.0000000009"/>
    <n v="8569485.0000000019"/>
    <n v="9034485.0000000019"/>
    <n v="0"/>
    <n v="669118.72500000009"/>
    <n v="2"/>
    <n v="228000.00000000003"/>
    <n v="228000.00000000003"/>
    <n v="8099985.0000000009"/>
    <n v="8797485.0000000019"/>
    <n v="9262485.0000000019"/>
    <d v="2025-07-01T00:00:00"/>
    <d v="2025-01-01T00:00:00"/>
  </r>
  <r>
    <m/>
    <s v="B"/>
    <s v="B5"/>
    <s v="RESIDENTIAL"/>
    <n v="3"/>
    <n v="1"/>
    <x v="266"/>
    <s v="3 BEDROOM"/>
    <s v="C1"/>
    <n v="131.88"/>
    <n v="143.20629701844499"/>
    <x v="37"/>
    <m/>
    <m/>
    <s v="SE"/>
    <s v="CORNER "/>
    <s v="ROAD 18M (VILLAS)"/>
    <s v="THIRD"/>
    <x v="4"/>
    <n v="0.08"/>
    <n v="0.05"/>
    <n v="0.16"/>
    <n v="0.15"/>
    <n v="2.5000000000000001E-2"/>
    <n v="0.46500000000000008"/>
    <x v="0"/>
    <x v="7"/>
    <n v="61625"/>
    <n v="68875"/>
    <n v="7250"/>
    <n v="3371.2500000000005"/>
    <n v="64996.25"/>
    <n v="21448.762500000001"/>
    <n v="69496.25"/>
    <n v="72496.25"/>
    <n v="10464396.25"/>
    <n v="11188896.25"/>
    <n v="11671896.25"/>
    <n v="0"/>
    <n v="889473.68125000002"/>
    <n v="2"/>
    <n v="290000"/>
    <n v="290000"/>
    <n v="10754396.25"/>
    <n v="11478896.25"/>
    <n v="11961896.25"/>
    <d v="2025-07-01T00:00:00"/>
    <d v="2026-07-01T00:00:00"/>
  </r>
  <r>
    <m/>
    <s v="B"/>
    <s v="B5"/>
    <s v="RESIDENTIAL"/>
    <n v="3"/>
    <n v="2"/>
    <x v="267"/>
    <s v="3 BEDROOM"/>
    <s v="C1"/>
    <n v="131.43"/>
    <n v="142.71764950814546"/>
    <x v="33"/>
    <m/>
    <m/>
    <s v="NW"/>
    <s v="CORNER "/>
    <s v="SEMI LAKE B-1"/>
    <s v="THIRD"/>
    <x v="4"/>
    <n v="0.13"/>
    <n v="0.05"/>
    <n v="0.48"/>
    <n v="0.15"/>
    <n v="2.5000000000000001E-2"/>
    <n v="0.83499999999999996"/>
    <x v="2"/>
    <x v="4"/>
    <n v="51850"/>
    <n v="57950"/>
    <n v="6100"/>
    <n v="5093.5"/>
    <n v="56943.5"/>
    <n v="18791.355"/>
    <n v="61443.5"/>
    <n v="64443.5"/>
    <n v="9110960"/>
    <n v="9830960"/>
    <n v="10310960"/>
    <n v="0"/>
    <n v="774431.60000000009"/>
    <n v="2"/>
    <n v="244000"/>
    <n v="244000"/>
    <n v="9354960"/>
    <n v="10074960"/>
    <n v="10554960"/>
    <d v="2025-07-01T00:00:00"/>
    <d v="2025-07-01T00:00:00"/>
  </r>
  <r>
    <m/>
    <s v="B"/>
    <s v="B5"/>
    <s v="RESIDENTIAL"/>
    <n v="3"/>
    <n v="3"/>
    <x v="268"/>
    <s v="3 BEDROOM"/>
    <s v="C1"/>
    <n v="126.97"/>
    <n v="137.87460973939915"/>
    <x v="35"/>
    <m/>
    <m/>
    <s v="NW"/>
    <s v="MIDDLE"/>
    <s v="LAKE B-1"/>
    <s v="THIRD"/>
    <x v="0"/>
    <n v="0.13"/>
    <n v="2.5000000000000001E-2"/>
    <n v="0.6"/>
    <n v="0.15"/>
    <n v="3.5000000000000003E-2"/>
    <n v="0.94000000000000006"/>
    <x v="2"/>
    <x v="7"/>
    <n v="61625"/>
    <n v="68875"/>
    <n v="7250"/>
    <n v="6815"/>
    <n v="68440"/>
    <n v="22585.200000000001"/>
    <n v="72940"/>
    <n v="75940"/>
    <n v="10608200"/>
    <n v="11305700"/>
    <n v="11770700"/>
    <n v="0"/>
    <n v="901697.00000000012"/>
    <n v="2"/>
    <n v="290000"/>
    <n v="290000"/>
    <n v="10898200"/>
    <n v="11595700"/>
    <n v="12060700"/>
    <d v="2025-07-01T00:00:00"/>
    <d v="2026-07-01T00:00:00"/>
  </r>
  <r>
    <m/>
    <s v="B"/>
    <s v="B5"/>
    <s v="RESIDENTIAL"/>
    <n v="3"/>
    <n v="4"/>
    <x v="269"/>
    <s v="3 BEDROOM"/>
    <s v="C1"/>
    <n v="127.45"/>
    <n v="138.39583375038529"/>
    <x v="35"/>
    <m/>
    <m/>
    <s v="SE"/>
    <s v="MIDDLE"/>
    <s v="ROAD 18M (VILLAS)"/>
    <s v="THIRD"/>
    <x v="0"/>
    <n v="0.08"/>
    <n v="2.5000000000000001E-2"/>
    <n v="0.16"/>
    <n v="0.15"/>
    <n v="3.5000000000000003E-2"/>
    <n v="0.45000000000000007"/>
    <x v="0"/>
    <x v="8"/>
    <n v="56100"/>
    <n v="62700"/>
    <n v="6600"/>
    <n v="2970.0000000000005"/>
    <n v="59070"/>
    <n v="19493.100000000002"/>
    <n v="63570"/>
    <n v="66570"/>
    <n v="9155850"/>
    <n v="9853350"/>
    <n v="10318350"/>
    <n v="0"/>
    <n v="778247.25"/>
    <n v="2"/>
    <n v="264000"/>
    <n v="264000"/>
    <n v="9419850"/>
    <n v="10117350"/>
    <n v="10582350"/>
    <d v="2025-07-01T00:00:00"/>
    <d v="2026-01-01T00:00:00"/>
  </r>
  <r>
    <m/>
    <s v="B"/>
    <s v="B5"/>
    <s v="RESIDENTIAL"/>
    <n v="4"/>
    <n v="1"/>
    <x v="270"/>
    <s v="3 BEDROOM"/>
    <s v="C1"/>
    <n v="129.58000000000001"/>
    <n v="140.70876529913636"/>
    <x v="32"/>
    <m/>
    <m/>
    <s v="SE"/>
    <s v="CORNER "/>
    <s v="ROAD 18M (VILLAS)"/>
    <s v="FORTH"/>
    <x v="0"/>
    <n v="0.08"/>
    <n v="0.05"/>
    <n v="0.16"/>
    <n v="0.06"/>
    <n v="3.5000000000000003E-2"/>
    <n v="0.38500000000000001"/>
    <x v="0"/>
    <x v="6"/>
    <n v="44625"/>
    <n v="49875"/>
    <n v="5250"/>
    <n v="2021.25"/>
    <n v="46646.25"/>
    <n v="15393.262500000001"/>
    <n v="51146.25"/>
    <n v="54146.25"/>
    <n v="7370107.5"/>
    <n v="8081107.5"/>
    <n v="8555107.5"/>
    <n v="0"/>
    <n v="626459.13750000007"/>
    <n v="2"/>
    <n v="210000"/>
    <n v="210000"/>
    <n v="7580107.5"/>
    <n v="8291107.5"/>
    <n v="8765107.5"/>
    <d v="2025-07-01T00:00:00"/>
    <d v="2024-04-01T00:00:00"/>
  </r>
  <r>
    <m/>
    <s v="B"/>
    <s v="B5"/>
    <s v="RESIDENTIAL"/>
    <n v="4"/>
    <n v="2"/>
    <x v="271"/>
    <s v="3 BEDROOM"/>
    <s v="C1"/>
    <n v="131.38"/>
    <n v="142.66335534033439"/>
    <x v="33"/>
    <m/>
    <m/>
    <s v="NW"/>
    <s v="CORNER "/>
    <s v="SEMI LAKE B-1"/>
    <s v="FORTH"/>
    <x v="4"/>
    <n v="0.13"/>
    <n v="0.05"/>
    <n v="0.48"/>
    <n v="0.06"/>
    <n v="2.5000000000000001E-2"/>
    <n v="0.745"/>
    <x v="2"/>
    <x v="3"/>
    <n v="42500"/>
    <n v="47500"/>
    <n v="5000"/>
    <n v="3725"/>
    <n v="46225"/>
    <n v="15254.25"/>
    <n v="50725"/>
    <n v="53725"/>
    <n v="7396000"/>
    <n v="8116000"/>
    <n v="8596000"/>
    <n v="0"/>
    <n v="628660"/>
    <n v="2"/>
    <n v="200000"/>
    <n v="200000"/>
    <n v="7596000"/>
    <n v="8316000"/>
    <n v="8796000"/>
    <d v="2025-07-01T00:00:00"/>
    <d v="2023-09-01T00:00:00"/>
  </r>
  <r>
    <m/>
    <s v="B"/>
    <s v="B5"/>
    <s v="RESIDENTIAL"/>
    <n v="4"/>
    <n v="3"/>
    <x v="272"/>
    <s v="3 BEDROOM"/>
    <s v="C1"/>
    <n v="127.19"/>
    <n v="138.1135040777678"/>
    <x v="35"/>
    <m/>
    <m/>
    <s v="NW"/>
    <s v="MIDDLE"/>
    <s v="LAKE B-1"/>
    <s v="FORTH"/>
    <x v="0"/>
    <n v="0.13"/>
    <n v="2.5000000000000001E-2"/>
    <n v="0.6"/>
    <n v="0.06"/>
    <n v="3.5000000000000003E-2"/>
    <n v="0.85"/>
    <x v="2"/>
    <x v="4"/>
    <n v="51850"/>
    <n v="57950"/>
    <n v="6100"/>
    <n v="5185"/>
    <n v="57035"/>
    <n v="18821.55"/>
    <n v="61535"/>
    <n v="64535"/>
    <n v="8840425"/>
    <n v="9537925"/>
    <n v="10002925"/>
    <n v="0"/>
    <n v="751436.125"/>
    <n v="2"/>
    <n v="244000"/>
    <n v="244000"/>
    <n v="9084425"/>
    <n v="9781925"/>
    <n v="10246925"/>
    <d v="2025-07-01T00:00:00"/>
    <d v="2025-07-01T00:00:00"/>
  </r>
  <r>
    <m/>
    <s v="B"/>
    <s v="B5"/>
    <s v="RESIDENTIAL"/>
    <n v="4"/>
    <n v="4"/>
    <x v="273"/>
    <s v="3 BEDROOM"/>
    <s v="C1"/>
    <n v="125.13"/>
    <n v="135.87658436395222"/>
    <x v="31"/>
    <m/>
    <m/>
    <s v="SE"/>
    <s v="MIDDLE"/>
    <s v="ROAD 18M (VILLAS)"/>
    <s v="FORTH"/>
    <x v="0"/>
    <n v="0.08"/>
    <n v="2.5000000000000001E-2"/>
    <n v="0.16"/>
    <n v="0.06"/>
    <n v="3.5000000000000003E-2"/>
    <n v="0.36"/>
    <x v="0"/>
    <x v="3"/>
    <n v="42500"/>
    <n v="47500"/>
    <n v="5000"/>
    <n v="1800"/>
    <n v="44300"/>
    <n v="14619"/>
    <n v="48800"/>
    <n v="51800"/>
    <n v="6777900"/>
    <n v="7466400"/>
    <n v="7925400"/>
    <n v="0"/>
    <n v="576121.5"/>
    <n v="2"/>
    <n v="200000"/>
    <n v="200000"/>
    <n v="6977900"/>
    <n v="7666400"/>
    <n v="8125400"/>
    <d v="2025-07-01T00:00:00"/>
    <d v="2023-09-01T00:00:00"/>
  </r>
  <r>
    <s v="B3"/>
    <s v="B"/>
    <s v="B6"/>
    <s v="RESIDENTIAL"/>
    <n v="0"/>
    <n v="1"/>
    <x v="274"/>
    <s v="2 BEDROOM"/>
    <s v="C2"/>
    <n v="95.254000000000005"/>
    <n v="105.53950812408786"/>
    <x v="17"/>
    <n v="63.664700000000003"/>
    <m/>
    <s v="SE"/>
    <s v="MIDDLE"/>
    <s v="ROAD 18M (VILLAS)"/>
    <s v="GROUND"/>
    <x v="1"/>
    <n v="0.08"/>
    <n v="2.5000000000000001E-2"/>
    <n v="0.16"/>
    <n v="0.05"/>
    <n v="0.04"/>
    <n v="0.35499999999999998"/>
    <x v="0"/>
    <x v="3"/>
    <n v="42500"/>
    <n v="47500"/>
    <n v="5000"/>
    <n v="1775"/>
    <n v="44275"/>
    <n v="14610.75"/>
    <n v="48775"/>
    <n v="51775"/>
    <n v="5135900"/>
    <n v="5657900"/>
    <n v="6005900"/>
    <n v="930189.01552500005"/>
    <n v="515617.56631962507"/>
    <n v="1"/>
    <n v="200000"/>
    <n v="200000"/>
    <n v="6266089.0155250002"/>
    <n v="6788089.0155250002"/>
    <n v="7136089.0155250002"/>
    <d v="2026-07-01T00:00:00"/>
    <d v="2023-09-01T00:00:00"/>
  </r>
  <r>
    <m/>
    <s v="B"/>
    <s v="B6"/>
    <s v="RESIDENTIAL"/>
    <n v="0"/>
    <n v="2"/>
    <x v="275"/>
    <s v="3 BEDROOM"/>
    <s v="C2"/>
    <n v="162.82599999999999"/>
    <n v="180.40791935050211"/>
    <x v="18"/>
    <n v="77.610299999999995"/>
    <m/>
    <s v="NW"/>
    <s v="MIDDLE"/>
    <s v="LAKE B-2"/>
    <s v="GROUND"/>
    <x v="3"/>
    <n v="0.13"/>
    <n v="2.5000000000000001E-2"/>
    <n v="0.53"/>
    <n v="0.05"/>
    <n v="1.4999999999999999E-2"/>
    <n v="0.75000000000000011"/>
    <x v="2"/>
    <x v="0"/>
    <n v="43562.499999999993"/>
    <n v="48687.499999999993"/>
    <n v="5125"/>
    <n v="3843.7500000000005"/>
    <n v="47406.249999999993"/>
    <n v="15644.062499999998"/>
    <n v="51906.249999999993"/>
    <n v="54906.249999999993"/>
    <n v="9433843.7499999981"/>
    <n v="10329343.749999998"/>
    <n v="10926343.749999998"/>
    <n v="1214140.3838437498"/>
    <n v="905078.65137671866"/>
    <n v="2"/>
    <n v="204999.99999999997"/>
    <n v="204999.99999999997"/>
    <n v="10852984.133843748"/>
    <n v="11748484.133843748"/>
    <n v="12345484.133843748"/>
    <d v="2026-07-01T00:00:00"/>
    <d v="2024-01-01T00:00:00"/>
  </r>
  <r>
    <m/>
    <s v="B"/>
    <s v="B6"/>
    <s v="RESIDENTIAL"/>
    <n v="0"/>
    <n v="3"/>
    <x v="276"/>
    <s v="3 BEDROOM + LIVING"/>
    <s v="C2"/>
    <n v="183.887"/>
    <n v="203.74308197465874"/>
    <x v="19"/>
    <n v="54.576500000000003"/>
    <m/>
    <s v="NW"/>
    <s v="CORNER "/>
    <s v="SEMI LAKE B-2"/>
    <s v="GROUND"/>
    <x v="3"/>
    <n v="0.13"/>
    <n v="0.05"/>
    <n v="0.42400000000000004"/>
    <n v="0.05"/>
    <n v="1.4999999999999999E-2"/>
    <n v="0.66900000000000015"/>
    <x v="1"/>
    <x v="1"/>
    <n v="48450.000000000007"/>
    <n v="54150.000000000007"/>
    <n v="5700"/>
    <n v="3813.3000000000006"/>
    <n v="52263.30000000001"/>
    <n v="17246.889000000003"/>
    <n v="56763.30000000001"/>
    <n v="59763.30000000001"/>
    <n v="11706979.200000003"/>
    <n v="12714979.200000003"/>
    <n v="13386979.200000003"/>
    <n v="941274.8375085002"/>
    <n v="1075101.5931882227"/>
    <n v="2"/>
    <n v="228000.00000000003"/>
    <n v="228000.00000000003"/>
    <n v="12876254.037508503"/>
    <n v="13884254.037508503"/>
    <n v="14556254.037508503"/>
    <d v="2026-07-01T00:00:00"/>
    <d v="2025-01-01T00:00:00"/>
  </r>
  <r>
    <m/>
    <s v="B"/>
    <s v="B6"/>
    <s v="RESIDENTIAL"/>
    <n v="0"/>
    <n v="4"/>
    <x v="277"/>
    <s v="3 BEDROOM"/>
    <s v="C2"/>
    <n v="147.54499999999999"/>
    <n v="163.47687998581205"/>
    <x v="41"/>
    <n v="76.683400000000006"/>
    <m/>
    <s v="SE"/>
    <s v="CORNER "/>
    <s v="ROAD 18M (VILLAS)"/>
    <s v="GROUND"/>
    <x v="4"/>
    <n v="0.08"/>
    <n v="0.05"/>
    <n v="0.16"/>
    <n v="0.05"/>
    <n v="2.5000000000000001E-2"/>
    <n v="0.36500000000000005"/>
    <x v="0"/>
    <x v="0"/>
    <n v="43562.499999999993"/>
    <n v="48687.499999999993"/>
    <n v="5125"/>
    <n v="1870.6250000000002"/>
    <n v="45433.124999999993"/>
    <n v="14992.931249999998"/>
    <n v="49933.124999999993"/>
    <n v="52933.124999999993"/>
    <n v="8177962.4999999991"/>
    <n v="8987962.4999999981"/>
    <n v="9527962.4999999981"/>
    <n v="1149708.94421625"/>
    <n v="792852.07275838125"/>
    <n v="2"/>
    <n v="204999.99999999997"/>
    <n v="204999.99999999997"/>
    <n v="9532671.4442162495"/>
    <n v="10342671.444216248"/>
    <n v="10882671.444216248"/>
    <d v="2026-07-01T00:00:00"/>
    <d v="2024-01-01T00:00:00"/>
  </r>
  <r>
    <m/>
    <s v="B"/>
    <s v="B6"/>
    <s v="RESIDENTIAL"/>
    <n v="1"/>
    <n v="1"/>
    <x v="278"/>
    <s v="2 BEDROOM"/>
    <s v="C2"/>
    <n v="96.311000000000007"/>
    <n v="106.71064277551626"/>
    <x v="21"/>
    <m/>
    <m/>
    <s v="SE"/>
    <s v="MIDDLE"/>
    <s v="ROAD 18M (VILLAS)"/>
    <s v="FIRST"/>
    <x v="1"/>
    <n v="0.08"/>
    <n v="2.5000000000000001E-2"/>
    <n v="0.16"/>
    <n v="7.0000000000000007E-2"/>
    <n v="0.04"/>
    <n v="0.375"/>
    <x v="0"/>
    <x v="6"/>
    <n v="44625"/>
    <n v="49875"/>
    <n v="5250"/>
    <n v="1968.75"/>
    <n v="46593.75"/>
    <n v="15375.9375"/>
    <n v="51093.75"/>
    <n v="54093.75"/>
    <n v="5451468.75"/>
    <n v="5977968.75"/>
    <n v="6328968.75"/>
    <n v="0"/>
    <n v="463374.84375000006"/>
    <n v="1"/>
    <n v="210000"/>
    <n v="210000"/>
    <n v="5661468.75"/>
    <n v="6187968.75"/>
    <n v="6538968.75"/>
    <d v="2026-07-01T00:00:00"/>
    <d v="2024-04-01T00:00:00"/>
  </r>
  <r>
    <m/>
    <s v="B"/>
    <s v="B6"/>
    <s v="RESIDENTIAL"/>
    <n v="1"/>
    <n v="2"/>
    <x v="279"/>
    <s v="3 BEDROOM"/>
    <s v="C2"/>
    <n v="162.57599999999999"/>
    <n v="180.13092439983313"/>
    <x v="42"/>
    <m/>
    <m/>
    <s v="NW"/>
    <s v="MIDDLE"/>
    <s v="LAKE B-2"/>
    <s v="FIRST"/>
    <x v="3"/>
    <n v="0.13"/>
    <n v="2.5000000000000001E-2"/>
    <n v="0.53"/>
    <n v="7.0000000000000007E-2"/>
    <n v="1.4999999999999999E-2"/>
    <n v="0.77000000000000013"/>
    <x v="2"/>
    <x v="2"/>
    <n v="45687.5"/>
    <n v="51062.5"/>
    <n v="5375"/>
    <n v="4138.7500000000009"/>
    <n v="49826.25"/>
    <n v="16442.662500000002"/>
    <n v="54326.25"/>
    <n v="57326.25"/>
    <n v="9865597.5"/>
    <n v="10756597.5"/>
    <n v="11350597.5"/>
    <n v="0"/>
    <n v="838575.78750000009"/>
    <n v="2"/>
    <n v="215000"/>
    <n v="215000"/>
    <n v="10080597.5"/>
    <n v="10971597.5"/>
    <n v="11565597.5"/>
    <d v="2026-07-01T00:00:00"/>
    <d v="2024-07-01T00:00:00"/>
  </r>
  <r>
    <m/>
    <s v="B"/>
    <s v="B6"/>
    <s v="RESIDENTIAL"/>
    <n v="1"/>
    <n v="3"/>
    <x v="280"/>
    <s v="3 BEDROOM + LIVING"/>
    <s v="C2"/>
    <n v="183.637"/>
    <n v="203.46608702398976"/>
    <x v="19"/>
    <m/>
    <m/>
    <s v="NW"/>
    <s v="CORNER "/>
    <s v="SEMI LAKE B-2"/>
    <s v="FIRST"/>
    <x v="3"/>
    <n v="0.13"/>
    <n v="0.05"/>
    <n v="0.42400000000000004"/>
    <n v="7.0000000000000007E-2"/>
    <n v="1.4999999999999999E-2"/>
    <n v="0.68900000000000017"/>
    <x v="1"/>
    <x v="4"/>
    <n v="51850"/>
    <n v="57950"/>
    <n v="6100"/>
    <n v="4202.9000000000015"/>
    <n v="56052.9"/>
    <n v="18497.457000000002"/>
    <n v="60552.9"/>
    <n v="63552.9"/>
    <n v="12555849.6"/>
    <n v="13563849.6"/>
    <n v="14235849.6"/>
    <n v="0"/>
    <n v="1067247.216"/>
    <n v="2"/>
    <n v="244000"/>
    <n v="244000"/>
    <n v="12799849.6"/>
    <n v="13807849.6"/>
    <n v="14479849.6"/>
    <d v="2026-07-01T00:00:00"/>
    <d v="2025-07-01T00:00:00"/>
  </r>
  <r>
    <m/>
    <s v="B"/>
    <s v="B6"/>
    <s v="RESIDENTIAL"/>
    <n v="1"/>
    <n v="4"/>
    <x v="281"/>
    <s v="3 BEDROOM"/>
    <s v="C2"/>
    <n v="141.66300000000001"/>
    <n v="156.95974278647259"/>
    <x v="22"/>
    <m/>
    <m/>
    <s v="SE"/>
    <s v="CORNER "/>
    <s v="ROAD 18M (VILLAS)"/>
    <s v="FIRST"/>
    <x v="4"/>
    <n v="0.08"/>
    <n v="0.05"/>
    <n v="0.16"/>
    <n v="7.0000000000000007E-2"/>
    <n v="2.5000000000000001E-2"/>
    <n v="0.38500000000000006"/>
    <x v="0"/>
    <x v="2"/>
    <n v="45687.5"/>
    <n v="51062.5"/>
    <n v="5375"/>
    <n v="2069.3750000000005"/>
    <n v="47756.875"/>
    <n v="15759.768750000001"/>
    <n v="52256.875"/>
    <n v="55256.875"/>
    <n v="8261939.375"/>
    <n v="9040439.375"/>
    <n v="9559439.375"/>
    <n v="0"/>
    <n v="702264.84687500005"/>
    <n v="2"/>
    <n v="215000"/>
    <n v="215000"/>
    <n v="8476939.375"/>
    <n v="9255439.375"/>
    <n v="9774439.375"/>
    <d v="2026-07-01T00:00:00"/>
    <d v="2024-07-01T00:00:00"/>
  </r>
  <r>
    <m/>
    <s v="B"/>
    <s v="B6"/>
    <s v="RESIDENTIAL"/>
    <n v="2"/>
    <n v="1"/>
    <x v="282"/>
    <s v="3 BEDROOM"/>
    <s v="C2"/>
    <n v="141.22499999999999"/>
    <n v="156.47444763290054"/>
    <x v="23"/>
    <m/>
    <m/>
    <s v="SE"/>
    <s v="MIDDLE"/>
    <s v="ROAD 18M (VILLAS)"/>
    <s v="SECOND"/>
    <x v="4"/>
    <n v="0.08"/>
    <n v="2.5000000000000001E-2"/>
    <n v="0.16"/>
    <n v="0.11"/>
    <n v="2.5000000000000001E-2"/>
    <n v="0.4"/>
    <x v="0"/>
    <x v="5"/>
    <n v="46750.000000000007"/>
    <n v="52250.000000000007"/>
    <n v="5500"/>
    <n v="2200"/>
    <n v="48950.000000000007"/>
    <n v="16153.500000000004"/>
    <n v="53450.000000000007"/>
    <n v="56450.000000000007"/>
    <n v="8419400.0000000019"/>
    <n v="9193400.0000000019"/>
    <n v="9709400.0000000019"/>
    <n v="0"/>
    <n v="715649.00000000023"/>
    <n v="2"/>
    <n v="220000.00000000003"/>
    <n v="220000.00000000003"/>
    <n v="8639400.0000000019"/>
    <n v="9413400.0000000019"/>
    <n v="9929400.0000000019"/>
    <d v="2026-07-01T00:00:00"/>
    <d v="2024-10-01T00:00:00"/>
  </r>
  <r>
    <m/>
    <s v="B"/>
    <s v="B6"/>
    <s v="RESIDENTIAL"/>
    <n v="2"/>
    <n v="2"/>
    <x v="283"/>
    <s v="3 BEDROOM"/>
    <s v="C2"/>
    <n v="167.214"/>
    <n v="185.26973472464385"/>
    <x v="43"/>
    <m/>
    <m/>
    <s v="NW"/>
    <s v="MIDDLE"/>
    <s v="LAKE B-2"/>
    <s v="SECOND"/>
    <x v="3"/>
    <n v="0.13"/>
    <n v="2.5000000000000001E-2"/>
    <n v="0.53"/>
    <n v="0.11"/>
    <n v="1.4999999999999999E-2"/>
    <n v="0.81"/>
    <x v="2"/>
    <x v="12"/>
    <n v="50150"/>
    <n v="56050"/>
    <n v="5900"/>
    <n v="4779"/>
    <n v="54929"/>
    <n v="18126.57"/>
    <n v="59429"/>
    <n v="62429"/>
    <n v="11205516"/>
    <n v="12123516"/>
    <n v="12735516"/>
    <n v="0"/>
    <n v="952468.8600000001"/>
    <n v="2"/>
    <n v="236000"/>
    <n v="236000"/>
    <n v="11441516"/>
    <n v="12359516"/>
    <n v="12971516"/>
    <d v="2026-07-01T00:00:00"/>
    <d v="2025-04-01T00:00:00"/>
  </r>
  <r>
    <m/>
    <s v="B"/>
    <s v="B6"/>
    <s v="RESIDENTIAL"/>
    <n v="2"/>
    <n v="3"/>
    <x v="284"/>
    <s v="3 BEDROOM + LIVING"/>
    <s v="C2"/>
    <n v="187.10300000000001"/>
    <n v="207.30634502006436"/>
    <x v="25"/>
    <m/>
    <m/>
    <s v="NW"/>
    <s v="CORNER "/>
    <s v="SEMI LAKE B-2"/>
    <s v="SECOND"/>
    <x v="3"/>
    <n v="0.13"/>
    <n v="0.05"/>
    <n v="0.42400000000000004"/>
    <n v="0.11"/>
    <n v="1.4999999999999999E-2"/>
    <n v="0.72900000000000009"/>
    <x v="1"/>
    <x v="7"/>
    <n v="61625"/>
    <n v="68875"/>
    <n v="7250"/>
    <n v="5285.2500000000009"/>
    <n v="66910.25"/>
    <n v="22080.3825"/>
    <n v="71410.25"/>
    <n v="74410.25"/>
    <n v="15255537"/>
    <n v="16281537"/>
    <n v="16965537"/>
    <n v="0"/>
    <n v="1296720.645"/>
    <n v="2"/>
    <n v="290000"/>
    <n v="290000"/>
    <n v="15545537"/>
    <n v="16571537"/>
    <n v="17255537"/>
    <d v="2026-07-01T00:00:00"/>
    <d v="2026-07-01T00:00:00"/>
  </r>
  <r>
    <m/>
    <s v="B"/>
    <s v="B6"/>
    <s v="RESIDENTIAL"/>
    <n v="2"/>
    <n v="4"/>
    <x v="285"/>
    <s v="3 BEDROOM"/>
    <s v="C2"/>
    <n v="143.989"/>
    <n v="159.53690380749666"/>
    <x v="20"/>
    <m/>
    <m/>
    <s v="SE"/>
    <s v="CORNER "/>
    <s v="ROAD 18M (VILLAS)"/>
    <s v="SECOND"/>
    <x v="4"/>
    <n v="0.08"/>
    <n v="0.05"/>
    <n v="0.16"/>
    <n v="0.11"/>
    <n v="2.5000000000000001E-2"/>
    <n v="0.42500000000000004"/>
    <x v="0"/>
    <x v="4"/>
    <n v="51850"/>
    <n v="57950"/>
    <n v="6100"/>
    <n v="2592.5000000000005"/>
    <n v="54442.5"/>
    <n v="17966.025000000001"/>
    <n v="58942.5"/>
    <n v="61942.5"/>
    <n v="9581880"/>
    <n v="10373880"/>
    <n v="10901880"/>
    <n v="0"/>
    <n v="814459.8"/>
    <n v="2"/>
    <n v="244000"/>
    <n v="244000"/>
    <n v="9825880"/>
    <n v="10617880"/>
    <n v="11145880"/>
    <d v="2026-07-01T00:00:00"/>
    <d v="2025-07-01T00:00:00"/>
  </r>
  <r>
    <m/>
    <s v="B"/>
    <s v="B6"/>
    <s v="RESIDENTIAL"/>
    <n v="3"/>
    <n v="1"/>
    <x v="286"/>
    <s v="3 BEDROOM"/>
    <s v="C2"/>
    <n v="141.131"/>
    <n v="156.37029753144901"/>
    <x v="23"/>
    <m/>
    <m/>
    <s v="SE"/>
    <s v="MIDDLE"/>
    <s v="ROAD 18M (VILLAS)"/>
    <s v="THIRD"/>
    <x v="4"/>
    <n v="0.08"/>
    <n v="2.5000000000000001E-2"/>
    <n v="0.16"/>
    <n v="0.15"/>
    <n v="2.5000000000000001E-2"/>
    <n v="0.44000000000000006"/>
    <x v="0"/>
    <x v="4"/>
    <n v="51850"/>
    <n v="57950"/>
    <n v="6100"/>
    <n v="2684.0000000000005"/>
    <n v="54534"/>
    <n v="17996.22"/>
    <n v="59034"/>
    <n v="62034"/>
    <n v="9379848"/>
    <n v="10153848"/>
    <n v="10669848"/>
    <n v="0"/>
    <n v="797287.08000000007"/>
    <n v="2"/>
    <n v="244000"/>
    <n v="244000"/>
    <n v="9623848"/>
    <n v="10397848"/>
    <n v="10913848"/>
    <d v="2026-07-01T00:00:00"/>
    <d v="2025-07-01T00:00:00"/>
  </r>
  <r>
    <m/>
    <s v="B"/>
    <s v="B6"/>
    <s v="RESIDENTIAL"/>
    <n v="3"/>
    <n v="2"/>
    <x v="287"/>
    <s v="3 BEDROOM"/>
    <s v="C2"/>
    <n v="164.43600000000001"/>
    <n v="182.19176683281029"/>
    <x v="44"/>
    <m/>
    <m/>
    <s v="NW"/>
    <s v="MIDDLE"/>
    <s v="LAKE B-2"/>
    <s v="THIRD"/>
    <x v="3"/>
    <n v="0.13"/>
    <n v="2.5000000000000001E-2"/>
    <n v="0.53"/>
    <n v="0.15"/>
    <n v="1.4999999999999999E-2"/>
    <n v="0.85000000000000009"/>
    <x v="2"/>
    <x v="4"/>
    <n v="51850"/>
    <n v="57950"/>
    <n v="6100"/>
    <n v="5185.0000000000009"/>
    <n v="57035"/>
    <n v="18821.55"/>
    <n v="61535"/>
    <n v="64535"/>
    <n v="11464035"/>
    <n v="12368535"/>
    <n v="12971535"/>
    <n v="0"/>
    <n v="974442.97500000009"/>
    <n v="2"/>
    <n v="244000"/>
    <n v="244000"/>
    <n v="11708035"/>
    <n v="12612535"/>
    <n v="13215535"/>
    <d v="2026-07-01T00:00:00"/>
    <d v="2025-07-01T00:00:00"/>
  </r>
  <r>
    <m/>
    <s v="B"/>
    <s v="B6"/>
    <s v="RESIDENTIAL"/>
    <n v="3"/>
    <n v="3"/>
    <x v="288"/>
    <s v="3 BEDROOM + LIVING"/>
    <s v="C2"/>
    <n v="187.20400000000001"/>
    <n v="207.41825098013462"/>
    <x v="25"/>
    <m/>
    <m/>
    <s v="NW"/>
    <s v="CORNER "/>
    <s v="SEMI LAKE B-2"/>
    <s v="THIRD"/>
    <x v="3"/>
    <n v="0.13"/>
    <n v="0.05"/>
    <n v="0.42400000000000004"/>
    <n v="0.15"/>
    <n v="1.4999999999999999E-2"/>
    <n v="0.76900000000000013"/>
    <x v="2"/>
    <x v="6"/>
    <n v="44625"/>
    <n v="49875"/>
    <n v="5250"/>
    <n v="4037.2500000000005"/>
    <n v="48662.25"/>
    <n v="16058.542500000001"/>
    <n v="53162.25"/>
    <n v="56162.25"/>
    <n v="11094993"/>
    <n v="12120993"/>
    <n v="12804993"/>
    <n v="0"/>
    <n v="943074.40500000003"/>
    <n v="2"/>
    <n v="210000"/>
    <n v="210000"/>
    <n v="11304993"/>
    <n v="12330993"/>
    <n v="13014993"/>
    <d v="2026-07-01T00:00:00"/>
    <d v="2024-04-01T00:00:00"/>
  </r>
  <r>
    <m/>
    <s v="B"/>
    <s v="B6"/>
    <s v="RESIDENTIAL"/>
    <n v="3"/>
    <n v="4"/>
    <x v="289"/>
    <s v="3 BEDROOM"/>
    <s v="C2"/>
    <n v="143.911"/>
    <n v="159.45048138288794"/>
    <x v="20"/>
    <m/>
    <m/>
    <s v="SE"/>
    <s v="CORNER "/>
    <s v="ROAD 18M (VILLAS)"/>
    <s v="THIRD"/>
    <x v="4"/>
    <n v="0.08"/>
    <n v="0.05"/>
    <n v="0.16"/>
    <n v="0.15"/>
    <n v="2.5000000000000001E-2"/>
    <n v="0.46500000000000008"/>
    <x v="0"/>
    <x v="9"/>
    <n v="58649.999999999993"/>
    <n v="65550"/>
    <n v="6900.0000000000073"/>
    <n v="3208.5000000000041"/>
    <n v="61858.5"/>
    <n v="20413.305"/>
    <n v="66358.5"/>
    <n v="69358.5"/>
    <n v="10887096"/>
    <n v="11679096"/>
    <n v="12207096"/>
    <n v="0"/>
    <n v="925403.16"/>
    <n v="2"/>
    <n v="276000"/>
    <n v="276000"/>
    <n v="11163096"/>
    <n v="11955096"/>
    <n v="12483096"/>
    <d v="2026-07-01T00:00:00"/>
    <d v="2026-04-01T00:00:00"/>
  </r>
  <r>
    <m/>
    <s v="B"/>
    <s v="B6"/>
    <s v="RESIDENTIAL"/>
    <n v="4"/>
    <n v="1"/>
    <x v="290"/>
    <s v="3 BEDROOM"/>
    <s v="C2"/>
    <n v="139.16499999999999"/>
    <n v="154.19200923938823"/>
    <x v="28"/>
    <m/>
    <m/>
    <s v="SE"/>
    <s v="MIDDLE"/>
    <s v="ROAD 18M (VILLAS)"/>
    <s v="FORTH"/>
    <x v="4"/>
    <n v="0.08"/>
    <n v="2.5000000000000001E-2"/>
    <n v="0.16"/>
    <n v="0.06"/>
    <n v="2.5000000000000001E-2"/>
    <n v="0.35000000000000003"/>
    <x v="0"/>
    <x v="3"/>
    <n v="42500"/>
    <n v="47500"/>
    <n v="5000"/>
    <n v="1750.0000000000002"/>
    <n v="44250"/>
    <n v="14602.5"/>
    <n v="48750"/>
    <n v="51750"/>
    <n v="7522500"/>
    <n v="8287500"/>
    <n v="8797500"/>
    <n v="0"/>
    <n v="639412.5"/>
    <n v="2"/>
    <n v="200000"/>
    <n v="200000"/>
    <n v="7722500"/>
    <n v="8487500"/>
    <n v="8997500"/>
    <d v="2026-07-01T00:00:00"/>
    <d v="2023-09-01T00:00:00"/>
  </r>
  <r>
    <m/>
    <s v="B"/>
    <s v="B6"/>
    <s v="RESIDENTIAL"/>
    <n v="4"/>
    <n v="2"/>
    <x v="291"/>
    <s v="3 BEDROOM"/>
    <s v="C2"/>
    <n v="162.49"/>
    <n v="180.03563813680304"/>
    <x v="42"/>
    <m/>
    <m/>
    <s v="NW"/>
    <s v="MIDDLE"/>
    <s v="LAKE B-2"/>
    <s v="FORTH"/>
    <x v="3"/>
    <n v="0.13"/>
    <n v="2.5000000000000001E-2"/>
    <n v="0.53"/>
    <n v="0.06"/>
    <n v="1.4999999999999999E-2"/>
    <n v="0.76000000000000012"/>
    <x v="2"/>
    <x v="6"/>
    <n v="44625"/>
    <n v="49875"/>
    <n v="5250"/>
    <n v="3990.0000000000005"/>
    <n v="48615"/>
    <n v="16042.95"/>
    <n v="53115"/>
    <n v="56115"/>
    <n v="9625770"/>
    <n v="10516770"/>
    <n v="11110770"/>
    <n v="0"/>
    <n v="818190.45000000007"/>
    <n v="2"/>
    <n v="210000"/>
    <n v="210000"/>
    <n v="9835770"/>
    <n v="10726770"/>
    <n v="11320770"/>
    <d v="2026-07-01T00:00:00"/>
    <d v="2024-04-01T00:00:00"/>
  </r>
  <r>
    <m/>
    <s v="B"/>
    <s v="B6"/>
    <s v="RESIDENTIAL"/>
    <n v="4"/>
    <n v="3"/>
    <x v="292"/>
    <s v="3 BEDROOM + LIVING"/>
    <s v="C2"/>
    <n v="182.357"/>
    <n v="202.04787287656464"/>
    <x v="45"/>
    <m/>
    <m/>
    <s v="NW"/>
    <s v="CORNER "/>
    <s v="SEMI LAKE B-2"/>
    <s v="FORTH"/>
    <x v="3"/>
    <n v="0.13"/>
    <n v="0.05"/>
    <n v="0.42400000000000004"/>
    <n v="0.06"/>
    <n v="1.4999999999999999E-2"/>
    <n v="0.67900000000000016"/>
    <x v="1"/>
    <x v="12"/>
    <n v="50150"/>
    <n v="56050"/>
    <n v="5900"/>
    <n v="4006.1000000000008"/>
    <n v="54156.1"/>
    <n v="17871.512999999999"/>
    <n v="58656.1"/>
    <n v="61656.1"/>
    <n v="12022654.199999999"/>
    <n v="13021654.199999999"/>
    <n v="13687654.199999999"/>
    <n v="0"/>
    <n v="1021925.607"/>
    <n v="2"/>
    <n v="236000"/>
    <n v="236000"/>
    <n v="12258654.199999999"/>
    <n v="13257654.199999999"/>
    <n v="13923654.199999999"/>
    <d v="2026-07-01T00:00:00"/>
    <d v="2025-04-01T00:00:00"/>
  </r>
  <r>
    <m/>
    <s v="B"/>
    <s v="B6"/>
    <s v="RESIDENTIAL"/>
    <n v="4"/>
    <n v="4"/>
    <x v="293"/>
    <s v="3 BEDROOM"/>
    <s v="C2"/>
    <n v="141.929"/>
    <n v="157.25446541398435"/>
    <x v="22"/>
    <m/>
    <m/>
    <s v="SE"/>
    <s v="CORNER "/>
    <s v="ROAD 18M (VILLAS)"/>
    <s v="FORTH"/>
    <x v="4"/>
    <n v="0.08"/>
    <n v="0.05"/>
    <n v="0.16"/>
    <n v="0.06"/>
    <n v="2.5000000000000001E-2"/>
    <n v="0.37500000000000006"/>
    <x v="0"/>
    <x v="6"/>
    <n v="44625"/>
    <n v="49875"/>
    <n v="5250"/>
    <n v="1968.7500000000002"/>
    <n v="46593.75"/>
    <n v="15375.9375"/>
    <n v="51093.75"/>
    <n v="54093.75"/>
    <n v="8060718.75"/>
    <n v="8839218.75"/>
    <n v="9358218.75"/>
    <n v="0"/>
    <n v="685161.09375"/>
    <n v="2"/>
    <n v="210000"/>
    <n v="210000"/>
    <n v="8270718.75"/>
    <n v="9049218.75"/>
    <n v="9568218.75"/>
    <d v="2026-07-01T00:00:00"/>
    <d v="2024-04-01T00:00:00"/>
  </r>
  <r>
    <s v="B3"/>
    <s v="B"/>
    <s v="B7"/>
    <s v="RESIDENTIAL"/>
    <n v="0"/>
    <n v="1"/>
    <x v="294"/>
    <s v="3 BEDROOM"/>
    <s v="C2"/>
    <n v="141.82499999999999"/>
    <n v="159.04192828545919"/>
    <x v="22"/>
    <n v="80.092500000000001"/>
    <m/>
    <s v="SE"/>
    <s v="MIDDLE"/>
    <s v="ROAD 18M (VILLAS)"/>
    <s v="GROUND"/>
    <x v="4"/>
    <n v="0.08"/>
    <n v="2.5000000000000001E-2"/>
    <n v="0.16"/>
    <n v="0.05"/>
    <n v="2.5000000000000001E-2"/>
    <n v="0.34"/>
    <x v="0"/>
    <x v="3"/>
    <n v="42500"/>
    <n v="47500"/>
    <n v="5000"/>
    <n v="1700.0000000000002"/>
    <n v="44200"/>
    <n v="14586"/>
    <n v="48700"/>
    <n v="51700"/>
    <n v="7646600"/>
    <n v="8425100"/>
    <n v="8944100"/>
    <n v="1168229.2050000001"/>
    <n v="749260.48242500005"/>
    <n v="2"/>
    <n v="200000"/>
    <n v="200000"/>
    <n v="9014829.2050000001"/>
    <n v="9793329.2050000001"/>
    <n v="10312329.205"/>
    <d v="2026-07-01T00:00:00"/>
    <d v="2023-09-01T00:00:00"/>
  </r>
  <r>
    <m/>
    <s v="B"/>
    <s v="B7"/>
    <s v="RESIDENTIAL"/>
    <n v="0"/>
    <n v="2"/>
    <x v="295"/>
    <s v="3 BEDROOM + LIVING (DUPLEX)"/>
    <s v="C2"/>
    <n v="142.05600000000001"/>
    <n v="159.30097066468673"/>
    <x v="46"/>
    <n v="97.868200000000002"/>
    <m/>
    <s v="NW"/>
    <s v="MIDDLE"/>
    <s v="LAKE B-2"/>
    <s v="GROUND"/>
    <x v="5"/>
    <n v="0.13"/>
    <n v="2.5000000000000001E-2"/>
    <n v="0.53"/>
    <n v="0.05"/>
    <n v="0"/>
    <n v="0.7350000000000001"/>
    <x v="2"/>
    <x v="3"/>
    <n v="42500"/>
    <n v="47500"/>
    <n v="5000"/>
    <n v="3675.0000000000005"/>
    <n v="46175"/>
    <n v="15237.75"/>
    <n v="50675"/>
    <n v="53675"/>
    <n v="15884200"/>
    <n v="17432200"/>
    <n v="18464200"/>
    <n v="1491291.1645500001"/>
    <n v="1476916.7489867499"/>
    <n v="2"/>
    <n v="200000"/>
    <n v="200000"/>
    <n v="17575491.164549999"/>
    <n v="19123491.164549999"/>
    <n v="20155491.164549999"/>
    <d v="2026-07-01T00:00:00"/>
    <d v="2023-09-01T00:00:00"/>
  </r>
  <r>
    <m/>
    <s v="B"/>
    <s v="B7"/>
    <s v="RESIDENTIAL"/>
    <n v="0"/>
    <n v="3"/>
    <x v="296"/>
    <s v="3 BEDROOM + LIVING (DUPLEX)"/>
    <s v="C2"/>
    <n v="142.197"/>
    <n v="159.45908744161781"/>
    <x v="46"/>
    <n v="97.259299999999996"/>
    <m/>
    <s v="NW"/>
    <s v="MIDDLE"/>
    <s v="LAKE B-2"/>
    <s v="GROUND"/>
    <x v="5"/>
    <n v="0.13"/>
    <n v="2.5000000000000001E-2"/>
    <n v="0.53"/>
    <n v="0.05"/>
    <n v="0"/>
    <n v="0.7350000000000001"/>
    <x v="2"/>
    <x v="0"/>
    <n v="43562.499999999993"/>
    <n v="48687.499999999993"/>
    <n v="5125"/>
    <n v="3766.8750000000005"/>
    <n v="47329.374999999993"/>
    <n v="15618.693749999999"/>
    <n v="51829.374999999993"/>
    <n v="54829.374999999993"/>
    <n v="16281304.999999998"/>
    <n v="17829304.999999996"/>
    <n v="18861304.999999996"/>
    <n v="1519063.2210393748"/>
    <n v="1513031.2987883468"/>
    <n v="2"/>
    <n v="204999.99999999997"/>
    <n v="204999.99999999997"/>
    <n v="18005368.221039373"/>
    <n v="19553368.22103937"/>
    <n v="20585368.22103937"/>
    <d v="2026-07-01T00:00:00"/>
    <d v="2024-01-01T00:00:00"/>
  </r>
  <r>
    <m/>
    <s v="B"/>
    <s v="B7"/>
    <s v="RESIDENTIAL"/>
    <n v="0"/>
    <n v="4"/>
    <x v="297"/>
    <s v="2 BEDROOM"/>
    <s v="C2"/>
    <n v="95.254000000000005"/>
    <n v="106.81741467938045"/>
    <x v="17"/>
    <n v="63.675199999999997"/>
    <m/>
    <s v="SE"/>
    <s v="MIDDLE"/>
    <s v="ROAD 18M (VILLAS)"/>
    <s v="GROUND"/>
    <x v="1"/>
    <n v="0.08"/>
    <n v="2.5000000000000001E-2"/>
    <n v="0.16"/>
    <n v="0.05"/>
    <n v="0.04"/>
    <n v="0.35499999999999998"/>
    <x v="0"/>
    <x v="3"/>
    <n v="42500"/>
    <n v="47500"/>
    <n v="5000"/>
    <n v="1775"/>
    <n v="44275"/>
    <n v="14610.75"/>
    <n v="48775"/>
    <n v="51775"/>
    <n v="5135900"/>
    <n v="5657900"/>
    <n v="6005900"/>
    <n v="930342.42839999998"/>
    <n v="515630.60641399998"/>
    <n v="1"/>
    <n v="200000"/>
    <n v="200000"/>
    <n v="6266242.4284000006"/>
    <n v="6788242.4283999996"/>
    <n v="7136242.4284000006"/>
    <d v="2026-07-01T00:00:00"/>
    <d v="2023-09-01T00:00:00"/>
  </r>
  <r>
    <m/>
    <s v="B"/>
    <s v="B7"/>
    <s v="RESIDENTIAL"/>
    <n v="1"/>
    <n v="1"/>
    <x v="298"/>
    <s v="3 BEDROOM"/>
    <s v="C2"/>
    <n v="142.977"/>
    <n v="160.33377599485354"/>
    <x v="47"/>
    <m/>
    <m/>
    <s v="SE"/>
    <s v="MIDDLE"/>
    <s v="ROAD 18M (VILLAS)"/>
    <s v="FIRST"/>
    <x v="4"/>
    <n v="0.08"/>
    <n v="2.5000000000000001E-2"/>
    <n v="0.16"/>
    <n v="7.0000000000000007E-2"/>
    <n v="2.5000000000000001E-2"/>
    <n v="0.36000000000000004"/>
    <x v="0"/>
    <x v="0"/>
    <n v="43562.499999999993"/>
    <n v="48687.499999999993"/>
    <n v="5125"/>
    <n v="1845.0000000000002"/>
    <n v="45407.499999999993"/>
    <n v="14984.474999999999"/>
    <n v="49907.499999999993"/>
    <n v="52907.499999999993"/>
    <n v="7900904.9999999991"/>
    <n v="8683904.9999999981"/>
    <n v="9205904.9999999981"/>
    <n v="0"/>
    <n v="671576.92499999993"/>
    <n v="2"/>
    <n v="204999.99999999997"/>
    <n v="204999.99999999997"/>
    <n v="8105904.9999999991"/>
    <n v="8888904.9999999981"/>
    <n v="9410904.9999999981"/>
    <d v="2026-07-01T00:00:00"/>
    <d v="2024-01-01T00:00:00"/>
  </r>
  <r>
    <m/>
    <s v="B"/>
    <s v="B7"/>
    <s v="RESIDENTIAL"/>
    <n v="1"/>
    <n v="4"/>
    <x v="299"/>
    <s v="2 BEDROOM"/>
    <s v="C2"/>
    <n v="96.311000000000007"/>
    <n v="108.00272980857298"/>
    <x v="21"/>
    <m/>
    <m/>
    <s v="SE"/>
    <s v="MIDDLE"/>
    <s v="ROAD 18M (VILLAS)"/>
    <s v="FIRST"/>
    <x v="1"/>
    <n v="0.08"/>
    <n v="2.5000000000000001E-2"/>
    <n v="0.16"/>
    <n v="7.0000000000000007E-2"/>
    <n v="0.04"/>
    <n v="0.375"/>
    <x v="0"/>
    <x v="6"/>
    <n v="44625"/>
    <n v="49875"/>
    <n v="5250"/>
    <n v="1968.75"/>
    <n v="46593.75"/>
    <n v="15375.9375"/>
    <n v="51093.75"/>
    <n v="54093.75"/>
    <n v="5451468.75"/>
    <n v="5977968.75"/>
    <n v="6328968.75"/>
    <n v="0"/>
    <n v="463374.84375000006"/>
    <n v="1"/>
    <n v="210000"/>
    <n v="210000"/>
    <n v="5661468.75"/>
    <n v="6187968.75"/>
    <n v="6538968.75"/>
    <d v="2026-07-01T00:00:00"/>
    <d v="2024-04-01T00:00:00"/>
  </r>
  <r>
    <m/>
    <s v="B"/>
    <s v="B7"/>
    <s v="RESIDENTIAL"/>
    <n v="2"/>
    <n v="1"/>
    <x v="300"/>
    <s v="3 BEDROOM"/>
    <s v="C2"/>
    <n v="141.18700000000001"/>
    <n v="158.32647790473564"/>
    <x v="23"/>
    <m/>
    <m/>
    <s v="SE"/>
    <s v="MIDDLE"/>
    <s v="ROAD 18M (VILLAS)"/>
    <s v="SECOND"/>
    <x v="4"/>
    <n v="0.08"/>
    <n v="2.5000000000000001E-2"/>
    <n v="0.16"/>
    <n v="0.11"/>
    <n v="2.5000000000000001E-2"/>
    <n v="0.4"/>
    <x v="0"/>
    <x v="5"/>
    <n v="46750.000000000007"/>
    <n v="52250.000000000007"/>
    <n v="5500"/>
    <n v="2200"/>
    <n v="48950.000000000007"/>
    <n v="16153.500000000004"/>
    <n v="53450.000000000007"/>
    <n v="56450.000000000007"/>
    <n v="8419400.0000000019"/>
    <n v="9193400.0000000019"/>
    <n v="9709400.0000000019"/>
    <n v="0"/>
    <n v="715649.00000000023"/>
    <n v="2"/>
    <n v="220000.00000000003"/>
    <n v="220000.00000000003"/>
    <n v="8639400.0000000019"/>
    <n v="9413400.0000000019"/>
    <n v="9929400.0000000019"/>
    <d v="2026-07-01T00:00:00"/>
    <d v="2024-10-01T00:00:00"/>
  </r>
  <r>
    <m/>
    <s v="B"/>
    <s v="B7"/>
    <s v="RESIDENTIAL"/>
    <n v="2"/>
    <n v="2"/>
    <x v="301"/>
    <s v="3 BEDROOM"/>
    <s v="C2"/>
    <n v="141.446"/>
    <n v="158.61691936023314"/>
    <x v="22"/>
    <m/>
    <m/>
    <s v="NW"/>
    <s v="MIDDLE"/>
    <s v="LAKE B-2"/>
    <s v="SECOND"/>
    <x v="4"/>
    <n v="0.13"/>
    <n v="2.5000000000000001E-2"/>
    <n v="0.53"/>
    <n v="0.11"/>
    <n v="2.5000000000000001E-2"/>
    <n v="0.82000000000000006"/>
    <x v="2"/>
    <x v="12"/>
    <n v="50150"/>
    <n v="56050"/>
    <n v="5900"/>
    <n v="4838"/>
    <n v="54988"/>
    <n v="18146.04"/>
    <n v="59488"/>
    <n v="62488"/>
    <n v="9512924"/>
    <n v="10291424"/>
    <n v="10810424"/>
    <n v="0"/>
    <n v="808598.54"/>
    <n v="2"/>
    <n v="236000"/>
    <n v="236000"/>
    <n v="9748924"/>
    <n v="10527424"/>
    <n v="11046424"/>
    <d v="2026-07-01T00:00:00"/>
    <d v="2025-04-01T00:00:00"/>
  </r>
  <r>
    <m/>
    <s v="B"/>
    <s v="B7"/>
    <s v="RESIDENTIAL"/>
    <n v="2"/>
    <n v="3"/>
    <x v="302"/>
    <s v="3 BEDROOM"/>
    <s v="C2"/>
    <n v="141.572"/>
    <n v="158.75821520344815"/>
    <x v="22"/>
    <m/>
    <m/>
    <s v="NW"/>
    <s v="MIDDLE"/>
    <s v="LAKE B-2"/>
    <s v="SECOND"/>
    <x v="4"/>
    <n v="0.13"/>
    <n v="2.5000000000000001E-2"/>
    <n v="0.53"/>
    <n v="0.11"/>
    <n v="2.5000000000000001E-2"/>
    <n v="0.82000000000000006"/>
    <x v="2"/>
    <x v="12"/>
    <n v="50150"/>
    <n v="56050"/>
    <n v="5900"/>
    <n v="4838"/>
    <n v="54988"/>
    <n v="18146.04"/>
    <n v="59488"/>
    <n v="62488"/>
    <n v="9512924"/>
    <n v="10291424"/>
    <n v="10810424"/>
    <n v="0"/>
    <n v="808598.54"/>
    <n v="2"/>
    <n v="236000"/>
    <n v="236000"/>
    <n v="9748924"/>
    <n v="10527424"/>
    <n v="11046424"/>
    <d v="2026-07-01T00:00:00"/>
    <d v="2025-04-01T00:00:00"/>
  </r>
  <r>
    <m/>
    <s v="B"/>
    <s v="B7"/>
    <s v="RESIDENTIAL"/>
    <n v="2"/>
    <n v="4"/>
    <x v="303"/>
    <s v="3 BEDROOM"/>
    <s v="C2"/>
    <n v="141.226"/>
    <n v="158.37021233239741"/>
    <x v="23"/>
    <m/>
    <m/>
    <s v="SE"/>
    <s v="MIDDLE"/>
    <s v="ROAD 18M (VILLAS)"/>
    <s v="SECOND"/>
    <x v="4"/>
    <n v="0.08"/>
    <n v="2.5000000000000001E-2"/>
    <n v="0.16"/>
    <n v="0.11"/>
    <n v="2.5000000000000001E-2"/>
    <n v="0.4"/>
    <x v="0"/>
    <x v="5"/>
    <n v="46750.000000000007"/>
    <n v="52250.000000000007"/>
    <n v="5500"/>
    <n v="2200"/>
    <n v="48950.000000000007"/>
    <n v="16153.500000000004"/>
    <n v="53450.000000000007"/>
    <n v="56450.000000000007"/>
    <n v="8419400.0000000019"/>
    <n v="9193400.0000000019"/>
    <n v="9709400.0000000019"/>
    <n v="0"/>
    <n v="715649.00000000023"/>
    <n v="2"/>
    <n v="220000.00000000003"/>
    <n v="220000.00000000003"/>
    <n v="8639400.0000000019"/>
    <n v="9413400.0000000019"/>
    <n v="9929400.0000000019"/>
    <d v="2026-07-01T00:00:00"/>
    <d v="2024-10-01T00:00:00"/>
  </r>
  <r>
    <m/>
    <s v="B"/>
    <s v="B7"/>
    <s v="RESIDENTIAL"/>
    <n v="3"/>
    <n v="1"/>
    <x v="304"/>
    <s v="3 BEDROOM"/>
    <s v="C2"/>
    <n v="141.48599999999999"/>
    <n v="158.66177518347598"/>
    <x v="22"/>
    <m/>
    <m/>
    <s v="SE"/>
    <s v="MIDDLE"/>
    <s v="ROAD 18M (VILLAS)"/>
    <s v="THIRD"/>
    <x v="4"/>
    <n v="0.08"/>
    <n v="2.5000000000000001E-2"/>
    <n v="0.16"/>
    <n v="0.15"/>
    <n v="2.5000000000000001E-2"/>
    <n v="0.44000000000000006"/>
    <x v="0"/>
    <x v="10"/>
    <n v="53550"/>
    <n v="59850"/>
    <n v="6300"/>
    <n v="2772.0000000000005"/>
    <n v="56322"/>
    <n v="18586.260000000002"/>
    <n v="60822"/>
    <n v="63822"/>
    <n v="9743706"/>
    <n v="10522206"/>
    <n v="11041206"/>
    <n v="0"/>
    <n v="828215.01"/>
    <n v="2"/>
    <n v="252000"/>
    <n v="252000"/>
    <n v="9995706"/>
    <n v="10774206"/>
    <n v="11293206"/>
    <d v="2026-07-01T00:00:00"/>
    <d v="2025-10-01T00:00:00"/>
  </r>
  <r>
    <m/>
    <s v="B"/>
    <s v="B7"/>
    <s v="RESIDENTIAL"/>
    <n v="3"/>
    <n v="2"/>
    <x v="305"/>
    <s v="3 BEDROOM"/>
    <s v="C2"/>
    <n v="142.25399999999999"/>
    <n v="159.52300698973886"/>
    <x v="47"/>
    <m/>
    <m/>
    <s v="NW"/>
    <s v="MIDDLE"/>
    <s v="LAKE B-2"/>
    <s v="THIRD"/>
    <x v="4"/>
    <n v="0.13"/>
    <n v="2.5000000000000001E-2"/>
    <n v="0.53"/>
    <n v="0.15"/>
    <n v="2.5000000000000001E-2"/>
    <n v="0.8600000000000001"/>
    <x v="2"/>
    <x v="10"/>
    <n v="53550"/>
    <n v="59850"/>
    <n v="6300"/>
    <n v="5418.0000000000009"/>
    <n v="58968"/>
    <n v="19459.440000000002"/>
    <n v="63468"/>
    <n v="66468"/>
    <n v="10260432"/>
    <n v="11043432"/>
    <n v="11565432"/>
    <n v="0"/>
    <n v="872136.72000000009"/>
    <n v="2"/>
    <n v="252000"/>
    <n v="252000"/>
    <n v="10512432"/>
    <n v="11295432"/>
    <n v="11817432"/>
    <d v="2026-07-01T00:00:00"/>
    <d v="2025-10-01T00:00:00"/>
  </r>
  <r>
    <m/>
    <s v="B"/>
    <s v="B7"/>
    <s v="RESIDENTIAL"/>
    <n v="3"/>
    <n v="3"/>
    <x v="306"/>
    <s v="3 BEDROOM"/>
    <s v="C2"/>
    <n v="142.37799999999999"/>
    <n v="159.6620600417917"/>
    <x v="47"/>
    <m/>
    <m/>
    <s v="NW"/>
    <s v="MIDDLE"/>
    <s v="LAKE B-2"/>
    <s v="THIRD"/>
    <x v="4"/>
    <n v="0.13"/>
    <n v="2.5000000000000001E-2"/>
    <n v="0.53"/>
    <n v="0.15"/>
    <n v="2.5000000000000001E-2"/>
    <n v="0.8600000000000001"/>
    <x v="2"/>
    <x v="10"/>
    <n v="53550"/>
    <n v="59850"/>
    <n v="6300"/>
    <n v="5418.0000000000009"/>
    <n v="58968"/>
    <n v="19459.440000000002"/>
    <n v="63468"/>
    <n v="66468"/>
    <n v="10260432"/>
    <n v="11043432"/>
    <n v="11565432"/>
    <n v="0"/>
    <n v="872136.72000000009"/>
    <n v="2"/>
    <n v="252000"/>
    <n v="252000"/>
    <n v="10512432"/>
    <n v="11295432"/>
    <n v="11817432"/>
    <d v="2026-07-01T00:00:00"/>
    <d v="2025-10-01T00:00:00"/>
  </r>
  <r>
    <m/>
    <s v="B"/>
    <s v="B7"/>
    <s v="RESIDENTIAL"/>
    <n v="3"/>
    <n v="4"/>
    <x v="307"/>
    <s v="3 BEDROOM"/>
    <s v="C2"/>
    <n v="141.52600000000001"/>
    <n v="158.70663100671885"/>
    <x v="22"/>
    <m/>
    <m/>
    <s v="SE"/>
    <s v="MIDDLE"/>
    <s v="ROAD 18M (VILLAS)"/>
    <s v="THIRD"/>
    <x v="4"/>
    <n v="0.08"/>
    <n v="2.5000000000000001E-2"/>
    <n v="0.16"/>
    <n v="0.15"/>
    <n v="2.5000000000000001E-2"/>
    <n v="0.44000000000000006"/>
    <x v="0"/>
    <x v="10"/>
    <n v="53550"/>
    <n v="59850"/>
    <n v="6300"/>
    <n v="2772.0000000000005"/>
    <n v="56322"/>
    <n v="18586.260000000002"/>
    <n v="60822"/>
    <n v="63822"/>
    <n v="9743706"/>
    <n v="10522206"/>
    <n v="11041206"/>
    <n v="0"/>
    <n v="828215.01"/>
    <n v="2"/>
    <n v="252000"/>
    <n v="252000"/>
    <n v="9995706"/>
    <n v="10774206"/>
    <n v="11293206"/>
    <d v="2026-07-01T00:00:00"/>
    <d v="2025-10-01T00:00:00"/>
  </r>
  <r>
    <m/>
    <s v="B"/>
    <s v="B7"/>
    <s v="RESIDENTIAL"/>
    <n v="4"/>
    <n v="1"/>
    <x v="308"/>
    <s v="3 BEDROOM"/>
    <s v="C2"/>
    <n v="139.12"/>
    <n v="156.00855323866094"/>
    <x v="28"/>
    <m/>
    <m/>
    <s v="SE"/>
    <s v="MIDDLE"/>
    <s v="ROAD 18M (VILLAS)"/>
    <s v="FORTH"/>
    <x v="4"/>
    <n v="0.08"/>
    <n v="2.5000000000000001E-2"/>
    <n v="0.16"/>
    <n v="0.06"/>
    <n v="2.5000000000000001E-2"/>
    <n v="0.35000000000000003"/>
    <x v="0"/>
    <x v="3"/>
    <n v="42500"/>
    <n v="47500"/>
    <n v="5000"/>
    <n v="1750.0000000000002"/>
    <n v="44250"/>
    <n v="14602.5"/>
    <n v="48750"/>
    <n v="51750"/>
    <n v="7522500"/>
    <n v="8287500"/>
    <n v="8797500"/>
    <n v="0"/>
    <n v="639412.5"/>
    <n v="2"/>
    <n v="200000"/>
    <n v="200000"/>
    <n v="7722500"/>
    <n v="8487500"/>
    <n v="8997500"/>
    <d v="2026-07-01T00:00:00"/>
    <d v="2023-09-01T00:00:00"/>
  </r>
  <r>
    <m/>
    <s v="B"/>
    <s v="B7"/>
    <s v="RESIDENTIAL"/>
    <n v="4"/>
    <n v="2"/>
    <x v="309"/>
    <s v="3 BEDROOM"/>
    <s v="C2"/>
    <n v="141.53399999999999"/>
    <n v="158.71560217136741"/>
    <x v="22"/>
    <m/>
    <m/>
    <s v="NW"/>
    <s v="MIDDLE"/>
    <s v="LAKE B-2"/>
    <s v="FORTH"/>
    <x v="4"/>
    <n v="0.13"/>
    <n v="2.5000000000000001E-2"/>
    <n v="0.53"/>
    <n v="0.06"/>
    <n v="2.5000000000000001E-2"/>
    <n v="0.77000000000000013"/>
    <x v="2"/>
    <x v="2"/>
    <n v="45687.5"/>
    <n v="51062.5"/>
    <n v="5375"/>
    <n v="4138.7500000000009"/>
    <n v="49826.25"/>
    <n v="16442.662500000002"/>
    <n v="54326.25"/>
    <n v="57326.25"/>
    <n v="8619941.25"/>
    <n v="9398441.25"/>
    <n v="9917441.25"/>
    <n v="0"/>
    <n v="732695.00625000009"/>
    <n v="2"/>
    <n v="215000"/>
    <n v="215000"/>
    <n v="8834941.25"/>
    <n v="9613441.25"/>
    <n v="10132441.25"/>
    <d v="2026-07-01T00:00:00"/>
    <d v="2024-07-01T00:00:00"/>
  </r>
  <r>
    <m/>
    <s v="B"/>
    <s v="B7"/>
    <s v="RESIDENTIAL"/>
    <n v="4"/>
    <n v="3"/>
    <x v="310"/>
    <s v="3 BEDROOM"/>
    <s v="C2"/>
    <n v="141.65899999999999"/>
    <n v="158.85577661900135"/>
    <x v="22"/>
    <m/>
    <m/>
    <s v="NW"/>
    <s v="MIDDLE"/>
    <s v="LAKE B-2"/>
    <s v="FORTH"/>
    <x v="4"/>
    <n v="0.13"/>
    <n v="2.5000000000000001E-2"/>
    <n v="0.53"/>
    <n v="0.06"/>
    <n v="2.5000000000000001E-2"/>
    <n v="0.77000000000000013"/>
    <x v="2"/>
    <x v="2"/>
    <n v="45687.5"/>
    <n v="51062.5"/>
    <n v="5375"/>
    <n v="4138.7500000000009"/>
    <n v="49826.25"/>
    <n v="16442.662500000002"/>
    <n v="54326.25"/>
    <n v="57326.25"/>
    <n v="8619941.25"/>
    <n v="9398441.25"/>
    <n v="9917441.25"/>
    <n v="0"/>
    <n v="732695.00625000009"/>
    <n v="2"/>
    <n v="215000"/>
    <n v="215000"/>
    <n v="8834941.25"/>
    <n v="9613441.25"/>
    <n v="10132441.25"/>
    <d v="2026-07-01T00:00:00"/>
    <d v="2024-07-01T00:00:00"/>
  </r>
  <r>
    <m/>
    <s v="B"/>
    <s v="B7"/>
    <s v="RESIDENTIAL"/>
    <n v="4"/>
    <n v="4"/>
    <x v="311"/>
    <s v="3 BEDROOM"/>
    <s v="C2"/>
    <n v="139.31659999999999"/>
    <n v="156.22901960989958"/>
    <x v="28"/>
    <m/>
    <m/>
    <s v="SE"/>
    <s v="MIDDLE"/>
    <s v="ROAD 18M (VILLAS)"/>
    <s v="FORTH"/>
    <x v="4"/>
    <n v="0.08"/>
    <n v="2.5000000000000001E-2"/>
    <n v="0.16"/>
    <n v="0.06"/>
    <n v="2.5000000000000001E-2"/>
    <n v="0.35000000000000003"/>
    <x v="0"/>
    <x v="3"/>
    <n v="42500"/>
    <n v="47500"/>
    <n v="5000"/>
    <n v="1750.0000000000002"/>
    <n v="44250"/>
    <n v="14602.5"/>
    <n v="48750"/>
    <n v="51750"/>
    <n v="7522500"/>
    <n v="8287500"/>
    <n v="8797500"/>
    <n v="0"/>
    <n v="639412.5"/>
    <n v="2"/>
    <n v="200000"/>
    <n v="200000"/>
    <n v="7722500"/>
    <n v="8487500"/>
    <n v="8997500"/>
    <d v="2026-07-01T00:00:00"/>
    <d v="2023-09-01T00:00:00"/>
  </r>
  <r>
    <s v="B3"/>
    <s v="B"/>
    <s v="B8"/>
    <s v="RESIDENTIAL"/>
    <n v="0"/>
    <n v="1"/>
    <x v="312"/>
    <s v="3 BEDROOM"/>
    <s v="C2"/>
    <n v="144.66300000000001"/>
    <n v="160.29970969584483"/>
    <x v="20"/>
    <n v="84.046400000000006"/>
    <m/>
    <s v="SE"/>
    <s v="CORNER "/>
    <s v="ROAD 18M (VILLAS)"/>
    <s v="GROUND"/>
    <x v="4"/>
    <n v="0.08"/>
    <n v="0.05"/>
    <n v="0.16"/>
    <n v="0.05"/>
    <n v="2.5000000000000001E-2"/>
    <n v="0.36500000000000005"/>
    <x v="0"/>
    <x v="0"/>
    <n v="43562.499999999993"/>
    <n v="48687.499999999993"/>
    <n v="5125"/>
    <n v="1870.6250000000002"/>
    <n v="45433.124999999993"/>
    <n v="14992.931249999998"/>
    <n v="49933.124999999993"/>
    <n v="52933.124999999993"/>
    <n v="7996229.9999999991"/>
    <n v="8788229.9999999981"/>
    <n v="9316229.9999999981"/>
    <n v="1260101.89701"/>
    <n v="786788.21124584996"/>
    <n v="2"/>
    <n v="204999.99999999997"/>
    <n v="204999.99999999997"/>
    <n v="9461331.8970099986"/>
    <n v="10253331.897009999"/>
    <n v="10781331.897009999"/>
    <d v="2026-07-01T00:00:00"/>
    <d v="2024-01-01T00:00:00"/>
  </r>
  <r>
    <m/>
    <s v="B"/>
    <s v="B8"/>
    <s v="RESIDENTIAL"/>
    <n v="0"/>
    <n v="2"/>
    <x v="313"/>
    <s v="3 BEDROOM + LIVING"/>
    <s v="C2"/>
    <n v="183.887"/>
    <n v="203.76345518093646"/>
    <x v="19"/>
    <n v="61.522199999999998"/>
    <m/>
    <s v="NW"/>
    <s v="CORNER "/>
    <s v="LAKE B-2"/>
    <s v="GROUND"/>
    <x v="3"/>
    <n v="0.13"/>
    <n v="0.05"/>
    <n v="0.53"/>
    <n v="0.05"/>
    <n v="1.4999999999999999E-2"/>
    <n v="0.77500000000000002"/>
    <x v="2"/>
    <x v="2"/>
    <n v="45687.5"/>
    <n v="51062.5"/>
    <n v="5375"/>
    <n v="4165.625"/>
    <n v="49853.125"/>
    <n v="16451.53125"/>
    <n v="54353.125"/>
    <n v="57353.125"/>
    <n v="11167100"/>
    <n v="12175100"/>
    <n v="12847100"/>
    <n v="1012134.3958687499"/>
    <n v="1035234.9236488439"/>
    <n v="2"/>
    <n v="215000"/>
    <n v="215000"/>
    <n v="12394234.39586875"/>
    <n v="13402234.39586875"/>
    <n v="14074234.39586875"/>
    <d v="2026-07-01T00:00:00"/>
    <d v="2024-07-01T00:00:00"/>
  </r>
  <r>
    <m/>
    <s v="B"/>
    <s v="B8"/>
    <s v="RESIDENTIAL"/>
    <n v="0"/>
    <n v="3"/>
    <x v="314"/>
    <s v="3 BEDROOM"/>
    <s v="C2"/>
    <n v="162.78100000000001"/>
    <n v="180.37609508996297"/>
    <x v="18"/>
    <n v="77.576999999999998"/>
    <m/>
    <s v="NW"/>
    <s v="MIDDLE"/>
    <s v="LAKE B-2"/>
    <s v="GROUND"/>
    <x v="3"/>
    <n v="0.13"/>
    <n v="2.5000000000000001E-2"/>
    <n v="0.53"/>
    <n v="0.05"/>
    <n v="1.4999999999999999E-2"/>
    <n v="0.75000000000000011"/>
    <x v="2"/>
    <x v="0"/>
    <n v="43562.499999999993"/>
    <n v="48687.499999999993"/>
    <n v="5125"/>
    <n v="3843.7500000000005"/>
    <n v="47406.249999999993"/>
    <n v="15644.062499999998"/>
    <n v="51906.249999999993"/>
    <n v="54906.249999999993"/>
    <n v="9433843.7499999981"/>
    <n v="10329343.749999998"/>
    <n v="10926343.749999998"/>
    <n v="1213619.4365624997"/>
    <n v="905034.37085781235"/>
    <n v="2"/>
    <n v="204999.99999999997"/>
    <n v="204999.99999999997"/>
    <n v="10852463.186562497"/>
    <n v="11747963.186562497"/>
    <n v="12344963.186562497"/>
    <d v="2026-07-01T00:00:00"/>
    <d v="2024-01-01T00:00:00"/>
  </r>
  <r>
    <m/>
    <s v="B"/>
    <s v="B8"/>
    <s v="RESIDENTIAL"/>
    <n v="0"/>
    <n v="4"/>
    <x v="315"/>
    <s v="2 BEDROOM"/>
    <s v="C2"/>
    <n v="95.213999999999999"/>
    <n v="105.50573788031609"/>
    <x v="17"/>
    <n v="63.702300000000001"/>
    <m/>
    <s v="SE"/>
    <s v="MIDDLE"/>
    <s v="ROAD 18M (VILLAS)"/>
    <s v="GROUND"/>
    <x v="1"/>
    <n v="0.08"/>
    <n v="2.5000000000000001E-2"/>
    <n v="0.16"/>
    <n v="0.05"/>
    <n v="0.04"/>
    <n v="0.35499999999999998"/>
    <x v="0"/>
    <x v="3"/>
    <n v="42500"/>
    <n v="47500"/>
    <n v="5000"/>
    <n v="1775"/>
    <n v="44275"/>
    <n v="14610.75"/>
    <n v="48775"/>
    <n v="51775"/>
    <n v="5135900"/>
    <n v="5657900"/>
    <n v="6005900"/>
    <n v="930738.37972500001"/>
    <n v="515664.26227662503"/>
    <n v="1"/>
    <n v="200000"/>
    <n v="200000"/>
    <n v="6266638.3797249999"/>
    <n v="6788638.3797249999"/>
    <n v="7136638.3797249999"/>
    <d v="2026-07-01T00:00:00"/>
    <d v="2023-09-01T00:00:00"/>
  </r>
  <r>
    <m/>
    <s v="B"/>
    <s v="B8"/>
    <s v="RESIDENTIAL"/>
    <n v="1"/>
    <n v="1"/>
    <x v="316"/>
    <s v="3 BEDROOM"/>
    <s v="C2"/>
    <n v="141.66300000000001"/>
    <n v="156.9754379118535"/>
    <x v="22"/>
    <m/>
    <m/>
    <s v="SE"/>
    <s v="CORNER "/>
    <s v="ROAD 18M (VILLAS)"/>
    <s v="FIRST"/>
    <x v="4"/>
    <n v="0.08"/>
    <n v="0.05"/>
    <n v="0.16"/>
    <n v="7.0000000000000007E-2"/>
    <n v="2.5000000000000001E-2"/>
    <n v="0.38500000000000006"/>
    <x v="0"/>
    <x v="2"/>
    <n v="45687.5"/>
    <n v="51062.5"/>
    <n v="5375"/>
    <n v="2069.3750000000005"/>
    <n v="47756.875"/>
    <n v="15759.768750000001"/>
    <n v="52256.875"/>
    <n v="55256.875"/>
    <n v="8261939.375"/>
    <n v="9040439.375"/>
    <n v="9559439.375"/>
    <n v="0"/>
    <n v="702264.84687500005"/>
    <n v="2"/>
    <n v="215000"/>
    <n v="215000"/>
    <n v="8476939.375"/>
    <n v="9255439.375"/>
    <n v="9774439.375"/>
    <d v="2026-07-01T00:00:00"/>
    <d v="2024-07-01T00:00:00"/>
  </r>
  <r>
    <m/>
    <s v="B"/>
    <s v="B8"/>
    <s v="RESIDENTIAL"/>
    <n v="1"/>
    <n v="2"/>
    <x v="317"/>
    <s v="3 BEDROOM + LIVING"/>
    <s v="C2"/>
    <n v="183.637"/>
    <n v="203.48643253227053"/>
    <x v="19"/>
    <m/>
    <m/>
    <s v="NW"/>
    <s v="CORNER "/>
    <s v="LAKE B-2"/>
    <s v="FIRST"/>
    <x v="3"/>
    <n v="0.13"/>
    <n v="0.05"/>
    <n v="0.53"/>
    <n v="7.0000000000000007E-2"/>
    <n v="1.4999999999999999E-2"/>
    <n v="0.79500000000000004"/>
    <x v="2"/>
    <x v="5"/>
    <n v="46750.000000000007"/>
    <n v="52250.000000000007"/>
    <n v="5500"/>
    <n v="4372.5"/>
    <n v="51122.500000000007"/>
    <n v="16870.425000000003"/>
    <n v="55622.500000000007"/>
    <n v="58622.500000000007"/>
    <n v="11451440.000000002"/>
    <n v="12459440.000000002"/>
    <n v="13131440.000000002"/>
    <n v="0"/>
    <n v="973372.40000000026"/>
    <n v="2"/>
    <n v="220000.00000000003"/>
    <n v="220000.00000000003"/>
    <n v="11671440.000000002"/>
    <n v="12679440.000000002"/>
    <n v="13351440.000000002"/>
    <d v="2026-07-01T00:00:00"/>
    <d v="2024-10-01T00:00:00"/>
  </r>
  <r>
    <m/>
    <s v="B"/>
    <s v="B8"/>
    <s v="RESIDENTIAL"/>
    <n v="1"/>
    <n v="3"/>
    <x v="318"/>
    <s v="3 BEDROOM"/>
    <s v="C2"/>
    <n v="162.53100000000001"/>
    <n v="180.09907244129704"/>
    <x v="42"/>
    <m/>
    <m/>
    <s v="NW"/>
    <s v="MIDDLE"/>
    <s v="LAKE B-2"/>
    <s v="FIRST"/>
    <x v="3"/>
    <n v="0.13"/>
    <n v="2.5000000000000001E-2"/>
    <n v="0.53"/>
    <n v="7.0000000000000007E-2"/>
    <n v="1.4999999999999999E-2"/>
    <n v="0.77000000000000013"/>
    <x v="2"/>
    <x v="2"/>
    <n v="45687.5"/>
    <n v="51062.5"/>
    <n v="5375"/>
    <n v="4138.7500000000009"/>
    <n v="49826.25"/>
    <n v="16442.662500000002"/>
    <n v="54326.25"/>
    <n v="57326.25"/>
    <n v="9865597.5"/>
    <n v="10756597.5"/>
    <n v="11350597.5"/>
    <n v="0"/>
    <n v="838575.78750000009"/>
    <n v="2"/>
    <n v="215000"/>
    <n v="215000"/>
    <n v="10080597.5"/>
    <n v="10971597.5"/>
    <n v="11565597.5"/>
    <d v="2026-07-01T00:00:00"/>
    <d v="2024-07-01T00:00:00"/>
  </r>
  <r>
    <m/>
    <s v="B"/>
    <s v="B8"/>
    <s v="RESIDENTIAL"/>
    <n v="1"/>
    <n v="4"/>
    <x v="319"/>
    <s v="2 BEDROOM"/>
    <s v="C2"/>
    <n v="96.271000000000001"/>
    <n v="106.6769896388757"/>
    <x v="21"/>
    <m/>
    <m/>
    <s v="SE"/>
    <s v="MIDDLE"/>
    <s v="ROAD 18M (VILLAS)"/>
    <s v="FIRST"/>
    <x v="1"/>
    <n v="0.08"/>
    <n v="2.5000000000000001E-2"/>
    <n v="0.16"/>
    <n v="7.0000000000000007E-2"/>
    <n v="0.04"/>
    <n v="0.375"/>
    <x v="0"/>
    <x v="6"/>
    <n v="44625"/>
    <n v="49875"/>
    <n v="5250"/>
    <n v="1968.75"/>
    <n v="46593.75"/>
    <n v="15375.9375"/>
    <n v="51093.75"/>
    <n v="54093.75"/>
    <n v="5451468.75"/>
    <n v="5977968.75"/>
    <n v="6328968.75"/>
    <n v="0"/>
    <n v="463374.84375000006"/>
    <n v="1"/>
    <n v="210000"/>
    <n v="210000"/>
    <n v="5661468.75"/>
    <n v="6187968.75"/>
    <n v="6538968.75"/>
    <d v="2026-07-01T00:00:00"/>
    <d v="2024-04-01T00:00:00"/>
  </r>
  <r>
    <m/>
    <s v="B"/>
    <s v="B8"/>
    <s v="RESIDENTIAL"/>
    <n v="2"/>
    <n v="1"/>
    <x v="320"/>
    <s v="3 BEDROOM"/>
    <s v="C2"/>
    <n v="143.989"/>
    <n v="159.55285663504142"/>
    <x v="20"/>
    <m/>
    <m/>
    <s v="SE"/>
    <s v="CORNER "/>
    <s v="ROAD 18M (VILLAS)"/>
    <s v="SECOND"/>
    <x v="4"/>
    <n v="0.08"/>
    <n v="0.05"/>
    <n v="0.16"/>
    <n v="0.11"/>
    <n v="2.5000000000000001E-2"/>
    <n v="0.42500000000000004"/>
    <x v="0"/>
    <x v="4"/>
    <n v="51850"/>
    <n v="57950"/>
    <n v="6100"/>
    <n v="2592.5000000000005"/>
    <n v="54442.5"/>
    <n v="17966.025000000001"/>
    <n v="58942.5"/>
    <n v="61942.5"/>
    <n v="9581880"/>
    <n v="10373880"/>
    <n v="10901880"/>
    <n v="0"/>
    <n v="814459.8"/>
    <n v="2"/>
    <n v="244000"/>
    <n v="244000"/>
    <n v="9825880"/>
    <n v="10617880"/>
    <n v="11145880"/>
    <d v="2026-07-01T00:00:00"/>
    <d v="2025-07-01T00:00:00"/>
  </r>
  <r>
    <m/>
    <s v="B"/>
    <s v="B8"/>
    <s v="RESIDENTIAL"/>
    <n v="2"/>
    <n v="2"/>
    <x v="321"/>
    <s v="3 BEDROOM + LIVING"/>
    <s v="C2"/>
    <n v="187.1"/>
    <n v="207.32375026159116"/>
    <x v="25"/>
    <m/>
    <m/>
    <s v="NW"/>
    <s v="CORNER "/>
    <s v="LAKE B-2"/>
    <s v="SECOND"/>
    <x v="3"/>
    <n v="0.13"/>
    <n v="0.05"/>
    <n v="0.53"/>
    <n v="0.11"/>
    <n v="1.4999999999999999E-2"/>
    <n v="0.83499999999999996"/>
    <x v="2"/>
    <x v="4"/>
    <n v="51850"/>
    <n v="57950"/>
    <n v="6100"/>
    <n v="5093.5"/>
    <n v="56943.5"/>
    <n v="18791.355"/>
    <n v="61443.5"/>
    <n v="64443.5"/>
    <n v="12983118"/>
    <n v="14009118"/>
    <n v="14693118"/>
    <n v="0"/>
    <n v="1103565.03"/>
    <n v="2"/>
    <n v="244000"/>
    <n v="244000"/>
    <n v="13227118"/>
    <n v="14253118"/>
    <n v="14937118"/>
    <d v="2026-07-01T00:00:00"/>
    <d v="2025-07-01T00:00:00"/>
  </r>
  <r>
    <m/>
    <s v="B"/>
    <s v="B8"/>
    <s v="RESIDENTIAL"/>
    <n v="2"/>
    <n v="3"/>
    <x v="322"/>
    <s v="3 BEDROOM"/>
    <s v="C2"/>
    <n v="167.16900000000001"/>
    <n v="185.23839661934761"/>
    <x v="43"/>
    <m/>
    <m/>
    <s v="NW"/>
    <s v="MIDDLE"/>
    <s v="LAKE B-2"/>
    <s v="SECOND"/>
    <x v="3"/>
    <n v="0.13"/>
    <n v="2.5000000000000001E-2"/>
    <n v="0.53"/>
    <n v="0.11"/>
    <n v="1.4999999999999999E-2"/>
    <n v="0.81"/>
    <x v="2"/>
    <x v="12"/>
    <n v="50150"/>
    <n v="56050"/>
    <n v="5900"/>
    <n v="4779"/>
    <n v="54929"/>
    <n v="18126.57"/>
    <n v="59429"/>
    <n v="62429"/>
    <n v="11205516"/>
    <n v="12123516"/>
    <n v="12735516"/>
    <n v="0"/>
    <n v="952468.8600000001"/>
    <n v="2"/>
    <n v="236000"/>
    <n v="236000"/>
    <n v="11441516"/>
    <n v="12359516"/>
    <n v="12971516"/>
    <d v="2026-07-01T00:00:00"/>
    <d v="2025-04-01T00:00:00"/>
  </r>
  <r>
    <m/>
    <s v="B"/>
    <s v="B8"/>
    <s v="RESIDENTIAL"/>
    <n v="2"/>
    <n v="4"/>
    <x v="323"/>
    <s v="3 BEDROOM"/>
    <s v="C2"/>
    <n v="141.18700000000001"/>
    <n v="156.44798678879354"/>
    <x v="23"/>
    <m/>
    <m/>
    <s v="SE"/>
    <s v="MIDDLE"/>
    <s v="ROAD 18M (VILLAS)"/>
    <s v="SECOND"/>
    <x v="4"/>
    <n v="0.08"/>
    <n v="2.5000000000000001E-2"/>
    <n v="0.16"/>
    <n v="0.11"/>
    <n v="2.5000000000000001E-2"/>
    <n v="0.4"/>
    <x v="0"/>
    <x v="5"/>
    <n v="46750.000000000007"/>
    <n v="52250.000000000007"/>
    <n v="5500"/>
    <n v="2200"/>
    <n v="48950.000000000007"/>
    <n v="16153.500000000004"/>
    <n v="53450.000000000007"/>
    <n v="56450.000000000007"/>
    <n v="8419400.0000000019"/>
    <n v="9193400.0000000019"/>
    <n v="9709400.0000000019"/>
    <n v="0"/>
    <n v="715649.00000000023"/>
    <n v="2"/>
    <n v="220000.00000000003"/>
    <n v="220000.00000000003"/>
    <n v="8639400.0000000019"/>
    <n v="9413400.0000000019"/>
    <n v="9929400.0000000019"/>
    <d v="2026-07-01T00:00:00"/>
    <d v="2024-10-01T00:00:00"/>
  </r>
  <r>
    <m/>
    <s v="B"/>
    <s v="B8"/>
    <s v="RESIDENTIAL"/>
    <n v="3"/>
    <n v="1"/>
    <x v="324"/>
    <s v="3 BEDROOM"/>
    <s v="C2"/>
    <n v="143.89599999999999"/>
    <n v="159.44980420973766"/>
    <x v="20"/>
    <m/>
    <m/>
    <s v="SE"/>
    <s v="CORNER "/>
    <s v="ROAD 18M (VILLAS)"/>
    <s v="THIRD"/>
    <x v="4"/>
    <n v="0.08"/>
    <n v="0.05"/>
    <n v="0.16"/>
    <n v="0.15"/>
    <n v="2.5000000000000001E-2"/>
    <n v="0.46500000000000008"/>
    <x v="0"/>
    <x v="9"/>
    <n v="58649.999999999993"/>
    <n v="65550"/>
    <n v="6900.0000000000073"/>
    <n v="3208.5000000000041"/>
    <n v="61858.5"/>
    <n v="20413.305"/>
    <n v="66358.5"/>
    <n v="69358.5"/>
    <n v="10887096"/>
    <n v="11679096"/>
    <n v="12207096"/>
    <n v="0"/>
    <n v="925403.16"/>
    <n v="2"/>
    <n v="276000"/>
    <n v="276000"/>
    <n v="11163096"/>
    <n v="11955096"/>
    <n v="12483096"/>
    <d v="2026-07-01T00:00:00"/>
    <d v="2026-04-01T00:00:00"/>
  </r>
  <r>
    <m/>
    <s v="B"/>
    <s v="B8"/>
    <s v="RESIDENTIAL"/>
    <n v="3"/>
    <n v="2"/>
    <x v="325"/>
    <s v="3 BEDROOM + LIVING"/>
    <s v="C2"/>
    <n v="187.20400000000001"/>
    <n v="207.4389916834362"/>
    <x v="25"/>
    <m/>
    <m/>
    <s v="NW"/>
    <s v="CORNER "/>
    <s v="LAKE B-2"/>
    <s v="THIRD"/>
    <x v="3"/>
    <n v="0.13"/>
    <n v="0.05"/>
    <n v="0.53"/>
    <n v="0.15"/>
    <n v="1.4999999999999999E-2"/>
    <n v="0.875"/>
    <x v="2"/>
    <x v="10"/>
    <n v="53550"/>
    <n v="59850"/>
    <n v="6300"/>
    <n v="5512.5"/>
    <n v="59062.5"/>
    <n v="19490.625"/>
    <n v="63562.5"/>
    <n v="66562.5"/>
    <n v="13466250"/>
    <n v="14492250"/>
    <n v="15176250"/>
    <n v="0"/>
    <n v="1144631.25"/>
    <n v="2"/>
    <n v="252000"/>
    <n v="252000"/>
    <n v="13718250"/>
    <n v="14744250"/>
    <n v="15428250"/>
    <d v="2026-07-01T00:00:00"/>
    <d v="2025-10-01T00:00:00"/>
  </r>
  <r>
    <m/>
    <s v="B"/>
    <s v="B8"/>
    <s v="RESIDENTIAL"/>
    <n v="3"/>
    <n v="3"/>
    <x v="326"/>
    <s v="3 BEDROOM"/>
    <s v="C2"/>
    <n v="164.417"/>
    <n v="182.18893130283288"/>
    <x v="44"/>
    <m/>
    <m/>
    <s v="NW"/>
    <s v="MIDDLE"/>
    <s v="LAKE B-2"/>
    <s v="THIRD"/>
    <x v="3"/>
    <n v="0.13"/>
    <n v="2.5000000000000001E-2"/>
    <n v="0.53"/>
    <n v="0.15"/>
    <n v="1.4999999999999999E-2"/>
    <n v="0.85000000000000009"/>
    <x v="2"/>
    <x v="4"/>
    <n v="51850"/>
    <n v="57950"/>
    <n v="6100"/>
    <n v="5185.0000000000009"/>
    <n v="57035"/>
    <n v="18821.55"/>
    <n v="61535"/>
    <n v="64535"/>
    <n v="11464035"/>
    <n v="12368535"/>
    <n v="12971535"/>
    <n v="0"/>
    <n v="974442.97500000009"/>
    <n v="2"/>
    <n v="244000"/>
    <n v="244000"/>
    <n v="11708035"/>
    <n v="12612535"/>
    <n v="13215535"/>
    <d v="2026-07-01T00:00:00"/>
    <d v="2025-07-01T00:00:00"/>
  </r>
  <r>
    <m/>
    <s v="B"/>
    <s v="B8"/>
    <s v="RESIDENTIAL"/>
    <n v="3"/>
    <n v="4"/>
    <x v="327"/>
    <s v="3 BEDROOM"/>
    <s v="C2"/>
    <n v="141.07300000000001"/>
    <n v="156.32166446100189"/>
    <x v="23"/>
    <m/>
    <m/>
    <s v="SE"/>
    <s v="MIDDLE"/>
    <s v="ROAD 18M (VILLAS)"/>
    <s v="THIRD"/>
    <x v="4"/>
    <n v="0.08"/>
    <n v="2.5000000000000001E-2"/>
    <n v="0.16"/>
    <n v="0.15"/>
    <n v="2.5000000000000001E-2"/>
    <n v="0.44000000000000006"/>
    <x v="0"/>
    <x v="10"/>
    <n v="53550"/>
    <n v="59850"/>
    <n v="6300"/>
    <n v="2772.0000000000005"/>
    <n v="56322"/>
    <n v="18586.260000000002"/>
    <n v="60822"/>
    <n v="63822"/>
    <n v="9687384"/>
    <n v="10461384"/>
    <n v="10977384"/>
    <n v="0"/>
    <n v="823427.64"/>
    <n v="2"/>
    <n v="252000"/>
    <n v="252000"/>
    <n v="9939384"/>
    <n v="10713384"/>
    <n v="11229384"/>
    <d v="2026-07-01T00:00:00"/>
    <d v="2025-10-01T00:00:00"/>
  </r>
  <r>
    <m/>
    <s v="B"/>
    <s v="B8"/>
    <s v="RESIDENTIAL"/>
    <n v="4"/>
    <n v="1"/>
    <x v="328"/>
    <s v="3 BEDROOM"/>
    <s v="C2"/>
    <n v="141.929"/>
    <n v="157.27019001003407"/>
    <x v="22"/>
    <m/>
    <m/>
    <s v="SE"/>
    <s v="CORNER "/>
    <s v="ROAD 18M (VILLAS)"/>
    <s v="FORTH"/>
    <x v="4"/>
    <n v="0.08"/>
    <n v="0.05"/>
    <n v="0.16"/>
    <n v="0.06"/>
    <n v="2.5000000000000001E-2"/>
    <n v="0.37500000000000006"/>
    <x v="0"/>
    <x v="6"/>
    <n v="44625"/>
    <n v="49875"/>
    <n v="5250"/>
    <n v="1968.7500000000002"/>
    <n v="46593.75"/>
    <n v="15375.9375"/>
    <n v="51093.75"/>
    <n v="54093.75"/>
    <n v="8060718.75"/>
    <n v="8839218.75"/>
    <n v="9358218.75"/>
    <n v="0"/>
    <n v="685161.09375"/>
    <n v="2"/>
    <n v="210000"/>
    <n v="210000"/>
    <n v="8270718.75"/>
    <n v="9049218.75"/>
    <n v="9568218.75"/>
    <d v="2026-07-01T00:00:00"/>
    <d v="2024-04-01T00:00:00"/>
  </r>
  <r>
    <m/>
    <s v="B"/>
    <s v="B8"/>
    <s v="RESIDENTIAL"/>
    <n v="4"/>
    <n v="2"/>
    <x v="329"/>
    <s v="3 BEDROOM + LIVING"/>
    <s v="C2"/>
    <n v="182.36099999999999"/>
    <n v="202.07250893347955"/>
    <x v="45"/>
    <m/>
    <m/>
    <s v="NW"/>
    <s v="CORNER "/>
    <s v="LAKE B-2"/>
    <s v="FORTH"/>
    <x v="3"/>
    <n v="0.13"/>
    <n v="0.05"/>
    <n v="0.53"/>
    <n v="0.06"/>
    <n v="1.4999999999999999E-2"/>
    <n v="0.78500000000000003"/>
    <x v="2"/>
    <x v="2"/>
    <n v="45687.5"/>
    <n v="51062.5"/>
    <n v="5375"/>
    <n v="4219.375"/>
    <n v="49906.875"/>
    <n v="16469.268749999999"/>
    <n v="54406.875"/>
    <n v="57406.875"/>
    <n v="11079326.25"/>
    <n v="12078326.25"/>
    <n v="12744326.25"/>
    <n v="0"/>
    <n v="941742.73125000007"/>
    <n v="2"/>
    <n v="215000"/>
    <n v="215000"/>
    <n v="11294326.25"/>
    <n v="12293326.25"/>
    <n v="12959326.25"/>
    <d v="2026-07-01T00:00:00"/>
    <d v="2024-07-01T00:00:00"/>
  </r>
  <r>
    <m/>
    <s v="B"/>
    <s v="B8"/>
    <s v="RESIDENTIAL"/>
    <n v="4"/>
    <n v="3"/>
    <x v="330"/>
    <s v="3 BEDROOM"/>
    <s v="C2"/>
    <n v="162.44399999999999"/>
    <n v="180.00266855956127"/>
    <x v="42"/>
    <m/>
    <m/>
    <s v="NW"/>
    <s v="MIDDLE"/>
    <s v="LAKE B-2"/>
    <s v="FORTH"/>
    <x v="3"/>
    <n v="0.13"/>
    <n v="2.5000000000000001E-2"/>
    <n v="0.53"/>
    <n v="0.06"/>
    <n v="1.4999999999999999E-2"/>
    <n v="0.76000000000000012"/>
    <x v="2"/>
    <x v="0"/>
    <n v="43562.499999999993"/>
    <n v="48687.499999999993"/>
    <n v="5125"/>
    <n v="3895.0000000000005"/>
    <n v="47457.499999999993"/>
    <n v="15660.974999999999"/>
    <n v="51957.499999999993"/>
    <n v="54957.499999999993"/>
    <n v="9396584.9999999981"/>
    <n v="10287584.999999998"/>
    <n v="10881584.999999998"/>
    <n v="0"/>
    <n v="798709.72499999986"/>
    <n v="2"/>
    <n v="204999.99999999997"/>
    <n v="204999.99999999997"/>
    <n v="9601584.9999999981"/>
    <n v="10492584.999999998"/>
    <n v="11086584.999999998"/>
    <d v="2026-07-01T00:00:00"/>
    <d v="2024-01-01T00:00:00"/>
  </r>
  <r>
    <m/>
    <s v="B"/>
    <s v="B8"/>
    <s v="RESIDENTIAL"/>
    <n v="4"/>
    <n v="4"/>
    <x v="331"/>
    <s v="3 BEDROOM"/>
    <s v="C2"/>
    <n v="139.12700000000001"/>
    <n v="154.16532016378619"/>
    <x v="28"/>
    <m/>
    <m/>
    <s v="SE"/>
    <s v="MIDDLE"/>
    <s v="ROAD 18M (VILLAS)"/>
    <s v="FORTH"/>
    <x v="4"/>
    <n v="0.08"/>
    <n v="2.5000000000000001E-2"/>
    <n v="0.16"/>
    <n v="0.06"/>
    <n v="2.5000000000000001E-2"/>
    <n v="0.35000000000000003"/>
    <x v="0"/>
    <x v="3"/>
    <n v="42500"/>
    <n v="47500"/>
    <n v="5000"/>
    <n v="1750.0000000000002"/>
    <n v="44250"/>
    <n v="14602.5"/>
    <n v="48750"/>
    <n v="51750"/>
    <n v="7522500"/>
    <n v="8287500"/>
    <n v="8797500"/>
    <n v="0"/>
    <n v="639412.5"/>
    <n v="2"/>
    <n v="200000"/>
    <n v="200000"/>
    <n v="7722500"/>
    <n v="8487500"/>
    <n v="8997500"/>
    <d v="2026-07-01T00:00:00"/>
    <d v="2023-09-01T00:00:00"/>
  </r>
  <r>
    <s v="B3"/>
    <s v="B"/>
    <s v="B9"/>
    <s v="RESIDENTIAL"/>
    <n v="0"/>
    <n v="1"/>
    <x v="332"/>
    <s v="2 BEDROOM"/>
    <s v="C2"/>
    <n v="95.254000000000005"/>
    <n v="105.53950812408786"/>
    <x v="17"/>
    <n v="42.259599999999999"/>
    <m/>
    <s v="NE"/>
    <s v="MIDDLE"/>
    <s v="SEMI LAKE D"/>
    <s v="GROUND"/>
    <x v="1"/>
    <n v="0.15"/>
    <n v="2.5000000000000001E-2"/>
    <n v="0.32250000000000001"/>
    <n v="0.05"/>
    <n v="0.04"/>
    <n v="0.58750000000000002"/>
    <x v="1"/>
    <x v="0"/>
    <n v="43562.499999999993"/>
    <n v="48687.499999999993"/>
    <n v="5125"/>
    <n v="3010.9375"/>
    <n v="46573.437499999993"/>
    <n v="15369.234374999998"/>
    <n v="51073.437499999993"/>
    <n v="54073.437499999993"/>
    <n v="5402518.7499999991"/>
    <n v="5924518.7499999991"/>
    <n v="6272518.7499999991"/>
    <n v="649497.69699374994"/>
    <n v="514421.39799446869"/>
    <n v="1"/>
    <n v="204999.99999999997"/>
    <n v="204999.99999999997"/>
    <n v="6257016.4469937487"/>
    <n v="6779016.4469937487"/>
    <n v="7127016.4469937487"/>
    <d v="2026-07-01T00:00:00"/>
    <d v="2024-01-01T00:00:00"/>
  </r>
  <r>
    <m/>
    <s v="B"/>
    <s v="B9"/>
    <s v="RESIDENTIAL"/>
    <n v="0"/>
    <n v="2"/>
    <x v="333"/>
    <s v="3 BEDROOM"/>
    <s v="C2"/>
    <n v="162.82599999999999"/>
    <n v="180.40791935050211"/>
    <x v="18"/>
    <n v="77.610299999999995"/>
    <m/>
    <s v="SW"/>
    <s v="MIDDLE"/>
    <s v="LAKE B-2"/>
    <s v="GROUND"/>
    <x v="3"/>
    <n v="0.06"/>
    <n v="2.5000000000000001E-2"/>
    <n v="0.53"/>
    <n v="0.05"/>
    <n v="1.4999999999999999E-2"/>
    <n v="0.68"/>
    <x v="1"/>
    <x v="12"/>
    <n v="50150"/>
    <n v="56050"/>
    <n v="5900"/>
    <n v="4012.0000000000005"/>
    <n v="54162"/>
    <n v="17873.46"/>
    <n v="58662"/>
    <n v="61662"/>
    <n v="10778238"/>
    <n v="11673738"/>
    <n v="12270738"/>
    <n v="1387164.5926379999"/>
    <n v="1034059.2203742302"/>
    <n v="2"/>
    <n v="236000"/>
    <n v="236000"/>
    <n v="12401402.592638001"/>
    <n v="13296902.592638001"/>
    <n v="13893902.592638001"/>
    <d v="2026-07-01T00:00:00"/>
    <d v="2025-04-01T00:00:00"/>
  </r>
  <r>
    <m/>
    <s v="B"/>
    <s v="B9"/>
    <s v="RESIDENTIAL"/>
    <n v="0"/>
    <n v="3"/>
    <x v="334"/>
    <s v="3 BEDROOM + LIVING"/>
    <s v="C2"/>
    <n v="183.887"/>
    <n v="203.74308197465874"/>
    <x v="19"/>
    <n v="61.527700000000003"/>
    <m/>
    <s v="SW"/>
    <s v="CORNER "/>
    <s v="LAKE B-2"/>
    <s v="GROUND"/>
    <x v="3"/>
    <n v="0.06"/>
    <n v="0.05"/>
    <n v="0.53"/>
    <n v="0.05"/>
    <n v="1.4999999999999999E-2"/>
    <n v="0.70500000000000007"/>
    <x v="1"/>
    <x v="8"/>
    <n v="56100"/>
    <n v="62700"/>
    <n v="6600"/>
    <n v="4653.0000000000009"/>
    <n v="60753"/>
    <n v="20048.490000000002"/>
    <n v="65253"/>
    <n v="68253"/>
    <n v="13608672"/>
    <n v="14616672"/>
    <n v="15288672"/>
    <n v="1233537.4781730003"/>
    <n v="1261587.8056447052"/>
    <n v="2"/>
    <n v="264000"/>
    <n v="264000"/>
    <n v="15106209.478173001"/>
    <n v="16114209.478173001"/>
    <n v="16786209.478172999"/>
    <d v="2026-07-01T00:00:00"/>
    <d v="2026-01-01T00:00:00"/>
  </r>
  <r>
    <m/>
    <s v="B"/>
    <s v="B9"/>
    <s v="RESIDENTIAL"/>
    <n v="0"/>
    <n v="4"/>
    <x v="335"/>
    <s v="3 BEDROOM"/>
    <s v="C2"/>
    <n v="147.54499999999999"/>
    <n v="163.47687998581205"/>
    <x v="41"/>
    <n v="51.884399999999999"/>
    <m/>
    <s v="NE"/>
    <s v="CORNER "/>
    <s v="LAKE D"/>
    <s v="GROUND"/>
    <x v="4"/>
    <n v="0.15"/>
    <n v="0.05"/>
    <n v="0.43"/>
    <n v="0.05"/>
    <n v="2.5000000000000001E-2"/>
    <n v="0.70500000000000007"/>
    <x v="1"/>
    <x v="8"/>
    <n v="56100"/>
    <n v="62700"/>
    <n v="6600"/>
    <n v="4653.0000000000009"/>
    <n v="60753"/>
    <n v="20048.490000000002"/>
    <n v="65253"/>
    <n v="68253"/>
    <n v="10935540"/>
    <n v="11745540"/>
    <n v="12285540"/>
    <n v="1040203.8745560001"/>
    <n v="1017938.22933726"/>
    <n v="2"/>
    <n v="264000"/>
    <n v="264000"/>
    <n v="12239743.874555999"/>
    <n v="13049743.874555999"/>
    <n v="13589743.874555999"/>
    <d v="2026-07-01T00:00:00"/>
    <d v="2026-01-01T00:00:00"/>
  </r>
  <r>
    <m/>
    <s v="B"/>
    <s v="B9"/>
    <s v="RESIDENTIAL"/>
    <n v="1"/>
    <n v="1"/>
    <x v="336"/>
    <s v="2 BEDROOM"/>
    <s v="C2"/>
    <n v="96.311000000000007"/>
    <n v="106.71064277551626"/>
    <x v="21"/>
    <m/>
    <m/>
    <s v="NE"/>
    <s v="MIDDLE"/>
    <s v="SEMI LAKE D"/>
    <s v="FIRST"/>
    <x v="1"/>
    <n v="0.15"/>
    <n v="2.5000000000000001E-2"/>
    <n v="0.32250000000000001"/>
    <n v="7.0000000000000007E-2"/>
    <n v="0.04"/>
    <n v="0.60750000000000004"/>
    <x v="1"/>
    <x v="0"/>
    <n v="43562.499999999993"/>
    <n v="48687.499999999993"/>
    <n v="5125"/>
    <n v="3113.4375"/>
    <n v="46675.937499999993"/>
    <n v="15403.059374999999"/>
    <n v="51175.937499999993"/>
    <n v="54175.937499999993"/>
    <n v="5461084.6874999991"/>
    <n v="5987584.6874999991"/>
    <n v="6338584.6874999991"/>
    <n v="0"/>
    <n v="464192.19843749993"/>
    <n v="1"/>
    <n v="204999.99999999997"/>
    <n v="204999.99999999997"/>
    <n v="5666084.6874999991"/>
    <n v="6192584.6874999991"/>
    <n v="6543584.6874999991"/>
    <d v="2026-07-01T00:00:00"/>
    <d v="2024-01-01T00:00:00"/>
  </r>
  <r>
    <m/>
    <s v="B"/>
    <s v="B9"/>
    <s v="RESIDENTIAL"/>
    <n v="1"/>
    <n v="2"/>
    <x v="337"/>
    <s v="3 BEDROOM"/>
    <s v="C2"/>
    <n v="162.57599999999999"/>
    <n v="180.13092439983313"/>
    <x v="42"/>
    <m/>
    <m/>
    <s v="SW"/>
    <s v="MIDDLE"/>
    <s v="LAKE B-2"/>
    <s v="FIRST"/>
    <x v="3"/>
    <n v="0.06"/>
    <n v="2.5000000000000001E-2"/>
    <n v="0.53"/>
    <n v="7.0000000000000007E-2"/>
    <n v="1.4999999999999999E-2"/>
    <n v="0.70000000000000007"/>
    <x v="1"/>
    <x v="10"/>
    <n v="53550"/>
    <n v="59850"/>
    <n v="6300"/>
    <n v="4410"/>
    <n v="57960"/>
    <n v="19126.8"/>
    <n v="62460"/>
    <n v="65460"/>
    <n v="11476080"/>
    <n v="12367080"/>
    <n v="12961080"/>
    <n v="0"/>
    <n v="975466.8"/>
    <n v="2"/>
    <n v="252000"/>
    <n v="252000"/>
    <n v="11728080"/>
    <n v="12619080"/>
    <n v="13213080"/>
    <d v="2026-07-01T00:00:00"/>
    <d v="2025-10-01T00:00:00"/>
  </r>
  <r>
    <m/>
    <s v="B"/>
    <s v="B9"/>
    <s v="RESIDENTIAL"/>
    <n v="1"/>
    <n v="3"/>
    <x v="338"/>
    <s v="3 BEDROOM + LIVING"/>
    <s v="C2"/>
    <n v="183.637"/>
    <n v="203.46608702398976"/>
    <x v="19"/>
    <m/>
    <m/>
    <s v="SW"/>
    <s v="CORNER "/>
    <s v="LAKE B-2"/>
    <s v="FIRST"/>
    <x v="3"/>
    <n v="0.06"/>
    <n v="0.05"/>
    <n v="0.53"/>
    <n v="7.0000000000000007E-2"/>
    <n v="1.4999999999999999E-2"/>
    <n v="0.72499999999999998"/>
    <x v="1"/>
    <x v="7"/>
    <n v="61625"/>
    <n v="68875"/>
    <n v="7250"/>
    <n v="5256.25"/>
    <n v="66881.25"/>
    <n v="22070.8125"/>
    <n v="71381.25"/>
    <n v="74381.25"/>
    <n v="14981400"/>
    <n v="15989400"/>
    <n v="16661400"/>
    <n v="0"/>
    <n v="1273419"/>
    <n v="2"/>
    <n v="290000"/>
    <n v="290000"/>
    <n v="15271400"/>
    <n v="16279400"/>
    <n v="16951400"/>
    <d v="2026-07-01T00:00:00"/>
    <d v="2026-07-01T00:00:00"/>
  </r>
  <r>
    <m/>
    <s v="B"/>
    <s v="B9"/>
    <s v="RESIDENTIAL"/>
    <n v="1"/>
    <n v="4"/>
    <x v="339"/>
    <s v="3 BEDROOM"/>
    <s v="C2"/>
    <n v="141.66300000000001"/>
    <n v="156.95974278647259"/>
    <x v="22"/>
    <m/>
    <m/>
    <s v="NE"/>
    <s v="CORNER "/>
    <s v="LAKE D"/>
    <s v="FIRST"/>
    <x v="4"/>
    <n v="0.15"/>
    <n v="0.05"/>
    <n v="0.43"/>
    <n v="7.0000000000000007E-2"/>
    <n v="2.5000000000000001E-2"/>
    <n v="0.72499999999999998"/>
    <x v="1"/>
    <x v="7"/>
    <n v="61625"/>
    <n v="68875"/>
    <n v="7250"/>
    <n v="5256.25"/>
    <n v="66881.25"/>
    <n v="22070.8125"/>
    <n v="71381.25"/>
    <n v="74381.25"/>
    <n v="11570456.25"/>
    <n v="12348956.25"/>
    <n v="12867956.25"/>
    <n v="0"/>
    <n v="983488.78125000012"/>
    <n v="2"/>
    <n v="290000"/>
    <n v="290000"/>
    <n v="11860456.25"/>
    <n v="12638956.25"/>
    <n v="13157956.25"/>
    <d v="2026-07-01T00:00:00"/>
    <d v="2026-07-01T00:00:00"/>
  </r>
  <r>
    <m/>
    <s v="B"/>
    <s v="B9"/>
    <s v="RESIDENTIAL"/>
    <n v="2"/>
    <n v="1"/>
    <x v="340"/>
    <s v="3 BEDROOM"/>
    <s v="C2"/>
    <n v="141.22499999999999"/>
    <n v="156.47444763290054"/>
    <x v="23"/>
    <m/>
    <m/>
    <s v="NE"/>
    <s v="MIDDLE"/>
    <s v="SEMI LAKE D"/>
    <s v="SECOND"/>
    <x v="4"/>
    <n v="0.15"/>
    <n v="2.5000000000000001E-2"/>
    <n v="0.32250000000000001"/>
    <n v="0.11"/>
    <n v="2.5000000000000001E-2"/>
    <n v="0.63250000000000006"/>
    <x v="1"/>
    <x v="2"/>
    <n v="45687.5"/>
    <n v="51062.5"/>
    <n v="5375"/>
    <n v="3399.6875000000005"/>
    <n v="49087.1875"/>
    <n v="16198.771875"/>
    <n v="53587.1875"/>
    <n v="56587.1875"/>
    <n v="8442996.25"/>
    <n v="9216996.25"/>
    <n v="9732996.25"/>
    <n v="0"/>
    <n v="717654.68125000002"/>
    <n v="2"/>
    <n v="215000"/>
    <n v="215000"/>
    <n v="8657996.25"/>
    <n v="9431996.25"/>
    <n v="9947996.25"/>
    <d v="2026-07-01T00:00:00"/>
    <d v="2024-07-01T00:00:00"/>
  </r>
  <r>
    <m/>
    <s v="B"/>
    <s v="B9"/>
    <s v="RESIDENTIAL"/>
    <n v="2"/>
    <n v="2"/>
    <x v="341"/>
    <s v="3 BEDROOM"/>
    <s v="C2"/>
    <n v="167.214"/>
    <n v="185.26973472464385"/>
    <x v="43"/>
    <m/>
    <m/>
    <s v="SW"/>
    <s v="MIDDLE"/>
    <s v="LAKE B-2"/>
    <s v="SECOND"/>
    <x v="3"/>
    <n v="0.06"/>
    <n v="2.5000000000000001E-2"/>
    <n v="0.53"/>
    <n v="0.11"/>
    <n v="1.4999999999999999E-2"/>
    <n v="0.74"/>
    <x v="2"/>
    <x v="3"/>
    <n v="42500"/>
    <n v="47500"/>
    <n v="5000"/>
    <n v="3700"/>
    <n v="46200"/>
    <n v="15246"/>
    <n v="50700"/>
    <n v="53700"/>
    <n v="9424800"/>
    <n v="10342800"/>
    <n v="10954800"/>
    <n v="0"/>
    <n v="801108"/>
    <n v="2"/>
    <n v="200000"/>
    <n v="200000"/>
    <n v="9624800"/>
    <n v="10542800"/>
    <n v="11154800"/>
    <d v="2026-07-01T00:00:00"/>
    <d v="2023-09-01T00:00:00"/>
  </r>
  <r>
    <m/>
    <s v="B"/>
    <s v="B9"/>
    <s v="RESIDENTIAL"/>
    <n v="2"/>
    <n v="3"/>
    <x v="342"/>
    <s v="3 BEDROOM + LIVING"/>
    <s v="C2"/>
    <n v="187.10300000000001"/>
    <n v="207.30634502006436"/>
    <x v="25"/>
    <m/>
    <m/>
    <s v="SW"/>
    <s v="CORNER "/>
    <s v="LAKE B-2"/>
    <s v="SECOND"/>
    <x v="3"/>
    <n v="0.06"/>
    <n v="0.05"/>
    <n v="0.53"/>
    <n v="0.11"/>
    <n v="1.4999999999999999E-2"/>
    <n v="0.76500000000000001"/>
    <x v="2"/>
    <x v="6"/>
    <n v="44625"/>
    <n v="49875"/>
    <n v="5250"/>
    <n v="4016.25"/>
    <n v="48641.25"/>
    <n v="16051.612500000001"/>
    <n v="53141.25"/>
    <n v="56141.25"/>
    <n v="11090205"/>
    <n v="12116205"/>
    <n v="12800205"/>
    <n v="0"/>
    <n v="942667.42500000005"/>
    <n v="2"/>
    <n v="210000"/>
    <n v="210000"/>
    <n v="11300205"/>
    <n v="12326205"/>
    <n v="13010205"/>
    <d v="2026-07-01T00:00:00"/>
    <d v="2024-04-01T00:00:00"/>
  </r>
  <r>
    <m/>
    <s v="B"/>
    <s v="B9"/>
    <s v="RESIDENTIAL"/>
    <n v="2"/>
    <n v="4"/>
    <x v="343"/>
    <s v="3 BEDROOM"/>
    <s v="C2"/>
    <n v="143.989"/>
    <n v="159.53690380749666"/>
    <x v="20"/>
    <m/>
    <m/>
    <s v="NE"/>
    <s v="CORNER "/>
    <s v="LAKE D"/>
    <s v="SECOND"/>
    <x v="4"/>
    <n v="0.15"/>
    <n v="0.05"/>
    <n v="0.43"/>
    <n v="0.11"/>
    <n v="2.5000000000000001E-2"/>
    <n v="0.76500000000000001"/>
    <x v="2"/>
    <x v="6"/>
    <n v="44625"/>
    <n v="49875"/>
    <n v="5250"/>
    <n v="4016.25"/>
    <n v="48641.25"/>
    <n v="16051.612500000001"/>
    <n v="53141.25"/>
    <n v="56141.25"/>
    <n v="8560860"/>
    <n v="9352860"/>
    <n v="9880860"/>
    <n v="0"/>
    <n v="727673.10000000009"/>
    <n v="2"/>
    <n v="210000"/>
    <n v="210000"/>
    <n v="8770860"/>
    <n v="9562860"/>
    <n v="10090860"/>
    <d v="2026-07-01T00:00:00"/>
    <d v="2024-04-01T00:00:00"/>
  </r>
  <r>
    <m/>
    <s v="B"/>
    <s v="B9"/>
    <s v="RESIDENTIAL"/>
    <n v="3"/>
    <n v="1"/>
    <x v="344"/>
    <s v="3 BEDROOM"/>
    <s v="C2"/>
    <n v="141.131"/>
    <n v="156.37029753144901"/>
    <x v="23"/>
    <m/>
    <m/>
    <s v="NE"/>
    <s v="MIDDLE"/>
    <s v="SEMI LAKE D"/>
    <s v="THIRD"/>
    <x v="4"/>
    <n v="0.15"/>
    <n v="2.5000000000000001E-2"/>
    <n v="0.32250000000000001"/>
    <n v="0.15"/>
    <n v="2.5000000000000001E-2"/>
    <n v="0.67249999999999999"/>
    <x v="1"/>
    <x v="1"/>
    <n v="48450.000000000007"/>
    <n v="54150.000000000007"/>
    <n v="5700"/>
    <n v="3833.25"/>
    <n v="52283.250000000007"/>
    <n v="17253.472500000003"/>
    <n v="56783.250000000007"/>
    <n v="59783.250000000007"/>
    <n v="8992719.0000000019"/>
    <n v="9766719.0000000019"/>
    <n v="10282719.000000002"/>
    <n v="0"/>
    <n v="764381.11500000022"/>
    <n v="2"/>
    <n v="228000.00000000003"/>
    <n v="228000.00000000003"/>
    <n v="9220719.0000000019"/>
    <n v="9994719.0000000019"/>
    <n v="10510719.000000002"/>
    <d v="2026-07-01T00:00:00"/>
    <d v="2025-01-01T00:00:00"/>
  </r>
  <r>
    <m/>
    <s v="B"/>
    <s v="B9"/>
    <s v="RESIDENTIAL"/>
    <n v="3"/>
    <n v="2"/>
    <x v="345"/>
    <s v="3 BEDROOM"/>
    <s v="C2"/>
    <n v="164.43600000000001"/>
    <n v="182.19176683281029"/>
    <x v="44"/>
    <m/>
    <m/>
    <s v="SW"/>
    <s v="MIDDLE"/>
    <s v="LAKE B-2"/>
    <s v="THIRD"/>
    <x v="3"/>
    <n v="0.06"/>
    <n v="2.5000000000000001E-2"/>
    <n v="0.53"/>
    <n v="0.15"/>
    <n v="1.4999999999999999E-2"/>
    <n v="0.78"/>
    <x v="2"/>
    <x v="2"/>
    <n v="45687.5"/>
    <n v="51062.5"/>
    <n v="5375"/>
    <n v="4192.5"/>
    <n v="49880"/>
    <n v="16460.400000000001"/>
    <n v="54380"/>
    <n v="57380"/>
    <n v="10025880"/>
    <n v="10930380"/>
    <n v="11533380"/>
    <n v="0"/>
    <n v="852199.8"/>
    <n v="2"/>
    <n v="215000"/>
    <n v="215000"/>
    <n v="10240880"/>
    <n v="11145380"/>
    <n v="11748380"/>
    <d v="2026-07-01T00:00:00"/>
    <d v="2024-07-01T00:00:00"/>
  </r>
  <r>
    <m/>
    <s v="B"/>
    <s v="B9"/>
    <s v="RESIDENTIAL"/>
    <n v="3"/>
    <n v="3"/>
    <x v="346"/>
    <s v="3 BEDROOM + LIVING"/>
    <s v="C2"/>
    <n v="187.20400000000001"/>
    <n v="207.41825098013462"/>
    <x v="25"/>
    <m/>
    <m/>
    <s v="SW"/>
    <s v="CORNER "/>
    <s v="LAKE B-2"/>
    <s v="THIRD"/>
    <x v="3"/>
    <n v="0.06"/>
    <n v="0.05"/>
    <n v="0.53"/>
    <n v="0.15"/>
    <n v="1.4999999999999999E-2"/>
    <n v="0.80500000000000005"/>
    <x v="2"/>
    <x v="1"/>
    <n v="48450.000000000007"/>
    <n v="54150.000000000007"/>
    <n v="5700"/>
    <n v="4588.5"/>
    <n v="53038.500000000007"/>
    <n v="17502.705000000002"/>
    <n v="57538.500000000007"/>
    <n v="60538.500000000007"/>
    <n v="12092778.000000002"/>
    <n v="13118778.000000002"/>
    <n v="13802778.000000002"/>
    <n v="0"/>
    <n v="1027886.1300000002"/>
    <n v="2"/>
    <n v="228000.00000000003"/>
    <n v="228000.00000000003"/>
    <n v="12320778.000000002"/>
    <n v="13346778.000000002"/>
    <n v="14030778.000000002"/>
    <d v="2026-07-01T00:00:00"/>
    <d v="2025-01-01T00:00:00"/>
  </r>
  <r>
    <m/>
    <s v="B"/>
    <s v="B9"/>
    <s v="RESIDENTIAL"/>
    <n v="3"/>
    <n v="4"/>
    <x v="347"/>
    <s v="3 BEDROOM"/>
    <s v="C2"/>
    <n v="143.911"/>
    <n v="159.45048138288794"/>
    <x v="20"/>
    <m/>
    <m/>
    <s v="NE"/>
    <s v="CORNER "/>
    <s v="LAKE D"/>
    <s v="THIRD"/>
    <x v="4"/>
    <n v="0.15"/>
    <n v="0.05"/>
    <n v="0.43"/>
    <n v="0.15"/>
    <n v="2.5000000000000001E-2"/>
    <n v="0.80500000000000005"/>
    <x v="2"/>
    <x v="1"/>
    <n v="48450.000000000007"/>
    <n v="54150.000000000007"/>
    <n v="5700"/>
    <n v="4588.5"/>
    <n v="53038.500000000007"/>
    <n v="17502.705000000002"/>
    <n v="57538.500000000007"/>
    <n v="60538.500000000007"/>
    <n v="9334776.0000000019"/>
    <n v="10126776.000000002"/>
    <n v="10654776.000000002"/>
    <n v="0"/>
    <n v="793455.9600000002"/>
    <n v="2"/>
    <n v="228000.00000000003"/>
    <n v="228000.00000000003"/>
    <n v="9562776.0000000019"/>
    <n v="10354776.000000002"/>
    <n v="10882776.000000002"/>
    <d v="2026-07-01T00:00:00"/>
    <d v="2025-01-01T00:00:00"/>
  </r>
  <r>
    <m/>
    <s v="B"/>
    <s v="B9"/>
    <s v="RESIDENTIAL"/>
    <n v="4"/>
    <n v="1"/>
    <x v="348"/>
    <s v="3 BEDROOM"/>
    <s v="C2"/>
    <n v="139.16499999999999"/>
    <n v="154.19200923938823"/>
    <x v="28"/>
    <m/>
    <m/>
    <s v="NE"/>
    <s v="MIDDLE"/>
    <s v="SEMI LAKE D"/>
    <s v="FORTH"/>
    <x v="4"/>
    <n v="0.15"/>
    <n v="2.5000000000000001E-2"/>
    <n v="0.32250000000000001"/>
    <n v="0.06"/>
    <n v="2.5000000000000001E-2"/>
    <n v="0.58250000000000002"/>
    <x v="1"/>
    <x v="3"/>
    <n v="42500"/>
    <n v="47500"/>
    <n v="5000"/>
    <n v="2912.5"/>
    <n v="45412.5"/>
    <n v="14986.125"/>
    <n v="49912.5"/>
    <n v="52912.5"/>
    <n v="7720125"/>
    <n v="8485125"/>
    <n v="8995125"/>
    <n v="0"/>
    <n v="656210.625"/>
    <n v="2"/>
    <n v="200000"/>
    <n v="200000"/>
    <n v="7920125"/>
    <n v="8685125"/>
    <n v="9195125"/>
    <d v="2026-07-01T00:00:00"/>
    <d v="2023-09-01T00:00:00"/>
  </r>
  <r>
    <m/>
    <s v="B"/>
    <s v="B9"/>
    <s v="RESIDENTIAL"/>
    <n v="4"/>
    <n v="2"/>
    <x v="349"/>
    <s v="3 BEDROOM"/>
    <s v="C2"/>
    <n v="162.49"/>
    <n v="180.03563813680304"/>
    <x v="42"/>
    <m/>
    <m/>
    <s v="SW"/>
    <s v="MIDDLE"/>
    <s v="LAKE B-2"/>
    <s v="FORTH"/>
    <x v="3"/>
    <n v="0.06"/>
    <n v="2.5000000000000001E-2"/>
    <n v="0.53"/>
    <n v="0.06"/>
    <n v="1.4999999999999999E-2"/>
    <n v="0.69000000000000006"/>
    <x v="1"/>
    <x v="4"/>
    <n v="51850"/>
    <n v="57950"/>
    <n v="6100"/>
    <n v="4209"/>
    <n v="56059"/>
    <n v="18499.47"/>
    <n v="60559"/>
    <n v="63559"/>
    <n v="11099682"/>
    <n v="11990682"/>
    <n v="12584682"/>
    <n v="0"/>
    <n v="943472.97000000009"/>
    <n v="2"/>
    <n v="244000"/>
    <n v="244000"/>
    <n v="11343682"/>
    <n v="12234682"/>
    <n v="12828682"/>
    <d v="2026-07-01T00:00:00"/>
    <d v="2025-07-01T00:00:00"/>
  </r>
  <r>
    <m/>
    <s v="B"/>
    <s v="B9"/>
    <s v="RESIDENTIAL"/>
    <n v="4"/>
    <n v="3"/>
    <x v="350"/>
    <s v="3 BEDROOM + LIVING"/>
    <s v="C2"/>
    <n v="182.357"/>
    <n v="202.04787287656464"/>
    <x v="45"/>
    <m/>
    <m/>
    <s v="SW"/>
    <s v="CORNER "/>
    <s v="LAKE B-2"/>
    <s v="FORTH"/>
    <x v="3"/>
    <n v="0.06"/>
    <n v="0.05"/>
    <n v="0.53"/>
    <n v="0.06"/>
    <n v="1.4999999999999999E-2"/>
    <n v="0.71499999999999997"/>
    <x v="1"/>
    <x v="9"/>
    <n v="58649.999999999993"/>
    <n v="65550"/>
    <n v="6900.0000000000073"/>
    <n v="4933.5000000000045"/>
    <n v="63583.5"/>
    <n v="20982.555"/>
    <n v="68083.5"/>
    <n v="71083.5"/>
    <n v="14115537"/>
    <n v="15114537"/>
    <n v="15780537"/>
    <n v="0"/>
    <n v="1199820.645"/>
    <n v="2"/>
    <n v="276000"/>
    <n v="276000"/>
    <n v="14391537"/>
    <n v="15390537"/>
    <n v="16056537"/>
    <d v="2026-07-01T00:00:00"/>
    <d v="2026-04-01T00:00:00"/>
  </r>
  <r>
    <m/>
    <s v="B"/>
    <s v="B9"/>
    <s v="RESIDENTIAL"/>
    <n v="4"/>
    <n v="4"/>
    <x v="351"/>
    <s v="3 BEDROOM"/>
    <s v="C2"/>
    <n v="141.929"/>
    <n v="157.25446541398435"/>
    <x v="22"/>
    <m/>
    <m/>
    <s v="NE"/>
    <s v="CORNER "/>
    <s v="LAKE D"/>
    <s v="FORTH"/>
    <x v="4"/>
    <n v="0.15"/>
    <n v="0.05"/>
    <n v="0.43"/>
    <n v="0.06"/>
    <n v="2.5000000000000001E-2"/>
    <n v="0.71499999999999997"/>
    <x v="1"/>
    <x v="9"/>
    <n v="58649.999999999993"/>
    <n v="65550"/>
    <n v="6900.0000000000073"/>
    <n v="4933.5000000000045"/>
    <n v="63583.5"/>
    <n v="20982.555"/>
    <n v="68083.5"/>
    <n v="71083.5"/>
    <n v="10999945.5"/>
    <n v="11778445.5"/>
    <n v="12297445.5"/>
    <n v="0"/>
    <n v="934995.36750000005"/>
    <n v="2"/>
    <n v="276000"/>
    <n v="276000"/>
    <n v="11275945.5"/>
    <n v="12054445.5"/>
    <n v="12573445.5"/>
    <d v="2026-07-01T00:00:00"/>
    <d v="2026-04-01T00:00:00"/>
  </r>
  <r>
    <s v="B3"/>
    <s v="B"/>
    <s v="B10"/>
    <s v="RESIDENTIAL"/>
    <n v="0"/>
    <n v="1"/>
    <x v="352"/>
    <s v="3 BEDROOM"/>
    <s v="C2"/>
    <n v="141.82499999999999"/>
    <n v="159.04192828545919"/>
    <x v="22"/>
    <n v="49.875"/>
    <m/>
    <s v="NE"/>
    <s v="MIDDLE"/>
    <s v="ROAD 18M (BUILDINGS)"/>
    <s v="GROUND"/>
    <x v="4"/>
    <n v="0.15"/>
    <n v="2.5000000000000001E-2"/>
    <n v="0.15"/>
    <n v="0.05"/>
    <n v="2.5000000000000001E-2"/>
    <n v="0.39999999999999997"/>
    <x v="0"/>
    <x v="5"/>
    <n v="46750.000000000007"/>
    <n v="52250.000000000007"/>
    <n v="5500"/>
    <n v="2200"/>
    <n v="48950.000000000007"/>
    <n v="16153.500000000004"/>
    <n v="53450.000000000007"/>
    <n v="56450.000000000007"/>
    <n v="8468350.0000000019"/>
    <n v="9246850.0000000019"/>
    <n v="9765850.0000000019"/>
    <n v="805655.81250000023"/>
    <n v="788290.49406250019"/>
    <n v="2"/>
    <n v="220000.00000000003"/>
    <n v="220000.00000000003"/>
    <n v="9494005.8125000019"/>
    <n v="10272505.812500002"/>
    <n v="10791505.812500002"/>
    <d v="2026-07-01T00:00:00"/>
    <d v="2024-10-01T00:00:00"/>
  </r>
  <r>
    <m/>
    <s v="B"/>
    <s v="B10"/>
    <s v="RESIDENTIAL"/>
    <n v="0"/>
    <n v="2"/>
    <x v="353"/>
    <s v="3 BEDROOM + LIVING (DUPLEX)"/>
    <s v="C2"/>
    <n v="142.05600000000001"/>
    <n v="159.30097066468673"/>
    <x v="46"/>
    <n v="97.868200000000002"/>
    <m/>
    <s v="SW"/>
    <s v="MIDDLE"/>
    <s v="LAKE B-2"/>
    <s v="GROUND"/>
    <x v="5"/>
    <n v="0.06"/>
    <n v="2.5000000000000001E-2"/>
    <n v="0.53"/>
    <n v="0.05"/>
    <n v="0"/>
    <n v="0.66500000000000004"/>
    <x v="1"/>
    <x v="5"/>
    <n v="46750.000000000007"/>
    <n v="52250.000000000007"/>
    <n v="5500"/>
    <n v="3657.5"/>
    <n v="50407.500000000007"/>
    <n v="16634.475000000002"/>
    <n v="54907.500000000007"/>
    <n v="57907.500000000007"/>
    <n v="17340180.000000004"/>
    <n v="18888180.000000004"/>
    <n v="19920180.000000004"/>
    <n v="1627986.1261950003"/>
    <n v="1612294.1207265754"/>
    <n v="2"/>
    <n v="220000.00000000003"/>
    <n v="220000.00000000003"/>
    <n v="19188166.126195002"/>
    <n v="20736166.126195002"/>
    <n v="21768166.126195002"/>
    <d v="2026-07-01T00:00:00"/>
    <d v="2024-10-01T00:00:00"/>
  </r>
  <r>
    <m/>
    <s v="B"/>
    <s v="B10"/>
    <s v="RESIDENTIAL"/>
    <n v="0"/>
    <n v="3"/>
    <x v="354"/>
    <s v="3 BEDROOM + LIVING (DUPLEX)"/>
    <s v="C2"/>
    <n v="142.197"/>
    <n v="159.45908744161781"/>
    <x v="46"/>
    <n v="97.259299999999996"/>
    <m/>
    <s v="SW"/>
    <s v="MIDDLE"/>
    <s v="LAKE B-2"/>
    <s v="GROUND"/>
    <x v="5"/>
    <n v="0.06"/>
    <n v="2.5000000000000001E-2"/>
    <n v="0.53"/>
    <n v="0.05"/>
    <n v="0"/>
    <n v="0.66500000000000004"/>
    <x v="1"/>
    <x v="5"/>
    <n v="46750.000000000007"/>
    <n v="52250.000000000007"/>
    <n v="5500"/>
    <n v="3657.5"/>
    <n v="50407.500000000007"/>
    <n v="16634.475000000002"/>
    <n v="54907.500000000007"/>
    <n v="57907.500000000007"/>
    <n v="17340180.000000004"/>
    <n v="18888180.000000004"/>
    <n v="19920180.000000004"/>
    <n v="1617857.3943675002"/>
    <n v="1611433.178521238"/>
    <n v="2"/>
    <n v="220000.00000000003"/>
    <n v="220000.00000000003"/>
    <n v="19178037.394367505"/>
    <n v="20726037.394367505"/>
    <n v="21758037.394367505"/>
    <d v="2026-07-01T00:00:00"/>
    <d v="2024-10-01T00:00:00"/>
  </r>
  <r>
    <m/>
    <s v="B"/>
    <s v="B10"/>
    <s v="RESIDENTIAL"/>
    <n v="0"/>
    <n v="4"/>
    <x v="355"/>
    <s v="2 BEDROOM"/>
    <s v="C2"/>
    <n v="95.254000000000005"/>
    <n v="106.81741467938045"/>
    <x v="17"/>
    <n v="42.098799999999997"/>
    <m/>
    <s v="NE"/>
    <s v="MIDDLE"/>
    <s v="ROAD 18M (BUILDINGS)"/>
    <s v="GROUND"/>
    <x v="1"/>
    <n v="0.15"/>
    <n v="2.5000000000000001E-2"/>
    <n v="0.15"/>
    <n v="0.05"/>
    <n v="0.04"/>
    <n v="0.41499999999999992"/>
    <x v="0"/>
    <x v="1"/>
    <n v="48450.000000000007"/>
    <n v="54150.000000000007"/>
    <n v="5700"/>
    <n v="2365.4999999999995"/>
    <n v="50815.500000000007"/>
    <n v="16769.115000000002"/>
    <n v="55315.500000000007"/>
    <n v="58315.500000000007"/>
    <n v="5894598.0000000009"/>
    <n v="6416598.0000000009"/>
    <n v="6764598.0000000009"/>
    <n v="705959.61856199999"/>
    <n v="561047.39757777005"/>
    <n v="1"/>
    <n v="228000.00000000003"/>
    <n v="228000.00000000003"/>
    <n v="6828557.6185620008"/>
    <n v="7350557.6185620008"/>
    <n v="7698557.6185620008"/>
    <d v="2026-07-01T00:00:00"/>
    <d v="2025-01-01T00:00:00"/>
  </r>
  <r>
    <m/>
    <s v="B"/>
    <s v="B10"/>
    <s v="RESIDENTIAL"/>
    <n v="1"/>
    <n v="1"/>
    <x v="356"/>
    <s v="3 BEDROOM"/>
    <s v="C2"/>
    <n v="142.977"/>
    <n v="160.33377599485354"/>
    <x v="47"/>
    <m/>
    <m/>
    <s v="NE"/>
    <s v="MIDDLE"/>
    <s v="LAKE F"/>
    <s v="FIRST"/>
    <x v="4"/>
    <n v="0.15"/>
    <n v="2.5000000000000001E-2"/>
    <n v="0.3"/>
    <n v="7.0000000000000007E-2"/>
    <n v="2.5000000000000001E-2"/>
    <n v="0.56999999999999995"/>
    <x v="1"/>
    <x v="3"/>
    <n v="42500"/>
    <n v="47500"/>
    <n v="5000"/>
    <n v="2849.9999999999995"/>
    <n v="45350"/>
    <n v="14965.5"/>
    <n v="49850"/>
    <n v="52850"/>
    <n v="7890900"/>
    <n v="8673900"/>
    <n v="9195900"/>
    <n v="0"/>
    <n v="670726.5"/>
    <n v="2"/>
    <n v="200000"/>
    <n v="200000"/>
    <n v="8090900"/>
    <n v="8873900"/>
    <n v="9395900"/>
    <d v="2026-07-01T00:00:00"/>
    <d v="2023-09-01T00:00:00"/>
  </r>
  <r>
    <m/>
    <s v="B"/>
    <s v="B10"/>
    <s v="RESIDENTIAL"/>
    <n v="1"/>
    <n v="4"/>
    <x v="357"/>
    <s v="2 BEDROOM"/>
    <s v="C2"/>
    <n v="96.311000000000007"/>
    <n v="108.00272980857298"/>
    <x v="21"/>
    <m/>
    <m/>
    <s v="NE"/>
    <s v="MIDDLE"/>
    <s v="LAKE F"/>
    <s v="FIRST"/>
    <x v="1"/>
    <n v="0.15"/>
    <n v="2.5000000000000001E-2"/>
    <n v="0.3"/>
    <n v="7.0000000000000007E-2"/>
    <n v="0.04"/>
    <n v="0.58499999999999996"/>
    <x v="1"/>
    <x v="3"/>
    <n v="42500"/>
    <n v="47500"/>
    <n v="5000"/>
    <n v="2925"/>
    <n v="45425"/>
    <n v="14990.25"/>
    <n v="49925"/>
    <n v="52925"/>
    <n v="5314725"/>
    <n v="5841225"/>
    <n v="6192225"/>
    <n v="0"/>
    <n v="451751.62500000006"/>
    <n v="1"/>
    <n v="200000"/>
    <n v="200000"/>
    <n v="5514725"/>
    <n v="6041225"/>
    <n v="6392225"/>
    <d v="2026-07-01T00:00:00"/>
    <d v="2023-09-01T00:00:00"/>
  </r>
  <r>
    <m/>
    <s v="B"/>
    <s v="B10"/>
    <s v="RESIDENTIAL"/>
    <n v="2"/>
    <n v="1"/>
    <x v="358"/>
    <s v="3 BEDROOM"/>
    <s v="C2"/>
    <n v="141.18700000000001"/>
    <n v="158.32647790473564"/>
    <x v="23"/>
    <m/>
    <m/>
    <s v="NE"/>
    <s v="MIDDLE"/>
    <s v="LAKE F"/>
    <s v="SECOND"/>
    <x v="4"/>
    <n v="0.15"/>
    <n v="2.5000000000000001E-2"/>
    <n v="0.3"/>
    <n v="0.11"/>
    <n v="2.5000000000000001E-2"/>
    <n v="0.61"/>
    <x v="1"/>
    <x v="0"/>
    <n v="43562.499999999993"/>
    <n v="48687.499999999993"/>
    <n v="5125"/>
    <n v="3126.25"/>
    <n v="46688.749999999993"/>
    <n v="15407.287499999999"/>
    <n v="51188.749999999993"/>
    <n v="54188.749999999993"/>
    <n v="8030464.9999999991"/>
    <n v="8804464.9999999981"/>
    <n v="9320464.9999999981"/>
    <n v="0"/>
    <n v="682589.52500000002"/>
    <n v="2"/>
    <n v="204999.99999999997"/>
    <n v="204999.99999999997"/>
    <n v="8235464.9999999991"/>
    <n v="9009464.9999999981"/>
    <n v="9525464.9999999981"/>
    <d v="2026-07-01T00:00:00"/>
    <d v="2024-01-01T00:00:00"/>
  </r>
  <r>
    <m/>
    <s v="B"/>
    <s v="B10"/>
    <s v="RESIDENTIAL"/>
    <n v="2"/>
    <n v="2"/>
    <x v="359"/>
    <s v="3 BEDROOM"/>
    <s v="C2"/>
    <n v="141.446"/>
    <n v="158.61691936023314"/>
    <x v="22"/>
    <m/>
    <m/>
    <s v="SW"/>
    <s v="MIDDLE"/>
    <s v="LAKE B-2"/>
    <s v="SECOND"/>
    <x v="4"/>
    <n v="0.06"/>
    <n v="2.5000000000000001E-2"/>
    <n v="0.53"/>
    <n v="0.11"/>
    <n v="2.5000000000000001E-2"/>
    <n v="0.75"/>
    <x v="2"/>
    <x v="0"/>
    <n v="43562.499999999993"/>
    <n v="48687.499999999993"/>
    <n v="5125"/>
    <n v="3843.75"/>
    <n v="47406.249999999993"/>
    <n v="15644.062499999998"/>
    <n v="51906.249999999993"/>
    <n v="54906.249999999993"/>
    <n v="8201281.2499999991"/>
    <n v="8979781.2499999981"/>
    <n v="9498781.2499999981"/>
    <n v="0"/>
    <n v="697108.90625"/>
    <n v="2"/>
    <n v="204999.99999999997"/>
    <n v="204999.99999999997"/>
    <n v="8406281.2499999981"/>
    <n v="9184781.2499999981"/>
    <n v="9703781.2499999981"/>
    <d v="2026-07-01T00:00:00"/>
    <d v="2024-01-01T00:00:00"/>
  </r>
  <r>
    <m/>
    <s v="B"/>
    <s v="B10"/>
    <s v="RESIDENTIAL"/>
    <n v="2"/>
    <n v="3"/>
    <x v="360"/>
    <s v="3 BEDROOM"/>
    <s v="C2"/>
    <n v="141.572"/>
    <n v="158.75821520344815"/>
    <x v="22"/>
    <m/>
    <m/>
    <s v="SW"/>
    <s v="MIDDLE"/>
    <s v="LAKE B-2"/>
    <s v="SECOND"/>
    <x v="4"/>
    <n v="0.06"/>
    <n v="2.5000000000000001E-2"/>
    <n v="0.53"/>
    <n v="0.11"/>
    <n v="2.5000000000000001E-2"/>
    <n v="0.75"/>
    <x v="2"/>
    <x v="0"/>
    <n v="43562.499999999993"/>
    <n v="48687.499999999993"/>
    <n v="5125"/>
    <n v="3843.75"/>
    <n v="47406.249999999993"/>
    <n v="15644.062499999998"/>
    <n v="51906.249999999993"/>
    <n v="54906.249999999993"/>
    <n v="8201281.2499999991"/>
    <n v="8979781.2499999981"/>
    <n v="9498781.2499999981"/>
    <n v="0"/>
    <n v="697108.90625"/>
    <n v="2"/>
    <n v="204999.99999999997"/>
    <n v="204999.99999999997"/>
    <n v="8406281.2499999981"/>
    <n v="9184781.2499999981"/>
    <n v="9703781.2499999981"/>
    <d v="2026-07-01T00:00:00"/>
    <d v="2024-01-01T00:00:00"/>
  </r>
  <r>
    <m/>
    <s v="B"/>
    <s v="B10"/>
    <s v="RESIDENTIAL"/>
    <n v="2"/>
    <n v="4"/>
    <x v="361"/>
    <s v="3 BEDROOM"/>
    <s v="C2"/>
    <n v="141.226"/>
    <n v="158.37021233239741"/>
    <x v="23"/>
    <m/>
    <m/>
    <s v="NE"/>
    <s v="MIDDLE"/>
    <s v="LAKE F"/>
    <s v="SECOND"/>
    <x v="4"/>
    <n v="0.15"/>
    <n v="2.5000000000000001E-2"/>
    <n v="0.3"/>
    <n v="0.11"/>
    <n v="2.5000000000000001E-2"/>
    <n v="0.61"/>
    <x v="1"/>
    <x v="0"/>
    <n v="43562.499999999993"/>
    <n v="48687.499999999993"/>
    <n v="5125"/>
    <n v="3126.25"/>
    <n v="46688.749999999993"/>
    <n v="15407.287499999999"/>
    <n v="51188.749999999993"/>
    <n v="54188.749999999993"/>
    <n v="8030464.9999999991"/>
    <n v="8804464.9999999981"/>
    <n v="9320464.9999999981"/>
    <n v="0"/>
    <n v="682589.52500000002"/>
    <n v="2"/>
    <n v="204999.99999999997"/>
    <n v="204999.99999999997"/>
    <n v="8235464.9999999991"/>
    <n v="9009464.9999999981"/>
    <n v="9525464.9999999981"/>
    <d v="2026-07-01T00:00:00"/>
    <d v="2024-01-01T00:00:00"/>
  </r>
  <r>
    <m/>
    <s v="B"/>
    <s v="B10"/>
    <s v="RESIDENTIAL"/>
    <n v="3"/>
    <n v="1"/>
    <x v="362"/>
    <s v="3 BEDROOM"/>
    <s v="C2"/>
    <n v="141.48599999999999"/>
    <n v="158.66177518347598"/>
    <x v="22"/>
    <m/>
    <m/>
    <s v="NE"/>
    <s v="MIDDLE"/>
    <s v="LAKE F"/>
    <s v="THIRD"/>
    <x v="4"/>
    <n v="0.15"/>
    <n v="2.5000000000000001E-2"/>
    <n v="0.3"/>
    <n v="0.15"/>
    <n v="2.5000000000000001E-2"/>
    <n v="0.65"/>
    <x v="1"/>
    <x v="5"/>
    <n v="46750.000000000007"/>
    <n v="52250.000000000007"/>
    <n v="5500"/>
    <n v="3575"/>
    <n v="50325.000000000007"/>
    <n v="16607.250000000004"/>
    <n v="54825.000000000007"/>
    <n v="57825.000000000007"/>
    <n v="8706225.0000000019"/>
    <n v="9484725.0000000019"/>
    <n v="10003725.000000002"/>
    <n v="0"/>
    <n v="740029.12500000023"/>
    <n v="2"/>
    <n v="220000.00000000003"/>
    <n v="220000.00000000003"/>
    <n v="8926225.0000000019"/>
    <n v="9704725.0000000019"/>
    <n v="10223725.000000002"/>
    <d v="2026-07-01T00:00:00"/>
    <d v="2024-10-01T00:00:00"/>
  </r>
  <r>
    <m/>
    <s v="B"/>
    <s v="B10"/>
    <s v="RESIDENTIAL"/>
    <n v="3"/>
    <n v="2"/>
    <x v="363"/>
    <s v="3 BEDROOM"/>
    <s v="C2"/>
    <n v="142.25399999999999"/>
    <n v="159.52300698973886"/>
    <x v="47"/>
    <m/>
    <m/>
    <s v="SW"/>
    <s v="MIDDLE"/>
    <s v="LAKE B-2"/>
    <s v="THIRD"/>
    <x v="4"/>
    <n v="0.06"/>
    <n v="2.5000000000000001E-2"/>
    <n v="0.53"/>
    <n v="0.15"/>
    <n v="2.5000000000000001E-2"/>
    <n v="0.79"/>
    <x v="2"/>
    <x v="5"/>
    <n v="46750.000000000007"/>
    <n v="52250.000000000007"/>
    <n v="5500"/>
    <n v="4345"/>
    <n v="51095.000000000007"/>
    <n v="16861.350000000002"/>
    <n v="55595.000000000007"/>
    <n v="58595.000000000007"/>
    <n v="8890530.0000000019"/>
    <n v="9673530.0000000019"/>
    <n v="10195530.000000002"/>
    <n v="0"/>
    <n v="755695.05000000016"/>
    <n v="2"/>
    <n v="220000.00000000003"/>
    <n v="220000.00000000003"/>
    <n v="9110530.0000000019"/>
    <n v="9893530.0000000019"/>
    <n v="10415530.000000002"/>
    <d v="2026-07-01T00:00:00"/>
    <d v="2024-10-01T00:00:00"/>
  </r>
  <r>
    <m/>
    <s v="B"/>
    <s v="B10"/>
    <s v="RESIDENTIAL"/>
    <n v="3"/>
    <n v="3"/>
    <x v="364"/>
    <s v="3 BEDROOM"/>
    <s v="C2"/>
    <n v="142.37799999999999"/>
    <n v="159.6620600417917"/>
    <x v="47"/>
    <m/>
    <m/>
    <s v="SW"/>
    <s v="MIDDLE"/>
    <s v="LAKE B-2"/>
    <s v="THIRD"/>
    <x v="4"/>
    <n v="0.06"/>
    <n v="2.5000000000000001E-2"/>
    <n v="0.53"/>
    <n v="0.15"/>
    <n v="2.5000000000000001E-2"/>
    <n v="0.79"/>
    <x v="2"/>
    <x v="5"/>
    <n v="46750.000000000007"/>
    <n v="52250.000000000007"/>
    <n v="5500"/>
    <n v="4345"/>
    <n v="51095.000000000007"/>
    <n v="16861.350000000002"/>
    <n v="55595.000000000007"/>
    <n v="58595.000000000007"/>
    <n v="8890530.0000000019"/>
    <n v="9673530.0000000019"/>
    <n v="10195530.000000002"/>
    <n v="0"/>
    <n v="755695.05000000016"/>
    <n v="2"/>
    <n v="220000.00000000003"/>
    <n v="220000.00000000003"/>
    <n v="9110530.0000000019"/>
    <n v="9893530.0000000019"/>
    <n v="10415530.000000002"/>
    <d v="2026-07-01T00:00:00"/>
    <d v="2024-10-01T00:00:00"/>
  </r>
  <r>
    <m/>
    <s v="B"/>
    <s v="B10"/>
    <s v="RESIDENTIAL"/>
    <n v="3"/>
    <n v="4"/>
    <x v="365"/>
    <s v="3 BEDROOM"/>
    <s v="C2"/>
    <n v="141.52600000000001"/>
    <n v="158.70663100671885"/>
    <x v="22"/>
    <m/>
    <m/>
    <s v="NE"/>
    <s v="MIDDLE"/>
    <s v="LAKE F"/>
    <s v="THIRD"/>
    <x v="4"/>
    <n v="0.15"/>
    <n v="2.5000000000000001E-2"/>
    <n v="0.3"/>
    <n v="0.15"/>
    <n v="2.5000000000000001E-2"/>
    <n v="0.65"/>
    <x v="1"/>
    <x v="5"/>
    <n v="46750.000000000007"/>
    <n v="52250.000000000007"/>
    <n v="5500"/>
    <n v="3575"/>
    <n v="50325.000000000007"/>
    <n v="16607.250000000004"/>
    <n v="54825.000000000007"/>
    <n v="57825.000000000007"/>
    <n v="8706225.0000000019"/>
    <n v="9484725.0000000019"/>
    <n v="10003725.000000002"/>
    <n v="0"/>
    <n v="740029.12500000023"/>
    <n v="2"/>
    <n v="220000.00000000003"/>
    <n v="220000.00000000003"/>
    <n v="8926225.0000000019"/>
    <n v="9704725.0000000019"/>
    <n v="10223725.000000002"/>
    <d v="2026-07-01T00:00:00"/>
    <d v="2024-10-01T00:00:00"/>
  </r>
  <r>
    <m/>
    <s v="B"/>
    <s v="B10"/>
    <s v="RESIDENTIAL"/>
    <n v="4"/>
    <n v="1"/>
    <x v="366"/>
    <s v="3 BEDROOM"/>
    <s v="C2"/>
    <n v="139.12"/>
    <n v="156.00855323866094"/>
    <x v="28"/>
    <m/>
    <m/>
    <s v="NE"/>
    <s v="MIDDLE"/>
    <s v="LAKE F"/>
    <s v="FORTH"/>
    <x v="4"/>
    <n v="0.15"/>
    <n v="2.5000000000000001E-2"/>
    <n v="0.3"/>
    <n v="0.06"/>
    <n v="2.5000000000000001E-2"/>
    <n v="0.55999999999999994"/>
    <x v="1"/>
    <x v="3"/>
    <n v="42500"/>
    <n v="47500"/>
    <n v="5000"/>
    <n v="2799.9999999999995"/>
    <n v="45300"/>
    <n v="14949"/>
    <n v="49800"/>
    <n v="52800"/>
    <n v="7701000"/>
    <n v="8466000"/>
    <n v="8976000"/>
    <n v="0"/>
    <n v="654585"/>
    <n v="2"/>
    <n v="200000"/>
    <n v="200000"/>
    <n v="7901000"/>
    <n v="8666000"/>
    <n v="9176000"/>
    <d v="2026-07-01T00:00:00"/>
    <d v="2023-09-01T00:00:00"/>
  </r>
  <r>
    <m/>
    <s v="B"/>
    <s v="B10"/>
    <s v="RESIDENTIAL"/>
    <n v="4"/>
    <n v="2"/>
    <x v="367"/>
    <s v="3 BEDROOM"/>
    <s v="C2"/>
    <n v="141.53399999999999"/>
    <n v="158.71560217136741"/>
    <x v="22"/>
    <m/>
    <m/>
    <s v="SW"/>
    <s v="MIDDLE"/>
    <s v="LAKE B-2"/>
    <s v="FORTH"/>
    <x v="4"/>
    <n v="0.06"/>
    <n v="2.5000000000000001E-2"/>
    <n v="0.53"/>
    <n v="0.06"/>
    <n v="2.5000000000000001E-2"/>
    <n v="0.70000000000000007"/>
    <x v="1"/>
    <x v="10"/>
    <n v="53550"/>
    <n v="59850"/>
    <n v="6300"/>
    <n v="4410"/>
    <n v="57960"/>
    <n v="19126.8"/>
    <n v="62460"/>
    <n v="65460"/>
    <n v="10027080"/>
    <n v="10805580"/>
    <n v="11324580"/>
    <n v="0"/>
    <n v="852301.8"/>
    <n v="2"/>
    <n v="252000"/>
    <n v="252000"/>
    <n v="10279080"/>
    <n v="11057580"/>
    <n v="11576580"/>
    <d v="2026-07-01T00:00:00"/>
    <d v="2025-10-01T00:00:00"/>
  </r>
  <r>
    <m/>
    <s v="B"/>
    <s v="B10"/>
    <s v="RESIDENTIAL"/>
    <n v="4"/>
    <n v="3"/>
    <x v="368"/>
    <s v="3 BEDROOM"/>
    <s v="C2"/>
    <n v="141.65899999999999"/>
    <n v="158.85577661900135"/>
    <x v="22"/>
    <m/>
    <m/>
    <s v="SW"/>
    <s v="MIDDLE"/>
    <s v="LAKE B-2"/>
    <s v="FORTH"/>
    <x v="4"/>
    <n v="0.06"/>
    <n v="2.5000000000000001E-2"/>
    <n v="0.53"/>
    <n v="0.06"/>
    <n v="2.5000000000000001E-2"/>
    <n v="0.70000000000000007"/>
    <x v="1"/>
    <x v="10"/>
    <n v="53550"/>
    <n v="59850"/>
    <n v="6300"/>
    <n v="4410"/>
    <n v="57960"/>
    <n v="19126.8"/>
    <n v="62460"/>
    <n v="65460"/>
    <n v="10027080"/>
    <n v="10805580"/>
    <n v="11324580"/>
    <n v="0"/>
    <n v="852301.8"/>
    <n v="2"/>
    <n v="252000"/>
    <n v="252000"/>
    <n v="10279080"/>
    <n v="11057580"/>
    <n v="11576580"/>
    <d v="2026-07-01T00:00:00"/>
    <d v="2025-10-01T00:00:00"/>
  </r>
  <r>
    <m/>
    <s v="B"/>
    <s v="B10"/>
    <s v="RESIDENTIAL"/>
    <n v="4"/>
    <n v="4"/>
    <x v="369"/>
    <s v="3 BEDROOM"/>
    <s v="C2"/>
    <n v="139.31659999999999"/>
    <n v="156.22901960989958"/>
    <x v="28"/>
    <m/>
    <m/>
    <s v="NE"/>
    <s v="MIDDLE"/>
    <s v="LAKE F"/>
    <s v="FORTH"/>
    <x v="4"/>
    <n v="0.15"/>
    <n v="2.5000000000000001E-2"/>
    <n v="0.3"/>
    <n v="0.06"/>
    <n v="2.5000000000000001E-2"/>
    <n v="0.55999999999999994"/>
    <x v="1"/>
    <x v="3"/>
    <n v="42500"/>
    <n v="47500"/>
    <n v="5000"/>
    <n v="2799.9999999999995"/>
    <n v="45300"/>
    <n v="14949"/>
    <n v="49800"/>
    <n v="52800"/>
    <n v="7701000"/>
    <n v="8466000"/>
    <n v="8976000"/>
    <n v="0"/>
    <n v="654585"/>
    <n v="2"/>
    <n v="200000"/>
    <n v="200000"/>
    <n v="7901000"/>
    <n v="8666000"/>
    <n v="9176000"/>
    <d v="2026-07-01T00:00:00"/>
    <d v="2023-09-01T00:00:00"/>
  </r>
  <r>
    <s v="B3"/>
    <s v="B"/>
    <s v="B11"/>
    <s v="RESIDENTIAL"/>
    <n v="0"/>
    <n v="1"/>
    <x v="370"/>
    <s v="3 BEDROOM"/>
    <s v="C2"/>
    <n v="144.66300000000001"/>
    <n v="160.29970969584483"/>
    <x v="20"/>
    <n v="50.369199999999999"/>
    <m/>
    <s v="NE"/>
    <s v="CORNER "/>
    <s v="LAKE E"/>
    <s v="GROUND"/>
    <x v="4"/>
    <n v="0.15"/>
    <n v="0.05"/>
    <n v="0.43"/>
    <n v="0.05"/>
    <n v="2.5000000000000001E-2"/>
    <n v="0.70500000000000007"/>
    <x v="1"/>
    <x v="8"/>
    <n v="56100"/>
    <n v="62700"/>
    <n v="6600"/>
    <n v="4653.0000000000009"/>
    <n v="60753"/>
    <n v="20048.490000000002"/>
    <n v="65253"/>
    <n v="68253"/>
    <n v="10692528"/>
    <n v="11484528"/>
    <n v="12012528"/>
    <n v="1009826.402508"/>
    <n v="994700.12421318004"/>
    <n v="2"/>
    <n v="264000"/>
    <n v="264000"/>
    <n v="11966354.402508"/>
    <n v="12758354.402508"/>
    <n v="13286354.402508"/>
    <d v="2026-07-01T00:00:00"/>
    <d v="2026-01-01T00:00:00"/>
  </r>
  <r>
    <m/>
    <s v="B"/>
    <s v="B11"/>
    <s v="RESIDENTIAL"/>
    <n v="0"/>
    <n v="2"/>
    <x v="371"/>
    <s v="3 BEDROOM + LIVING"/>
    <s v="C2"/>
    <n v="183.887"/>
    <n v="203.76345518093646"/>
    <x v="19"/>
    <n v="61.522199999999998"/>
    <m/>
    <s v="SW"/>
    <s v="CORNER "/>
    <s v="LAKE B-2"/>
    <s v="GROUND"/>
    <x v="3"/>
    <n v="0.06"/>
    <n v="0.05"/>
    <n v="0.53"/>
    <n v="0.05"/>
    <n v="1.4999999999999999E-2"/>
    <n v="0.70500000000000007"/>
    <x v="1"/>
    <x v="8"/>
    <n v="56100"/>
    <n v="62700"/>
    <n v="6600"/>
    <n v="4653.0000000000009"/>
    <n v="60753"/>
    <n v="20048.490000000002"/>
    <n v="65253"/>
    <n v="68253"/>
    <n v="13608672"/>
    <n v="14616672"/>
    <n v="15288672"/>
    <n v="1233427.211478"/>
    <n v="1261578.43297563"/>
    <n v="2"/>
    <n v="264000"/>
    <n v="264000"/>
    <n v="15106099.211478001"/>
    <n v="16114099.211478001"/>
    <n v="16786099.211477999"/>
    <d v="2026-07-01T00:00:00"/>
    <d v="2026-01-01T00:00:00"/>
  </r>
  <r>
    <m/>
    <s v="B"/>
    <s v="B11"/>
    <s v="RESIDENTIAL"/>
    <n v="0"/>
    <n v="3"/>
    <x v="372"/>
    <s v="3 BEDROOM"/>
    <s v="C2"/>
    <n v="162.78100000000001"/>
    <n v="180.37609508996297"/>
    <x v="18"/>
    <n v="77.576999999999998"/>
    <m/>
    <s v="SW"/>
    <s v="MIDDLE"/>
    <s v="LAKE B-2"/>
    <s v="GROUND"/>
    <x v="3"/>
    <n v="0.06"/>
    <n v="2.5000000000000001E-2"/>
    <n v="0.53"/>
    <n v="0.05"/>
    <n v="1.4999999999999999E-2"/>
    <n v="0.68"/>
    <x v="1"/>
    <x v="12"/>
    <n v="50150"/>
    <n v="56050"/>
    <n v="5900"/>
    <n v="4012.0000000000005"/>
    <n v="54162"/>
    <n v="17873.46"/>
    <n v="58662"/>
    <n v="61662"/>
    <n v="10778238"/>
    <n v="11673738"/>
    <n v="12270738"/>
    <n v="1386569.4064199999"/>
    <n v="1034008.6295457"/>
    <n v="2"/>
    <n v="236000"/>
    <n v="236000"/>
    <n v="12400807.40642"/>
    <n v="13296307.40642"/>
    <n v="13893307.40642"/>
    <d v="2026-07-01T00:00:00"/>
    <d v="2025-04-01T00:00:00"/>
  </r>
  <r>
    <m/>
    <s v="B"/>
    <s v="B11"/>
    <s v="RESIDENTIAL"/>
    <n v="0"/>
    <n v="4"/>
    <x v="373"/>
    <s v="2 BEDROOM"/>
    <s v="C2"/>
    <n v="95.213999999999999"/>
    <n v="105.50573788031609"/>
    <x v="17"/>
    <n v="41.666899999999998"/>
    <m/>
    <s v="NE"/>
    <s v="MIDDLE"/>
    <s v="SEMI LAKE E"/>
    <s v="GROUND"/>
    <x v="1"/>
    <n v="0.15"/>
    <n v="2.5000000000000001E-2"/>
    <n v="0.32250000000000001"/>
    <n v="0.05"/>
    <n v="0.04"/>
    <n v="0.58750000000000002"/>
    <x v="1"/>
    <x v="0"/>
    <n v="43562.499999999993"/>
    <n v="48687.499999999993"/>
    <n v="5125"/>
    <n v="3010.9375"/>
    <n v="46573.437499999993"/>
    <n v="15369.234374999998"/>
    <n v="51073.437499999993"/>
    <n v="54073.437499999993"/>
    <n v="5402518.7499999991"/>
    <n v="5924518.7499999991"/>
    <n v="6272518.7499999991"/>
    <n v="640388.35177968745"/>
    <n v="513647.10365127336"/>
    <n v="1"/>
    <n v="204999.99999999997"/>
    <n v="204999.99999999997"/>
    <n v="6247907.1017796863"/>
    <n v="6769907.1017796863"/>
    <n v="7117907.1017796863"/>
    <d v="2026-07-01T00:00:00"/>
    <d v="2024-01-01T00:00:00"/>
  </r>
  <r>
    <m/>
    <s v="B"/>
    <s v="B11"/>
    <s v="RESIDENTIAL"/>
    <n v="1"/>
    <n v="1"/>
    <x v="374"/>
    <s v="3 BEDROOM"/>
    <s v="C2"/>
    <n v="141.66300000000001"/>
    <n v="156.9754379118535"/>
    <x v="22"/>
    <m/>
    <m/>
    <s v="NE"/>
    <s v="CORNER "/>
    <s v="LAKE E"/>
    <s v="FIRST"/>
    <x v="4"/>
    <n v="0.15"/>
    <n v="0.05"/>
    <n v="0.43"/>
    <n v="7.0000000000000007E-2"/>
    <n v="2.5000000000000001E-2"/>
    <n v="0.72499999999999998"/>
    <x v="1"/>
    <x v="7"/>
    <n v="61625"/>
    <n v="68875"/>
    <n v="7250"/>
    <n v="5256.25"/>
    <n v="66881.25"/>
    <n v="22070.8125"/>
    <n v="71381.25"/>
    <n v="74381.25"/>
    <n v="11570456.25"/>
    <n v="12348956.25"/>
    <n v="12867956.25"/>
    <n v="0"/>
    <n v="983488.78125000012"/>
    <n v="2"/>
    <n v="290000"/>
    <n v="290000"/>
    <n v="11860456.25"/>
    <n v="12638956.25"/>
    <n v="13157956.25"/>
    <d v="2026-07-01T00:00:00"/>
    <d v="2026-07-01T00:00:00"/>
  </r>
  <r>
    <m/>
    <s v="B"/>
    <s v="B11"/>
    <s v="RESIDENTIAL"/>
    <n v="1"/>
    <n v="2"/>
    <x v="375"/>
    <s v="3 BEDROOM + LIVING"/>
    <s v="C2"/>
    <n v="183.637"/>
    <n v="203.48643253227053"/>
    <x v="19"/>
    <m/>
    <m/>
    <s v="SW"/>
    <s v="CORNER "/>
    <s v="LAKE B-2"/>
    <s v="FIRST"/>
    <x v="3"/>
    <n v="0.06"/>
    <n v="0.05"/>
    <n v="0.53"/>
    <n v="7.0000000000000007E-2"/>
    <n v="1.4999999999999999E-2"/>
    <n v="0.72499999999999998"/>
    <x v="1"/>
    <x v="7"/>
    <n v="61625"/>
    <n v="68875"/>
    <n v="7250"/>
    <n v="5256.25"/>
    <n v="66881.25"/>
    <n v="22070.8125"/>
    <n v="71381.25"/>
    <n v="74381.25"/>
    <n v="14981400"/>
    <n v="15989400"/>
    <n v="16661400"/>
    <n v="0"/>
    <n v="1273419"/>
    <n v="2"/>
    <n v="290000"/>
    <n v="290000"/>
    <n v="15271400"/>
    <n v="16279400"/>
    <n v="16951400"/>
    <d v="2026-07-01T00:00:00"/>
    <d v="2026-07-01T00:00:00"/>
  </r>
  <r>
    <m/>
    <s v="B"/>
    <s v="B11"/>
    <s v="RESIDENTIAL"/>
    <n v="1"/>
    <n v="3"/>
    <x v="376"/>
    <s v="3 BEDROOM"/>
    <s v="C2"/>
    <n v="162.53100000000001"/>
    <n v="180.09907244129704"/>
    <x v="42"/>
    <m/>
    <m/>
    <s v="SW"/>
    <s v="MIDDLE"/>
    <s v="LAKE B-2"/>
    <s v="FIRST"/>
    <x v="3"/>
    <n v="0.06"/>
    <n v="2.5000000000000001E-2"/>
    <n v="0.53"/>
    <n v="7.0000000000000007E-2"/>
    <n v="1.4999999999999999E-2"/>
    <n v="0.70000000000000007"/>
    <x v="1"/>
    <x v="10"/>
    <n v="53550"/>
    <n v="59850"/>
    <n v="6300"/>
    <n v="4410"/>
    <n v="57960"/>
    <n v="19126.8"/>
    <n v="62460"/>
    <n v="65460"/>
    <n v="11476080"/>
    <n v="12367080"/>
    <n v="12961080"/>
    <n v="0"/>
    <n v="975466.8"/>
    <n v="2"/>
    <n v="252000"/>
    <n v="252000"/>
    <n v="11728080"/>
    <n v="12619080"/>
    <n v="13213080"/>
    <d v="2026-07-01T00:00:00"/>
    <d v="2025-10-01T00:00:00"/>
  </r>
  <r>
    <m/>
    <s v="B"/>
    <s v="B11"/>
    <s v="RESIDENTIAL"/>
    <n v="1"/>
    <n v="4"/>
    <x v="377"/>
    <s v="2 BEDROOM"/>
    <s v="C2"/>
    <n v="96.271000000000001"/>
    <n v="106.6769896388757"/>
    <x v="21"/>
    <m/>
    <m/>
    <s v="NE"/>
    <s v="MIDDLE"/>
    <s v="SEMI LAKE E"/>
    <s v="FIRST"/>
    <x v="1"/>
    <n v="0.15"/>
    <n v="2.5000000000000001E-2"/>
    <n v="0.32250000000000001"/>
    <n v="7.0000000000000007E-2"/>
    <n v="0.04"/>
    <n v="0.60750000000000004"/>
    <x v="1"/>
    <x v="0"/>
    <n v="43562.499999999993"/>
    <n v="48687.499999999993"/>
    <n v="5125"/>
    <n v="3113.4375"/>
    <n v="46675.937499999993"/>
    <n v="15403.059374999999"/>
    <n v="51175.937499999993"/>
    <n v="54175.937499999993"/>
    <n v="5461084.6874999991"/>
    <n v="5987584.6874999991"/>
    <n v="6338584.6874999991"/>
    <n v="0"/>
    <n v="464192.19843749993"/>
    <n v="1"/>
    <n v="204999.99999999997"/>
    <n v="204999.99999999997"/>
    <n v="5666084.6874999991"/>
    <n v="6192584.6874999991"/>
    <n v="6543584.6874999991"/>
    <d v="2026-07-01T00:00:00"/>
    <d v="2024-01-01T00:00:00"/>
  </r>
  <r>
    <m/>
    <s v="B"/>
    <s v="B11"/>
    <s v="RESIDENTIAL"/>
    <n v="2"/>
    <n v="1"/>
    <x v="378"/>
    <s v="3 BEDROOM"/>
    <s v="C2"/>
    <n v="143.989"/>
    <n v="159.55285663504142"/>
    <x v="20"/>
    <m/>
    <m/>
    <s v="NE"/>
    <s v="CORNER "/>
    <s v="LAKE E"/>
    <s v="SECOND"/>
    <x v="4"/>
    <n v="0.15"/>
    <n v="0.05"/>
    <n v="0.43"/>
    <n v="0.11"/>
    <n v="2.5000000000000001E-2"/>
    <n v="0.76500000000000001"/>
    <x v="2"/>
    <x v="6"/>
    <n v="44625"/>
    <n v="49875"/>
    <n v="5250"/>
    <n v="4016.25"/>
    <n v="48641.25"/>
    <n v="16051.612500000001"/>
    <n v="53141.25"/>
    <n v="56141.25"/>
    <n v="8560860"/>
    <n v="9352860"/>
    <n v="9880860"/>
    <n v="0"/>
    <n v="727673.10000000009"/>
    <n v="2"/>
    <n v="210000"/>
    <n v="210000"/>
    <n v="8770860"/>
    <n v="9562860"/>
    <n v="10090860"/>
    <d v="2026-07-01T00:00:00"/>
    <d v="2024-04-01T00:00:00"/>
  </r>
  <r>
    <m/>
    <s v="B"/>
    <s v="B11"/>
    <s v="RESIDENTIAL"/>
    <n v="2"/>
    <n v="2"/>
    <x v="379"/>
    <s v="3 BEDROOM + LIVING"/>
    <s v="C2"/>
    <n v="187.1"/>
    <n v="207.32375026159116"/>
    <x v="25"/>
    <m/>
    <m/>
    <s v="SW"/>
    <s v="CORNER "/>
    <s v="LAKE B-2"/>
    <s v="SECOND"/>
    <x v="3"/>
    <n v="0.06"/>
    <n v="0.05"/>
    <n v="0.53"/>
    <n v="0.11"/>
    <n v="1.4999999999999999E-2"/>
    <n v="0.76500000000000001"/>
    <x v="2"/>
    <x v="6"/>
    <n v="44625"/>
    <n v="49875"/>
    <n v="5250"/>
    <n v="4016.25"/>
    <n v="48641.25"/>
    <n v="16051.612500000001"/>
    <n v="53141.25"/>
    <n v="56141.25"/>
    <n v="11090205"/>
    <n v="12116205"/>
    <n v="12800205"/>
    <n v="0"/>
    <n v="942667.42500000005"/>
    <n v="2"/>
    <n v="210000"/>
    <n v="210000"/>
    <n v="11300205"/>
    <n v="12326205"/>
    <n v="13010205"/>
    <d v="2026-07-01T00:00:00"/>
    <d v="2024-04-01T00:00:00"/>
  </r>
  <r>
    <m/>
    <s v="B"/>
    <s v="B11"/>
    <s v="RESIDENTIAL"/>
    <n v="2"/>
    <n v="3"/>
    <x v="380"/>
    <s v="3 BEDROOM"/>
    <s v="C2"/>
    <n v="167.16900000000001"/>
    <n v="185.23839661934761"/>
    <x v="43"/>
    <m/>
    <m/>
    <s v="SW"/>
    <s v="MIDDLE"/>
    <s v="LAKE B-2"/>
    <s v="SECOND"/>
    <x v="3"/>
    <n v="0.06"/>
    <n v="2.5000000000000001E-2"/>
    <n v="0.53"/>
    <n v="0.11"/>
    <n v="1.4999999999999999E-2"/>
    <n v="0.74"/>
    <x v="2"/>
    <x v="3"/>
    <n v="42500"/>
    <n v="47500"/>
    <n v="5000"/>
    <n v="3700"/>
    <n v="46200"/>
    <n v="15246"/>
    <n v="50700"/>
    <n v="53700"/>
    <n v="9424800"/>
    <n v="10342800"/>
    <n v="10954800"/>
    <n v="0"/>
    <n v="801108"/>
    <n v="2"/>
    <n v="200000"/>
    <n v="200000"/>
    <n v="9624800"/>
    <n v="10542800"/>
    <n v="11154800"/>
    <d v="2026-07-01T00:00:00"/>
    <d v="2023-09-01T00:00:00"/>
  </r>
  <r>
    <m/>
    <s v="B"/>
    <s v="B11"/>
    <s v="RESIDENTIAL"/>
    <n v="2"/>
    <n v="4"/>
    <x v="381"/>
    <s v="3 BEDROOM"/>
    <s v="C2"/>
    <n v="141.18700000000001"/>
    <n v="156.44798678879354"/>
    <x v="23"/>
    <m/>
    <m/>
    <s v="NE"/>
    <s v="MIDDLE"/>
    <s v="SEMI LAKE E"/>
    <s v="SECOND"/>
    <x v="4"/>
    <n v="0.15"/>
    <n v="2.5000000000000001E-2"/>
    <n v="0.32250000000000001"/>
    <n v="0.11"/>
    <n v="2.5000000000000001E-2"/>
    <n v="0.63250000000000006"/>
    <x v="1"/>
    <x v="2"/>
    <n v="45687.5"/>
    <n v="51062.5"/>
    <n v="5375"/>
    <n v="3399.6875000000005"/>
    <n v="49087.1875"/>
    <n v="16198.771875"/>
    <n v="53587.1875"/>
    <n v="56587.1875"/>
    <n v="8442996.25"/>
    <n v="9216996.25"/>
    <n v="9732996.25"/>
    <n v="0"/>
    <n v="717654.68125000002"/>
    <n v="2"/>
    <n v="215000"/>
    <n v="215000"/>
    <n v="8657996.25"/>
    <n v="9431996.25"/>
    <n v="9947996.25"/>
    <d v="2026-07-01T00:00:00"/>
    <d v="2024-07-01T00:00:00"/>
  </r>
  <r>
    <m/>
    <s v="B"/>
    <s v="B11"/>
    <s v="RESIDENTIAL"/>
    <n v="3"/>
    <n v="1"/>
    <x v="382"/>
    <s v="3 BEDROOM"/>
    <s v="C2"/>
    <n v="143.89599999999999"/>
    <n v="159.44980420973766"/>
    <x v="20"/>
    <m/>
    <m/>
    <s v="NE"/>
    <s v="CORNER "/>
    <s v="LAKE E"/>
    <s v="THIRD"/>
    <x v="4"/>
    <n v="0.15"/>
    <n v="0.05"/>
    <n v="0.43"/>
    <n v="0.15"/>
    <n v="2.5000000000000001E-2"/>
    <n v="0.80500000000000005"/>
    <x v="2"/>
    <x v="1"/>
    <n v="48450.000000000007"/>
    <n v="54150.000000000007"/>
    <n v="5700"/>
    <n v="4588.5"/>
    <n v="53038.500000000007"/>
    <n v="17502.705000000002"/>
    <n v="57538.500000000007"/>
    <n v="60538.500000000007"/>
    <n v="9334776.0000000019"/>
    <n v="10126776.000000002"/>
    <n v="10654776.000000002"/>
    <n v="0"/>
    <n v="793455.9600000002"/>
    <n v="2"/>
    <n v="228000.00000000003"/>
    <n v="228000.00000000003"/>
    <n v="9562776.0000000019"/>
    <n v="10354776.000000002"/>
    <n v="10882776.000000002"/>
    <d v="2026-07-01T00:00:00"/>
    <d v="2025-01-01T00:00:00"/>
  </r>
  <r>
    <m/>
    <s v="B"/>
    <s v="B11"/>
    <s v="RESIDENTIAL"/>
    <n v="3"/>
    <n v="2"/>
    <x v="383"/>
    <s v="3 BEDROOM + LIVING"/>
    <s v="C2"/>
    <n v="187.20400000000001"/>
    <n v="207.4389916834362"/>
    <x v="25"/>
    <m/>
    <m/>
    <s v="SW"/>
    <s v="CORNER "/>
    <s v="LAKE B-2"/>
    <s v="THIRD"/>
    <x v="3"/>
    <n v="0.06"/>
    <n v="0.05"/>
    <n v="0.53"/>
    <n v="0.15"/>
    <n v="1.4999999999999999E-2"/>
    <n v="0.80500000000000005"/>
    <x v="2"/>
    <x v="1"/>
    <n v="48450.000000000007"/>
    <n v="54150.000000000007"/>
    <n v="5700"/>
    <n v="4588.5"/>
    <n v="53038.500000000007"/>
    <n v="17502.705000000002"/>
    <n v="57538.500000000007"/>
    <n v="60538.500000000007"/>
    <n v="12092778.000000002"/>
    <n v="13118778.000000002"/>
    <n v="13802778.000000002"/>
    <n v="0"/>
    <n v="1027886.1300000002"/>
    <n v="2"/>
    <n v="228000.00000000003"/>
    <n v="228000.00000000003"/>
    <n v="12320778.000000002"/>
    <n v="13346778.000000002"/>
    <n v="14030778.000000002"/>
    <d v="2026-07-01T00:00:00"/>
    <d v="2025-01-01T00:00:00"/>
  </r>
  <r>
    <m/>
    <s v="B"/>
    <s v="B11"/>
    <s v="RESIDENTIAL"/>
    <n v="3"/>
    <n v="3"/>
    <x v="384"/>
    <s v="3 BEDROOM"/>
    <s v="C2"/>
    <n v="164.417"/>
    <n v="182.18893130283288"/>
    <x v="44"/>
    <m/>
    <m/>
    <s v="SW"/>
    <s v="MIDDLE"/>
    <s v="LAKE B-2"/>
    <s v="THIRD"/>
    <x v="3"/>
    <n v="0.06"/>
    <n v="2.5000000000000001E-2"/>
    <n v="0.53"/>
    <n v="0.15"/>
    <n v="1.4999999999999999E-2"/>
    <n v="0.78"/>
    <x v="2"/>
    <x v="2"/>
    <n v="45687.5"/>
    <n v="51062.5"/>
    <n v="5375"/>
    <n v="4192.5"/>
    <n v="49880"/>
    <n v="16460.400000000001"/>
    <n v="54380"/>
    <n v="57380"/>
    <n v="10025880"/>
    <n v="10930380"/>
    <n v="11533380"/>
    <n v="0"/>
    <n v="852199.8"/>
    <n v="2"/>
    <n v="215000"/>
    <n v="215000"/>
    <n v="10240880"/>
    <n v="11145380"/>
    <n v="11748380"/>
    <d v="2026-07-01T00:00:00"/>
    <d v="2024-07-01T00:00:00"/>
  </r>
  <r>
    <m/>
    <s v="B"/>
    <s v="B11"/>
    <s v="RESIDENTIAL"/>
    <n v="3"/>
    <n v="4"/>
    <x v="385"/>
    <s v="3 BEDROOM"/>
    <s v="C2"/>
    <n v="141.07300000000001"/>
    <n v="156.32166446100189"/>
    <x v="23"/>
    <m/>
    <m/>
    <s v="NE"/>
    <s v="MIDDLE"/>
    <s v="SEMI LAKE E"/>
    <s v="THIRD"/>
    <x v="4"/>
    <n v="0.15"/>
    <n v="2.5000000000000001E-2"/>
    <n v="0.32250000000000001"/>
    <n v="0.15"/>
    <n v="2.5000000000000001E-2"/>
    <n v="0.67249999999999999"/>
    <x v="1"/>
    <x v="1"/>
    <n v="48450.000000000007"/>
    <n v="54150.000000000007"/>
    <n v="5700"/>
    <n v="3833.25"/>
    <n v="52283.250000000007"/>
    <n v="17253.472500000003"/>
    <n v="56783.250000000007"/>
    <n v="59783.250000000007"/>
    <n v="8992719.0000000019"/>
    <n v="9766719.0000000019"/>
    <n v="10282719.000000002"/>
    <n v="0"/>
    <n v="764381.11500000022"/>
    <n v="2"/>
    <n v="228000.00000000003"/>
    <n v="228000.00000000003"/>
    <n v="9220719.0000000019"/>
    <n v="9994719.0000000019"/>
    <n v="10510719.000000002"/>
    <d v="2026-07-01T00:00:00"/>
    <d v="2025-01-01T00:00:00"/>
  </r>
  <r>
    <m/>
    <s v="B"/>
    <s v="B11"/>
    <s v="RESIDENTIAL"/>
    <n v="4"/>
    <n v="1"/>
    <x v="386"/>
    <s v="3 BEDROOM"/>
    <s v="C2"/>
    <n v="141.929"/>
    <n v="157.27019001003407"/>
    <x v="22"/>
    <m/>
    <m/>
    <s v="NE"/>
    <s v="CORNER "/>
    <s v="LAKE E"/>
    <s v="FORTH"/>
    <x v="4"/>
    <n v="0.15"/>
    <n v="0.05"/>
    <n v="0.43"/>
    <n v="0.06"/>
    <n v="2.5000000000000001E-2"/>
    <n v="0.71499999999999997"/>
    <x v="1"/>
    <x v="9"/>
    <n v="58649.999999999993"/>
    <n v="65550"/>
    <n v="6900.0000000000073"/>
    <n v="4933.5000000000045"/>
    <n v="63583.5"/>
    <n v="20982.555"/>
    <n v="68083.5"/>
    <n v="71083.5"/>
    <n v="10999945.5"/>
    <n v="11778445.5"/>
    <n v="12297445.5"/>
    <n v="0"/>
    <n v="934995.36750000005"/>
    <n v="2"/>
    <n v="276000"/>
    <n v="276000"/>
    <n v="11275945.5"/>
    <n v="12054445.5"/>
    <n v="12573445.5"/>
    <d v="2026-07-01T00:00:00"/>
    <d v="2026-04-01T00:00:00"/>
  </r>
  <r>
    <m/>
    <s v="B"/>
    <s v="B11"/>
    <s v="RESIDENTIAL"/>
    <n v="4"/>
    <n v="2"/>
    <x v="387"/>
    <s v="3 BEDROOM + LIVING"/>
    <s v="C2"/>
    <n v="182.36099999999999"/>
    <n v="202.07250893347955"/>
    <x v="45"/>
    <m/>
    <m/>
    <s v="SW"/>
    <s v="CORNER "/>
    <s v="LAKE B-2"/>
    <s v="FORTH"/>
    <x v="3"/>
    <n v="0.06"/>
    <n v="0.05"/>
    <n v="0.53"/>
    <n v="0.06"/>
    <n v="1.4999999999999999E-2"/>
    <n v="0.71499999999999997"/>
    <x v="1"/>
    <x v="9"/>
    <n v="58649.999999999993"/>
    <n v="65550"/>
    <n v="6900.0000000000073"/>
    <n v="4933.5000000000045"/>
    <n v="63583.5"/>
    <n v="20982.555"/>
    <n v="68083.5"/>
    <n v="71083.5"/>
    <n v="14115537"/>
    <n v="15114537"/>
    <n v="15780537"/>
    <n v="0"/>
    <n v="1199820.645"/>
    <n v="2"/>
    <n v="276000"/>
    <n v="276000"/>
    <n v="14391537"/>
    <n v="15390537"/>
    <n v="16056537"/>
    <d v="2026-07-01T00:00:00"/>
    <d v="2026-04-01T00:00:00"/>
  </r>
  <r>
    <m/>
    <s v="B"/>
    <s v="B11"/>
    <s v="RESIDENTIAL"/>
    <n v="4"/>
    <n v="3"/>
    <x v="388"/>
    <s v="3 BEDROOM"/>
    <s v="C2"/>
    <n v="162.44399999999999"/>
    <n v="180.00266855956127"/>
    <x v="42"/>
    <m/>
    <m/>
    <s v="SW"/>
    <s v="MIDDLE"/>
    <s v="LAKE B-2"/>
    <s v="FORTH"/>
    <x v="3"/>
    <n v="0.06"/>
    <n v="2.5000000000000001E-2"/>
    <n v="0.53"/>
    <n v="0.06"/>
    <n v="1.4999999999999999E-2"/>
    <n v="0.69000000000000006"/>
    <x v="1"/>
    <x v="4"/>
    <n v="51850"/>
    <n v="57950"/>
    <n v="6100"/>
    <n v="4209"/>
    <n v="56059"/>
    <n v="18499.47"/>
    <n v="60559"/>
    <n v="63559"/>
    <n v="11099682"/>
    <n v="11990682"/>
    <n v="12584682"/>
    <n v="0"/>
    <n v="943472.97000000009"/>
    <n v="2"/>
    <n v="244000"/>
    <n v="244000"/>
    <n v="11343682"/>
    <n v="12234682"/>
    <n v="12828682"/>
    <d v="2026-07-01T00:00:00"/>
    <d v="2025-07-01T00:00:00"/>
  </r>
  <r>
    <m/>
    <s v="B"/>
    <s v="B11"/>
    <s v="RESIDENTIAL"/>
    <n v="4"/>
    <n v="4"/>
    <x v="389"/>
    <s v="3 BEDROOM"/>
    <s v="C2"/>
    <n v="139.12700000000001"/>
    <n v="154.16532016378619"/>
    <x v="28"/>
    <m/>
    <m/>
    <s v="NE"/>
    <s v="MIDDLE"/>
    <s v="SEMI LAKE E"/>
    <s v="FORTH"/>
    <x v="4"/>
    <n v="0.15"/>
    <n v="2.5000000000000001E-2"/>
    <n v="0.32250000000000001"/>
    <n v="0.06"/>
    <n v="2.5000000000000001E-2"/>
    <n v="0.58250000000000002"/>
    <x v="1"/>
    <x v="3"/>
    <n v="42500"/>
    <n v="47500"/>
    <n v="5000"/>
    <n v="2912.5"/>
    <n v="45412.5"/>
    <n v="14986.125"/>
    <n v="49912.5"/>
    <n v="52912.5"/>
    <n v="7720125"/>
    <n v="8485125"/>
    <n v="8995125"/>
    <n v="0"/>
    <n v="656210.625"/>
    <n v="2"/>
    <n v="200000"/>
    <n v="200000"/>
    <n v="7920125"/>
    <n v="8685125"/>
    <n v="9195125"/>
    <d v="2026-07-01T00:00:00"/>
    <d v="2023-09-01T00:00:00"/>
  </r>
  <r>
    <s v="B3"/>
    <s v="B"/>
    <s v="B12"/>
    <s v="RESIDENTIAL"/>
    <n v="0"/>
    <n v="1"/>
    <x v="390"/>
    <s v="2 BEDROOM"/>
    <s v="C2"/>
    <n v="95.254000000000005"/>
    <n v="105.53950812408786"/>
    <x v="17"/>
    <n v="63.930199999999999"/>
    <m/>
    <s v="NW"/>
    <s v="MIDDLE"/>
    <s v="ROAD 18M (BUILDINGS)"/>
    <s v="GROUND"/>
    <x v="1"/>
    <n v="0.13"/>
    <n v="2.5000000000000001E-2"/>
    <n v="0.15"/>
    <n v="0.05"/>
    <n v="0.04"/>
    <n v="0.39499999999999996"/>
    <x v="0"/>
    <x v="2"/>
    <n v="45687.5"/>
    <n v="51062.5"/>
    <n v="5375"/>
    <n v="2123.125"/>
    <n v="47810.625"/>
    <n v="15777.50625"/>
    <n v="52310.625"/>
    <n v="55310.625"/>
    <n v="5546032.5"/>
    <n v="6068032.5"/>
    <n v="6416032.5"/>
    <n v="1008659.13006375"/>
    <n v="557148.78855541872"/>
    <n v="1"/>
    <n v="215000"/>
    <n v="215000"/>
    <n v="6769691.6300637498"/>
    <n v="7291691.6300637498"/>
    <n v="7639691.6300637498"/>
    <d v="2026-07-01T00:00:00"/>
    <d v="2024-07-01T00:00:00"/>
  </r>
  <r>
    <m/>
    <s v="B"/>
    <s v="B12"/>
    <s v="RESIDENTIAL"/>
    <n v="0"/>
    <n v="2"/>
    <x v="391"/>
    <s v="3 BEDROOM"/>
    <s v="C2"/>
    <n v="162.82599999999999"/>
    <n v="180.40791935050211"/>
    <x v="18"/>
    <n v="77.610299999999995"/>
    <m/>
    <s v="SE"/>
    <s v="MIDDLE"/>
    <s v="LAKE B-2"/>
    <s v="GROUND"/>
    <x v="3"/>
    <n v="0.08"/>
    <n v="2.5000000000000001E-2"/>
    <n v="0.53"/>
    <n v="0.05"/>
    <n v="1.4999999999999999E-2"/>
    <n v="0.70000000000000007"/>
    <x v="1"/>
    <x v="10"/>
    <n v="53550"/>
    <n v="59850"/>
    <n v="6300"/>
    <n v="4410"/>
    <n v="57960"/>
    <n v="19126.8"/>
    <n v="62460"/>
    <n v="65460"/>
    <n v="11534040"/>
    <n v="12429540"/>
    <n v="13026540"/>
    <n v="1484436.6860399998"/>
    <n v="1106570.5183134"/>
    <n v="2"/>
    <n v="252000"/>
    <n v="252000"/>
    <n v="13270476.686039999"/>
    <n v="14165976.686039999"/>
    <n v="14762976.686039999"/>
    <d v="2026-07-01T00:00:00"/>
    <d v="2025-10-01T00:00:00"/>
  </r>
  <r>
    <m/>
    <s v="B"/>
    <s v="B12"/>
    <s v="RESIDENTIAL"/>
    <n v="0"/>
    <n v="3"/>
    <x v="392"/>
    <s v="3 BEDROOM + LIVING"/>
    <s v="C2"/>
    <n v="183.887"/>
    <n v="203.74308197465874"/>
    <x v="19"/>
    <n v="61.527700000000003"/>
    <m/>
    <s v="SE"/>
    <s v="CORNER "/>
    <s v="LAKE B-2"/>
    <s v="GROUND"/>
    <x v="3"/>
    <n v="0.08"/>
    <n v="0.05"/>
    <n v="0.53"/>
    <n v="0.05"/>
    <n v="1.4999999999999999E-2"/>
    <n v="0.72500000000000009"/>
    <x v="1"/>
    <x v="7"/>
    <n v="61625"/>
    <n v="68875"/>
    <n v="7250"/>
    <n v="5256.2500000000009"/>
    <n v="66881.25"/>
    <n v="22070.8125"/>
    <n v="71381.25"/>
    <n v="74381.25"/>
    <n v="14981400"/>
    <n v="15989400"/>
    <n v="16661400"/>
    <n v="1357966.33025625"/>
    <n v="1388846.1380717813"/>
    <n v="2"/>
    <n v="290000"/>
    <n v="290000"/>
    <n v="16629366.33025625"/>
    <n v="17637366.33025625"/>
    <n v="18309366.33025625"/>
    <d v="2026-07-01T00:00:00"/>
    <d v="2026-07-01T00:00:00"/>
  </r>
  <r>
    <m/>
    <s v="B"/>
    <s v="B12"/>
    <s v="RESIDENTIAL"/>
    <n v="0"/>
    <n v="4"/>
    <x v="393"/>
    <s v="3 BEDROOM"/>
    <s v="C2"/>
    <n v="147.54499999999999"/>
    <n v="163.47687998581205"/>
    <x v="41"/>
    <n v="86.260099999999994"/>
    <m/>
    <s v="NW"/>
    <s v="CORNER "/>
    <s v="ROAD 18M (BUILDINGS)"/>
    <s v="GROUND"/>
    <x v="4"/>
    <n v="0.13"/>
    <n v="0.05"/>
    <n v="0.15"/>
    <n v="0.05"/>
    <n v="2.5000000000000001E-2"/>
    <n v="0.40499999999999997"/>
    <x v="0"/>
    <x v="1"/>
    <n v="48450.000000000007"/>
    <n v="54150.000000000007"/>
    <n v="5700"/>
    <n v="2308.5"/>
    <n v="50758.500000000007"/>
    <n v="16750.305000000004"/>
    <n v="55258.500000000007"/>
    <n v="58258.500000000007"/>
    <n v="9136530.0000000019"/>
    <n v="9946530.0000000019"/>
    <n v="10486530.000000002"/>
    <n v="1444882.9843305002"/>
    <n v="899420.10366809263"/>
    <n v="2"/>
    <n v="228000.00000000003"/>
    <n v="228000.00000000003"/>
    <n v="10809412.984330501"/>
    <n v="11619412.984330501"/>
    <n v="12159412.984330501"/>
    <d v="2026-07-01T00:00:00"/>
    <d v="2025-01-01T00:00:00"/>
  </r>
  <r>
    <m/>
    <s v="B"/>
    <s v="B12"/>
    <s v="RESIDENTIAL"/>
    <n v="1"/>
    <n v="1"/>
    <x v="394"/>
    <s v="2 BEDROOM"/>
    <s v="C2"/>
    <n v="96.311000000000007"/>
    <n v="106.71064277551626"/>
    <x v="21"/>
    <m/>
    <m/>
    <s v="NW"/>
    <s v="MIDDLE"/>
    <s v="ROAD 18M (BUILDINGS)"/>
    <s v="FIRST"/>
    <x v="1"/>
    <n v="0.13"/>
    <n v="2.5000000000000001E-2"/>
    <n v="0.15"/>
    <n v="7.0000000000000007E-2"/>
    <n v="0.04"/>
    <n v="0.41499999999999998"/>
    <x v="0"/>
    <x v="12"/>
    <n v="50150"/>
    <n v="56050"/>
    <n v="5900"/>
    <n v="2448.5"/>
    <n v="52598.5"/>
    <n v="17357.505000000001"/>
    <n v="57098.5"/>
    <n v="60098.5"/>
    <n v="6154024.5"/>
    <n v="6680524.5"/>
    <n v="7031524.5"/>
    <n v="0"/>
    <n v="523092.08250000002"/>
    <n v="1"/>
    <n v="236000"/>
    <n v="236000"/>
    <n v="6390024.5"/>
    <n v="6916524.5"/>
    <n v="7267524.5"/>
    <d v="2026-07-01T00:00:00"/>
    <d v="2025-04-01T00:00:00"/>
  </r>
  <r>
    <m/>
    <s v="B"/>
    <s v="B12"/>
    <s v="RESIDENTIAL"/>
    <n v="1"/>
    <n v="2"/>
    <x v="395"/>
    <s v="3 BEDROOM"/>
    <s v="C2"/>
    <n v="162.57599999999999"/>
    <n v="180.13092439983313"/>
    <x v="42"/>
    <m/>
    <m/>
    <s v="SE"/>
    <s v="MIDDLE"/>
    <s v="LAKE B-2"/>
    <s v="FIRST"/>
    <x v="3"/>
    <n v="0.08"/>
    <n v="2.5000000000000001E-2"/>
    <n v="0.53"/>
    <n v="7.0000000000000007E-2"/>
    <n v="1.4999999999999999E-2"/>
    <n v="0.72000000000000008"/>
    <x v="1"/>
    <x v="7"/>
    <n v="61625"/>
    <n v="68875"/>
    <n v="7250"/>
    <n v="5220.0000000000009"/>
    <n v="66845"/>
    <n v="22058.850000000002"/>
    <n v="71345"/>
    <n v="74345"/>
    <n v="13235310"/>
    <n v="14126310"/>
    <n v="14720310"/>
    <n v="0"/>
    <n v="1125001.3500000001"/>
    <n v="2"/>
    <n v="290000"/>
    <n v="290000"/>
    <n v="13525310"/>
    <n v="14416310"/>
    <n v="15010310"/>
    <d v="2026-07-01T00:00:00"/>
    <d v="2026-07-01T00:00:00"/>
  </r>
  <r>
    <m/>
    <s v="B"/>
    <s v="B12"/>
    <s v="RESIDENTIAL"/>
    <n v="1"/>
    <n v="3"/>
    <x v="396"/>
    <s v="3 BEDROOM + LIVING"/>
    <s v="C2"/>
    <n v="183.637"/>
    <n v="203.46608702398976"/>
    <x v="19"/>
    <m/>
    <m/>
    <s v="SE"/>
    <s v="CORNER "/>
    <s v="LAKE B-2"/>
    <s v="FIRST"/>
    <x v="3"/>
    <n v="0.08"/>
    <n v="0.05"/>
    <n v="0.53"/>
    <n v="7.0000000000000007E-2"/>
    <n v="1.4999999999999999E-2"/>
    <n v="0.745"/>
    <x v="2"/>
    <x v="3"/>
    <n v="42500"/>
    <n v="47500"/>
    <n v="5000"/>
    <n v="3725"/>
    <n v="46225"/>
    <n v="15254.25"/>
    <n v="50725"/>
    <n v="53725"/>
    <n v="10354400"/>
    <n v="11362400"/>
    <n v="12034400"/>
    <n v="0"/>
    <n v="880124.00000000012"/>
    <n v="2"/>
    <n v="200000"/>
    <n v="200000"/>
    <n v="10554400"/>
    <n v="11562400"/>
    <n v="12234400"/>
    <d v="2026-07-01T00:00:00"/>
    <d v="2023-09-01T00:00:00"/>
  </r>
  <r>
    <m/>
    <s v="B"/>
    <s v="B12"/>
    <s v="RESIDENTIAL"/>
    <n v="1"/>
    <n v="4"/>
    <x v="397"/>
    <s v="3 BEDROOM"/>
    <s v="C2"/>
    <n v="141.66300000000001"/>
    <n v="156.95974278647259"/>
    <x v="22"/>
    <m/>
    <m/>
    <s v="NW"/>
    <s v="CORNER "/>
    <s v="ROAD 18M (BUILDINGS)"/>
    <s v="FIRST"/>
    <x v="4"/>
    <n v="0.13"/>
    <n v="0.05"/>
    <n v="0.15"/>
    <n v="7.0000000000000007E-2"/>
    <n v="2.5000000000000001E-2"/>
    <n v="0.42499999999999999"/>
    <x v="0"/>
    <x v="4"/>
    <n v="51850"/>
    <n v="57950"/>
    <n v="6100"/>
    <n v="2592.5"/>
    <n v="54442.5"/>
    <n v="17966.025000000001"/>
    <n v="58942.5"/>
    <n v="61942.5"/>
    <n v="9418552.5"/>
    <n v="10197052.5"/>
    <n v="10716052.5"/>
    <n v="0"/>
    <n v="800576.96250000002"/>
    <n v="2"/>
    <n v="244000"/>
    <n v="244000"/>
    <n v="9662552.5"/>
    <n v="10441052.5"/>
    <n v="10960052.5"/>
    <d v="2026-07-01T00:00:00"/>
    <d v="2025-07-01T00:00:00"/>
  </r>
  <r>
    <m/>
    <s v="B"/>
    <s v="B12"/>
    <s v="RESIDENTIAL"/>
    <n v="2"/>
    <n v="1"/>
    <x v="398"/>
    <s v="3 BEDROOM"/>
    <s v="C2"/>
    <n v="141.22499999999999"/>
    <n v="156.47444763290054"/>
    <x v="23"/>
    <m/>
    <m/>
    <s v="NW"/>
    <s v="MIDDLE"/>
    <s v="ROAD 18M (BUILDINGS)"/>
    <s v="SECOND"/>
    <x v="4"/>
    <n v="0.13"/>
    <n v="2.5000000000000001E-2"/>
    <n v="0.15"/>
    <n v="0.11"/>
    <n v="2.5000000000000001E-2"/>
    <n v="0.44"/>
    <x v="0"/>
    <x v="4"/>
    <n v="51850"/>
    <n v="57950"/>
    <n v="6100"/>
    <n v="2684"/>
    <n v="54534"/>
    <n v="17996.22"/>
    <n v="59034"/>
    <n v="62034"/>
    <n v="9379848"/>
    <n v="10153848"/>
    <n v="10669848"/>
    <n v="0"/>
    <n v="797287.08000000007"/>
    <n v="2"/>
    <n v="244000"/>
    <n v="244000"/>
    <n v="9623848"/>
    <n v="10397848"/>
    <n v="10913848"/>
    <d v="2026-07-01T00:00:00"/>
    <d v="2025-07-01T00:00:00"/>
  </r>
  <r>
    <m/>
    <s v="B"/>
    <s v="B12"/>
    <s v="RESIDENTIAL"/>
    <n v="2"/>
    <n v="2"/>
    <x v="399"/>
    <s v="3 BEDROOM"/>
    <s v="C2"/>
    <n v="167.214"/>
    <n v="185.26973472464385"/>
    <x v="43"/>
    <m/>
    <m/>
    <s v="SE"/>
    <s v="MIDDLE"/>
    <s v="LAKE B-2"/>
    <s v="SECOND"/>
    <x v="3"/>
    <n v="0.08"/>
    <n v="2.5000000000000001E-2"/>
    <n v="0.53"/>
    <n v="0.11"/>
    <n v="1.4999999999999999E-2"/>
    <n v="0.76"/>
    <x v="2"/>
    <x v="0"/>
    <n v="43562.499999999993"/>
    <n v="48687.499999999993"/>
    <n v="5125"/>
    <n v="3895"/>
    <n v="47457.499999999993"/>
    <n v="15660.974999999999"/>
    <n v="51957.499999999993"/>
    <n v="54957.499999999993"/>
    <n v="9681329.9999999981"/>
    <n v="10599329.999999998"/>
    <n v="11211329.999999998"/>
    <n v="0"/>
    <n v="822913.04999999993"/>
    <n v="2"/>
    <n v="204999.99999999997"/>
    <n v="204999.99999999997"/>
    <n v="9886329.9999999981"/>
    <n v="10804329.999999998"/>
    <n v="11416329.999999998"/>
    <d v="2026-07-01T00:00:00"/>
    <d v="2024-01-01T00:00:00"/>
  </r>
  <r>
    <m/>
    <s v="B"/>
    <s v="B12"/>
    <s v="RESIDENTIAL"/>
    <n v="2"/>
    <n v="3"/>
    <x v="400"/>
    <s v="3 BEDROOM + LIVING"/>
    <s v="C2"/>
    <n v="187.10300000000001"/>
    <n v="207.30634502006436"/>
    <x v="25"/>
    <m/>
    <m/>
    <s v="SE"/>
    <s v="CORNER "/>
    <s v="LAKE B-2"/>
    <s v="SECOND"/>
    <x v="3"/>
    <n v="0.08"/>
    <n v="0.05"/>
    <n v="0.53"/>
    <n v="0.11"/>
    <n v="1.4999999999999999E-2"/>
    <n v="0.78500000000000003"/>
    <x v="2"/>
    <x v="2"/>
    <n v="45687.5"/>
    <n v="51062.5"/>
    <n v="5375"/>
    <n v="4219.375"/>
    <n v="49906.875"/>
    <n v="16469.268749999999"/>
    <n v="54406.875"/>
    <n v="57406.875"/>
    <n v="11378767.5"/>
    <n v="12404767.5"/>
    <n v="13088767.5"/>
    <n v="0"/>
    <n v="967195.23750000005"/>
    <n v="2"/>
    <n v="215000"/>
    <n v="215000"/>
    <n v="11593767.5"/>
    <n v="12619767.5"/>
    <n v="13303767.5"/>
    <d v="2026-07-01T00:00:00"/>
    <d v="2024-07-01T00:00:00"/>
  </r>
  <r>
    <m/>
    <s v="B"/>
    <s v="B12"/>
    <s v="RESIDENTIAL"/>
    <n v="2"/>
    <n v="4"/>
    <x v="401"/>
    <s v="3 BEDROOM"/>
    <s v="C2"/>
    <n v="143.989"/>
    <n v="159.53690380749666"/>
    <x v="20"/>
    <m/>
    <m/>
    <s v="NW"/>
    <s v="CORNER "/>
    <s v="ROAD 18M (BUILDINGS)"/>
    <s v="SECOND"/>
    <x v="4"/>
    <n v="0.13"/>
    <n v="0.05"/>
    <n v="0.15"/>
    <n v="0.11"/>
    <n v="2.5000000000000001E-2"/>
    <n v="0.46499999999999997"/>
    <x v="0"/>
    <x v="8"/>
    <n v="56100"/>
    <n v="62700"/>
    <n v="6600"/>
    <n v="3069"/>
    <n v="59169"/>
    <n v="19525.77"/>
    <n v="63669"/>
    <n v="66669"/>
    <n v="10413744"/>
    <n v="11205744"/>
    <n v="11733744"/>
    <n v="0"/>
    <n v="885168.24000000011"/>
    <n v="2"/>
    <n v="264000"/>
    <n v="264000"/>
    <n v="10677744"/>
    <n v="11469744"/>
    <n v="11997744"/>
    <d v="2026-07-01T00:00:00"/>
    <d v="2026-01-01T00:00:00"/>
  </r>
  <r>
    <m/>
    <s v="B"/>
    <s v="B12"/>
    <s v="RESIDENTIAL"/>
    <n v="3"/>
    <n v="1"/>
    <x v="402"/>
    <s v="3 BEDROOM"/>
    <s v="C2"/>
    <n v="141.131"/>
    <n v="156.37029753144901"/>
    <x v="23"/>
    <m/>
    <m/>
    <s v="NW"/>
    <s v="MIDDLE"/>
    <s v="ROAD 18M (BUILDINGS)"/>
    <s v="THIRD"/>
    <x v="4"/>
    <n v="0.13"/>
    <n v="2.5000000000000001E-2"/>
    <n v="0.15"/>
    <n v="0.15"/>
    <n v="2.5000000000000001E-2"/>
    <n v="0.48"/>
    <x v="0"/>
    <x v="7"/>
    <n v="61625"/>
    <n v="68875"/>
    <n v="7250"/>
    <n v="3480"/>
    <n v="65105"/>
    <n v="21484.65"/>
    <n v="69605"/>
    <n v="72605"/>
    <n v="11198060"/>
    <n v="11972060"/>
    <n v="12488060"/>
    <n v="0"/>
    <n v="951835.10000000009"/>
    <n v="2"/>
    <n v="290000"/>
    <n v="290000"/>
    <n v="11488060"/>
    <n v="12262060"/>
    <n v="12778060"/>
    <d v="2026-07-01T00:00:00"/>
    <d v="2026-07-01T00:00:00"/>
  </r>
  <r>
    <m/>
    <s v="B"/>
    <s v="B12"/>
    <s v="RESIDENTIAL"/>
    <n v="3"/>
    <n v="2"/>
    <x v="403"/>
    <s v="3 BEDROOM"/>
    <s v="C2"/>
    <n v="164.43600000000001"/>
    <n v="182.19176683281029"/>
    <x v="44"/>
    <m/>
    <m/>
    <s v="SE"/>
    <s v="MIDDLE"/>
    <s v="LAKE B-2"/>
    <s v="THIRD"/>
    <x v="3"/>
    <n v="0.08"/>
    <n v="2.5000000000000001E-2"/>
    <n v="0.53"/>
    <n v="0.15"/>
    <n v="1.4999999999999999E-2"/>
    <n v="0.8"/>
    <x v="2"/>
    <x v="1"/>
    <n v="48450.000000000007"/>
    <n v="54150.000000000007"/>
    <n v="5700"/>
    <n v="4560"/>
    <n v="53010.000000000007"/>
    <n v="17493.300000000003"/>
    <n v="57510.000000000007"/>
    <n v="60510.000000000007"/>
    <n v="10655010.000000002"/>
    <n v="11559510.000000002"/>
    <n v="12162510.000000002"/>
    <n v="0"/>
    <n v="905675.85000000021"/>
    <n v="2"/>
    <n v="228000.00000000003"/>
    <n v="228000.00000000003"/>
    <n v="10883010.000000002"/>
    <n v="11787510.000000002"/>
    <n v="12390510.000000002"/>
    <d v="2026-07-01T00:00:00"/>
    <d v="2025-01-01T00:00:00"/>
  </r>
  <r>
    <m/>
    <s v="B"/>
    <s v="B12"/>
    <s v="RESIDENTIAL"/>
    <n v="3"/>
    <n v="3"/>
    <x v="404"/>
    <s v="3 BEDROOM + LIVING"/>
    <s v="C2"/>
    <n v="187.20400000000001"/>
    <n v="207.41825098013462"/>
    <x v="25"/>
    <m/>
    <m/>
    <s v="SE"/>
    <s v="CORNER "/>
    <s v="LAKE B-2"/>
    <s v="THIRD"/>
    <x v="3"/>
    <n v="0.08"/>
    <n v="0.05"/>
    <n v="0.53"/>
    <n v="0.15"/>
    <n v="1.4999999999999999E-2"/>
    <n v="0.82500000000000007"/>
    <x v="2"/>
    <x v="12"/>
    <n v="50150"/>
    <n v="56050"/>
    <n v="5900"/>
    <n v="4867.5"/>
    <n v="55017.5"/>
    <n v="18155.775000000001"/>
    <n v="59517.5"/>
    <n v="62517.5"/>
    <n v="12543990"/>
    <n v="13569990"/>
    <n v="14253990"/>
    <n v="0"/>
    <n v="1066239.1500000001"/>
    <n v="2"/>
    <n v="236000"/>
    <n v="236000"/>
    <n v="12779990"/>
    <n v="13805990"/>
    <n v="14489990"/>
    <d v="2026-07-01T00:00:00"/>
    <d v="2025-04-01T00:00:00"/>
  </r>
  <r>
    <m/>
    <s v="B"/>
    <s v="B12"/>
    <s v="RESIDENTIAL"/>
    <n v="3"/>
    <n v="4"/>
    <x v="405"/>
    <s v="3 BEDROOM"/>
    <s v="C2"/>
    <n v="143.911"/>
    <n v="159.45048138288794"/>
    <x v="20"/>
    <m/>
    <m/>
    <s v="NW"/>
    <s v="CORNER "/>
    <s v="ROAD 18M (BUILDINGS)"/>
    <s v="THIRD"/>
    <x v="4"/>
    <n v="0.13"/>
    <n v="0.05"/>
    <n v="0.15"/>
    <n v="0.15"/>
    <n v="2.5000000000000001E-2"/>
    <n v="0.505"/>
    <x v="1"/>
    <x v="3"/>
    <n v="42500"/>
    <n v="47500"/>
    <n v="5000"/>
    <n v="2525"/>
    <n v="45025"/>
    <n v="14858.25"/>
    <n v="49525"/>
    <n v="52525"/>
    <n v="7924400"/>
    <n v="8716400"/>
    <n v="9244400"/>
    <n v="0"/>
    <n v="673574"/>
    <n v="2"/>
    <n v="200000"/>
    <n v="200000"/>
    <n v="8124400"/>
    <n v="8916400"/>
    <n v="9444400"/>
    <d v="2026-07-01T00:00:00"/>
    <d v="2023-09-01T00:00:00"/>
  </r>
  <r>
    <m/>
    <s v="B"/>
    <s v="B12"/>
    <s v="RESIDENTIAL"/>
    <n v="4"/>
    <n v="1"/>
    <x v="406"/>
    <s v="3 BEDROOM"/>
    <s v="C2"/>
    <n v="139.16499999999999"/>
    <n v="154.19200923938823"/>
    <x v="28"/>
    <m/>
    <m/>
    <s v="NW"/>
    <s v="MIDDLE"/>
    <s v="ROAD 18M (BUILDINGS)"/>
    <s v="FORTH"/>
    <x v="4"/>
    <n v="0.13"/>
    <n v="2.5000000000000001E-2"/>
    <n v="0.15"/>
    <n v="0.06"/>
    <n v="2.5000000000000001E-2"/>
    <n v="0.39"/>
    <x v="0"/>
    <x v="2"/>
    <n v="45687.5"/>
    <n v="51062.5"/>
    <n v="5375"/>
    <n v="2096.25"/>
    <n v="47783.75"/>
    <n v="15768.637500000001"/>
    <n v="52283.75"/>
    <n v="55283.75"/>
    <n v="8123237.5"/>
    <n v="8888237.5"/>
    <n v="9398237.5"/>
    <n v="0"/>
    <n v="690475.1875"/>
    <n v="2"/>
    <n v="215000"/>
    <n v="215000"/>
    <n v="8338237.5"/>
    <n v="9103237.5"/>
    <n v="9613237.5"/>
    <d v="2026-07-01T00:00:00"/>
    <d v="2024-07-01T00:00:00"/>
  </r>
  <r>
    <m/>
    <s v="B"/>
    <s v="B12"/>
    <s v="RESIDENTIAL"/>
    <n v="4"/>
    <n v="2"/>
    <x v="407"/>
    <s v="3 BEDROOM"/>
    <s v="C2"/>
    <n v="162.49"/>
    <n v="180.03563813680304"/>
    <x v="42"/>
    <m/>
    <m/>
    <s v="SE"/>
    <s v="MIDDLE"/>
    <s v="LAKE B-2"/>
    <s v="FORTH"/>
    <x v="3"/>
    <n v="0.08"/>
    <n v="2.5000000000000001E-2"/>
    <n v="0.53"/>
    <n v="0.06"/>
    <n v="1.4999999999999999E-2"/>
    <n v="0.71000000000000008"/>
    <x v="1"/>
    <x v="9"/>
    <n v="58649.999999999993"/>
    <n v="65550"/>
    <n v="6900.0000000000073"/>
    <n v="4899.0000000000055"/>
    <n v="63549"/>
    <n v="20971.170000000002"/>
    <n v="68049"/>
    <n v="71049"/>
    <n v="12582702"/>
    <n v="13473702"/>
    <n v="14067702"/>
    <n v="0"/>
    <n v="1069529.6700000002"/>
    <n v="2"/>
    <n v="276000"/>
    <n v="276000"/>
    <n v="12858702"/>
    <n v="13749702"/>
    <n v="14343702"/>
    <d v="2026-07-01T00:00:00"/>
    <d v="2026-04-01T00:00:00"/>
  </r>
  <r>
    <m/>
    <s v="B"/>
    <s v="B12"/>
    <s v="RESIDENTIAL"/>
    <n v="4"/>
    <n v="3"/>
    <x v="408"/>
    <s v="3 BEDROOM + LIVING"/>
    <s v="C2"/>
    <n v="182.357"/>
    <n v="202.04787287656464"/>
    <x v="45"/>
    <m/>
    <m/>
    <s v="SE"/>
    <s v="CORNER "/>
    <s v="LAKE B-2"/>
    <s v="FORTH"/>
    <x v="3"/>
    <n v="0.08"/>
    <n v="0.05"/>
    <n v="0.53"/>
    <n v="0.06"/>
    <n v="1.4999999999999999E-2"/>
    <n v="0.73499999999999999"/>
    <x v="2"/>
    <x v="3"/>
    <n v="42500"/>
    <n v="47500"/>
    <n v="5000"/>
    <n v="3675"/>
    <n v="46175"/>
    <n v="15237.75"/>
    <n v="50675"/>
    <n v="53675"/>
    <n v="10250850"/>
    <n v="11249850"/>
    <n v="11915850"/>
    <n v="0"/>
    <n v="871322.25000000012"/>
    <n v="2"/>
    <n v="200000"/>
    <n v="200000"/>
    <n v="10450850"/>
    <n v="11449850"/>
    <n v="12115850"/>
    <d v="2026-07-01T00:00:00"/>
    <d v="2023-09-01T00:00:00"/>
  </r>
  <r>
    <m/>
    <s v="B"/>
    <s v="B12"/>
    <s v="RESIDENTIAL"/>
    <n v="4"/>
    <n v="4"/>
    <x v="409"/>
    <s v="3 BEDROOM"/>
    <s v="C2"/>
    <n v="141.929"/>
    <n v="157.25446541398435"/>
    <x v="22"/>
    <m/>
    <m/>
    <s v="NW"/>
    <s v="CORNER "/>
    <s v="ROAD 18M (BUILDINGS)"/>
    <s v="FORTH"/>
    <x v="4"/>
    <n v="0.13"/>
    <n v="0.05"/>
    <n v="0.15"/>
    <n v="0.06"/>
    <n v="2.5000000000000001E-2"/>
    <n v="0.41499999999999998"/>
    <x v="0"/>
    <x v="12"/>
    <n v="50150"/>
    <n v="56050"/>
    <n v="5900"/>
    <n v="2448.5"/>
    <n v="52598.5"/>
    <n v="17357.505000000001"/>
    <n v="57098.5"/>
    <n v="60098.5"/>
    <n v="9099540.5"/>
    <n v="9878040.5"/>
    <n v="10397040.5"/>
    <n v="0"/>
    <n v="773460.9425"/>
    <n v="2"/>
    <n v="236000"/>
    <n v="236000"/>
    <n v="9335540.5"/>
    <n v="10114040.5"/>
    <n v="10633040.5"/>
    <d v="2026-07-01T00:00:00"/>
    <d v="2025-04-01T00:00:00"/>
  </r>
  <r>
    <s v="B3"/>
    <s v="B"/>
    <s v="B13"/>
    <s v="RESIDENTIAL"/>
    <n v="0"/>
    <n v="1"/>
    <x v="410"/>
    <s v="3 BEDROOM"/>
    <s v="C2"/>
    <n v="141.82499999999999"/>
    <n v="159.04192828545919"/>
    <x v="22"/>
    <n v="78.601100000000002"/>
    <m/>
    <s v="NW"/>
    <s v="MIDDLE"/>
    <s v="ROAD 18M (BUILDINGS)"/>
    <s v="GROUND"/>
    <x v="4"/>
    <n v="0.13"/>
    <n v="2.5000000000000001E-2"/>
    <n v="0.15"/>
    <n v="0.05"/>
    <n v="2.5000000000000001E-2"/>
    <n v="0.38"/>
    <x v="0"/>
    <x v="6"/>
    <n v="44625"/>
    <n v="49875"/>
    <n v="5250"/>
    <n v="1995"/>
    <n v="46620"/>
    <n v="15384.6"/>
    <n v="51120"/>
    <n v="54120"/>
    <n v="8065260"/>
    <n v="8843760"/>
    <n v="9362760"/>
    <n v="1209246.48306"/>
    <n v="788333.05106010009"/>
    <n v="2"/>
    <n v="210000"/>
    <n v="210000"/>
    <n v="9484506.4830600005"/>
    <n v="10263006.48306"/>
    <n v="10782006.48306"/>
    <d v="2026-07-01T00:00:00"/>
    <d v="2024-04-01T00:00:00"/>
  </r>
  <r>
    <m/>
    <s v="B"/>
    <s v="B13"/>
    <s v="RESIDENTIAL"/>
    <n v="0"/>
    <n v="2"/>
    <x v="411"/>
    <s v="3 BEDROOM + LIVING (DUPLEX)"/>
    <s v="C2"/>
    <n v="142.05600000000001"/>
    <n v="159.30097066468673"/>
    <x v="46"/>
    <n v="97.868200000000002"/>
    <m/>
    <s v="SE"/>
    <s v="MIDDLE"/>
    <s v="LAKE B-2"/>
    <s v="GROUND"/>
    <x v="5"/>
    <n v="0.08"/>
    <n v="2.5000000000000001E-2"/>
    <n v="0.53"/>
    <n v="0.05"/>
    <n v="0"/>
    <n v="0.68500000000000005"/>
    <x v="1"/>
    <x v="3"/>
    <n v="42500"/>
    <n v="47500"/>
    <n v="5000"/>
    <n v="3425.0000000000005"/>
    <n v="45925"/>
    <n v="15155.25"/>
    <n v="50425"/>
    <n v="53425"/>
    <n v="15798200"/>
    <n v="17346200"/>
    <n v="18378200"/>
    <n v="1483217.0380500001"/>
    <n v="1468920.4482342501"/>
    <n v="2"/>
    <n v="200000"/>
    <n v="200000"/>
    <n v="17481417.03805"/>
    <n v="19029417.03805"/>
    <n v="20061417.03805"/>
    <d v="2026-07-01T00:00:00"/>
    <d v="2023-09-01T00:00:00"/>
  </r>
  <r>
    <m/>
    <s v="B"/>
    <s v="B13"/>
    <s v="RESIDENTIAL"/>
    <n v="0"/>
    <n v="3"/>
    <x v="412"/>
    <s v="3 BEDROOM + LIVING (DUPLEX)"/>
    <s v="C2"/>
    <n v="142.197"/>
    <n v="159.45908744161781"/>
    <x v="46"/>
    <n v="97.259299999999996"/>
    <m/>
    <s v="SE"/>
    <s v="MIDDLE"/>
    <s v="LAKE B-2"/>
    <s v="GROUND"/>
    <x v="5"/>
    <n v="0.08"/>
    <n v="2.5000000000000001E-2"/>
    <n v="0.53"/>
    <n v="0.05"/>
    <n v="0"/>
    <n v="0.68500000000000005"/>
    <x v="1"/>
    <x v="4"/>
    <n v="51850"/>
    <n v="57950"/>
    <n v="6100"/>
    <n v="4178.5"/>
    <n v="56028.5"/>
    <n v="18489.405000000002"/>
    <n v="60528.5"/>
    <n v="63528.5"/>
    <n v="19273804"/>
    <n v="20821804"/>
    <n v="21853804"/>
    <n v="1798266.5877165003"/>
    <n v="1791125.9999559028"/>
    <n v="2"/>
    <n v="244000"/>
    <n v="244000"/>
    <n v="21316070.587716501"/>
    <n v="22864070.587716501"/>
    <n v="23896070.587716501"/>
    <d v="2026-07-01T00:00:00"/>
    <d v="2025-07-01T00:00:00"/>
  </r>
  <r>
    <m/>
    <s v="B"/>
    <s v="B13"/>
    <s v="RESIDENTIAL"/>
    <n v="0"/>
    <n v="4"/>
    <x v="413"/>
    <s v="2 BEDROOM"/>
    <s v="C2"/>
    <n v="95.254000000000005"/>
    <n v="106.81741467938045"/>
    <x v="17"/>
    <n v="63.399000000000001"/>
    <m/>
    <s v="NW"/>
    <s v="MIDDLE"/>
    <s v="ROAD 18M (BUILDINGS)"/>
    <s v="GROUND"/>
    <x v="1"/>
    <n v="0.13"/>
    <n v="2.5000000000000001E-2"/>
    <n v="0.15"/>
    <n v="0.05"/>
    <n v="0.04"/>
    <n v="0.39499999999999996"/>
    <x v="0"/>
    <x v="2"/>
    <n v="45687.5"/>
    <n v="51062.5"/>
    <n v="5375"/>
    <n v="2123.125"/>
    <n v="47810.625"/>
    <n v="15777.50625"/>
    <n v="52310.625"/>
    <n v="55310.625"/>
    <n v="5546032.5"/>
    <n v="6068032.5"/>
    <n v="6416032.5"/>
    <n v="1000278.11874375"/>
    <n v="556436.40259321884"/>
    <n v="1"/>
    <n v="215000"/>
    <n v="215000"/>
    <n v="6761310.6187437503"/>
    <n v="7283310.6187437503"/>
    <n v="7631310.6187437503"/>
    <d v="2026-07-01T00:00:00"/>
    <d v="2024-07-01T00:00:00"/>
  </r>
  <r>
    <m/>
    <s v="B"/>
    <s v="B13"/>
    <s v="RESIDENTIAL"/>
    <n v="1"/>
    <n v="1"/>
    <x v="414"/>
    <s v="3 BEDROOM"/>
    <s v="C2"/>
    <n v="142.977"/>
    <n v="160.33377599485354"/>
    <x v="47"/>
    <m/>
    <m/>
    <s v="NW"/>
    <s v="MIDDLE"/>
    <s v="ROAD 18M (BUILDINGS)"/>
    <s v="FIRST"/>
    <x v="4"/>
    <n v="0.13"/>
    <n v="2.5000000000000001E-2"/>
    <n v="0.15"/>
    <n v="7.0000000000000007E-2"/>
    <n v="2.5000000000000001E-2"/>
    <n v="0.4"/>
    <x v="0"/>
    <x v="5"/>
    <n v="46750.000000000007"/>
    <n v="52250.000000000007"/>
    <n v="5500"/>
    <n v="2200"/>
    <n v="48950.000000000007"/>
    <n v="16153.500000000004"/>
    <n v="53450.000000000007"/>
    <n v="56450.000000000007"/>
    <n v="8517300.0000000019"/>
    <n v="9300300.0000000019"/>
    <n v="9822300.0000000019"/>
    <n v="0"/>
    <n v="723970.50000000023"/>
    <n v="2"/>
    <n v="220000.00000000003"/>
    <n v="220000.00000000003"/>
    <n v="8737300.0000000019"/>
    <n v="9520300.0000000019"/>
    <n v="10042300.000000002"/>
    <d v="2026-07-01T00:00:00"/>
    <d v="2024-10-01T00:00:00"/>
  </r>
  <r>
    <m/>
    <s v="B"/>
    <s v="B13"/>
    <s v="RESIDENTIAL"/>
    <n v="1"/>
    <n v="4"/>
    <x v="415"/>
    <s v="2 BEDROOM"/>
    <s v="C2"/>
    <n v="96.311000000000007"/>
    <n v="108.00272980857298"/>
    <x v="21"/>
    <m/>
    <m/>
    <s v="NW"/>
    <s v="MIDDLE"/>
    <s v="ROAD 18M (BUILDINGS)"/>
    <s v="FIRST"/>
    <x v="1"/>
    <n v="0.13"/>
    <n v="2.5000000000000001E-2"/>
    <n v="0.15"/>
    <n v="7.0000000000000007E-2"/>
    <n v="0.04"/>
    <n v="0.41499999999999998"/>
    <x v="0"/>
    <x v="12"/>
    <n v="50150"/>
    <n v="56050"/>
    <n v="5900"/>
    <n v="2448.5"/>
    <n v="52598.5"/>
    <n v="17357.505000000001"/>
    <n v="57098.5"/>
    <n v="60098.5"/>
    <n v="6154024.5"/>
    <n v="6680524.5"/>
    <n v="7031524.5"/>
    <n v="0"/>
    <n v="523092.08250000002"/>
    <n v="1"/>
    <n v="236000"/>
    <n v="236000"/>
    <n v="6390024.5"/>
    <n v="6916524.5"/>
    <n v="7267524.5"/>
    <d v="2026-07-01T00:00:00"/>
    <d v="2025-04-01T00:00:00"/>
  </r>
  <r>
    <m/>
    <s v="B"/>
    <s v="B13"/>
    <s v="RESIDENTIAL"/>
    <n v="2"/>
    <n v="1"/>
    <x v="416"/>
    <s v="3 BEDROOM"/>
    <s v="C2"/>
    <n v="141.18700000000001"/>
    <n v="158.32647790473564"/>
    <x v="23"/>
    <m/>
    <m/>
    <s v="NW"/>
    <s v="MIDDLE"/>
    <s v="ROAD 18M (BUILDINGS)"/>
    <s v="SECOND"/>
    <x v="4"/>
    <n v="0.13"/>
    <n v="2.5000000000000001E-2"/>
    <n v="0.15"/>
    <n v="0.11"/>
    <n v="2.5000000000000001E-2"/>
    <n v="0.44"/>
    <x v="0"/>
    <x v="4"/>
    <n v="51850"/>
    <n v="57950"/>
    <n v="6100"/>
    <n v="2684"/>
    <n v="54534"/>
    <n v="17996.22"/>
    <n v="59034"/>
    <n v="62034"/>
    <n v="9379848"/>
    <n v="10153848"/>
    <n v="10669848"/>
    <n v="0"/>
    <n v="797287.08000000007"/>
    <n v="2"/>
    <n v="244000"/>
    <n v="244000"/>
    <n v="9623848"/>
    <n v="10397848"/>
    <n v="10913848"/>
    <d v="2026-07-01T00:00:00"/>
    <d v="2025-07-01T00:00:00"/>
  </r>
  <r>
    <m/>
    <s v="B"/>
    <s v="B13"/>
    <s v="RESIDENTIAL"/>
    <n v="2"/>
    <n v="2"/>
    <x v="417"/>
    <s v="3 BEDROOM"/>
    <s v="C2"/>
    <n v="141.446"/>
    <n v="158.61691936023314"/>
    <x v="22"/>
    <m/>
    <m/>
    <s v="SE"/>
    <s v="MIDDLE"/>
    <s v="LAKE B-2"/>
    <s v="SECOND"/>
    <x v="4"/>
    <n v="0.08"/>
    <n v="2.5000000000000001E-2"/>
    <n v="0.53"/>
    <n v="0.11"/>
    <n v="2.5000000000000001E-2"/>
    <n v="0.77"/>
    <x v="2"/>
    <x v="6"/>
    <n v="44625"/>
    <n v="49875"/>
    <n v="5250"/>
    <n v="4042.5"/>
    <n v="48667.5"/>
    <n v="16060.275000000001"/>
    <n v="53167.5"/>
    <n v="56167.5"/>
    <n v="8419477.5"/>
    <n v="9197977.5"/>
    <n v="9716977.5"/>
    <n v="0"/>
    <n v="715655.58750000002"/>
    <n v="2"/>
    <n v="210000"/>
    <n v="210000"/>
    <n v="8629477.5"/>
    <n v="9407977.5"/>
    <n v="9926977.5"/>
    <d v="2026-07-01T00:00:00"/>
    <d v="2024-04-01T00:00:00"/>
  </r>
  <r>
    <m/>
    <s v="B"/>
    <s v="B13"/>
    <s v="RESIDENTIAL"/>
    <n v="2"/>
    <n v="3"/>
    <x v="418"/>
    <s v="3 BEDROOM"/>
    <s v="C2"/>
    <n v="141.572"/>
    <n v="158.75821520344815"/>
    <x v="22"/>
    <m/>
    <m/>
    <s v="SE"/>
    <s v="MIDDLE"/>
    <s v="LAKE B-2"/>
    <s v="SECOND"/>
    <x v="4"/>
    <n v="0.08"/>
    <n v="2.5000000000000001E-2"/>
    <n v="0.53"/>
    <n v="0.11"/>
    <n v="2.5000000000000001E-2"/>
    <n v="0.77"/>
    <x v="2"/>
    <x v="6"/>
    <n v="44625"/>
    <n v="49875"/>
    <n v="5250"/>
    <n v="4042.5"/>
    <n v="48667.5"/>
    <n v="16060.275000000001"/>
    <n v="53167.5"/>
    <n v="56167.5"/>
    <n v="8419477.5"/>
    <n v="9197977.5"/>
    <n v="9716977.5"/>
    <n v="0"/>
    <n v="715655.58750000002"/>
    <n v="2"/>
    <n v="210000"/>
    <n v="210000"/>
    <n v="8629477.5"/>
    <n v="9407977.5"/>
    <n v="9926977.5"/>
    <d v="2026-07-01T00:00:00"/>
    <d v="2024-04-01T00:00:00"/>
  </r>
  <r>
    <m/>
    <s v="B"/>
    <s v="B13"/>
    <s v="RESIDENTIAL"/>
    <n v="2"/>
    <n v="4"/>
    <x v="419"/>
    <s v="3 BEDROOM"/>
    <s v="C2"/>
    <n v="141.226"/>
    <n v="158.37021233239741"/>
    <x v="23"/>
    <m/>
    <m/>
    <s v="NW"/>
    <s v="MIDDLE"/>
    <s v="ROAD 18M (BUILDINGS)"/>
    <s v="SECOND"/>
    <x v="4"/>
    <n v="0.13"/>
    <n v="2.5000000000000001E-2"/>
    <n v="0.15"/>
    <n v="0.11"/>
    <n v="2.5000000000000001E-2"/>
    <n v="0.44"/>
    <x v="0"/>
    <x v="4"/>
    <n v="51850"/>
    <n v="57950"/>
    <n v="6100"/>
    <n v="2684"/>
    <n v="54534"/>
    <n v="17996.22"/>
    <n v="59034"/>
    <n v="62034"/>
    <n v="9379848"/>
    <n v="10153848"/>
    <n v="10669848"/>
    <n v="0"/>
    <n v="797287.08000000007"/>
    <n v="2"/>
    <n v="244000"/>
    <n v="244000"/>
    <n v="9623848"/>
    <n v="10397848"/>
    <n v="10913848"/>
    <d v="2026-07-01T00:00:00"/>
    <d v="2025-07-01T00:00:00"/>
  </r>
  <r>
    <m/>
    <s v="B"/>
    <s v="B13"/>
    <s v="RESIDENTIAL"/>
    <n v="3"/>
    <n v="1"/>
    <x v="420"/>
    <s v="3 BEDROOM"/>
    <s v="C2"/>
    <n v="141.48599999999999"/>
    <n v="158.66177518347598"/>
    <x v="22"/>
    <m/>
    <m/>
    <s v="NW"/>
    <s v="MIDDLE"/>
    <s v="ROAD 18M (BUILDINGS)"/>
    <s v="THIRD"/>
    <x v="4"/>
    <n v="0.13"/>
    <n v="2.5000000000000001E-2"/>
    <n v="0.15"/>
    <n v="0.15"/>
    <n v="2.5000000000000001E-2"/>
    <n v="0.48"/>
    <x v="0"/>
    <x v="7"/>
    <n v="61625"/>
    <n v="68875"/>
    <n v="7250"/>
    <n v="3480"/>
    <n v="65105"/>
    <n v="21484.65"/>
    <n v="69605"/>
    <n v="72605"/>
    <n v="11263165"/>
    <n v="12041665"/>
    <n v="12560665"/>
    <n v="0"/>
    <n v="957369.02500000002"/>
    <n v="2"/>
    <n v="290000"/>
    <n v="290000"/>
    <n v="11553165"/>
    <n v="12331665"/>
    <n v="12850665"/>
    <d v="2026-07-01T00:00:00"/>
    <d v="2026-07-01T00:00:00"/>
  </r>
  <r>
    <m/>
    <s v="B"/>
    <s v="B13"/>
    <s v="RESIDENTIAL"/>
    <n v="3"/>
    <n v="2"/>
    <x v="421"/>
    <s v="3 BEDROOM"/>
    <s v="C2"/>
    <n v="142.25399999999999"/>
    <n v="159.52300698973886"/>
    <x v="47"/>
    <m/>
    <m/>
    <s v="SE"/>
    <s v="MIDDLE"/>
    <s v="LAKE B-2"/>
    <s v="THIRD"/>
    <x v="4"/>
    <n v="0.08"/>
    <n v="2.5000000000000001E-2"/>
    <n v="0.53"/>
    <n v="0.15"/>
    <n v="2.5000000000000001E-2"/>
    <n v="0.81"/>
    <x v="2"/>
    <x v="12"/>
    <n v="50150"/>
    <n v="56050"/>
    <n v="5900"/>
    <n v="4779"/>
    <n v="54929"/>
    <n v="18126.57"/>
    <n v="59429"/>
    <n v="62429"/>
    <n v="9557646"/>
    <n v="10340646"/>
    <n v="10862646"/>
    <n v="0"/>
    <n v="812399.91"/>
    <n v="2"/>
    <n v="236000"/>
    <n v="236000"/>
    <n v="9793646"/>
    <n v="10576646"/>
    <n v="11098646"/>
    <d v="2026-07-01T00:00:00"/>
    <d v="2025-04-01T00:00:00"/>
  </r>
  <r>
    <m/>
    <s v="B"/>
    <s v="B13"/>
    <s v="RESIDENTIAL"/>
    <n v="3"/>
    <n v="3"/>
    <x v="422"/>
    <s v="3 BEDROOM"/>
    <s v="C2"/>
    <n v="142.37799999999999"/>
    <n v="159.6620600417917"/>
    <x v="47"/>
    <m/>
    <m/>
    <s v="SE"/>
    <s v="MIDDLE"/>
    <s v="LAKE B-2"/>
    <s v="THIRD"/>
    <x v="4"/>
    <n v="0.08"/>
    <n v="2.5000000000000001E-2"/>
    <n v="0.53"/>
    <n v="0.15"/>
    <n v="2.5000000000000001E-2"/>
    <n v="0.81"/>
    <x v="2"/>
    <x v="12"/>
    <n v="50150"/>
    <n v="56050"/>
    <n v="5900"/>
    <n v="4779"/>
    <n v="54929"/>
    <n v="18126.57"/>
    <n v="59429"/>
    <n v="62429"/>
    <n v="9557646"/>
    <n v="10340646"/>
    <n v="10862646"/>
    <n v="0"/>
    <n v="812399.91"/>
    <n v="2"/>
    <n v="236000"/>
    <n v="236000"/>
    <n v="9793646"/>
    <n v="10576646"/>
    <n v="11098646"/>
    <d v="2026-07-01T00:00:00"/>
    <d v="2025-04-01T00:00:00"/>
  </r>
  <r>
    <m/>
    <s v="B"/>
    <s v="B13"/>
    <s v="RESIDENTIAL"/>
    <n v="3"/>
    <n v="4"/>
    <x v="423"/>
    <s v="3 BEDROOM"/>
    <s v="C2"/>
    <n v="141.52600000000001"/>
    <n v="158.70663100671885"/>
    <x v="22"/>
    <m/>
    <m/>
    <s v="NW"/>
    <s v="MIDDLE"/>
    <s v="ROAD 18M (BUILDINGS)"/>
    <s v="THIRD"/>
    <x v="4"/>
    <n v="0.13"/>
    <n v="2.5000000000000001E-2"/>
    <n v="0.15"/>
    <n v="0.15"/>
    <n v="2.5000000000000001E-2"/>
    <n v="0.48"/>
    <x v="0"/>
    <x v="7"/>
    <n v="61625"/>
    <n v="68875"/>
    <n v="7250"/>
    <n v="3480"/>
    <n v="65105"/>
    <n v="21484.65"/>
    <n v="69605"/>
    <n v="72605"/>
    <n v="11263165"/>
    <n v="12041665"/>
    <n v="12560665"/>
    <n v="0"/>
    <n v="957369.02500000002"/>
    <n v="2"/>
    <n v="290000"/>
    <n v="290000"/>
    <n v="11553165"/>
    <n v="12331665"/>
    <n v="12850665"/>
    <d v="2026-07-01T00:00:00"/>
    <d v="2026-07-01T00:00:00"/>
  </r>
  <r>
    <m/>
    <s v="B"/>
    <s v="B13"/>
    <s v="RESIDENTIAL"/>
    <n v="4"/>
    <n v="1"/>
    <x v="424"/>
    <s v="3 BEDROOM"/>
    <s v="C2"/>
    <n v="139.12"/>
    <n v="156.00855323866094"/>
    <x v="28"/>
    <m/>
    <m/>
    <s v="NW"/>
    <s v="MIDDLE"/>
    <s v="ROAD 18M (BUILDINGS)"/>
    <s v="FORTH"/>
    <x v="4"/>
    <n v="0.13"/>
    <n v="2.5000000000000001E-2"/>
    <n v="0.15"/>
    <n v="0.06"/>
    <n v="2.5000000000000001E-2"/>
    <n v="0.39"/>
    <x v="0"/>
    <x v="2"/>
    <n v="45687.5"/>
    <n v="51062.5"/>
    <n v="5375"/>
    <n v="2096.25"/>
    <n v="47783.75"/>
    <n v="15768.637500000001"/>
    <n v="52283.75"/>
    <n v="55283.75"/>
    <n v="8123237.5"/>
    <n v="8888237.5"/>
    <n v="9398237.5"/>
    <n v="0"/>
    <n v="690475.1875"/>
    <n v="2"/>
    <n v="215000"/>
    <n v="215000"/>
    <n v="8338237.5"/>
    <n v="9103237.5"/>
    <n v="9613237.5"/>
    <d v="2026-07-01T00:00:00"/>
    <d v="2024-07-01T00:00:00"/>
  </r>
  <r>
    <m/>
    <s v="B"/>
    <s v="B13"/>
    <s v="RESIDENTIAL"/>
    <n v="4"/>
    <n v="2"/>
    <x v="425"/>
    <s v="3 BEDROOM"/>
    <s v="C2"/>
    <n v="141.53399999999999"/>
    <n v="158.71560217136741"/>
    <x v="22"/>
    <m/>
    <m/>
    <s v="SE"/>
    <s v="MIDDLE"/>
    <s v="LAKE B-2"/>
    <s v="FORTH"/>
    <x v="4"/>
    <n v="0.08"/>
    <n v="2.5000000000000001E-2"/>
    <n v="0.53"/>
    <n v="0.06"/>
    <n v="2.5000000000000001E-2"/>
    <n v="0.72000000000000008"/>
    <x v="1"/>
    <x v="7"/>
    <n v="61625"/>
    <n v="68875"/>
    <n v="7250"/>
    <n v="5220.0000000000009"/>
    <n v="66845"/>
    <n v="22058.850000000002"/>
    <n v="71345"/>
    <n v="74345"/>
    <n v="11564185"/>
    <n v="12342685"/>
    <n v="12861685"/>
    <n v="0"/>
    <n v="982955.72500000009"/>
    <n v="2"/>
    <n v="290000"/>
    <n v="290000"/>
    <n v="11854185"/>
    <n v="12632685"/>
    <n v="13151685"/>
    <d v="2026-07-01T00:00:00"/>
    <d v="2026-07-01T00:00:00"/>
  </r>
  <r>
    <m/>
    <s v="B"/>
    <s v="B13"/>
    <s v="RESIDENTIAL"/>
    <n v="4"/>
    <n v="3"/>
    <x v="426"/>
    <s v="3 BEDROOM"/>
    <s v="C2"/>
    <n v="141.65899999999999"/>
    <n v="158.85577661900135"/>
    <x v="22"/>
    <m/>
    <m/>
    <s v="SE"/>
    <s v="MIDDLE"/>
    <s v="LAKE B-2"/>
    <s v="FORTH"/>
    <x v="4"/>
    <n v="0.08"/>
    <n v="2.5000000000000001E-2"/>
    <n v="0.53"/>
    <n v="0.06"/>
    <n v="2.5000000000000001E-2"/>
    <n v="0.72000000000000008"/>
    <x v="1"/>
    <x v="7"/>
    <n v="61625"/>
    <n v="68875"/>
    <n v="7250"/>
    <n v="5220.0000000000009"/>
    <n v="66845"/>
    <n v="22058.850000000002"/>
    <n v="71345"/>
    <n v="74345"/>
    <n v="11564185"/>
    <n v="12342685"/>
    <n v="12861685"/>
    <n v="0"/>
    <n v="982955.72500000009"/>
    <n v="2"/>
    <n v="290000"/>
    <n v="290000"/>
    <n v="11854185"/>
    <n v="12632685"/>
    <n v="13151685"/>
    <d v="2026-07-01T00:00:00"/>
    <d v="2026-07-01T00:00:00"/>
  </r>
  <r>
    <m/>
    <s v="B"/>
    <s v="B13"/>
    <s v="RESIDENTIAL"/>
    <n v="4"/>
    <n v="4"/>
    <x v="427"/>
    <s v="3 BEDROOM"/>
    <s v="C2"/>
    <n v="139.31659999999999"/>
    <n v="156.22901960989958"/>
    <x v="28"/>
    <m/>
    <m/>
    <s v="NW"/>
    <s v="MIDDLE"/>
    <s v="ROAD 18M (BUILDINGS)"/>
    <s v="FORTH"/>
    <x v="4"/>
    <n v="0.13"/>
    <n v="2.5000000000000001E-2"/>
    <n v="0.15"/>
    <n v="0.06"/>
    <n v="2.5000000000000001E-2"/>
    <n v="0.39"/>
    <x v="0"/>
    <x v="2"/>
    <n v="45687.5"/>
    <n v="51062.5"/>
    <n v="5375"/>
    <n v="2096.25"/>
    <n v="47783.75"/>
    <n v="15768.637500000001"/>
    <n v="52283.75"/>
    <n v="55283.75"/>
    <n v="8123237.5"/>
    <n v="8888237.5"/>
    <n v="9398237.5"/>
    <n v="0"/>
    <n v="690475.1875"/>
    <n v="2"/>
    <n v="215000"/>
    <n v="215000"/>
    <n v="8338237.5"/>
    <n v="9103237.5"/>
    <n v="9613237.5"/>
    <d v="2026-07-01T00:00:00"/>
    <d v="2024-07-01T00:00:00"/>
  </r>
  <r>
    <s v="B3"/>
    <s v="B"/>
    <s v="B14"/>
    <s v="RESIDENTIAL"/>
    <n v="0"/>
    <n v="1"/>
    <x v="428"/>
    <s v="3 BEDROOM"/>
    <s v="C2"/>
    <n v="144.66300000000001"/>
    <n v="160.29970969584483"/>
    <x v="20"/>
    <n v="77.696799999999996"/>
    <m/>
    <s v="NW"/>
    <s v="CORNER "/>
    <s v="ROAD 18M (BUILDINGS)"/>
    <s v="GROUND"/>
    <x v="4"/>
    <n v="0.13"/>
    <n v="0.05"/>
    <n v="0.15"/>
    <n v="0.05"/>
    <n v="2.5000000000000001E-2"/>
    <n v="0.40499999999999997"/>
    <x v="0"/>
    <x v="1"/>
    <n v="48450.000000000007"/>
    <n v="54150.000000000007"/>
    <n v="5700"/>
    <n v="2308.5"/>
    <n v="50758.500000000007"/>
    <n v="16750.305000000004"/>
    <n v="55258.500000000007"/>
    <n v="58258.500000000007"/>
    <n v="8933496.0000000019"/>
    <n v="9725496.0000000019"/>
    <n v="10253496.000000002"/>
    <n v="1301445.0975240003"/>
    <n v="869969.99328954029"/>
    <n v="2"/>
    <n v="228000.00000000003"/>
    <n v="228000.00000000003"/>
    <n v="10462941.097524002"/>
    <n v="11254941.097524002"/>
    <n v="11782941.097524002"/>
    <d v="2026-07-01T00:00:00"/>
    <d v="2025-01-01T00:00:00"/>
  </r>
  <r>
    <m/>
    <s v="B"/>
    <s v="B14"/>
    <s v="RESIDENTIAL"/>
    <n v="0"/>
    <n v="2"/>
    <x v="429"/>
    <s v="3 BEDROOM + LIVING"/>
    <s v="C2"/>
    <n v="183.887"/>
    <n v="203.76345518093646"/>
    <x v="19"/>
    <n v="56.4666"/>
    <m/>
    <s v="SE"/>
    <s v="CORNER "/>
    <s v="SEMI LAKE B-2"/>
    <s v="GROUND"/>
    <x v="3"/>
    <n v="0.08"/>
    <n v="0.05"/>
    <n v="0.42400000000000004"/>
    <n v="0.05"/>
    <n v="1.4999999999999999E-2"/>
    <n v="0.61900000000000011"/>
    <x v="1"/>
    <x v="6"/>
    <n v="44625"/>
    <n v="49875"/>
    <n v="5250"/>
    <n v="3249.7500000000005"/>
    <n v="47874.75"/>
    <n v="15798.667500000001"/>
    <n v="52374.75"/>
    <n v="55374.75"/>
    <n v="10723944"/>
    <n v="11731944"/>
    <n v="12403944"/>
    <n v="892097.03825550003"/>
    <n v="987363.48825171753"/>
    <n v="2"/>
    <n v="210000"/>
    <n v="210000"/>
    <n v="11826041.0382555"/>
    <n v="12834041.0382555"/>
    <n v="13506041.0382555"/>
    <d v="2026-07-01T00:00:00"/>
    <d v="2024-04-01T00:00:00"/>
  </r>
  <r>
    <m/>
    <s v="B"/>
    <s v="B14"/>
    <s v="RESIDENTIAL"/>
    <n v="0"/>
    <n v="3"/>
    <x v="430"/>
    <s v="3 BEDROOM"/>
    <s v="C2"/>
    <n v="162.78100000000001"/>
    <n v="180.37609508996297"/>
    <x v="18"/>
    <n v="77.576999999999998"/>
    <m/>
    <s v="SE"/>
    <s v="MIDDLE"/>
    <s v="LAKE B-2"/>
    <s v="GROUND"/>
    <x v="3"/>
    <n v="0.08"/>
    <n v="2.5000000000000001E-2"/>
    <n v="0.53"/>
    <n v="0.05"/>
    <n v="1.4999999999999999E-2"/>
    <n v="0.70000000000000007"/>
    <x v="1"/>
    <x v="10"/>
    <n v="53550"/>
    <n v="59850"/>
    <n v="6300"/>
    <n v="4410"/>
    <n v="57960"/>
    <n v="19126.8"/>
    <n v="62460"/>
    <n v="65460"/>
    <n v="11534040"/>
    <n v="12429540"/>
    <n v="13026540"/>
    <n v="1483799.7635999999"/>
    <n v="1106516.3799060001"/>
    <n v="2"/>
    <n v="252000"/>
    <n v="252000"/>
    <n v="13269839.763599999"/>
    <n v="14165339.763599999"/>
    <n v="14762339.763599999"/>
    <d v="2026-07-01T00:00:00"/>
    <d v="2025-10-01T00:00:00"/>
  </r>
  <r>
    <m/>
    <s v="B"/>
    <s v="B14"/>
    <s v="RESIDENTIAL"/>
    <n v="0"/>
    <n v="4"/>
    <x v="431"/>
    <s v="2 BEDROOM"/>
    <s v="C2"/>
    <n v="95.213999999999999"/>
    <n v="105.50573788031609"/>
    <x v="17"/>
    <n v="61.981200000000001"/>
    <m/>
    <s v="NW"/>
    <s v="MIDDLE"/>
    <s v="ROAD 18M (BUILDINGS)"/>
    <s v="GROUND"/>
    <x v="1"/>
    <n v="0.13"/>
    <n v="2.5000000000000001E-2"/>
    <n v="0.15"/>
    <n v="0.05"/>
    <n v="0.04"/>
    <n v="0.39499999999999996"/>
    <x v="0"/>
    <x v="2"/>
    <n v="45687.5"/>
    <n v="51062.5"/>
    <n v="5375"/>
    <n v="2123.125"/>
    <n v="47810.625"/>
    <n v="15777.50625"/>
    <n v="52310.625"/>
    <n v="55310.625"/>
    <n v="5546032.5"/>
    <n v="6068032.5"/>
    <n v="6416032.5"/>
    <n v="977908.77038250002"/>
    <n v="554535.00798251259"/>
    <n v="1"/>
    <n v="215000"/>
    <n v="215000"/>
    <n v="6738941.2703825003"/>
    <n v="7260941.2703825003"/>
    <n v="7608941.2703825003"/>
    <d v="2026-07-01T00:00:00"/>
    <d v="2024-07-01T00:00:00"/>
  </r>
  <r>
    <m/>
    <s v="B"/>
    <s v="B14"/>
    <s v="RESIDENTIAL"/>
    <n v="1"/>
    <n v="1"/>
    <x v="432"/>
    <s v="3 BEDROOM"/>
    <s v="C2"/>
    <n v="141.66300000000001"/>
    <n v="156.9754379118535"/>
    <x v="22"/>
    <m/>
    <m/>
    <s v="NW"/>
    <s v="CORNER "/>
    <s v="ROAD 18M (BUILDINGS)"/>
    <s v="FIRST"/>
    <x v="4"/>
    <n v="0.13"/>
    <n v="0.05"/>
    <n v="0.15"/>
    <n v="7.0000000000000007E-2"/>
    <n v="2.5000000000000001E-2"/>
    <n v="0.42499999999999999"/>
    <x v="0"/>
    <x v="4"/>
    <n v="51850"/>
    <n v="57950"/>
    <n v="6100"/>
    <n v="2592.5"/>
    <n v="54442.5"/>
    <n v="17966.025000000001"/>
    <n v="58942.5"/>
    <n v="61942.5"/>
    <n v="9418552.5"/>
    <n v="10197052.5"/>
    <n v="10716052.5"/>
    <n v="0"/>
    <n v="800576.96250000002"/>
    <n v="2"/>
    <n v="244000"/>
    <n v="244000"/>
    <n v="9662552.5"/>
    <n v="10441052.5"/>
    <n v="10960052.5"/>
    <d v="2026-07-01T00:00:00"/>
    <d v="2025-07-01T00:00:00"/>
  </r>
  <r>
    <m/>
    <s v="B"/>
    <s v="B14"/>
    <s v="RESIDENTIAL"/>
    <n v="1"/>
    <n v="2"/>
    <x v="433"/>
    <s v="3 BEDROOM + LIVING"/>
    <s v="C2"/>
    <n v="183.637"/>
    <n v="203.48643253227053"/>
    <x v="19"/>
    <m/>
    <m/>
    <s v="SE"/>
    <s v="CORNER "/>
    <s v="SEMI LAKE B-2"/>
    <s v="FIRST"/>
    <x v="3"/>
    <n v="0.08"/>
    <n v="0.05"/>
    <n v="0.42400000000000004"/>
    <n v="7.0000000000000007E-2"/>
    <n v="1.4999999999999999E-2"/>
    <n v="0.63900000000000012"/>
    <x v="1"/>
    <x v="2"/>
    <n v="45687.5"/>
    <n v="51062.5"/>
    <n v="5375"/>
    <n v="3434.6250000000005"/>
    <n v="49122.125"/>
    <n v="16210.30125"/>
    <n v="53622.125"/>
    <n v="56622.125"/>
    <n v="11003356"/>
    <n v="12011356"/>
    <n v="12683356"/>
    <n v="0"/>
    <n v="935285.26"/>
    <n v="2"/>
    <n v="215000"/>
    <n v="215000"/>
    <n v="11218356"/>
    <n v="12226356"/>
    <n v="12898356"/>
    <d v="2026-07-01T00:00:00"/>
    <d v="2024-07-01T00:00:00"/>
  </r>
  <r>
    <m/>
    <s v="B"/>
    <s v="B14"/>
    <s v="RESIDENTIAL"/>
    <n v="1"/>
    <n v="3"/>
    <x v="434"/>
    <s v="3 BEDROOM"/>
    <s v="C2"/>
    <n v="162.53100000000001"/>
    <n v="180.09907244129704"/>
    <x v="42"/>
    <m/>
    <m/>
    <s v="SE"/>
    <s v="MIDDLE"/>
    <s v="LAKE B-2"/>
    <s v="FIRST"/>
    <x v="3"/>
    <n v="0.08"/>
    <n v="2.5000000000000001E-2"/>
    <n v="0.53"/>
    <n v="7.0000000000000007E-2"/>
    <n v="1.4999999999999999E-2"/>
    <n v="0.72000000000000008"/>
    <x v="1"/>
    <x v="7"/>
    <n v="61625"/>
    <n v="68875"/>
    <n v="7250"/>
    <n v="5220.0000000000009"/>
    <n v="66845"/>
    <n v="22058.850000000002"/>
    <n v="71345"/>
    <n v="74345"/>
    <n v="13235310"/>
    <n v="14126310"/>
    <n v="14720310"/>
    <n v="0"/>
    <n v="1125001.3500000001"/>
    <n v="2"/>
    <n v="290000"/>
    <n v="290000"/>
    <n v="13525310"/>
    <n v="14416310"/>
    <n v="15010310"/>
    <d v="2026-07-01T00:00:00"/>
    <d v="2026-07-01T00:00:00"/>
  </r>
  <r>
    <m/>
    <s v="B"/>
    <s v="B14"/>
    <s v="RESIDENTIAL"/>
    <n v="1"/>
    <n v="4"/>
    <x v="435"/>
    <s v="2 BEDROOM"/>
    <s v="C2"/>
    <n v="96.271000000000001"/>
    <n v="106.6769896388757"/>
    <x v="21"/>
    <m/>
    <m/>
    <s v="NW"/>
    <s v="MIDDLE"/>
    <s v="ROAD 18M (BUILDINGS)"/>
    <s v="FIRST"/>
    <x v="1"/>
    <n v="0.13"/>
    <n v="2.5000000000000001E-2"/>
    <n v="0.15"/>
    <n v="7.0000000000000007E-2"/>
    <n v="0.04"/>
    <n v="0.41499999999999998"/>
    <x v="0"/>
    <x v="12"/>
    <n v="50150"/>
    <n v="56050"/>
    <n v="5900"/>
    <n v="2448.5"/>
    <n v="52598.5"/>
    <n v="17357.505000000001"/>
    <n v="57098.5"/>
    <n v="60098.5"/>
    <n v="6154024.5"/>
    <n v="6680524.5"/>
    <n v="7031524.5"/>
    <n v="0"/>
    <n v="523092.08250000002"/>
    <n v="1"/>
    <n v="236000"/>
    <n v="236000"/>
    <n v="6390024.5"/>
    <n v="6916524.5"/>
    <n v="7267524.5"/>
    <d v="2026-07-01T00:00:00"/>
    <d v="2025-04-01T00:00:00"/>
  </r>
  <r>
    <m/>
    <s v="B"/>
    <s v="B14"/>
    <s v="RESIDENTIAL"/>
    <n v="2"/>
    <n v="1"/>
    <x v="436"/>
    <s v="3 BEDROOM"/>
    <s v="C2"/>
    <n v="143.989"/>
    <n v="159.55285663504142"/>
    <x v="20"/>
    <m/>
    <m/>
    <s v="NW"/>
    <s v="CORNER "/>
    <s v="ROAD 18M (BUILDINGS)"/>
    <s v="SECOND"/>
    <x v="4"/>
    <n v="0.13"/>
    <n v="0.05"/>
    <n v="0.15"/>
    <n v="0.11"/>
    <n v="2.5000000000000001E-2"/>
    <n v="0.46499999999999997"/>
    <x v="0"/>
    <x v="9"/>
    <n v="58649.999999999993"/>
    <n v="65550"/>
    <n v="6900.0000000000073"/>
    <n v="3208.5000000000032"/>
    <n v="61858.499999999993"/>
    <n v="20413.305"/>
    <n v="66358.5"/>
    <n v="69358.5"/>
    <n v="10887095.999999998"/>
    <n v="11679096"/>
    <n v="12207096"/>
    <n v="0"/>
    <n v="925403.15999999992"/>
    <n v="2"/>
    <n v="276000"/>
    <n v="276000"/>
    <n v="11163095.999999998"/>
    <n v="11955096"/>
    <n v="12483096"/>
    <d v="2026-07-01T00:00:00"/>
    <d v="2026-04-01T00:00:00"/>
  </r>
  <r>
    <m/>
    <s v="B"/>
    <s v="B14"/>
    <s v="RESIDENTIAL"/>
    <n v="2"/>
    <n v="2"/>
    <x v="437"/>
    <s v="3 BEDROOM + LIVING"/>
    <s v="C2"/>
    <n v="187.1"/>
    <n v="207.32375026159116"/>
    <x v="25"/>
    <m/>
    <m/>
    <s v="SE"/>
    <s v="CORNER "/>
    <s v="SEMI LAKE B-2"/>
    <s v="SECOND"/>
    <x v="3"/>
    <n v="0.08"/>
    <n v="0.05"/>
    <n v="0.42400000000000004"/>
    <n v="0.11"/>
    <n v="1.4999999999999999E-2"/>
    <n v="0.67900000000000005"/>
    <x v="1"/>
    <x v="12"/>
    <n v="50150"/>
    <n v="56050"/>
    <n v="5900"/>
    <n v="4006.1000000000004"/>
    <n v="54156.1"/>
    <n v="17871.512999999999"/>
    <n v="58656.1"/>
    <n v="61656.1"/>
    <n v="12347590.799999999"/>
    <n v="13373590.799999999"/>
    <n v="14057590.799999999"/>
    <n v="0"/>
    <n v="1049545.2179999999"/>
    <n v="2"/>
    <n v="236000"/>
    <n v="236000"/>
    <n v="12583590.799999999"/>
    <n v="13609590.799999999"/>
    <n v="14293590.799999999"/>
    <d v="2026-07-01T00:00:00"/>
    <d v="2025-04-01T00:00:00"/>
  </r>
  <r>
    <m/>
    <s v="B"/>
    <s v="B14"/>
    <s v="RESIDENTIAL"/>
    <n v="2"/>
    <n v="3"/>
    <x v="438"/>
    <s v="3 BEDROOM"/>
    <s v="C2"/>
    <n v="167.16900000000001"/>
    <n v="185.23839661934761"/>
    <x v="43"/>
    <m/>
    <m/>
    <s v="SE"/>
    <s v="MIDDLE"/>
    <s v="LAKE B-2"/>
    <s v="SECOND"/>
    <x v="3"/>
    <n v="0.08"/>
    <n v="2.5000000000000001E-2"/>
    <n v="0.53"/>
    <n v="0.11"/>
    <n v="1.4999999999999999E-2"/>
    <n v="0.76"/>
    <x v="2"/>
    <x v="0"/>
    <n v="43562.499999999993"/>
    <n v="48687.499999999993"/>
    <n v="5125"/>
    <n v="3895"/>
    <n v="47457.499999999993"/>
    <n v="15660.974999999999"/>
    <n v="51957.499999999993"/>
    <n v="54957.499999999993"/>
    <n v="9681329.9999999981"/>
    <n v="10599329.999999998"/>
    <n v="11211329.999999998"/>
    <n v="0"/>
    <n v="822913.04999999993"/>
    <n v="2"/>
    <n v="204999.99999999997"/>
    <n v="204999.99999999997"/>
    <n v="9886329.9999999981"/>
    <n v="10804329.999999998"/>
    <n v="11416329.999999998"/>
    <d v="2026-07-01T00:00:00"/>
    <d v="2024-01-01T00:00:00"/>
  </r>
  <r>
    <m/>
    <s v="B"/>
    <s v="B14"/>
    <s v="RESIDENTIAL"/>
    <n v="2"/>
    <n v="4"/>
    <x v="439"/>
    <s v="3 BEDROOM"/>
    <s v="C2"/>
    <n v="141.18700000000001"/>
    <n v="156.44798678879354"/>
    <x v="23"/>
    <m/>
    <m/>
    <s v="NW"/>
    <s v="MIDDLE"/>
    <s v="ROAD 18M (BUILDINGS)"/>
    <s v="SECOND"/>
    <x v="4"/>
    <n v="0.13"/>
    <n v="2.5000000000000001E-2"/>
    <n v="0.15"/>
    <n v="0.11"/>
    <n v="2.5000000000000001E-2"/>
    <n v="0.44"/>
    <x v="0"/>
    <x v="4"/>
    <n v="51850"/>
    <n v="57950"/>
    <n v="6100"/>
    <n v="2684"/>
    <n v="54534"/>
    <n v="17996.22"/>
    <n v="59034"/>
    <n v="62034"/>
    <n v="9379848"/>
    <n v="10153848"/>
    <n v="10669848"/>
    <n v="0"/>
    <n v="797287.08000000007"/>
    <n v="2"/>
    <n v="244000"/>
    <n v="244000"/>
    <n v="9623848"/>
    <n v="10397848"/>
    <n v="10913848"/>
    <d v="2026-07-01T00:00:00"/>
    <d v="2025-07-01T00:00:00"/>
  </r>
  <r>
    <m/>
    <s v="B"/>
    <s v="B14"/>
    <s v="RESIDENTIAL"/>
    <n v="3"/>
    <n v="1"/>
    <x v="440"/>
    <s v="3 BEDROOM"/>
    <s v="C2"/>
    <n v="143.89599999999999"/>
    <n v="159.44980420973766"/>
    <x v="20"/>
    <m/>
    <m/>
    <s v="NW"/>
    <s v="CORNER "/>
    <s v="ROAD 18M (BUILDINGS)"/>
    <s v="THIRD"/>
    <x v="4"/>
    <n v="0.13"/>
    <n v="0.05"/>
    <n v="0.15"/>
    <n v="0.15"/>
    <n v="2.5000000000000001E-2"/>
    <n v="0.505"/>
    <x v="1"/>
    <x v="3"/>
    <n v="42500"/>
    <n v="47500"/>
    <n v="5000"/>
    <n v="2525"/>
    <n v="45025"/>
    <n v="14858.25"/>
    <n v="49525"/>
    <n v="52525"/>
    <n v="7924400"/>
    <n v="8716400"/>
    <n v="9244400"/>
    <n v="0"/>
    <n v="673574"/>
    <n v="2"/>
    <n v="200000"/>
    <n v="200000"/>
    <n v="8124400"/>
    <n v="8916400"/>
    <n v="9444400"/>
    <d v="2026-07-01T00:00:00"/>
    <d v="2023-09-01T00:00:00"/>
  </r>
  <r>
    <m/>
    <s v="B"/>
    <s v="B14"/>
    <s v="RESIDENTIAL"/>
    <n v="3"/>
    <n v="2"/>
    <x v="441"/>
    <s v="3 BEDROOM + LIVING"/>
    <s v="C2"/>
    <n v="187.20400000000001"/>
    <n v="207.4389916834362"/>
    <x v="25"/>
    <m/>
    <m/>
    <s v="SE"/>
    <s v="CORNER "/>
    <s v="SEMI LAKE B-2"/>
    <s v="THIRD"/>
    <x v="3"/>
    <n v="0.08"/>
    <n v="0.05"/>
    <n v="0.42400000000000004"/>
    <n v="0.15"/>
    <n v="1.4999999999999999E-2"/>
    <n v="0.71900000000000008"/>
    <x v="1"/>
    <x v="7"/>
    <n v="61625"/>
    <n v="68875"/>
    <n v="7250"/>
    <n v="5212.7500000000009"/>
    <n v="66837.75"/>
    <n v="22056.4575"/>
    <n v="71337.75"/>
    <n v="74337.75"/>
    <n v="15239007"/>
    <n v="16265007"/>
    <n v="16949007"/>
    <n v="0"/>
    <n v="1295315.5950000002"/>
    <n v="2"/>
    <n v="290000"/>
    <n v="290000"/>
    <n v="15529007"/>
    <n v="16555007"/>
    <n v="17239007"/>
    <d v="2026-07-01T00:00:00"/>
    <d v="2026-07-01T00:00:00"/>
  </r>
  <r>
    <m/>
    <s v="B"/>
    <s v="B14"/>
    <s v="RESIDENTIAL"/>
    <n v="3"/>
    <n v="3"/>
    <x v="442"/>
    <s v="3 BEDROOM"/>
    <s v="C2"/>
    <n v="164.417"/>
    <n v="182.18893130283288"/>
    <x v="44"/>
    <m/>
    <m/>
    <s v="SE"/>
    <s v="MIDDLE"/>
    <s v="LAKE B-2"/>
    <s v="THIRD"/>
    <x v="3"/>
    <n v="0.08"/>
    <n v="2.5000000000000001E-2"/>
    <n v="0.53"/>
    <n v="0.15"/>
    <n v="1.4999999999999999E-2"/>
    <n v="0.8"/>
    <x v="2"/>
    <x v="1"/>
    <n v="48450.000000000007"/>
    <n v="54150.000000000007"/>
    <n v="5700"/>
    <n v="4560"/>
    <n v="53010.000000000007"/>
    <n v="17493.300000000003"/>
    <n v="57510.000000000007"/>
    <n v="60510.000000000007"/>
    <n v="10655010.000000002"/>
    <n v="11559510.000000002"/>
    <n v="12162510.000000002"/>
    <n v="0"/>
    <n v="905675.85000000021"/>
    <n v="2"/>
    <n v="228000.00000000003"/>
    <n v="228000.00000000003"/>
    <n v="10883010.000000002"/>
    <n v="11787510.000000002"/>
    <n v="12390510.000000002"/>
    <d v="2026-07-01T00:00:00"/>
    <d v="2025-01-01T00:00:00"/>
  </r>
  <r>
    <m/>
    <s v="B"/>
    <s v="B14"/>
    <s v="RESIDENTIAL"/>
    <n v="3"/>
    <n v="4"/>
    <x v="443"/>
    <s v="3 BEDROOM"/>
    <s v="C2"/>
    <n v="141.07300000000001"/>
    <n v="156.32166446100189"/>
    <x v="23"/>
    <m/>
    <m/>
    <s v="NW"/>
    <s v="MIDDLE"/>
    <s v="ROAD 18M (BUILDINGS)"/>
    <s v="THIRD"/>
    <x v="4"/>
    <n v="0.13"/>
    <n v="2.5000000000000001E-2"/>
    <n v="0.15"/>
    <n v="0.15"/>
    <n v="2.5000000000000001E-2"/>
    <n v="0.48"/>
    <x v="0"/>
    <x v="7"/>
    <n v="61625"/>
    <n v="68875"/>
    <n v="7250"/>
    <n v="3480"/>
    <n v="65105"/>
    <n v="21484.65"/>
    <n v="69605"/>
    <n v="72605"/>
    <n v="11198060"/>
    <n v="11972060"/>
    <n v="12488060"/>
    <n v="0"/>
    <n v="951835.10000000009"/>
    <n v="2"/>
    <n v="290000"/>
    <n v="290000"/>
    <n v="11488060"/>
    <n v="12262060"/>
    <n v="12778060"/>
    <d v="2026-07-01T00:00:00"/>
    <d v="2026-07-01T00:00:00"/>
  </r>
  <r>
    <m/>
    <s v="B"/>
    <s v="B14"/>
    <s v="RESIDENTIAL"/>
    <n v="4"/>
    <n v="1"/>
    <x v="444"/>
    <s v="3 BEDROOM"/>
    <s v="C2"/>
    <n v="141.929"/>
    <n v="157.27019001003407"/>
    <x v="22"/>
    <m/>
    <m/>
    <s v="NW"/>
    <s v="CORNER "/>
    <s v="ROAD 18M (BUILDINGS)"/>
    <s v="FORTH"/>
    <x v="4"/>
    <n v="0.13"/>
    <n v="0.05"/>
    <n v="0.15"/>
    <n v="0.06"/>
    <n v="2.5000000000000001E-2"/>
    <n v="0.41499999999999998"/>
    <x v="0"/>
    <x v="12"/>
    <n v="50150"/>
    <n v="56050"/>
    <n v="5900"/>
    <n v="2448.5"/>
    <n v="52598.5"/>
    <n v="17357.505000000001"/>
    <n v="57098.5"/>
    <n v="60098.5"/>
    <n v="9099540.5"/>
    <n v="9878040.5"/>
    <n v="10397040.5"/>
    <n v="0"/>
    <n v="773460.9425"/>
    <n v="2"/>
    <n v="236000"/>
    <n v="236000"/>
    <n v="9335540.5"/>
    <n v="10114040.5"/>
    <n v="10633040.5"/>
    <d v="2026-07-01T00:00:00"/>
    <d v="2025-04-01T00:00:00"/>
  </r>
  <r>
    <m/>
    <s v="B"/>
    <s v="B14"/>
    <s v="RESIDENTIAL"/>
    <n v="4"/>
    <n v="2"/>
    <x v="445"/>
    <s v="3 BEDROOM + LIVING"/>
    <s v="C2"/>
    <n v="182.36099999999999"/>
    <n v="202.07250893347955"/>
    <x v="45"/>
    <m/>
    <m/>
    <s v="SE"/>
    <s v="CORNER "/>
    <s v="SEMI LAKE B-2"/>
    <s v="FORTH"/>
    <x v="3"/>
    <n v="0.08"/>
    <n v="0.05"/>
    <n v="0.42400000000000004"/>
    <n v="0.06"/>
    <n v="1.4999999999999999E-2"/>
    <n v="0.62900000000000011"/>
    <x v="1"/>
    <x v="6"/>
    <n v="44625"/>
    <n v="49875"/>
    <n v="5250"/>
    <n v="3302.2500000000005"/>
    <n v="47927.25"/>
    <n v="15815.9925"/>
    <n v="52427.25"/>
    <n v="55427.25"/>
    <n v="10639849.5"/>
    <n v="11638849.5"/>
    <n v="12304849.5"/>
    <n v="0"/>
    <n v="904387.20750000002"/>
    <n v="2"/>
    <n v="210000"/>
    <n v="210000"/>
    <n v="10849849.5"/>
    <n v="11848849.5"/>
    <n v="12514849.5"/>
    <d v="2026-07-01T00:00:00"/>
    <d v="2024-04-01T00:00:00"/>
  </r>
  <r>
    <m/>
    <s v="B"/>
    <s v="B14"/>
    <s v="RESIDENTIAL"/>
    <n v="4"/>
    <n v="3"/>
    <x v="446"/>
    <s v="3 BEDROOM"/>
    <s v="C2"/>
    <n v="162.44399999999999"/>
    <n v="180.00266855956127"/>
    <x v="42"/>
    <m/>
    <m/>
    <s v="SE"/>
    <s v="MIDDLE"/>
    <s v="LAKE B-2"/>
    <s v="FORTH"/>
    <x v="3"/>
    <n v="0.08"/>
    <n v="2.5000000000000001E-2"/>
    <n v="0.53"/>
    <n v="0.06"/>
    <n v="1.4999999999999999E-2"/>
    <n v="0.71000000000000008"/>
    <x v="1"/>
    <x v="9"/>
    <n v="58649.999999999993"/>
    <n v="65550"/>
    <n v="6900.0000000000073"/>
    <n v="4899.0000000000055"/>
    <n v="63549"/>
    <n v="20971.170000000002"/>
    <n v="68049"/>
    <n v="71049"/>
    <n v="12582702"/>
    <n v="13473702"/>
    <n v="14067702"/>
    <n v="0"/>
    <n v="1069529.6700000002"/>
    <n v="2"/>
    <n v="276000"/>
    <n v="276000"/>
    <n v="12858702"/>
    <n v="13749702"/>
    <n v="14343702"/>
    <d v="2026-07-01T00:00:00"/>
    <d v="2026-04-01T00:00:00"/>
  </r>
  <r>
    <m/>
    <s v="B"/>
    <s v="B14"/>
    <s v="RESIDENTIAL"/>
    <n v="4"/>
    <n v="4"/>
    <x v="447"/>
    <s v="3 BEDROOM"/>
    <s v="C2"/>
    <n v="139.12700000000001"/>
    <n v="154.16532016378619"/>
    <x v="28"/>
    <m/>
    <m/>
    <s v="NW"/>
    <s v="MIDDLE"/>
    <s v="ROAD 18M (BUILDINGS)"/>
    <s v="FORTH"/>
    <x v="4"/>
    <n v="0.13"/>
    <n v="2.5000000000000001E-2"/>
    <n v="0.15"/>
    <n v="0.06"/>
    <n v="2.5000000000000001E-2"/>
    <n v="0.39"/>
    <x v="0"/>
    <x v="2"/>
    <n v="45687.5"/>
    <n v="51062.5"/>
    <n v="5375"/>
    <n v="2096.25"/>
    <n v="47783.75"/>
    <n v="15768.637500000001"/>
    <n v="52283.75"/>
    <n v="55283.75"/>
    <n v="8123237.5"/>
    <n v="8888237.5"/>
    <n v="9398237.5"/>
    <n v="0"/>
    <n v="690475.1875"/>
    <n v="2"/>
    <n v="215000"/>
    <n v="215000"/>
    <n v="8338237.5"/>
    <n v="9103237.5"/>
    <n v="9613237.5"/>
    <d v="2026-07-01T00:00:00"/>
    <d v="2024-07-01T00:00:00"/>
  </r>
  <r>
    <s v="C3"/>
    <s v="B"/>
    <s v="B15"/>
    <s v="RESIDENTIAL"/>
    <n v="0"/>
    <n v="1"/>
    <x v="448"/>
    <s v="2 BEDROOM"/>
    <s v="C1"/>
    <n v="87.23"/>
    <n v="94.72160516317075"/>
    <x v="30"/>
    <n v="64.4328"/>
    <m/>
    <s v="NW"/>
    <s v="MIDDLE"/>
    <s v="ROAD 18M (BUILDINGS)"/>
    <s v="GROUND"/>
    <x v="1"/>
    <n v="0.13"/>
    <n v="2.5000000000000001E-2"/>
    <n v="0.15"/>
    <n v="0.05"/>
    <n v="0.04"/>
    <n v="0.39499999999999996"/>
    <x v="0"/>
    <x v="2"/>
    <n v="45687.5"/>
    <n v="51062.5"/>
    <n v="5375"/>
    <n v="2123.125"/>
    <n v="47810.625"/>
    <n v="15777.50625"/>
    <n v="52310.625"/>
    <n v="55310.625"/>
    <n v="5067926.25"/>
    <n v="5544926.25"/>
    <n v="5862926.25"/>
    <n v="1016588.904705"/>
    <n v="517183.78814992507"/>
    <n v="1"/>
    <n v="215000"/>
    <n v="215000"/>
    <n v="6299515.1547050001"/>
    <n v="6776515.1547050001"/>
    <n v="7094515.1547050001"/>
    <d v="2025-07-01T00:00:00"/>
    <d v="2024-07-01T00:00:00"/>
  </r>
  <r>
    <m/>
    <s v="B"/>
    <s v="B15"/>
    <s v="RESIDENTIAL"/>
    <n v="0"/>
    <n v="2"/>
    <x v="449"/>
    <s v="3 BEDROOM"/>
    <s v="C1"/>
    <n v="125.09"/>
    <n v="135.83314902970341"/>
    <x v="31"/>
    <n v="85.619500000000002"/>
    <m/>
    <s v="SE"/>
    <s v="MIDDLE"/>
    <s v="LAKE B-1"/>
    <s v="GROUND"/>
    <x v="0"/>
    <n v="0.08"/>
    <n v="2.5000000000000001E-2"/>
    <n v="0.6"/>
    <n v="0.05"/>
    <n v="3.5000000000000003E-2"/>
    <n v="0.79"/>
    <x v="2"/>
    <x v="5"/>
    <n v="46750.000000000007"/>
    <n v="52250.000000000007"/>
    <n v="5500"/>
    <n v="4345"/>
    <n v="51095.000000000007"/>
    <n v="16861.350000000002"/>
    <n v="55595.000000000007"/>
    <n v="58595.000000000007"/>
    <n v="7817535.0000000009"/>
    <n v="8506035.0000000019"/>
    <n v="8965035.0000000019"/>
    <n v="1443660.3563250003"/>
    <n v="787201.60528762511"/>
    <n v="2"/>
    <n v="220000.00000000003"/>
    <n v="220000.00000000003"/>
    <n v="9481195.3563250005"/>
    <n v="10169695.356325002"/>
    <n v="10628695.356325002"/>
    <d v="2025-07-01T00:00:00"/>
    <d v="2024-10-01T00:00:00"/>
  </r>
  <r>
    <m/>
    <s v="B"/>
    <s v="B15"/>
    <s v="RESIDENTIAL"/>
    <n v="0"/>
    <n v="3"/>
    <x v="450"/>
    <s v="3 BEDROOM"/>
    <s v="C1"/>
    <n v="129.57"/>
    <n v="140.69790646557414"/>
    <x v="32"/>
    <n v="84.075199999999995"/>
    <m/>
    <s v="SE"/>
    <s v="CORNER "/>
    <s v="SEMI LAKE B-1"/>
    <s v="GROUND"/>
    <x v="0"/>
    <n v="0.08"/>
    <n v="0.05"/>
    <n v="0.48"/>
    <n v="0.05"/>
    <n v="3.5000000000000003E-2"/>
    <n v="0.69500000000000006"/>
    <x v="1"/>
    <x v="10"/>
    <n v="53550"/>
    <n v="59850"/>
    <n v="6300"/>
    <n v="4378.5"/>
    <n v="57928.5"/>
    <n v="19116.405000000002"/>
    <n v="62428.5"/>
    <n v="65428.5"/>
    <n v="9152703"/>
    <n v="9863703"/>
    <n v="10337703"/>
    <n v="1607215.5736560002"/>
    <n v="914593.07876076014"/>
    <n v="2"/>
    <n v="252000"/>
    <n v="252000"/>
    <n v="11011918.573656"/>
    <n v="11722918.573656"/>
    <n v="12196918.573656"/>
    <d v="2025-07-01T00:00:00"/>
    <d v="2025-10-01T00:00:00"/>
  </r>
  <r>
    <m/>
    <s v="B"/>
    <s v="B15"/>
    <s v="RESIDENTIAL"/>
    <n v="0"/>
    <n v="4"/>
    <x v="451"/>
    <s v="3 BEDROOM"/>
    <s v="C1"/>
    <n v="131.34"/>
    <n v="142.61992000608558"/>
    <x v="33"/>
    <n v="72.604399999999998"/>
    <m/>
    <s v="NW"/>
    <s v="CORNER "/>
    <s v="ROAD 18M (BUILDINGS)"/>
    <s v="GROUND"/>
    <x v="4"/>
    <n v="0.13"/>
    <n v="0.05"/>
    <n v="0.15"/>
    <n v="0.05"/>
    <n v="2.5000000000000001E-2"/>
    <n v="0.40499999999999997"/>
    <x v="0"/>
    <x v="5"/>
    <n v="46750.000000000007"/>
    <n v="52250.000000000007"/>
    <n v="5500"/>
    <n v="2227.5"/>
    <n v="48977.500000000007"/>
    <n v="16162.575000000003"/>
    <n v="53477.500000000007"/>
    <n v="56477.500000000007"/>
    <n v="7836400.0000000009"/>
    <n v="8556400.0000000019"/>
    <n v="9036400.0000000019"/>
    <n v="1173474.0603300002"/>
    <n v="765839.29512805014"/>
    <n v="2"/>
    <n v="220000.00000000003"/>
    <n v="220000.00000000003"/>
    <n v="9229874.0603300016"/>
    <n v="9949874.0603300016"/>
    <n v="10429874.060330002"/>
    <d v="2025-07-01T00:00:00"/>
    <d v="2024-10-01T00:00:00"/>
  </r>
  <r>
    <m/>
    <s v="B"/>
    <s v="B15"/>
    <s v="RESIDENTIAL"/>
    <n v="1"/>
    <n v="1"/>
    <x v="452"/>
    <s v="2 BEDROOM"/>
    <s v="C1"/>
    <n v="88.87"/>
    <n v="96.502453867373433"/>
    <x v="34"/>
    <m/>
    <m/>
    <s v="NW"/>
    <s v="MIDDLE"/>
    <s v="ROAD 18M (BUILDINGS)"/>
    <s v="FIRST"/>
    <x v="1"/>
    <n v="0.13"/>
    <n v="2.5000000000000001E-2"/>
    <n v="0.15"/>
    <n v="7.0000000000000007E-2"/>
    <n v="0.04"/>
    <n v="0.41499999999999998"/>
    <x v="0"/>
    <x v="12"/>
    <n v="50150"/>
    <n v="56050"/>
    <n v="5900"/>
    <n v="2448.5"/>
    <n v="52598.5"/>
    <n v="17357.505000000001"/>
    <n v="57098.5"/>
    <n v="60098.5"/>
    <n v="5680638"/>
    <n v="6166638"/>
    <n v="6490638"/>
    <n v="0"/>
    <n v="482854.23000000004"/>
    <n v="1"/>
    <n v="236000"/>
    <n v="236000"/>
    <n v="5916638"/>
    <n v="6402638"/>
    <n v="6726638"/>
    <d v="2025-07-01T00:00:00"/>
    <d v="2025-04-01T00:00:00"/>
  </r>
  <r>
    <m/>
    <s v="B"/>
    <s v="B15"/>
    <s v="RESIDENTIAL"/>
    <n v="1"/>
    <n v="2"/>
    <x v="453"/>
    <s v="3 BEDROOM"/>
    <s v="C1"/>
    <n v="127.14"/>
    <n v="138.05920990995676"/>
    <x v="35"/>
    <m/>
    <m/>
    <s v="SE"/>
    <s v="MIDDLE"/>
    <s v="LAKE B-1"/>
    <s v="FIRST"/>
    <x v="0"/>
    <n v="0.08"/>
    <n v="2.5000000000000001E-2"/>
    <n v="0.6"/>
    <n v="7.0000000000000007E-2"/>
    <n v="3.5000000000000003E-2"/>
    <n v="0.80999999999999994"/>
    <x v="2"/>
    <x v="12"/>
    <n v="50150"/>
    <n v="56050"/>
    <n v="5900"/>
    <n v="4779"/>
    <n v="54929"/>
    <n v="18126.57"/>
    <n v="59429"/>
    <n v="62429"/>
    <n v="8513995"/>
    <n v="9211495"/>
    <n v="9676495"/>
    <n v="0"/>
    <n v="723689.57500000007"/>
    <n v="2"/>
    <n v="236000"/>
    <n v="236000"/>
    <n v="8749995"/>
    <n v="9447495"/>
    <n v="9912495"/>
    <d v="2025-07-01T00:00:00"/>
    <d v="2025-04-01T00:00:00"/>
  </r>
  <r>
    <m/>
    <s v="B"/>
    <s v="B15"/>
    <s v="RESIDENTIAL"/>
    <n v="1"/>
    <n v="3"/>
    <x v="454"/>
    <s v="3 BEDROOM"/>
    <s v="C1"/>
    <n v="131.43"/>
    <n v="142.71764950814548"/>
    <x v="33"/>
    <m/>
    <m/>
    <s v="SE"/>
    <s v="CORNER "/>
    <s v="SEMI LAKE B-1"/>
    <s v="FIRST"/>
    <x v="4"/>
    <n v="0.08"/>
    <n v="0.05"/>
    <n v="0.48"/>
    <n v="7.0000000000000007E-2"/>
    <n v="2.5000000000000001E-2"/>
    <n v="0.70499999999999996"/>
    <x v="1"/>
    <x v="10"/>
    <n v="53550"/>
    <n v="59850"/>
    <n v="6300"/>
    <n v="4441.5"/>
    <n v="57991.5"/>
    <n v="19137.195"/>
    <n v="62491.5"/>
    <n v="65491.5"/>
    <n v="9278640"/>
    <n v="9998640"/>
    <n v="10478640"/>
    <n v="0"/>
    <n v="788684.4"/>
    <n v="2"/>
    <n v="252000"/>
    <n v="252000"/>
    <n v="9530640"/>
    <n v="10250640"/>
    <n v="10730640"/>
    <d v="2025-07-01T00:00:00"/>
    <d v="2025-10-01T00:00:00"/>
  </r>
  <r>
    <m/>
    <s v="B"/>
    <s v="B15"/>
    <s v="RESIDENTIAL"/>
    <n v="1"/>
    <n v="4"/>
    <x v="455"/>
    <s v="3 BEDROOM"/>
    <s v="C1"/>
    <n v="129.04"/>
    <n v="140.12238828677692"/>
    <x v="36"/>
    <m/>
    <m/>
    <s v="NW"/>
    <s v="CORNER "/>
    <s v="ROAD 18M (BUILDINGS)"/>
    <s v="FIRST"/>
    <x v="0"/>
    <n v="0.13"/>
    <n v="0.05"/>
    <n v="0.15"/>
    <n v="7.0000000000000007E-2"/>
    <n v="3.5000000000000003E-2"/>
    <n v="0.43499999999999994"/>
    <x v="0"/>
    <x v="4"/>
    <n v="51850"/>
    <n v="57950"/>
    <n v="6100"/>
    <n v="2653.4999999999995"/>
    <n v="54503.5"/>
    <n v="17986.155000000002"/>
    <n v="59003.5"/>
    <n v="62003.5"/>
    <n v="8557049.5"/>
    <n v="9263549.5"/>
    <n v="9734549.5"/>
    <n v="0"/>
    <n v="727349.20750000002"/>
    <n v="2"/>
    <n v="244000"/>
    <n v="244000"/>
    <n v="8801049.5"/>
    <n v="9507549.5"/>
    <n v="9978549.5"/>
    <d v="2025-07-01T00:00:00"/>
    <d v="2025-07-01T00:00:00"/>
  </r>
  <r>
    <m/>
    <s v="B"/>
    <s v="B15"/>
    <s v="RESIDENTIAL"/>
    <n v="2"/>
    <n v="1"/>
    <x v="456"/>
    <s v="3 BEDROOM"/>
    <s v="C1"/>
    <n v="127.15"/>
    <n v="138.07006874351899"/>
    <x v="35"/>
    <m/>
    <m/>
    <s v="NW"/>
    <s v="MIDDLE"/>
    <s v="ROAD 18M (BUILDINGS)"/>
    <s v="SECOND"/>
    <x v="0"/>
    <n v="0.13"/>
    <n v="2.5000000000000001E-2"/>
    <n v="0.15"/>
    <n v="0.11"/>
    <n v="3.5000000000000003E-2"/>
    <n v="0.44999999999999996"/>
    <x v="0"/>
    <x v="10"/>
    <n v="53550"/>
    <n v="59850"/>
    <n v="6300"/>
    <n v="2834.9999999999995"/>
    <n v="56385"/>
    <n v="18607.05"/>
    <n v="60885"/>
    <n v="63885"/>
    <n v="8739675"/>
    <n v="9437175"/>
    <n v="9902175"/>
    <n v="0"/>
    <n v="742872.375"/>
    <n v="2"/>
    <n v="252000"/>
    <n v="252000"/>
    <n v="8991675"/>
    <n v="9689175"/>
    <n v="10154175"/>
    <d v="2025-07-01T00:00:00"/>
    <d v="2025-10-01T00:00:00"/>
  </r>
  <r>
    <m/>
    <s v="B"/>
    <s v="B15"/>
    <s v="RESIDENTIAL"/>
    <n v="2"/>
    <n v="2"/>
    <x v="457"/>
    <s v="3 BEDROOM"/>
    <s v="C1"/>
    <n v="126.95"/>
    <n v="137.85289207227476"/>
    <x v="35"/>
    <m/>
    <m/>
    <s v="SE"/>
    <s v="MIDDLE"/>
    <s v="LAKE B-1"/>
    <s v="SECOND"/>
    <x v="0"/>
    <n v="0.08"/>
    <n v="2.5000000000000001E-2"/>
    <n v="0.6"/>
    <n v="0.11"/>
    <n v="3.5000000000000003E-2"/>
    <n v="0.85"/>
    <x v="2"/>
    <x v="4"/>
    <n v="51850"/>
    <n v="57950"/>
    <n v="6100"/>
    <n v="5185"/>
    <n v="57035"/>
    <n v="18821.55"/>
    <n v="61535"/>
    <n v="64535"/>
    <n v="8840425"/>
    <n v="9537925"/>
    <n v="10002925"/>
    <n v="0"/>
    <n v="751436.125"/>
    <n v="2"/>
    <n v="244000"/>
    <n v="244000"/>
    <n v="9084425"/>
    <n v="9781925"/>
    <n v="10246925"/>
    <d v="2025-07-01T00:00:00"/>
    <d v="2025-07-01T00:00:00"/>
  </r>
  <r>
    <m/>
    <s v="B"/>
    <s v="B15"/>
    <s v="RESIDENTIAL"/>
    <n v="2"/>
    <n v="3"/>
    <x v="458"/>
    <s v="3 BEDROOM"/>
    <s v="C1"/>
    <n v="131.44"/>
    <n v="142.72850834170771"/>
    <x v="33"/>
    <m/>
    <m/>
    <s v="SE"/>
    <s v="CORNER "/>
    <s v="SEMI LAKE B-1"/>
    <s v="SECOND"/>
    <x v="4"/>
    <n v="0.08"/>
    <n v="0.05"/>
    <n v="0.48"/>
    <n v="0.11"/>
    <n v="2.5000000000000001E-2"/>
    <n v="0.745"/>
    <x v="2"/>
    <x v="3"/>
    <n v="42500"/>
    <n v="47500"/>
    <n v="5000"/>
    <n v="3725"/>
    <n v="46225"/>
    <n v="15254.25"/>
    <n v="50725"/>
    <n v="53725"/>
    <n v="7396000"/>
    <n v="8116000"/>
    <n v="8596000"/>
    <n v="0"/>
    <n v="628660"/>
    <n v="2"/>
    <n v="200000"/>
    <n v="200000"/>
    <n v="7596000"/>
    <n v="8316000"/>
    <n v="8796000"/>
    <d v="2025-07-01T00:00:00"/>
    <d v="2023-09-01T00:00:00"/>
  </r>
  <r>
    <m/>
    <s v="B"/>
    <s v="B15"/>
    <s v="RESIDENTIAL"/>
    <n v="2"/>
    <n v="4"/>
    <x v="459"/>
    <s v="3 BEDROOM"/>
    <s v="C1"/>
    <n v="131.43"/>
    <n v="142.71764950814548"/>
    <x v="33"/>
    <m/>
    <m/>
    <s v="NW"/>
    <s v="CORNER "/>
    <s v="ROAD 18M (BUILDINGS)"/>
    <s v="SECOND"/>
    <x v="4"/>
    <n v="0.13"/>
    <n v="0.05"/>
    <n v="0.15"/>
    <n v="0.11"/>
    <n v="2.5000000000000001E-2"/>
    <n v="0.46499999999999997"/>
    <x v="0"/>
    <x v="9"/>
    <n v="58649.999999999993"/>
    <n v="65550"/>
    <n v="6900.0000000000073"/>
    <n v="3208.5000000000032"/>
    <n v="61858.499999999993"/>
    <n v="20413.305"/>
    <n v="66358.5"/>
    <n v="69358.5"/>
    <n v="9897359.9999999981"/>
    <n v="10617360"/>
    <n v="11097360"/>
    <n v="0"/>
    <n v="841275.59999999986"/>
    <n v="2"/>
    <n v="276000"/>
    <n v="276000"/>
    <n v="10173359.999999998"/>
    <n v="10893360"/>
    <n v="11373360"/>
    <d v="2025-07-01T00:00:00"/>
    <d v="2026-04-01T00:00:00"/>
  </r>
  <r>
    <m/>
    <s v="B"/>
    <s v="B15"/>
    <s v="RESIDENTIAL"/>
    <n v="3"/>
    <n v="1"/>
    <x v="460"/>
    <s v="3 BEDROOM"/>
    <s v="C1"/>
    <n v="127.45"/>
    <n v="138.39583375038532"/>
    <x v="35"/>
    <m/>
    <m/>
    <s v="NW"/>
    <s v="MIDDLE"/>
    <s v="ROAD 18M (BUILDINGS)"/>
    <s v="THIRD"/>
    <x v="0"/>
    <n v="0.13"/>
    <n v="2.5000000000000001E-2"/>
    <n v="0.15"/>
    <n v="0.15"/>
    <n v="3.5000000000000003E-2"/>
    <n v="0.49"/>
    <x v="0"/>
    <x v="7"/>
    <n v="61625"/>
    <n v="68875"/>
    <n v="7250"/>
    <n v="3552.5"/>
    <n v="65177.5"/>
    <n v="21508.575000000001"/>
    <n v="69677.5"/>
    <n v="72677.5"/>
    <n v="10102512.5"/>
    <n v="10800012.5"/>
    <n v="11265012.5"/>
    <n v="0"/>
    <n v="858713.56250000012"/>
    <n v="2"/>
    <n v="290000"/>
    <n v="290000"/>
    <n v="10392512.5"/>
    <n v="11090012.5"/>
    <n v="11555012.5"/>
    <d v="2025-07-01T00:00:00"/>
    <d v="2026-07-01T00:00:00"/>
  </r>
  <r>
    <m/>
    <s v="B"/>
    <s v="B15"/>
    <s v="RESIDENTIAL"/>
    <n v="3"/>
    <n v="2"/>
    <x v="461"/>
    <s v="3 BEDROOM"/>
    <s v="C1"/>
    <n v="126.97"/>
    <n v="137.87460973939918"/>
    <x v="35"/>
    <m/>
    <m/>
    <s v="SE"/>
    <s v="MIDDLE"/>
    <s v="LAKE B-1"/>
    <s v="THIRD"/>
    <x v="0"/>
    <n v="0.08"/>
    <n v="2.5000000000000001E-2"/>
    <n v="0.6"/>
    <n v="0.15"/>
    <n v="3.5000000000000003E-2"/>
    <n v="0.89"/>
    <x v="2"/>
    <x v="9"/>
    <n v="58649.999999999993"/>
    <n v="65550"/>
    <n v="6900.0000000000073"/>
    <n v="6141.0000000000064"/>
    <n v="64791"/>
    <n v="21381.030000000002"/>
    <n v="69291"/>
    <n v="72291"/>
    <n v="10042605"/>
    <n v="10740105"/>
    <n v="11205105"/>
    <n v="0"/>
    <n v="853621.42500000005"/>
    <n v="2"/>
    <n v="276000"/>
    <n v="276000"/>
    <n v="10318605"/>
    <n v="11016105"/>
    <n v="11481105"/>
    <d v="2025-07-01T00:00:00"/>
    <d v="2026-04-01T00:00:00"/>
  </r>
  <r>
    <m/>
    <s v="B"/>
    <s v="B15"/>
    <s v="RESIDENTIAL"/>
    <n v="3"/>
    <n v="3"/>
    <x v="462"/>
    <s v="3 BEDROOM"/>
    <s v="C1"/>
    <n v="131.43"/>
    <n v="142.71764950814548"/>
    <x v="33"/>
    <m/>
    <m/>
    <s v="SE"/>
    <s v="CORNER "/>
    <s v="SEMI LAKE B-1"/>
    <s v="THIRD"/>
    <x v="4"/>
    <n v="0.08"/>
    <n v="0.05"/>
    <n v="0.48"/>
    <n v="0.15"/>
    <n v="2.5000000000000001E-2"/>
    <n v="0.78500000000000003"/>
    <x v="2"/>
    <x v="2"/>
    <n v="45687.5"/>
    <n v="51062.5"/>
    <n v="5375"/>
    <n v="4219.375"/>
    <n v="49906.875"/>
    <n v="16469.268749999999"/>
    <n v="54406.875"/>
    <n v="57406.875"/>
    <n v="7985100"/>
    <n v="8705100"/>
    <n v="9185100"/>
    <n v="0"/>
    <n v="678733.5"/>
    <n v="2"/>
    <n v="215000"/>
    <n v="215000"/>
    <n v="8200100"/>
    <n v="8920100"/>
    <n v="9400100"/>
    <d v="2025-07-01T00:00:00"/>
    <d v="2024-07-01T00:00:00"/>
  </r>
  <r>
    <m/>
    <s v="B"/>
    <s v="B15"/>
    <s v="RESIDENTIAL"/>
    <n v="3"/>
    <n v="4"/>
    <x v="463"/>
    <s v="3 BEDROOM"/>
    <s v="C1"/>
    <n v="131.88"/>
    <n v="143.20629701844501"/>
    <x v="37"/>
    <m/>
    <m/>
    <s v="NW"/>
    <s v="CORNER "/>
    <s v="ROAD 18M (BUILDINGS)"/>
    <s v="THIRD"/>
    <x v="4"/>
    <n v="0.13"/>
    <n v="0.05"/>
    <n v="0.15"/>
    <n v="0.15"/>
    <n v="2.5000000000000001E-2"/>
    <n v="0.505"/>
    <x v="1"/>
    <x v="3"/>
    <n v="42500"/>
    <n v="47500"/>
    <n v="5000"/>
    <n v="2525"/>
    <n v="45025"/>
    <n v="14858.25"/>
    <n v="49525"/>
    <n v="52525"/>
    <n v="7249025"/>
    <n v="7973525"/>
    <n v="8456525"/>
    <n v="0"/>
    <n v="616167.125"/>
    <n v="2"/>
    <n v="200000"/>
    <n v="200000"/>
    <n v="7449025"/>
    <n v="8173525"/>
    <n v="8656525"/>
    <d v="2025-07-01T00:00:00"/>
    <d v="2023-09-01T00:00:00"/>
  </r>
  <r>
    <m/>
    <s v="B"/>
    <s v="B15"/>
    <s v="RESIDENTIAL"/>
    <n v="4"/>
    <n v="1"/>
    <x v="464"/>
    <s v="3 BEDROOM"/>
    <s v="C1"/>
    <n v="125.13"/>
    <n v="135.87658436395225"/>
    <x v="31"/>
    <m/>
    <m/>
    <s v="NW"/>
    <s v="MIDDLE"/>
    <s v="ROAD 18M (BUILDINGS)"/>
    <s v="FORTH"/>
    <x v="0"/>
    <n v="0.13"/>
    <n v="2.5000000000000001E-2"/>
    <n v="0.15"/>
    <n v="0.06"/>
    <n v="3.5000000000000003E-2"/>
    <n v="0.4"/>
    <x v="0"/>
    <x v="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n v="8397850.0000000019"/>
    <n v="8856850.0000000019"/>
    <d v="2025-07-01T00:00:00"/>
    <d v="2024-10-01T00:00:00"/>
  </r>
  <r>
    <m/>
    <s v="B"/>
    <s v="B15"/>
    <s v="RESIDENTIAL"/>
    <n v="4"/>
    <n v="2"/>
    <x v="465"/>
    <s v="3 BEDROOM"/>
    <s v="C1"/>
    <n v="127.19"/>
    <n v="138.11350407776783"/>
    <x v="35"/>
    <m/>
    <m/>
    <s v="SE"/>
    <s v="MIDDLE"/>
    <s v="LAKE B-1"/>
    <s v="FORTH"/>
    <x v="0"/>
    <n v="0.08"/>
    <n v="2.5000000000000001E-2"/>
    <n v="0.6"/>
    <n v="0.06"/>
    <n v="3.5000000000000003E-2"/>
    <n v="0.79999999999999993"/>
    <x v="2"/>
    <x v="1"/>
    <n v="48450.000000000007"/>
    <n v="54150.000000000007"/>
    <n v="5700"/>
    <n v="4560"/>
    <n v="53010.000000000007"/>
    <n v="17493.300000000003"/>
    <n v="57510.000000000007"/>
    <n v="60510.000000000007"/>
    <n v="8216550.0000000009"/>
    <n v="8914050.0000000019"/>
    <n v="9379050.0000000019"/>
    <n v="0"/>
    <n v="698406.75000000012"/>
    <n v="2"/>
    <n v="228000.00000000003"/>
    <n v="228000.00000000003"/>
    <n v="8444550.0000000019"/>
    <n v="9142050.0000000019"/>
    <n v="9607050.0000000019"/>
    <d v="2025-07-01T00:00:00"/>
    <d v="2025-01-01T00:00:00"/>
  </r>
  <r>
    <m/>
    <s v="B"/>
    <s v="B15"/>
    <s v="RESIDENTIAL"/>
    <n v="4"/>
    <n v="3"/>
    <x v="466"/>
    <s v="3 BEDROOM"/>
    <s v="C1"/>
    <n v="131.38"/>
    <n v="142.66335534033442"/>
    <x v="33"/>
    <m/>
    <m/>
    <s v="SE"/>
    <s v="CORNER "/>
    <s v="SEMI LAKE B-1"/>
    <s v="FORTH"/>
    <x v="4"/>
    <n v="0.08"/>
    <n v="0.05"/>
    <n v="0.48"/>
    <n v="0.06"/>
    <n v="2.5000000000000001E-2"/>
    <n v="0.69499999999999995"/>
    <x v="1"/>
    <x v="4"/>
    <n v="51850"/>
    <n v="57950"/>
    <n v="6100"/>
    <n v="4239.5"/>
    <n v="56089.5"/>
    <n v="18509.535"/>
    <n v="60589.5"/>
    <n v="63589.5"/>
    <n v="8974320"/>
    <n v="9694320"/>
    <n v="10174320"/>
    <n v="0"/>
    <n v="762817.20000000007"/>
    <n v="2"/>
    <n v="244000"/>
    <n v="244000"/>
    <n v="9218320"/>
    <n v="9938320"/>
    <n v="10418320"/>
    <d v="2025-07-01T00:00:00"/>
    <d v="2025-07-01T00:00:00"/>
  </r>
  <r>
    <m/>
    <s v="B"/>
    <s v="B15"/>
    <s v="RESIDENTIAL"/>
    <n v="4"/>
    <n v="4"/>
    <x v="467"/>
    <s v="3 BEDROOM"/>
    <s v="C1"/>
    <n v="129.58000000000001"/>
    <n v="140.70876529913639"/>
    <x v="32"/>
    <m/>
    <m/>
    <s v="NW"/>
    <s v="CORNER "/>
    <s v="ROAD 18M (BUILDINGS)"/>
    <s v="FORTH"/>
    <x v="0"/>
    <n v="0.13"/>
    <n v="0.05"/>
    <n v="0.15"/>
    <n v="0.06"/>
    <n v="3.5000000000000003E-2"/>
    <n v="0.42499999999999993"/>
    <x v="0"/>
    <x v="12"/>
    <n v="50150"/>
    <n v="56050"/>
    <n v="5900"/>
    <n v="2507.4999999999995"/>
    <n v="52657.5"/>
    <n v="17376.975000000002"/>
    <n v="57157.5"/>
    <n v="60157.5"/>
    <n v="8319885"/>
    <n v="9030885"/>
    <n v="9504885"/>
    <n v="0"/>
    <n v="707190.22500000009"/>
    <n v="2"/>
    <n v="236000"/>
    <n v="236000"/>
    <n v="8555885"/>
    <n v="9266885"/>
    <n v="9740885"/>
    <d v="2025-07-01T00:00:00"/>
    <d v="2025-04-01T00:00:00"/>
  </r>
  <r>
    <s v="C3"/>
    <s v="B"/>
    <s v="B16"/>
    <s v="RESIDENTIAL"/>
    <n v="0"/>
    <n v="1"/>
    <x v="468"/>
    <s v="3 BEDROOM"/>
    <s v="C1"/>
    <n v="131.32"/>
    <n v="142.66718842094684"/>
    <x v="33"/>
    <n v="76.728700000000003"/>
    <m/>
    <s v="NW"/>
    <s v="MIDDLE"/>
    <s v="ROAD 18M (BUILDINGS)"/>
    <s v="GROUND"/>
    <x v="4"/>
    <n v="0.13"/>
    <n v="2.5000000000000001E-2"/>
    <n v="0.15"/>
    <n v="0.05"/>
    <n v="2.5000000000000001E-2"/>
    <n v="0.38"/>
    <x v="0"/>
    <x v="6"/>
    <n v="44625"/>
    <n v="49875"/>
    <n v="5250"/>
    <n v="1995"/>
    <n v="46620"/>
    <n v="15384.6"/>
    <n v="51120"/>
    <n v="54120"/>
    <n v="7459200"/>
    <n v="8179200"/>
    <n v="8659200"/>
    <n v="1180440.3580200002"/>
    <n v="734369.43043170008"/>
    <n v="2"/>
    <n v="210000"/>
    <n v="210000"/>
    <n v="8849640.3580200002"/>
    <n v="9569640.3580200002"/>
    <n v="10049640.35802"/>
    <d v="2025-07-01T00:00:00"/>
    <d v="2024-04-01T00:00:00"/>
  </r>
  <r>
    <m/>
    <s v="B"/>
    <s v="B16"/>
    <s v="RESIDENTIAL"/>
    <n v="0"/>
    <n v="2"/>
    <x v="469"/>
    <s v="3 BEDROOM + LIVING (DUPLEX)"/>
    <s v="C1"/>
    <n v="128.28"/>
    <n v="139.36450602070562"/>
    <x v="38"/>
    <n v="86.075999999999993"/>
    <m/>
    <s v="SE"/>
    <s v="MIDDLE"/>
    <s v="LAKE B-1"/>
    <s v="GROUND"/>
    <x v="5"/>
    <n v="0.08"/>
    <n v="2.5000000000000001E-2"/>
    <n v="0.6"/>
    <n v="0.05"/>
    <n v="0"/>
    <n v="0.755"/>
    <x v="2"/>
    <x v="0"/>
    <n v="43562.499999999993"/>
    <n v="48687.499999999993"/>
    <n v="5125"/>
    <n v="3869.375"/>
    <n v="47431.874999999993"/>
    <n v="15652.518749999997"/>
    <n v="51931.874999999993"/>
    <n v="54931.874999999993"/>
    <n v="14656449.374999998"/>
    <n v="16046949.374999998"/>
    <n v="16973949.374999996"/>
    <n v="1347306.2039249996"/>
    <n v="1360319.224208625"/>
    <n v="2"/>
    <n v="204999.99999999997"/>
    <n v="204999.99999999997"/>
    <n v="16208755.578924999"/>
    <n v="17599255.578924999"/>
    <n v="18526255.578924995"/>
    <d v="2025-07-01T00:00:00"/>
    <d v="2024-01-01T00:00:00"/>
  </r>
  <r>
    <m/>
    <s v="B"/>
    <s v="B16"/>
    <s v="RESIDENTIAL"/>
    <n v="0"/>
    <n v="3"/>
    <x v="470"/>
    <s v="3 BEDROOM + LIVING (DUPLEX)"/>
    <s v="C1"/>
    <n v="125.03"/>
    <n v="135.83367779676351"/>
    <x v="39"/>
    <n v="85.509600000000006"/>
    <m/>
    <s v="SE"/>
    <s v="MIDDLE"/>
    <s v="LAKE B-1"/>
    <s v="GROUND"/>
    <x v="5"/>
    <n v="0.08"/>
    <n v="2.5000000000000001E-2"/>
    <n v="0.6"/>
    <n v="0.05"/>
    <n v="0"/>
    <n v="0.755"/>
    <x v="2"/>
    <x v="0"/>
    <n v="43562.499999999993"/>
    <n v="48687.499999999993"/>
    <n v="5125"/>
    <n v="3869.375"/>
    <n v="47431.874999999993"/>
    <n v="15652.518749999997"/>
    <n v="51931.874999999993"/>
    <n v="54931.874999999993"/>
    <n v="14276994.374999998"/>
    <n v="15631494.374999998"/>
    <n v="16534494.374999998"/>
    <n v="1338440.6173049998"/>
    <n v="1327311.9743459248"/>
    <n v="2"/>
    <n v="204999.99999999997"/>
    <n v="204999.99999999997"/>
    <n v="15820434.992304998"/>
    <n v="17174934.992304999"/>
    <n v="18077934.992304999"/>
    <d v="2025-07-01T00:00:00"/>
    <d v="2024-01-01T00:00:00"/>
  </r>
  <r>
    <m/>
    <s v="B"/>
    <s v="B16"/>
    <s v="RESIDENTIAL"/>
    <n v="0"/>
    <n v="4"/>
    <x v="471"/>
    <s v="2 BEDROOM"/>
    <s v="C1"/>
    <n v="87.23"/>
    <n v="94.767429530606108"/>
    <x v="30"/>
    <n v="64.038600000000002"/>
    <m/>
    <s v="NW"/>
    <s v="MIDDLE"/>
    <s v="ROAD 18M (BUILDINGS)"/>
    <s v="GROUND"/>
    <x v="1"/>
    <n v="0.13"/>
    <n v="2.5000000000000001E-2"/>
    <n v="0.15"/>
    <n v="0.05"/>
    <n v="0.04"/>
    <n v="0.39499999999999996"/>
    <x v="0"/>
    <x v="2"/>
    <n v="45687.5"/>
    <n v="51062.5"/>
    <n v="5375"/>
    <n v="2123.125"/>
    <n v="47810.625"/>
    <n v="15777.50625"/>
    <n v="52310.625"/>
    <n v="55310.625"/>
    <n v="5067926.25"/>
    <n v="5544926.25"/>
    <n v="5862926.25"/>
    <n v="1010369.4117412501"/>
    <n v="516655.13124800631"/>
    <n v="1"/>
    <n v="215000"/>
    <n v="215000"/>
    <n v="6293295.6617412502"/>
    <n v="6770295.6617412502"/>
    <n v="7088295.6617412502"/>
    <d v="2025-07-01T00:00:00"/>
    <d v="2024-07-01T00:00:00"/>
  </r>
  <r>
    <m/>
    <s v="B"/>
    <s v="B16"/>
    <s v="RESIDENTIAL"/>
    <n v="1"/>
    <n v="1"/>
    <x v="472"/>
    <s v="3 BEDROOM"/>
    <s v="C1"/>
    <n v="132.94"/>
    <n v="144.42717048949646"/>
    <x v="40"/>
    <m/>
    <m/>
    <s v="NW"/>
    <s v="MIDDLE"/>
    <s v="ROAD 18M (BUILDINGS)"/>
    <s v="FIRST"/>
    <x v="4"/>
    <n v="0.13"/>
    <n v="2.5000000000000001E-2"/>
    <n v="0.15"/>
    <n v="7.0000000000000007E-2"/>
    <n v="2.5000000000000001E-2"/>
    <n v="0.4"/>
    <x v="0"/>
    <x v="5"/>
    <n v="46750.000000000007"/>
    <n v="52250.000000000007"/>
    <n v="5500"/>
    <n v="2200"/>
    <n v="48950.000000000007"/>
    <n v="16153.500000000004"/>
    <n v="53450.000000000007"/>
    <n v="56450.000000000007"/>
    <n v="7929900.0000000009"/>
    <n v="8658900.0000000019"/>
    <n v="9144900.0000000019"/>
    <n v="0"/>
    <n v="674041.50000000012"/>
    <n v="2"/>
    <n v="220000.00000000003"/>
    <n v="220000.00000000003"/>
    <n v="8149900.0000000009"/>
    <n v="8878900.0000000019"/>
    <n v="9364900.0000000019"/>
    <d v="2025-07-01T00:00:00"/>
    <d v="2024-10-01T00:00:00"/>
  </r>
  <r>
    <m/>
    <s v="B"/>
    <s v="B16"/>
    <s v="RESIDENTIAL"/>
    <n v="1"/>
    <n v="4"/>
    <x v="473"/>
    <s v="2 BEDROOM"/>
    <s v="C1"/>
    <n v="88.87"/>
    <n v="96.549139772841514"/>
    <x v="34"/>
    <m/>
    <m/>
    <s v="NW"/>
    <s v="MIDDLE"/>
    <s v="ROAD 18M (BUILDINGS)"/>
    <s v="FIRST"/>
    <x v="1"/>
    <n v="0.13"/>
    <n v="2.5000000000000001E-2"/>
    <n v="0.15"/>
    <n v="7.0000000000000007E-2"/>
    <n v="0.04"/>
    <n v="0.41499999999999998"/>
    <x v="0"/>
    <x v="12"/>
    <n v="50150"/>
    <n v="56050"/>
    <n v="5900"/>
    <n v="2448.5"/>
    <n v="52598.5"/>
    <n v="17357.505000000001"/>
    <n v="57098.5"/>
    <n v="60098.5"/>
    <n v="5680638"/>
    <n v="6166638"/>
    <n v="6490638"/>
    <n v="0"/>
    <n v="482854.23000000004"/>
    <n v="1"/>
    <n v="236000"/>
    <n v="236000"/>
    <n v="5916638"/>
    <n v="6402638"/>
    <n v="6726638"/>
    <d v="2025-07-01T00:00:00"/>
    <d v="2025-04-01T00:00:00"/>
  </r>
  <r>
    <m/>
    <s v="B"/>
    <s v="B16"/>
    <s v="RESIDENTIAL"/>
    <n v="2"/>
    <n v="1"/>
    <x v="474"/>
    <s v="3 BEDROOM"/>
    <s v="C1"/>
    <n v="131.41999999999999"/>
    <n v="142.77582928937582"/>
    <x v="33"/>
    <m/>
    <m/>
    <s v="NW"/>
    <s v="MIDDLE"/>
    <s v="ROAD 18M (BUILDINGS)"/>
    <s v="SECOND"/>
    <x v="4"/>
    <n v="0.13"/>
    <n v="2.5000000000000001E-2"/>
    <n v="0.15"/>
    <n v="0.11"/>
    <n v="2.5000000000000001E-2"/>
    <n v="0.44"/>
    <x v="0"/>
    <x v="4"/>
    <n v="51850"/>
    <n v="57950"/>
    <n v="6100"/>
    <n v="2684"/>
    <n v="54534"/>
    <n v="17996.22"/>
    <n v="59034"/>
    <n v="62034"/>
    <n v="8725440"/>
    <n v="9445440"/>
    <n v="9925440"/>
    <n v="0"/>
    <n v="741662.4"/>
    <n v="2"/>
    <n v="244000"/>
    <n v="244000"/>
    <n v="8969440"/>
    <n v="9689440"/>
    <n v="10169440"/>
    <d v="2025-07-01T00:00:00"/>
    <d v="2025-07-01T00:00:00"/>
  </r>
  <r>
    <m/>
    <s v="B"/>
    <s v="B16"/>
    <s v="RESIDENTIAL"/>
    <n v="2"/>
    <n v="2"/>
    <x v="475"/>
    <s v="3 BEDROOM"/>
    <s v="C1"/>
    <n v="131.03"/>
    <n v="142.35212990250278"/>
    <x v="33"/>
    <m/>
    <m/>
    <s v="SE"/>
    <s v="MIDDLE"/>
    <s v="LAKE B-1"/>
    <s v="SECOND"/>
    <x v="4"/>
    <n v="0.08"/>
    <n v="2.5000000000000001E-2"/>
    <n v="0.6"/>
    <n v="0.11"/>
    <n v="2.5000000000000001E-2"/>
    <n v="0.84"/>
    <x v="2"/>
    <x v="4"/>
    <n v="51850"/>
    <n v="57950"/>
    <n v="6100"/>
    <n v="5124"/>
    <n v="56974"/>
    <n v="18801.420000000002"/>
    <n v="61474"/>
    <n v="64474"/>
    <n v="9115840"/>
    <n v="9835840"/>
    <n v="10315840"/>
    <n v="0"/>
    <n v="774846.4"/>
    <n v="2"/>
    <n v="244000"/>
    <n v="244000"/>
    <n v="9359840"/>
    <n v="10079840"/>
    <n v="10559840"/>
    <d v="2025-07-01T00:00:00"/>
    <d v="2025-07-01T00:00:00"/>
  </r>
  <r>
    <m/>
    <s v="B"/>
    <s v="B16"/>
    <s v="RESIDENTIAL"/>
    <n v="2"/>
    <n v="3"/>
    <x v="476"/>
    <s v="3 BEDROOM"/>
    <s v="C1"/>
    <n v="126.89"/>
    <n v="137.85439794954269"/>
    <x v="35"/>
    <m/>
    <m/>
    <s v="SE"/>
    <s v="MIDDLE"/>
    <s v="LAKE B-1"/>
    <s v="SECOND"/>
    <x v="0"/>
    <n v="0.08"/>
    <n v="2.5000000000000001E-2"/>
    <n v="0.6"/>
    <n v="0.11"/>
    <n v="3.5000000000000003E-2"/>
    <n v="0.85"/>
    <x v="2"/>
    <x v="4"/>
    <n v="51850"/>
    <n v="57950"/>
    <n v="6100"/>
    <n v="5185"/>
    <n v="57035"/>
    <n v="18821.55"/>
    <n v="61535"/>
    <n v="64535"/>
    <n v="8840425"/>
    <n v="9537925"/>
    <n v="10002925"/>
    <n v="0"/>
    <n v="751436.125"/>
    <n v="2"/>
    <n v="244000"/>
    <n v="244000"/>
    <n v="9084425"/>
    <n v="9781925"/>
    <n v="10246925"/>
    <d v="2025-07-01T00:00:00"/>
    <d v="2025-07-01T00:00:00"/>
  </r>
  <r>
    <m/>
    <s v="B"/>
    <s v="B16"/>
    <s v="RESIDENTIAL"/>
    <n v="2"/>
    <n v="4"/>
    <x v="477"/>
    <s v="3 BEDROOM"/>
    <s v="C1"/>
    <n v="126.99"/>
    <n v="137.96303881797166"/>
    <x v="35"/>
    <m/>
    <m/>
    <s v="NW"/>
    <s v="MIDDLE"/>
    <s v="ROAD 18M (BUILDINGS)"/>
    <s v="SECOND"/>
    <x v="0"/>
    <n v="0.13"/>
    <n v="2.5000000000000001E-2"/>
    <n v="0.15"/>
    <n v="0.11"/>
    <n v="3.5000000000000003E-2"/>
    <n v="0.44999999999999996"/>
    <x v="0"/>
    <x v="10"/>
    <n v="53550"/>
    <n v="59850"/>
    <n v="6300"/>
    <n v="2834.9999999999995"/>
    <n v="56385"/>
    <n v="18607.05"/>
    <n v="60885"/>
    <n v="63885"/>
    <n v="8739675"/>
    <n v="9437175"/>
    <n v="9902175"/>
    <n v="0"/>
    <n v="742872.375"/>
    <n v="2"/>
    <n v="252000"/>
    <n v="252000"/>
    <n v="8991675"/>
    <n v="9689175"/>
    <n v="10154175"/>
    <d v="2025-07-01T00:00:00"/>
    <d v="2025-10-01T00:00:00"/>
  </r>
  <r>
    <m/>
    <s v="B"/>
    <s v="B16"/>
    <s v="RESIDENTIAL"/>
    <n v="3"/>
    <n v="1"/>
    <x v="478"/>
    <s v="3 BEDROOM"/>
    <s v="C1"/>
    <n v="131.88"/>
    <n v="143.27557728414919"/>
    <x v="37"/>
    <m/>
    <m/>
    <s v="NW"/>
    <s v="MIDDLE"/>
    <s v="ROAD 18M (BUILDINGS)"/>
    <s v="THIRD"/>
    <x v="4"/>
    <n v="0.13"/>
    <n v="2.5000000000000001E-2"/>
    <n v="0.15"/>
    <n v="0.15"/>
    <n v="2.5000000000000001E-2"/>
    <n v="0.48"/>
    <x v="0"/>
    <x v="7"/>
    <n v="61625"/>
    <n v="68875"/>
    <n v="7250"/>
    <n v="3480"/>
    <n v="65105"/>
    <n v="21484.65"/>
    <n v="69605"/>
    <n v="72605"/>
    <n v="10481905"/>
    <n v="11206405"/>
    <n v="11689405"/>
    <n v="0"/>
    <n v="890961.92500000005"/>
    <n v="2"/>
    <n v="290000"/>
    <n v="290000"/>
    <n v="10771905"/>
    <n v="11496405"/>
    <n v="11979405"/>
    <d v="2025-07-01T00:00:00"/>
    <d v="2026-07-01T00:00:00"/>
  </r>
  <r>
    <m/>
    <s v="B"/>
    <s v="B16"/>
    <s v="RESIDENTIAL"/>
    <n v="3"/>
    <n v="2"/>
    <x v="479"/>
    <s v="3 BEDROOM"/>
    <s v="C1"/>
    <n v="131.02000000000001"/>
    <n v="142.34126581565991"/>
    <x v="33"/>
    <m/>
    <m/>
    <s v="SE"/>
    <s v="MIDDLE"/>
    <s v="LAKE B-1"/>
    <s v="THIRD"/>
    <x v="4"/>
    <n v="0.08"/>
    <n v="2.5000000000000001E-2"/>
    <n v="0.6"/>
    <n v="0.15"/>
    <n v="2.5000000000000001E-2"/>
    <n v="0.88"/>
    <x v="2"/>
    <x v="8"/>
    <n v="56100"/>
    <n v="62700"/>
    <n v="6600"/>
    <n v="5808"/>
    <n v="61908"/>
    <n v="20429.64"/>
    <n v="66408"/>
    <n v="69408"/>
    <n v="9905280"/>
    <n v="10625280"/>
    <n v="11105280"/>
    <n v="0"/>
    <n v="841948.8"/>
    <n v="2"/>
    <n v="264000"/>
    <n v="264000"/>
    <n v="10169280"/>
    <n v="10889280"/>
    <n v="11369280"/>
    <d v="2025-07-01T00:00:00"/>
    <d v="2026-01-01T00:00:00"/>
  </r>
  <r>
    <m/>
    <s v="B"/>
    <s v="B16"/>
    <s v="RESIDENTIAL"/>
    <n v="3"/>
    <n v="3"/>
    <x v="480"/>
    <s v="3 BEDROOM"/>
    <s v="C1"/>
    <n v="126.87"/>
    <n v="137.83266977585691"/>
    <x v="35"/>
    <m/>
    <m/>
    <s v="SE"/>
    <s v="MIDDLE"/>
    <s v="LAKE B-1"/>
    <s v="THIRD"/>
    <x v="0"/>
    <n v="0.08"/>
    <n v="2.5000000000000001E-2"/>
    <n v="0.6"/>
    <n v="0.15"/>
    <n v="3.5000000000000003E-2"/>
    <n v="0.89"/>
    <x v="2"/>
    <x v="8"/>
    <n v="56100"/>
    <n v="62700"/>
    <n v="6600"/>
    <n v="5874"/>
    <n v="61974"/>
    <n v="20451.420000000002"/>
    <n v="66474"/>
    <n v="69474"/>
    <n v="9605970"/>
    <n v="10303470"/>
    <n v="10768470"/>
    <n v="0"/>
    <n v="816507.45000000007"/>
    <n v="2"/>
    <n v="264000"/>
    <n v="264000"/>
    <n v="9869970"/>
    <n v="10567470"/>
    <n v="11032470"/>
    <d v="2025-07-01T00:00:00"/>
    <d v="2026-01-01T00:00:00"/>
  </r>
  <r>
    <m/>
    <s v="B"/>
    <s v="B16"/>
    <s v="RESIDENTIAL"/>
    <n v="3"/>
    <n v="4"/>
    <x v="481"/>
    <s v="3 BEDROOM"/>
    <s v="C1"/>
    <n v="127.41"/>
    <n v="138.41933046537343"/>
    <x v="35"/>
    <m/>
    <m/>
    <s v="NW"/>
    <s v="MIDDLE"/>
    <s v="ROAD 18M (BUILDINGS)"/>
    <s v="THIRD"/>
    <x v="0"/>
    <n v="0.13"/>
    <n v="2.5000000000000001E-2"/>
    <n v="0.15"/>
    <n v="0.15"/>
    <n v="3.5000000000000003E-2"/>
    <n v="0.49"/>
    <x v="0"/>
    <x v="7"/>
    <n v="61625"/>
    <n v="68875"/>
    <n v="7250"/>
    <n v="3552.5"/>
    <n v="65177.5"/>
    <n v="21508.575000000001"/>
    <n v="69677.5"/>
    <n v="72677.5"/>
    <n v="10102512.5"/>
    <n v="10800012.5"/>
    <n v="11265012.5"/>
    <n v="0"/>
    <n v="858713.56250000012"/>
    <n v="2"/>
    <n v="290000"/>
    <n v="290000"/>
    <n v="10392512.5"/>
    <n v="11090012.5"/>
    <n v="11555012.5"/>
    <d v="2025-07-01T00:00:00"/>
    <d v="2026-07-01T00:00:00"/>
  </r>
  <r>
    <m/>
    <s v="B"/>
    <s v="B16"/>
    <s v="RESIDENTIAL"/>
    <n v="4"/>
    <n v="1"/>
    <x v="482"/>
    <s v="3 BEDROOM"/>
    <s v="C1"/>
    <n v="129.59"/>
    <n v="140.78770139712537"/>
    <x v="32"/>
    <m/>
    <m/>
    <s v="NW"/>
    <s v="MIDDLE"/>
    <s v="ROAD 18M (BUILDINGS)"/>
    <s v="FORTH"/>
    <x v="0"/>
    <n v="0.13"/>
    <n v="2.5000000000000001E-2"/>
    <n v="0.15"/>
    <n v="0.06"/>
    <n v="3.5000000000000003E-2"/>
    <n v="0.4"/>
    <x v="0"/>
    <x v="5"/>
    <n v="46750.000000000007"/>
    <n v="52250.000000000007"/>
    <n v="5500"/>
    <n v="2200"/>
    <n v="48950.000000000007"/>
    <n v="16153.500000000004"/>
    <n v="53450.000000000007"/>
    <n v="56450.000000000007"/>
    <n v="7734100.0000000009"/>
    <n v="8445100.0000000019"/>
    <n v="8919100.0000000019"/>
    <n v="0"/>
    <n v="657398.50000000012"/>
    <n v="2"/>
    <n v="220000.00000000003"/>
    <n v="220000.00000000003"/>
    <n v="7954100.0000000009"/>
    <n v="8665100.0000000019"/>
    <n v="9139100.0000000019"/>
    <d v="2025-07-01T00:00:00"/>
    <d v="2024-10-01T00:00:00"/>
  </r>
  <r>
    <m/>
    <s v="B"/>
    <s v="B16"/>
    <s v="RESIDENTIAL"/>
    <n v="4"/>
    <n v="2"/>
    <x v="483"/>
    <s v="3 BEDROOM"/>
    <s v="C1"/>
    <n v="131.72"/>
    <n v="143.10175189466281"/>
    <x v="37"/>
    <m/>
    <m/>
    <s v="SE"/>
    <s v="MIDDLE"/>
    <s v="LAKE B-1"/>
    <s v="FORTH"/>
    <x v="4"/>
    <n v="0.08"/>
    <n v="2.5000000000000001E-2"/>
    <n v="0.6"/>
    <n v="0.06"/>
    <n v="2.5000000000000001E-2"/>
    <n v="0.78999999999999992"/>
    <x v="2"/>
    <x v="5"/>
    <n v="46750.000000000007"/>
    <n v="52250.000000000007"/>
    <n v="5500"/>
    <n v="4345"/>
    <n v="51095.000000000007"/>
    <n v="16861.350000000002"/>
    <n v="55595.000000000007"/>
    <n v="58595.000000000007"/>
    <n v="8226295.0000000009"/>
    <n v="8950795.0000000019"/>
    <n v="9433795.0000000019"/>
    <n v="0"/>
    <n v="699235.07500000019"/>
    <n v="2"/>
    <n v="220000.00000000003"/>
    <n v="220000.00000000003"/>
    <n v="8446295.0000000019"/>
    <n v="9170795.0000000019"/>
    <n v="9653795.0000000019"/>
    <d v="2025-07-01T00:00:00"/>
    <d v="2024-10-01T00:00:00"/>
  </r>
  <r>
    <m/>
    <s v="B"/>
    <s v="B16"/>
    <s v="RESIDENTIAL"/>
    <n v="4"/>
    <n v="3"/>
    <x v="484"/>
    <s v="3 BEDROOM"/>
    <s v="C1"/>
    <n v="127.12"/>
    <n v="138.10427194692937"/>
    <x v="35"/>
    <m/>
    <m/>
    <s v="SE"/>
    <s v="MIDDLE"/>
    <s v="LAKE B-1"/>
    <s v="FORTH"/>
    <x v="0"/>
    <n v="0.08"/>
    <n v="2.5000000000000001E-2"/>
    <n v="0.6"/>
    <n v="0.06"/>
    <n v="3.5000000000000003E-2"/>
    <n v="0.79999999999999993"/>
    <x v="2"/>
    <x v="1"/>
    <n v="48450.000000000007"/>
    <n v="54150.000000000007"/>
    <n v="5700"/>
    <n v="4560"/>
    <n v="53010.000000000007"/>
    <n v="17493.300000000003"/>
    <n v="57510.000000000007"/>
    <n v="60510.000000000007"/>
    <n v="8216550.0000000009"/>
    <n v="8914050.0000000019"/>
    <n v="9379050.0000000019"/>
    <n v="0"/>
    <n v="698406.75000000012"/>
    <n v="2"/>
    <n v="228000.00000000003"/>
    <n v="228000.00000000003"/>
    <n v="8444550.0000000019"/>
    <n v="9142050.0000000019"/>
    <n v="9607050.0000000019"/>
    <d v="2025-07-01T00:00:00"/>
    <d v="2025-01-01T00:00:00"/>
  </r>
  <r>
    <m/>
    <s v="B"/>
    <s v="B16"/>
    <s v="RESIDENTIAL"/>
    <n v="4"/>
    <n v="4"/>
    <x v="485"/>
    <s v="3 BEDROOM"/>
    <s v="C1"/>
    <n v="125.12"/>
    <n v="135.93145457834962"/>
    <x v="31"/>
    <m/>
    <m/>
    <s v="NW"/>
    <s v="MIDDLE"/>
    <s v="ROAD 18M (BUILDINGS)"/>
    <s v="FORTH"/>
    <x v="0"/>
    <n v="0.13"/>
    <n v="2.5000000000000001E-2"/>
    <n v="0.15"/>
    <n v="0.06"/>
    <n v="3.5000000000000003E-2"/>
    <n v="0.4"/>
    <x v="0"/>
    <x v="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n v="8397850.0000000019"/>
    <n v="8856850.0000000019"/>
    <d v="2025-07-01T00:00:00"/>
    <d v="2024-10-01T00:00:00"/>
  </r>
  <r>
    <s v="C3"/>
    <s v="B"/>
    <s v="B17"/>
    <s v="RESIDENTIAL"/>
    <n v="0"/>
    <n v="1"/>
    <x v="486"/>
    <s v="3 BEDROOM"/>
    <s v="C1"/>
    <n v="131.34"/>
    <n v="142.61992000608555"/>
    <x v="33"/>
    <n v="75.3416"/>
    <m/>
    <s v="NW"/>
    <s v="CORNER "/>
    <s v="ROAD 18M (BUILDINGS)"/>
    <s v="GROUND"/>
    <x v="4"/>
    <n v="0.13"/>
    <n v="0.05"/>
    <n v="0.15"/>
    <n v="0.05"/>
    <n v="2.5000000000000001E-2"/>
    <n v="0.40499999999999997"/>
    <x v="0"/>
    <x v="1"/>
    <n v="48450.000000000007"/>
    <n v="54150.000000000007"/>
    <n v="5700"/>
    <n v="2308.5"/>
    <n v="50758.500000000007"/>
    <n v="16750.305000000004"/>
    <n v="55258.500000000007"/>
    <n v="58258.500000000007"/>
    <n v="8121360.0000000009"/>
    <n v="8841360.0000000019"/>
    <n v="9321360.0000000019"/>
    <n v="1261994.7791880004"/>
    <n v="797585.15623098018"/>
    <n v="2"/>
    <n v="228000.00000000003"/>
    <n v="228000.00000000003"/>
    <n v="9611354.7791880015"/>
    <n v="10331354.779188002"/>
    <n v="10811354.779188002"/>
    <d v="2025-07-01T00:00:00"/>
    <d v="2025-01-01T00:00:00"/>
  </r>
  <r>
    <m/>
    <s v="B"/>
    <s v="B17"/>
    <s v="RESIDENTIAL"/>
    <n v="0"/>
    <n v="2"/>
    <x v="487"/>
    <s v="3 BEDROOM"/>
    <s v="C1"/>
    <n v="129.57"/>
    <n v="140.69790646557411"/>
    <x v="32"/>
    <n v="84.036199999999994"/>
    <m/>
    <s v="SE"/>
    <s v="CORNER "/>
    <s v="LAKE B-1"/>
    <s v="GROUND"/>
    <x v="0"/>
    <n v="0.08"/>
    <n v="0.05"/>
    <n v="0.6"/>
    <n v="0.05"/>
    <n v="3.5000000000000003E-2"/>
    <n v="0.81500000000000006"/>
    <x v="2"/>
    <x v="12"/>
    <n v="50150"/>
    <n v="56050"/>
    <n v="5900"/>
    <n v="4808.5"/>
    <n v="54958.5"/>
    <n v="18136.305"/>
    <n v="59458.5"/>
    <n v="62458.5"/>
    <n v="8683443"/>
    <n v="9394443"/>
    <n v="9868443"/>
    <n v="1524106.1542409998"/>
    <n v="867641.67811048497"/>
    <n v="2"/>
    <n v="236000"/>
    <n v="236000"/>
    <n v="10443549.154240999"/>
    <n v="11154549.154240999"/>
    <n v="11628549.154240999"/>
    <d v="2025-07-01T00:00:00"/>
    <d v="2025-04-01T00:00:00"/>
  </r>
  <r>
    <m/>
    <s v="B"/>
    <s v="B17"/>
    <s v="RESIDENTIAL"/>
    <n v="0"/>
    <n v="3"/>
    <x v="488"/>
    <s v="3 BEDROOM"/>
    <s v="C1"/>
    <n v="125.09"/>
    <n v="135.83314902970338"/>
    <x v="31"/>
    <n v="85.562899999999999"/>
    <m/>
    <s v="SE"/>
    <s v="MIDDLE"/>
    <s v="LAKE B-1"/>
    <s v="GROUND"/>
    <x v="0"/>
    <n v="0.08"/>
    <n v="2.5000000000000001E-2"/>
    <n v="0.6"/>
    <n v="0.05"/>
    <n v="3.5000000000000003E-2"/>
    <n v="0.79"/>
    <x v="2"/>
    <x v="5"/>
    <n v="46750.000000000007"/>
    <n v="52250.000000000007"/>
    <n v="5500"/>
    <n v="4345"/>
    <n v="51095.000000000007"/>
    <n v="16861.350000000002"/>
    <n v="55595.000000000007"/>
    <n v="58595.000000000007"/>
    <n v="7817535.0000000009"/>
    <n v="8506035.0000000019"/>
    <n v="8965035.0000000019"/>
    <n v="1442706.0039150002"/>
    <n v="787120.48533277516"/>
    <n v="2"/>
    <n v="220000.00000000003"/>
    <n v="220000.00000000003"/>
    <n v="9480241.0039150007"/>
    <n v="10168741.003915003"/>
    <n v="10627741.003915003"/>
    <d v="2025-07-01T00:00:00"/>
    <d v="2024-10-01T00:00:00"/>
  </r>
  <r>
    <m/>
    <s v="B"/>
    <s v="B17"/>
    <s v="RESIDENTIAL"/>
    <n v="0"/>
    <n v="4"/>
    <x v="489"/>
    <s v="2 BEDROOM"/>
    <s v="C1"/>
    <n v="87.23"/>
    <n v="94.721605163170736"/>
    <x v="30"/>
    <n v="63.087899999999998"/>
    <m/>
    <s v="NW"/>
    <s v="MIDDLE"/>
    <s v="ROAD 18M (BUILDINGS)"/>
    <s v="GROUND"/>
    <x v="1"/>
    <n v="0.13"/>
    <n v="2.5000000000000001E-2"/>
    <n v="0.15"/>
    <n v="0.05"/>
    <n v="0.04"/>
    <n v="0.39499999999999996"/>
    <x v="0"/>
    <x v="2"/>
    <n v="45687.5"/>
    <n v="51062.5"/>
    <n v="5375"/>
    <n v="2123.125"/>
    <n v="47810.625"/>
    <n v="15777.50625"/>
    <n v="52310.625"/>
    <n v="55310.625"/>
    <n v="5067926.25"/>
    <n v="5544926.25"/>
    <n v="5862926.25"/>
    <n v="995369.736549375"/>
    <n v="515380.15885669686"/>
    <n v="1"/>
    <n v="215000"/>
    <n v="215000"/>
    <n v="6278295.9865493756"/>
    <n v="6755295.9865493746"/>
    <n v="7073295.9865493756"/>
    <d v="2025-07-01T00:00:00"/>
    <d v="2024-07-01T00:00:00"/>
  </r>
  <r>
    <m/>
    <s v="B"/>
    <s v="B17"/>
    <s v="RESIDENTIAL"/>
    <n v="1"/>
    <n v="1"/>
    <x v="490"/>
    <s v="3 BEDROOM"/>
    <s v="C1"/>
    <n v="129.04"/>
    <n v="140.1223882867769"/>
    <x v="36"/>
    <m/>
    <m/>
    <s v="NW"/>
    <s v="CORNER "/>
    <s v="ROAD 18M (BUILDINGS)"/>
    <s v="FIRST"/>
    <x v="0"/>
    <n v="0.13"/>
    <n v="0.05"/>
    <n v="0.15"/>
    <n v="7.0000000000000007E-2"/>
    <n v="3.5000000000000003E-2"/>
    <n v="0.43499999999999994"/>
    <x v="0"/>
    <x v="4"/>
    <n v="51850"/>
    <n v="57950"/>
    <n v="6100"/>
    <n v="2653.4999999999995"/>
    <n v="54503.5"/>
    <n v="17986.155000000002"/>
    <n v="59003.5"/>
    <n v="62003.5"/>
    <n v="8557049.5"/>
    <n v="9263549.5"/>
    <n v="9734549.5"/>
    <n v="0"/>
    <n v="727349.20750000002"/>
    <n v="2"/>
    <n v="244000"/>
    <n v="244000"/>
    <n v="8801049.5"/>
    <n v="9507549.5"/>
    <n v="9978549.5"/>
    <d v="2025-07-01T00:00:00"/>
    <d v="2025-07-01T00:00:00"/>
  </r>
  <r>
    <m/>
    <s v="B"/>
    <s v="B17"/>
    <s v="RESIDENTIAL"/>
    <n v="1"/>
    <n v="2"/>
    <x v="491"/>
    <s v="3 BEDROOM"/>
    <s v="C1"/>
    <n v="131.43"/>
    <n v="142.71764950814546"/>
    <x v="33"/>
    <m/>
    <m/>
    <s v="SE"/>
    <s v="CORNER "/>
    <s v="LAKE B-1"/>
    <s v="FIRST"/>
    <x v="4"/>
    <n v="0.08"/>
    <n v="0.05"/>
    <n v="0.6"/>
    <n v="7.0000000000000007E-2"/>
    <n v="2.5000000000000001E-2"/>
    <n v="0.82500000000000007"/>
    <x v="2"/>
    <x v="12"/>
    <n v="50150"/>
    <n v="56050"/>
    <n v="5900"/>
    <n v="4867.5"/>
    <n v="55017.5"/>
    <n v="18155.775000000001"/>
    <n v="59517.5"/>
    <n v="62517.5"/>
    <n v="8802800"/>
    <n v="9522800"/>
    <n v="10002800"/>
    <n v="0"/>
    <n v="748238"/>
    <n v="2"/>
    <n v="236000"/>
    <n v="236000"/>
    <n v="9038800"/>
    <n v="9758800"/>
    <n v="10238800"/>
    <d v="2025-07-01T00:00:00"/>
    <d v="2025-04-01T00:00:00"/>
  </r>
  <r>
    <m/>
    <s v="B"/>
    <s v="B17"/>
    <s v="RESIDENTIAL"/>
    <n v="1"/>
    <n v="3"/>
    <x v="492"/>
    <s v="3 BEDROOM"/>
    <s v="C1"/>
    <n v="127.14"/>
    <n v="138.05920990995673"/>
    <x v="35"/>
    <m/>
    <m/>
    <s v="SE"/>
    <s v="MIDDLE"/>
    <s v="LAKE B-1"/>
    <s v="FIRST"/>
    <x v="0"/>
    <n v="0.08"/>
    <n v="2.5000000000000001E-2"/>
    <n v="0.6"/>
    <n v="7.0000000000000007E-2"/>
    <n v="3.5000000000000003E-2"/>
    <n v="0.80999999999999994"/>
    <x v="2"/>
    <x v="12"/>
    <n v="50150"/>
    <n v="56050"/>
    <n v="5900"/>
    <n v="4779"/>
    <n v="54929"/>
    <n v="18126.57"/>
    <n v="59429"/>
    <n v="62429"/>
    <n v="8513995"/>
    <n v="9211495"/>
    <n v="9676495"/>
    <n v="0"/>
    <n v="723689.57500000007"/>
    <n v="2"/>
    <n v="236000"/>
    <n v="236000"/>
    <n v="8749995"/>
    <n v="9447495"/>
    <n v="9912495"/>
    <d v="2025-07-01T00:00:00"/>
    <d v="2025-04-01T00:00:00"/>
  </r>
  <r>
    <m/>
    <s v="B"/>
    <s v="B17"/>
    <s v="RESIDENTIAL"/>
    <n v="1"/>
    <n v="4"/>
    <x v="493"/>
    <s v="2 BEDROOM"/>
    <s v="C1"/>
    <n v="88.87"/>
    <n v="96.502453867373418"/>
    <x v="34"/>
    <m/>
    <m/>
    <s v="NW"/>
    <s v="MIDDLE"/>
    <s v="ROAD 18M (BUILDINGS)"/>
    <s v="FIRST"/>
    <x v="1"/>
    <n v="0.13"/>
    <n v="2.5000000000000001E-2"/>
    <n v="0.15"/>
    <n v="7.0000000000000007E-2"/>
    <n v="0.04"/>
    <n v="0.41499999999999998"/>
    <x v="0"/>
    <x v="12"/>
    <n v="50150"/>
    <n v="56050"/>
    <n v="5900"/>
    <n v="2448.5"/>
    <n v="52598.5"/>
    <n v="17357.505000000001"/>
    <n v="57098.5"/>
    <n v="60098.5"/>
    <n v="5680638"/>
    <n v="6166638"/>
    <n v="6490638"/>
    <n v="0"/>
    <n v="482854.23000000004"/>
    <n v="1"/>
    <n v="236000"/>
    <n v="236000"/>
    <n v="5916638"/>
    <n v="6402638"/>
    <n v="6726638"/>
    <d v="2025-07-01T00:00:00"/>
    <d v="2025-04-01T00:00:00"/>
  </r>
  <r>
    <m/>
    <s v="B"/>
    <s v="B17"/>
    <s v="RESIDENTIAL"/>
    <n v="2"/>
    <n v="1"/>
    <x v="494"/>
    <s v="3 BEDROOM"/>
    <s v="C1"/>
    <n v="131.43"/>
    <n v="142.71764950814546"/>
    <x v="33"/>
    <m/>
    <m/>
    <s v="NW"/>
    <s v="CORNER "/>
    <s v="ROAD 18M (BUILDINGS)"/>
    <s v="SECOND"/>
    <x v="4"/>
    <n v="0.13"/>
    <n v="0.05"/>
    <n v="0.15"/>
    <n v="0.11"/>
    <n v="2.5000000000000001E-2"/>
    <n v="0.46499999999999997"/>
    <x v="0"/>
    <x v="8"/>
    <n v="56100"/>
    <n v="62700"/>
    <n v="6600"/>
    <n v="3069"/>
    <n v="59169"/>
    <n v="19525.77"/>
    <n v="63669"/>
    <n v="66669"/>
    <n v="9467040"/>
    <n v="10187040"/>
    <n v="10667040"/>
    <n v="0"/>
    <n v="804698.4"/>
    <n v="2"/>
    <n v="264000"/>
    <n v="264000"/>
    <n v="9731040"/>
    <n v="10451040"/>
    <n v="10931040"/>
    <d v="2025-07-01T00:00:00"/>
    <d v="2026-01-01T00:00:00"/>
  </r>
  <r>
    <m/>
    <s v="B"/>
    <s v="B17"/>
    <s v="RESIDENTIAL"/>
    <n v="2"/>
    <n v="2"/>
    <x v="495"/>
    <s v="3 BEDROOM"/>
    <s v="C1"/>
    <n v="131.44"/>
    <n v="142.72850834170768"/>
    <x v="33"/>
    <m/>
    <m/>
    <s v="SE"/>
    <s v="CORNER "/>
    <s v="LAKE B-1"/>
    <s v="SECOND"/>
    <x v="4"/>
    <n v="0.08"/>
    <n v="0.05"/>
    <n v="0.6"/>
    <n v="0.11"/>
    <n v="2.5000000000000001E-2"/>
    <n v="0.86499999999999999"/>
    <x v="2"/>
    <x v="10"/>
    <n v="53550"/>
    <n v="59850"/>
    <n v="6300"/>
    <n v="5449.5"/>
    <n v="58999.5"/>
    <n v="19469.834999999999"/>
    <n v="63499.5"/>
    <n v="66499.5"/>
    <n v="9439920"/>
    <n v="10159920"/>
    <n v="10639920"/>
    <n v="0"/>
    <n v="802393.20000000007"/>
    <n v="2"/>
    <n v="252000"/>
    <n v="252000"/>
    <n v="9691920"/>
    <n v="10411920"/>
    <n v="10891920"/>
    <d v="2025-07-01T00:00:00"/>
    <d v="2025-10-01T00:00:00"/>
  </r>
  <r>
    <m/>
    <s v="B"/>
    <s v="B17"/>
    <s v="RESIDENTIAL"/>
    <n v="2"/>
    <n v="3"/>
    <x v="496"/>
    <s v="3 BEDROOM"/>
    <s v="C1"/>
    <n v="126.95"/>
    <n v="137.85289207227473"/>
    <x v="35"/>
    <m/>
    <m/>
    <s v="SE"/>
    <s v="MIDDLE"/>
    <s v="LAKE B-1"/>
    <s v="SECOND"/>
    <x v="0"/>
    <n v="0.08"/>
    <n v="2.5000000000000001E-2"/>
    <n v="0.6"/>
    <n v="0.11"/>
    <n v="3.5000000000000003E-2"/>
    <n v="0.85"/>
    <x v="2"/>
    <x v="4"/>
    <n v="51850"/>
    <n v="57950"/>
    <n v="6100"/>
    <n v="5185"/>
    <n v="57035"/>
    <n v="18821.55"/>
    <n v="61535"/>
    <n v="64535"/>
    <n v="8840425"/>
    <n v="9537925"/>
    <n v="10002925"/>
    <n v="0"/>
    <n v="751436.125"/>
    <n v="2"/>
    <n v="244000"/>
    <n v="244000"/>
    <n v="9084425"/>
    <n v="9781925"/>
    <n v="10246925"/>
    <d v="2025-07-01T00:00:00"/>
    <d v="2025-07-01T00:00:00"/>
  </r>
  <r>
    <m/>
    <s v="B"/>
    <s v="B17"/>
    <s v="RESIDENTIAL"/>
    <n v="2"/>
    <n v="4"/>
    <x v="497"/>
    <s v="3 BEDROOM"/>
    <s v="C1"/>
    <n v="127.15"/>
    <n v="138.07006874351896"/>
    <x v="35"/>
    <m/>
    <m/>
    <s v="NW"/>
    <s v="MIDDLE"/>
    <s v="ROAD 18M (BUILDINGS)"/>
    <s v="SECOND"/>
    <x v="0"/>
    <n v="0.13"/>
    <n v="2.5000000000000001E-2"/>
    <n v="0.15"/>
    <n v="0.11"/>
    <n v="3.5000000000000003E-2"/>
    <n v="0.44999999999999996"/>
    <x v="0"/>
    <x v="10"/>
    <n v="53550"/>
    <n v="59850"/>
    <n v="6300"/>
    <n v="2834.9999999999995"/>
    <n v="56385"/>
    <n v="18607.05"/>
    <n v="60885"/>
    <n v="63885"/>
    <n v="8739675"/>
    <n v="9437175"/>
    <n v="9902175"/>
    <n v="0"/>
    <n v="742872.375"/>
    <n v="2"/>
    <n v="252000"/>
    <n v="252000"/>
    <n v="8991675"/>
    <n v="9689175"/>
    <n v="10154175"/>
    <d v="2025-07-01T00:00:00"/>
    <d v="2025-10-01T00:00:00"/>
  </r>
  <r>
    <m/>
    <s v="B"/>
    <s v="B17"/>
    <s v="RESIDENTIAL"/>
    <n v="3"/>
    <n v="1"/>
    <x v="498"/>
    <s v="3 BEDROOM"/>
    <s v="C1"/>
    <n v="131.88"/>
    <n v="143.20629701844499"/>
    <x v="37"/>
    <m/>
    <m/>
    <s v="NW"/>
    <s v="CORNER "/>
    <s v="ROAD 18M (BUILDINGS)"/>
    <s v="THIRD"/>
    <x v="4"/>
    <n v="0.13"/>
    <n v="0.05"/>
    <n v="0.15"/>
    <n v="0.15"/>
    <n v="2.5000000000000001E-2"/>
    <n v="0.505"/>
    <x v="1"/>
    <x v="3"/>
    <n v="42500"/>
    <n v="47500"/>
    <n v="5000"/>
    <n v="2525"/>
    <n v="45025"/>
    <n v="14858.25"/>
    <n v="49525"/>
    <n v="52525"/>
    <n v="7249025"/>
    <n v="7973525"/>
    <n v="8456525"/>
    <n v="0"/>
    <n v="616167.125"/>
    <n v="2"/>
    <n v="200000"/>
    <n v="200000"/>
    <n v="7449025"/>
    <n v="8173525"/>
    <n v="8656525"/>
    <d v="2025-07-01T00:00:00"/>
    <d v="2023-09-01T00:00:00"/>
  </r>
  <r>
    <m/>
    <s v="B"/>
    <s v="B17"/>
    <s v="RESIDENTIAL"/>
    <n v="3"/>
    <n v="2"/>
    <x v="499"/>
    <s v="3 BEDROOM"/>
    <s v="C1"/>
    <n v="131.43"/>
    <n v="142.71764950814546"/>
    <x v="33"/>
    <m/>
    <m/>
    <s v="SE"/>
    <s v="CORNER "/>
    <s v="LAKE B-1"/>
    <s v="THIRD"/>
    <x v="4"/>
    <n v="0.08"/>
    <n v="0.05"/>
    <n v="0.6"/>
    <n v="0.15"/>
    <n v="2.5000000000000001E-2"/>
    <n v="0.90500000000000003"/>
    <x v="2"/>
    <x v="7"/>
    <n v="61625"/>
    <n v="68875"/>
    <n v="7250"/>
    <n v="6561.25"/>
    <n v="68186.25"/>
    <n v="22501.462500000001"/>
    <n v="72686.25"/>
    <n v="75686.25"/>
    <n v="10909800"/>
    <n v="11629800"/>
    <n v="12109800"/>
    <n v="0"/>
    <n v="927333.00000000012"/>
    <n v="2"/>
    <n v="290000"/>
    <n v="290000"/>
    <n v="11199800"/>
    <n v="11919800"/>
    <n v="12399800"/>
    <d v="2025-07-01T00:00:00"/>
    <d v="2026-07-01T00:00:00"/>
  </r>
  <r>
    <m/>
    <s v="B"/>
    <s v="B17"/>
    <s v="RESIDENTIAL"/>
    <n v="3"/>
    <n v="3"/>
    <x v="500"/>
    <s v="3 BEDROOM"/>
    <s v="C1"/>
    <n v="126.97"/>
    <n v="137.87460973939915"/>
    <x v="35"/>
    <m/>
    <m/>
    <s v="SE"/>
    <s v="MIDDLE"/>
    <s v="LAKE B-1"/>
    <s v="THIRD"/>
    <x v="0"/>
    <n v="0.08"/>
    <n v="2.5000000000000001E-2"/>
    <n v="0.6"/>
    <n v="0.15"/>
    <n v="3.5000000000000003E-2"/>
    <n v="0.89"/>
    <x v="2"/>
    <x v="9"/>
    <n v="58649.999999999993"/>
    <n v="65550"/>
    <n v="6900.0000000000073"/>
    <n v="6141.0000000000064"/>
    <n v="64791"/>
    <n v="21381.030000000002"/>
    <n v="69291"/>
    <n v="72291"/>
    <n v="10042605"/>
    <n v="10740105"/>
    <n v="11205105"/>
    <n v="0"/>
    <n v="853621.42500000005"/>
    <n v="2"/>
    <n v="276000"/>
    <n v="276000"/>
    <n v="10318605"/>
    <n v="11016105"/>
    <n v="11481105"/>
    <d v="2025-07-01T00:00:00"/>
    <d v="2026-04-01T00:00:00"/>
  </r>
  <r>
    <m/>
    <s v="B"/>
    <s v="B17"/>
    <s v="RESIDENTIAL"/>
    <n v="3"/>
    <n v="4"/>
    <x v="501"/>
    <s v="3 BEDROOM"/>
    <s v="C1"/>
    <n v="127.45"/>
    <n v="138.39583375038529"/>
    <x v="35"/>
    <m/>
    <m/>
    <s v="NW"/>
    <s v="MIDDLE"/>
    <s v="ROAD 18M (BUILDINGS)"/>
    <s v="THIRD"/>
    <x v="0"/>
    <n v="0.13"/>
    <n v="2.5000000000000001E-2"/>
    <n v="0.15"/>
    <n v="0.15"/>
    <n v="3.5000000000000003E-2"/>
    <n v="0.49"/>
    <x v="0"/>
    <x v="7"/>
    <n v="61625"/>
    <n v="68875"/>
    <n v="7250"/>
    <n v="3552.5"/>
    <n v="65177.5"/>
    <n v="21508.575000000001"/>
    <n v="69677.5"/>
    <n v="72677.5"/>
    <n v="10102512.5"/>
    <n v="10800012.5"/>
    <n v="11265012.5"/>
    <n v="0"/>
    <n v="858713.56250000012"/>
    <n v="2"/>
    <n v="290000"/>
    <n v="290000"/>
    <n v="10392512.5"/>
    <n v="11090012.5"/>
    <n v="11555012.5"/>
    <d v="2025-07-01T00:00:00"/>
    <d v="2026-07-01T00:00:00"/>
  </r>
  <r>
    <m/>
    <s v="B"/>
    <s v="B17"/>
    <s v="RESIDENTIAL"/>
    <n v="4"/>
    <n v="1"/>
    <x v="502"/>
    <s v="3 BEDROOM"/>
    <s v="C1"/>
    <n v="129.58000000000001"/>
    <n v="140.70876529913636"/>
    <x v="32"/>
    <m/>
    <m/>
    <s v="NW"/>
    <s v="CORNER "/>
    <s v="ROAD 18M (BUILDINGS)"/>
    <s v="FORTH"/>
    <x v="0"/>
    <n v="0.13"/>
    <n v="0.05"/>
    <n v="0.15"/>
    <n v="0.06"/>
    <n v="3.5000000000000003E-2"/>
    <n v="0.42499999999999993"/>
    <x v="0"/>
    <x v="12"/>
    <n v="50150"/>
    <n v="56050"/>
    <n v="5900"/>
    <n v="2507.4999999999995"/>
    <n v="52657.5"/>
    <n v="17376.975000000002"/>
    <n v="57157.5"/>
    <n v="60157.5"/>
    <n v="8319885"/>
    <n v="9030885"/>
    <n v="9504885"/>
    <n v="0"/>
    <n v="707190.22500000009"/>
    <n v="2"/>
    <n v="236000"/>
    <n v="236000"/>
    <n v="8555885"/>
    <n v="9266885"/>
    <n v="9740885"/>
    <d v="2025-07-01T00:00:00"/>
    <d v="2025-04-01T00:00:00"/>
  </r>
  <r>
    <m/>
    <s v="B"/>
    <s v="B17"/>
    <s v="RESIDENTIAL"/>
    <n v="4"/>
    <n v="2"/>
    <x v="503"/>
    <s v="3 BEDROOM"/>
    <s v="C1"/>
    <n v="131.38"/>
    <n v="142.66335534033439"/>
    <x v="33"/>
    <m/>
    <m/>
    <s v="SE"/>
    <s v="CORNER "/>
    <s v="LAKE B-1"/>
    <s v="FORTH"/>
    <x v="4"/>
    <n v="0.08"/>
    <n v="0.05"/>
    <n v="0.6"/>
    <n v="0.06"/>
    <n v="2.5000000000000001E-2"/>
    <n v="0.81500000000000006"/>
    <x v="2"/>
    <x v="12"/>
    <n v="50150"/>
    <n v="56050"/>
    <n v="5900"/>
    <n v="4808.5"/>
    <n v="54958.5"/>
    <n v="18136.305"/>
    <n v="59458.5"/>
    <n v="62458.5"/>
    <n v="8793360"/>
    <n v="9513360"/>
    <n v="9993360"/>
    <n v="0"/>
    <n v="747435.60000000009"/>
    <n v="2"/>
    <n v="236000"/>
    <n v="236000"/>
    <n v="9029360"/>
    <n v="9749360"/>
    <n v="10229360"/>
    <d v="2025-07-01T00:00:00"/>
    <d v="2025-04-01T00:00:00"/>
  </r>
  <r>
    <m/>
    <s v="B"/>
    <s v="B17"/>
    <s v="RESIDENTIAL"/>
    <n v="4"/>
    <n v="3"/>
    <x v="504"/>
    <s v="3 BEDROOM"/>
    <s v="C1"/>
    <n v="127.19"/>
    <n v="138.1135040777678"/>
    <x v="35"/>
    <m/>
    <m/>
    <s v="SE"/>
    <s v="MIDDLE"/>
    <s v="LAKE B-1"/>
    <s v="FORTH"/>
    <x v="0"/>
    <n v="0.08"/>
    <n v="2.5000000000000001E-2"/>
    <n v="0.6"/>
    <n v="0.06"/>
    <n v="3.5000000000000003E-2"/>
    <n v="0.79999999999999993"/>
    <x v="2"/>
    <x v="1"/>
    <n v="48450.000000000007"/>
    <n v="54150.000000000007"/>
    <n v="5700"/>
    <n v="4560"/>
    <n v="53010.000000000007"/>
    <n v="17493.300000000003"/>
    <n v="57510.000000000007"/>
    <n v="60510.000000000007"/>
    <n v="8216550.0000000009"/>
    <n v="8914050.0000000019"/>
    <n v="9379050.0000000019"/>
    <n v="0"/>
    <n v="698406.75000000012"/>
    <n v="2"/>
    <n v="228000.00000000003"/>
    <n v="228000.00000000003"/>
    <n v="8444550.0000000019"/>
    <n v="9142050.0000000019"/>
    <n v="9607050.0000000019"/>
    <d v="2025-07-01T00:00:00"/>
    <d v="2025-01-01T00:00:00"/>
  </r>
  <r>
    <m/>
    <s v="B"/>
    <s v="B17"/>
    <s v="RESIDENTIAL"/>
    <n v="4"/>
    <n v="4"/>
    <x v="505"/>
    <s v="3 BEDROOM"/>
    <s v="C1"/>
    <n v="125.13"/>
    <n v="135.87658436395222"/>
    <x v="31"/>
    <m/>
    <m/>
    <s v="NW"/>
    <s v="MIDDLE"/>
    <s v="ROAD 18M (BUILDINGS)"/>
    <s v="FORTH"/>
    <x v="0"/>
    <n v="0.13"/>
    <n v="2.5000000000000001E-2"/>
    <n v="0.15"/>
    <n v="0.06"/>
    <n v="3.5000000000000003E-2"/>
    <n v="0.4"/>
    <x v="0"/>
    <x v="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n v="8397850.0000000019"/>
    <n v="8856850.0000000019"/>
    <d v="2025-07-01T00:00:00"/>
    <d v="2024-10-01T00:00:00"/>
  </r>
  <r>
    <s v="B2"/>
    <s v="B"/>
    <s v="B18"/>
    <s v="RESIDENTIAL"/>
    <n v="0"/>
    <n v="1"/>
    <x v="506"/>
    <s v="2 BEDROOM"/>
    <s v="C1"/>
    <n v="94.92"/>
    <n v="105.12823941945527"/>
    <x v="17"/>
    <n v="62.982999999999997"/>
    <m/>
    <s v="NW"/>
    <s v="MIDDLE"/>
    <s v="ROAD 18M (BUILDINGS)"/>
    <s v="GROUND"/>
    <x v="1"/>
    <n v="0.13"/>
    <n v="2.5000000000000001E-2"/>
    <n v="0.15"/>
    <n v="0.05"/>
    <n v="0.04"/>
    <n v="0.39499999999999996"/>
    <x v="0"/>
    <x v="2"/>
    <n v="45687.5"/>
    <n v="51062.5"/>
    <n v="5375"/>
    <n v="2123.125"/>
    <n v="47810.625"/>
    <n v="15777.50625"/>
    <n v="52310.625"/>
    <n v="55310.625"/>
    <n v="5546032.5"/>
    <n v="6068032.5"/>
    <n v="6416032.5"/>
    <n v="993714.67614374997"/>
    <n v="555878.50997221877"/>
    <n v="1"/>
    <n v="215000"/>
    <n v="215000"/>
    <n v="6754747.1761437505"/>
    <n v="7276747.1761437496"/>
    <n v="7624747.1761437505"/>
    <d v="2025-07-01T00:00:00"/>
    <d v="2024-07-01T00:00:00"/>
  </r>
  <r>
    <m/>
    <s v="B"/>
    <s v="B18"/>
    <s v="RESIDENTIAL"/>
    <n v="0"/>
    <n v="2"/>
    <x v="507"/>
    <s v="3 BEDROOM"/>
    <s v="C1"/>
    <n v="163.35"/>
    <n v="180.91759280623702"/>
    <x v="18"/>
    <n v="76.321799999999996"/>
    <m/>
    <s v="SE"/>
    <s v="MIDDLE"/>
    <s v="LAKE B-1"/>
    <s v="GROUND"/>
    <x v="3"/>
    <n v="0.08"/>
    <n v="2.5000000000000001E-2"/>
    <n v="0.6"/>
    <n v="0.05"/>
    <n v="1.4999999999999999E-2"/>
    <n v="0.77"/>
    <x v="2"/>
    <x v="6"/>
    <n v="44625"/>
    <n v="49875"/>
    <n v="5250"/>
    <n v="4042.5"/>
    <n v="48667.5"/>
    <n v="16060.275000000001"/>
    <n v="53167.5"/>
    <n v="56167.5"/>
    <n v="9684832.5"/>
    <n v="10580332.5"/>
    <n v="11177332.5"/>
    <n v="1225749.0964949999"/>
    <n v="927399.43570207513"/>
    <n v="2"/>
    <n v="210000"/>
    <n v="210000"/>
    <n v="11120581.596495001"/>
    <n v="12016081.596495001"/>
    <n v="12613081.596495001"/>
    <d v="2025-07-01T00:00:00"/>
    <d v="2024-04-01T00:00:00"/>
  </r>
  <r>
    <m/>
    <s v="B"/>
    <s v="B18"/>
    <s v="RESIDENTIAL"/>
    <n v="0"/>
    <n v="3"/>
    <x v="508"/>
    <s v="3 BEDROOM + LIVING"/>
    <s v="C1"/>
    <n v="183.89"/>
    <n v="203.66658182515411"/>
    <x v="19"/>
    <n v="61.571399999999997"/>
    <m/>
    <s v="SE"/>
    <s v="CORNER "/>
    <s v="LAKE B-1"/>
    <s v="GROUND"/>
    <x v="3"/>
    <n v="0.08"/>
    <n v="0.05"/>
    <n v="0.6"/>
    <n v="0.05"/>
    <n v="1.4999999999999999E-2"/>
    <n v="0.79500000000000004"/>
    <x v="2"/>
    <x v="5"/>
    <n v="46750.000000000007"/>
    <n v="52250.000000000007"/>
    <n v="5500"/>
    <n v="4372.5"/>
    <n v="51122.500000000007"/>
    <n v="16870.425000000003"/>
    <n v="55622.500000000007"/>
    <n v="58622.500000000007"/>
    <n v="11451440.000000002"/>
    <n v="12459440.000000002"/>
    <n v="13131440.000000002"/>
    <n v="1038735.6858450001"/>
    <n v="1061664.9332968253"/>
    <n v="2"/>
    <n v="220000.00000000003"/>
    <n v="220000.00000000003"/>
    <n v="12710175.685845003"/>
    <n v="13718175.685845003"/>
    <n v="14390175.685845003"/>
    <d v="2025-07-01T00:00:00"/>
    <d v="2024-10-01T00:00:00"/>
  </r>
  <r>
    <m/>
    <s v="B"/>
    <s v="B18"/>
    <s v="RESIDENTIAL"/>
    <n v="0"/>
    <n v="4"/>
    <x v="509"/>
    <s v="3 BEDROOM"/>
    <s v="C1"/>
    <n v="144.21"/>
    <n v="159.71916779055672"/>
    <x v="20"/>
    <n v="85.360500000000002"/>
    <m/>
    <s v="NW"/>
    <s v="CORNER "/>
    <s v="ROAD 18M (BUILDINGS)"/>
    <s v="GROUND"/>
    <x v="4"/>
    <n v="0.13"/>
    <n v="0.05"/>
    <n v="0.15"/>
    <n v="0.05"/>
    <n v="2.5000000000000001E-2"/>
    <n v="0.40499999999999997"/>
    <x v="0"/>
    <x v="1"/>
    <n v="48450.000000000007"/>
    <n v="54150.000000000007"/>
    <n v="5700"/>
    <n v="2308.5"/>
    <n v="50758.500000000007"/>
    <n v="16750.305000000004"/>
    <n v="55258.500000000007"/>
    <n v="58258.500000000007"/>
    <n v="8933496.0000000019"/>
    <n v="9725496.0000000019"/>
    <n v="10253496.000000002"/>
    <n v="1429814.4099525004"/>
    <n v="880881.38484596275"/>
    <n v="2"/>
    <n v="228000.00000000003"/>
    <n v="228000.00000000003"/>
    <n v="10591310.409952503"/>
    <n v="11383310.409952503"/>
    <n v="11911310.409952503"/>
    <d v="2025-07-01T00:00:00"/>
    <d v="2025-01-01T00:00:00"/>
  </r>
  <r>
    <m/>
    <s v="B"/>
    <s v="B18"/>
    <s v="RESIDENTIAL"/>
    <n v="1"/>
    <n v="1"/>
    <x v="510"/>
    <s v="2 BEDROOM"/>
    <s v="C1"/>
    <n v="96.29"/>
    <n v="106.64557705119415"/>
    <x v="21"/>
    <m/>
    <m/>
    <s v="NW"/>
    <s v="MIDDLE"/>
    <s v="ROAD 18M (BUILDINGS)"/>
    <s v="FIRST"/>
    <x v="1"/>
    <n v="0.13"/>
    <n v="2.5000000000000001E-2"/>
    <n v="0.15"/>
    <n v="7.0000000000000007E-2"/>
    <n v="0.04"/>
    <n v="0.41499999999999998"/>
    <x v="0"/>
    <x v="12"/>
    <n v="50150"/>
    <n v="56050"/>
    <n v="5900"/>
    <n v="2448.5"/>
    <n v="52598.5"/>
    <n v="17357.505000000001"/>
    <n v="57098.5"/>
    <n v="60098.5"/>
    <n v="6154024.5"/>
    <n v="6680524.5"/>
    <n v="7031524.5"/>
    <n v="0"/>
    <n v="523092.08250000002"/>
    <n v="1"/>
    <n v="236000"/>
    <n v="236000"/>
    <n v="6390024.5"/>
    <n v="6916524.5"/>
    <n v="7267524.5"/>
    <d v="2025-07-01T00:00:00"/>
    <d v="2025-04-01T00:00:00"/>
  </r>
  <r>
    <m/>
    <s v="B"/>
    <s v="B18"/>
    <s v="RESIDENTIAL"/>
    <n v="1"/>
    <n v="2"/>
    <x v="511"/>
    <s v="3 BEDROOM"/>
    <s v="C1"/>
    <n v="163.05000000000001"/>
    <n v="180.58532909125773"/>
    <x v="18"/>
    <m/>
    <m/>
    <s v="SE"/>
    <s v="MIDDLE"/>
    <s v="LAKE B-1"/>
    <s v="FIRST"/>
    <x v="3"/>
    <n v="0.08"/>
    <n v="2.5000000000000001E-2"/>
    <n v="0.6"/>
    <n v="7.0000000000000007E-2"/>
    <n v="1.4999999999999999E-2"/>
    <n v="0.78999999999999992"/>
    <x v="2"/>
    <x v="5"/>
    <n v="46750.000000000007"/>
    <n v="52250.000000000007"/>
    <n v="5500"/>
    <n v="4345"/>
    <n v="51095.000000000007"/>
    <n v="16861.350000000002"/>
    <n v="55595.000000000007"/>
    <n v="58595.000000000007"/>
    <n v="10167905.000000002"/>
    <n v="11063405.000000002"/>
    <n v="11660405.000000002"/>
    <n v="0"/>
    <n v="864271.92500000016"/>
    <n v="2"/>
    <n v="220000.00000000003"/>
    <n v="220000.00000000003"/>
    <n v="10387905.000000002"/>
    <n v="11283405.000000002"/>
    <n v="11880405.000000002"/>
    <d v="2025-07-01T00:00:00"/>
    <d v="2024-10-01T00:00:00"/>
  </r>
  <r>
    <m/>
    <s v="B"/>
    <s v="B18"/>
    <s v="RESIDENTIAL"/>
    <n v="1"/>
    <n v="3"/>
    <x v="512"/>
    <s v="3 BEDROOM + LIVING"/>
    <s v="C1"/>
    <n v="183.59"/>
    <n v="203.33431811017482"/>
    <x v="19"/>
    <m/>
    <m/>
    <s v="SE"/>
    <s v="CORNER "/>
    <s v="LAKE B-1"/>
    <s v="FIRST"/>
    <x v="3"/>
    <n v="0.08"/>
    <n v="0.05"/>
    <n v="0.6"/>
    <n v="7.0000000000000007E-2"/>
    <n v="1.4999999999999999E-2"/>
    <n v="0.81500000000000006"/>
    <x v="2"/>
    <x v="12"/>
    <n v="50150"/>
    <n v="56050"/>
    <n v="5900"/>
    <n v="4808.5"/>
    <n v="54958.5"/>
    <n v="18136.305"/>
    <n v="59458.5"/>
    <n v="62458.5"/>
    <n v="12310704"/>
    <n v="13318704"/>
    <n v="13990704"/>
    <n v="0"/>
    <n v="1046409.8400000001"/>
    <n v="2"/>
    <n v="236000"/>
    <n v="236000"/>
    <n v="12546704"/>
    <n v="13554704"/>
    <n v="14226704"/>
    <d v="2025-07-01T00:00:00"/>
    <d v="2025-04-01T00:00:00"/>
  </r>
  <r>
    <m/>
    <s v="B"/>
    <s v="B18"/>
    <s v="RESIDENTIAL"/>
    <n v="1"/>
    <n v="4"/>
    <x v="513"/>
    <s v="3 BEDROOM"/>
    <s v="C1"/>
    <n v="141.59"/>
    <n v="156.81739801307072"/>
    <x v="22"/>
    <m/>
    <m/>
    <s v="NW"/>
    <s v="CORNER "/>
    <s v="ROAD 18M (BUILDINGS)"/>
    <s v="FIRST"/>
    <x v="4"/>
    <n v="0.13"/>
    <n v="0.05"/>
    <n v="0.15"/>
    <n v="7.0000000000000007E-2"/>
    <n v="2.5000000000000001E-2"/>
    <n v="0.42499999999999999"/>
    <x v="0"/>
    <x v="4"/>
    <n v="51850"/>
    <n v="57950"/>
    <n v="6100"/>
    <n v="2592.5"/>
    <n v="54442.5"/>
    <n v="17966.025000000001"/>
    <n v="58942.5"/>
    <n v="61942.5"/>
    <n v="9418552.5"/>
    <n v="10197052.5"/>
    <n v="10716052.5"/>
    <n v="0"/>
    <n v="800576.96250000002"/>
    <n v="2"/>
    <n v="244000"/>
    <n v="244000"/>
    <n v="9662552.5"/>
    <n v="10441052.5"/>
    <n v="10960052.5"/>
    <d v="2025-07-01T00:00:00"/>
    <d v="2025-07-01T00:00:00"/>
  </r>
  <r>
    <m/>
    <s v="B"/>
    <s v="B18"/>
    <s v="RESIDENTIAL"/>
    <n v="2"/>
    <n v="1"/>
    <x v="514"/>
    <s v="3 BEDROOM"/>
    <s v="C1"/>
    <n v="141.15"/>
    <n v="156.33007789776772"/>
    <x v="23"/>
    <m/>
    <m/>
    <s v="NW"/>
    <s v="MIDDLE"/>
    <s v="ROAD 18M (BUILDINGS)"/>
    <s v="SECOND"/>
    <x v="4"/>
    <n v="0.13"/>
    <n v="2.5000000000000001E-2"/>
    <n v="0.15"/>
    <n v="0.11"/>
    <n v="2.5000000000000001E-2"/>
    <n v="0.44"/>
    <x v="0"/>
    <x v="4"/>
    <n v="51850"/>
    <n v="57950"/>
    <n v="6100"/>
    <n v="2684"/>
    <n v="54534"/>
    <n v="17996.22"/>
    <n v="59034"/>
    <n v="62034"/>
    <n v="9379848"/>
    <n v="10153848"/>
    <n v="10669848"/>
    <n v="0"/>
    <n v="797287.08000000007"/>
    <n v="2"/>
    <n v="244000"/>
    <n v="244000"/>
    <n v="9623848"/>
    <n v="10397848"/>
    <n v="10913848"/>
    <d v="2025-07-01T00:00:00"/>
    <d v="2025-07-01T00:00:00"/>
  </r>
  <r>
    <m/>
    <s v="B"/>
    <s v="B18"/>
    <s v="RESIDENTIAL"/>
    <n v="2"/>
    <n v="2"/>
    <x v="515"/>
    <s v="3 BEDROOM"/>
    <s v="C1"/>
    <n v="167.88"/>
    <n v="185.93477490242469"/>
    <x v="24"/>
    <m/>
    <m/>
    <s v="SE"/>
    <s v="MIDDLE"/>
    <s v="LAKE B-1"/>
    <s v="SECOND"/>
    <x v="3"/>
    <n v="0.08"/>
    <n v="2.5000000000000001E-2"/>
    <n v="0.6"/>
    <n v="0.11"/>
    <n v="1.4999999999999999E-2"/>
    <n v="0.83"/>
    <x v="2"/>
    <x v="12"/>
    <n v="50150"/>
    <n v="56050"/>
    <n v="5900"/>
    <n v="4897"/>
    <n v="55047"/>
    <n v="18165.510000000002"/>
    <n v="59547"/>
    <n v="62547"/>
    <n v="11284635"/>
    <n v="12207135"/>
    <n v="12822135"/>
    <n v="0"/>
    <n v="959193.97500000009"/>
    <n v="2"/>
    <n v="236000"/>
    <n v="236000"/>
    <n v="11520635"/>
    <n v="12443135"/>
    <n v="13058135"/>
    <d v="2025-07-01T00:00:00"/>
    <d v="2025-04-01T00:00:00"/>
  </r>
  <r>
    <m/>
    <s v="B"/>
    <s v="B18"/>
    <s v="RESIDENTIAL"/>
    <n v="2"/>
    <n v="3"/>
    <x v="516"/>
    <s v="3 BEDROOM + LIVING"/>
    <s v="C1"/>
    <n v="187.09"/>
    <n v="207.21072811826681"/>
    <x v="25"/>
    <m/>
    <m/>
    <s v="SE"/>
    <s v="CORNER "/>
    <s v="LAKE B-1"/>
    <s v="SECOND"/>
    <x v="3"/>
    <n v="0.08"/>
    <n v="0.05"/>
    <n v="0.6"/>
    <n v="0.11"/>
    <n v="1.4999999999999999E-2"/>
    <n v="0.85499999999999998"/>
    <x v="2"/>
    <x v="4"/>
    <n v="51850"/>
    <n v="57950"/>
    <n v="6100"/>
    <n v="5215.5"/>
    <n v="57065.5"/>
    <n v="18831.615000000002"/>
    <n v="61565.5"/>
    <n v="64565.5"/>
    <n v="13010934"/>
    <n v="14036934"/>
    <n v="14720934"/>
    <n v="0"/>
    <n v="1105929.3900000001"/>
    <n v="2"/>
    <n v="244000"/>
    <n v="244000"/>
    <n v="13254934"/>
    <n v="14280934"/>
    <n v="14964934"/>
    <d v="2025-07-01T00:00:00"/>
    <d v="2025-07-01T00:00:00"/>
  </r>
  <r>
    <m/>
    <s v="B"/>
    <s v="B18"/>
    <s v="RESIDENTIAL"/>
    <n v="2"/>
    <n v="4"/>
    <x v="517"/>
    <s v="3 BEDROOM"/>
    <s v="C1"/>
    <n v="143.97"/>
    <n v="159.45335681857327"/>
    <x v="20"/>
    <m/>
    <m/>
    <s v="NW"/>
    <s v="CORNER "/>
    <s v="ROAD 18M (BUILDINGS)"/>
    <s v="SECOND"/>
    <x v="4"/>
    <n v="0.13"/>
    <n v="0.05"/>
    <n v="0.15"/>
    <n v="0.11"/>
    <n v="2.5000000000000001E-2"/>
    <n v="0.46499999999999997"/>
    <x v="0"/>
    <x v="9"/>
    <n v="58649.999999999993"/>
    <n v="65550"/>
    <n v="6900.0000000000073"/>
    <n v="3208.5000000000032"/>
    <n v="61858.499999999993"/>
    <n v="20413.305"/>
    <n v="66358.5"/>
    <n v="69358.5"/>
    <n v="10887095.999999998"/>
    <n v="11679096"/>
    <n v="12207096"/>
    <n v="0"/>
    <n v="925403.15999999992"/>
    <n v="2"/>
    <n v="276000"/>
    <n v="276000"/>
    <n v="11163095.999999998"/>
    <n v="11955096"/>
    <n v="12483096"/>
    <d v="2025-07-01T00:00:00"/>
    <d v="2026-04-01T00:00:00"/>
  </r>
  <r>
    <m/>
    <s v="B"/>
    <s v="B18"/>
    <s v="RESIDENTIAL"/>
    <n v="3"/>
    <n v="1"/>
    <x v="518"/>
    <s v="3 BEDROOM"/>
    <s v="C1"/>
    <n v="141.38999999999999"/>
    <n v="156.59588886975115"/>
    <x v="23"/>
    <m/>
    <m/>
    <s v="NW"/>
    <s v="MIDDLE"/>
    <s v="ROAD 18M (BUILDINGS)"/>
    <s v="THIRD"/>
    <x v="4"/>
    <n v="0.13"/>
    <n v="2.5000000000000001E-2"/>
    <n v="0.15"/>
    <n v="0.15"/>
    <n v="2.5000000000000001E-2"/>
    <n v="0.48"/>
    <x v="0"/>
    <x v="7"/>
    <n v="61625"/>
    <n v="68875"/>
    <n v="7250"/>
    <n v="3480"/>
    <n v="65105"/>
    <n v="21484.65"/>
    <n v="69605"/>
    <n v="72605"/>
    <n v="11198060"/>
    <n v="11972060"/>
    <n v="12488060"/>
    <n v="0"/>
    <n v="951835.10000000009"/>
    <n v="2"/>
    <n v="290000"/>
    <n v="290000"/>
    <n v="11488060"/>
    <n v="12262060"/>
    <n v="12778060"/>
    <d v="2025-07-01T00:00:00"/>
    <d v="2026-07-01T00:00:00"/>
  </r>
  <r>
    <m/>
    <s v="B"/>
    <s v="B18"/>
    <s v="RESIDENTIAL"/>
    <n v="3"/>
    <n v="2"/>
    <x v="519"/>
    <s v="3 BEDROOM"/>
    <s v="C1"/>
    <n v="165.71"/>
    <n v="183.53140069740763"/>
    <x v="26"/>
    <m/>
    <m/>
    <s v="SE"/>
    <s v="MIDDLE"/>
    <s v="LAKE B-1"/>
    <s v="THIRD"/>
    <x v="3"/>
    <n v="0.08"/>
    <n v="2.5000000000000001E-2"/>
    <n v="0.6"/>
    <n v="0.15"/>
    <n v="1.4999999999999999E-2"/>
    <n v="0.87"/>
    <x v="2"/>
    <x v="10"/>
    <n v="53550"/>
    <n v="59850"/>
    <n v="6300"/>
    <n v="5481"/>
    <n v="59031"/>
    <n v="19480.23"/>
    <n v="63531"/>
    <n v="66531"/>
    <n v="11924262"/>
    <n v="12833262"/>
    <n v="13439262"/>
    <n v="0"/>
    <n v="1013562.27"/>
    <n v="2"/>
    <n v="252000"/>
    <n v="252000"/>
    <n v="12176262"/>
    <n v="13085262"/>
    <n v="13691262"/>
    <d v="2025-07-01T00:00:00"/>
    <d v="2025-10-01T00:00:00"/>
  </r>
  <r>
    <m/>
    <s v="B"/>
    <s v="B18"/>
    <s v="RESIDENTIAL"/>
    <n v="3"/>
    <n v="3"/>
    <x v="520"/>
    <s v="3 BEDROOM + LIVING"/>
    <s v="C1"/>
    <n v="187.91"/>
    <n v="208.11891560587694"/>
    <x v="27"/>
    <m/>
    <m/>
    <s v="SE"/>
    <s v="CORNER "/>
    <s v="LAKE B-1"/>
    <s v="THIRD"/>
    <x v="3"/>
    <n v="0.08"/>
    <n v="0.05"/>
    <n v="0.6"/>
    <n v="0.15"/>
    <n v="1.4999999999999999E-2"/>
    <n v="0.89500000000000002"/>
    <x v="2"/>
    <x v="9"/>
    <n v="58649.999999999993"/>
    <n v="65550"/>
    <n v="6900.0000000000073"/>
    <n v="6175.5000000000064"/>
    <n v="64825.5"/>
    <n v="21392.415000000001"/>
    <n v="69325.5"/>
    <n v="72325.5"/>
    <n v="14845039.5"/>
    <n v="15875539.5"/>
    <n v="16562539.5"/>
    <n v="0"/>
    <n v="1261828.3575000002"/>
    <n v="2"/>
    <n v="276000"/>
    <n v="276000"/>
    <n v="15121039.5"/>
    <n v="16151539.5"/>
    <n v="16838539.5"/>
    <d v="2025-07-01T00:00:00"/>
    <d v="2026-04-01T00:00:00"/>
  </r>
  <r>
    <m/>
    <s v="B"/>
    <s v="B18"/>
    <s v="RESIDENTIAL"/>
    <n v="3"/>
    <n v="4"/>
    <x v="521"/>
    <s v="3 BEDROOM"/>
    <s v="C1"/>
    <n v="144.21"/>
    <n v="159.71916779055672"/>
    <x v="20"/>
    <m/>
    <m/>
    <s v="NW"/>
    <s v="CORNER "/>
    <s v="ROAD 18M (BUILDINGS)"/>
    <s v="THIRD"/>
    <x v="4"/>
    <n v="0.13"/>
    <n v="0.05"/>
    <n v="0.15"/>
    <n v="0.15"/>
    <n v="2.5000000000000001E-2"/>
    <n v="0.505"/>
    <x v="1"/>
    <x v="3"/>
    <n v="42500"/>
    <n v="47500"/>
    <n v="5000"/>
    <n v="2525"/>
    <n v="45025"/>
    <n v="14858.25"/>
    <n v="49525"/>
    <n v="52525"/>
    <n v="7924400"/>
    <n v="8716400"/>
    <n v="9244400"/>
    <n v="0"/>
    <n v="673574"/>
    <n v="2"/>
    <n v="200000"/>
    <n v="200000"/>
    <n v="8124400"/>
    <n v="8916400"/>
    <n v="9444400"/>
    <d v="2025-07-01T00:00:00"/>
    <d v="2023-09-01T00:00:00"/>
  </r>
  <r>
    <m/>
    <s v="B"/>
    <s v="B18"/>
    <s v="RESIDENTIAL"/>
    <n v="4"/>
    <n v="1"/>
    <x v="522"/>
    <s v="3 BEDROOM"/>
    <s v="C1"/>
    <n v="139.09"/>
    <n v="154.04853372157643"/>
    <x v="28"/>
    <m/>
    <m/>
    <s v="NW"/>
    <s v="MIDDLE"/>
    <s v="ROAD 18M (BUILDINGS)"/>
    <s v="FORTH"/>
    <x v="4"/>
    <n v="0.13"/>
    <n v="2.5000000000000001E-2"/>
    <n v="0.15"/>
    <n v="0.06"/>
    <n v="2.5000000000000001E-2"/>
    <n v="0.39"/>
    <x v="0"/>
    <x v="2"/>
    <n v="45687.5"/>
    <n v="51062.5"/>
    <n v="5375"/>
    <n v="2096.25"/>
    <n v="47783.75"/>
    <n v="15768.637500000001"/>
    <n v="52283.75"/>
    <n v="55283.75"/>
    <n v="8123237.5"/>
    <n v="8888237.5"/>
    <n v="9398237.5"/>
    <n v="0"/>
    <n v="690475.1875"/>
    <n v="2"/>
    <n v="215000"/>
    <n v="215000"/>
    <n v="8338237.5"/>
    <n v="9103237.5"/>
    <n v="9613237.5"/>
    <d v="2025-07-01T00:00:00"/>
    <d v="2024-07-01T00:00:00"/>
  </r>
  <r>
    <m/>
    <s v="B"/>
    <s v="B18"/>
    <s v="RESIDENTIAL"/>
    <n v="4"/>
    <n v="2"/>
    <x v="523"/>
    <s v="3 BEDROOM"/>
    <s v="C1"/>
    <n v="163.35"/>
    <n v="180.91759280623702"/>
    <x v="18"/>
    <m/>
    <m/>
    <s v="SE"/>
    <s v="MIDDLE"/>
    <s v="LAKE B-1"/>
    <s v="FORTH"/>
    <x v="3"/>
    <n v="0.08"/>
    <n v="2.5000000000000001E-2"/>
    <n v="0.6"/>
    <n v="0.06"/>
    <n v="1.4999999999999999E-2"/>
    <n v="0.77999999999999992"/>
    <x v="2"/>
    <x v="2"/>
    <n v="45687.5"/>
    <n v="51062.5"/>
    <n v="5375"/>
    <n v="4192.5"/>
    <n v="49880"/>
    <n v="16460.400000000001"/>
    <n v="54380"/>
    <n v="57380"/>
    <n v="9926120"/>
    <n v="10821620"/>
    <n v="11418620"/>
    <n v="0"/>
    <n v="843720.20000000007"/>
    <n v="2"/>
    <n v="215000"/>
    <n v="215000"/>
    <n v="10141120"/>
    <n v="11036620"/>
    <n v="11633620"/>
    <d v="2025-07-01T00:00:00"/>
    <d v="2024-07-01T00:00:00"/>
  </r>
  <r>
    <m/>
    <s v="B"/>
    <s v="B18"/>
    <s v="RESIDENTIAL"/>
    <n v="4"/>
    <n v="3"/>
    <x v="524"/>
    <s v="3 BEDROOM + LIVING"/>
    <s v="C1"/>
    <n v="182.56"/>
    <n v="202.19354602207918"/>
    <x v="29"/>
    <m/>
    <m/>
    <s v="SE"/>
    <s v="CORNER "/>
    <s v="LAKE B-1"/>
    <s v="FORTH"/>
    <x v="3"/>
    <n v="0.08"/>
    <n v="0.05"/>
    <n v="0.6"/>
    <n v="0.06"/>
    <n v="1.4999999999999999E-2"/>
    <n v="0.80500000000000005"/>
    <x v="2"/>
    <x v="1"/>
    <n v="48450.000000000007"/>
    <n v="54150.000000000007"/>
    <n v="5700"/>
    <n v="4588.5"/>
    <n v="53038.500000000007"/>
    <n v="17502.705000000002"/>
    <n v="57538.500000000007"/>
    <n v="60538.500000000007"/>
    <n v="11827585.500000002"/>
    <n v="12831085.500000002"/>
    <n v="13500085.500000002"/>
    <n v="0"/>
    <n v="1005344.7675000002"/>
    <n v="2"/>
    <n v="228000.00000000003"/>
    <n v="228000.00000000003"/>
    <n v="12055585.500000002"/>
    <n v="13059085.500000002"/>
    <n v="13728085.500000002"/>
    <d v="2025-07-01T00:00:00"/>
    <d v="2025-01-01T00:00:00"/>
  </r>
  <r>
    <m/>
    <s v="B"/>
    <s v="B18"/>
    <s v="RESIDENTIAL"/>
    <n v="4"/>
    <n v="4"/>
    <x v="525"/>
    <s v="3 BEDROOM"/>
    <s v="C1"/>
    <n v="141.91"/>
    <n v="157.17181264238198"/>
    <x v="22"/>
    <m/>
    <m/>
    <s v="NW"/>
    <s v="CORNER "/>
    <s v="ROAD 18M (BUILDINGS)"/>
    <s v="FORTH"/>
    <x v="4"/>
    <n v="0.13"/>
    <n v="0.05"/>
    <n v="0.15"/>
    <n v="0.06"/>
    <n v="2.5000000000000001E-2"/>
    <n v="0.41499999999999998"/>
    <x v="0"/>
    <x v="12"/>
    <n v="50150"/>
    <n v="56050"/>
    <n v="5900"/>
    <n v="2448.5"/>
    <n v="52598.5"/>
    <n v="17357.505000000001"/>
    <n v="57098.5"/>
    <n v="60098.5"/>
    <n v="9099540.5"/>
    <n v="9878040.5"/>
    <n v="10397040.5"/>
    <n v="0"/>
    <n v="773460.9425"/>
    <n v="2"/>
    <n v="236000"/>
    <n v="236000"/>
    <n v="9335540.5"/>
    <n v="10114040.5"/>
    <n v="10633040.5"/>
    <d v="2025-07-01T00:00:00"/>
    <d v="2025-04-01T00:00:00"/>
  </r>
  <r>
    <s v="B2"/>
    <s v="B"/>
    <s v="B19"/>
    <s v="RESIDENTIAL"/>
    <n v="0"/>
    <n v="1"/>
    <x v="526"/>
    <s v="3 BEDROOM"/>
    <s v="C1"/>
    <n v="144.21"/>
    <n v="159.71916779055672"/>
    <x v="20"/>
    <n v="80.513400000000004"/>
    <m/>
    <s v="NW"/>
    <s v="CORNER "/>
    <s v="MAIN GATE &amp; LAKE ENTRANCE"/>
    <s v="GROUND"/>
    <x v="4"/>
    <n v="0.13"/>
    <n v="0.05"/>
    <n v="0.25"/>
    <n v="0.05"/>
    <n v="2.5000000000000001E-2"/>
    <n v="0.505"/>
    <x v="1"/>
    <x v="3"/>
    <n v="42500"/>
    <n v="47500"/>
    <n v="5000"/>
    <n v="2525"/>
    <n v="45025"/>
    <n v="14858.25"/>
    <n v="49525"/>
    <n v="52525"/>
    <n v="7924400"/>
    <n v="8716400"/>
    <n v="9244400"/>
    <n v="1196288.2255500001"/>
    <n v="775258.49917175004"/>
    <n v="2"/>
    <n v="200000"/>
    <n v="200000"/>
    <n v="9320688.2255499996"/>
    <n v="10112688.22555"/>
    <n v="10640688.22555"/>
    <d v="2025-07-01T00:00:00"/>
    <d v="2023-09-01T00:00:00"/>
  </r>
  <r>
    <m/>
    <s v="B"/>
    <s v="B19"/>
    <s v="RESIDENTIAL"/>
    <n v="0"/>
    <n v="2"/>
    <x v="527"/>
    <s v="3 BEDROOM + LIVING"/>
    <s v="C1"/>
    <n v="183.89"/>
    <n v="203.66658182515411"/>
    <x v="19"/>
    <n v="61.571399999999997"/>
    <m/>
    <s v="SE"/>
    <s v="CORNER "/>
    <s v="LAKE B-1"/>
    <s v="GROUND"/>
    <x v="3"/>
    <n v="0.08"/>
    <n v="0.05"/>
    <n v="0.6"/>
    <n v="0.05"/>
    <n v="1.4999999999999999E-2"/>
    <n v="0.79500000000000004"/>
    <x v="2"/>
    <x v="5"/>
    <n v="46750.000000000007"/>
    <n v="52250.000000000007"/>
    <n v="5500"/>
    <n v="4372.5"/>
    <n v="51122.500000000007"/>
    <n v="16870.425000000003"/>
    <n v="55622.500000000007"/>
    <n v="58622.500000000007"/>
    <n v="11451440.000000002"/>
    <n v="12459440.000000002"/>
    <n v="13131440.000000002"/>
    <n v="1038735.6858450001"/>
    <n v="1061664.9332968253"/>
    <n v="2"/>
    <n v="220000.00000000003"/>
    <n v="220000.00000000003"/>
    <n v="12710175.685845003"/>
    <n v="13718175.685845003"/>
    <n v="14390175.685845003"/>
    <d v="2025-07-01T00:00:00"/>
    <d v="2024-10-01T00:00:00"/>
  </r>
  <r>
    <m/>
    <s v="B"/>
    <s v="B19"/>
    <s v="RESIDENTIAL"/>
    <n v="0"/>
    <n v="3"/>
    <x v="528"/>
    <s v="3 BEDROOM"/>
    <s v="C1"/>
    <n v="163.35"/>
    <n v="180.91759280623702"/>
    <x v="18"/>
    <n v="76.321799999999996"/>
    <m/>
    <s v="SE"/>
    <s v="MIDDLE"/>
    <s v="LAKE B-1"/>
    <s v="GROUND"/>
    <x v="3"/>
    <n v="0.08"/>
    <n v="2.5000000000000001E-2"/>
    <n v="0.6"/>
    <n v="0.05"/>
    <n v="1.4999999999999999E-2"/>
    <n v="0.77"/>
    <x v="2"/>
    <x v="2"/>
    <n v="45687.5"/>
    <n v="51062.5"/>
    <n v="5375"/>
    <n v="4138.75"/>
    <n v="49826.25"/>
    <n v="16442.662500000002"/>
    <n v="54326.25"/>
    <n v="57326.25"/>
    <n v="9915423.75"/>
    <n v="10810923.75"/>
    <n v="11407923.75"/>
    <n v="1254933.5987925001"/>
    <n v="949480.37464736262"/>
    <n v="2"/>
    <n v="215000"/>
    <n v="215000"/>
    <n v="11385357.348792501"/>
    <n v="12280857.348792501"/>
    <n v="12877857.348792501"/>
    <d v="2025-07-01T00:00:00"/>
    <d v="2024-07-01T00:00:00"/>
  </r>
  <r>
    <m/>
    <s v="B"/>
    <s v="B19"/>
    <s v="RESIDENTIAL"/>
    <n v="0"/>
    <n v="4"/>
    <x v="529"/>
    <s v="3 BEDROOM"/>
    <s v="C1"/>
    <n v="94.92"/>
    <n v="105.12823941945527"/>
    <x v="17"/>
    <n v="62.141199999999998"/>
    <m/>
    <s v="NW"/>
    <s v="MIDDLE"/>
    <s v="MAIN GATE &amp; LAKE ENTRANCE"/>
    <s v="GROUND"/>
    <x v="1"/>
    <n v="0.13"/>
    <n v="2.5000000000000001E-2"/>
    <n v="0.25"/>
    <n v="0.05"/>
    <n v="0.04"/>
    <n v="0.495"/>
    <x v="0"/>
    <x v="7"/>
    <n v="61625"/>
    <n v="68875"/>
    <n v="7250"/>
    <n v="3588.75"/>
    <n v="65213.75"/>
    <n v="21520.537500000002"/>
    <n v="69713.75"/>
    <n v="72713.75"/>
    <n v="7564795"/>
    <n v="8086795"/>
    <n v="8434795"/>
    <n v="1337312.024895"/>
    <n v="756679.09711607499"/>
    <n v="1"/>
    <n v="290000"/>
    <n v="290000"/>
    <n v="9192107.0248949993"/>
    <n v="9714107.0248949993"/>
    <n v="10062107.024894999"/>
    <d v="2025-07-01T00:00:00"/>
    <d v="2026-07-01T00:00:00"/>
  </r>
  <r>
    <m/>
    <s v="B"/>
    <s v="B19"/>
    <s v="RESIDENTIAL"/>
    <n v="1"/>
    <n v="1"/>
    <x v="530"/>
    <s v="3 BEDROOM"/>
    <s v="C1"/>
    <n v="141.59"/>
    <n v="156.81739801307072"/>
    <x v="22"/>
    <m/>
    <m/>
    <s v="NW"/>
    <s v="CORNER "/>
    <s v="MAIN GATE &amp; LAKE ENTRANCE"/>
    <s v="FIRST"/>
    <x v="4"/>
    <n v="0.13"/>
    <n v="0.05"/>
    <n v="0.25"/>
    <n v="7.0000000000000007E-2"/>
    <n v="2.5000000000000001E-2"/>
    <n v="0.52500000000000002"/>
    <x v="1"/>
    <x v="3"/>
    <n v="42500"/>
    <n v="47500"/>
    <n v="5000"/>
    <n v="2625"/>
    <n v="45125"/>
    <n v="14891.25"/>
    <n v="49625"/>
    <n v="52625"/>
    <n v="7806625"/>
    <n v="8585125"/>
    <n v="9104125"/>
    <n v="0"/>
    <n v="663563.125"/>
    <n v="2"/>
    <n v="200000"/>
    <n v="200000"/>
    <n v="8006625"/>
    <n v="8785125"/>
    <n v="9304125"/>
    <d v="2025-07-01T00:00:00"/>
    <d v="2023-09-01T00:00:00"/>
  </r>
  <r>
    <m/>
    <s v="B"/>
    <s v="B19"/>
    <s v="RESIDENTIAL"/>
    <n v="1"/>
    <n v="2"/>
    <x v="531"/>
    <s v="3 BEDROOM + LIVING"/>
    <s v="C1"/>
    <n v="183.59"/>
    <n v="203.33431811017482"/>
    <x v="19"/>
    <m/>
    <m/>
    <s v="SE"/>
    <s v="CORNER "/>
    <s v="LAKE B-1"/>
    <s v="FIRST"/>
    <x v="3"/>
    <n v="0.08"/>
    <n v="0.05"/>
    <n v="0.6"/>
    <n v="7.0000000000000007E-2"/>
    <n v="1.4999999999999999E-2"/>
    <n v="0.81500000000000006"/>
    <x v="2"/>
    <x v="12"/>
    <n v="50150"/>
    <n v="56050"/>
    <n v="5900"/>
    <n v="4808.5"/>
    <n v="54958.5"/>
    <n v="18136.305"/>
    <n v="59458.5"/>
    <n v="62458.5"/>
    <n v="12310704"/>
    <n v="13318704"/>
    <n v="13990704"/>
    <n v="0"/>
    <n v="1046409.8400000001"/>
    <n v="2"/>
    <n v="236000"/>
    <n v="236000"/>
    <n v="12546704"/>
    <n v="13554704"/>
    <n v="14226704"/>
    <d v="2025-07-01T00:00:00"/>
    <d v="2025-04-01T00:00:00"/>
  </r>
  <r>
    <m/>
    <s v="B"/>
    <s v="B19"/>
    <s v="RESIDENTIAL"/>
    <n v="1"/>
    <n v="3"/>
    <x v="532"/>
    <s v="3 BEDROOM"/>
    <s v="C1"/>
    <n v="163.05000000000001"/>
    <n v="180.58532909125773"/>
    <x v="18"/>
    <m/>
    <m/>
    <s v="SE"/>
    <s v="MIDDLE"/>
    <s v="LAKE B-1"/>
    <s v="FIRST"/>
    <x v="3"/>
    <n v="0.08"/>
    <n v="2.5000000000000001E-2"/>
    <n v="0.6"/>
    <n v="7.0000000000000007E-2"/>
    <n v="1.4999999999999999E-2"/>
    <n v="0.78999999999999992"/>
    <x v="2"/>
    <x v="5"/>
    <n v="46750.000000000007"/>
    <n v="52250.000000000007"/>
    <n v="5500"/>
    <n v="4345"/>
    <n v="51095.000000000007"/>
    <n v="16861.350000000002"/>
    <n v="55595.000000000007"/>
    <n v="58595.000000000007"/>
    <n v="10167905.000000002"/>
    <n v="11063405.000000002"/>
    <n v="11660405.000000002"/>
    <n v="0"/>
    <n v="864271.92500000016"/>
    <n v="2"/>
    <n v="220000.00000000003"/>
    <n v="220000.00000000003"/>
    <n v="10387905.000000002"/>
    <n v="11283405.000000002"/>
    <n v="11880405.000000002"/>
    <d v="2025-07-01T00:00:00"/>
    <d v="2024-10-01T00:00:00"/>
  </r>
  <r>
    <m/>
    <s v="B"/>
    <s v="B19"/>
    <s v="RESIDENTIAL"/>
    <n v="1"/>
    <n v="4"/>
    <x v="533"/>
    <s v="2 BEDROOM"/>
    <s v="C1"/>
    <n v="96.29"/>
    <n v="106.64557705119415"/>
    <x v="21"/>
    <m/>
    <m/>
    <s v="NW"/>
    <s v="MIDDLE"/>
    <s v="MAIN GATE &amp; LAKE ENTRANCE"/>
    <s v="FIRST"/>
    <x v="1"/>
    <n v="0.13"/>
    <n v="2.5000000000000001E-2"/>
    <n v="0.25"/>
    <n v="7.0000000000000007E-2"/>
    <n v="0.04"/>
    <n v="0.51500000000000001"/>
    <x v="1"/>
    <x v="3"/>
    <n v="42500"/>
    <n v="47500"/>
    <n v="5000"/>
    <n v="2575"/>
    <n v="45075"/>
    <n v="14874.75"/>
    <n v="49575"/>
    <n v="52575"/>
    <n v="5273775"/>
    <n v="5800275"/>
    <n v="6151275"/>
    <n v="0"/>
    <n v="448270.87500000006"/>
    <n v="1"/>
    <n v="200000"/>
    <n v="200000"/>
    <n v="5473775"/>
    <n v="6000275"/>
    <n v="6351275"/>
    <d v="2025-07-01T00:00:00"/>
    <d v="2023-09-01T00:00:00"/>
  </r>
  <r>
    <m/>
    <s v="B"/>
    <s v="B19"/>
    <s v="RESIDENTIAL"/>
    <n v="2"/>
    <n v="1"/>
    <x v="534"/>
    <s v="3 BEDROOM"/>
    <s v="C1"/>
    <n v="143.97"/>
    <n v="159.45335681857327"/>
    <x v="20"/>
    <m/>
    <m/>
    <s v="NW"/>
    <s v="CORNER "/>
    <s v="MAIN GATE &amp; LAKE ENTRANCE"/>
    <s v="SECOND"/>
    <x v="4"/>
    <n v="0.13"/>
    <n v="0.05"/>
    <n v="0.25"/>
    <n v="0.11"/>
    <n v="2.5000000000000001E-2"/>
    <n v="0.56500000000000006"/>
    <x v="1"/>
    <x v="3"/>
    <n v="42500"/>
    <n v="47500"/>
    <n v="5000"/>
    <n v="2825.0000000000005"/>
    <n v="45325"/>
    <n v="14957.25"/>
    <n v="49825"/>
    <n v="52825"/>
    <n v="7977200"/>
    <n v="8769200"/>
    <n v="9297200"/>
    <n v="0"/>
    <n v="678062"/>
    <n v="2"/>
    <n v="200000"/>
    <n v="200000"/>
    <n v="8177200"/>
    <n v="8969200"/>
    <n v="9497200"/>
    <d v="2025-07-01T00:00:00"/>
    <d v="2023-09-01T00:00:00"/>
  </r>
  <r>
    <m/>
    <s v="B"/>
    <s v="B19"/>
    <s v="RESIDENTIAL"/>
    <n v="2"/>
    <n v="2"/>
    <x v="535"/>
    <s v="3 BEDROOM + LIVING"/>
    <s v="C1"/>
    <n v="187.09"/>
    <n v="207.21072811826681"/>
    <x v="25"/>
    <m/>
    <m/>
    <s v="SE"/>
    <s v="CORNER "/>
    <s v="LAKE B-1"/>
    <s v="SECOND"/>
    <x v="3"/>
    <n v="0.08"/>
    <n v="0.05"/>
    <n v="0.6"/>
    <n v="0.11"/>
    <n v="1.4999999999999999E-2"/>
    <n v="0.85499999999999998"/>
    <x v="2"/>
    <x v="4"/>
    <n v="51850"/>
    <n v="57950"/>
    <n v="6100"/>
    <n v="5215.5"/>
    <n v="57065.5"/>
    <n v="18831.615000000002"/>
    <n v="61565.5"/>
    <n v="64565.5"/>
    <n v="13010934"/>
    <n v="14036934"/>
    <n v="14720934"/>
    <n v="0"/>
    <n v="1105929.3900000001"/>
    <n v="2"/>
    <n v="244000"/>
    <n v="244000"/>
    <n v="13254934"/>
    <n v="14280934"/>
    <n v="14964934"/>
    <d v="2025-07-01T00:00:00"/>
    <d v="2025-07-01T00:00:00"/>
  </r>
  <r>
    <m/>
    <s v="B"/>
    <s v="B19"/>
    <s v="RESIDENTIAL"/>
    <n v="2"/>
    <n v="3"/>
    <x v="536"/>
    <s v="3 BEDROOM"/>
    <s v="C1"/>
    <n v="167.88"/>
    <n v="185.93477490242469"/>
    <x v="24"/>
    <m/>
    <m/>
    <s v="SE"/>
    <s v="MIDDLE"/>
    <s v="LAKE B-1"/>
    <s v="SECOND"/>
    <x v="3"/>
    <n v="0.08"/>
    <n v="2.5000000000000001E-2"/>
    <n v="0.6"/>
    <n v="0.11"/>
    <n v="1.4999999999999999E-2"/>
    <n v="0.83"/>
    <x v="2"/>
    <x v="4"/>
    <n v="51850"/>
    <n v="57950"/>
    <n v="6100"/>
    <n v="5063"/>
    <n v="56913"/>
    <n v="18781.29"/>
    <n v="61413"/>
    <n v="64413"/>
    <n v="11667165"/>
    <n v="12589665"/>
    <n v="13204665"/>
    <n v="0"/>
    <n v="991709.02500000002"/>
    <n v="2"/>
    <n v="244000"/>
    <n v="244000"/>
    <n v="11911165"/>
    <n v="12833665"/>
    <n v="13448665"/>
    <d v="2025-07-01T00:00:00"/>
    <d v="2025-07-01T00:00:00"/>
  </r>
  <r>
    <m/>
    <s v="B"/>
    <s v="B19"/>
    <s v="RESIDENTIAL"/>
    <n v="2"/>
    <n v="4"/>
    <x v="537"/>
    <s v="3 BEDROOM"/>
    <s v="C1"/>
    <n v="141.15"/>
    <n v="156.33007789776772"/>
    <x v="23"/>
    <m/>
    <m/>
    <s v="NW"/>
    <s v="MIDDLE"/>
    <s v="MAIN GATE &amp; LAKE ENTRANCE"/>
    <s v="SECOND"/>
    <x v="4"/>
    <n v="0.13"/>
    <n v="2.5000000000000001E-2"/>
    <n v="0.25"/>
    <n v="0.11"/>
    <n v="2.5000000000000001E-2"/>
    <n v="0.54"/>
    <x v="1"/>
    <x v="3"/>
    <n v="42500"/>
    <n v="47500"/>
    <n v="5000"/>
    <n v="2700"/>
    <n v="45200"/>
    <n v="14916"/>
    <n v="49700"/>
    <n v="52700"/>
    <n v="7774400"/>
    <n v="8548400"/>
    <n v="9064400"/>
    <n v="0"/>
    <n v="660824"/>
    <n v="2"/>
    <n v="200000"/>
    <n v="200000"/>
    <n v="7974400"/>
    <n v="8748400"/>
    <n v="9264400"/>
    <d v="2025-07-01T00:00:00"/>
    <d v="2023-09-01T00:00:00"/>
  </r>
  <r>
    <m/>
    <s v="B"/>
    <s v="B19"/>
    <s v="RESIDENTIAL"/>
    <n v="3"/>
    <n v="1"/>
    <x v="538"/>
    <s v="3 BEDROOM"/>
    <s v="C1"/>
    <n v="144.21"/>
    <n v="159.71916779055672"/>
    <x v="20"/>
    <m/>
    <m/>
    <s v="NW"/>
    <s v="CORNER "/>
    <s v="MAIN GATE &amp; LAKE ENTRANCE"/>
    <s v="THIRD"/>
    <x v="4"/>
    <n v="0.13"/>
    <n v="0.05"/>
    <n v="0.25"/>
    <n v="0.15"/>
    <n v="2.5000000000000001E-2"/>
    <n v="0.60499999999999998"/>
    <x v="1"/>
    <x v="0"/>
    <n v="43562.499999999993"/>
    <n v="48687.499999999993"/>
    <n v="5125"/>
    <n v="3100.625"/>
    <n v="46663.124999999993"/>
    <n v="15398.831249999997"/>
    <n v="51163.124999999993"/>
    <n v="54163.124999999993"/>
    <n v="8212709.9999999991"/>
    <n v="9004709.9999999981"/>
    <n v="9532709.9999999981"/>
    <n v="0"/>
    <n v="698080.35"/>
    <n v="2"/>
    <n v="204999.99999999997"/>
    <n v="204999.99999999997"/>
    <n v="8417709.9999999981"/>
    <n v="9209709.9999999981"/>
    <n v="9737709.9999999981"/>
    <d v="2025-07-01T00:00:00"/>
    <d v="2024-01-01T00:00:00"/>
  </r>
  <r>
    <m/>
    <s v="B"/>
    <s v="B19"/>
    <s v="RESIDENTIAL"/>
    <n v="3"/>
    <n v="2"/>
    <x v="539"/>
    <s v="3 BEDROOM + LIVING"/>
    <s v="C1"/>
    <n v="187.91"/>
    <n v="208.11891560587694"/>
    <x v="27"/>
    <m/>
    <m/>
    <s v="SE"/>
    <s v="CORNER "/>
    <s v="LAKE B-1"/>
    <s v="THIRD"/>
    <x v="3"/>
    <n v="0.08"/>
    <n v="0.05"/>
    <n v="0.6"/>
    <n v="0.15"/>
    <n v="1.4999999999999999E-2"/>
    <n v="0.89500000000000002"/>
    <x v="2"/>
    <x v="9"/>
    <n v="58649.999999999993"/>
    <n v="65550"/>
    <n v="6900.0000000000073"/>
    <n v="6175.5000000000064"/>
    <n v="64825.5"/>
    <n v="21392.415000000001"/>
    <n v="69325.5"/>
    <n v="72325.5"/>
    <n v="14845039.5"/>
    <n v="15875539.5"/>
    <n v="16562539.5"/>
    <n v="0"/>
    <n v="1261828.3575000002"/>
    <n v="2"/>
    <n v="276000"/>
    <n v="276000"/>
    <n v="15121039.5"/>
    <n v="16151539.5"/>
    <n v="16838539.5"/>
    <d v="2025-07-01T00:00:00"/>
    <d v="2026-04-01T00:00:00"/>
  </r>
  <r>
    <m/>
    <s v="B"/>
    <s v="B19"/>
    <s v="RESIDENTIAL"/>
    <n v="3"/>
    <n v="3"/>
    <x v="540"/>
    <s v="3 BEDROOM"/>
    <s v="C1"/>
    <n v="165.71"/>
    <n v="183.53140069740763"/>
    <x v="26"/>
    <m/>
    <m/>
    <s v="SE"/>
    <s v="MIDDLE"/>
    <s v="LAKE B-1"/>
    <s v="THIRD"/>
    <x v="3"/>
    <n v="0.08"/>
    <n v="2.5000000000000001E-2"/>
    <n v="0.6"/>
    <n v="0.15"/>
    <n v="1.4999999999999999E-2"/>
    <n v="0.87"/>
    <x v="2"/>
    <x v="10"/>
    <n v="53550"/>
    <n v="59850"/>
    <n v="6300"/>
    <n v="5481"/>
    <n v="59031"/>
    <n v="19480.23"/>
    <n v="63531"/>
    <n v="66531"/>
    <n v="11924262"/>
    <n v="12833262"/>
    <n v="13439262"/>
    <n v="0"/>
    <n v="1013562.27"/>
    <n v="2"/>
    <n v="252000"/>
    <n v="252000"/>
    <n v="12176262"/>
    <n v="13085262"/>
    <n v="13691262"/>
    <d v="2025-07-01T00:00:00"/>
    <d v="2025-10-01T00:00:00"/>
  </r>
  <r>
    <m/>
    <s v="B"/>
    <s v="B19"/>
    <s v="RESIDENTIAL"/>
    <n v="3"/>
    <n v="4"/>
    <x v="541"/>
    <s v="3 BEDROOM"/>
    <s v="C1"/>
    <n v="141.38999999999999"/>
    <n v="156.59588886975115"/>
    <x v="23"/>
    <m/>
    <m/>
    <s v="NW"/>
    <s v="MIDDLE"/>
    <s v="MAIN GATE &amp; LAKE ENTRANCE"/>
    <s v="THIRD"/>
    <x v="4"/>
    <n v="0.13"/>
    <n v="2.5000000000000001E-2"/>
    <n v="0.25"/>
    <n v="0.15"/>
    <n v="2.5000000000000001E-2"/>
    <n v="0.58000000000000007"/>
    <x v="1"/>
    <x v="3"/>
    <n v="42500"/>
    <n v="47500"/>
    <n v="5000"/>
    <n v="2900.0000000000005"/>
    <n v="45400"/>
    <n v="14982"/>
    <n v="49900"/>
    <n v="52900"/>
    <n v="7808800"/>
    <n v="8582800"/>
    <n v="9098800"/>
    <n v="0"/>
    <n v="663748"/>
    <n v="2"/>
    <n v="200000"/>
    <n v="200000"/>
    <n v="8008800"/>
    <n v="8782800"/>
    <n v="9298800"/>
    <d v="2025-07-01T00:00:00"/>
    <d v="2023-09-01T00:00:00"/>
  </r>
  <r>
    <m/>
    <s v="B"/>
    <s v="B19"/>
    <s v="RESIDENTIAL"/>
    <n v="4"/>
    <n v="1"/>
    <x v="542"/>
    <s v="3 BEDROOM"/>
    <s v="C1"/>
    <n v="141.91"/>
    <n v="157.17181264238198"/>
    <x v="22"/>
    <m/>
    <m/>
    <s v="NW"/>
    <s v="CORNER "/>
    <s v="MAIN GATE &amp; LAKE ENTRANCE"/>
    <s v="FORTH"/>
    <x v="4"/>
    <n v="0.13"/>
    <n v="0.05"/>
    <n v="0.25"/>
    <n v="0.06"/>
    <n v="2.5000000000000001E-2"/>
    <n v="0.51500000000000001"/>
    <x v="1"/>
    <x v="3"/>
    <n v="42500"/>
    <n v="47500"/>
    <n v="5000"/>
    <n v="2575"/>
    <n v="45075"/>
    <n v="14874.75"/>
    <n v="49575"/>
    <n v="52575"/>
    <n v="7797975"/>
    <n v="8576475"/>
    <n v="9095475"/>
    <n v="0"/>
    <n v="662827.875"/>
    <n v="2"/>
    <n v="200000"/>
    <n v="200000"/>
    <n v="7997975"/>
    <n v="8776475"/>
    <n v="9295475"/>
    <d v="2025-07-01T00:00:00"/>
    <d v="2023-09-01T00:00:00"/>
  </r>
  <r>
    <m/>
    <s v="B"/>
    <s v="B19"/>
    <s v="RESIDENTIAL"/>
    <n v="4"/>
    <n v="2"/>
    <x v="543"/>
    <s v="3 BEDROOM + LIVING"/>
    <s v="C1"/>
    <n v="182.56"/>
    <n v="202.19354602207918"/>
    <x v="29"/>
    <m/>
    <m/>
    <s v="SE"/>
    <s v="CORNER "/>
    <s v="LAKE B-1"/>
    <s v="FORTH"/>
    <x v="3"/>
    <n v="0.08"/>
    <n v="0.05"/>
    <n v="0.6"/>
    <n v="0.06"/>
    <n v="1.4999999999999999E-2"/>
    <n v="0.80500000000000005"/>
    <x v="2"/>
    <x v="1"/>
    <n v="48450.000000000007"/>
    <n v="54150.000000000007"/>
    <n v="5700"/>
    <n v="4588.5"/>
    <n v="53038.500000000007"/>
    <n v="17502.705000000002"/>
    <n v="57538.500000000007"/>
    <n v="60538.500000000007"/>
    <n v="11827585.500000002"/>
    <n v="12831085.500000002"/>
    <n v="13500085.500000002"/>
    <n v="0"/>
    <n v="1005344.7675000002"/>
    <n v="2"/>
    <n v="228000.00000000003"/>
    <n v="228000.00000000003"/>
    <n v="12055585.500000002"/>
    <n v="13059085.500000002"/>
    <n v="13728085.500000002"/>
    <d v="2025-07-01T00:00:00"/>
    <d v="2025-01-01T00:00:00"/>
  </r>
  <r>
    <m/>
    <s v="B"/>
    <s v="B19"/>
    <s v="RESIDENTIAL"/>
    <n v="4"/>
    <n v="3"/>
    <x v="544"/>
    <s v="3 BEDROOM"/>
    <s v="C1"/>
    <n v="163.35"/>
    <n v="180.91759280623702"/>
    <x v="18"/>
    <m/>
    <m/>
    <s v="SE"/>
    <s v="MIDDLE"/>
    <s v="LAKE B-1"/>
    <s v="FORTH"/>
    <x v="3"/>
    <n v="0.08"/>
    <n v="2.5000000000000001E-2"/>
    <n v="0.6"/>
    <n v="0.06"/>
    <n v="1.4999999999999999E-2"/>
    <n v="0.77999999999999992"/>
    <x v="2"/>
    <x v="2"/>
    <n v="45687.5"/>
    <n v="51062.5"/>
    <n v="5375"/>
    <n v="4192.5"/>
    <n v="49880"/>
    <n v="16460.400000000001"/>
    <n v="54380"/>
    <n v="57380"/>
    <n v="9926120"/>
    <n v="10821620"/>
    <n v="11418620"/>
    <n v="0"/>
    <n v="843720.20000000007"/>
    <n v="2"/>
    <n v="215000"/>
    <n v="215000"/>
    <n v="10141120"/>
    <n v="11036620"/>
    <n v="11633620"/>
    <d v="2025-07-01T00:00:00"/>
    <d v="2024-07-01T00:00:00"/>
  </r>
  <r>
    <m/>
    <s v="B"/>
    <s v="B19"/>
    <s v="RESIDENTIAL"/>
    <n v="4"/>
    <n v="4"/>
    <x v="545"/>
    <s v="3 BEDROOM"/>
    <s v="C1"/>
    <n v="139.09"/>
    <n v="154.04853372157643"/>
    <x v="28"/>
    <m/>
    <m/>
    <s v="NW"/>
    <s v="MIDDLE"/>
    <s v="MAIN GATE &amp; LAKE ENTRANCE"/>
    <s v="FORTH"/>
    <x v="4"/>
    <n v="0.13"/>
    <n v="2.5000000000000001E-2"/>
    <n v="0.25"/>
    <n v="0.06"/>
    <n v="2.5000000000000001E-2"/>
    <n v="0.49000000000000005"/>
    <x v="0"/>
    <x v="7"/>
    <n v="61625"/>
    <n v="68875"/>
    <n v="7250"/>
    <n v="3552.5000000000005"/>
    <n v="65177.5"/>
    <n v="21508.575000000001"/>
    <n v="69677.5"/>
    <n v="72677.5"/>
    <n v="11080175"/>
    <n v="11845175"/>
    <n v="12355175"/>
    <n v="0"/>
    <n v="941814.87500000012"/>
    <n v="2"/>
    <n v="290000"/>
    <n v="290000"/>
    <n v="11370175"/>
    <n v="12135175"/>
    <n v="12645175"/>
    <d v="2025-07-01T00:00:00"/>
    <d v="2026-07-01T00:00:00"/>
  </r>
  <r>
    <s v="B3"/>
    <s v="C"/>
    <s v="C1"/>
    <s v="RESIDENTIAL"/>
    <n v="0"/>
    <n v="1"/>
    <x v="546"/>
    <s v="2 BEDROOM"/>
    <s v="C2"/>
    <n v="95.254000000000005"/>
    <n v="105.53950812408786"/>
    <x v="17"/>
    <n v="61.845599999999997"/>
    <m/>
    <s v="SE"/>
    <s v="MIDDLE"/>
    <s v="ROAD 12M"/>
    <s v="GROUND"/>
    <x v="1"/>
    <n v="0.08"/>
    <n v="2.5000000000000001E-2"/>
    <n v="0.13"/>
    <n v="0.05"/>
    <n v="0.04"/>
    <n v="0.32500000000000001"/>
    <x v="0"/>
    <x v="3"/>
    <n v="42500"/>
    <n v="47500"/>
    <n v="5000"/>
    <n v="1625"/>
    <n v="44125"/>
    <n v="14561.25"/>
    <n v="48625"/>
    <n v="51625"/>
    <n v="5118500"/>
    <n v="5640500"/>
    <n v="5988500"/>
    <n v="900549.24300000002"/>
    <n v="511619.18565500004"/>
    <n v="1"/>
    <n v="200000"/>
    <n v="200000"/>
    <n v="6219049.2429999998"/>
    <n v="6741049.2429999998"/>
    <n v="7089049.2429999998"/>
    <d v="2026-07-01T00:00:00"/>
    <d v="2023-09-01T00:00:00"/>
  </r>
  <r>
    <m/>
    <s v="C"/>
    <s v="C1"/>
    <s v="RESIDENTIAL"/>
    <n v="0"/>
    <n v="2"/>
    <x v="547"/>
    <s v="3 BEDROOM"/>
    <s v="C2"/>
    <n v="162.82599999999999"/>
    <n v="180.40791935050211"/>
    <x v="18"/>
    <n v="77.610299999999995"/>
    <m/>
    <s v="NW"/>
    <s v="MIDDLE"/>
    <s v="LAKE C"/>
    <s v="GROUND"/>
    <x v="3"/>
    <n v="0.13"/>
    <n v="2.5000000000000001E-2"/>
    <n v="0.46"/>
    <n v="0.05"/>
    <n v="1.4999999999999999E-2"/>
    <n v="0.68"/>
    <x v="1"/>
    <x v="12"/>
    <n v="50150"/>
    <n v="56050"/>
    <n v="5900"/>
    <n v="4012.0000000000005"/>
    <n v="54162"/>
    <n v="17873.46"/>
    <n v="58662"/>
    <n v="61662"/>
    <n v="10778238"/>
    <n v="11673738"/>
    <n v="12270738"/>
    <n v="1387164.5926379999"/>
    <n v="1034059.2203742302"/>
    <n v="2"/>
    <n v="236000"/>
    <n v="236000"/>
    <n v="12401402.592638001"/>
    <n v="13296902.592638001"/>
    <n v="13893902.592638001"/>
    <d v="2026-07-01T00:00:00"/>
    <d v="2025-04-01T00:00:00"/>
  </r>
  <r>
    <m/>
    <s v="C"/>
    <s v="C1"/>
    <s v="RESIDENTIAL"/>
    <n v="0"/>
    <n v="3"/>
    <x v="548"/>
    <s v="3 BEDROOM + LIVING"/>
    <s v="C2"/>
    <n v="183.887"/>
    <n v="203.74308197465874"/>
    <x v="19"/>
    <n v="61.527700000000003"/>
    <m/>
    <s v="NW"/>
    <s v="CORNER "/>
    <s v="LAKE B-1"/>
    <s v="GROUND"/>
    <x v="3"/>
    <n v="0.13"/>
    <n v="0.05"/>
    <n v="0.6"/>
    <n v="0.05"/>
    <n v="1.4999999999999999E-2"/>
    <n v="0.84500000000000008"/>
    <x v="2"/>
    <x v="4"/>
    <n v="51850"/>
    <n v="57950"/>
    <n v="6100"/>
    <n v="5154.5000000000009"/>
    <n v="57004.5"/>
    <n v="18811.485000000001"/>
    <n v="61504.5"/>
    <n v="64504.5"/>
    <n v="12769008"/>
    <n v="13777008"/>
    <n v="14449008"/>
    <n v="1157427.4056345001"/>
    <n v="1183747.0094789325"/>
    <n v="2"/>
    <n v="244000"/>
    <n v="244000"/>
    <n v="14170435.4056345"/>
    <n v="15178435.4056345"/>
    <n v="15850435.4056345"/>
    <d v="2026-07-01T00:00:00"/>
    <d v="2025-07-01T00:00:00"/>
  </r>
  <r>
    <m/>
    <s v="C"/>
    <s v="C1"/>
    <s v="RESIDENTIAL"/>
    <n v="0"/>
    <n v="4"/>
    <x v="549"/>
    <s v="3 BEDROOM"/>
    <s v="C2"/>
    <n v="147.54499999999999"/>
    <n v="163.47687998581205"/>
    <x v="41"/>
    <n v="79.64"/>
    <m/>
    <s v="SE"/>
    <s v="CORNER "/>
    <s v="SEMI LAKE B-1"/>
    <s v="GROUND"/>
    <x v="4"/>
    <n v="0.08"/>
    <n v="0.05"/>
    <n v="0.48"/>
    <n v="0.05"/>
    <n v="2.5000000000000001E-2"/>
    <n v="0.68500000000000005"/>
    <x v="1"/>
    <x v="4"/>
    <n v="51850"/>
    <n v="57950"/>
    <n v="6100"/>
    <n v="4178.5"/>
    <n v="56028.5"/>
    <n v="18489.405000000002"/>
    <n v="60528.5"/>
    <n v="63528.5"/>
    <n v="10085130"/>
    <n v="10895130"/>
    <n v="11435130"/>
    <n v="1472496.2142000003"/>
    <n v="982398.22820700018"/>
    <n v="2"/>
    <n v="244000"/>
    <n v="244000"/>
    <n v="11801626.214200001"/>
    <n v="12611626.214200001"/>
    <n v="13151626.214200001"/>
    <d v="2026-07-01T00:00:00"/>
    <d v="2025-07-01T00:00:00"/>
  </r>
  <r>
    <m/>
    <s v="C"/>
    <s v="C1"/>
    <s v="RESIDENTIAL"/>
    <n v="1"/>
    <n v="1"/>
    <x v="550"/>
    <s v="2 BEDROOM"/>
    <s v="C2"/>
    <n v="96.311000000000007"/>
    <n v="106.71064277551626"/>
    <x v="21"/>
    <m/>
    <m/>
    <s v="SE"/>
    <s v="MIDDLE"/>
    <s v="ROAD 12M"/>
    <s v="FIRST"/>
    <x v="1"/>
    <n v="0.08"/>
    <n v="2.5000000000000001E-2"/>
    <n v="0.13"/>
    <n v="7.0000000000000007E-2"/>
    <n v="0.04"/>
    <n v="0.34500000000000003"/>
    <x v="0"/>
    <x v="3"/>
    <n v="42500"/>
    <n v="47500"/>
    <n v="5000"/>
    <n v="1725.0000000000002"/>
    <n v="44225"/>
    <n v="14594.25"/>
    <n v="48725"/>
    <n v="51725"/>
    <n v="5174325"/>
    <n v="5700825"/>
    <n v="6051825"/>
    <n v="0"/>
    <n v="439817.62500000006"/>
    <n v="1"/>
    <n v="200000"/>
    <n v="200000"/>
    <n v="5374325"/>
    <n v="5900825"/>
    <n v="6251825"/>
    <d v="2026-07-01T00:00:00"/>
    <d v="2023-09-01T00:00:00"/>
  </r>
  <r>
    <m/>
    <s v="C"/>
    <s v="C1"/>
    <s v="RESIDENTIAL"/>
    <n v="1"/>
    <n v="2"/>
    <x v="551"/>
    <s v="3 BEDROOM"/>
    <s v="C2"/>
    <n v="162.57599999999999"/>
    <n v="180.13092439983313"/>
    <x v="42"/>
    <m/>
    <m/>
    <s v="NW"/>
    <s v="MIDDLE"/>
    <s v="LAKE C"/>
    <s v="FIRST"/>
    <x v="3"/>
    <n v="0.13"/>
    <n v="2.5000000000000001E-2"/>
    <n v="0.46"/>
    <n v="7.0000000000000007E-2"/>
    <n v="1.4999999999999999E-2"/>
    <n v="0.70000000000000007"/>
    <x v="1"/>
    <x v="10"/>
    <n v="53550"/>
    <n v="59850"/>
    <n v="6300"/>
    <n v="4410"/>
    <n v="57960"/>
    <n v="19126.8"/>
    <n v="62460"/>
    <n v="65460"/>
    <n v="11476080"/>
    <n v="12367080"/>
    <n v="12961080"/>
    <n v="0"/>
    <n v="975466.8"/>
    <n v="2"/>
    <n v="252000"/>
    <n v="252000"/>
    <n v="11728080"/>
    <n v="12619080"/>
    <n v="13213080"/>
    <d v="2026-07-01T00:00:00"/>
    <d v="2025-10-01T00:00:00"/>
  </r>
  <r>
    <m/>
    <s v="C"/>
    <s v="C1"/>
    <s v="RESIDENTIAL"/>
    <n v="1"/>
    <n v="3"/>
    <x v="552"/>
    <s v="3 BEDROOM + LIVING"/>
    <s v="C2"/>
    <n v="183.637"/>
    <n v="203.46608702398976"/>
    <x v="19"/>
    <m/>
    <m/>
    <s v="NW"/>
    <s v="CORNER "/>
    <s v="LAKE B-1"/>
    <s v="FIRST"/>
    <x v="3"/>
    <n v="0.13"/>
    <n v="0.05"/>
    <n v="0.6"/>
    <n v="7.0000000000000007E-2"/>
    <n v="1.4999999999999999E-2"/>
    <n v="0.8650000000000001"/>
    <x v="2"/>
    <x v="10"/>
    <n v="53550"/>
    <n v="59850"/>
    <n v="6300"/>
    <n v="5449.5000000000009"/>
    <n v="58999.5"/>
    <n v="19469.834999999999"/>
    <n v="63499.5"/>
    <n v="66499.5"/>
    <n v="13215888"/>
    <n v="14223888"/>
    <n v="14895888"/>
    <n v="0"/>
    <n v="1123350.48"/>
    <n v="2"/>
    <n v="252000"/>
    <n v="252000"/>
    <n v="13467888"/>
    <n v="14475888"/>
    <n v="15147888"/>
    <d v="2026-07-01T00:00:00"/>
    <d v="2025-10-01T00:00:00"/>
  </r>
  <r>
    <m/>
    <s v="C"/>
    <s v="C1"/>
    <s v="RESIDENTIAL"/>
    <n v="1"/>
    <n v="4"/>
    <x v="553"/>
    <s v="3 BEDROOM"/>
    <s v="C2"/>
    <n v="141.66300000000001"/>
    <n v="156.95974278647259"/>
    <x v="22"/>
    <m/>
    <m/>
    <s v="SE"/>
    <s v="CORNER "/>
    <s v="SEMI LAKE B-1"/>
    <s v="FIRST"/>
    <x v="4"/>
    <n v="0.08"/>
    <n v="0.05"/>
    <n v="0.48"/>
    <n v="7.0000000000000007E-2"/>
    <n v="2.5000000000000001E-2"/>
    <n v="0.70499999999999996"/>
    <x v="1"/>
    <x v="8"/>
    <n v="56100"/>
    <n v="62700"/>
    <n v="6600"/>
    <n v="4653"/>
    <n v="60753"/>
    <n v="20048.490000000002"/>
    <n v="65253"/>
    <n v="68253"/>
    <n v="10510269"/>
    <n v="11288769"/>
    <n v="11807769"/>
    <n v="0"/>
    <n v="893372.86500000011"/>
    <n v="2"/>
    <n v="264000"/>
    <n v="264000"/>
    <n v="10774269"/>
    <n v="11552769"/>
    <n v="12071769"/>
    <d v="2026-07-01T00:00:00"/>
    <d v="2026-01-01T00:00:00"/>
  </r>
  <r>
    <m/>
    <s v="C"/>
    <s v="C1"/>
    <s v="RESIDENTIAL"/>
    <n v="2"/>
    <n v="1"/>
    <x v="554"/>
    <s v="3 BEDROOM"/>
    <s v="C2"/>
    <n v="141.22499999999999"/>
    <n v="156.47444763290054"/>
    <x v="23"/>
    <m/>
    <m/>
    <s v="SE"/>
    <s v="MIDDLE"/>
    <s v="ROAD 12M"/>
    <s v="SECOND"/>
    <x v="4"/>
    <n v="0.08"/>
    <n v="2.5000000000000001E-2"/>
    <n v="0.13"/>
    <n v="0.11"/>
    <n v="2.5000000000000001E-2"/>
    <n v="0.37000000000000005"/>
    <x v="0"/>
    <x v="0"/>
    <n v="43562.499999999993"/>
    <n v="48687.499999999993"/>
    <n v="5125"/>
    <n v="1896.2500000000002"/>
    <n v="45458.749999999993"/>
    <n v="15001.387499999999"/>
    <n v="49958.749999999993"/>
    <n v="52958.749999999993"/>
    <n v="7818904.9999999991"/>
    <n v="8592904.9999999981"/>
    <n v="9108904.9999999981"/>
    <n v="0"/>
    <n v="664606.92499999993"/>
    <n v="2"/>
    <n v="204999.99999999997"/>
    <n v="204999.99999999997"/>
    <n v="8023904.9999999991"/>
    <n v="8797904.9999999981"/>
    <n v="9313904.9999999981"/>
    <d v="2026-07-01T00:00:00"/>
    <d v="2024-01-01T00:00:00"/>
  </r>
  <r>
    <m/>
    <s v="C"/>
    <s v="C1"/>
    <s v="RESIDENTIAL"/>
    <n v="2"/>
    <n v="2"/>
    <x v="555"/>
    <s v="3 BEDROOM"/>
    <s v="C2"/>
    <n v="167.214"/>
    <n v="185.26973472464385"/>
    <x v="43"/>
    <m/>
    <m/>
    <s v="NW"/>
    <s v="MIDDLE"/>
    <s v="LAKE C"/>
    <s v="SECOND"/>
    <x v="3"/>
    <n v="0.13"/>
    <n v="2.5000000000000001E-2"/>
    <n v="0.46"/>
    <n v="0.11"/>
    <n v="1.4999999999999999E-2"/>
    <n v="0.74"/>
    <x v="2"/>
    <x v="3"/>
    <n v="42500"/>
    <n v="47500"/>
    <n v="5000"/>
    <n v="3700"/>
    <n v="46200"/>
    <n v="15246"/>
    <n v="50700"/>
    <n v="53700"/>
    <n v="9424800"/>
    <n v="10342800"/>
    <n v="10954800"/>
    <n v="0"/>
    <n v="801108"/>
    <n v="2"/>
    <n v="200000"/>
    <n v="200000"/>
    <n v="9624800"/>
    <n v="10542800"/>
    <n v="11154800"/>
    <d v="2026-07-01T00:00:00"/>
    <d v="2023-09-01T00:00:00"/>
  </r>
  <r>
    <m/>
    <s v="C"/>
    <s v="C1"/>
    <s v="RESIDENTIAL"/>
    <n v="2"/>
    <n v="3"/>
    <x v="556"/>
    <s v="3 BEDROOM + LIVING"/>
    <s v="C2"/>
    <n v="187.10300000000001"/>
    <n v="207.30634502006436"/>
    <x v="25"/>
    <m/>
    <m/>
    <s v="NW"/>
    <s v="CORNER "/>
    <s v="LAKE B-1"/>
    <s v="SECOND"/>
    <x v="3"/>
    <n v="0.13"/>
    <n v="0.05"/>
    <n v="0.6"/>
    <n v="0.11"/>
    <n v="1.4999999999999999E-2"/>
    <n v="0.90500000000000003"/>
    <x v="2"/>
    <x v="7"/>
    <n v="61625"/>
    <n v="68875"/>
    <n v="7250"/>
    <n v="6561.25"/>
    <n v="68186.25"/>
    <n v="22501.462500000001"/>
    <n v="72686.25"/>
    <n v="75686.25"/>
    <n v="15546465"/>
    <n v="16572465"/>
    <n v="17256465"/>
    <n v="0"/>
    <n v="1321449.5250000001"/>
    <n v="2"/>
    <n v="290000"/>
    <n v="290000"/>
    <n v="15836465"/>
    <n v="16862465"/>
    <n v="17546465"/>
    <d v="2026-07-01T00:00:00"/>
    <d v="2026-07-01T00:00:00"/>
  </r>
  <r>
    <m/>
    <s v="C"/>
    <s v="C1"/>
    <s v="RESIDENTIAL"/>
    <n v="2"/>
    <n v="4"/>
    <x v="557"/>
    <s v="3 BEDROOM"/>
    <s v="C2"/>
    <n v="143.989"/>
    <n v="159.53690380749666"/>
    <x v="20"/>
    <m/>
    <m/>
    <s v="SE"/>
    <s v="CORNER "/>
    <s v="SEMI LAKE B-1"/>
    <s v="SECOND"/>
    <x v="4"/>
    <n v="0.08"/>
    <n v="0.05"/>
    <n v="0.48"/>
    <n v="0.11"/>
    <n v="2.5000000000000001E-2"/>
    <n v="0.745"/>
    <x v="2"/>
    <x v="3"/>
    <n v="42500"/>
    <n v="47500"/>
    <n v="5000"/>
    <n v="3725"/>
    <n v="46225"/>
    <n v="15254.25"/>
    <n v="50725"/>
    <n v="53725"/>
    <n v="8135600"/>
    <n v="8927600"/>
    <n v="9455600"/>
    <n v="0"/>
    <n v="691526"/>
    <n v="2"/>
    <n v="200000"/>
    <n v="200000"/>
    <n v="8335600"/>
    <n v="9127600"/>
    <n v="9655600"/>
    <d v="2026-07-01T00:00:00"/>
    <d v="2023-09-01T00:00:00"/>
  </r>
  <r>
    <m/>
    <s v="C"/>
    <s v="C1"/>
    <s v="RESIDENTIAL"/>
    <n v="3"/>
    <n v="1"/>
    <x v="558"/>
    <s v="3 BEDROOM"/>
    <s v="C2"/>
    <n v="141.131"/>
    <n v="156.37029753144901"/>
    <x v="23"/>
    <m/>
    <m/>
    <s v="SE"/>
    <s v="MIDDLE"/>
    <s v="ROAD 12M"/>
    <s v="THIRD"/>
    <x v="4"/>
    <n v="0.08"/>
    <n v="2.5000000000000001E-2"/>
    <n v="0.13"/>
    <n v="0.15"/>
    <n v="2.5000000000000001E-2"/>
    <n v="0.41000000000000003"/>
    <x v="0"/>
    <x v="1"/>
    <n v="48450.000000000007"/>
    <n v="54150.000000000007"/>
    <n v="5700"/>
    <n v="2337"/>
    <n v="50787.000000000007"/>
    <n v="16759.710000000003"/>
    <n v="55287.000000000007"/>
    <n v="58287.000000000007"/>
    <n v="8735364.0000000019"/>
    <n v="9509364.0000000019"/>
    <n v="10025364.000000002"/>
    <n v="0"/>
    <n v="742505.94000000018"/>
    <n v="2"/>
    <n v="228000.00000000003"/>
    <n v="228000.00000000003"/>
    <n v="8963364.0000000019"/>
    <n v="9737364.0000000019"/>
    <n v="10253364.000000002"/>
    <d v="2026-07-01T00:00:00"/>
    <d v="2025-01-01T00:00:00"/>
  </r>
  <r>
    <m/>
    <s v="C"/>
    <s v="C1"/>
    <s v="RESIDENTIAL"/>
    <n v="3"/>
    <n v="2"/>
    <x v="559"/>
    <s v="3 BEDROOM"/>
    <s v="C2"/>
    <n v="164.43600000000001"/>
    <n v="182.19176683281029"/>
    <x v="44"/>
    <m/>
    <m/>
    <s v="NW"/>
    <s v="MIDDLE"/>
    <s v="LAKE C"/>
    <s v="THIRD"/>
    <x v="3"/>
    <n v="0.13"/>
    <n v="2.5000000000000001E-2"/>
    <n v="0.46"/>
    <n v="0.15"/>
    <n v="1.4999999999999999E-2"/>
    <n v="0.78"/>
    <x v="2"/>
    <x v="2"/>
    <n v="45687.5"/>
    <n v="51062.5"/>
    <n v="5375"/>
    <n v="4192.5"/>
    <n v="49880"/>
    <n v="16460.400000000001"/>
    <n v="54380"/>
    <n v="57380"/>
    <n v="10025880"/>
    <n v="10930380"/>
    <n v="11533380"/>
    <n v="0"/>
    <n v="852199.8"/>
    <n v="2"/>
    <n v="215000"/>
    <n v="215000"/>
    <n v="10240880"/>
    <n v="11145380"/>
    <n v="11748380"/>
    <d v="2026-07-01T00:00:00"/>
    <d v="2024-07-01T00:00:00"/>
  </r>
  <r>
    <m/>
    <s v="C"/>
    <s v="C1"/>
    <s v="RESIDENTIAL"/>
    <n v="3"/>
    <n v="3"/>
    <x v="560"/>
    <s v="3 BEDROOM + LIVING"/>
    <s v="C2"/>
    <n v="187.20400000000001"/>
    <n v="207.41825098013462"/>
    <x v="25"/>
    <m/>
    <m/>
    <s v="NW"/>
    <s v="CORNER "/>
    <s v="LAKE B-1"/>
    <s v="THIRD"/>
    <x v="3"/>
    <n v="0.13"/>
    <n v="0.05"/>
    <n v="0.6"/>
    <n v="0.15"/>
    <n v="1.4999999999999999E-2"/>
    <n v="0.94500000000000006"/>
    <x v="2"/>
    <x v="7"/>
    <n v="61625"/>
    <n v="68875"/>
    <n v="7250"/>
    <n v="6851.25"/>
    <n v="68476.25"/>
    <n v="22597.162500000002"/>
    <n v="72976.25"/>
    <n v="75976.25"/>
    <n v="15612585"/>
    <n v="16638585"/>
    <n v="17322585"/>
    <n v="0"/>
    <n v="1327069.7250000001"/>
    <n v="2"/>
    <n v="290000"/>
    <n v="290000"/>
    <n v="15902585"/>
    <n v="16928585"/>
    <n v="17612585"/>
    <d v="2026-07-01T00:00:00"/>
    <d v="2026-07-01T00:00:00"/>
  </r>
  <r>
    <m/>
    <s v="C"/>
    <s v="C1"/>
    <s v="RESIDENTIAL"/>
    <n v="3"/>
    <n v="4"/>
    <x v="561"/>
    <s v="3 BEDROOM"/>
    <s v="C2"/>
    <n v="143.911"/>
    <n v="159.45048138288794"/>
    <x v="20"/>
    <m/>
    <m/>
    <s v="SE"/>
    <s v="CORNER "/>
    <s v="SEMI LAKE B-1"/>
    <s v="THIRD"/>
    <x v="4"/>
    <n v="0.08"/>
    <n v="0.05"/>
    <n v="0.48"/>
    <n v="0.15"/>
    <n v="2.5000000000000001E-2"/>
    <n v="0.78500000000000003"/>
    <x v="2"/>
    <x v="2"/>
    <n v="45687.5"/>
    <n v="51062.5"/>
    <n v="5375"/>
    <n v="4219.375"/>
    <n v="49906.875"/>
    <n v="16469.268749999999"/>
    <n v="54406.875"/>
    <n v="57406.875"/>
    <n v="8783610"/>
    <n v="9575610"/>
    <n v="10103610"/>
    <n v="0"/>
    <n v="746606.85000000009"/>
    <n v="2"/>
    <n v="215000"/>
    <n v="215000"/>
    <n v="8998610"/>
    <n v="9790610"/>
    <n v="10318610"/>
    <d v="2026-07-01T00:00:00"/>
    <d v="2024-07-01T00:00:00"/>
  </r>
  <r>
    <m/>
    <s v="C"/>
    <s v="C1"/>
    <s v="RESIDENTIAL"/>
    <n v="4"/>
    <n v="1"/>
    <x v="562"/>
    <s v="3 BEDROOM"/>
    <s v="C2"/>
    <n v="139.16499999999999"/>
    <n v="154.19200923938823"/>
    <x v="28"/>
    <m/>
    <m/>
    <s v="SE"/>
    <s v="MIDDLE"/>
    <s v="ROAD 12M"/>
    <s v="FORTH"/>
    <x v="4"/>
    <n v="0.08"/>
    <n v="2.5000000000000001E-2"/>
    <n v="0.13"/>
    <n v="0.06"/>
    <n v="2.5000000000000001E-2"/>
    <n v="0.32000000000000006"/>
    <x v="0"/>
    <x v="3"/>
    <n v="42500"/>
    <n v="47500"/>
    <n v="5000"/>
    <n v="1600.0000000000002"/>
    <n v="44100"/>
    <n v="14553"/>
    <n v="48600"/>
    <n v="51600"/>
    <n v="7497000"/>
    <n v="8262000"/>
    <n v="8772000"/>
    <n v="0"/>
    <n v="637245"/>
    <n v="2"/>
    <n v="200000"/>
    <n v="200000"/>
    <n v="7697000"/>
    <n v="8462000"/>
    <n v="8972000"/>
    <d v="2026-07-01T00:00:00"/>
    <d v="2023-09-01T00:00:00"/>
  </r>
  <r>
    <m/>
    <s v="C"/>
    <s v="C1"/>
    <s v="RESIDENTIAL"/>
    <n v="4"/>
    <n v="2"/>
    <x v="563"/>
    <s v="3 BEDROOM"/>
    <s v="C2"/>
    <n v="162.49"/>
    <n v="180.03563813680304"/>
    <x v="42"/>
    <m/>
    <m/>
    <s v="NW"/>
    <s v="MIDDLE"/>
    <s v="LAKE C"/>
    <s v="FORTH"/>
    <x v="3"/>
    <n v="0.13"/>
    <n v="2.5000000000000001E-2"/>
    <n v="0.46"/>
    <n v="0.06"/>
    <n v="1.4999999999999999E-2"/>
    <n v="0.69000000000000006"/>
    <x v="1"/>
    <x v="4"/>
    <n v="51850"/>
    <n v="57950"/>
    <n v="6100"/>
    <n v="4209"/>
    <n v="56059"/>
    <n v="18499.47"/>
    <n v="60559"/>
    <n v="63559"/>
    <n v="11099682"/>
    <n v="11990682"/>
    <n v="12584682"/>
    <n v="0"/>
    <n v="943472.97000000009"/>
    <n v="2"/>
    <n v="244000"/>
    <n v="244000"/>
    <n v="11343682"/>
    <n v="12234682"/>
    <n v="12828682"/>
    <d v="2026-07-01T00:00:00"/>
    <d v="2025-07-01T00:00:00"/>
  </r>
  <r>
    <m/>
    <s v="C"/>
    <s v="C1"/>
    <s v="RESIDENTIAL"/>
    <n v="4"/>
    <n v="3"/>
    <x v="564"/>
    <s v="3 BEDROOM + LIVING"/>
    <s v="C2"/>
    <n v="182.357"/>
    <n v="202.04787287656464"/>
    <x v="45"/>
    <m/>
    <m/>
    <s v="NW"/>
    <s v="CORNER "/>
    <s v="LAKE B-1"/>
    <s v="FORTH"/>
    <x v="3"/>
    <n v="0.13"/>
    <n v="0.05"/>
    <n v="0.6"/>
    <n v="0.06"/>
    <n v="1.4999999999999999E-2"/>
    <n v="0.85500000000000009"/>
    <x v="2"/>
    <x v="4"/>
    <n v="51850"/>
    <n v="57950"/>
    <n v="6100"/>
    <n v="5215.5000000000009"/>
    <n v="57065.5"/>
    <n v="18831.615000000002"/>
    <n v="61565.5"/>
    <n v="64565.5"/>
    <n v="12668541"/>
    <n v="13667541"/>
    <n v="14333541"/>
    <n v="0"/>
    <n v="1076825.9850000001"/>
    <n v="2"/>
    <n v="244000"/>
    <n v="244000"/>
    <n v="12912541"/>
    <n v="13911541"/>
    <n v="14577541"/>
    <d v="2026-07-01T00:00:00"/>
    <d v="2025-07-01T00:00:00"/>
  </r>
  <r>
    <m/>
    <s v="C"/>
    <s v="C1"/>
    <s v="RESIDENTIAL"/>
    <n v="4"/>
    <n v="4"/>
    <x v="565"/>
    <s v="3 BEDROOM"/>
    <s v="C2"/>
    <n v="141.929"/>
    <n v="157.25446541398435"/>
    <x v="22"/>
    <m/>
    <m/>
    <s v="SE"/>
    <s v="CORNER "/>
    <s v="SEMI LAKE B-1"/>
    <s v="FORTH"/>
    <x v="4"/>
    <n v="0.08"/>
    <n v="0.05"/>
    <n v="0.48"/>
    <n v="0.06"/>
    <n v="2.5000000000000001E-2"/>
    <n v="0.69499999999999995"/>
    <x v="1"/>
    <x v="4"/>
    <n v="51850"/>
    <n v="57950"/>
    <n v="6100"/>
    <n v="4239.5"/>
    <n v="56089.5"/>
    <n v="18509.535"/>
    <n v="60589.5"/>
    <n v="63589.5"/>
    <n v="9703483.5"/>
    <n v="10481983.5"/>
    <n v="11000983.5"/>
    <n v="0"/>
    <n v="824796.09750000003"/>
    <n v="2"/>
    <n v="244000"/>
    <n v="244000"/>
    <n v="9947483.5"/>
    <n v="10725983.5"/>
    <n v="11244983.5"/>
    <d v="2026-07-01T00:00:00"/>
    <d v="2025-07-01T00:00:00"/>
  </r>
  <r>
    <s v="B3"/>
    <s v="C"/>
    <s v="C2"/>
    <s v="RESIDENTIAL"/>
    <n v="0"/>
    <n v="1"/>
    <x v="566"/>
    <s v="3 BEDROOM"/>
    <s v="C2"/>
    <n v="141.82499999999999"/>
    <n v="159.04192828545919"/>
    <x v="22"/>
    <n v="77.2149"/>
    <m/>
    <s v="SE"/>
    <s v="MIDDLE"/>
    <s v="ROAD 18M (BUILDINGS)"/>
    <s v="GROUND"/>
    <x v="4"/>
    <n v="0.08"/>
    <n v="2.5000000000000001E-2"/>
    <n v="0.15"/>
    <n v="0.05"/>
    <n v="2.5000000000000001E-2"/>
    <n v="0.33"/>
    <x v="0"/>
    <x v="3"/>
    <n v="42500"/>
    <n v="47500"/>
    <n v="5000"/>
    <n v="1650"/>
    <n v="44150"/>
    <n v="14569.5"/>
    <n v="48650"/>
    <n v="51650"/>
    <n v="7637950"/>
    <n v="8416450"/>
    <n v="8935450"/>
    <n v="1124982.4855500001"/>
    <n v="744849.26127174997"/>
    <n v="2"/>
    <n v="200000"/>
    <n v="200000"/>
    <n v="8962932.4855499994"/>
    <n v="9741432.4855499994"/>
    <n v="10260432.485549999"/>
    <d v="2026-07-01T00:00:00"/>
    <d v="2023-09-01T00:00:00"/>
  </r>
  <r>
    <m/>
    <s v="C"/>
    <s v="C2"/>
    <s v="RESIDENTIAL"/>
    <n v="0"/>
    <n v="2"/>
    <x v="567"/>
    <s v="3 BEDROOM + LIVING (DUPLEX)"/>
    <s v="C2"/>
    <n v="142.05600000000001"/>
    <n v="159.30097066468673"/>
    <x v="46"/>
    <n v="97.868200000000002"/>
    <m/>
    <s v="NW"/>
    <s v="MIDDLE"/>
    <s v="LAKE C"/>
    <s v="GROUND"/>
    <x v="5"/>
    <n v="0.13"/>
    <n v="2.5000000000000001E-2"/>
    <n v="0.46"/>
    <n v="0.05"/>
    <n v="0"/>
    <n v="0.66500000000000004"/>
    <x v="1"/>
    <x v="1"/>
    <n v="48450.000000000007"/>
    <n v="54150.000000000007"/>
    <n v="5700"/>
    <n v="3790.5"/>
    <n v="52240.500000000007"/>
    <n v="17239.365000000002"/>
    <n v="56740.500000000007"/>
    <n v="59740.500000000007"/>
    <n v="17970732.000000004"/>
    <n v="19518732.000000004"/>
    <n v="20550732.000000004"/>
    <n v="1687185.6216930002"/>
    <n v="1670922.9978439054"/>
    <n v="2"/>
    <n v="228000.00000000003"/>
    <n v="228000.00000000003"/>
    <n v="19885917.621693004"/>
    <n v="21433917.621693004"/>
    <n v="22465917.621693004"/>
    <d v="2026-07-01T00:00:00"/>
    <d v="2025-01-01T00:00:00"/>
  </r>
  <r>
    <m/>
    <s v="C"/>
    <s v="C2"/>
    <s v="RESIDENTIAL"/>
    <n v="0"/>
    <n v="3"/>
    <x v="568"/>
    <s v="3 BEDROOM + LIVING (DUPLEX)"/>
    <s v="C2"/>
    <n v="142.197"/>
    <n v="159.45908744161781"/>
    <x v="46"/>
    <n v="97.259299999999996"/>
    <m/>
    <s v="NW"/>
    <s v="MIDDLE"/>
    <s v="LAKE C"/>
    <s v="GROUND"/>
    <x v="5"/>
    <n v="0.13"/>
    <n v="2.5000000000000001E-2"/>
    <n v="0.46"/>
    <n v="0.05"/>
    <n v="0"/>
    <n v="0.66500000000000004"/>
    <x v="1"/>
    <x v="5"/>
    <n v="46750.000000000007"/>
    <n v="52250.000000000007"/>
    <n v="5500"/>
    <n v="3657.5"/>
    <n v="50407.500000000007"/>
    <n v="16634.475000000002"/>
    <n v="54907.500000000007"/>
    <n v="57907.500000000007"/>
    <n v="17340180.000000004"/>
    <n v="18888180.000000004"/>
    <n v="19920180.000000004"/>
    <n v="1617857.3943675002"/>
    <n v="1611433.178521238"/>
    <n v="2"/>
    <n v="220000.00000000003"/>
    <n v="220000.00000000003"/>
    <n v="19178037.394367505"/>
    <n v="20726037.394367505"/>
    <n v="21758037.394367505"/>
    <d v="2026-07-01T00:00:00"/>
    <d v="2024-10-01T00:00:00"/>
  </r>
  <r>
    <m/>
    <s v="C"/>
    <s v="C2"/>
    <s v="RESIDENTIAL"/>
    <n v="0"/>
    <n v="4"/>
    <x v="569"/>
    <s v="2 BEDROOM"/>
    <s v="C2"/>
    <n v="95.254000000000005"/>
    <n v="106.81741467938045"/>
    <x v="17"/>
    <n v="61.752000000000002"/>
    <m/>
    <s v="SE"/>
    <s v="MIDDLE"/>
    <s v="ROAD 18M (BUILDINGS)"/>
    <s v="GROUND"/>
    <x v="1"/>
    <n v="0.08"/>
    <n v="2.5000000000000001E-2"/>
    <n v="0.15"/>
    <n v="0.05"/>
    <n v="0.04"/>
    <n v="0.34499999999999997"/>
    <x v="0"/>
    <x v="3"/>
    <n v="42500"/>
    <n v="47500"/>
    <n v="5000"/>
    <n v="1724.9999999999998"/>
    <n v="44225"/>
    <n v="14594.25"/>
    <n v="48725"/>
    <n v="51725"/>
    <n v="5130100"/>
    <n v="5652100"/>
    <n v="6000100"/>
    <n v="901224.12600000005"/>
    <n v="512662.55071000004"/>
    <n v="1"/>
    <n v="200000"/>
    <n v="200000"/>
    <n v="6231324.1260000002"/>
    <n v="6753324.1260000002"/>
    <n v="7101324.1260000002"/>
    <d v="2026-07-01T00:00:00"/>
    <d v="2023-09-01T00:00:00"/>
  </r>
  <r>
    <m/>
    <s v="C"/>
    <s v="C2"/>
    <s v="RESIDENTIAL"/>
    <n v="1"/>
    <n v="1"/>
    <x v="570"/>
    <s v="3 BEDROOM"/>
    <s v="C2"/>
    <n v="142.977"/>
    <n v="160.33377599485354"/>
    <x v="47"/>
    <m/>
    <m/>
    <s v="SE"/>
    <s v="MIDDLE"/>
    <s v="ROAD 18M (BUILDINGS)"/>
    <s v="FIRST"/>
    <x v="4"/>
    <n v="0.08"/>
    <n v="2.5000000000000001E-2"/>
    <n v="0.15"/>
    <n v="7.0000000000000007E-2"/>
    <n v="2.5000000000000001E-2"/>
    <n v="0.35000000000000003"/>
    <x v="0"/>
    <x v="3"/>
    <n v="42500"/>
    <n v="47500"/>
    <n v="5000"/>
    <n v="1750.0000000000002"/>
    <n v="44250"/>
    <n v="14602.5"/>
    <n v="48750"/>
    <n v="51750"/>
    <n v="7699500"/>
    <n v="8482500"/>
    <n v="9004500"/>
    <n v="0"/>
    <n v="654457.5"/>
    <n v="2"/>
    <n v="200000"/>
    <n v="200000"/>
    <n v="7899500"/>
    <n v="8682500"/>
    <n v="9204500"/>
    <d v="2026-07-01T00:00:00"/>
    <d v="2023-09-01T00:00:00"/>
  </r>
  <r>
    <m/>
    <s v="C"/>
    <s v="C2"/>
    <s v="RESIDENTIAL"/>
    <n v="1"/>
    <n v="4"/>
    <x v="571"/>
    <s v="2 BEDROOM"/>
    <s v="C2"/>
    <n v="96.311000000000007"/>
    <n v="108.00272980857298"/>
    <x v="21"/>
    <m/>
    <m/>
    <s v="SE"/>
    <s v="MIDDLE"/>
    <s v="ROAD 18M (BUILDINGS)"/>
    <s v="FIRST"/>
    <x v="1"/>
    <n v="0.08"/>
    <n v="2.5000000000000001E-2"/>
    <n v="0.15"/>
    <n v="7.0000000000000007E-2"/>
    <n v="0.04"/>
    <n v="0.36499999999999999"/>
    <x v="0"/>
    <x v="0"/>
    <n v="43562.499999999993"/>
    <n v="48687.499999999993"/>
    <n v="5125"/>
    <n v="1870.625"/>
    <n v="45433.124999999993"/>
    <n v="14992.931249999998"/>
    <n v="49933.124999999993"/>
    <n v="52933.124999999993"/>
    <n v="5315675.6249999991"/>
    <n v="5842175.6249999991"/>
    <n v="6193175.6249999991"/>
    <n v="0"/>
    <n v="451832.42812499998"/>
    <n v="1"/>
    <n v="204999.99999999997"/>
    <n v="204999.99999999997"/>
    <n v="5520675.6249999991"/>
    <n v="6047175.6249999991"/>
    <n v="6398175.6249999991"/>
    <d v="2026-07-01T00:00:00"/>
    <d v="2024-01-01T00:00:00"/>
  </r>
  <r>
    <m/>
    <s v="C"/>
    <s v="C2"/>
    <s v="RESIDENTIAL"/>
    <n v="2"/>
    <n v="1"/>
    <x v="572"/>
    <s v="3 BEDROOM"/>
    <s v="C2"/>
    <n v="141.18700000000001"/>
    <n v="158.32647790473564"/>
    <x v="23"/>
    <m/>
    <m/>
    <s v="SE"/>
    <s v="MIDDLE"/>
    <s v="ROAD 18M (BUILDINGS)"/>
    <s v="SECOND"/>
    <x v="4"/>
    <n v="0.08"/>
    <n v="2.5000000000000001E-2"/>
    <n v="0.15"/>
    <n v="0.11"/>
    <n v="2.5000000000000001E-2"/>
    <n v="0.39"/>
    <x v="0"/>
    <x v="2"/>
    <n v="45687.5"/>
    <n v="51062.5"/>
    <n v="5375"/>
    <n v="2096.25"/>
    <n v="47783.75"/>
    <n v="15768.637500000001"/>
    <n v="52283.75"/>
    <n v="55283.75"/>
    <n v="8218805"/>
    <n v="8992805"/>
    <n v="9508805"/>
    <n v="0"/>
    <n v="698598.42500000005"/>
    <n v="2"/>
    <n v="215000"/>
    <n v="215000"/>
    <n v="8433805"/>
    <n v="9207805"/>
    <n v="9723805"/>
    <d v="2026-07-01T00:00:00"/>
    <d v="2024-07-01T00:00:00"/>
  </r>
  <r>
    <m/>
    <s v="C"/>
    <s v="C2"/>
    <s v="RESIDENTIAL"/>
    <n v="2"/>
    <n v="2"/>
    <x v="573"/>
    <s v="3 BEDROOM"/>
    <s v="C2"/>
    <n v="141.446"/>
    <n v="158.61691936023314"/>
    <x v="22"/>
    <m/>
    <m/>
    <s v="NW"/>
    <s v="MIDDLE"/>
    <s v="LAKE C"/>
    <s v="SECOND"/>
    <x v="4"/>
    <n v="0.13"/>
    <n v="2.5000000000000001E-2"/>
    <n v="0.46"/>
    <n v="0.11"/>
    <n v="2.5000000000000001E-2"/>
    <n v="0.75"/>
    <x v="2"/>
    <x v="0"/>
    <n v="43562.499999999993"/>
    <n v="48687.499999999993"/>
    <n v="5125"/>
    <n v="3843.75"/>
    <n v="47406.249999999993"/>
    <n v="15644.062499999998"/>
    <n v="51906.249999999993"/>
    <n v="54906.249999999993"/>
    <n v="8201281.2499999991"/>
    <n v="8979781.2499999981"/>
    <n v="9498781.2499999981"/>
    <n v="0"/>
    <n v="697108.90625"/>
    <n v="2"/>
    <n v="204999.99999999997"/>
    <n v="204999.99999999997"/>
    <n v="8406281.2499999981"/>
    <n v="9184781.2499999981"/>
    <n v="9703781.2499999981"/>
    <d v="2026-07-01T00:00:00"/>
    <d v="2024-01-01T00:00:00"/>
  </r>
  <r>
    <m/>
    <s v="C"/>
    <s v="C2"/>
    <s v="RESIDENTIAL"/>
    <n v="2"/>
    <n v="3"/>
    <x v="574"/>
    <s v="3 BEDROOM"/>
    <s v="C2"/>
    <n v="141.572"/>
    <n v="158.75821520344815"/>
    <x v="22"/>
    <m/>
    <m/>
    <s v="NW"/>
    <s v="MIDDLE"/>
    <s v="LAKE C"/>
    <s v="SECOND"/>
    <x v="4"/>
    <n v="0.13"/>
    <n v="2.5000000000000001E-2"/>
    <n v="0.46"/>
    <n v="0.11"/>
    <n v="2.5000000000000001E-2"/>
    <n v="0.75"/>
    <x v="2"/>
    <x v="0"/>
    <n v="43562.499999999993"/>
    <n v="48687.499999999993"/>
    <n v="5125"/>
    <n v="3843.75"/>
    <n v="47406.249999999993"/>
    <n v="15644.062499999998"/>
    <n v="51906.249999999993"/>
    <n v="54906.249999999993"/>
    <n v="8201281.2499999991"/>
    <n v="8979781.2499999981"/>
    <n v="9498781.2499999981"/>
    <n v="0"/>
    <n v="697108.90625"/>
    <n v="2"/>
    <n v="204999.99999999997"/>
    <n v="204999.99999999997"/>
    <n v="8406281.2499999981"/>
    <n v="9184781.2499999981"/>
    <n v="9703781.2499999981"/>
    <d v="2026-07-01T00:00:00"/>
    <d v="2024-01-01T00:00:00"/>
  </r>
  <r>
    <m/>
    <s v="C"/>
    <s v="C2"/>
    <s v="RESIDENTIAL"/>
    <n v="2"/>
    <n v="4"/>
    <x v="575"/>
    <s v="3 BEDROOM"/>
    <s v="C2"/>
    <n v="141.226"/>
    <n v="158.37021233239741"/>
    <x v="23"/>
    <m/>
    <m/>
    <s v="SE"/>
    <s v="MIDDLE"/>
    <s v="ROAD 18M (BUILDINGS)"/>
    <s v="SECOND"/>
    <x v="4"/>
    <n v="0.08"/>
    <n v="2.5000000000000001E-2"/>
    <n v="0.15"/>
    <n v="0.11"/>
    <n v="2.5000000000000001E-2"/>
    <n v="0.39"/>
    <x v="0"/>
    <x v="2"/>
    <n v="45687.5"/>
    <n v="51062.5"/>
    <n v="5375"/>
    <n v="2096.25"/>
    <n v="47783.75"/>
    <n v="15768.637500000001"/>
    <n v="52283.75"/>
    <n v="55283.75"/>
    <n v="8218805"/>
    <n v="8992805"/>
    <n v="9508805"/>
    <n v="0"/>
    <n v="698598.42500000005"/>
    <n v="2"/>
    <n v="215000"/>
    <n v="215000"/>
    <n v="8433805"/>
    <n v="9207805"/>
    <n v="9723805"/>
    <d v="2026-07-01T00:00:00"/>
    <d v="2024-07-01T00:00:00"/>
  </r>
  <r>
    <m/>
    <s v="C"/>
    <s v="C2"/>
    <s v="RESIDENTIAL"/>
    <n v="3"/>
    <n v="1"/>
    <x v="576"/>
    <s v="3 BEDROOM"/>
    <s v="C2"/>
    <n v="141.48599999999999"/>
    <n v="158.66177518347598"/>
    <x v="22"/>
    <m/>
    <m/>
    <s v="SE"/>
    <s v="MIDDLE"/>
    <s v="ROAD 18M (BUILDINGS)"/>
    <s v="THIRD"/>
    <x v="4"/>
    <n v="0.08"/>
    <n v="2.5000000000000001E-2"/>
    <n v="0.15"/>
    <n v="0.15"/>
    <n v="2.5000000000000001E-2"/>
    <n v="0.43000000000000005"/>
    <x v="0"/>
    <x v="4"/>
    <n v="51850"/>
    <n v="57950"/>
    <n v="6100"/>
    <n v="2623.0000000000005"/>
    <n v="54473"/>
    <n v="17976.09"/>
    <n v="58973"/>
    <n v="61973"/>
    <n v="9423829"/>
    <n v="10202329"/>
    <n v="10721329"/>
    <n v="0"/>
    <n v="801025.46500000008"/>
    <n v="2"/>
    <n v="244000"/>
    <n v="244000"/>
    <n v="9667829"/>
    <n v="10446329"/>
    <n v="10965329"/>
    <d v="2026-07-01T00:00:00"/>
    <d v="2025-07-01T00:00:00"/>
  </r>
  <r>
    <m/>
    <s v="C"/>
    <s v="C2"/>
    <s v="RESIDENTIAL"/>
    <n v="3"/>
    <n v="2"/>
    <x v="577"/>
    <s v="3 BEDROOM"/>
    <s v="C2"/>
    <n v="142.25399999999999"/>
    <n v="159.52300698973886"/>
    <x v="47"/>
    <m/>
    <m/>
    <s v="NW"/>
    <s v="MIDDLE"/>
    <s v="LAKE C"/>
    <s v="THIRD"/>
    <x v="4"/>
    <n v="0.13"/>
    <n v="2.5000000000000001E-2"/>
    <n v="0.46"/>
    <n v="0.15"/>
    <n v="2.5000000000000001E-2"/>
    <n v="0.79"/>
    <x v="2"/>
    <x v="5"/>
    <n v="46750.000000000007"/>
    <n v="52250.000000000007"/>
    <n v="5500"/>
    <n v="4345"/>
    <n v="51095.000000000007"/>
    <n v="16861.350000000002"/>
    <n v="55595.000000000007"/>
    <n v="58595.000000000007"/>
    <n v="8890530.0000000019"/>
    <n v="9673530.0000000019"/>
    <n v="10195530.000000002"/>
    <n v="0"/>
    <n v="755695.05000000016"/>
    <n v="2"/>
    <n v="220000.00000000003"/>
    <n v="220000.00000000003"/>
    <n v="9110530.0000000019"/>
    <n v="9893530.0000000019"/>
    <n v="10415530.000000002"/>
    <d v="2026-07-01T00:00:00"/>
    <d v="2024-10-01T00:00:00"/>
  </r>
  <r>
    <m/>
    <s v="C"/>
    <s v="C2"/>
    <s v="RESIDENTIAL"/>
    <n v="3"/>
    <n v="3"/>
    <x v="578"/>
    <s v="3 BEDROOM"/>
    <s v="C2"/>
    <n v="142.37799999999999"/>
    <n v="159.6620600417917"/>
    <x v="47"/>
    <m/>
    <m/>
    <s v="NW"/>
    <s v="MIDDLE"/>
    <s v="LAKE C"/>
    <s v="THIRD"/>
    <x v="4"/>
    <n v="0.13"/>
    <n v="2.5000000000000001E-2"/>
    <n v="0.46"/>
    <n v="0.15"/>
    <n v="2.5000000000000001E-2"/>
    <n v="0.79"/>
    <x v="2"/>
    <x v="5"/>
    <n v="46750.000000000007"/>
    <n v="52250.000000000007"/>
    <n v="5500"/>
    <n v="4345"/>
    <n v="51095.000000000007"/>
    <n v="16861.350000000002"/>
    <n v="55595.000000000007"/>
    <n v="58595.000000000007"/>
    <n v="8890530.0000000019"/>
    <n v="9673530.0000000019"/>
    <n v="10195530.000000002"/>
    <n v="0"/>
    <n v="755695.05000000016"/>
    <n v="2"/>
    <n v="220000.00000000003"/>
    <n v="220000.00000000003"/>
    <n v="9110530.0000000019"/>
    <n v="9893530.0000000019"/>
    <n v="10415530.000000002"/>
    <d v="2026-07-01T00:00:00"/>
    <d v="2024-10-01T00:00:00"/>
  </r>
  <r>
    <m/>
    <s v="C"/>
    <s v="C2"/>
    <s v="RESIDENTIAL"/>
    <n v="3"/>
    <n v="4"/>
    <x v="579"/>
    <s v="3 BEDROOM"/>
    <s v="C2"/>
    <n v="141.52600000000001"/>
    <n v="158.70663100671885"/>
    <x v="22"/>
    <m/>
    <m/>
    <s v="SE"/>
    <s v="MIDDLE"/>
    <s v="ROAD 18M (BUILDINGS)"/>
    <s v="THIRD"/>
    <x v="4"/>
    <n v="0.08"/>
    <n v="2.5000000000000001E-2"/>
    <n v="0.15"/>
    <n v="0.15"/>
    <n v="2.5000000000000001E-2"/>
    <n v="0.43000000000000005"/>
    <x v="0"/>
    <x v="4"/>
    <n v="51850"/>
    <n v="57950"/>
    <n v="6100"/>
    <n v="2623.0000000000005"/>
    <n v="54473"/>
    <n v="17976.09"/>
    <n v="58973"/>
    <n v="61973"/>
    <n v="9423829"/>
    <n v="10202329"/>
    <n v="10721329"/>
    <n v="0"/>
    <n v="801025.46500000008"/>
    <n v="2"/>
    <n v="244000"/>
    <n v="244000"/>
    <n v="9667829"/>
    <n v="10446329"/>
    <n v="10965329"/>
    <d v="2026-07-01T00:00:00"/>
    <d v="2025-07-01T00:00:00"/>
  </r>
  <r>
    <m/>
    <s v="C"/>
    <s v="C2"/>
    <s v="RESIDENTIAL"/>
    <n v="4"/>
    <n v="1"/>
    <x v="580"/>
    <s v="3 BEDROOM"/>
    <s v="C2"/>
    <n v="139.12"/>
    <n v="156.00855323866094"/>
    <x v="28"/>
    <m/>
    <m/>
    <s v="SE"/>
    <s v="MIDDLE"/>
    <s v="ROAD 18M (BUILDINGS)"/>
    <s v="FORTH"/>
    <x v="4"/>
    <n v="0.08"/>
    <n v="2.5000000000000001E-2"/>
    <n v="0.15"/>
    <n v="0.06"/>
    <n v="2.5000000000000001E-2"/>
    <n v="0.34"/>
    <x v="0"/>
    <x v="3"/>
    <n v="42500"/>
    <n v="47500"/>
    <n v="5000"/>
    <n v="1700.0000000000002"/>
    <n v="44200"/>
    <n v="14586"/>
    <n v="48700"/>
    <n v="51700"/>
    <n v="7514000"/>
    <n v="8279000"/>
    <n v="8789000"/>
    <n v="0"/>
    <n v="638690"/>
    <n v="2"/>
    <n v="200000"/>
    <n v="200000"/>
    <n v="7714000"/>
    <n v="8479000"/>
    <n v="8989000"/>
    <d v="2026-07-01T00:00:00"/>
    <d v="2023-09-01T00:00:00"/>
  </r>
  <r>
    <m/>
    <s v="C"/>
    <s v="C2"/>
    <s v="RESIDENTIAL"/>
    <n v="4"/>
    <n v="2"/>
    <x v="581"/>
    <s v="3 BEDROOM"/>
    <s v="C2"/>
    <n v="141.53399999999999"/>
    <n v="158.71560217136741"/>
    <x v="22"/>
    <m/>
    <m/>
    <s v="NW"/>
    <s v="MIDDLE"/>
    <s v="LAKE C"/>
    <s v="FORTH"/>
    <x v="4"/>
    <n v="0.13"/>
    <n v="2.5000000000000001E-2"/>
    <n v="0.46"/>
    <n v="0.06"/>
    <n v="2.5000000000000001E-2"/>
    <n v="0.70000000000000007"/>
    <x v="1"/>
    <x v="10"/>
    <n v="53550"/>
    <n v="59850"/>
    <n v="6300"/>
    <n v="4410"/>
    <n v="57960"/>
    <n v="19126.8"/>
    <n v="62460"/>
    <n v="65460"/>
    <n v="10027080"/>
    <n v="10805580"/>
    <n v="11324580"/>
    <n v="0"/>
    <n v="852301.8"/>
    <n v="2"/>
    <n v="252000"/>
    <n v="252000"/>
    <n v="10279080"/>
    <n v="11057580"/>
    <n v="11576580"/>
    <d v="2026-07-01T00:00:00"/>
    <d v="2025-10-01T00:00:00"/>
  </r>
  <r>
    <m/>
    <s v="C"/>
    <s v="C2"/>
    <s v="RESIDENTIAL"/>
    <n v="4"/>
    <n v="3"/>
    <x v="582"/>
    <s v="3 BEDROOM"/>
    <s v="C2"/>
    <n v="141.65899999999999"/>
    <n v="158.85577661900135"/>
    <x v="22"/>
    <m/>
    <m/>
    <s v="NW"/>
    <s v="MIDDLE"/>
    <s v="LAKE C"/>
    <s v="FORTH"/>
    <x v="4"/>
    <n v="0.13"/>
    <n v="2.5000000000000001E-2"/>
    <n v="0.46"/>
    <n v="0.06"/>
    <n v="2.5000000000000001E-2"/>
    <n v="0.70000000000000007"/>
    <x v="1"/>
    <x v="10"/>
    <n v="53550"/>
    <n v="59850"/>
    <n v="6300"/>
    <n v="4410"/>
    <n v="57960"/>
    <n v="19126.8"/>
    <n v="62460"/>
    <n v="65460"/>
    <n v="10027080"/>
    <n v="10805580"/>
    <n v="11324580"/>
    <n v="0"/>
    <n v="852301.8"/>
    <n v="2"/>
    <n v="252000"/>
    <n v="252000"/>
    <n v="10279080"/>
    <n v="11057580"/>
    <n v="11576580"/>
    <d v="2026-07-01T00:00:00"/>
    <d v="2025-10-01T00:00:00"/>
  </r>
  <r>
    <m/>
    <s v="C"/>
    <s v="C2"/>
    <s v="RESIDENTIAL"/>
    <n v="4"/>
    <n v="4"/>
    <x v="583"/>
    <s v="3 BEDROOM"/>
    <s v="C2"/>
    <n v="139.31659999999999"/>
    <n v="156.22901960989958"/>
    <x v="28"/>
    <m/>
    <m/>
    <s v="SE"/>
    <s v="MIDDLE"/>
    <s v="ROAD 18M (BUILDINGS)"/>
    <s v="FORTH"/>
    <x v="4"/>
    <n v="0.08"/>
    <n v="2.5000000000000001E-2"/>
    <n v="0.15"/>
    <n v="0.06"/>
    <n v="2.5000000000000001E-2"/>
    <n v="0.34"/>
    <x v="0"/>
    <x v="3"/>
    <n v="42500"/>
    <n v="47500"/>
    <n v="5000"/>
    <n v="1700.0000000000002"/>
    <n v="44200"/>
    <n v="14586"/>
    <n v="48700"/>
    <n v="51700"/>
    <n v="7514000"/>
    <n v="8279000"/>
    <n v="8789000"/>
    <n v="0"/>
    <n v="638690"/>
    <n v="2"/>
    <n v="200000"/>
    <n v="200000"/>
    <n v="7714000"/>
    <n v="8479000"/>
    <n v="8989000"/>
    <d v="2026-07-01T00:00:00"/>
    <d v="2023-09-01T00:00:00"/>
  </r>
  <r>
    <s v="B3"/>
    <s v="C"/>
    <s v="C3"/>
    <s v="RESIDENTIAL"/>
    <n v="0"/>
    <n v="1"/>
    <x v="584"/>
    <s v="3 BEDROOM"/>
    <s v="C2"/>
    <n v="144.66300000000001"/>
    <n v="160.29970969584483"/>
    <x v="20"/>
    <n v="78.760000000000005"/>
    <m/>
    <s v="SE"/>
    <s v="CORNER "/>
    <s v="SEMI LAKE B-2"/>
    <s v="GROUND"/>
    <x v="4"/>
    <n v="0.08"/>
    <n v="0.05"/>
    <n v="0.42400000000000004"/>
    <n v="0.05"/>
    <n v="2.5000000000000001E-2"/>
    <n v="0.62900000000000011"/>
    <x v="1"/>
    <x v="6"/>
    <n v="44625"/>
    <n v="49875"/>
    <n v="5250"/>
    <n v="3302.2500000000005"/>
    <n v="47927.25"/>
    <n v="15815.9925"/>
    <n v="52427.25"/>
    <n v="55427.25"/>
    <n v="8435196"/>
    <n v="9227196"/>
    <n v="9755196"/>
    <n v="1245667.5693000001"/>
    <n v="822873.4033905"/>
    <n v="2"/>
    <n v="210000"/>
    <n v="210000"/>
    <n v="9890863.5692999996"/>
    <n v="10682863.5693"/>
    <n v="11210863.5693"/>
    <d v="2026-07-01T00:00:00"/>
    <d v="2024-04-01T00:00:00"/>
  </r>
  <r>
    <m/>
    <s v="C"/>
    <s v="C3"/>
    <s v="RESIDENTIAL"/>
    <n v="0"/>
    <n v="2"/>
    <x v="585"/>
    <s v="3 BEDROOM + LIVING"/>
    <s v="C2"/>
    <n v="183.887"/>
    <n v="203.76345518093646"/>
    <x v="19"/>
    <n v="61.522199999999998"/>
    <m/>
    <s v="NW"/>
    <s v="CORNER "/>
    <s v="LAKE B-2"/>
    <s v="GROUND"/>
    <x v="3"/>
    <n v="0.13"/>
    <n v="0.05"/>
    <n v="0.53"/>
    <n v="0.05"/>
    <n v="1.4999999999999999E-2"/>
    <n v="0.77500000000000002"/>
    <x v="2"/>
    <x v="2"/>
    <n v="45687.5"/>
    <n v="51062.5"/>
    <n v="5375"/>
    <n v="4165.625"/>
    <n v="49853.125"/>
    <n v="16451.53125"/>
    <n v="54353.125"/>
    <n v="57353.125"/>
    <n v="11167100"/>
    <n v="12175100"/>
    <n v="12847100"/>
    <n v="1012134.3958687499"/>
    <n v="1035234.9236488439"/>
    <n v="2"/>
    <n v="215000"/>
    <n v="215000"/>
    <n v="12394234.39586875"/>
    <n v="13402234.39586875"/>
    <n v="14074234.39586875"/>
    <d v="2026-07-01T00:00:00"/>
    <d v="2024-07-01T00:00:00"/>
  </r>
  <r>
    <m/>
    <s v="C"/>
    <s v="C3"/>
    <s v="RESIDENTIAL"/>
    <n v="0"/>
    <n v="3"/>
    <x v="586"/>
    <s v="3 BEDROOM"/>
    <s v="C2"/>
    <n v="162.78100000000001"/>
    <n v="180.37609508996297"/>
    <x v="18"/>
    <n v="77.576999999999998"/>
    <m/>
    <s v="NW"/>
    <s v="MIDDLE"/>
    <s v="LAKE C"/>
    <s v="GROUND"/>
    <x v="3"/>
    <n v="0.13"/>
    <n v="2.5000000000000001E-2"/>
    <n v="0.46"/>
    <n v="0.05"/>
    <n v="1.4999999999999999E-2"/>
    <n v="0.68"/>
    <x v="1"/>
    <x v="12"/>
    <n v="50150"/>
    <n v="56050"/>
    <n v="5900"/>
    <n v="4012.0000000000005"/>
    <n v="54162"/>
    <n v="17873.46"/>
    <n v="58662"/>
    <n v="61662"/>
    <n v="10778238"/>
    <n v="11673738"/>
    <n v="12270738"/>
    <n v="1386569.4064199999"/>
    <n v="1034008.6295457"/>
    <n v="2"/>
    <n v="236000"/>
    <n v="236000"/>
    <n v="12400807.40642"/>
    <n v="13296307.40642"/>
    <n v="13893307.40642"/>
    <d v="2026-07-01T00:00:00"/>
    <d v="2025-04-01T00:00:00"/>
  </r>
  <r>
    <m/>
    <s v="C"/>
    <s v="C3"/>
    <s v="RESIDENTIAL"/>
    <n v="0"/>
    <n v="4"/>
    <x v="587"/>
    <s v="2 BEDROOM"/>
    <s v="C2"/>
    <n v="95.213999999999999"/>
    <n v="105.50573788031609"/>
    <x v="17"/>
    <n v="61.500599999999999"/>
    <m/>
    <s v="SE"/>
    <s v="MIDDLE"/>
    <s v="ROAD 12M"/>
    <s v="GROUND"/>
    <x v="1"/>
    <n v="0.08"/>
    <n v="2.5000000000000001E-2"/>
    <n v="0.13"/>
    <n v="0.05"/>
    <n v="0.04"/>
    <n v="0.32500000000000001"/>
    <x v="0"/>
    <x v="3"/>
    <n v="42500"/>
    <n v="47500"/>
    <n v="5000"/>
    <n v="1625"/>
    <n v="44125"/>
    <n v="14561.25"/>
    <n v="48625"/>
    <n v="51625"/>
    <n v="5118500"/>
    <n v="5640500"/>
    <n v="5988500"/>
    <n v="895525.61174999992"/>
    <n v="511192.17699875007"/>
    <n v="1"/>
    <n v="200000"/>
    <n v="200000"/>
    <n v="6214025.6117500002"/>
    <n v="6736025.6117500002"/>
    <n v="7084025.6117500002"/>
    <d v="2026-07-01T00:00:00"/>
    <d v="2023-09-01T00:00:00"/>
  </r>
  <r>
    <m/>
    <s v="C"/>
    <s v="C3"/>
    <s v="RESIDENTIAL"/>
    <n v="1"/>
    <n v="1"/>
    <x v="588"/>
    <s v="3 BEDROOM"/>
    <s v="C2"/>
    <n v="141.66300000000001"/>
    <n v="156.9754379118535"/>
    <x v="22"/>
    <m/>
    <m/>
    <s v="SE"/>
    <s v="CORNER "/>
    <s v="SEMI LAKE B-2"/>
    <s v="FIRST"/>
    <x v="4"/>
    <n v="0.08"/>
    <n v="0.05"/>
    <n v="0.42400000000000004"/>
    <n v="7.0000000000000007E-2"/>
    <n v="2.5000000000000001E-2"/>
    <n v="0.64900000000000013"/>
    <x v="1"/>
    <x v="2"/>
    <n v="45687.5"/>
    <n v="51062.5"/>
    <n v="5375"/>
    <n v="3488.3750000000009"/>
    <n v="49175.875"/>
    <n v="16228.038750000002"/>
    <n v="53675.875"/>
    <n v="56675.875"/>
    <n v="8507426.375"/>
    <n v="9285926.375"/>
    <n v="9804926.375"/>
    <n v="0"/>
    <n v="723131.24187500007"/>
    <n v="2"/>
    <n v="215000"/>
    <n v="215000"/>
    <n v="8722426.375"/>
    <n v="9500926.375"/>
    <n v="10019926.375"/>
    <d v="2026-07-01T00:00:00"/>
    <d v="2024-07-01T00:00:00"/>
  </r>
  <r>
    <m/>
    <s v="C"/>
    <s v="C3"/>
    <s v="RESIDENTIAL"/>
    <n v="1"/>
    <n v="2"/>
    <x v="589"/>
    <s v="3 BEDROOM + LIVING"/>
    <s v="C2"/>
    <n v="183.637"/>
    <n v="203.48643253227053"/>
    <x v="19"/>
    <m/>
    <m/>
    <s v="NW"/>
    <s v="CORNER "/>
    <s v="LAKE B-2"/>
    <s v="FIRST"/>
    <x v="3"/>
    <n v="0.13"/>
    <n v="0.05"/>
    <n v="0.53"/>
    <n v="7.0000000000000007E-2"/>
    <n v="1.4999999999999999E-2"/>
    <n v="0.79500000000000004"/>
    <x v="2"/>
    <x v="5"/>
    <n v="46750.000000000007"/>
    <n v="52250.000000000007"/>
    <n v="5500"/>
    <n v="4372.5"/>
    <n v="51122.500000000007"/>
    <n v="16870.425000000003"/>
    <n v="55622.500000000007"/>
    <n v="58622.500000000007"/>
    <n v="11451440.000000002"/>
    <n v="12459440.000000002"/>
    <n v="13131440.000000002"/>
    <n v="0"/>
    <n v="973372.40000000026"/>
    <n v="2"/>
    <n v="220000.00000000003"/>
    <n v="220000.00000000003"/>
    <n v="11671440.000000002"/>
    <n v="12679440.000000002"/>
    <n v="13351440.000000002"/>
    <d v="2026-07-01T00:00:00"/>
    <d v="2024-10-01T00:00:00"/>
  </r>
  <r>
    <m/>
    <s v="C"/>
    <s v="C3"/>
    <s v="RESIDENTIAL"/>
    <n v="1"/>
    <n v="3"/>
    <x v="590"/>
    <s v="3 BEDROOM"/>
    <s v="C2"/>
    <n v="162.53100000000001"/>
    <n v="180.09907244129704"/>
    <x v="42"/>
    <m/>
    <m/>
    <s v="NW"/>
    <s v="MIDDLE"/>
    <s v="LAKE C"/>
    <s v="FIRST"/>
    <x v="3"/>
    <n v="0.13"/>
    <n v="2.5000000000000001E-2"/>
    <n v="0.46"/>
    <n v="7.0000000000000007E-2"/>
    <n v="1.4999999999999999E-2"/>
    <n v="0.70000000000000007"/>
    <x v="1"/>
    <x v="10"/>
    <n v="53550"/>
    <n v="59850"/>
    <n v="6300"/>
    <n v="4410"/>
    <n v="57960"/>
    <n v="19126.8"/>
    <n v="62460"/>
    <n v="65460"/>
    <n v="11476080"/>
    <n v="12367080"/>
    <n v="12961080"/>
    <n v="0"/>
    <n v="975466.8"/>
    <n v="2"/>
    <n v="252000"/>
    <n v="252000"/>
    <n v="11728080"/>
    <n v="12619080"/>
    <n v="13213080"/>
    <d v="2026-07-01T00:00:00"/>
    <d v="2025-10-01T00:00:00"/>
  </r>
  <r>
    <m/>
    <s v="C"/>
    <s v="C3"/>
    <s v="RESIDENTIAL"/>
    <n v="1"/>
    <n v="4"/>
    <x v="591"/>
    <s v="2 BEDROOM"/>
    <s v="C2"/>
    <n v="96.271000000000001"/>
    <n v="106.6769896388757"/>
    <x v="21"/>
    <m/>
    <m/>
    <s v="SE"/>
    <s v="MIDDLE"/>
    <s v="ROAD 12M"/>
    <s v="FIRST"/>
    <x v="1"/>
    <n v="0.08"/>
    <n v="2.5000000000000001E-2"/>
    <n v="0.13"/>
    <n v="7.0000000000000007E-2"/>
    <n v="0.04"/>
    <n v="0.34500000000000003"/>
    <x v="0"/>
    <x v="3"/>
    <n v="42500"/>
    <n v="47500"/>
    <n v="5000"/>
    <n v="1725.0000000000002"/>
    <n v="44225"/>
    <n v="14594.25"/>
    <n v="48725"/>
    <n v="51725"/>
    <n v="5174325"/>
    <n v="5700825"/>
    <n v="6051825"/>
    <n v="0"/>
    <n v="439817.62500000006"/>
    <n v="1"/>
    <n v="200000"/>
    <n v="200000"/>
    <n v="5374325"/>
    <n v="5900825"/>
    <n v="6251825"/>
    <d v="2026-07-01T00:00:00"/>
    <d v="2023-09-01T00:00:00"/>
  </r>
  <r>
    <m/>
    <s v="C"/>
    <s v="C3"/>
    <s v="RESIDENTIAL"/>
    <n v="2"/>
    <n v="1"/>
    <x v="592"/>
    <s v="3 BEDROOM"/>
    <s v="C2"/>
    <n v="143.989"/>
    <n v="159.55285663504142"/>
    <x v="20"/>
    <m/>
    <m/>
    <s v="SE"/>
    <s v="CORNER "/>
    <s v="SEMI LAKE B-2"/>
    <s v="SECOND"/>
    <x v="4"/>
    <n v="0.08"/>
    <n v="0.05"/>
    <n v="0.42400000000000004"/>
    <n v="0.11"/>
    <n v="2.5000000000000001E-2"/>
    <n v="0.68900000000000006"/>
    <x v="1"/>
    <x v="4"/>
    <n v="51850"/>
    <n v="57950"/>
    <n v="6100"/>
    <n v="4202.9000000000005"/>
    <n v="56052.9"/>
    <n v="18497.457000000002"/>
    <n v="60552.9"/>
    <n v="63552.9"/>
    <n v="9865310.4000000004"/>
    <n v="10657310.4"/>
    <n v="11185310.4"/>
    <n v="0"/>
    <n v="838551.38400000008"/>
    <n v="2"/>
    <n v="244000"/>
    <n v="244000"/>
    <n v="10109310.4"/>
    <n v="10901310.4"/>
    <n v="11429310.4"/>
    <d v="2026-07-01T00:00:00"/>
    <d v="2025-07-01T00:00:00"/>
  </r>
  <r>
    <m/>
    <s v="C"/>
    <s v="C3"/>
    <s v="RESIDENTIAL"/>
    <n v="2"/>
    <n v="2"/>
    <x v="593"/>
    <s v="3 BEDROOM + LIVING"/>
    <s v="C2"/>
    <n v="187.1"/>
    <n v="207.32375026159116"/>
    <x v="25"/>
    <m/>
    <m/>
    <s v="NW"/>
    <s v="CORNER "/>
    <s v="LAKE B-2"/>
    <s v="SECOND"/>
    <x v="3"/>
    <n v="0.13"/>
    <n v="0.05"/>
    <n v="0.53"/>
    <n v="0.11"/>
    <n v="1.4999999999999999E-2"/>
    <n v="0.83499999999999996"/>
    <x v="2"/>
    <x v="4"/>
    <n v="51850"/>
    <n v="57950"/>
    <n v="6100"/>
    <n v="5093.5"/>
    <n v="56943.5"/>
    <n v="18791.355"/>
    <n v="61443.5"/>
    <n v="64443.5"/>
    <n v="12983118"/>
    <n v="14009118"/>
    <n v="14693118"/>
    <n v="0"/>
    <n v="1103565.03"/>
    <n v="2"/>
    <n v="244000"/>
    <n v="244000"/>
    <n v="13227118"/>
    <n v="14253118"/>
    <n v="14937118"/>
    <d v="2026-07-01T00:00:00"/>
    <d v="2025-07-01T00:00:00"/>
  </r>
  <r>
    <m/>
    <s v="C"/>
    <s v="C3"/>
    <s v="RESIDENTIAL"/>
    <n v="2"/>
    <n v="3"/>
    <x v="594"/>
    <s v="3 BEDROOM"/>
    <s v="C2"/>
    <n v="167.16900000000001"/>
    <n v="185.23839661934761"/>
    <x v="43"/>
    <m/>
    <m/>
    <s v="NW"/>
    <s v="MIDDLE"/>
    <s v="LAKE C"/>
    <s v="SECOND"/>
    <x v="3"/>
    <n v="0.13"/>
    <n v="2.5000000000000001E-2"/>
    <n v="0.46"/>
    <n v="0.11"/>
    <n v="1.4999999999999999E-2"/>
    <n v="0.74"/>
    <x v="2"/>
    <x v="3"/>
    <n v="42500"/>
    <n v="47500"/>
    <n v="5000"/>
    <n v="3700"/>
    <n v="46200"/>
    <n v="15246"/>
    <n v="50700"/>
    <n v="53700"/>
    <n v="9424800"/>
    <n v="10342800"/>
    <n v="10954800"/>
    <n v="0"/>
    <n v="801108"/>
    <n v="2"/>
    <n v="200000"/>
    <n v="200000"/>
    <n v="9624800"/>
    <n v="10542800"/>
    <n v="11154800"/>
    <d v="2026-07-01T00:00:00"/>
    <d v="2023-09-01T00:00:00"/>
  </r>
  <r>
    <m/>
    <s v="C"/>
    <s v="C3"/>
    <s v="RESIDENTIAL"/>
    <n v="2"/>
    <n v="4"/>
    <x v="595"/>
    <s v="3 BEDROOM"/>
    <s v="C2"/>
    <n v="141.18700000000001"/>
    <n v="156.44798678879354"/>
    <x v="23"/>
    <m/>
    <m/>
    <s v="SE"/>
    <s v="MIDDLE"/>
    <s v="ROAD 12M"/>
    <s v="SECOND"/>
    <x v="4"/>
    <n v="0.08"/>
    <n v="2.5000000000000001E-2"/>
    <n v="0.13"/>
    <n v="0.11"/>
    <n v="2.5000000000000001E-2"/>
    <n v="0.37000000000000005"/>
    <x v="0"/>
    <x v="0"/>
    <n v="43562.499999999993"/>
    <n v="48687.499999999993"/>
    <n v="5125"/>
    <n v="1896.2500000000002"/>
    <n v="45458.749999999993"/>
    <n v="15001.387499999999"/>
    <n v="49958.749999999993"/>
    <n v="52958.749999999993"/>
    <n v="7818904.9999999991"/>
    <n v="8592904.9999999981"/>
    <n v="9108904.9999999981"/>
    <n v="0"/>
    <n v="664606.92499999993"/>
    <n v="2"/>
    <n v="204999.99999999997"/>
    <n v="204999.99999999997"/>
    <n v="8023904.9999999991"/>
    <n v="8797904.9999999981"/>
    <n v="9313904.9999999981"/>
    <d v="2026-07-01T00:00:00"/>
    <d v="2024-01-01T00:00:00"/>
  </r>
  <r>
    <m/>
    <s v="C"/>
    <s v="C3"/>
    <s v="RESIDENTIAL"/>
    <n v="3"/>
    <n v="1"/>
    <x v="596"/>
    <s v="3 BEDROOM"/>
    <s v="C2"/>
    <n v="143.89599999999999"/>
    <n v="159.44980420973766"/>
    <x v="20"/>
    <m/>
    <m/>
    <s v="SE"/>
    <s v="CORNER "/>
    <s v="SEMI LAKE B-2"/>
    <s v="THIRD"/>
    <x v="4"/>
    <n v="0.08"/>
    <n v="0.05"/>
    <n v="0.42400000000000004"/>
    <n v="0.15"/>
    <n v="2.5000000000000001E-2"/>
    <n v="0.72900000000000009"/>
    <x v="1"/>
    <x v="7"/>
    <n v="61625"/>
    <n v="68875"/>
    <n v="7250"/>
    <n v="5285.2500000000009"/>
    <n v="66910.25"/>
    <n v="22080.3825"/>
    <n v="71410.25"/>
    <n v="74410.25"/>
    <n v="11776204"/>
    <n v="12568204"/>
    <n v="13096204"/>
    <n v="0"/>
    <n v="1000977.3400000001"/>
    <n v="2"/>
    <n v="290000"/>
    <n v="290000"/>
    <n v="12066204"/>
    <n v="12858204"/>
    <n v="13386204"/>
    <d v="2026-07-01T00:00:00"/>
    <d v="2026-07-01T00:00:00"/>
  </r>
  <r>
    <m/>
    <s v="C"/>
    <s v="C3"/>
    <s v="RESIDENTIAL"/>
    <n v="3"/>
    <n v="2"/>
    <x v="597"/>
    <s v="3 BEDROOM + LIVING"/>
    <s v="C2"/>
    <n v="187.20400000000001"/>
    <n v="207.4389916834362"/>
    <x v="25"/>
    <m/>
    <m/>
    <s v="NW"/>
    <s v="CORNER "/>
    <s v="LAKE B-2"/>
    <s v="THIRD"/>
    <x v="3"/>
    <n v="0.13"/>
    <n v="0.05"/>
    <n v="0.53"/>
    <n v="0.15"/>
    <n v="1.4999999999999999E-2"/>
    <n v="0.875"/>
    <x v="2"/>
    <x v="10"/>
    <n v="53550"/>
    <n v="59850"/>
    <n v="6300"/>
    <n v="5512.5"/>
    <n v="59062.5"/>
    <n v="19490.625"/>
    <n v="63562.5"/>
    <n v="66562.5"/>
    <n v="13466250"/>
    <n v="14492250"/>
    <n v="15176250"/>
    <n v="0"/>
    <n v="1144631.25"/>
    <n v="2"/>
    <n v="252000"/>
    <n v="252000"/>
    <n v="13718250"/>
    <n v="14744250"/>
    <n v="15428250"/>
    <d v="2026-07-01T00:00:00"/>
    <d v="2025-10-01T00:00:00"/>
  </r>
  <r>
    <m/>
    <s v="C"/>
    <s v="C3"/>
    <s v="RESIDENTIAL"/>
    <n v="3"/>
    <n v="3"/>
    <x v="598"/>
    <s v="3 BEDROOM"/>
    <s v="C2"/>
    <n v="164.417"/>
    <n v="182.18893130283288"/>
    <x v="44"/>
    <m/>
    <m/>
    <s v="NW"/>
    <s v="MIDDLE"/>
    <s v="LAKE C"/>
    <s v="THIRD"/>
    <x v="3"/>
    <n v="0.13"/>
    <n v="2.5000000000000001E-2"/>
    <n v="0.46"/>
    <n v="0.15"/>
    <n v="1.4999999999999999E-2"/>
    <n v="0.78"/>
    <x v="2"/>
    <x v="2"/>
    <n v="45687.5"/>
    <n v="51062.5"/>
    <n v="5375"/>
    <n v="4192.5"/>
    <n v="49880"/>
    <n v="16460.400000000001"/>
    <n v="54380"/>
    <n v="57380"/>
    <n v="10025880"/>
    <n v="10930380"/>
    <n v="11533380"/>
    <n v="0"/>
    <n v="852199.8"/>
    <n v="2"/>
    <n v="215000"/>
    <n v="215000"/>
    <n v="10240880"/>
    <n v="11145380"/>
    <n v="11748380"/>
    <d v="2026-07-01T00:00:00"/>
    <d v="2024-07-01T00:00:00"/>
  </r>
  <r>
    <m/>
    <s v="C"/>
    <s v="C3"/>
    <s v="RESIDENTIAL"/>
    <n v="3"/>
    <n v="4"/>
    <x v="599"/>
    <s v="3 BEDROOM"/>
    <s v="C2"/>
    <n v="141.07300000000001"/>
    <n v="156.32166446100189"/>
    <x v="23"/>
    <m/>
    <m/>
    <s v="SE"/>
    <s v="MIDDLE"/>
    <s v="ROAD 12M"/>
    <s v="THIRD"/>
    <x v="4"/>
    <n v="0.08"/>
    <n v="2.5000000000000001E-2"/>
    <n v="0.13"/>
    <n v="0.15"/>
    <n v="2.5000000000000001E-2"/>
    <n v="0.41000000000000003"/>
    <x v="0"/>
    <x v="1"/>
    <n v="48450.000000000007"/>
    <n v="54150.000000000007"/>
    <n v="5700"/>
    <n v="2337"/>
    <n v="50787.000000000007"/>
    <n v="16759.710000000003"/>
    <n v="55287.000000000007"/>
    <n v="58287.000000000007"/>
    <n v="8735364.0000000019"/>
    <n v="9509364.0000000019"/>
    <n v="10025364.000000002"/>
    <n v="0"/>
    <n v="742505.94000000018"/>
    <n v="2"/>
    <n v="228000.00000000003"/>
    <n v="228000.00000000003"/>
    <n v="8963364.0000000019"/>
    <n v="9737364.0000000019"/>
    <n v="10253364.000000002"/>
    <d v="2026-07-01T00:00:00"/>
    <d v="2025-01-01T00:00:00"/>
  </r>
  <r>
    <m/>
    <s v="C"/>
    <s v="C3"/>
    <s v="RESIDENTIAL"/>
    <n v="4"/>
    <n v="1"/>
    <x v="600"/>
    <s v="3 BEDROOM"/>
    <s v="C2"/>
    <n v="141.929"/>
    <n v="157.27019001003407"/>
    <x v="22"/>
    <m/>
    <m/>
    <s v="SE"/>
    <s v="CORNER "/>
    <s v="SEMI LAKE B-2"/>
    <s v="FORTH"/>
    <x v="4"/>
    <n v="0.08"/>
    <n v="0.05"/>
    <n v="0.42400000000000004"/>
    <n v="0.06"/>
    <n v="2.5000000000000001E-2"/>
    <n v="0.63900000000000012"/>
    <x v="1"/>
    <x v="2"/>
    <n v="45687.5"/>
    <n v="51062.5"/>
    <n v="5375"/>
    <n v="3434.6250000000005"/>
    <n v="49122.125"/>
    <n v="16210.30125"/>
    <n v="53622.125"/>
    <n v="56622.125"/>
    <n v="8498127.625"/>
    <n v="9276627.625"/>
    <n v="9795627.625"/>
    <n v="0"/>
    <n v="722340.84812500002"/>
    <n v="2"/>
    <n v="215000"/>
    <n v="215000"/>
    <n v="8713127.625"/>
    <n v="9491627.625"/>
    <n v="10010627.625"/>
    <d v="2026-07-01T00:00:00"/>
    <d v="2024-07-01T00:00:00"/>
  </r>
  <r>
    <m/>
    <s v="C"/>
    <s v="C3"/>
    <s v="RESIDENTIAL"/>
    <n v="4"/>
    <n v="2"/>
    <x v="601"/>
    <s v="3 BEDROOM + LIVING"/>
    <s v="C2"/>
    <n v="182.36099999999999"/>
    <n v="202.07250893347955"/>
    <x v="45"/>
    <m/>
    <m/>
    <s v="NW"/>
    <s v="CORNER "/>
    <s v="LAKE B-2"/>
    <s v="FORTH"/>
    <x v="3"/>
    <n v="0.13"/>
    <n v="0.05"/>
    <n v="0.53"/>
    <n v="0.06"/>
    <n v="1.4999999999999999E-2"/>
    <n v="0.78500000000000003"/>
    <x v="2"/>
    <x v="2"/>
    <n v="45687.5"/>
    <n v="51062.5"/>
    <n v="5375"/>
    <n v="4219.375"/>
    <n v="49906.875"/>
    <n v="16469.268749999999"/>
    <n v="54406.875"/>
    <n v="57406.875"/>
    <n v="11079326.25"/>
    <n v="12078326.25"/>
    <n v="12744326.25"/>
    <n v="0"/>
    <n v="941742.73125000007"/>
    <n v="2"/>
    <n v="215000"/>
    <n v="215000"/>
    <n v="11294326.25"/>
    <n v="12293326.25"/>
    <n v="12959326.25"/>
    <d v="2026-07-01T00:00:00"/>
    <d v="2024-07-01T00:00:00"/>
  </r>
  <r>
    <m/>
    <s v="C"/>
    <s v="C3"/>
    <s v="RESIDENTIAL"/>
    <n v="4"/>
    <n v="3"/>
    <x v="602"/>
    <s v="3 BEDROOM"/>
    <s v="C2"/>
    <n v="162.44399999999999"/>
    <n v="180.00266855956127"/>
    <x v="42"/>
    <m/>
    <m/>
    <s v="NW"/>
    <s v="MIDDLE"/>
    <s v="LAKE C"/>
    <s v="FORTH"/>
    <x v="3"/>
    <n v="0.13"/>
    <n v="2.5000000000000001E-2"/>
    <n v="0.46"/>
    <n v="0.06"/>
    <n v="1.4999999999999999E-2"/>
    <n v="0.69000000000000006"/>
    <x v="1"/>
    <x v="4"/>
    <n v="51850"/>
    <n v="57950"/>
    <n v="6100"/>
    <n v="4209"/>
    <n v="56059"/>
    <n v="18499.47"/>
    <n v="60559"/>
    <n v="63559"/>
    <n v="11099682"/>
    <n v="11990682"/>
    <n v="12584682"/>
    <n v="0"/>
    <n v="943472.97000000009"/>
    <n v="2"/>
    <n v="244000"/>
    <n v="244000"/>
    <n v="11343682"/>
    <n v="12234682"/>
    <n v="12828682"/>
    <d v="2026-07-01T00:00:00"/>
    <d v="2025-07-01T00:00:00"/>
  </r>
  <r>
    <m/>
    <s v="C"/>
    <s v="C3"/>
    <s v="RESIDENTIAL"/>
    <n v="4"/>
    <n v="4"/>
    <x v="603"/>
    <s v="3 BEDROOM"/>
    <s v="C2"/>
    <n v="139.12700000000001"/>
    <n v="154.16532016378619"/>
    <x v="28"/>
    <m/>
    <m/>
    <s v="SE"/>
    <s v="MIDDLE"/>
    <s v="ROAD 12M"/>
    <s v="FORTH"/>
    <x v="4"/>
    <n v="0.08"/>
    <n v="2.5000000000000001E-2"/>
    <n v="0.13"/>
    <n v="0.06"/>
    <n v="2.5000000000000001E-2"/>
    <n v="0.32000000000000006"/>
    <x v="0"/>
    <x v="3"/>
    <n v="42500"/>
    <n v="47500"/>
    <n v="5000"/>
    <n v="1600.0000000000002"/>
    <n v="44100"/>
    <n v="14553"/>
    <n v="48600"/>
    <n v="51600"/>
    <n v="7497000"/>
    <n v="8262000"/>
    <n v="8772000"/>
    <n v="0"/>
    <n v="637245"/>
    <n v="2"/>
    <n v="200000"/>
    <n v="200000"/>
    <n v="7697000"/>
    <n v="8462000"/>
    <n v="8972000"/>
    <d v="2026-07-01T00:00:00"/>
    <d v="2023-09-01T00:00:00"/>
  </r>
  <r>
    <s v="B3"/>
    <s v="C"/>
    <s v="C4"/>
    <s v="RESIDENTIAL"/>
    <n v="0"/>
    <n v="1"/>
    <x v="604"/>
    <s v="2 BEDROOM"/>
    <s v="C2"/>
    <n v="95.254000000000005"/>
    <n v="105.53950812408786"/>
    <x v="17"/>
    <n v="63.1755"/>
    <m/>
    <s v="NW"/>
    <s v="MIDDLE"/>
    <s v="ROAD 12M"/>
    <s v="GROUND"/>
    <x v="1"/>
    <n v="0.13"/>
    <n v="2.5000000000000001E-2"/>
    <n v="0.13"/>
    <n v="0.05"/>
    <n v="0.04"/>
    <n v="0.375"/>
    <x v="0"/>
    <x v="6"/>
    <n v="44625"/>
    <n v="49875"/>
    <n v="5250"/>
    <n v="1968.75"/>
    <n v="46593.75"/>
    <n v="15375.9375"/>
    <n v="51093.75"/>
    <n v="54093.75"/>
    <n v="5404875"/>
    <n v="5926875"/>
    <n v="6274875"/>
    <n v="971382.53953125002"/>
    <n v="541981.89086015627"/>
    <n v="1"/>
    <n v="210000"/>
    <n v="210000"/>
    <n v="6586257.5395312496"/>
    <n v="7108257.5395312496"/>
    <n v="7456257.5395312496"/>
    <d v="2026-07-01T00:00:00"/>
    <d v="2024-04-01T00:00:00"/>
  </r>
  <r>
    <m/>
    <s v="C"/>
    <s v="C4"/>
    <s v="RESIDENTIAL"/>
    <n v="0"/>
    <n v="2"/>
    <x v="605"/>
    <s v="3 BEDROOM"/>
    <s v="C2"/>
    <n v="162.82599999999999"/>
    <n v="180.40791935050211"/>
    <x v="18"/>
    <n v="77.610299999999995"/>
    <m/>
    <s v="SE"/>
    <s v="MIDDLE"/>
    <s v="LAKE C"/>
    <s v="GROUND"/>
    <x v="3"/>
    <n v="0.08"/>
    <n v="2.5000000000000001E-2"/>
    <n v="0.46"/>
    <n v="0.05"/>
    <n v="1.4999999999999999E-2"/>
    <n v="0.63000000000000012"/>
    <x v="1"/>
    <x v="6"/>
    <n v="44625"/>
    <n v="49875"/>
    <n v="5250"/>
    <n v="3307.5000000000005"/>
    <n v="47932.5"/>
    <n v="15817.725"/>
    <n v="52432.5"/>
    <n v="55432.5"/>
    <n v="9538567.5"/>
    <n v="10434067.5"/>
    <n v="11031067.5"/>
    <n v="1227618.3825675"/>
    <n v="915125.80001823767"/>
    <n v="2"/>
    <n v="210000"/>
    <n v="210000"/>
    <n v="10976185.882567501"/>
    <n v="11871685.882567501"/>
    <n v="12468685.882567501"/>
    <d v="2026-07-01T00:00:00"/>
    <d v="2024-04-01T00:00:00"/>
  </r>
  <r>
    <m/>
    <s v="C"/>
    <s v="C4"/>
    <s v="RESIDENTIAL"/>
    <n v="0"/>
    <n v="3"/>
    <x v="606"/>
    <s v="3 BEDROOM + LIVING"/>
    <s v="C2"/>
    <n v="183.887"/>
    <n v="203.74308197465874"/>
    <x v="19"/>
    <n v="61.527700000000003"/>
    <m/>
    <s v="SE"/>
    <s v="CORNER "/>
    <s v="LAKE B-2"/>
    <s v="GROUND"/>
    <x v="3"/>
    <n v="0.08"/>
    <n v="0.05"/>
    <n v="0.53"/>
    <n v="0.05"/>
    <n v="1.4999999999999999E-2"/>
    <n v="0.72500000000000009"/>
    <x v="1"/>
    <x v="7"/>
    <n v="61625"/>
    <n v="68875"/>
    <n v="7250"/>
    <n v="5256.2500000000009"/>
    <n v="66881.25"/>
    <n v="22070.8125"/>
    <n v="71381.25"/>
    <n v="74381.25"/>
    <n v="14981400"/>
    <n v="15989400"/>
    <n v="16661400"/>
    <n v="1357966.33025625"/>
    <n v="1388846.1380717813"/>
    <n v="2"/>
    <n v="290000"/>
    <n v="290000"/>
    <n v="16629366.33025625"/>
    <n v="17637366.33025625"/>
    <n v="18309366.33025625"/>
    <d v="2026-07-01T00:00:00"/>
    <d v="2026-07-01T00:00:00"/>
  </r>
  <r>
    <m/>
    <s v="C"/>
    <s v="C4"/>
    <s v="RESIDENTIAL"/>
    <n v="0"/>
    <n v="4"/>
    <x v="607"/>
    <s v="3 BEDROOM"/>
    <s v="C2"/>
    <n v="147.54499999999999"/>
    <n v="163.47687998581205"/>
    <x v="41"/>
    <n v="81.552400000000006"/>
    <m/>
    <s v="NW"/>
    <s v="CORNER "/>
    <s v="SEMI LAKE B-2"/>
    <s v="GROUND"/>
    <x v="4"/>
    <n v="0.13"/>
    <n v="0.05"/>
    <n v="0.42400000000000004"/>
    <n v="0.05"/>
    <n v="2.5000000000000001E-2"/>
    <n v="0.67900000000000016"/>
    <x v="1"/>
    <x v="12"/>
    <n v="50150"/>
    <n v="56050"/>
    <n v="5900"/>
    <n v="4006.1000000000008"/>
    <n v="54156.1"/>
    <n v="17871.512999999999"/>
    <n v="58656.1"/>
    <n v="61656.1"/>
    <n v="9748098"/>
    <n v="10558098"/>
    <n v="11098098"/>
    <n v="1457464.7767812"/>
    <n v="952472.83602640207"/>
    <n v="2"/>
    <n v="236000"/>
    <n v="236000"/>
    <n v="11441562.776781199"/>
    <n v="12251562.776781199"/>
    <n v="12791562.776781199"/>
    <d v="2026-07-01T00:00:00"/>
    <d v="2025-04-01T00:00:00"/>
  </r>
  <r>
    <m/>
    <s v="C"/>
    <s v="C4"/>
    <s v="RESIDENTIAL"/>
    <n v="1"/>
    <n v="1"/>
    <x v="608"/>
    <s v="2 BEDROOM"/>
    <s v="C2"/>
    <n v="96.311000000000007"/>
    <n v="106.71064277551626"/>
    <x v="21"/>
    <m/>
    <m/>
    <s v="NW"/>
    <s v="MIDDLE"/>
    <s v="ROAD 12M"/>
    <s v="FIRST"/>
    <x v="1"/>
    <n v="0.13"/>
    <n v="2.5000000000000001E-2"/>
    <n v="0.13"/>
    <n v="7.0000000000000007E-2"/>
    <n v="0.04"/>
    <n v="0.39500000000000002"/>
    <x v="0"/>
    <x v="2"/>
    <n v="45687.5"/>
    <n v="51062.5"/>
    <n v="5375"/>
    <n v="2123.125"/>
    <n v="47810.625"/>
    <n v="15777.50625"/>
    <n v="52310.625"/>
    <n v="55310.625"/>
    <n v="5593843.125"/>
    <n v="6120343.125"/>
    <n v="6471343.125"/>
    <n v="0"/>
    <n v="475476.66562500002"/>
    <n v="1"/>
    <n v="215000"/>
    <n v="215000"/>
    <n v="5808843.125"/>
    <n v="6335343.125"/>
    <n v="6686343.125"/>
    <d v="2026-07-01T00:00:00"/>
    <d v="2024-07-01T00:00:00"/>
  </r>
  <r>
    <m/>
    <s v="C"/>
    <s v="C4"/>
    <s v="RESIDENTIAL"/>
    <n v="1"/>
    <n v="2"/>
    <x v="609"/>
    <s v="3 BEDROOM"/>
    <s v="C2"/>
    <n v="162.57599999999999"/>
    <n v="180.13092439983313"/>
    <x v="42"/>
    <m/>
    <m/>
    <s v="SE"/>
    <s v="MIDDLE"/>
    <s v="LAKE C"/>
    <s v="FIRST"/>
    <x v="3"/>
    <n v="0.08"/>
    <n v="2.5000000000000001E-2"/>
    <n v="0.46"/>
    <n v="7.0000000000000007E-2"/>
    <n v="1.4999999999999999E-2"/>
    <n v="0.65"/>
    <x v="1"/>
    <x v="5"/>
    <n v="46750.000000000007"/>
    <n v="52250.000000000007"/>
    <n v="5500"/>
    <n v="3575"/>
    <n v="50325.000000000007"/>
    <n v="16607.250000000004"/>
    <n v="54825.000000000007"/>
    <n v="57825.000000000007"/>
    <n v="9964350.0000000019"/>
    <n v="10855350.000000002"/>
    <n v="11449350.000000002"/>
    <n v="0"/>
    <n v="846969.75000000023"/>
    <n v="2"/>
    <n v="220000.00000000003"/>
    <n v="220000.00000000003"/>
    <n v="10184350.000000002"/>
    <n v="11075350.000000002"/>
    <n v="11669350.000000002"/>
    <d v="2026-07-01T00:00:00"/>
    <d v="2024-10-01T00:00:00"/>
  </r>
  <r>
    <m/>
    <s v="C"/>
    <s v="C4"/>
    <s v="RESIDENTIAL"/>
    <n v="1"/>
    <n v="3"/>
    <x v="610"/>
    <s v="3 BEDROOM + LIVING"/>
    <s v="C2"/>
    <n v="183.637"/>
    <n v="203.46608702398976"/>
    <x v="19"/>
    <m/>
    <m/>
    <s v="SE"/>
    <s v="CORNER "/>
    <s v="LAKE B-2"/>
    <s v="FIRST"/>
    <x v="3"/>
    <n v="0.08"/>
    <n v="0.05"/>
    <n v="0.53"/>
    <n v="7.0000000000000007E-2"/>
    <n v="1.4999999999999999E-2"/>
    <n v="0.745"/>
    <x v="2"/>
    <x v="3"/>
    <n v="42500"/>
    <n v="47500"/>
    <n v="5000"/>
    <n v="3725"/>
    <n v="46225"/>
    <n v="15254.25"/>
    <n v="50725"/>
    <n v="53725"/>
    <n v="10354400"/>
    <n v="11362400"/>
    <n v="12034400"/>
    <n v="0"/>
    <n v="880124.00000000012"/>
    <n v="2"/>
    <n v="200000"/>
    <n v="200000"/>
    <n v="10554400"/>
    <n v="11562400"/>
    <n v="12234400"/>
    <d v="2026-07-01T00:00:00"/>
    <d v="2023-09-01T00:00:00"/>
  </r>
  <r>
    <m/>
    <s v="C"/>
    <s v="C4"/>
    <s v="RESIDENTIAL"/>
    <n v="1"/>
    <n v="4"/>
    <x v="611"/>
    <s v="3 BEDROOM"/>
    <s v="C2"/>
    <n v="141.66300000000001"/>
    <n v="156.95974278647259"/>
    <x v="22"/>
    <m/>
    <m/>
    <s v="NW"/>
    <s v="CORNER "/>
    <s v="SEMI LAKE B-2"/>
    <s v="FIRST"/>
    <x v="4"/>
    <n v="0.13"/>
    <n v="0.05"/>
    <n v="0.42400000000000004"/>
    <n v="7.0000000000000007E-2"/>
    <n v="2.5000000000000001E-2"/>
    <n v="0.69900000000000018"/>
    <x v="1"/>
    <x v="10"/>
    <n v="53550"/>
    <n v="59850"/>
    <n v="6300"/>
    <n v="4403.7000000000007"/>
    <n v="57953.7"/>
    <n v="19124.721000000001"/>
    <n v="62453.7"/>
    <n v="65453.7"/>
    <n v="10025990.1"/>
    <n v="10804490.1"/>
    <n v="11323490.1"/>
    <n v="0"/>
    <n v="852209.15850000002"/>
    <n v="2"/>
    <n v="252000"/>
    <n v="252000"/>
    <n v="10277990.1"/>
    <n v="11056490.1"/>
    <n v="11575490.1"/>
    <d v="2026-07-01T00:00:00"/>
    <d v="2025-10-01T00:00:00"/>
  </r>
  <r>
    <m/>
    <s v="C"/>
    <s v="C4"/>
    <s v="RESIDENTIAL"/>
    <n v="2"/>
    <n v="1"/>
    <x v="612"/>
    <s v="3 BEDROOM"/>
    <s v="C2"/>
    <n v="141.22499999999999"/>
    <n v="156.47444763290054"/>
    <x v="23"/>
    <m/>
    <m/>
    <s v="NW"/>
    <s v="MIDDLE"/>
    <s v="ROAD 12M"/>
    <s v="SECOND"/>
    <x v="4"/>
    <n v="0.13"/>
    <n v="2.5000000000000001E-2"/>
    <n v="0.13"/>
    <n v="0.11"/>
    <n v="2.5000000000000001E-2"/>
    <n v="0.42000000000000004"/>
    <x v="0"/>
    <x v="12"/>
    <n v="50150"/>
    <n v="56050"/>
    <n v="5900"/>
    <n v="2478.0000000000005"/>
    <n v="52628"/>
    <n v="17367.240000000002"/>
    <n v="57128"/>
    <n v="60128"/>
    <n v="9052016"/>
    <n v="9826016"/>
    <n v="10342016"/>
    <n v="0"/>
    <n v="769421.3600000001"/>
    <n v="2"/>
    <n v="236000"/>
    <n v="236000"/>
    <n v="9288016"/>
    <n v="10062016"/>
    <n v="10578016"/>
    <d v="2026-07-01T00:00:00"/>
    <d v="2025-04-01T00:00:00"/>
  </r>
  <r>
    <m/>
    <s v="C"/>
    <s v="C4"/>
    <s v="RESIDENTIAL"/>
    <n v="2"/>
    <n v="2"/>
    <x v="613"/>
    <s v="3 BEDROOM"/>
    <s v="C2"/>
    <n v="167.214"/>
    <n v="185.26973472464385"/>
    <x v="43"/>
    <m/>
    <m/>
    <s v="SE"/>
    <s v="MIDDLE"/>
    <s v="LAKE C"/>
    <s v="SECOND"/>
    <x v="3"/>
    <n v="0.08"/>
    <n v="2.5000000000000001E-2"/>
    <n v="0.46"/>
    <n v="0.11"/>
    <n v="1.4999999999999999E-2"/>
    <n v="0.69000000000000006"/>
    <x v="1"/>
    <x v="4"/>
    <n v="51850"/>
    <n v="57950"/>
    <n v="6100"/>
    <n v="4209"/>
    <n v="56059"/>
    <n v="18499.47"/>
    <n v="60559"/>
    <n v="63559"/>
    <n v="11436036"/>
    <n v="12354036"/>
    <n v="12966036"/>
    <n v="0"/>
    <n v="972063.06"/>
    <n v="2"/>
    <n v="244000"/>
    <n v="244000"/>
    <n v="11680036"/>
    <n v="12598036"/>
    <n v="13210036"/>
    <d v="2026-07-01T00:00:00"/>
    <d v="2025-07-01T00:00:00"/>
  </r>
  <r>
    <m/>
    <s v="C"/>
    <s v="C4"/>
    <s v="RESIDENTIAL"/>
    <n v="2"/>
    <n v="3"/>
    <x v="614"/>
    <s v="3 BEDROOM + LIVING"/>
    <s v="C2"/>
    <n v="187.10300000000001"/>
    <n v="207.30634502006436"/>
    <x v="25"/>
    <m/>
    <m/>
    <s v="SE"/>
    <s v="CORNER "/>
    <s v="LAKE B-2"/>
    <s v="SECOND"/>
    <x v="3"/>
    <n v="0.08"/>
    <n v="0.05"/>
    <n v="0.53"/>
    <n v="0.11"/>
    <n v="1.4999999999999999E-2"/>
    <n v="0.78500000000000003"/>
    <x v="2"/>
    <x v="2"/>
    <n v="45687.5"/>
    <n v="51062.5"/>
    <n v="5375"/>
    <n v="4219.375"/>
    <n v="49906.875"/>
    <n v="16469.268749999999"/>
    <n v="54406.875"/>
    <n v="57406.875"/>
    <n v="11378767.5"/>
    <n v="12404767.5"/>
    <n v="13088767.5"/>
    <n v="0"/>
    <n v="967195.23750000005"/>
    <n v="2"/>
    <n v="215000"/>
    <n v="215000"/>
    <n v="11593767.5"/>
    <n v="12619767.5"/>
    <n v="13303767.5"/>
    <d v="2026-07-01T00:00:00"/>
    <d v="2024-07-01T00:00:00"/>
  </r>
  <r>
    <m/>
    <s v="C"/>
    <s v="C4"/>
    <s v="RESIDENTIAL"/>
    <n v="2"/>
    <n v="4"/>
    <x v="615"/>
    <s v="3 BEDROOM"/>
    <s v="C2"/>
    <n v="143.989"/>
    <n v="159.53690380749666"/>
    <x v="20"/>
    <m/>
    <m/>
    <s v="NW"/>
    <s v="CORNER "/>
    <s v="SEMI LAKE B-2"/>
    <s v="SECOND"/>
    <x v="4"/>
    <n v="0.13"/>
    <n v="0.05"/>
    <n v="0.42400000000000004"/>
    <n v="0.11"/>
    <n v="2.5000000000000001E-2"/>
    <n v="0.7390000000000001"/>
    <x v="2"/>
    <x v="3"/>
    <n v="42500"/>
    <n v="47500"/>
    <n v="5000"/>
    <n v="3695.0000000000005"/>
    <n v="46195"/>
    <n v="15244.35"/>
    <n v="50695"/>
    <n v="53695"/>
    <n v="8130320"/>
    <n v="8922320"/>
    <n v="9450320"/>
    <n v="0"/>
    <n v="691077.20000000007"/>
    <n v="2"/>
    <n v="200000"/>
    <n v="200000"/>
    <n v="8330320"/>
    <n v="9122320"/>
    <n v="9650320"/>
    <d v="2026-07-01T00:00:00"/>
    <d v="2023-09-01T00:00:00"/>
  </r>
  <r>
    <m/>
    <s v="C"/>
    <s v="C4"/>
    <s v="RESIDENTIAL"/>
    <n v="3"/>
    <n v="1"/>
    <x v="616"/>
    <s v="3 BEDROOM"/>
    <s v="C2"/>
    <n v="141.131"/>
    <n v="156.37029753144901"/>
    <x v="23"/>
    <m/>
    <m/>
    <s v="NW"/>
    <s v="MIDDLE"/>
    <s v="ROAD 12M"/>
    <s v="THIRD"/>
    <x v="4"/>
    <n v="0.13"/>
    <n v="2.5000000000000001E-2"/>
    <n v="0.13"/>
    <n v="0.15"/>
    <n v="2.5000000000000001E-2"/>
    <n v="0.46000000000000008"/>
    <x v="0"/>
    <x v="8"/>
    <n v="56100"/>
    <n v="62700"/>
    <n v="6600"/>
    <n v="3036.0000000000005"/>
    <n v="59136"/>
    <n v="19514.88"/>
    <n v="63636"/>
    <n v="66636"/>
    <n v="10171392"/>
    <n v="10945392"/>
    <n v="11461392"/>
    <n v="0"/>
    <n v="864568.32000000007"/>
    <n v="2"/>
    <n v="264000"/>
    <n v="264000"/>
    <n v="10435392"/>
    <n v="11209392"/>
    <n v="11725392"/>
    <d v="2026-07-01T00:00:00"/>
    <d v="2026-01-01T00:00:00"/>
  </r>
  <r>
    <m/>
    <s v="C"/>
    <s v="C4"/>
    <s v="RESIDENTIAL"/>
    <n v="3"/>
    <n v="2"/>
    <x v="617"/>
    <s v="3 BEDROOM"/>
    <s v="C2"/>
    <n v="164.43600000000001"/>
    <n v="182.19176683281029"/>
    <x v="44"/>
    <m/>
    <m/>
    <s v="SE"/>
    <s v="MIDDLE"/>
    <s v="LAKE C"/>
    <s v="THIRD"/>
    <x v="3"/>
    <n v="0.08"/>
    <n v="2.5000000000000001E-2"/>
    <n v="0.46"/>
    <n v="0.15"/>
    <n v="1.4999999999999999E-2"/>
    <n v="0.73000000000000009"/>
    <x v="2"/>
    <x v="3"/>
    <n v="42500"/>
    <n v="47500"/>
    <n v="5000"/>
    <n v="3650.0000000000005"/>
    <n v="46150"/>
    <n v="15229.5"/>
    <n v="50650"/>
    <n v="53650"/>
    <n v="9276150"/>
    <n v="10180650"/>
    <n v="10783650"/>
    <n v="0"/>
    <n v="788472.75"/>
    <n v="2"/>
    <n v="200000"/>
    <n v="200000"/>
    <n v="9476150"/>
    <n v="10380650"/>
    <n v="10983650"/>
    <d v="2026-07-01T00:00:00"/>
    <d v="2023-09-01T00:00:00"/>
  </r>
  <r>
    <m/>
    <s v="C"/>
    <s v="C4"/>
    <s v="RESIDENTIAL"/>
    <n v="3"/>
    <n v="3"/>
    <x v="618"/>
    <s v="3 BEDROOM + LIVING"/>
    <s v="C2"/>
    <n v="187.20400000000001"/>
    <n v="207.41825098013462"/>
    <x v="25"/>
    <m/>
    <m/>
    <s v="SE"/>
    <s v="CORNER "/>
    <s v="LAKE B-2"/>
    <s v="THIRD"/>
    <x v="3"/>
    <n v="0.08"/>
    <n v="0.05"/>
    <n v="0.53"/>
    <n v="0.15"/>
    <n v="1.4999999999999999E-2"/>
    <n v="0.82500000000000007"/>
    <x v="2"/>
    <x v="12"/>
    <n v="50150"/>
    <n v="56050"/>
    <n v="5900"/>
    <n v="4867.5"/>
    <n v="55017.5"/>
    <n v="18155.775000000001"/>
    <n v="59517.5"/>
    <n v="62517.5"/>
    <n v="12543990"/>
    <n v="13569990"/>
    <n v="14253990"/>
    <n v="0"/>
    <n v="1066239.1500000001"/>
    <n v="2"/>
    <n v="236000"/>
    <n v="236000"/>
    <n v="12779990"/>
    <n v="13805990"/>
    <n v="14489990"/>
    <d v="2026-07-01T00:00:00"/>
    <d v="2025-04-01T00:00:00"/>
  </r>
  <r>
    <m/>
    <s v="C"/>
    <s v="C4"/>
    <s v="RESIDENTIAL"/>
    <n v="3"/>
    <n v="4"/>
    <x v="619"/>
    <s v="3 BEDROOM"/>
    <s v="C2"/>
    <n v="143.911"/>
    <n v="159.45048138288794"/>
    <x v="20"/>
    <m/>
    <m/>
    <s v="NW"/>
    <s v="CORNER "/>
    <s v="SEMI LAKE B-2"/>
    <s v="THIRD"/>
    <x v="4"/>
    <n v="0.13"/>
    <n v="0.05"/>
    <n v="0.42400000000000004"/>
    <n v="0.15"/>
    <n v="2.5000000000000001E-2"/>
    <n v="0.77900000000000014"/>
    <x v="2"/>
    <x v="2"/>
    <n v="45687.5"/>
    <n v="51062.5"/>
    <n v="5375"/>
    <n v="4187.1250000000009"/>
    <n v="49874.625"/>
    <n v="16458.626250000001"/>
    <n v="54374.625"/>
    <n v="57374.625"/>
    <n v="8777934"/>
    <n v="9569934"/>
    <n v="10097934"/>
    <n v="0"/>
    <n v="746124.39"/>
    <n v="2"/>
    <n v="215000"/>
    <n v="215000"/>
    <n v="8992934"/>
    <n v="9784934"/>
    <n v="10312934"/>
    <d v="2026-07-01T00:00:00"/>
    <d v="2024-07-01T00:00:00"/>
  </r>
  <r>
    <m/>
    <s v="C"/>
    <s v="C4"/>
    <s v="RESIDENTIAL"/>
    <n v="4"/>
    <n v="1"/>
    <x v="620"/>
    <s v="3 BEDROOM"/>
    <s v="C2"/>
    <n v="139.16499999999999"/>
    <n v="154.19200923938823"/>
    <x v="28"/>
    <m/>
    <m/>
    <s v="NW"/>
    <s v="MIDDLE"/>
    <s v="ROAD 12M"/>
    <s v="FORTH"/>
    <x v="4"/>
    <n v="0.13"/>
    <n v="2.5000000000000001E-2"/>
    <n v="0.13"/>
    <n v="0.06"/>
    <n v="2.5000000000000001E-2"/>
    <n v="0.37000000000000005"/>
    <x v="0"/>
    <x v="0"/>
    <n v="43562.499999999993"/>
    <n v="48687.499999999993"/>
    <n v="5125"/>
    <n v="1896.2500000000002"/>
    <n v="45458.749999999993"/>
    <n v="15001.387499999999"/>
    <n v="49958.749999999993"/>
    <n v="52958.749999999993"/>
    <n v="7727987.4999999991"/>
    <n v="8492987.4999999981"/>
    <n v="9002987.4999999981"/>
    <n v="0"/>
    <n v="656878.9375"/>
    <n v="2"/>
    <n v="204999.99999999997"/>
    <n v="204999.99999999997"/>
    <n v="7932987.4999999991"/>
    <n v="8697987.4999999981"/>
    <n v="9207987.4999999981"/>
    <d v="2026-07-01T00:00:00"/>
    <d v="2024-01-01T00:00:00"/>
  </r>
  <r>
    <m/>
    <s v="C"/>
    <s v="C4"/>
    <s v="RESIDENTIAL"/>
    <n v="4"/>
    <n v="2"/>
    <x v="621"/>
    <s v="3 BEDROOM"/>
    <s v="C2"/>
    <n v="162.49"/>
    <n v="180.03563813680304"/>
    <x v="42"/>
    <m/>
    <m/>
    <s v="SE"/>
    <s v="MIDDLE"/>
    <s v="LAKE C"/>
    <s v="FORTH"/>
    <x v="3"/>
    <n v="0.08"/>
    <n v="2.5000000000000001E-2"/>
    <n v="0.46"/>
    <n v="0.06"/>
    <n v="1.4999999999999999E-2"/>
    <n v="0.64"/>
    <x v="1"/>
    <x v="2"/>
    <n v="45687.5"/>
    <n v="51062.5"/>
    <n v="5375"/>
    <n v="3440"/>
    <n v="49127.5"/>
    <n v="16212.075000000001"/>
    <n v="53627.5"/>
    <n v="56627.5"/>
    <n v="9727245"/>
    <n v="10618245"/>
    <n v="11212245"/>
    <n v="0"/>
    <n v="826815.82500000007"/>
    <n v="2"/>
    <n v="215000"/>
    <n v="215000"/>
    <n v="9942245"/>
    <n v="10833245"/>
    <n v="11427245"/>
    <d v="2026-07-01T00:00:00"/>
    <d v="2024-07-01T00:00:00"/>
  </r>
  <r>
    <m/>
    <s v="C"/>
    <s v="C4"/>
    <s v="RESIDENTIAL"/>
    <n v="4"/>
    <n v="3"/>
    <x v="622"/>
    <s v="3 BEDROOM + LIVING"/>
    <s v="C2"/>
    <n v="182.357"/>
    <n v="202.04787287656464"/>
    <x v="45"/>
    <m/>
    <m/>
    <s v="SE"/>
    <s v="CORNER "/>
    <s v="LAKE B-2"/>
    <s v="FORTH"/>
    <x v="3"/>
    <n v="0.08"/>
    <n v="0.05"/>
    <n v="0.53"/>
    <n v="0.06"/>
    <n v="1.4999999999999999E-2"/>
    <n v="0.73499999999999999"/>
    <x v="2"/>
    <x v="3"/>
    <n v="42500"/>
    <n v="47500"/>
    <n v="5000"/>
    <n v="3675"/>
    <n v="46175"/>
    <n v="15237.75"/>
    <n v="50675"/>
    <n v="53675"/>
    <n v="10250850"/>
    <n v="11249850"/>
    <n v="11915850"/>
    <n v="0"/>
    <n v="871322.25000000012"/>
    <n v="2"/>
    <n v="200000"/>
    <n v="200000"/>
    <n v="10450850"/>
    <n v="11449850"/>
    <n v="12115850"/>
    <d v="2026-07-01T00:00:00"/>
    <d v="2023-09-01T00:00:00"/>
  </r>
  <r>
    <m/>
    <s v="C"/>
    <s v="C4"/>
    <s v="RESIDENTIAL"/>
    <n v="4"/>
    <n v="4"/>
    <x v="623"/>
    <s v="3 BEDROOM"/>
    <s v="C2"/>
    <n v="141.929"/>
    <n v="157.25446541398435"/>
    <x v="22"/>
    <m/>
    <m/>
    <s v="NW"/>
    <s v="CORNER "/>
    <s v="SEMI LAKE B-2"/>
    <s v="FORTH"/>
    <x v="4"/>
    <n v="0.13"/>
    <n v="0.05"/>
    <n v="0.42400000000000004"/>
    <n v="0.06"/>
    <n v="2.5000000000000001E-2"/>
    <n v="0.68900000000000017"/>
    <x v="1"/>
    <x v="4"/>
    <n v="51850"/>
    <n v="57950"/>
    <n v="6100"/>
    <n v="4202.9000000000015"/>
    <n v="56052.9"/>
    <n v="18497.457000000002"/>
    <n v="60552.9"/>
    <n v="63552.9"/>
    <n v="9697151.7000000011"/>
    <n v="10475651.700000001"/>
    <n v="10994651.700000001"/>
    <n v="0"/>
    <n v="824257.89450000017"/>
    <n v="2"/>
    <n v="244000"/>
    <n v="244000"/>
    <n v="9941151.7000000011"/>
    <n v="10719651.700000001"/>
    <n v="11238651.700000001"/>
    <d v="2026-07-01T00:00:00"/>
    <d v="2025-07-01T00:00:00"/>
  </r>
  <r>
    <s v="B3"/>
    <s v="C"/>
    <s v="C5"/>
    <s v="RESIDENTIAL"/>
    <n v="0"/>
    <n v="1"/>
    <x v="624"/>
    <s v="3 BEDROOM"/>
    <s v="C2"/>
    <n v="141.82499999999999"/>
    <n v="159.04192828545919"/>
    <x v="22"/>
    <n v="79.386099999999999"/>
    <m/>
    <s v="NW"/>
    <s v="MIDDLE"/>
    <s v="ROAD 18M (BUILDINGS)"/>
    <s v="GROUND"/>
    <x v="4"/>
    <n v="0.13"/>
    <n v="2.5000000000000001E-2"/>
    <n v="0.15"/>
    <n v="0.05"/>
    <n v="2.5000000000000001E-2"/>
    <n v="0.38"/>
    <x v="0"/>
    <x v="6"/>
    <n v="44625"/>
    <n v="49875"/>
    <n v="5250"/>
    <n v="1995"/>
    <n v="46620"/>
    <n v="15384.6"/>
    <n v="51120"/>
    <n v="54120"/>
    <n v="8065260"/>
    <n v="8843760"/>
    <n v="9362760"/>
    <n v="1221323.3940600001"/>
    <n v="789359.58849510015"/>
    <n v="2"/>
    <n v="210000"/>
    <n v="210000"/>
    <n v="9496583.3940600008"/>
    <n v="10275083.394060001"/>
    <n v="10794083.394060001"/>
    <d v="2026-07-01T00:00:00"/>
    <d v="2024-04-01T00:00:00"/>
  </r>
  <r>
    <m/>
    <s v="C"/>
    <s v="C5"/>
    <s v="RESIDENTIAL"/>
    <n v="0"/>
    <n v="2"/>
    <x v="625"/>
    <s v="3 BEDROOM + LIVING (DUPLEX)"/>
    <s v="C2"/>
    <n v="142.05600000000001"/>
    <n v="159.30097066468673"/>
    <x v="46"/>
    <n v="97.868200000000002"/>
    <m/>
    <s v="SE"/>
    <s v="MIDDLE"/>
    <s v="LAKE C"/>
    <s v="GROUND"/>
    <x v="5"/>
    <n v="0.08"/>
    <n v="2.5000000000000001E-2"/>
    <n v="0.46"/>
    <n v="0.05"/>
    <n v="0"/>
    <n v="0.6150000000000001"/>
    <x v="1"/>
    <x v="0"/>
    <n v="43562.499999999993"/>
    <n v="48687.499999999993"/>
    <n v="5125"/>
    <n v="3151.8750000000005"/>
    <n v="46714.374999999993"/>
    <n v="15415.743749999998"/>
    <n v="51214.374999999993"/>
    <n v="54214.374999999993"/>
    <n v="16069744.999999998"/>
    <n v="17617744.999999996"/>
    <n v="18649744.999999996"/>
    <n v="1508711.0924737498"/>
    <n v="1494168.7678602687"/>
    <n v="2"/>
    <n v="204999.99999999997"/>
    <n v="204999.99999999997"/>
    <n v="17783456.092473749"/>
    <n v="19331456.092473745"/>
    <n v="20363456.092473745"/>
    <d v="2026-07-01T00:00:00"/>
    <d v="2024-01-01T00:00:00"/>
  </r>
  <r>
    <m/>
    <s v="C"/>
    <s v="C5"/>
    <s v="RESIDENTIAL"/>
    <n v="0"/>
    <n v="3"/>
    <x v="626"/>
    <s v="3 BEDROOM + LIVING (DUPLEX)"/>
    <s v="C2"/>
    <n v="142.197"/>
    <n v="159.45908744161781"/>
    <x v="46"/>
    <n v="97.259299999999996"/>
    <m/>
    <s v="SE"/>
    <s v="MIDDLE"/>
    <s v="LAKE C"/>
    <s v="GROUND"/>
    <x v="5"/>
    <n v="0.08"/>
    <n v="2.5000000000000001E-2"/>
    <n v="0.46"/>
    <n v="0.05"/>
    <n v="0"/>
    <n v="0.6150000000000001"/>
    <x v="1"/>
    <x v="0"/>
    <n v="43562.499999999993"/>
    <n v="48687.499999999993"/>
    <n v="5125"/>
    <n v="3151.8750000000005"/>
    <n v="46714.374999999993"/>
    <n v="15415.743749999998"/>
    <n v="51214.374999999993"/>
    <n v="54214.374999999993"/>
    <n v="16069744.999999998"/>
    <n v="17617744.999999996"/>
    <n v="18649744.999999996"/>
    <n v="1499324.4461043747"/>
    <n v="1493370.902918872"/>
    <n v="2"/>
    <n v="204999.99999999997"/>
    <n v="204999.99999999997"/>
    <n v="17774069.446104374"/>
    <n v="19322069.44610437"/>
    <n v="20354069.44610437"/>
    <d v="2026-07-01T00:00:00"/>
    <d v="2024-01-01T00:00:00"/>
  </r>
  <r>
    <m/>
    <s v="C"/>
    <s v="C5"/>
    <s v="RESIDENTIAL"/>
    <n v="0"/>
    <n v="4"/>
    <x v="627"/>
    <s v="2 BEDROOM"/>
    <s v="C2"/>
    <n v="95.254000000000005"/>
    <n v="106.81741467938045"/>
    <x v="17"/>
    <n v="63.177900000000001"/>
    <m/>
    <s v="NW"/>
    <s v="MIDDLE"/>
    <s v="ROAD 18M (BUILDINGS)"/>
    <s v="GROUND"/>
    <x v="1"/>
    <n v="0.13"/>
    <n v="2.5000000000000001E-2"/>
    <n v="0.15"/>
    <n v="0.05"/>
    <n v="0.04"/>
    <n v="0.39499999999999996"/>
    <x v="0"/>
    <x v="2"/>
    <n v="45687.5"/>
    <n v="51062.5"/>
    <n v="5375"/>
    <n v="2123.125"/>
    <n v="47810.625"/>
    <n v="15777.50625"/>
    <n v="52310.625"/>
    <n v="55310.625"/>
    <n v="5546032.5"/>
    <n v="6068032.5"/>
    <n v="6416032.5"/>
    <n v="996789.71211187507"/>
    <n v="556139.88802950946"/>
    <n v="1"/>
    <n v="215000"/>
    <n v="215000"/>
    <n v="6757822.2121118754"/>
    <n v="7279822.2121118754"/>
    <n v="7627822.2121118754"/>
    <d v="2026-07-01T00:00:00"/>
    <d v="2024-07-01T00:00:00"/>
  </r>
  <r>
    <m/>
    <s v="C"/>
    <s v="C5"/>
    <s v="RESIDENTIAL"/>
    <n v="1"/>
    <n v="1"/>
    <x v="628"/>
    <s v="3 BEDROOM"/>
    <s v="C2"/>
    <n v="142.977"/>
    <n v="160.33377599485354"/>
    <x v="47"/>
    <m/>
    <m/>
    <s v="NW"/>
    <s v="MIDDLE"/>
    <s v="ROAD 18M (BUILDINGS)"/>
    <s v="FIRST"/>
    <x v="4"/>
    <n v="0.13"/>
    <n v="2.5000000000000001E-2"/>
    <n v="0.15"/>
    <n v="7.0000000000000007E-2"/>
    <n v="2.5000000000000001E-2"/>
    <n v="0.4"/>
    <x v="0"/>
    <x v="5"/>
    <n v="46750.000000000007"/>
    <n v="52250.000000000007"/>
    <n v="5500"/>
    <n v="2200"/>
    <n v="48950.000000000007"/>
    <n v="16153.500000000004"/>
    <n v="53450.000000000007"/>
    <n v="56450.000000000007"/>
    <n v="8517300.0000000019"/>
    <n v="9300300.0000000019"/>
    <n v="9822300.0000000019"/>
    <n v="0"/>
    <n v="723970.50000000023"/>
    <n v="2"/>
    <n v="220000.00000000003"/>
    <n v="220000.00000000003"/>
    <n v="8737300.0000000019"/>
    <n v="9520300.0000000019"/>
    <n v="10042300.000000002"/>
    <d v="2026-07-01T00:00:00"/>
    <d v="2024-10-01T00:00:00"/>
  </r>
  <r>
    <m/>
    <s v="C"/>
    <s v="C5"/>
    <s v="RESIDENTIAL"/>
    <n v="1"/>
    <n v="4"/>
    <x v="629"/>
    <s v="2 BEDROOM"/>
    <s v="C2"/>
    <n v="96.311000000000007"/>
    <n v="108.00272980857298"/>
    <x v="21"/>
    <m/>
    <m/>
    <s v="NW"/>
    <s v="MIDDLE"/>
    <s v="ROAD 18M (BUILDINGS)"/>
    <s v="FIRST"/>
    <x v="1"/>
    <n v="0.13"/>
    <n v="2.5000000000000001E-2"/>
    <n v="0.15"/>
    <n v="7.0000000000000007E-2"/>
    <n v="0.04"/>
    <n v="0.41499999999999998"/>
    <x v="0"/>
    <x v="12"/>
    <n v="50150"/>
    <n v="56050"/>
    <n v="5900"/>
    <n v="2448.5"/>
    <n v="52598.5"/>
    <n v="17357.505000000001"/>
    <n v="57098.5"/>
    <n v="60098.5"/>
    <n v="6154024.5"/>
    <n v="6680524.5"/>
    <n v="7031524.5"/>
    <n v="0"/>
    <n v="523092.08250000002"/>
    <n v="1"/>
    <n v="236000"/>
    <n v="236000"/>
    <n v="6390024.5"/>
    <n v="6916524.5"/>
    <n v="7267524.5"/>
    <d v="2026-07-01T00:00:00"/>
    <d v="2025-04-01T00:00:00"/>
  </r>
  <r>
    <m/>
    <s v="C"/>
    <s v="C5"/>
    <s v="RESIDENTIAL"/>
    <n v="2"/>
    <n v="1"/>
    <x v="630"/>
    <s v="3 BEDROOM"/>
    <s v="C2"/>
    <n v="141.18700000000001"/>
    <n v="158.32647790473564"/>
    <x v="23"/>
    <m/>
    <m/>
    <s v="NW"/>
    <s v="MIDDLE"/>
    <s v="ROAD 18M (BUILDINGS)"/>
    <s v="SECOND"/>
    <x v="4"/>
    <n v="0.13"/>
    <n v="2.5000000000000001E-2"/>
    <n v="0.15"/>
    <n v="0.11"/>
    <n v="2.5000000000000001E-2"/>
    <n v="0.44"/>
    <x v="0"/>
    <x v="4"/>
    <n v="51850"/>
    <n v="57950"/>
    <n v="6100"/>
    <n v="2684"/>
    <n v="54534"/>
    <n v="17996.22"/>
    <n v="59034"/>
    <n v="62034"/>
    <n v="9379848"/>
    <n v="10153848"/>
    <n v="10669848"/>
    <n v="0"/>
    <n v="797287.08000000007"/>
    <n v="2"/>
    <n v="244000"/>
    <n v="244000"/>
    <n v="9623848"/>
    <n v="10397848"/>
    <n v="10913848"/>
    <d v="2026-07-01T00:00:00"/>
    <d v="2025-07-01T00:00:00"/>
  </r>
  <r>
    <m/>
    <s v="C"/>
    <s v="C5"/>
    <s v="RESIDENTIAL"/>
    <n v="2"/>
    <n v="2"/>
    <x v="631"/>
    <s v="3 BEDROOM"/>
    <s v="C2"/>
    <n v="141.446"/>
    <n v="158.61691936023314"/>
    <x v="22"/>
    <m/>
    <m/>
    <s v="SE"/>
    <s v="MIDDLE"/>
    <s v="LAKE C"/>
    <s v="SECOND"/>
    <x v="4"/>
    <n v="0.08"/>
    <n v="2.5000000000000001E-2"/>
    <n v="0.46"/>
    <n v="0.11"/>
    <n v="2.5000000000000001E-2"/>
    <n v="0.70000000000000007"/>
    <x v="1"/>
    <x v="10"/>
    <n v="53550"/>
    <n v="59850"/>
    <n v="6300"/>
    <n v="4410"/>
    <n v="57960"/>
    <n v="19126.8"/>
    <n v="62460"/>
    <n v="65460"/>
    <n v="10027080"/>
    <n v="10805580"/>
    <n v="11324580"/>
    <n v="0"/>
    <n v="852301.8"/>
    <n v="2"/>
    <n v="252000"/>
    <n v="252000"/>
    <n v="10279080"/>
    <n v="11057580"/>
    <n v="11576580"/>
    <d v="2026-07-01T00:00:00"/>
    <d v="2025-10-01T00:00:00"/>
  </r>
  <r>
    <m/>
    <s v="C"/>
    <s v="C5"/>
    <s v="RESIDENTIAL"/>
    <n v="2"/>
    <n v="3"/>
    <x v="632"/>
    <s v="3 BEDROOM"/>
    <s v="C2"/>
    <n v="141.572"/>
    <n v="158.75821520344815"/>
    <x v="22"/>
    <m/>
    <m/>
    <s v="SE"/>
    <s v="MIDDLE"/>
    <s v="LAKE C"/>
    <s v="SECOND"/>
    <x v="4"/>
    <n v="0.08"/>
    <n v="2.5000000000000001E-2"/>
    <n v="0.46"/>
    <n v="0.11"/>
    <n v="2.5000000000000001E-2"/>
    <n v="0.70000000000000007"/>
    <x v="1"/>
    <x v="10"/>
    <n v="53550"/>
    <n v="59850"/>
    <n v="6300"/>
    <n v="4410"/>
    <n v="57960"/>
    <n v="19126.8"/>
    <n v="62460"/>
    <n v="65460"/>
    <n v="10027080"/>
    <n v="10805580"/>
    <n v="11324580"/>
    <n v="0"/>
    <n v="852301.8"/>
    <n v="2"/>
    <n v="252000"/>
    <n v="252000"/>
    <n v="10279080"/>
    <n v="11057580"/>
    <n v="11576580"/>
    <d v="2026-07-01T00:00:00"/>
    <d v="2025-10-01T00:00:00"/>
  </r>
  <r>
    <m/>
    <s v="C"/>
    <s v="C5"/>
    <s v="RESIDENTIAL"/>
    <n v="2"/>
    <n v="4"/>
    <x v="633"/>
    <s v="3 BEDROOM"/>
    <s v="C2"/>
    <n v="141.226"/>
    <n v="158.37021233239741"/>
    <x v="23"/>
    <m/>
    <m/>
    <s v="NW"/>
    <s v="MIDDLE"/>
    <s v="ROAD 18M (BUILDINGS)"/>
    <s v="SECOND"/>
    <x v="4"/>
    <n v="0.13"/>
    <n v="2.5000000000000001E-2"/>
    <n v="0.15"/>
    <n v="0.11"/>
    <n v="2.5000000000000001E-2"/>
    <n v="0.44"/>
    <x v="0"/>
    <x v="4"/>
    <n v="51850"/>
    <n v="57950"/>
    <n v="6100"/>
    <n v="2684"/>
    <n v="54534"/>
    <n v="17996.22"/>
    <n v="59034"/>
    <n v="62034"/>
    <n v="9379848"/>
    <n v="10153848"/>
    <n v="10669848"/>
    <n v="0"/>
    <n v="797287.08000000007"/>
    <n v="2"/>
    <n v="244000"/>
    <n v="244000"/>
    <n v="9623848"/>
    <n v="10397848"/>
    <n v="10913848"/>
    <d v="2026-07-01T00:00:00"/>
    <d v="2025-07-01T00:00:00"/>
  </r>
  <r>
    <m/>
    <s v="C"/>
    <s v="C5"/>
    <s v="RESIDENTIAL"/>
    <n v="3"/>
    <n v="1"/>
    <x v="634"/>
    <s v="3 BEDROOM"/>
    <s v="C2"/>
    <n v="141.48599999999999"/>
    <n v="158.66177518347598"/>
    <x v="22"/>
    <m/>
    <m/>
    <s v="NW"/>
    <s v="MIDDLE"/>
    <s v="ROAD 18M (BUILDINGS)"/>
    <s v="THIRD"/>
    <x v="4"/>
    <n v="0.13"/>
    <n v="2.5000000000000001E-2"/>
    <n v="0.15"/>
    <n v="0.15"/>
    <n v="2.5000000000000001E-2"/>
    <n v="0.48"/>
    <x v="0"/>
    <x v="7"/>
    <n v="61625"/>
    <n v="68875"/>
    <n v="7250"/>
    <n v="3480"/>
    <n v="65105"/>
    <n v="21484.65"/>
    <n v="69605"/>
    <n v="72605"/>
    <n v="11263165"/>
    <n v="12041665"/>
    <n v="12560665"/>
    <n v="0"/>
    <n v="957369.02500000002"/>
    <n v="2"/>
    <n v="290000"/>
    <n v="290000"/>
    <n v="11553165"/>
    <n v="12331665"/>
    <n v="12850665"/>
    <d v="2026-07-01T00:00:00"/>
    <d v="2026-07-01T00:00:00"/>
  </r>
  <r>
    <m/>
    <s v="C"/>
    <s v="C5"/>
    <s v="RESIDENTIAL"/>
    <n v="3"/>
    <n v="2"/>
    <x v="635"/>
    <s v="3 BEDROOM"/>
    <s v="C2"/>
    <n v="142.25399999999999"/>
    <n v="159.52300698973886"/>
    <x v="47"/>
    <m/>
    <m/>
    <s v="SE"/>
    <s v="MIDDLE"/>
    <s v="LAKE C"/>
    <s v="THIRD"/>
    <x v="4"/>
    <n v="0.08"/>
    <n v="2.5000000000000001E-2"/>
    <n v="0.46"/>
    <n v="0.15"/>
    <n v="2.5000000000000001E-2"/>
    <n v="0.7400000000000001"/>
    <x v="2"/>
    <x v="3"/>
    <n v="42500"/>
    <n v="47500"/>
    <n v="5000"/>
    <n v="3700.0000000000005"/>
    <n v="46200"/>
    <n v="15246"/>
    <n v="50700"/>
    <n v="53700"/>
    <n v="8038800"/>
    <n v="8821800"/>
    <n v="9343800"/>
    <n v="0"/>
    <n v="683298"/>
    <n v="2"/>
    <n v="200000"/>
    <n v="200000"/>
    <n v="8238800"/>
    <n v="9021800"/>
    <n v="9543800"/>
    <d v="2026-07-01T00:00:00"/>
    <d v="2023-09-01T00:00:00"/>
  </r>
  <r>
    <m/>
    <s v="C"/>
    <s v="C5"/>
    <s v="RESIDENTIAL"/>
    <n v="3"/>
    <n v="3"/>
    <x v="636"/>
    <s v="3 BEDROOM"/>
    <s v="C2"/>
    <n v="142.37799999999999"/>
    <n v="159.6620600417917"/>
    <x v="47"/>
    <m/>
    <m/>
    <s v="SE"/>
    <s v="MIDDLE"/>
    <s v="LAKE C"/>
    <s v="THIRD"/>
    <x v="4"/>
    <n v="0.08"/>
    <n v="2.5000000000000001E-2"/>
    <n v="0.46"/>
    <n v="0.15"/>
    <n v="2.5000000000000001E-2"/>
    <n v="0.7400000000000001"/>
    <x v="2"/>
    <x v="3"/>
    <n v="42500"/>
    <n v="47500"/>
    <n v="5000"/>
    <n v="3700.0000000000005"/>
    <n v="46200"/>
    <n v="15246"/>
    <n v="50700"/>
    <n v="53700"/>
    <n v="8038800"/>
    <n v="8821800"/>
    <n v="9343800"/>
    <n v="0"/>
    <n v="683298"/>
    <n v="2"/>
    <n v="200000"/>
    <n v="200000"/>
    <n v="8238800"/>
    <n v="9021800"/>
    <n v="9543800"/>
    <d v="2026-07-01T00:00:00"/>
    <d v="2023-09-01T00:00:00"/>
  </r>
  <r>
    <m/>
    <s v="C"/>
    <s v="C5"/>
    <s v="RESIDENTIAL"/>
    <n v="3"/>
    <n v="4"/>
    <x v="637"/>
    <s v="3 BEDROOM"/>
    <s v="C2"/>
    <n v="141.52600000000001"/>
    <n v="158.70663100671885"/>
    <x v="22"/>
    <m/>
    <m/>
    <s v="NW"/>
    <s v="MIDDLE"/>
    <s v="ROAD 18M (BUILDINGS)"/>
    <s v="THIRD"/>
    <x v="4"/>
    <n v="0.13"/>
    <n v="2.5000000000000001E-2"/>
    <n v="0.15"/>
    <n v="0.15"/>
    <n v="2.5000000000000001E-2"/>
    <n v="0.48"/>
    <x v="0"/>
    <x v="7"/>
    <n v="61625"/>
    <n v="68875"/>
    <n v="7250"/>
    <n v="3480"/>
    <n v="65105"/>
    <n v="21484.65"/>
    <n v="69605"/>
    <n v="72605"/>
    <n v="11263165"/>
    <n v="12041665"/>
    <n v="12560665"/>
    <n v="0"/>
    <n v="957369.02500000002"/>
    <n v="2"/>
    <n v="290000"/>
    <n v="290000"/>
    <n v="11553165"/>
    <n v="12331665"/>
    <n v="12850665"/>
    <d v="2026-07-01T00:00:00"/>
    <d v="2026-07-01T00:00:00"/>
  </r>
  <r>
    <m/>
    <s v="C"/>
    <s v="C5"/>
    <s v="RESIDENTIAL"/>
    <n v="4"/>
    <n v="1"/>
    <x v="638"/>
    <s v="3 BEDROOM"/>
    <s v="C2"/>
    <n v="139.12"/>
    <n v="156.00855323866094"/>
    <x v="28"/>
    <m/>
    <m/>
    <s v="NW"/>
    <s v="MIDDLE"/>
    <s v="ROAD 18M (BUILDINGS)"/>
    <s v="FORTH"/>
    <x v="4"/>
    <n v="0.13"/>
    <n v="2.5000000000000001E-2"/>
    <n v="0.15"/>
    <n v="0.06"/>
    <n v="2.5000000000000001E-2"/>
    <n v="0.39"/>
    <x v="0"/>
    <x v="2"/>
    <n v="45687.5"/>
    <n v="51062.5"/>
    <n v="5375"/>
    <n v="2096.25"/>
    <n v="47783.75"/>
    <n v="15768.637500000001"/>
    <n v="52283.75"/>
    <n v="55283.75"/>
    <n v="8123237.5"/>
    <n v="8888237.5"/>
    <n v="9398237.5"/>
    <n v="0"/>
    <n v="690475.1875"/>
    <n v="2"/>
    <n v="215000"/>
    <n v="215000"/>
    <n v="8338237.5"/>
    <n v="9103237.5"/>
    <n v="9613237.5"/>
    <d v="2026-07-01T00:00:00"/>
    <d v="2024-07-01T00:00:00"/>
  </r>
  <r>
    <m/>
    <s v="C"/>
    <s v="C5"/>
    <s v="RESIDENTIAL"/>
    <n v="4"/>
    <n v="2"/>
    <x v="639"/>
    <s v="3 BEDROOM"/>
    <s v="C2"/>
    <n v="141.53399999999999"/>
    <n v="158.71560217136741"/>
    <x v="22"/>
    <m/>
    <m/>
    <s v="SE"/>
    <s v="MIDDLE"/>
    <s v="LAKE C"/>
    <s v="FORTH"/>
    <x v="4"/>
    <n v="0.08"/>
    <n v="2.5000000000000001E-2"/>
    <n v="0.46"/>
    <n v="0.06"/>
    <n v="2.5000000000000001E-2"/>
    <n v="0.65"/>
    <x v="1"/>
    <x v="5"/>
    <n v="46750.000000000007"/>
    <n v="52250.000000000007"/>
    <n v="5500"/>
    <n v="3575"/>
    <n v="50325.000000000007"/>
    <n v="16607.250000000004"/>
    <n v="54825.000000000007"/>
    <n v="57825.000000000007"/>
    <n v="8706225.0000000019"/>
    <n v="9484725.0000000019"/>
    <n v="10003725.000000002"/>
    <n v="0"/>
    <n v="740029.12500000023"/>
    <n v="2"/>
    <n v="220000.00000000003"/>
    <n v="220000.00000000003"/>
    <n v="8926225.0000000019"/>
    <n v="9704725.0000000019"/>
    <n v="10223725.000000002"/>
    <d v="2026-07-01T00:00:00"/>
    <d v="2024-10-01T00:00:00"/>
  </r>
  <r>
    <m/>
    <s v="C"/>
    <s v="C5"/>
    <s v="RESIDENTIAL"/>
    <n v="4"/>
    <n v="3"/>
    <x v="640"/>
    <s v="3 BEDROOM"/>
    <s v="C2"/>
    <n v="141.65899999999999"/>
    <n v="158.85577661900135"/>
    <x v="22"/>
    <m/>
    <m/>
    <s v="SE"/>
    <s v="MIDDLE"/>
    <s v="LAKE C"/>
    <s v="FORTH"/>
    <x v="4"/>
    <n v="0.08"/>
    <n v="2.5000000000000001E-2"/>
    <n v="0.46"/>
    <n v="0.06"/>
    <n v="2.5000000000000001E-2"/>
    <n v="0.65"/>
    <x v="1"/>
    <x v="5"/>
    <n v="46750.000000000007"/>
    <n v="52250.000000000007"/>
    <n v="5500"/>
    <n v="3575"/>
    <n v="50325.000000000007"/>
    <n v="16607.250000000004"/>
    <n v="54825.000000000007"/>
    <n v="57825.000000000007"/>
    <n v="8706225.0000000019"/>
    <n v="9484725.0000000019"/>
    <n v="10003725.000000002"/>
    <n v="0"/>
    <n v="740029.12500000023"/>
    <n v="2"/>
    <n v="220000.00000000003"/>
    <n v="220000.00000000003"/>
    <n v="8926225.0000000019"/>
    <n v="9704725.0000000019"/>
    <n v="10223725.000000002"/>
    <d v="2026-07-01T00:00:00"/>
    <d v="2024-10-01T00:00:00"/>
  </r>
  <r>
    <m/>
    <s v="C"/>
    <s v="C5"/>
    <s v="RESIDENTIAL"/>
    <n v="4"/>
    <n v="4"/>
    <x v="641"/>
    <s v="3 BEDROOM"/>
    <s v="C2"/>
    <n v="139.31659999999999"/>
    <n v="156.22901960989958"/>
    <x v="28"/>
    <m/>
    <m/>
    <s v="NW"/>
    <s v="MIDDLE"/>
    <s v="ROAD 18M (BUILDINGS)"/>
    <s v="FORTH"/>
    <x v="4"/>
    <n v="0.13"/>
    <n v="2.5000000000000001E-2"/>
    <n v="0.15"/>
    <n v="0.06"/>
    <n v="2.5000000000000001E-2"/>
    <n v="0.39"/>
    <x v="0"/>
    <x v="2"/>
    <n v="45687.5"/>
    <n v="51062.5"/>
    <n v="5375"/>
    <n v="2096.25"/>
    <n v="47783.75"/>
    <n v="15768.637500000001"/>
    <n v="52283.75"/>
    <n v="55283.75"/>
    <n v="8123237.5"/>
    <n v="8888237.5"/>
    <n v="9398237.5"/>
    <n v="0"/>
    <n v="690475.1875"/>
    <n v="2"/>
    <n v="215000"/>
    <n v="215000"/>
    <n v="8338237.5"/>
    <n v="9103237.5"/>
    <n v="9613237.5"/>
    <d v="2026-07-01T00:00:00"/>
    <d v="2024-07-01T00:00:00"/>
  </r>
  <r>
    <s v="B3"/>
    <s v="C"/>
    <s v="C6"/>
    <s v="RESIDENTIAL"/>
    <n v="0"/>
    <n v="1"/>
    <x v="642"/>
    <s v="3 BEDROOM"/>
    <s v="C2"/>
    <n v="144.66300000000001"/>
    <n v="160.29970969584483"/>
    <x v="20"/>
    <n v="81.358699999999999"/>
    <m/>
    <s v="NW"/>
    <s v="CORNER "/>
    <s v="SEMI LAKE E"/>
    <s v="GROUND"/>
    <x v="4"/>
    <n v="0.13"/>
    <n v="0.05"/>
    <n v="0.32250000000000001"/>
    <n v="0.05"/>
    <n v="2.5000000000000001E-2"/>
    <n v="0.57750000000000001"/>
    <x v="1"/>
    <x v="3"/>
    <n v="42500"/>
    <n v="47500"/>
    <n v="5000"/>
    <n v="2887.5"/>
    <n v="45387.5"/>
    <n v="14977.875"/>
    <n v="49887.5"/>
    <n v="52887.5"/>
    <n v="7988200"/>
    <n v="8780200"/>
    <n v="9308200"/>
    <n v="1218580.4387625"/>
    <n v="782576.33729481266"/>
    <n v="2"/>
    <n v="200000"/>
    <n v="200000"/>
    <n v="9406780.4387625009"/>
    <n v="10198780.438762501"/>
    <n v="10726780.438762501"/>
    <d v="2026-07-01T00:00:00"/>
    <d v="2023-09-01T00:00:00"/>
  </r>
  <r>
    <m/>
    <s v="C"/>
    <s v="C6"/>
    <s v="RESIDENTIAL"/>
    <n v="0"/>
    <n v="2"/>
    <x v="643"/>
    <s v="3 BEDROOM + LIVING"/>
    <s v="C2"/>
    <n v="183.887"/>
    <n v="203.76345518093646"/>
    <x v="19"/>
    <n v="61.522199999999998"/>
    <m/>
    <s v="SE"/>
    <s v="CORNER "/>
    <s v="SEMI LAKE B-1"/>
    <s v="GROUND"/>
    <x v="3"/>
    <n v="0.08"/>
    <n v="0.05"/>
    <n v="0.48"/>
    <n v="0.05"/>
    <n v="1.4999999999999999E-2"/>
    <n v="0.67500000000000004"/>
    <x v="1"/>
    <x v="1"/>
    <n v="48450.000000000007"/>
    <n v="54150.000000000007"/>
    <n v="5700"/>
    <n v="3847.5000000000005"/>
    <n v="52297.500000000007"/>
    <n v="17258.175000000003"/>
    <n v="56797.500000000007"/>
    <n v="59797.500000000007"/>
    <n v="11714640.000000002"/>
    <n v="12722640.000000002"/>
    <n v="13394640.000000002"/>
    <n v="1061760.8939850002"/>
    <n v="1085994.0759887253"/>
    <n v="2"/>
    <n v="228000.00000000003"/>
    <n v="228000.00000000003"/>
    <n v="13004400.893985001"/>
    <n v="14012400.893985001"/>
    <n v="14684400.893985001"/>
    <d v="2026-07-01T00:00:00"/>
    <d v="2025-01-01T00:00:00"/>
  </r>
  <r>
    <m/>
    <s v="C"/>
    <s v="C6"/>
    <s v="RESIDENTIAL"/>
    <n v="0"/>
    <n v="3"/>
    <x v="644"/>
    <s v="3 BEDROOM"/>
    <s v="C2"/>
    <n v="162.78100000000001"/>
    <n v="180.37609508996297"/>
    <x v="18"/>
    <n v="77.576999999999998"/>
    <m/>
    <s v="SE"/>
    <s v="MIDDLE"/>
    <s v="LAKE C"/>
    <s v="GROUND"/>
    <x v="3"/>
    <n v="0.08"/>
    <n v="2.5000000000000001E-2"/>
    <n v="0.46"/>
    <n v="0.05"/>
    <n v="1.4999999999999999E-2"/>
    <n v="0.63000000000000012"/>
    <x v="1"/>
    <x v="6"/>
    <n v="44625"/>
    <n v="49875"/>
    <n v="5250"/>
    <n v="3307.5000000000005"/>
    <n v="47932.5"/>
    <n v="15817.725"/>
    <n v="52432.5"/>
    <n v="55432.5"/>
    <n v="9538567.5"/>
    <n v="10434067.5"/>
    <n v="11031067.5"/>
    <n v="1227091.6523249999"/>
    <n v="915081.02794762515"/>
    <n v="2"/>
    <n v="210000"/>
    <n v="210000"/>
    <n v="10975659.152325001"/>
    <n v="11871159.152325001"/>
    <n v="12468159.152325001"/>
    <d v="2026-07-01T00:00:00"/>
    <d v="2024-04-01T00:00:00"/>
  </r>
  <r>
    <m/>
    <s v="C"/>
    <s v="C6"/>
    <s v="RESIDENTIAL"/>
    <n v="0"/>
    <n v="4"/>
    <x v="645"/>
    <s v="2 BEDROOM"/>
    <s v="C2"/>
    <n v="95.213999999999999"/>
    <n v="105.50573788031609"/>
    <x v="17"/>
    <n v="63.183500000000002"/>
    <m/>
    <s v="NW"/>
    <s v="MIDDLE"/>
    <s v="ROAD 12M"/>
    <s v="GROUND"/>
    <x v="1"/>
    <n v="0.13"/>
    <n v="2.5000000000000001E-2"/>
    <n v="0.13"/>
    <n v="0.05"/>
    <n v="0.04"/>
    <n v="0.375"/>
    <x v="0"/>
    <x v="6"/>
    <n v="44625"/>
    <n v="49875"/>
    <n v="5250"/>
    <n v="1968.75"/>
    <n v="46593.75"/>
    <n v="15375.9375"/>
    <n v="51093.75"/>
    <n v="54093.75"/>
    <n v="5404875"/>
    <n v="5926875"/>
    <n v="6274875"/>
    <n v="971505.54703125008"/>
    <n v="541992.34649765631"/>
    <n v="1"/>
    <n v="210000"/>
    <n v="210000"/>
    <n v="6586380.5470312499"/>
    <n v="7108380.5470312499"/>
    <n v="7456380.5470312499"/>
    <d v="2026-07-01T00:00:00"/>
    <d v="2024-04-01T00:00:00"/>
  </r>
  <r>
    <m/>
    <s v="C"/>
    <s v="C6"/>
    <s v="RESIDENTIAL"/>
    <n v="1"/>
    <n v="1"/>
    <x v="646"/>
    <s v="3 BEDROOM"/>
    <s v="C2"/>
    <n v="141.66300000000001"/>
    <n v="156.9754379118535"/>
    <x v="22"/>
    <m/>
    <m/>
    <s v="NW"/>
    <s v="CORNER "/>
    <s v="SEMI LAKE E"/>
    <s v="FIRST"/>
    <x v="4"/>
    <n v="0.13"/>
    <n v="0.05"/>
    <n v="0.32250000000000001"/>
    <n v="7.0000000000000007E-2"/>
    <n v="2.5000000000000001E-2"/>
    <n v="0.59750000000000003"/>
    <x v="1"/>
    <x v="0"/>
    <n v="43562.499999999993"/>
    <n v="48687.499999999993"/>
    <n v="5125"/>
    <n v="3062.1875"/>
    <n v="46624.687499999993"/>
    <n v="15386.146874999999"/>
    <n v="51124.687499999993"/>
    <n v="54124.687499999993"/>
    <n v="8066070.9374999991"/>
    <n v="8844570.9374999981"/>
    <n v="9363570.9374999981"/>
    <n v="0"/>
    <n v="685616.02968749998"/>
    <n v="2"/>
    <n v="204999.99999999997"/>
    <n v="204999.99999999997"/>
    <n v="8271070.9374999991"/>
    <n v="9049570.9374999981"/>
    <n v="9568570.9374999981"/>
    <d v="2026-07-01T00:00:00"/>
    <d v="2024-01-01T00:00:00"/>
  </r>
  <r>
    <m/>
    <s v="C"/>
    <s v="C6"/>
    <s v="RESIDENTIAL"/>
    <n v="1"/>
    <n v="2"/>
    <x v="647"/>
    <s v="3 BEDROOM + LIVING"/>
    <s v="C2"/>
    <n v="183.637"/>
    <n v="203.48643253227053"/>
    <x v="19"/>
    <m/>
    <m/>
    <s v="SE"/>
    <s v="CORNER "/>
    <s v="SEMI LAKE B-1"/>
    <s v="FIRST"/>
    <x v="3"/>
    <n v="0.08"/>
    <n v="0.05"/>
    <n v="0.48"/>
    <n v="7.0000000000000007E-2"/>
    <n v="1.4999999999999999E-2"/>
    <n v="0.69499999999999995"/>
    <x v="1"/>
    <x v="4"/>
    <n v="51850"/>
    <n v="57950"/>
    <n v="6100"/>
    <n v="4239.5"/>
    <n v="56089.5"/>
    <n v="18509.535"/>
    <n v="60589.5"/>
    <n v="63589.5"/>
    <n v="12564048"/>
    <n v="13572048"/>
    <n v="14244048"/>
    <n v="0"/>
    <n v="1067944.08"/>
    <n v="2"/>
    <n v="244000"/>
    <n v="244000"/>
    <n v="12808048"/>
    <n v="13816048"/>
    <n v="14488048"/>
    <d v="2026-07-01T00:00:00"/>
    <d v="2025-07-01T00:00:00"/>
  </r>
  <r>
    <m/>
    <s v="C"/>
    <s v="C6"/>
    <s v="RESIDENTIAL"/>
    <n v="1"/>
    <n v="3"/>
    <x v="648"/>
    <s v="3 BEDROOM"/>
    <s v="C2"/>
    <n v="162.53100000000001"/>
    <n v="180.09907244129704"/>
    <x v="42"/>
    <m/>
    <m/>
    <s v="SE"/>
    <s v="MIDDLE"/>
    <s v="LAKE C"/>
    <s v="FIRST"/>
    <x v="3"/>
    <n v="0.08"/>
    <n v="2.5000000000000001E-2"/>
    <n v="0.46"/>
    <n v="7.0000000000000007E-2"/>
    <n v="1.4999999999999999E-2"/>
    <n v="0.65"/>
    <x v="1"/>
    <x v="5"/>
    <n v="46750.000000000007"/>
    <n v="52250.000000000007"/>
    <n v="5500"/>
    <n v="3575"/>
    <n v="50325.000000000007"/>
    <n v="16607.250000000004"/>
    <n v="54825.000000000007"/>
    <n v="57825.000000000007"/>
    <n v="9964350.0000000019"/>
    <n v="10855350.000000002"/>
    <n v="11449350.000000002"/>
    <n v="0"/>
    <n v="846969.75000000023"/>
    <n v="2"/>
    <n v="220000.00000000003"/>
    <n v="220000.00000000003"/>
    <n v="10184350.000000002"/>
    <n v="11075350.000000002"/>
    <n v="11669350.000000002"/>
    <d v="2026-07-01T00:00:00"/>
    <d v="2024-10-01T00:00:00"/>
  </r>
  <r>
    <m/>
    <s v="C"/>
    <s v="C6"/>
    <s v="RESIDENTIAL"/>
    <n v="1"/>
    <n v="4"/>
    <x v="649"/>
    <s v="2 BEDROOM"/>
    <s v="C2"/>
    <n v="96.271000000000001"/>
    <n v="106.6769896388757"/>
    <x v="21"/>
    <m/>
    <m/>
    <s v="NW"/>
    <s v="MIDDLE"/>
    <s v="ROAD 12M"/>
    <s v="FIRST"/>
    <x v="1"/>
    <n v="0.13"/>
    <n v="2.5000000000000001E-2"/>
    <n v="0.13"/>
    <n v="7.0000000000000007E-2"/>
    <n v="0.04"/>
    <n v="0.39500000000000002"/>
    <x v="0"/>
    <x v="2"/>
    <n v="45687.5"/>
    <n v="51062.5"/>
    <n v="5375"/>
    <n v="2123.125"/>
    <n v="47810.625"/>
    <n v="15777.50625"/>
    <n v="52310.625"/>
    <n v="55310.625"/>
    <n v="5593843.125"/>
    <n v="6120343.125"/>
    <n v="6471343.125"/>
    <n v="0"/>
    <n v="475476.66562500002"/>
    <n v="1"/>
    <n v="215000"/>
    <n v="215000"/>
    <n v="5808843.125"/>
    <n v="6335343.125"/>
    <n v="6686343.125"/>
    <d v="2026-07-01T00:00:00"/>
    <d v="2024-07-01T00:00:00"/>
  </r>
  <r>
    <m/>
    <s v="C"/>
    <s v="C6"/>
    <s v="RESIDENTIAL"/>
    <n v="2"/>
    <n v="1"/>
    <x v="650"/>
    <s v="3 BEDROOM"/>
    <s v="C2"/>
    <n v="143.989"/>
    <n v="159.55285663504142"/>
    <x v="20"/>
    <m/>
    <m/>
    <s v="NW"/>
    <s v="CORNER "/>
    <s v="SEMI LAKE E"/>
    <s v="SECOND"/>
    <x v="4"/>
    <n v="0.13"/>
    <n v="0.05"/>
    <n v="0.32250000000000001"/>
    <n v="0.11"/>
    <n v="2.5000000000000001E-2"/>
    <n v="0.63749999999999996"/>
    <x v="1"/>
    <x v="2"/>
    <n v="45687.5"/>
    <n v="51062.5"/>
    <n v="5375"/>
    <n v="3426.5624999999995"/>
    <n v="49114.0625"/>
    <n v="16207.640625"/>
    <n v="53614.0625"/>
    <n v="56614.0625"/>
    <n v="8644075"/>
    <n v="9436075"/>
    <n v="9964075"/>
    <n v="0"/>
    <n v="734746.375"/>
    <n v="2"/>
    <n v="215000"/>
    <n v="215000"/>
    <n v="8859075"/>
    <n v="9651075"/>
    <n v="10179075"/>
    <d v="2026-07-01T00:00:00"/>
    <d v="2024-07-01T00:00:00"/>
  </r>
  <r>
    <m/>
    <s v="C"/>
    <s v="C6"/>
    <s v="RESIDENTIAL"/>
    <n v="2"/>
    <n v="2"/>
    <x v="651"/>
    <s v="3 BEDROOM + LIVING"/>
    <s v="C2"/>
    <n v="187.1"/>
    <n v="207.32375026159116"/>
    <x v="25"/>
    <m/>
    <m/>
    <s v="SE"/>
    <s v="CORNER "/>
    <s v="SEMI LAKE B-1"/>
    <s v="SECOND"/>
    <x v="3"/>
    <n v="0.08"/>
    <n v="0.05"/>
    <n v="0.48"/>
    <n v="0.11"/>
    <n v="1.4999999999999999E-2"/>
    <n v="0.73499999999999999"/>
    <x v="2"/>
    <x v="3"/>
    <n v="42500"/>
    <n v="47500"/>
    <n v="5000"/>
    <n v="3675"/>
    <n v="46175"/>
    <n v="15237.75"/>
    <n v="50675"/>
    <n v="53675"/>
    <n v="10527900"/>
    <n v="11553900"/>
    <n v="12237900"/>
    <n v="0"/>
    <n v="894871.50000000012"/>
    <n v="2"/>
    <n v="200000"/>
    <n v="200000"/>
    <n v="10727900"/>
    <n v="11753900"/>
    <n v="12437900"/>
    <d v="2026-07-01T00:00:00"/>
    <d v="2023-09-01T00:00:00"/>
  </r>
  <r>
    <m/>
    <s v="C"/>
    <s v="C6"/>
    <s v="RESIDENTIAL"/>
    <n v="2"/>
    <n v="3"/>
    <x v="652"/>
    <s v="3 BEDROOM"/>
    <s v="C2"/>
    <n v="167.16900000000001"/>
    <n v="185.23839661934761"/>
    <x v="43"/>
    <m/>
    <m/>
    <s v="SE"/>
    <s v="MIDDLE"/>
    <s v="LAKE C"/>
    <s v="SECOND"/>
    <x v="3"/>
    <n v="0.08"/>
    <n v="2.5000000000000001E-2"/>
    <n v="0.46"/>
    <n v="0.11"/>
    <n v="1.4999999999999999E-2"/>
    <n v="0.69000000000000006"/>
    <x v="1"/>
    <x v="4"/>
    <n v="51850"/>
    <n v="57950"/>
    <n v="6100"/>
    <n v="4209"/>
    <n v="56059"/>
    <n v="18499.47"/>
    <n v="60559"/>
    <n v="63559"/>
    <n v="11436036"/>
    <n v="12354036"/>
    <n v="12966036"/>
    <n v="0"/>
    <n v="972063.06"/>
    <n v="2"/>
    <n v="244000"/>
    <n v="244000"/>
    <n v="11680036"/>
    <n v="12598036"/>
    <n v="13210036"/>
    <d v="2026-07-01T00:00:00"/>
    <d v="2025-07-01T00:00:00"/>
  </r>
  <r>
    <m/>
    <s v="C"/>
    <s v="C6"/>
    <s v="RESIDENTIAL"/>
    <n v="2"/>
    <n v="4"/>
    <x v="653"/>
    <s v="3 BEDROOM"/>
    <s v="C2"/>
    <n v="141.18700000000001"/>
    <n v="156.44798678879354"/>
    <x v="23"/>
    <m/>
    <m/>
    <s v="NW"/>
    <s v="MIDDLE"/>
    <s v="ROAD 12M"/>
    <s v="SECOND"/>
    <x v="4"/>
    <n v="0.13"/>
    <n v="2.5000000000000001E-2"/>
    <n v="0.13"/>
    <n v="0.11"/>
    <n v="2.5000000000000001E-2"/>
    <n v="0.42000000000000004"/>
    <x v="0"/>
    <x v="12"/>
    <n v="50150"/>
    <n v="56050"/>
    <n v="5900"/>
    <n v="2478.0000000000005"/>
    <n v="52628"/>
    <n v="17367.240000000002"/>
    <n v="57128"/>
    <n v="60128"/>
    <n v="9052016"/>
    <n v="9826016"/>
    <n v="10342016"/>
    <n v="0"/>
    <n v="769421.3600000001"/>
    <n v="2"/>
    <n v="236000"/>
    <n v="236000"/>
    <n v="9288016"/>
    <n v="10062016"/>
    <n v="10578016"/>
    <d v="2026-07-01T00:00:00"/>
    <d v="2025-04-01T00:00:00"/>
  </r>
  <r>
    <m/>
    <s v="C"/>
    <s v="C6"/>
    <s v="RESIDENTIAL"/>
    <n v="3"/>
    <n v="1"/>
    <x v="654"/>
    <s v="3 BEDROOM"/>
    <s v="C2"/>
    <n v="143.89599999999999"/>
    <n v="159.44980420973766"/>
    <x v="20"/>
    <m/>
    <m/>
    <s v="NW"/>
    <s v="CORNER "/>
    <s v="SEMI LAKE E"/>
    <s v="THIRD"/>
    <x v="4"/>
    <n v="0.13"/>
    <n v="0.05"/>
    <n v="0.32250000000000001"/>
    <n v="0.15"/>
    <n v="2.5000000000000001E-2"/>
    <n v="0.67749999999999999"/>
    <x v="1"/>
    <x v="1"/>
    <n v="48450.000000000007"/>
    <n v="54150.000000000007"/>
    <n v="5700"/>
    <n v="3861.75"/>
    <n v="52311.750000000007"/>
    <n v="17262.877500000002"/>
    <n v="56811.750000000007"/>
    <n v="59811.750000000007"/>
    <n v="9206868.0000000019"/>
    <n v="9998868.0000000019"/>
    <n v="10526868.000000002"/>
    <n v="0"/>
    <n v="782583.78000000026"/>
    <n v="2"/>
    <n v="228000.00000000003"/>
    <n v="228000.00000000003"/>
    <n v="9434868.0000000019"/>
    <n v="10226868.000000002"/>
    <n v="10754868.000000002"/>
    <d v="2026-07-01T00:00:00"/>
    <d v="2025-01-01T00:00:00"/>
  </r>
  <r>
    <m/>
    <s v="C"/>
    <s v="C6"/>
    <s v="RESIDENTIAL"/>
    <n v="3"/>
    <n v="2"/>
    <x v="655"/>
    <s v="3 BEDROOM + LIVING"/>
    <s v="C2"/>
    <n v="187.20400000000001"/>
    <n v="207.4389916834362"/>
    <x v="25"/>
    <m/>
    <m/>
    <s v="SE"/>
    <s v="CORNER "/>
    <s v="SEMI LAKE B-1"/>
    <s v="THIRD"/>
    <x v="3"/>
    <n v="0.08"/>
    <n v="0.05"/>
    <n v="0.48"/>
    <n v="0.15"/>
    <n v="1.4999999999999999E-2"/>
    <n v="0.77500000000000002"/>
    <x v="2"/>
    <x v="2"/>
    <n v="45687.5"/>
    <n v="51062.5"/>
    <n v="5375"/>
    <n v="4165.625"/>
    <n v="49853.125"/>
    <n v="16451.53125"/>
    <n v="54353.125"/>
    <n v="57353.125"/>
    <n v="11366512.5"/>
    <n v="12392512.5"/>
    <n v="13076512.5"/>
    <n v="0"/>
    <n v="966153.56250000012"/>
    <n v="2"/>
    <n v="215000"/>
    <n v="215000"/>
    <n v="11581512.5"/>
    <n v="12607512.5"/>
    <n v="13291512.5"/>
    <d v="2026-07-01T00:00:00"/>
    <d v="2024-07-01T00:00:00"/>
  </r>
  <r>
    <m/>
    <s v="C"/>
    <s v="C6"/>
    <s v="RESIDENTIAL"/>
    <n v="3"/>
    <n v="3"/>
    <x v="656"/>
    <s v="3 BEDROOM"/>
    <s v="C2"/>
    <n v="164.417"/>
    <n v="182.18893130283288"/>
    <x v="44"/>
    <m/>
    <m/>
    <s v="SE"/>
    <s v="MIDDLE"/>
    <s v="LAKE C"/>
    <s v="THIRD"/>
    <x v="3"/>
    <n v="0.08"/>
    <n v="2.5000000000000001E-2"/>
    <n v="0.46"/>
    <n v="0.15"/>
    <n v="1.4999999999999999E-2"/>
    <n v="0.73000000000000009"/>
    <x v="2"/>
    <x v="3"/>
    <n v="42500"/>
    <n v="47500"/>
    <n v="5000"/>
    <n v="3650.0000000000005"/>
    <n v="46150"/>
    <n v="15229.5"/>
    <n v="50650"/>
    <n v="53650"/>
    <n v="9276150"/>
    <n v="10180650"/>
    <n v="10783650"/>
    <n v="0"/>
    <n v="788472.75"/>
    <n v="2"/>
    <n v="200000"/>
    <n v="200000"/>
    <n v="9476150"/>
    <n v="10380650"/>
    <n v="10983650"/>
    <d v="2026-07-01T00:00:00"/>
    <d v="2023-09-01T00:00:00"/>
  </r>
  <r>
    <m/>
    <s v="C"/>
    <s v="C6"/>
    <s v="RESIDENTIAL"/>
    <n v="3"/>
    <n v="4"/>
    <x v="657"/>
    <s v="3 BEDROOM"/>
    <s v="C2"/>
    <n v="141.07300000000001"/>
    <n v="156.32166446100189"/>
    <x v="23"/>
    <m/>
    <m/>
    <s v="NW"/>
    <s v="MIDDLE"/>
    <s v="ROAD 12M"/>
    <s v="THIRD"/>
    <x v="4"/>
    <n v="0.13"/>
    <n v="2.5000000000000001E-2"/>
    <n v="0.13"/>
    <n v="0.15"/>
    <n v="2.5000000000000001E-2"/>
    <n v="0.46000000000000008"/>
    <x v="0"/>
    <x v="8"/>
    <n v="56100"/>
    <n v="62700"/>
    <n v="6600"/>
    <n v="3036.0000000000005"/>
    <n v="59136"/>
    <n v="19514.88"/>
    <n v="63636"/>
    <n v="66636"/>
    <n v="10171392"/>
    <n v="10945392"/>
    <n v="11461392"/>
    <n v="0"/>
    <n v="864568.32000000007"/>
    <n v="2"/>
    <n v="264000"/>
    <n v="264000"/>
    <n v="10435392"/>
    <n v="11209392"/>
    <n v="11725392"/>
    <d v="2026-07-01T00:00:00"/>
    <d v="2026-01-01T00:00:00"/>
  </r>
  <r>
    <m/>
    <s v="C"/>
    <s v="C6"/>
    <s v="RESIDENTIAL"/>
    <n v="4"/>
    <n v="1"/>
    <x v="658"/>
    <s v="3 BEDROOM"/>
    <s v="C2"/>
    <n v="141.929"/>
    <n v="157.27019001003407"/>
    <x v="22"/>
    <m/>
    <m/>
    <s v="NW"/>
    <s v="CORNER "/>
    <s v="SEMI LAKE E"/>
    <s v="FORTH"/>
    <x v="4"/>
    <n v="0.13"/>
    <n v="0.05"/>
    <n v="0.32250000000000001"/>
    <n v="0.06"/>
    <n v="2.5000000000000001E-2"/>
    <n v="0.58750000000000002"/>
    <x v="1"/>
    <x v="0"/>
    <n v="43562.499999999993"/>
    <n v="48687.499999999993"/>
    <n v="5125"/>
    <n v="3010.9375"/>
    <n v="46573.437499999993"/>
    <n v="15369.234374999998"/>
    <n v="51073.437499999993"/>
    <n v="54073.437499999993"/>
    <n v="8057204.6874999991"/>
    <n v="8835704.6874999981"/>
    <n v="9354704.6874999981"/>
    <n v="0"/>
    <n v="684862.3984375"/>
    <n v="2"/>
    <n v="204999.99999999997"/>
    <n v="204999.99999999997"/>
    <n v="8262204.6874999991"/>
    <n v="9040704.6874999981"/>
    <n v="9559704.6874999981"/>
    <d v="2026-07-01T00:00:00"/>
    <d v="2024-01-01T00:00:00"/>
  </r>
  <r>
    <m/>
    <s v="C"/>
    <s v="C6"/>
    <s v="RESIDENTIAL"/>
    <n v="4"/>
    <n v="2"/>
    <x v="659"/>
    <s v="3 BEDROOM + LIVING"/>
    <s v="C2"/>
    <n v="182.36099999999999"/>
    <n v="202.07250893347955"/>
    <x v="45"/>
    <m/>
    <m/>
    <s v="SE"/>
    <s v="CORNER "/>
    <s v="SEMI LAKE B-1"/>
    <s v="FORTH"/>
    <x v="3"/>
    <n v="0.08"/>
    <n v="0.05"/>
    <n v="0.48"/>
    <n v="0.06"/>
    <n v="1.4999999999999999E-2"/>
    <n v="0.68499999999999994"/>
    <x v="1"/>
    <x v="12"/>
    <n v="50150"/>
    <n v="56050"/>
    <n v="5900"/>
    <n v="4041.4999999999995"/>
    <n v="54191.5"/>
    <n v="17883.195"/>
    <n v="58691.5"/>
    <n v="61691.5"/>
    <n v="12030513"/>
    <n v="13029513"/>
    <n v="13695513"/>
    <n v="0"/>
    <n v="1022593.6050000001"/>
    <n v="2"/>
    <n v="236000"/>
    <n v="236000"/>
    <n v="12266513"/>
    <n v="13265513"/>
    <n v="13931513"/>
    <d v="2026-07-01T00:00:00"/>
    <d v="2025-04-01T00:00:00"/>
  </r>
  <r>
    <m/>
    <s v="C"/>
    <s v="C6"/>
    <s v="RESIDENTIAL"/>
    <n v="4"/>
    <n v="3"/>
    <x v="660"/>
    <s v="3 BEDROOM"/>
    <s v="C2"/>
    <n v="162.44399999999999"/>
    <n v="180.00266855956127"/>
    <x v="42"/>
    <m/>
    <m/>
    <s v="SE"/>
    <s v="MIDDLE"/>
    <s v="LAKE C"/>
    <s v="FORTH"/>
    <x v="3"/>
    <n v="0.08"/>
    <n v="2.5000000000000001E-2"/>
    <n v="0.46"/>
    <n v="0.06"/>
    <n v="1.4999999999999999E-2"/>
    <n v="0.64"/>
    <x v="1"/>
    <x v="2"/>
    <n v="45687.5"/>
    <n v="51062.5"/>
    <n v="5375"/>
    <n v="3440"/>
    <n v="49127.5"/>
    <n v="16212.075000000001"/>
    <n v="53627.5"/>
    <n v="56627.5"/>
    <n v="9727245"/>
    <n v="10618245"/>
    <n v="11212245"/>
    <n v="0"/>
    <n v="826815.82500000007"/>
    <n v="2"/>
    <n v="215000"/>
    <n v="215000"/>
    <n v="9942245"/>
    <n v="10833245"/>
    <n v="11427245"/>
    <d v="2026-07-01T00:00:00"/>
    <d v="2024-07-01T00:00:00"/>
  </r>
  <r>
    <m/>
    <s v="C"/>
    <s v="C6"/>
    <s v="RESIDENTIAL"/>
    <n v="4"/>
    <n v="4"/>
    <x v="661"/>
    <s v="3 BEDROOM"/>
    <s v="C2"/>
    <n v="139.12700000000001"/>
    <n v="154.16532016378619"/>
    <x v="28"/>
    <m/>
    <m/>
    <s v="NW"/>
    <s v="MIDDLE"/>
    <s v="ROAD 12M"/>
    <s v="FORTH"/>
    <x v="4"/>
    <n v="0.13"/>
    <n v="2.5000000000000001E-2"/>
    <n v="0.13"/>
    <n v="0.06"/>
    <n v="2.5000000000000001E-2"/>
    <n v="0.37000000000000005"/>
    <x v="0"/>
    <x v="6"/>
    <n v="44625"/>
    <n v="49875"/>
    <n v="5250"/>
    <n v="1942.5000000000002"/>
    <n v="46567.5"/>
    <n v="15367.275000000001"/>
    <n v="51067.5"/>
    <n v="54067.5"/>
    <n v="7916475"/>
    <n v="8681475"/>
    <n v="9191475"/>
    <n v="0"/>
    <n v="672900.375"/>
    <n v="2"/>
    <n v="210000"/>
    <n v="210000"/>
    <n v="8126475"/>
    <n v="8891475"/>
    <n v="9401475"/>
    <d v="2026-07-01T00:00:00"/>
    <d v="2024-04-01T00:00:00"/>
  </r>
  <r>
    <s v="C3"/>
    <s v="D"/>
    <s v="D1"/>
    <s v="RESIDENTIAL"/>
    <n v="0"/>
    <n v="1"/>
    <x v="662"/>
    <s v="2 BEDROOM"/>
    <s v="C3"/>
    <n v="87.23"/>
    <n v="94.72160516317075"/>
    <x v="30"/>
    <n v="66.414400000000001"/>
    <m/>
    <s v="SE"/>
    <s v="MIDDLE"/>
    <s v="ROAD 18M (VILLAS)"/>
    <s v="GROUND"/>
    <x v="1"/>
    <n v="0.08"/>
    <n v="2.5000000000000001E-2"/>
    <n v="0.16"/>
    <n v="0.05"/>
    <n v="0.04"/>
    <n v="0.35499999999999998"/>
    <x v="0"/>
    <x v="3"/>
    <n v="42500"/>
    <n v="47500"/>
    <n v="5000"/>
    <n v="1775"/>
    <n v="44275"/>
    <n v="14610.75"/>
    <n v="48775"/>
    <n v="51775"/>
    <n v="4693150"/>
    <n v="5170150"/>
    <n v="5488150"/>
    <n v="970364.19480000006"/>
    <n v="481398.70655800001"/>
    <n v="1"/>
    <n v="200000"/>
    <n v="200000"/>
    <n v="5863514.1948000006"/>
    <n v="6340514.1947999997"/>
    <n v="6658514.1948000006"/>
    <d v="2027-07-01T00:00:00"/>
    <d v="2023-09-01T00:00:00"/>
  </r>
  <r>
    <m/>
    <s v="D"/>
    <s v="D1"/>
    <s v="RESIDENTIAL"/>
    <n v="0"/>
    <n v="2"/>
    <x v="663"/>
    <s v="3 BEDROOM"/>
    <s v="C3"/>
    <n v="125.09"/>
    <n v="135.83314902970341"/>
    <x v="31"/>
    <n v="85.619500000000002"/>
    <m/>
    <s v="NW"/>
    <s v="MIDDLE"/>
    <s v="LAKE D"/>
    <s v="GROUND"/>
    <x v="0"/>
    <n v="0.13"/>
    <n v="2.5000000000000001E-2"/>
    <n v="0.43"/>
    <n v="0.05"/>
    <n v="3.5000000000000003E-2"/>
    <n v="0.67"/>
    <x v="1"/>
    <x v="1"/>
    <n v="48450.000000000007"/>
    <n v="54150.000000000007"/>
    <n v="5700"/>
    <n v="3819.0000000000005"/>
    <n v="52269.000000000007"/>
    <n v="17248.770000000004"/>
    <n v="56769.000000000007"/>
    <n v="59769.000000000007"/>
    <n v="7997157.0000000009"/>
    <n v="8685657.0000000019"/>
    <n v="9144657.0000000019"/>
    <n v="1476831.0630150004"/>
    <n v="805288.98535627511"/>
    <n v="2"/>
    <n v="228000.00000000003"/>
    <n v="228000.00000000003"/>
    <n v="9701988.0630150009"/>
    <n v="10390488.063015003"/>
    <n v="10849488.063015003"/>
    <d v="2027-07-01T00:00:00"/>
    <d v="2025-01-01T00:00:00"/>
  </r>
  <r>
    <m/>
    <s v="D"/>
    <s v="D1"/>
    <s v="RESIDENTIAL"/>
    <n v="0"/>
    <n v="3"/>
    <x v="664"/>
    <s v="3 BEDROOM"/>
    <s v="C3"/>
    <n v="129.57"/>
    <n v="140.69790646557414"/>
    <x v="32"/>
    <n v="84.075199999999995"/>
    <m/>
    <s v="NW"/>
    <s v="CORNER "/>
    <s v="LAKE D"/>
    <s v="GROUND"/>
    <x v="0"/>
    <n v="0.13"/>
    <n v="0.05"/>
    <n v="0.43"/>
    <n v="0.05"/>
    <n v="3.5000000000000003E-2"/>
    <n v="0.69500000000000006"/>
    <x v="1"/>
    <x v="4"/>
    <n v="51850"/>
    <n v="57950"/>
    <n v="6100"/>
    <n v="4239.5"/>
    <n v="56089.5"/>
    <n v="18509.535"/>
    <n v="60589.5"/>
    <n v="63589.5"/>
    <n v="8862141"/>
    <n v="9573141"/>
    <n v="10047141"/>
    <n v="1556192.8570319999"/>
    <n v="885558.37784771994"/>
    <n v="2"/>
    <n v="244000"/>
    <n v="244000"/>
    <n v="10662333.857031999"/>
    <n v="11373333.857031999"/>
    <n v="11847333.857031999"/>
    <d v="2027-07-01T00:00:00"/>
    <d v="2025-07-01T00:00:00"/>
  </r>
  <r>
    <m/>
    <s v="D"/>
    <s v="D1"/>
    <s v="RESIDENTIAL"/>
    <n v="0"/>
    <n v="4"/>
    <x v="665"/>
    <s v="3 BEDROOM"/>
    <s v="C3"/>
    <n v="131.34"/>
    <n v="142.61992000608558"/>
    <x v="33"/>
    <n v="81.358599999999996"/>
    <m/>
    <s v="SE"/>
    <s v="CORNER "/>
    <s v="ROAD 18M (VILLAS)"/>
    <s v="GROUND"/>
    <x v="4"/>
    <n v="0.08"/>
    <n v="0.05"/>
    <n v="0.16"/>
    <n v="0.05"/>
    <n v="2.5000000000000001E-2"/>
    <n v="0.36500000000000005"/>
    <x v="0"/>
    <x v="0"/>
    <n v="43562.499999999993"/>
    <n v="48687.499999999993"/>
    <n v="5125"/>
    <n v="1870.6250000000002"/>
    <n v="45433.124999999993"/>
    <n v="14992.931249999998"/>
    <n v="49933.124999999993"/>
    <n v="52933.124999999993"/>
    <n v="7269299.9999999991"/>
    <n v="7989299.9999999991"/>
    <n v="8469299.9999999981"/>
    <n v="1219803.8963962498"/>
    <n v="721573.83119368122"/>
    <n v="2"/>
    <n v="204999.99999999997"/>
    <n v="204999.99999999997"/>
    <n v="8694103.8963962495"/>
    <n v="9414103.8963962495"/>
    <n v="9894103.8963962477"/>
    <d v="2027-07-01T00:00:00"/>
    <d v="2024-01-01T00:00:00"/>
  </r>
  <r>
    <m/>
    <s v="D"/>
    <s v="D1"/>
    <s v="RESIDENTIAL"/>
    <n v="1"/>
    <n v="1"/>
    <x v="666"/>
    <s v="2 BEDROOM"/>
    <s v="C3"/>
    <n v="88.87"/>
    <n v="96.502453867373433"/>
    <x v="34"/>
    <m/>
    <m/>
    <s v="SE"/>
    <s v="MIDDLE"/>
    <s v="ROAD 18M (VILLAS)"/>
    <s v="FIRST"/>
    <x v="1"/>
    <n v="0.08"/>
    <n v="2.5000000000000001E-2"/>
    <n v="0.16"/>
    <n v="7.0000000000000007E-2"/>
    <n v="0.04"/>
    <n v="0.375"/>
    <x v="0"/>
    <x v="6"/>
    <n v="44625"/>
    <n v="49875"/>
    <n v="5250"/>
    <n v="1968.75"/>
    <n v="46593.75"/>
    <n v="15375.9375"/>
    <n v="51093.75"/>
    <n v="54093.75"/>
    <n v="5032125"/>
    <n v="5518125"/>
    <n v="5842125"/>
    <n v="0"/>
    <n v="427730.62500000006"/>
    <n v="1"/>
    <n v="210000"/>
    <n v="210000"/>
    <n v="5242125"/>
    <n v="5728125"/>
    <n v="6052125"/>
    <d v="2027-07-01T00:00:00"/>
    <d v="2024-04-01T00:00:00"/>
  </r>
  <r>
    <m/>
    <s v="D"/>
    <s v="D1"/>
    <s v="RESIDENTIAL"/>
    <n v="1"/>
    <n v="2"/>
    <x v="667"/>
    <s v="3 BEDROOM"/>
    <s v="C3"/>
    <n v="127.14"/>
    <n v="138.05920990995676"/>
    <x v="35"/>
    <m/>
    <m/>
    <s v="NW"/>
    <s v="MIDDLE"/>
    <s v="LAKE D"/>
    <s v="FIRST"/>
    <x v="0"/>
    <n v="0.13"/>
    <n v="2.5000000000000001E-2"/>
    <n v="0.43"/>
    <n v="7.0000000000000007E-2"/>
    <n v="3.5000000000000003E-2"/>
    <n v="0.69000000000000006"/>
    <x v="1"/>
    <x v="4"/>
    <n v="51850"/>
    <n v="57950"/>
    <n v="6100"/>
    <n v="4209"/>
    <n v="56059"/>
    <n v="18499.47"/>
    <n v="60559"/>
    <n v="63559"/>
    <n v="8689145"/>
    <n v="9386645"/>
    <n v="9851645"/>
    <n v="0"/>
    <n v="738577.32500000007"/>
    <n v="2"/>
    <n v="244000"/>
    <n v="244000"/>
    <n v="8933145"/>
    <n v="9630645"/>
    <n v="10095645"/>
    <d v="2027-07-01T00:00:00"/>
    <d v="2025-07-01T00:00:00"/>
  </r>
  <r>
    <m/>
    <s v="D"/>
    <s v="D1"/>
    <s v="RESIDENTIAL"/>
    <n v="1"/>
    <n v="3"/>
    <x v="668"/>
    <s v="3 BEDROOM"/>
    <s v="C3"/>
    <n v="131.43"/>
    <n v="142.71764950814548"/>
    <x v="33"/>
    <m/>
    <m/>
    <s v="NW"/>
    <s v="CORNER "/>
    <s v="LAKE D"/>
    <s v="FIRST"/>
    <x v="4"/>
    <n v="0.13"/>
    <n v="0.05"/>
    <n v="0.43"/>
    <n v="7.0000000000000007E-2"/>
    <n v="2.5000000000000001E-2"/>
    <n v="0.70499999999999996"/>
    <x v="1"/>
    <x v="10"/>
    <n v="53550"/>
    <n v="59850"/>
    <n v="6300"/>
    <n v="4441.5"/>
    <n v="57991.5"/>
    <n v="19137.195"/>
    <n v="62491.5"/>
    <n v="65491.5"/>
    <n v="9278640"/>
    <n v="9998640"/>
    <n v="10478640"/>
    <n v="0"/>
    <n v="788684.4"/>
    <n v="2"/>
    <n v="252000"/>
    <n v="252000"/>
    <n v="9530640"/>
    <n v="10250640"/>
    <n v="10730640"/>
    <d v="2027-07-01T00:00:00"/>
    <d v="2025-10-01T00:00:00"/>
  </r>
  <r>
    <m/>
    <s v="D"/>
    <s v="D1"/>
    <s v="RESIDENTIAL"/>
    <n v="1"/>
    <n v="4"/>
    <x v="669"/>
    <s v="3 BEDROOM"/>
    <s v="C3"/>
    <n v="129.04"/>
    <n v="140.12238828677692"/>
    <x v="36"/>
    <m/>
    <m/>
    <s v="SE"/>
    <s v="CORNER "/>
    <s v="ROAD 18M (VILLAS)"/>
    <s v="FIRST"/>
    <x v="0"/>
    <n v="0.08"/>
    <n v="0.05"/>
    <n v="0.16"/>
    <n v="7.0000000000000007E-2"/>
    <n v="3.5000000000000003E-2"/>
    <n v="0.39500000000000002"/>
    <x v="0"/>
    <x v="2"/>
    <n v="45687.5"/>
    <n v="51062.5"/>
    <n v="5375"/>
    <n v="2123.125"/>
    <n v="47810.625"/>
    <n v="15777.50625"/>
    <n v="52310.625"/>
    <n v="55310.625"/>
    <n v="7506268.125"/>
    <n v="8212768.125"/>
    <n v="8683768.125"/>
    <n v="0"/>
    <n v="638032.79062500002"/>
    <n v="2"/>
    <n v="215000"/>
    <n v="215000"/>
    <n v="7721268.125"/>
    <n v="8427768.125"/>
    <n v="8898768.125"/>
    <d v="2027-07-01T00:00:00"/>
    <d v="2024-07-01T00:00:00"/>
  </r>
  <r>
    <m/>
    <s v="D"/>
    <s v="D1"/>
    <s v="RESIDENTIAL"/>
    <n v="2"/>
    <n v="1"/>
    <x v="670"/>
    <s v="3 BEDROOM"/>
    <s v="C3"/>
    <n v="127.15"/>
    <n v="138.07006874351899"/>
    <x v="35"/>
    <m/>
    <m/>
    <s v="SE"/>
    <s v="MIDDLE"/>
    <s v="ROAD 18M (VILLAS)"/>
    <s v="SECOND"/>
    <x v="0"/>
    <n v="0.08"/>
    <n v="2.5000000000000001E-2"/>
    <n v="0.16"/>
    <n v="0.11"/>
    <n v="3.5000000000000003E-2"/>
    <n v="0.41000000000000003"/>
    <x v="0"/>
    <x v="1"/>
    <n v="48450.000000000007"/>
    <n v="54150.000000000007"/>
    <n v="5700"/>
    <n v="2337"/>
    <n v="50787.000000000007"/>
    <n v="16759.710000000003"/>
    <n v="55287.000000000007"/>
    <n v="58287.000000000007"/>
    <n v="7871985.0000000009"/>
    <n v="8569485.0000000019"/>
    <n v="9034485.0000000019"/>
    <n v="0"/>
    <n v="669118.72500000009"/>
    <n v="2"/>
    <n v="228000.00000000003"/>
    <n v="228000.00000000003"/>
    <n v="8099985.0000000009"/>
    <n v="8797485.0000000019"/>
    <n v="9262485.0000000019"/>
    <d v="2027-07-01T00:00:00"/>
    <d v="2025-01-01T00:00:00"/>
  </r>
  <r>
    <m/>
    <s v="D"/>
    <s v="D1"/>
    <s v="RESIDENTIAL"/>
    <n v="2"/>
    <n v="2"/>
    <x v="671"/>
    <s v="3 BEDROOM"/>
    <s v="C3"/>
    <n v="126.95"/>
    <n v="137.85289207227476"/>
    <x v="35"/>
    <m/>
    <m/>
    <s v="NW"/>
    <s v="MIDDLE"/>
    <s v="LAKE D"/>
    <s v="SECOND"/>
    <x v="0"/>
    <n v="0.13"/>
    <n v="2.5000000000000001E-2"/>
    <n v="0.43"/>
    <n v="0.11"/>
    <n v="3.5000000000000003E-2"/>
    <n v="0.73"/>
    <x v="2"/>
    <x v="3"/>
    <n v="42500"/>
    <n v="47500"/>
    <n v="5000"/>
    <n v="3650"/>
    <n v="46150"/>
    <n v="15229.5"/>
    <n v="50650"/>
    <n v="53650"/>
    <n v="7153250"/>
    <n v="7850750"/>
    <n v="8315750"/>
    <n v="0"/>
    <n v="608026.25"/>
    <n v="2"/>
    <n v="200000"/>
    <n v="200000"/>
    <n v="7353250"/>
    <n v="8050750"/>
    <n v="8515750"/>
    <d v="2027-07-01T00:00:00"/>
    <d v="2023-09-01T00:00:00"/>
  </r>
  <r>
    <m/>
    <s v="D"/>
    <s v="D1"/>
    <s v="RESIDENTIAL"/>
    <n v="2"/>
    <n v="3"/>
    <x v="672"/>
    <s v="3 BEDROOM"/>
    <s v="C3"/>
    <n v="131.44"/>
    <n v="142.72850834170771"/>
    <x v="33"/>
    <m/>
    <m/>
    <s v="NW"/>
    <s v="CORNER "/>
    <s v="LAKE D"/>
    <s v="SECOND"/>
    <x v="4"/>
    <n v="0.13"/>
    <n v="0.05"/>
    <n v="0.43"/>
    <n v="0.11"/>
    <n v="2.5000000000000001E-2"/>
    <n v="0.745"/>
    <x v="2"/>
    <x v="3"/>
    <n v="42500"/>
    <n v="47500"/>
    <n v="5000"/>
    <n v="3725"/>
    <n v="46225"/>
    <n v="15254.25"/>
    <n v="50725"/>
    <n v="53725"/>
    <n v="7396000"/>
    <n v="8116000"/>
    <n v="8596000"/>
    <n v="0"/>
    <n v="628660"/>
    <n v="2"/>
    <n v="200000"/>
    <n v="200000"/>
    <n v="7596000"/>
    <n v="8316000"/>
    <n v="8796000"/>
    <d v="2027-07-01T00:00:00"/>
    <d v="2023-09-01T00:00:00"/>
  </r>
  <r>
    <m/>
    <s v="D"/>
    <s v="D1"/>
    <s v="RESIDENTIAL"/>
    <n v="2"/>
    <n v="4"/>
    <x v="673"/>
    <s v="3 BEDROOM"/>
    <s v="C3"/>
    <n v="131.43"/>
    <n v="142.71764950814548"/>
    <x v="33"/>
    <m/>
    <m/>
    <s v="SE"/>
    <s v="CORNER "/>
    <s v="ROAD 18M (VILLAS)"/>
    <s v="SECOND"/>
    <x v="4"/>
    <n v="0.08"/>
    <n v="0.05"/>
    <n v="0.16"/>
    <n v="0.11"/>
    <n v="2.5000000000000001E-2"/>
    <n v="0.42500000000000004"/>
    <x v="0"/>
    <x v="4"/>
    <n v="51850"/>
    <n v="57950"/>
    <n v="6100"/>
    <n v="2592.5000000000005"/>
    <n v="54442.5"/>
    <n v="17966.025000000001"/>
    <n v="58942.5"/>
    <n v="61942.5"/>
    <n v="8710800"/>
    <n v="9430800"/>
    <n v="9910800"/>
    <n v="0"/>
    <n v="740418"/>
    <n v="2"/>
    <n v="244000"/>
    <n v="244000"/>
    <n v="8954800"/>
    <n v="9674800"/>
    <n v="10154800"/>
    <d v="2027-07-01T00:00:00"/>
    <d v="2025-07-01T00:00:00"/>
  </r>
  <r>
    <m/>
    <s v="D"/>
    <s v="D1"/>
    <s v="RESIDENTIAL"/>
    <n v="3"/>
    <n v="1"/>
    <x v="674"/>
    <s v="3 BEDROOM"/>
    <s v="C3"/>
    <n v="127.45"/>
    <n v="138.39583375038532"/>
    <x v="35"/>
    <m/>
    <m/>
    <s v="SE"/>
    <s v="MIDDLE"/>
    <s v="ROAD 18M (VILLAS)"/>
    <s v="THIRD"/>
    <x v="0"/>
    <n v="0.08"/>
    <n v="2.5000000000000001E-2"/>
    <n v="0.16"/>
    <n v="0.15"/>
    <n v="3.5000000000000003E-2"/>
    <n v="0.45000000000000007"/>
    <x v="0"/>
    <x v="10"/>
    <n v="53550"/>
    <n v="59850"/>
    <n v="6300"/>
    <n v="2835.0000000000005"/>
    <n v="56385"/>
    <n v="18607.05"/>
    <n v="60885"/>
    <n v="63885"/>
    <n v="8739675"/>
    <n v="9437175"/>
    <n v="9902175"/>
    <n v="0"/>
    <n v="742872.375"/>
    <n v="2"/>
    <n v="252000"/>
    <n v="252000"/>
    <n v="8991675"/>
    <n v="9689175"/>
    <n v="10154175"/>
    <d v="2027-07-01T00:00:00"/>
    <d v="2025-10-01T00:00:00"/>
  </r>
  <r>
    <m/>
    <s v="D"/>
    <s v="D1"/>
    <s v="RESIDENTIAL"/>
    <n v="3"/>
    <n v="2"/>
    <x v="675"/>
    <s v="3 BEDROOM"/>
    <s v="C3"/>
    <n v="126.97"/>
    <n v="137.87460973939918"/>
    <x v="35"/>
    <m/>
    <m/>
    <s v="NW"/>
    <s v="MIDDLE"/>
    <s v="LAKE D"/>
    <s v="THIRD"/>
    <x v="0"/>
    <n v="0.13"/>
    <n v="2.5000000000000001E-2"/>
    <n v="0.43"/>
    <n v="0.15"/>
    <n v="3.5000000000000003E-2"/>
    <n v="0.77"/>
    <x v="2"/>
    <x v="6"/>
    <n v="44625"/>
    <n v="49875"/>
    <n v="5250"/>
    <n v="4042.5"/>
    <n v="48667.5"/>
    <n v="16060.275000000001"/>
    <n v="53167.5"/>
    <n v="56167.5"/>
    <n v="7543462.5"/>
    <n v="8240962.5"/>
    <n v="8705962.5"/>
    <n v="0"/>
    <n v="641194.3125"/>
    <n v="2"/>
    <n v="210000"/>
    <n v="210000"/>
    <n v="7753462.5"/>
    <n v="8450962.5"/>
    <n v="8915962.5"/>
    <d v="2027-07-01T00:00:00"/>
    <d v="2024-04-01T00:00:00"/>
  </r>
  <r>
    <m/>
    <s v="D"/>
    <s v="D1"/>
    <s v="RESIDENTIAL"/>
    <n v="3"/>
    <n v="3"/>
    <x v="676"/>
    <s v="3 BEDROOM"/>
    <s v="C3"/>
    <n v="131.43"/>
    <n v="142.71764950814548"/>
    <x v="33"/>
    <m/>
    <m/>
    <s v="NW"/>
    <s v="CORNER "/>
    <s v="LAKE D"/>
    <s v="THIRD"/>
    <x v="4"/>
    <n v="0.13"/>
    <n v="0.05"/>
    <n v="0.43"/>
    <n v="0.15"/>
    <n v="2.5000000000000001E-2"/>
    <n v="0.78500000000000003"/>
    <x v="2"/>
    <x v="5"/>
    <n v="46750.000000000007"/>
    <n v="52250.000000000007"/>
    <n v="5500"/>
    <n v="4317.5"/>
    <n v="51067.500000000007"/>
    <n v="16852.275000000001"/>
    <n v="55567.500000000007"/>
    <n v="58567.500000000007"/>
    <n v="8170800.0000000009"/>
    <n v="8890800.0000000019"/>
    <n v="9370800.0000000019"/>
    <n v="0"/>
    <n v="694518.00000000012"/>
    <n v="2"/>
    <n v="220000.00000000003"/>
    <n v="220000.00000000003"/>
    <n v="8390800.0000000019"/>
    <n v="9110800.0000000019"/>
    <n v="9590800.0000000019"/>
    <d v="2027-07-01T00:00:00"/>
    <d v="2024-10-01T00:00:00"/>
  </r>
  <r>
    <m/>
    <s v="D"/>
    <s v="D1"/>
    <s v="RESIDENTIAL"/>
    <n v="3"/>
    <n v="4"/>
    <x v="677"/>
    <s v="3 BEDROOM"/>
    <s v="C3"/>
    <n v="131.88"/>
    <n v="143.20629701844501"/>
    <x v="37"/>
    <m/>
    <m/>
    <s v="SE"/>
    <s v="CORNER "/>
    <s v="ROAD 18M (VILLAS)"/>
    <s v="THIRD"/>
    <x v="4"/>
    <n v="0.08"/>
    <n v="0.05"/>
    <n v="0.16"/>
    <n v="0.15"/>
    <n v="2.5000000000000001E-2"/>
    <n v="0.46500000000000008"/>
    <x v="0"/>
    <x v="9"/>
    <n v="58649.999999999993"/>
    <n v="65550"/>
    <n v="6900.0000000000073"/>
    <n v="3208.5000000000041"/>
    <n v="61858.5"/>
    <n v="20413.305"/>
    <n v="66358.5"/>
    <n v="69358.5"/>
    <n v="9959218.5"/>
    <n v="10683718.5"/>
    <n v="11166718.5"/>
    <n v="0"/>
    <n v="846533.57250000001"/>
    <n v="2"/>
    <n v="276000"/>
    <n v="276000"/>
    <n v="10235218.5"/>
    <n v="10959718.5"/>
    <n v="11442718.5"/>
    <d v="2027-07-01T00:00:00"/>
    <d v="2026-04-01T00:00:00"/>
  </r>
  <r>
    <m/>
    <s v="D"/>
    <s v="D1"/>
    <s v="RESIDENTIAL"/>
    <n v="4"/>
    <n v="1"/>
    <x v="678"/>
    <s v="3 BEDROOM"/>
    <s v="C3"/>
    <n v="125.13"/>
    <n v="135.87658436395225"/>
    <x v="31"/>
    <m/>
    <m/>
    <s v="SE"/>
    <s v="MIDDLE"/>
    <s v="ROAD 18M (VILLAS)"/>
    <s v="FORTH"/>
    <x v="0"/>
    <n v="0.08"/>
    <n v="2.5000000000000001E-2"/>
    <n v="0.16"/>
    <n v="0.06"/>
    <n v="3.5000000000000003E-2"/>
    <n v="0.36"/>
    <x v="0"/>
    <x v="3"/>
    <n v="42500"/>
    <n v="47500"/>
    <n v="5000"/>
    <n v="1800"/>
    <n v="44300"/>
    <n v="14619"/>
    <n v="48800"/>
    <n v="51800"/>
    <n v="6777900"/>
    <n v="7466400"/>
    <n v="7925400"/>
    <n v="0"/>
    <n v="576121.5"/>
    <n v="2"/>
    <n v="200000"/>
    <n v="200000"/>
    <n v="6977900"/>
    <n v="7666400"/>
    <n v="8125400"/>
    <d v="2027-07-01T00:00:00"/>
    <d v="2023-09-01T00:00:00"/>
  </r>
  <r>
    <m/>
    <s v="D"/>
    <s v="D1"/>
    <s v="RESIDENTIAL"/>
    <n v="4"/>
    <n v="2"/>
    <x v="679"/>
    <s v="3 BEDROOM"/>
    <s v="C3"/>
    <n v="127.19"/>
    <n v="138.11350407776783"/>
    <x v="35"/>
    <m/>
    <m/>
    <s v="NW"/>
    <s v="MIDDLE"/>
    <s v="LAKE D"/>
    <s v="FORTH"/>
    <x v="0"/>
    <n v="0.13"/>
    <n v="2.5000000000000001E-2"/>
    <n v="0.43"/>
    <n v="0.06"/>
    <n v="3.5000000000000003E-2"/>
    <n v="0.68"/>
    <x v="1"/>
    <x v="12"/>
    <n v="50150"/>
    <n v="56050"/>
    <n v="5900"/>
    <n v="4012.0000000000005"/>
    <n v="54162"/>
    <n v="17873.46"/>
    <n v="58662"/>
    <n v="61662"/>
    <n v="8395110"/>
    <n v="9092610"/>
    <n v="9557610"/>
    <n v="0"/>
    <n v="713584.35000000009"/>
    <n v="2"/>
    <n v="236000"/>
    <n v="236000"/>
    <n v="8631110"/>
    <n v="9328610"/>
    <n v="9793610"/>
    <d v="2027-07-01T00:00:00"/>
    <d v="2025-04-01T00:00:00"/>
  </r>
  <r>
    <m/>
    <s v="D"/>
    <s v="D1"/>
    <s v="RESIDENTIAL"/>
    <n v="4"/>
    <n v="3"/>
    <x v="680"/>
    <s v="3 BEDROOM"/>
    <s v="C3"/>
    <n v="131.38"/>
    <n v="142.66335534033442"/>
    <x v="33"/>
    <m/>
    <m/>
    <s v="NW"/>
    <s v="CORNER "/>
    <s v="LAKE D"/>
    <s v="FORTH"/>
    <x v="4"/>
    <n v="0.13"/>
    <n v="0.05"/>
    <n v="0.43"/>
    <n v="0.06"/>
    <n v="2.5000000000000001E-2"/>
    <n v="0.69499999999999995"/>
    <x v="1"/>
    <x v="4"/>
    <n v="51850"/>
    <n v="57950"/>
    <n v="6100"/>
    <n v="4239.5"/>
    <n v="56089.5"/>
    <n v="18509.535"/>
    <n v="60589.5"/>
    <n v="63589.5"/>
    <n v="8974320"/>
    <n v="9694320"/>
    <n v="10174320"/>
    <n v="0"/>
    <n v="762817.20000000007"/>
    <n v="2"/>
    <n v="244000"/>
    <n v="244000"/>
    <n v="9218320"/>
    <n v="9938320"/>
    <n v="10418320"/>
    <d v="2027-07-01T00:00:00"/>
    <d v="2025-07-01T00:00:00"/>
  </r>
  <r>
    <m/>
    <s v="D"/>
    <s v="D1"/>
    <s v="RESIDENTIAL"/>
    <n v="4"/>
    <n v="4"/>
    <x v="681"/>
    <s v="3 BEDROOM"/>
    <s v="C3"/>
    <n v="129.58000000000001"/>
    <n v="140.70876529913639"/>
    <x v="32"/>
    <m/>
    <m/>
    <s v="SE"/>
    <s v="CORNER "/>
    <s v="ROAD 18M (VILLAS)"/>
    <s v="FORTH"/>
    <x v="0"/>
    <n v="0.08"/>
    <n v="0.05"/>
    <n v="0.16"/>
    <n v="0.06"/>
    <n v="3.5000000000000003E-2"/>
    <n v="0.38500000000000001"/>
    <x v="0"/>
    <x v="2"/>
    <n v="45687.5"/>
    <n v="51062.5"/>
    <n v="5375"/>
    <n v="2069.375"/>
    <n v="47756.875"/>
    <n v="15759.768750000001"/>
    <n v="52256.875"/>
    <n v="55256.875"/>
    <n v="7545586.25"/>
    <n v="8256586.25"/>
    <n v="8730586.25"/>
    <n v="0"/>
    <n v="641374.83125000005"/>
    <n v="2"/>
    <n v="215000"/>
    <n v="215000"/>
    <n v="7760586.25"/>
    <n v="8471586.25"/>
    <n v="8945586.25"/>
    <d v="2027-07-01T00:00:00"/>
    <d v="2024-07-01T00:00:00"/>
  </r>
  <r>
    <s v="C3"/>
    <s v="D"/>
    <s v="D2"/>
    <s v="RESIDENTIAL"/>
    <n v="0"/>
    <n v="1"/>
    <x v="682"/>
    <s v="3 BEDROOM"/>
    <s v="C3"/>
    <n v="131.32"/>
    <n v="142.66718842094684"/>
    <x v="33"/>
    <n v="81.665000000000006"/>
    <m/>
    <s v="SE"/>
    <s v="MIDDLE"/>
    <s v="ROAD 18M (VILLAS)"/>
    <s v="GROUND"/>
    <x v="4"/>
    <n v="0.08"/>
    <n v="2.5000000000000001E-2"/>
    <n v="0.16"/>
    <n v="0.05"/>
    <n v="2.5000000000000001E-2"/>
    <n v="0.34"/>
    <x v="0"/>
    <x v="3"/>
    <n v="42500"/>
    <n v="47500"/>
    <n v="5000"/>
    <n v="1700.0000000000002"/>
    <n v="44200"/>
    <n v="14586"/>
    <n v="48700"/>
    <n v="51700"/>
    <n v="7072000"/>
    <n v="7792000"/>
    <n v="8272000"/>
    <n v="1191165.6900000002"/>
    <n v="702369.08365000004"/>
    <n v="2"/>
    <n v="200000"/>
    <n v="200000"/>
    <n v="8463165.6899999995"/>
    <n v="9183165.6899999995"/>
    <n v="9663165.6899999995"/>
    <d v="2027-07-01T00:00:00"/>
    <d v="2023-09-01T00:00:00"/>
  </r>
  <r>
    <m/>
    <s v="D"/>
    <s v="D2"/>
    <s v="RESIDENTIAL"/>
    <n v="0"/>
    <n v="2"/>
    <x v="683"/>
    <s v="3 BEDROOM + LIVING (DUPLEX)"/>
    <s v="C3"/>
    <n v="128.28"/>
    <n v="139.36450602070562"/>
    <x v="38"/>
    <n v="86.075999999999993"/>
    <m/>
    <s v="NW"/>
    <s v="MIDDLE"/>
    <s v="LAKE D"/>
    <s v="GROUND"/>
    <x v="5"/>
    <n v="0.13"/>
    <n v="2.5000000000000001E-2"/>
    <n v="0.43"/>
    <n v="0.05"/>
    <n v="0"/>
    <n v="0.63500000000000001"/>
    <x v="1"/>
    <x v="2"/>
    <n v="45687.5"/>
    <n v="51062.5"/>
    <n v="5375"/>
    <n v="3413.125"/>
    <n v="49100.625"/>
    <n v="16203.206250000001"/>
    <n v="53600.625"/>
    <n v="56600.625"/>
    <n v="15172093.125"/>
    <n v="16562593.125"/>
    <n v="17489593.125"/>
    <n v="1394707.181175"/>
    <n v="1408178.0260248752"/>
    <n v="2"/>
    <n v="215000"/>
    <n v="215000"/>
    <n v="16781800.306175001"/>
    <n v="18172300.306175001"/>
    <n v="19099300.306175001"/>
    <d v="2027-07-01T00:00:00"/>
    <d v="2024-07-01T00:00:00"/>
  </r>
  <r>
    <m/>
    <s v="D"/>
    <s v="D2"/>
    <s v="RESIDENTIAL"/>
    <n v="0"/>
    <n v="3"/>
    <x v="684"/>
    <s v="3 BEDROOM + LIVING (DUPLEX)"/>
    <s v="C3"/>
    <n v="125.03"/>
    <n v="135.83367779676351"/>
    <x v="39"/>
    <n v="85.509600000000006"/>
    <m/>
    <s v="NW"/>
    <s v="MIDDLE"/>
    <s v="LAKE D"/>
    <s v="GROUND"/>
    <x v="5"/>
    <n v="0.13"/>
    <n v="2.5000000000000001E-2"/>
    <n v="0.43"/>
    <n v="0.05"/>
    <n v="0"/>
    <n v="0.63500000000000001"/>
    <x v="1"/>
    <x v="2"/>
    <n v="45687.5"/>
    <n v="51062.5"/>
    <n v="5375"/>
    <n v="3413.125"/>
    <n v="49100.625"/>
    <n v="16203.206250000001"/>
    <n v="53600.625"/>
    <n v="56600.625"/>
    <n v="14779288.125"/>
    <n v="16133788.125"/>
    <n v="17036788.125"/>
    <n v="1385529.6851550003"/>
    <n v="1374009.5138631752"/>
    <n v="2"/>
    <n v="215000"/>
    <n v="215000"/>
    <n v="16379817.810155001"/>
    <n v="17734317.810155001"/>
    <n v="18637317.810155001"/>
    <d v="2027-07-01T00:00:00"/>
    <d v="2024-07-01T00:00:00"/>
  </r>
  <r>
    <m/>
    <s v="D"/>
    <s v="D2"/>
    <s v="RESIDENTIAL"/>
    <n v="0"/>
    <n v="4"/>
    <x v="685"/>
    <s v="2 BEDROOM"/>
    <s v="C3"/>
    <n v="87.23"/>
    <n v="94.767429530606108"/>
    <x v="30"/>
    <n v="66.653899999999993"/>
    <m/>
    <s v="SE"/>
    <s v="MIDDLE"/>
    <s v="ROAD 18M (VILLAS)"/>
    <s v="GROUND"/>
    <x v="1"/>
    <n v="0.08"/>
    <n v="2.5000000000000001E-2"/>
    <n v="0.16"/>
    <n v="0.05"/>
    <n v="0.04"/>
    <n v="0.35499999999999998"/>
    <x v="0"/>
    <x v="3"/>
    <n v="42500"/>
    <n v="47500"/>
    <n v="5000"/>
    <n v="1775"/>
    <n v="44275"/>
    <n v="14610.75"/>
    <n v="48775"/>
    <n v="51775"/>
    <n v="4693150"/>
    <n v="5170150"/>
    <n v="5488150"/>
    <n v="973863.4694249999"/>
    <n v="481696.14490112505"/>
    <n v="1"/>
    <n v="200000"/>
    <n v="200000"/>
    <n v="5867013.4694250003"/>
    <n v="6344013.4694250003"/>
    <n v="6662013.4694250003"/>
    <d v="2027-07-01T00:00:00"/>
    <d v="2023-09-01T00:00:00"/>
  </r>
  <r>
    <m/>
    <s v="D"/>
    <s v="D2"/>
    <s v="RESIDENTIAL"/>
    <n v="1"/>
    <n v="1"/>
    <x v="686"/>
    <s v="3 BEDROOM"/>
    <s v="C3"/>
    <n v="132.94"/>
    <n v="144.42717048949646"/>
    <x v="40"/>
    <m/>
    <m/>
    <s v="SE"/>
    <s v="MIDDLE"/>
    <s v="ROAD 18M (VILLAS)"/>
    <s v="FIRST"/>
    <x v="4"/>
    <n v="0.08"/>
    <n v="2.5000000000000001E-2"/>
    <n v="0.16"/>
    <n v="7.0000000000000007E-2"/>
    <n v="2.5000000000000001E-2"/>
    <n v="0.36000000000000004"/>
    <x v="0"/>
    <x v="0"/>
    <n v="43562.499999999993"/>
    <n v="48687.499999999993"/>
    <n v="5125"/>
    <n v="1845.0000000000002"/>
    <n v="45407.499999999993"/>
    <n v="14984.474999999999"/>
    <n v="49907.499999999993"/>
    <n v="52907.499999999993"/>
    <n v="7356014.9999999991"/>
    <n v="8085014.9999999991"/>
    <n v="8571014.9999999981"/>
    <n v="0"/>
    <n v="625261.27500000002"/>
    <n v="2"/>
    <n v="204999.99999999997"/>
    <n v="204999.99999999997"/>
    <n v="7561014.9999999991"/>
    <n v="8290014.9999999991"/>
    <n v="8776014.9999999981"/>
    <d v="2027-07-01T00:00:00"/>
    <d v="2024-01-01T00:00:00"/>
  </r>
  <r>
    <m/>
    <s v="D"/>
    <s v="D2"/>
    <s v="RESIDENTIAL"/>
    <n v="1"/>
    <n v="4"/>
    <x v="687"/>
    <s v="2 BEDROOM"/>
    <s v="C3"/>
    <n v="88.87"/>
    <n v="96.549139772841514"/>
    <x v="34"/>
    <m/>
    <m/>
    <s v="SE"/>
    <s v="MIDDLE"/>
    <s v="ROAD 18M (VILLAS)"/>
    <s v="FIRST"/>
    <x v="1"/>
    <n v="0.08"/>
    <n v="2.5000000000000001E-2"/>
    <n v="0.16"/>
    <n v="7.0000000000000007E-2"/>
    <n v="0.04"/>
    <n v="0.375"/>
    <x v="0"/>
    <x v="6"/>
    <n v="44625"/>
    <n v="49875"/>
    <n v="5250"/>
    <n v="1968.75"/>
    <n v="46593.75"/>
    <n v="15375.9375"/>
    <n v="51093.75"/>
    <n v="54093.75"/>
    <n v="5032125"/>
    <n v="5518125"/>
    <n v="5842125"/>
    <n v="0"/>
    <n v="427730.62500000006"/>
    <n v="1"/>
    <n v="210000"/>
    <n v="210000"/>
    <n v="5242125"/>
    <n v="5728125"/>
    <n v="6052125"/>
    <d v="2027-07-01T00:00:00"/>
    <d v="2024-04-01T00:00:00"/>
  </r>
  <r>
    <m/>
    <s v="D"/>
    <s v="D2"/>
    <s v="RESIDENTIAL"/>
    <n v="2"/>
    <n v="1"/>
    <x v="688"/>
    <s v="3 BEDROOM"/>
    <s v="C3"/>
    <n v="131.41999999999999"/>
    <n v="142.77582928937582"/>
    <x v="33"/>
    <m/>
    <m/>
    <s v="SE"/>
    <s v="MIDDLE"/>
    <s v="ROAD 18M (VILLAS)"/>
    <s v="SECOND"/>
    <x v="4"/>
    <n v="0.08"/>
    <n v="2.5000000000000001E-2"/>
    <n v="0.16"/>
    <n v="0.11"/>
    <n v="2.5000000000000001E-2"/>
    <n v="0.4"/>
    <x v="0"/>
    <x v="5"/>
    <n v="46750.000000000007"/>
    <n v="52250.000000000007"/>
    <n v="5500"/>
    <n v="2200"/>
    <n v="48950.000000000007"/>
    <n v="16153.500000000004"/>
    <n v="53450.000000000007"/>
    <n v="56450.000000000007"/>
    <n v="7832000.0000000009"/>
    <n v="8552000.0000000019"/>
    <n v="9032000.0000000019"/>
    <n v="0"/>
    <n v="665720.00000000012"/>
    <n v="2"/>
    <n v="220000.00000000003"/>
    <n v="220000.00000000003"/>
    <n v="8052000.0000000009"/>
    <n v="8772000.0000000019"/>
    <n v="9252000.0000000019"/>
    <d v="2027-07-01T00:00:00"/>
    <d v="2024-10-01T00:00:00"/>
  </r>
  <r>
    <m/>
    <s v="D"/>
    <s v="D2"/>
    <s v="RESIDENTIAL"/>
    <n v="2"/>
    <n v="2"/>
    <x v="689"/>
    <s v="3 BEDROOM"/>
    <s v="C3"/>
    <n v="131.03"/>
    <n v="142.35212990250278"/>
    <x v="33"/>
    <m/>
    <m/>
    <s v="NW"/>
    <s v="MIDDLE"/>
    <s v="LAKE D"/>
    <s v="SECOND"/>
    <x v="4"/>
    <n v="0.13"/>
    <n v="2.5000000000000001E-2"/>
    <n v="0.43"/>
    <n v="0.11"/>
    <n v="2.5000000000000001E-2"/>
    <n v="0.72"/>
    <x v="1"/>
    <x v="3"/>
    <n v="42500"/>
    <n v="47500"/>
    <n v="5000"/>
    <n v="3600"/>
    <n v="46100"/>
    <n v="15213"/>
    <n v="50600"/>
    <n v="53600"/>
    <n v="7376000"/>
    <n v="8096000"/>
    <n v="8576000"/>
    <n v="0"/>
    <n v="626960"/>
    <n v="2"/>
    <n v="200000"/>
    <n v="200000"/>
    <n v="7576000"/>
    <n v="8296000"/>
    <n v="8776000"/>
    <d v="2027-07-01T00:00:00"/>
    <d v="2023-09-01T00:00:00"/>
  </r>
  <r>
    <m/>
    <s v="D"/>
    <s v="D2"/>
    <s v="RESIDENTIAL"/>
    <n v="2"/>
    <n v="3"/>
    <x v="690"/>
    <s v="3 BEDROOM"/>
    <s v="C3"/>
    <n v="126.89"/>
    <n v="137.85439794954269"/>
    <x v="35"/>
    <m/>
    <m/>
    <s v="NW"/>
    <s v="MIDDLE"/>
    <s v="LAKE D"/>
    <s v="SECOND"/>
    <x v="0"/>
    <n v="0.13"/>
    <n v="2.5000000000000001E-2"/>
    <n v="0.43"/>
    <n v="0.11"/>
    <n v="3.5000000000000003E-2"/>
    <n v="0.73"/>
    <x v="2"/>
    <x v="3"/>
    <n v="42500"/>
    <n v="47500"/>
    <n v="5000"/>
    <n v="3650"/>
    <n v="46150"/>
    <n v="15229.5"/>
    <n v="50650"/>
    <n v="53650"/>
    <n v="7153250"/>
    <n v="7850750"/>
    <n v="8315750"/>
    <n v="0"/>
    <n v="608026.25"/>
    <n v="2"/>
    <n v="200000"/>
    <n v="200000"/>
    <n v="7353250"/>
    <n v="8050750"/>
    <n v="8515750"/>
    <d v="2027-07-01T00:00:00"/>
    <d v="2023-09-01T00:00:00"/>
  </r>
  <r>
    <m/>
    <s v="D"/>
    <s v="D2"/>
    <s v="RESIDENTIAL"/>
    <n v="2"/>
    <n v="4"/>
    <x v="691"/>
    <s v="3 BEDROOM"/>
    <s v="C3"/>
    <n v="126.99"/>
    <n v="137.96303881797166"/>
    <x v="35"/>
    <m/>
    <m/>
    <s v="SE"/>
    <s v="MIDDLE"/>
    <s v="ROAD 18M (VILLAS)"/>
    <s v="SECOND"/>
    <x v="0"/>
    <n v="0.08"/>
    <n v="2.5000000000000001E-2"/>
    <n v="0.16"/>
    <n v="0.11"/>
    <n v="3.5000000000000003E-2"/>
    <n v="0.41000000000000003"/>
    <x v="0"/>
    <x v="1"/>
    <n v="48450.000000000007"/>
    <n v="54150.000000000007"/>
    <n v="5700"/>
    <n v="2337"/>
    <n v="50787.000000000007"/>
    <n v="16759.710000000003"/>
    <n v="55287.000000000007"/>
    <n v="58287.000000000007"/>
    <n v="7871985.0000000009"/>
    <n v="8569485.0000000019"/>
    <n v="9034485.0000000019"/>
    <n v="0"/>
    <n v="669118.72500000009"/>
    <n v="2"/>
    <n v="228000.00000000003"/>
    <n v="228000.00000000003"/>
    <n v="8099985.0000000009"/>
    <n v="8797485.0000000019"/>
    <n v="9262485.0000000019"/>
    <d v="2027-07-01T00:00:00"/>
    <d v="2025-01-01T00:00:00"/>
  </r>
  <r>
    <m/>
    <s v="D"/>
    <s v="D2"/>
    <s v="RESIDENTIAL"/>
    <n v="3"/>
    <n v="1"/>
    <x v="692"/>
    <s v="3 BEDROOM"/>
    <s v="C3"/>
    <n v="131.88"/>
    <n v="143.27557728414919"/>
    <x v="37"/>
    <m/>
    <m/>
    <s v="SE"/>
    <s v="MIDDLE"/>
    <s v="ROAD 18M (VILLAS)"/>
    <s v="THIRD"/>
    <x v="4"/>
    <n v="0.08"/>
    <n v="2.5000000000000001E-2"/>
    <n v="0.16"/>
    <n v="0.15"/>
    <n v="2.5000000000000001E-2"/>
    <n v="0.44000000000000006"/>
    <x v="0"/>
    <x v="10"/>
    <n v="53550"/>
    <n v="59850"/>
    <n v="6300"/>
    <n v="2772.0000000000005"/>
    <n v="56322"/>
    <n v="18586.260000000002"/>
    <n v="60822"/>
    <n v="63822"/>
    <n v="9067842"/>
    <n v="9792342"/>
    <n v="10275342"/>
    <n v="0"/>
    <n v="770766.57000000007"/>
    <n v="2"/>
    <n v="252000"/>
    <n v="252000"/>
    <n v="9319842"/>
    <n v="10044342"/>
    <n v="10527342"/>
    <d v="2027-07-01T00:00:00"/>
    <d v="2025-10-01T00:00:00"/>
  </r>
  <r>
    <m/>
    <s v="D"/>
    <s v="D2"/>
    <s v="RESIDENTIAL"/>
    <n v="3"/>
    <n v="2"/>
    <x v="693"/>
    <s v="3 BEDROOM"/>
    <s v="C3"/>
    <n v="131.02000000000001"/>
    <n v="142.34126581565991"/>
    <x v="33"/>
    <m/>
    <m/>
    <s v="NW"/>
    <s v="MIDDLE"/>
    <s v="LAKE D"/>
    <s v="THIRD"/>
    <x v="4"/>
    <n v="0.13"/>
    <n v="2.5000000000000001E-2"/>
    <n v="0.43"/>
    <n v="0.15"/>
    <n v="2.5000000000000001E-2"/>
    <n v="0.76"/>
    <x v="2"/>
    <x v="6"/>
    <n v="44625"/>
    <n v="49875"/>
    <n v="5250"/>
    <n v="3990"/>
    <n v="48615"/>
    <n v="16042.95"/>
    <n v="53115"/>
    <n v="56115"/>
    <n v="7778400"/>
    <n v="8498400"/>
    <n v="8978400"/>
    <n v="0"/>
    <n v="661164"/>
    <n v="2"/>
    <n v="210000"/>
    <n v="210000"/>
    <n v="7988400"/>
    <n v="8708400"/>
    <n v="9188400"/>
    <d v="2027-07-01T00:00:00"/>
    <d v="2024-04-01T00:00:00"/>
  </r>
  <r>
    <m/>
    <s v="D"/>
    <s v="D2"/>
    <s v="RESIDENTIAL"/>
    <n v="3"/>
    <n v="3"/>
    <x v="694"/>
    <s v="3 BEDROOM"/>
    <s v="C3"/>
    <n v="126.87"/>
    <n v="137.83266977585691"/>
    <x v="35"/>
    <m/>
    <m/>
    <s v="NW"/>
    <s v="MIDDLE"/>
    <s v="LAKE D"/>
    <s v="THIRD"/>
    <x v="0"/>
    <n v="0.13"/>
    <n v="2.5000000000000001E-2"/>
    <n v="0.43"/>
    <n v="0.15"/>
    <n v="3.5000000000000003E-2"/>
    <n v="0.77"/>
    <x v="2"/>
    <x v="6"/>
    <n v="44625"/>
    <n v="49875"/>
    <n v="5250"/>
    <n v="4042.5"/>
    <n v="48667.5"/>
    <n v="16060.275000000001"/>
    <n v="53167.5"/>
    <n v="56167.5"/>
    <n v="7543462.5"/>
    <n v="8240962.5"/>
    <n v="8705962.5"/>
    <n v="0"/>
    <n v="641194.3125"/>
    <n v="2"/>
    <n v="210000"/>
    <n v="210000"/>
    <n v="7753462.5"/>
    <n v="8450962.5"/>
    <n v="8915962.5"/>
    <d v="2027-07-01T00:00:00"/>
    <d v="2024-04-01T00:00:00"/>
  </r>
  <r>
    <m/>
    <s v="D"/>
    <s v="D2"/>
    <s v="RESIDENTIAL"/>
    <n v="3"/>
    <n v="4"/>
    <x v="695"/>
    <s v="3 BEDROOM"/>
    <s v="C3"/>
    <n v="127.41"/>
    <n v="138.41933046537343"/>
    <x v="35"/>
    <m/>
    <m/>
    <s v="SE"/>
    <s v="MIDDLE"/>
    <s v="ROAD 18M (VILLAS)"/>
    <s v="THIRD"/>
    <x v="0"/>
    <n v="0.08"/>
    <n v="2.5000000000000001E-2"/>
    <n v="0.16"/>
    <n v="0.15"/>
    <n v="3.5000000000000003E-2"/>
    <n v="0.45000000000000007"/>
    <x v="0"/>
    <x v="10"/>
    <n v="53550"/>
    <n v="59850"/>
    <n v="6300"/>
    <n v="2835.0000000000005"/>
    <n v="56385"/>
    <n v="18607.05"/>
    <n v="60885"/>
    <n v="63885"/>
    <n v="8739675"/>
    <n v="9437175"/>
    <n v="9902175"/>
    <n v="0"/>
    <n v="742872.375"/>
    <n v="2"/>
    <n v="252000"/>
    <n v="252000"/>
    <n v="8991675"/>
    <n v="9689175"/>
    <n v="10154175"/>
    <d v="2027-07-01T00:00:00"/>
    <d v="2025-10-01T00:00:00"/>
  </r>
  <r>
    <m/>
    <s v="D"/>
    <s v="D2"/>
    <s v="RESIDENTIAL"/>
    <n v="4"/>
    <n v="1"/>
    <x v="696"/>
    <s v="3 BEDROOM"/>
    <s v="C3"/>
    <n v="129.59"/>
    <n v="140.78770139712537"/>
    <x v="32"/>
    <m/>
    <m/>
    <s v="SE"/>
    <s v="MIDDLE"/>
    <s v="ROAD 18M (VILLAS)"/>
    <s v="FORTH"/>
    <x v="0"/>
    <n v="0.08"/>
    <n v="2.5000000000000001E-2"/>
    <n v="0.16"/>
    <n v="0.06"/>
    <n v="3.5000000000000003E-2"/>
    <n v="0.36"/>
    <x v="0"/>
    <x v="0"/>
    <n v="43562.499999999993"/>
    <n v="48687.499999999993"/>
    <n v="5125"/>
    <n v="1845"/>
    <n v="45407.499999999993"/>
    <n v="14984.474999999999"/>
    <n v="49907.499999999993"/>
    <n v="52907.499999999993"/>
    <n v="7174384.9999999991"/>
    <n v="7885384.9999999991"/>
    <n v="8359384.9999999991"/>
    <n v="0"/>
    <n v="609822.72499999998"/>
    <n v="2"/>
    <n v="204999.99999999997"/>
    <n v="204999.99999999997"/>
    <n v="7379384.9999999991"/>
    <n v="8090384.9999999991"/>
    <n v="8564384.9999999981"/>
    <d v="2027-07-01T00:00:00"/>
    <d v="2024-01-01T00:00:00"/>
  </r>
  <r>
    <m/>
    <s v="D"/>
    <s v="D2"/>
    <s v="RESIDENTIAL"/>
    <n v="4"/>
    <n v="2"/>
    <x v="697"/>
    <s v="3 BEDROOM"/>
    <s v="C3"/>
    <n v="131.72"/>
    <n v="143.10175189466281"/>
    <x v="37"/>
    <m/>
    <m/>
    <s v="NW"/>
    <s v="MIDDLE"/>
    <s v="LAKE D"/>
    <s v="FORTH"/>
    <x v="4"/>
    <n v="0.13"/>
    <n v="2.5000000000000001E-2"/>
    <n v="0.43"/>
    <n v="0.06"/>
    <n v="2.5000000000000001E-2"/>
    <n v="0.67"/>
    <x v="1"/>
    <x v="1"/>
    <n v="48450.000000000007"/>
    <n v="54150.000000000007"/>
    <n v="5700"/>
    <n v="3819.0000000000005"/>
    <n v="52269.000000000007"/>
    <n v="17248.770000000004"/>
    <n v="56769.000000000007"/>
    <n v="59769.000000000007"/>
    <n v="8415309.0000000019"/>
    <n v="9139809.0000000019"/>
    <n v="9622809.0000000019"/>
    <n v="0"/>
    <n v="715301.26500000025"/>
    <n v="2"/>
    <n v="228000.00000000003"/>
    <n v="228000.00000000003"/>
    <n v="8643309.0000000019"/>
    <n v="9367809.0000000019"/>
    <n v="9850809.0000000019"/>
    <d v="2027-07-01T00:00:00"/>
    <d v="2025-01-01T00:00:00"/>
  </r>
  <r>
    <m/>
    <s v="D"/>
    <s v="D2"/>
    <s v="RESIDENTIAL"/>
    <n v="4"/>
    <n v="3"/>
    <x v="698"/>
    <s v="3 BEDROOM"/>
    <s v="C3"/>
    <n v="127.12"/>
    <n v="138.10427194692937"/>
    <x v="35"/>
    <m/>
    <m/>
    <s v="NW"/>
    <s v="MIDDLE"/>
    <s v="LAKE D"/>
    <s v="FORTH"/>
    <x v="0"/>
    <n v="0.13"/>
    <n v="2.5000000000000001E-2"/>
    <n v="0.43"/>
    <n v="0.06"/>
    <n v="3.5000000000000003E-2"/>
    <n v="0.68"/>
    <x v="1"/>
    <x v="12"/>
    <n v="50150"/>
    <n v="56050"/>
    <n v="5900"/>
    <n v="4012.0000000000005"/>
    <n v="54162"/>
    <n v="17873.46"/>
    <n v="58662"/>
    <n v="61662"/>
    <n v="8395110"/>
    <n v="9092610"/>
    <n v="9557610"/>
    <n v="0"/>
    <n v="713584.35000000009"/>
    <n v="2"/>
    <n v="236000"/>
    <n v="236000"/>
    <n v="8631110"/>
    <n v="9328610"/>
    <n v="9793610"/>
    <d v="2027-07-01T00:00:00"/>
    <d v="2025-04-01T00:00:00"/>
  </r>
  <r>
    <m/>
    <s v="D"/>
    <s v="D2"/>
    <s v="RESIDENTIAL"/>
    <n v="4"/>
    <n v="4"/>
    <x v="699"/>
    <s v="3 BEDROOM"/>
    <s v="C3"/>
    <n v="125.12"/>
    <n v="135.93145457834962"/>
    <x v="31"/>
    <m/>
    <m/>
    <s v="SE"/>
    <s v="MIDDLE"/>
    <s v="ROAD 18M (VILLAS)"/>
    <s v="FORTH"/>
    <x v="0"/>
    <n v="0.08"/>
    <n v="2.5000000000000001E-2"/>
    <n v="0.16"/>
    <n v="0.06"/>
    <n v="3.5000000000000003E-2"/>
    <n v="0.36"/>
    <x v="0"/>
    <x v="0"/>
    <n v="43562.499999999993"/>
    <n v="48687.499999999993"/>
    <n v="5125"/>
    <n v="1845"/>
    <n v="45407.499999999993"/>
    <n v="14984.474999999999"/>
    <n v="49907.499999999993"/>
    <n v="52907.499999999993"/>
    <n v="6947347.4999999991"/>
    <n v="7635847.4999999991"/>
    <n v="8094847.4999999991"/>
    <n v="0"/>
    <n v="590524.53749999998"/>
    <n v="2"/>
    <n v="204999.99999999997"/>
    <n v="204999.99999999997"/>
    <n v="7152347.4999999991"/>
    <n v="7840847.4999999991"/>
    <n v="8299847.4999999991"/>
    <d v="2027-07-01T00:00:00"/>
    <d v="2024-01-01T00:00:00"/>
  </r>
  <r>
    <s v="C3"/>
    <s v="D"/>
    <s v="D3"/>
    <s v="RESIDENTIAL"/>
    <n v="0"/>
    <n v="1"/>
    <x v="700"/>
    <s v="3 BEDROOM"/>
    <s v="C3"/>
    <n v="131.34"/>
    <n v="142.61992000608555"/>
    <x v="33"/>
    <n v="66.235699999999994"/>
    <m/>
    <s v="SE"/>
    <s v="CORNER "/>
    <s v="ROAD 18M (VILLAS)"/>
    <s v="GROUND"/>
    <x v="4"/>
    <n v="0.08"/>
    <n v="0.05"/>
    <n v="0.16"/>
    <n v="0.05"/>
    <n v="2.5000000000000001E-2"/>
    <n v="0.36500000000000005"/>
    <x v="0"/>
    <x v="0"/>
    <n v="43562.499999999993"/>
    <n v="48687.499999999993"/>
    <n v="5125"/>
    <n v="1870.6250000000002"/>
    <n v="45433.124999999993"/>
    <n v="14992.931249999998"/>
    <n v="49933.124999999993"/>
    <n v="52933.124999999993"/>
    <n v="7269299.9999999991"/>
    <n v="7989299.9999999991"/>
    <n v="8469299.9999999981"/>
    <n v="993067.29639562475"/>
    <n v="702301.22019362811"/>
    <n v="2"/>
    <n v="204999.99999999997"/>
    <n v="204999.99999999997"/>
    <n v="8467367.2963956241"/>
    <n v="9187367.2963956241"/>
    <n v="9667367.2963956222"/>
    <d v="2027-07-01T00:00:00"/>
    <d v="2024-01-01T00:00:00"/>
  </r>
  <r>
    <m/>
    <s v="D"/>
    <s v="D3"/>
    <s v="RESIDENTIAL"/>
    <n v="0"/>
    <n v="2"/>
    <x v="701"/>
    <s v="3 BEDROOM"/>
    <s v="C3"/>
    <n v="129.57"/>
    <n v="140.69790646557411"/>
    <x v="32"/>
    <n v="84.036199999999994"/>
    <m/>
    <s v="NW"/>
    <s v="CORNER "/>
    <s v="LAKE D"/>
    <s v="GROUND"/>
    <x v="0"/>
    <n v="0.13"/>
    <n v="0.05"/>
    <n v="0.43"/>
    <n v="0.05"/>
    <n v="3.5000000000000003E-2"/>
    <n v="0.69500000000000006"/>
    <x v="1"/>
    <x v="4"/>
    <n v="51850"/>
    <n v="57950"/>
    <n v="6100"/>
    <n v="4239.5"/>
    <n v="56089.5"/>
    <n v="18509.535"/>
    <n v="60589.5"/>
    <n v="63589.5"/>
    <n v="8862141"/>
    <n v="9573141"/>
    <n v="10047141"/>
    <n v="1555470.985167"/>
    <n v="885497.01873919507"/>
    <n v="2"/>
    <n v="244000"/>
    <n v="244000"/>
    <n v="10661611.985167"/>
    <n v="11372611.985167"/>
    <n v="11846611.985167"/>
    <d v="2027-07-01T00:00:00"/>
    <d v="2025-07-01T00:00:00"/>
  </r>
  <r>
    <m/>
    <s v="D"/>
    <s v="D3"/>
    <s v="RESIDENTIAL"/>
    <n v="0"/>
    <n v="3"/>
    <x v="702"/>
    <s v="3 BEDROOM"/>
    <s v="C3"/>
    <n v="125.09"/>
    <n v="135.83314902970338"/>
    <x v="31"/>
    <n v="85.562899999999999"/>
    <m/>
    <s v="NW"/>
    <s v="MIDDLE"/>
    <s v="LAKE D"/>
    <s v="GROUND"/>
    <x v="0"/>
    <n v="0.13"/>
    <n v="2.5000000000000001E-2"/>
    <n v="0.43"/>
    <n v="0.05"/>
    <n v="3.5000000000000003E-2"/>
    <n v="0.67"/>
    <x v="1"/>
    <x v="1"/>
    <n v="48450.000000000007"/>
    <n v="54150.000000000007"/>
    <n v="5700"/>
    <n v="3819.0000000000005"/>
    <n v="52269.000000000007"/>
    <n v="17248.770000000004"/>
    <n v="56769.000000000007"/>
    <n v="59769.000000000007"/>
    <n v="7997157.0000000009"/>
    <n v="8685657.0000000019"/>
    <n v="9144657.0000000019"/>
    <n v="1475854.7826330003"/>
    <n v="805206.00152380508"/>
    <n v="2"/>
    <n v="228000.00000000003"/>
    <n v="228000.00000000003"/>
    <n v="9701011.782633001"/>
    <n v="10389511.782633003"/>
    <n v="10848511.782633003"/>
    <d v="2027-07-01T00:00:00"/>
    <d v="2025-01-01T00:00:00"/>
  </r>
  <r>
    <m/>
    <s v="D"/>
    <s v="D3"/>
    <s v="RESIDENTIAL"/>
    <n v="0"/>
    <n v="4"/>
    <x v="703"/>
    <s v="2 BEDROOM"/>
    <s v="C3"/>
    <n v="87.23"/>
    <n v="94.721605163170736"/>
    <x v="30"/>
    <n v="67.414699999999996"/>
    <m/>
    <s v="SE"/>
    <s v="MIDDLE"/>
    <s v="ROAD 18M (VILLAS)"/>
    <s v="GROUND"/>
    <x v="1"/>
    <n v="0.08"/>
    <n v="2.5000000000000001E-2"/>
    <n v="0.16"/>
    <n v="0.05"/>
    <n v="0.04"/>
    <n v="0.35499999999999998"/>
    <x v="0"/>
    <x v="3"/>
    <n v="42500"/>
    <n v="47500"/>
    <n v="5000"/>
    <n v="1775"/>
    <n v="44275"/>
    <n v="14610.75"/>
    <n v="48775"/>
    <n v="51775"/>
    <n v="4693150"/>
    <n v="5170150"/>
    <n v="5488150"/>
    <n v="984979.32802499994"/>
    <n v="482640.99288212502"/>
    <n v="1"/>
    <n v="200000"/>
    <n v="200000"/>
    <n v="5878129.3280250002"/>
    <n v="6355129.3280250002"/>
    <n v="6673129.3280250002"/>
    <d v="2027-07-01T00:00:00"/>
    <d v="2023-09-01T00:00:00"/>
  </r>
  <r>
    <m/>
    <s v="D"/>
    <s v="D3"/>
    <s v="RESIDENTIAL"/>
    <n v="1"/>
    <n v="1"/>
    <x v="704"/>
    <s v="3 BEDROOM"/>
    <s v="C3"/>
    <n v="129.04"/>
    <n v="140.1223882867769"/>
    <x v="36"/>
    <m/>
    <m/>
    <s v="SE"/>
    <s v="CORNER "/>
    <s v="ROAD 18M (VILLAS)"/>
    <s v="FIRST"/>
    <x v="0"/>
    <n v="0.08"/>
    <n v="0.05"/>
    <n v="0.16"/>
    <n v="7.0000000000000007E-2"/>
    <n v="3.5000000000000003E-2"/>
    <n v="0.39500000000000002"/>
    <x v="0"/>
    <x v="2"/>
    <n v="45687.5"/>
    <n v="51062.5"/>
    <n v="5375"/>
    <n v="2123.125"/>
    <n v="47810.625"/>
    <n v="15777.50625"/>
    <n v="52310.625"/>
    <n v="55310.625"/>
    <n v="7506268.125"/>
    <n v="8212768.125"/>
    <n v="8683768.125"/>
    <n v="0"/>
    <n v="638032.79062500002"/>
    <n v="2"/>
    <n v="215000"/>
    <n v="215000"/>
    <n v="7721268.125"/>
    <n v="8427768.125"/>
    <n v="8898768.125"/>
    <d v="2027-07-01T00:00:00"/>
    <d v="2024-07-01T00:00:00"/>
  </r>
  <r>
    <m/>
    <s v="D"/>
    <s v="D3"/>
    <s v="RESIDENTIAL"/>
    <n v="1"/>
    <n v="2"/>
    <x v="705"/>
    <s v="3 BEDROOM"/>
    <s v="C3"/>
    <n v="131.43"/>
    <n v="142.71764950814546"/>
    <x v="33"/>
    <m/>
    <m/>
    <s v="NW"/>
    <s v="CORNER "/>
    <s v="LAKE D"/>
    <s v="FIRST"/>
    <x v="4"/>
    <n v="0.13"/>
    <n v="0.05"/>
    <n v="0.43"/>
    <n v="7.0000000000000007E-2"/>
    <n v="2.5000000000000001E-2"/>
    <n v="0.70499999999999996"/>
    <x v="1"/>
    <x v="10"/>
    <n v="53550"/>
    <n v="59850"/>
    <n v="6300"/>
    <n v="4441.5"/>
    <n v="57991.5"/>
    <n v="19137.195"/>
    <n v="62491.5"/>
    <n v="65491.5"/>
    <n v="9278640"/>
    <n v="9998640"/>
    <n v="10478640"/>
    <n v="0"/>
    <n v="788684.4"/>
    <n v="2"/>
    <n v="252000"/>
    <n v="252000"/>
    <n v="9530640"/>
    <n v="10250640"/>
    <n v="10730640"/>
    <d v="2027-07-01T00:00:00"/>
    <d v="2025-10-01T00:00:00"/>
  </r>
  <r>
    <m/>
    <s v="D"/>
    <s v="D3"/>
    <s v="RESIDENTIAL"/>
    <n v="1"/>
    <n v="3"/>
    <x v="706"/>
    <s v="3 BEDROOM"/>
    <s v="C3"/>
    <n v="127.14"/>
    <n v="138.05920990995673"/>
    <x v="35"/>
    <m/>
    <m/>
    <s v="NW"/>
    <s v="MIDDLE"/>
    <s v="LAKE D"/>
    <s v="FIRST"/>
    <x v="0"/>
    <n v="0.13"/>
    <n v="2.5000000000000001E-2"/>
    <n v="0.43"/>
    <n v="7.0000000000000007E-2"/>
    <n v="3.5000000000000003E-2"/>
    <n v="0.69000000000000006"/>
    <x v="1"/>
    <x v="4"/>
    <n v="51850"/>
    <n v="57950"/>
    <n v="6100"/>
    <n v="4209"/>
    <n v="56059"/>
    <n v="18499.47"/>
    <n v="60559"/>
    <n v="63559"/>
    <n v="8689145"/>
    <n v="9386645"/>
    <n v="9851645"/>
    <n v="0"/>
    <n v="738577.32500000007"/>
    <n v="2"/>
    <n v="244000"/>
    <n v="244000"/>
    <n v="8933145"/>
    <n v="9630645"/>
    <n v="10095645"/>
    <d v="2027-07-01T00:00:00"/>
    <d v="2025-07-01T00:00:00"/>
  </r>
  <r>
    <m/>
    <s v="D"/>
    <s v="D3"/>
    <s v="RESIDENTIAL"/>
    <n v="1"/>
    <n v="4"/>
    <x v="707"/>
    <s v="2 BEDROOM"/>
    <s v="C3"/>
    <n v="88.87"/>
    <n v="96.502453867373418"/>
    <x v="34"/>
    <m/>
    <m/>
    <s v="SE"/>
    <s v="MIDDLE"/>
    <s v="ROAD 18M (VILLAS)"/>
    <s v="FIRST"/>
    <x v="1"/>
    <n v="0.08"/>
    <n v="2.5000000000000001E-2"/>
    <n v="0.16"/>
    <n v="7.0000000000000007E-2"/>
    <n v="0.04"/>
    <n v="0.375"/>
    <x v="0"/>
    <x v="6"/>
    <n v="44625"/>
    <n v="49875"/>
    <n v="5250"/>
    <n v="1968.75"/>
    <n v="46593.75"/>
    <n v="15375.9375"/>
    <n v="51093.75"/>
    <n v="54093.75"/>
    <n v="5032125"/>
    <n v="5518125"/>
    <n v="5842125"/>
    <n v="0"/>
    <n v="427730.62500000006"/>
    <n v="1"/>
    <n v="210000"/>
    <n v="210000"/>
    <n v="5242125"/>
    <n v="5728125"/>
    <n v="6052125"/>
    <d v="2027-07-01T00:00:00"/>
    <d v="2024-04-01T00:00:00"/>
  </r>
  <r>
    <m/>
    <s v="D"/>
    <s v="D3"/>
    <s v="RESIDENTIAL"/>
    <n v="2"/>
    <n v="1"/>
    <x v="708"/>
    <s v="3 BEDROOM"/>
    <s v="C3"/>
    <n v="131.43"/>
    <n v="142.71764950814546"/>
    <x v="33"/>
    <m/>
    <m/>
    <s v="SE"/>
    <s v="CORNER "/>
    <s v="ROAD 18M (VILLAS)"/>
    <s v="SECOND"/>
    <x v="4"/>
    <n v="0.08"/>
    <n v="0.05"/>
    <n v="0.16"/>
    <n v="0.11"/>
    <n v="2.5000000000000001E-2"/>
    <n v="0.42500000000000004"/>
    <x v="0"/>
    <x v="4"/>
    <n v="51850"/>
    <n v="57950"/>
    <n v="6100"/>
    <n v="2592.5000000000005"/>
    <n v="54442.5"/>
    <n v="17966.025000000001"/>
    <n v="58942.5"/>
    <n v="61942.5"/>
    <n v="8710800"/>
    <n v="9430800"/>
    <n v="9910800"/>
    <n v="0"/>
    <n v="740418"/>
    <n v="2"/>
    <n v="244000"/>
    <n v="244000"/>
    <n v="8954800"/>
    <n v="9674800"/>
    <n v="10154800"/>
    <d v="2027-07-01T00:00:00"/>
    <d v="2025-07-01T00:00:00"/>
  </r>
  <r>
    <m/>
    <s v="D"/>
    <s v="D3"/>
    <s v="RESIDENTIAL"/>
    <n v="2"/>
    <n v="2"/>
    <x v="709"/>
    <s v="3 BEDROOM"/>
    <s v="C3"/>
    <n v="131.44"/>
    <n v="142.72850834170768"/>
    <x v="33"/>
    <m/>
    <m/>
    <s v="NW"/>
    <s v="CORNER "/>
    <s v="LAKE D"/>
    <s v="SECOND"/>
    <x v="4"/>
    <n v="0.13"/>
    <n v="0.05"/>
    <n v="0.43"/>
    <n v="0.11"/>
    <n v="2.5000000000000001E-2"/>
    <n v="0.745"/>
    <x v="2"/>
    <x v="3"/>
    <n v="42500"/>
    <n v="47500"/>
    <n v="5000"/>
    <n v="3725"/>
    <n v="46225"/>
    <n v="15254.25"/>
    <n v="50725"/>
    <n v="53725"/>
    <n v="7396000"/>
    <n v="8116000"/>
    <n v="8596000"/>
    <n v="0"/>
    <n v="628660"/>
    <n v="2"/>
    <n v="200000"/>
    <n v="200000"/>
    <n v="7596000"/>
    <n v="8316000"/>
    <n v="8796000"/>
    <d v="2027-07-01T00:00:00"/>
    <d v="2023-09-01T00:00:00"/>
  </r>
  <r>
    <m/>
    <s v="D"/>
    <s v="D3"/>
    <s v="RESIDENTIAL"/>
    <n v="2"/>
    <n v="3"/>
    <x v="710"/>
    <s v="3 BEDROOM"/>
    <s v="C3"/>
    <n v="126.95"/>
    <n v="137.85289207227473"/>
    <x v="35"/>
    <m/>
    <m/>
    <s v="NW"/>
    <s v="MIDDLE"/>
    <s v="LAKE D"/>
    <s v="SECOND"/>
    <x v="0"/>
    <n v="0.13"/>
    <n v="2.5000000000000001E-2"/>
    <n v="0.43"/>
    <n v="0.11"/>
    <n v="3.5000000000000003E-2"/>
    <n v="0.73"/>
    <x v="2"/>
    <x v="3"/>
    <n v="42500"/>
    <n v="47500"/>
    <n v="5000"/>
    <n v="3650"/>
    <n v="46150"/>
    <n v="15229.5"/>
    <n v="50650"/>
    <n v="53650"/>
    <n v="7153250"/>
    <n v="7850750"/>
    <n v="8315750"/>
    <n v="0"/>
    <n v="608026.25"/>
    <n v="2"/>
    <n v="200000"/>
    <n v="200000"/>
    <n v="7353250"/>
    <n v="8050750"/>
    <n v="8515750"/>
    <d v="2027-07-01T00:00:00"/>
    <d v="2023-09-01T00:00:00"/>
  </r>
  <r>
    <m/>
    <s v="D"/>
    <s v="D3"/>
    <s v="RESIDENTIAL"/>
    <n v="2"/>
    <n v="4"/>
    <x v="711"/>
    <s v="3 BEDROOM"/>
    <s v="C3"/>
    <n v="127.15"/>
    <n v="138.07006874351896"/>
    <x v="35"/>
    <m/>
    <m/>
    <s v="SE"/>
    <s v="MIDDLE"/>
    <s v="ROAD 18M (VILLAS)"/>
    <s v="SECOND"/>
    <x v="0"/>
    <n v="0.08"/>
    <n v="2.5000000000000001E-2"/>
    <n v="0.16"/>
    <n v="0.11"/>
    <n v="3.5000000000000003E-2"/>
    <n v="0.41000000000000003"/>
    <x v="0"/>
    <x v="1"/>
    <n v="48450.000000000007"/>
    <n v="54150.000000000007"/>
    <n v="5700"/>
    <n v="2337"/>
    <n v="50787.000000000007"/>
    <n v="16759.710000000003"/>
    <n v="55287.000000000007"/>
    <n v="58287.000000000007"/>
    <n v="7871985.0000000009"/>
    <n v="8569485.0000000019"/>
    <n v="9034485.0000000019"/>
    <n v="0"/>
    <n v="669118.72500000009"/>
    <n v="2"/>
    <n v="228000.00000000003"/>
    <n v="228000.00000000003"/>
    <n v="8099985.0000000009"/>
    <n v="8797485.0000000019"/>
    <n v="9262485.0000000019"/>
    <d v="2027-07-01T00:00:00"/>
    <d v="2025-01-01T00:00:00"/>
  </r>
  <r>
    <m/>
    <s v="D"/>
    <s v="D3"/>
    <s v="RESIDENTIAL"/>
    <n v="3"/>
    <n v="1"/>
    <x v="712"/>
    <s v="3 BEDROOM"/>
    <s v="C3"/>
    <n v="131.88"/>
    <n v="143.20629701844499"/>
    <x v="37"/>
    <m/>
    <m/>
    <s v="SE"/>
    <s v="CORNER "/>
    <s v="ROAD 18M (VILLAS)"/>
    <s v="THIRD"/>
    <x v="4"/>
    <n v="0.08"/>
    <n v="0.05"/>
    <n v="0.16"/>
    <n v="0.15"/>
    <n v="2.5000000000000001E-2"/>
    <n v="0.46500000000000008"/>
    <x v="0"/>
    <x v="9"/>
    <n v="58649.999999999993"/>
    <n v="65550"/>
    <n v="6900.0000000000073"/>
    <n v="3208.5000000000041"/>
    <n v="61858.5"/>
    <n v="20413.305"/>
    <n v="66358.5"/>
    <n v="69358.5"/>
    <n v="9959218.5"/>
    <n v="10683718.5"/>
    <n v="11166718.5"/>
    <n v="0"/>
    <n v="846533.57250000001"/>
    <n v="2"/>
    <n v="276000"/>
    <n v="276000"/>
    <n v="10235218.5"/>
    <n v="10959718.5"/>
    <n v="11442718.5"/>
    <d v="2027-07-01T00:00:00"/>
    <d v="2026-04-01T00:00:00"/>
  </r>
  <r>
    <m/>
    <s v="D"/>
    <s v="D3"/>
    <s v="RESIDENTIAL"/>
    <n v="3"/>
    <n v="2"/>
    <x v="713"/>
    <s v="3 BEDROOM"/>
    <s v="C3"/>
    <n v="131.43"/>
    <n v="142.71764950814546"/>
    <x v="33"/>
    <m/>
    <m/>
    <s v="NW"/>
    <s v="CORNER "/>
    <s v="LAKE D"/>
    <s v="THIRD"/>
    <x v="4"/>
    <n v="0.13"/>
    <n v="0.05"/>
    <n v="0.43"/>
    <n v="0.15"/>
    <n v="2.5000000000000001E-2"/>
    <n v="0.78500000000000003"/>
    <x v="2"/>
    <x v="5"/>
    <n v="46750.000000000007"/>
    <n v="52250.000000000007"/>
    <n v="5500"/>
    <n v="4317.5"/>
    <n v="51067.500000000007"/>
    <n v="16852.275000000001"/>
    <n v="55567.500000000007"/>
    <n v="58567.500000000007"/>
    <n v="8170800.0000000009"/>
    <n v="8890800.0000000019"/>
    <n v="9370800.0000000019"/>
    <n v="0"/>
    <n v="694518.00000000012"/>
    <n v="2"/>
    <n v="220000.00000000003"/>
    <n v="220000.00000000003"/>
    <n v="8390800.0000000019"/>
    <n v="9110800.0000000019"/>
    <n v="9590800.0000000019"/>
    <d v="2027-07-01T00:00:00"/>
    <d v="2024-10-01T00:00:00"/>
  </r>
  <r>
    <m/>
    <s v="D"/>
    <s v="D3"/>
    <s v="RESIDENTIAL"/>
    <n v="3"/>
    <n v="3"/>
    <x v="714"/>
    <s v="3 BEDROOM"/>
    <s v="C3"/>
    <n v="126.97"/>
    <n v="137.87460973939915"/>
    <x v="35"/>
    <m/>
    <m/>
    <s v="NW"/>
    <s v="MIDDLE"/>
    <s v="LAKE D"/>
    <s v="THIRD"/>
    <x v="0"/>
    <n v="0.13"/>
    <n v="2.5000000000000001E-2"/>
    <n v="0.43"/>
    <n v="0.15"/>
    <n v="3.5000000000000003E-2"/>
    <n v="0.77"/>
    <x v="2"/>
    <x v="6"/>
    <n v="44625"/>
    <n v="49875"/>
    <n v="5250"/>
    <n v="4042.5"/>
    <n v="48667.5"/>
    <n v="16060.275000000001"/>
    <n v="53167.5"/>
    <n v="56167.5"/>
    <n v="7543462.5"/>
    <n v="8240962.5"/>
    <n v="8705962.5"/>
    <n v="0"/>
    <n v="641194.3125"/>
    <n v="2"/>
    <n v="210000"/>
    <n v="210000"/>
    <n v="7753462.5"/>
    <n v="8450962.5"/>
    <n v="8915962.5"/>
    <d v="2027-07-01T00:00:00"/>
    <d v="2024-04-01T00:00:00"/>
  </r>
  <r>
    <m/>
    <s v="D"/>
    <s v="D3"/>
    <s v="RESIDENTIAL"/>
    <n v="3"/>
    <n v="4"/>
    <x v="715"/>
    <s v="3 BEDROOM"/>
    <s v="C3"/>
    <n v="127.45"/>
    <n v="138.39583375038529"/>
    <x v="35"/>
    <m/>
    <m/>
    <s v="SE"/>
    <s v="MIDDLE"/>
    <s v="ROAD 18M (VILLAS)"/>
    <s v="THIRD"/>
    <x v="0"/>
    <n v="0.08"/>
    <n v="2.5000000000000001E-2"/>
    <n v="0.16"/>
    <n v="0.15"/>
    <n v="3.5000000000000003E-2"/>
    <n v="0.45000000000000007"/>
    <x v="0"/>
    <x v="10"/>
    <n v="53550"/>
    <n v="59850"/>
    <n v="6300"/>
    <n v="2835.0000000000005"/>
    <n v="56385"/>
    <n v="18607.05"/>
    <n v="60885"/>
    <n v="63885"/>
    <n v="8739675"/>
    <n v="9437175"/>
    <n v="9902175"/>
    <n v="0"/>
    <n v="742872.375"/>
    <n v="2"/>
    <n v="252000"/>
    <n v="252000"/>
    <n v="8991675"/>
    <n v="9689175"/>
    <n v="10154175"/>
    <d v="2027-07-01T00:00:00"/>
    <d v="2025-10-01T00:00:00"/>
  </r>
  <r>
    <m/>
    <s v="D"/>
    <s v="D3"/>
    <s v="RESIDENTIAL"/>
    <n v="4"/>
    <n v="1"/>
    <x v="716"/>
    <s v="3 BEDROOM"/>
    <s v="C3"/>
    <n v="129.58000000000001"/>
    <n v="140.70876529913636"/>
    <x v="32"/>
    <m/>
    <m/>
    <s v="SE"/>
    <s v="CORNER "/>
    <s v="ROAD 18M (VILLAS)"/>
    <s v="FORTH"/>
    <x v="0"/>
    <n v="0.08"/>
    <n v="0.05"/>
    <n v="0.16"/>
    <n v="0.06"/>
    <n v="3.5000000000000003E-2"/>
    <n v="0.38500000000000001"/>
    <x v="0"/>
    <x v="2"/>
    <n v="45687.5"/>
    <n v="51062.5"/>
    <n v="5375"/>
    <n v="2069.375"/>
    <n v="47756.875"/>
    <n v="15759.768750000001"/>
    <n v="52256.875"/>
    <n v="55256.875"/>
    <n v="7545586.25"/>
    <n v="8256586.25"/>
    <n v="8730586.25"/>
    <n v="0"/>
    <n v="641374.83125000005"/>
    <n v="2"/>
    <n v="215000"/>
    <n v="215000"/>
    <n v="7760586.25"/>
    <n v="8471586.25"/>
    <n v="8945586.25"/>
    <d v="2027-07-01T00:00:00"/>
    <d v="2024-07-01T00:00:00"/>
  </r>
  <r>
    <m/>
    <s v="D"/>
    <s v="D3"/>
    <s v="RESIDENTIAL"/>
    <n v="4"/>
    <n v="2"/>
    <x v="717"/>
    <s v="3 BEDROOM"/>
    <s v="C3"/>
    <n v="131.38"/>
    <n v="142.66335534033439"/>
    <x v="33"/>
    <m/>
    <m/>
    <s v="NW"/>
    <s v="CORNER "/>
    <s v="LAKE D"/>
    <s v="FORTH"/>
    <x v="4"/>
    <n v="0.13"/>
    <n v="0.05"/>
    <n v="0.43"/>
    <n v="0.06"/>
    <n v="2.5000000000000001E-2"/>
    <n v="0.69499999999999995"/>
    <x v="1"/>
    <x v="4"/>
    <n v="51850"/>
    <n v="57950"/>
    <n v="6100"/>
    <n v="4239.5"/>
    <n v="56089.5"/>
    <n v="18509.535"/>
    <n v="60589.5"/>
    <n v="63589.5"/>
    <n v="8974320"/>
    <n v="9694320"/>
    <n v="10174320"/>
    <n v="0"/>
    <n v="762817.20000000007"/>
    <n v="2"/>
    <n v="244000"/>
    <n v="244000"/>
    <n v="9218320"/>
    <n v="9938320"/>
    <n v="10418320"/>
    <d v="2027-07-01T00:00:00"/>
    <d v="2025-07-01T00:00:00"/>
  </r>
  <r>
    <m/>
    <s v="D"/>
    <s v="D3"/>
    <s v="RESIDENTIAL"/>
    <n v="4"/>
    <n v="3"/>
    <x v="718"/>
    <s v="3 BEDROOM"/>
    <s v="C3"/>
    <n v="127.19"/>
    <n v="138.1135040777678"/>
    <x v="35"/>
    <m/>
    <m/>
    <s v="NW"/>
    <s v="MIDDLE"/>
    <s v="LAKE D"/>
    <s v="FORTH"/>
    <x v="0"/>
    <n v="0.13"/>
    <n v="2.5000000000000001E-2"/>
    <n v="0.43"/>
    <n v="0.06"/>
    <n v="3.5000000000000003E-2"/>
    <n v="0.68"/>
    <x v="1"/>
    <x v="12"/>
    <n v="50150"/>
    <n v="56050"/>
    <n v="5900"/>
    <n v="4012.0000000000005"/>
    <n v="54162"/>
    <n v="17873.46"/>
    <n v="58662"/>
    <n v="61662"/>
    <n v="8395110"/>
    <n v="9092610"/>
    <n v="9557610"/>
    <n v="0"/>
    <n v="713584.35000000009"/>
    <n v="2"/>
    <n v="236000"/>
    <n v="236000"/>
    <n v="8631110"/>
    <n v="9328610"/>
    <n v="9793610"/>
    <d v="2027-07-01T00:00:00"/>
    <d v="2025-04-01T00:00:00"/>
  </r>
  <r>
    <m/>
    <s v="D"/>
    <s v="D3"/>
    <s v="RESIDENTIAL"/>
    <n v="4"/>
    <n v="4"/>
    <x v="719"/>
    <s v="3 BEDROOM"/>
    <s v="C3"/>
    <n v="125.13"/>
    <n v="135.87658436395222"/>
    <x v="31"/>
    <m/>
    <m/>
    <s v="SE"/>
    <s v="MIDDLE"/>
    <s v="ROAD 18M (VILLAS)"/>
    <s v="FORTH"/>
    <x v="0"/>
    <n v="0.08"/>
    <n v="2.5000000000000001E-2"/>
    <n v="0.16"/>
    <n v="0.06"/>
    <n v="3.5000000000000003E-2"/>
    <n v="0.36"/>
    <x v="0"/>
    <x v="3"/>
    <n v="42500"/>
    <n v="47500"/>
    <n v="5000"/>
    <n v="1800"/>
    <n v="44300"/>
    <n v="14619"/>
    <n v="48800"/>
    <n v="51800"/>
    <n v="6777900"/>
    <n v="7466400"/>
    <n v="7925400"/>
    <n v="0"/>
    <n v="576121.5"/>
    <n v="2"/>
    <n v="200000"/>
    <n v="200000"/>
    <n v="6977900"/>
    <n v="7666400"/>
    <n v="8125400"/>
    <d v="2027-07-01T00:00:00"/>
    <d v="2023-09-01T00:00:00"/>
  </r>
  <r>
    <s v="C3"/>
    <s v="D"/>
    <s v="D4"/>
    <s v="RESIDENTIAL"/>
    <n v="0"/>
    <n v="1"/>
    <x v="720"/>
    <s v="2 BEDROOM"/>
    <s v="C3"/>
    <n v="88.49"/>
    <n v="96.199295659590803"/>
    <x v="34"/>
    <n v="67.5261"/>
    <m/>
    <s v="NW"/>
    <s v="MIDDLE"/>
    <s v="ROAD 18M (BUILDINGS)"/>
    <s v="GROUND"/>
    <x v="1"/>
    <n v="0.13"/>
    <n v="2.5000000000000001E-2"/>
    <n v="0.15"/>
    <n v="0.05"/>
    <n v="0.04"/>
    <n v="0.39499999999999996"/>
    <x v="0"/>
    <x v="2"/>
    <n v="45687.5"/>
    <n v="51062.5"/>
    <n v="5375"/>
    <n v="2123.125"/>
    <n v="47810.625"/>
    <n v="15777.50625"/>
    <n v="52310.625"/>
    <n v="55310.625"/>
    <n v="5163547.5"/>
    <n v="5649547.5"/>
    <n v="5973547.5"/>
    <n v="1065393.4647881251"/>
    <n v="529459.9820069907"/>
    <n v="1"/>
    <n v="215000"/>
    <n v="215000"/>
    <n v="6443940.9647881249"/>
    <n v="6929940.9647881249"/>
    <n v="7253940.9647881249"/>
    <d v="2027-07-01T00:00:00"/>
    <d v="2024-07-01T00:00:00"/>
  </r>
  <r>
    <m/>
    <s v="D"/>
    <s v="D4"/>
    <s v="RESIDENTIAL"/>
    <n v="0"/>
    <n v="2"/>
    <x v="721"/>
    <s v="3 BEDROOM"/>
    <s v="C3"/>
    <n v="124.72"/>
    <n v="135.58567244506912"/>
    <x v="48"/>
    <n v="85.417599999999993"/>
    <m/>
    <s v="SE"/>
    <s v="MIDDLE"/>
    <s v="LAKE D"/>
    <s v="GROUND"/>
    <x v="0"/>
    <n v="0.08"/>
    <n v="2.5000000000000001E-2"/>
    <n v="0.43"/>
    <n v="0.05"/>
    <n v="3.5000000000000003E-2"/>
    <n v="0.62000000000000011"/>
    <x v="1"/>
    <x v="6"/>
    <n v="44625"/>
    <n v="49875"/>
    <n v="5250"/>
    <n v="3255.0000000000005"/>
    <n v="47880"/>
    <n v="15800.400000000001"/>
    <n v="52380"/>
    <n v="55380"/>
    <n v="7277760"/>
    <n v="7961760"/>
    <n v="8417760"/>
    <n v="1349632.24704"/>
    <n v="733328.3409984"/>
    <n v="2"/>
    <n v="210000"/>
    <n v="210000"/>
    <n v="8837392.2470399998"/>
    <n v="9521392.2470399998"/>
    <n v="9977392.2470399998"/>
    <d v="2027-07-01T00:00:00"/>
    <d v="2024-04-01T00:00:00"/>
  </r>
  <r>
    <m/>
    <s v="D"/>
    <s v="D4"/>
    <s v="RESIDENTIAL"/>
    <n v="0"/>
    <n v="3"/>
    <x v="722"/>
    <s v="3 BEDROOM"/>
    <s v="C3"/>
    <n v="129.5"/>
    <n v="140.78210857630253"/>
    <x v="32"/>
    <n v="84.0732"/>
    <m/>
    <s v="SE"/>
    <s v="CORNER "/>
    <s v="LAKE D"/>
    <s v="GROUND"/>
    <x v="0"/>
    <n v="0.08"/>
    <n v="0.05"/>
    <n v="0.43"/>
    <n v="0.05"/>
    <n v="3.5000000000000003E-2"/>
    <n v="0.64500000000000013"/>
    <x v="1"/>
    <x v="2"/>
    <n v="45687.5"/>
    <n v="51062.5"/>
    <n v="5375"/>
    <n v="3466.8750000000009"/>
    <n v="49154.375"/>
    <n v="16220.94375"/>
    <n v="53654.375"/>
    <n v="56654.375"/>
    <n v="7766391.25"/>
    <n v="8477391.25"/>
    <n v="8951391.25"/>
    <n v="1363746.6480825001"/>
    <n v="776061.7213370126"/>
    <n v="2"/>
    <n v="215000"/>
    <n v="215000"/>
    <n v="9345137.8980825003"/>
    <n v="10056137.8980825"/>
    <n v="10530137.8980825"/>
    <d v="2027-07-01T00:00:00"/>
    <d v="2024-07-01T00:00:00"/>
  </r>
  <r>
    <m/>
    <s v="D"/>
    <s v="D4"/>
    <s v="RESIDENTIAL"/>
    <n v="0"/>
    <n v="4"/>
    <x v="723"/>
    <s v="3 BEDROOM"/>
    <s v="C3"/>
    <n v="131.68"/>
    <n v="143.15203133071444"/>
    <x v="37"/>
    <n v="83.961500000000001"/>
    <m/>
    <s v="NW"/>
    <s v="CORNER "/>
    <s v="LAKE F"/>
    <s v="GROUND"/>
    <x v="4"/>
    <n v="0.13"/>
    <n v="0.05"/>
    <n v="0.3"/>
    <n v="0.05"/>
    <n v="2.5000000000000001E-2"/>
    <n v="0.55500000000000005"/>
    <x v="1"/>
    <x v="3"/>
    <n v="42500"/>
    <n v="47500"/>
    <n v="5000"/>
    <n v="2775.0000000000005"/>
    <n v="45275"/>
    <n v="14940.75"/>
    <n v="49775"/>
    <n v="52775"/>
    <n v="7289275"/>
    <n v="8013775"/>
    <n v="8496775"/>
    <n v="1254447.781125"/>
    <n v="726216.436395625"/>
    <n v="2"/>
    <n v="200000"/>
    <n v="200000"/>
    <n v="8743722.7811249997"/>
    <n v="9468222.7811249997"/>
    <n v="9951222.7811249997"/>
    <d v="2027-07-01T00:00:00"/>
    <d v="2023-09-01T00:00:00"/>
  </r>
  <r>
    <m/>
    <s v="D"/>
    <s v="D4"/>
    <s v="RESIDENTIAL"/>
    <n v="1"/>
    <n v="1"/>
    <x v="724"/>
    <s v="2 BEDROOM"/>
    <s v="C3"/>
    <n v="88.79"/>
    <n v="96.525431818454848"/>
    <x v="34"/>
    <m/>
    <m/>
    <s v="NW"/>
    <s v="MIDDLE"/>
    <s v="ROAD 18M (BUILDINGS)"/>
    <s v="FIRST"/>
    <x v="1"/>
    <n v="0.13"/>
    <n v="2.5000000000000001E-2"/>
    <n v="0.15"/>
    <n v="7.0000000000000007E-2"/>
    <n v="0.04"/>
    <n v="0.41499999999999998"/>
    <x v="0"/>
    <x v="12"/>
    <n v="50150"/>
    <n v="56050"/>
    <n v="5900"/>
    <n v="2448.5"/>
    <n v="52598.5"/>
    <n v="17357.505000000001"/>
    <n v="57098.5"/>
    <n v="60098.5"/>
    <n v="5680638"/>
    <n v="6166638"/>
    <n v="6490638"/>
    <n v="0"/>
    <n v="482854.23000000004"/>
    <n v="1"/>
    <n v="236000"/>
    <n v="236000"/>
    <n v="5916638"/>
    <n v="6402638"/>
    <n v="6726638"/>
    <d v="2027-07-01T00:00:00"/>
    <d v="2025-04-01T00:00:00"/>
  </r>
  <r>
    <m/>
    <s v="D"/>
    <s v="D4"/>
    <s v="RESIDENTIAL"/>
    <n v="1"/>
    <n v="2"/>
    <x v="725"/>
    <s v="3 BEDROOM"/>
    <s v="C3"/>
    <n v="126.34"/>
    <n v="137.34680770293485"/>
    <x v="49"/>
    <m/>
    <m/>
    <s v="SE"/>
    <s v="MIDDLE"/>
    <s v="LAKE D"/>
    <s v="FIRST"/>
    <x v="0"/>
    <n v="0.08"/>
    <n v="2.5000000000000001E-2"/>
    <n v="0.43"/>
    <n v="7.0000000000000007E-2"/>
    <n v="3.5000000000000003E-2"/>
    <n v="0.64"/>
    <x v="1"/>
    <x v="2"/>
    <n v="45687.5"/>
    <n v="51062.5"/>
    <n v="5375"/>
    <n v="3440"/>
    <n v="49127.5"/>
    <n v="16212.075000000001"/>
    <n v="53627.5"/>
    <n v="56627.5"/>
    <n v="7565635"/>
    <n v="8258635"/>
    <n v="8720635"/>
    <n v="0"/>
    <n v="643078.97500000009"/>
    <n v="2"/>
    <n v="215000"/>
    <n v="215000"/>
    <n v="7780635"/>
    <n v="8473635"/>
    <n v="8935635"/>
    <d v="2027-07-01T00:00:00"/>
    <d v="2024-07-01T00:00:00"/>
  </r>
  <r>
    <m/>
    <s v="D"/>
    <s v="D4"/>
    <s v="RESIDENTIAL"/>
    <n v="1"/>
    <n v="3"/>
    <x v="726"/>
    <s v="3 BEDROOM"/>
    <s v="C3"/>
    <n v="131.12"/>
    <n v="142.54324383416824"/>
    <x v="33"/>
    <m/>
    <m/>
    <s v="SE"/>
    <s v="CORNER "/>
    <s v="LAKE D"/>
    <s v="FIRST"/>
    <x v="4"/>
    <n v="0.08"/>
    <n v="0.05"/>
    <n v="0.43"/>
    <n v="7.0000000000000007E-2"/>
    <n v="2.5000000000000001E-2"/>
    <n v="0.65500000000000014"/>
    <x v="1"/>
    <x v="1"/>
    <n v="48450.000000000007"/>
    <n v="54150.000000000007"/>
    <n v="5700"/>
    <n v="3733.5000000000009"/>
    <n v="52183.500000000007"/>
    <n v="17220.555000000004"/>
    <n v="56683.500000000007"/>
    <n v="59683.500000000007"/>
    <n v="8349360.0000000009"/>
    <n v="9069360.0000000019"/>
    <n v="9549360.0000000019"/>
    <n v="0"/>
    <n v="709695.60000000009"/>
    <n v="2"/>
    <n v="228000.00000000003"/>
    <n v="228000.00000000003"/>
    <n v="8577360.0000000019"/>
    <n v="9297360.0000000019"/>
    <n v="9777360.0000000019"/>
    <d v="2027-07-01T00:00:00"/>
    <d v="2025-01-01T00:00:00"/>
  </r>
  <r>
    <m/>
    <s v="D"/>
    <s v="D4"/>
    <s v="RESIDENTIAL"/>
    <n v="1"/>
    <n v="4"/>
    <x v="727"/>
    <s v="3 BEDROOM"/>
    <s v="C3"/>
    <n v="128.56"/>
    <n v="139.76021527852859"/>
    <x v="36"/>
    <m/>
    <m/>
    <s v="NW"/>
    <s v="CORNER "/>
    <s v="LAKE F"/>
    <s v="FIRST"/>
    <x v="0"/>
    <n v="0.13"/>
    <n v="0.05"/>
    <n v="0.3"/>
    <n v="7.0000000000000007E-2"/>
    <n v="3.5000000000000003E-2"/>
    <n v="0.58500000000000008"/>
    <x v="1"/>
    <x v="3"/>
    <n v="42500"/>
    <n v="47500"/>
    <n v="5000"/>
    <n v="2925.0000000000005"/>
    <n v="45425"/>
    <n v="14990.25"/>
    <n v="49925"/>
    <n v="52925"/>
    <n v="7131725"/>
    <n v="7838225"/>
    <n v="8309225"/>
    <n v="0"/>
    <n v="606196.625"/>
    <n v="2"/>
    <n v="200000"/>
    <n v="200000"/>
    <n v="7331725"/>
    <n v="8038225"/>
    <n v="8509225"/>
    <d v="2027-07-01T00:00:00"/>
    <d v="2023-09-01T00:00:00"/>
  </r>
  <r>
    <m/>
    <s v="D"/>
    <s v="D4"/>
    <s v="RESIDENTIAL"/>
    <n v="2"/>
    <n v="1"/>
    <x v="728"/>
    <s v="3 BEDROOM"/>
    <s v="C3"/>
    <n v="127.15"/>
    <n v="138.22737533186771"/>
    <x v="35"/>
    <m/>
    <m/>
    <s v="NW"/>
    <s v="MIDDLE"/>
    <s v="ROAD 18M (BUILDINGS)"/>
    <s v="SECOND"/>
    <x v="0"/>
    <n v="0.13"/>
    <n v="2.5000000000000001E-2"/>
    <n v="0.15"/>
    <n v="0.11"/>
    <n v="3.5000000000000003E-2"/>
    <n v="0.44999999999999996"/>
    <x v="0"/>
    <x v="10"/>
    <n v="53550"/>
    <n v="59850"/>
    <n v="6300"/>
    <n v="2834.9999999999995"/>
    <n v="56385"/>
    <n v="18607.05"/>
    <n v="60885"/>
    <n v="63885"/>
    <n v="8739675"/>
    <n v="9437175"/>
    <n v="9902175"/>
    <n v="0"/>
    <n v="742872.375"/>
    <n v="2"/>
    <n v="252000"/>
    <n v="252000"/>
    <n v="8991675"/>
    <n v="9689175"/>
    <n v="10154175"/>
    <d v="2027-07-01T00:00:00"/>
    <d v="2025-10-01T00:00:00"/>
  </r>
  <r>
    <m/>
    <s v="D"/>
    <s v="D4"/>
    <s v="RESIDENTIAL"/>
    <n v="2"/>
    <n v="2"/>
    <x v="729"/>
    <s v="3 BEDROOM"/>
    <s v="C3"/>
    <n v="126.78"/>
    <n v="137.82514073593541"/>
    <x v="35"/>
    <m/>
    <m/>
    <s v="SE"/>
    <s v="MIDDLE"/>
    <s v="LAKE D"/>
    <s v="SECOND"/>
    <x v="0"/>
    <n v="0.08"/>
    <n v="2.5000000000000001E-2"/>
    <n v="0.43"/>
    <n v="0.11"/>
    <n v="3.5000000000000003E-2"/>
    <n v="0.68"/>
    <x v="1"/>
    <x v="12"/>
    <n v="50150"/>
    <n v="56050"/>
    <n v="5900"/>
    <n v="4012.0000000000005"/>
    <n v="54162"/>
    <n v="17873.46"/>
    <n v="58662"/>
    <n v="61662"/>
    <n v="8395110"/>
    <n v="9092610"/>
    <n v="9557610"/>
    <n v="0"/>
    <n v="713584.35000000009"/>
    <n v="2"/>
    <n v="236000"/>
    <n v="236000"/>
    <n v="8631110"/>
    <n v="9328610"/>
    <n v="9793610"/>
    <d v="2027-07-01T00:00:00"/>
    <d v="2025-04-01T00:00:00"/>
  </r>
  <r>
    <m/>
    <s v="D"/>
    <s v="D4"/>
    <s v="RESIDENTIAL"/>
    <n v="2"/>
    <n v="3"/>
    <x v="730"/>
    <s v="3 BEDROOM"/>
    <s v="C3"/>
    <n v="131.56"/>
    <n v="143.02157686716882"/>
    <x v="37"/>
    <m/>
    <m/>
    <s v="SE"/>
    <s v="CORNER "/>
    <s v="LAKE D"/>
    <s v="SECOND"/>
    <x v="4"/>
    <n v="0.08"/>
    <n v="0.05"/>
    <n v="0.43"/>
    <n v="0.11"/>
    <n v="2.5000000000000001E-2"/>
    <n v="0.69500000000000006"/>
    <x v="1"/>
    <x v="4"/>
    <n v="51850"/>
    <n v="57950"/>
    <n v="6100"/>
    <n v="4239.5"/>
    <n v="56089.5"/>
    <n v="18509.535"/>
    <n v="60589.5"/>
    <n v="63589.5"/>
    <n v="9030409.5"/>
    <n v="9754909.5"/>
    <n v="10237909.5"/>
    <n v="0"/>
    <n v="767584.80750000011"/>
    <n v="2"/>
    <n v="244000"/>
    <n v="244000"/>
    <n v="9274409.5"/>
    <n v="9998909.5"/>
    <n v="10481909.5"/>
    <d v="2027-07-01T00:00:00"/>
    <d v="2025-07-01T00:00:00"/>
  </r>
  <r>
    <m/>
    <s v="D"/>
    <s v="D4"/>
    <s v="RESIDENTIAL"/>
    <n v="2"/>
    <n v="4"/>
    <x v="731"/>
    <s v="3 BEDROOM"/>
    <s v="C3"/>
    <n v="131.56"/>
    <n v="143.02157686716882"/>
    <x v="37"/>
    <m/>
    <m/>
    <s v="NW"/>
    <s v="CORNER "/>
    <s v="LAKE F"/>
    <s v="SECOND"/>
    <x v="4"/>
    <n v="0.13"/>
    <n v="0.05"/>
    <n v="0.3"/>
    <n v="0.11"/>
    <n v="2.5000000000000001E-2"/>
    <n v="0.61499999999999999"/>
    <x v="1"/>
    <x v="0"/>
    <n v="43562.499999999993"/>
    <n v="48687.499999999993"/>
    <n v="5125"/>
    <n v="3151.875"/>
    <n v="46714.374999999993"/>
    <n v="15415.743749999998"/>
    <n v="51214.374999999993"/>
    <n v="54214.374999999993"/>
    <n v="7521014.3749999991"/>
    <n v="8245514.3749999991"/>
    <n v="8728514.3749999981"/>
    <n v="0"/>
    <n v="639286.22187499993"/>
    <n v="2"/>
    <n v="204999.99999999997"/>
    <n v="204999.99999999997"/>
    <n v="7726014.3749999991"/>
    <n v="8450514.3749999981"/>
    <n v="8933514.3749999981"/>
    <d v="2027-07-01T00:00:00"/>
    <d v="2024-01-01T00:00:00"/>
  </r>
  <r>
    <m/>
    <s v="D"/>
    <s v="D4"/>
    <s v="RESIDENTIAL"/>
    <n v="3"/>
    <n v="1"/>
    <x v="732"/>
    <s v="3 BEDROOM"/>
    <s v="C3"/>
    <n v="127.45"/>
    <n v="138.55351149073172"/>
    <x v="35"/>
    <m/>
    <m/>
    <s v="NW"/>
    <s v="MIDDLE"/>
    <s v="ROAD 18M (BUILDINGS)"/>
    <s v="THIRD"/>
    <x v="0"/>
    <n v="0.13"/>
    <n v="2.5000000000000001E-2"/>
    <n v="0.15"/>
    <n v="0.15"/>
    <n v="3.5000000000000003E-2"/>
    <n v="0.49"/>
    <x v="0"/>
    <x v="7"/>
    <n v="61625"/>
    <n v="68875"/>
    <n v="7250"/>
    <n v="3552.5"/>
    <n v="65177.5"/>
    <n v="21508.575000000001"/>
    <n v="69677.5"/>
    <n v="72677.5"/>
    <n v="10102512.5"/>
    <n v="10800012.5"/>
    <n v="11265012.5"/>
    <n v="0"/>
    <n v="858713.56250000012"/>
    <n v="2"/>
    <n v="290000"/>
    <n v="290000"/>
    <n v="10392512.5"/>
    <n v="11090012.5"/>
    <n v="11555012.5"/>
    <d v="2027-07-01T00:00:00"/>
    <d v="2026-07-01T00:00:00"/>
  </r>
  <r>
    <m/>
    <s v="D"/>
    <s v="D4"/>
    <s v="RESIDENTIAL"/>
    <n v="3"/>
    <n v="2"/>
    <x v="733"/>
    <s v="3 BEDROOM"/>
    <s v="C3"/>
    <n v="126.88"/>
    <n v="137.93385278889008"/>
    <x v="35"/>
    <m/>
    <m/>
    <s v="SE"/>
    <s v="MIDDLE"/>
    <s v="LAKE D"/>
    <s v="THIRD"/>
    <x v="0"/>
    <n v="0.08"/>
    <n v="2.5000000000000001E-2"/>
    <n v="0.43"/>
    <n v="0.15"/>
    <n v="3.5000000000000003E-2"/>
    <n v="0.72000000000000008"/>
    <x v="1"/>
    <x v="7"/>
    <n v="61625"/>
    <n v="68875"/>
    <n v="7250"/>
    <n v="5220.0000000000009"/>
    <n v="66845"/>
    <n v="22058.850000000002"/>
    <n v="71345"/>
    <n v="74345"/>
    <n v="10360975"/>
    <n v="11058475"/>
    <n v="11523475"/>
    <n v="0"/>
    <n v="880682.87500000012"/>
    <n v="2"/>
    <n v="290000"/>
    <n v="290000"/>
    <n v="10650975"/>
    <n v="11348475"/>
    <n v="11813475"/>
    <d v="2027-07-01T00:00:00"/>
    <d v="2026-07-01T00:00:00"/>
  </r>
  <r>
    <m/>
    <s v="D"/>
    <s v="D4"/>
    <s v="RESIDENTIAL"/>
    <n v="3"/>
    <n v="3"/>
    <x v="734"/>
    <s v="3 BEDROOM"/>
    <s v="C3"/>
    <n v="131.66"/>
    <n v="143.13028892012346"/>
    <x v="37"/>
    <m/>
    <m/>
    <s v="SE"/>
    <s v="CORNER "/>
    <s v="LAKE D"/>
    <s v="THIRD"/>
    <x v="4"/>
    <n v="0.08"/>
    <n v="0.05"/>
    <n v="0.43"/>
    <n v="0.15"/>
    <n v="2.5000000000000001E-2"/>
    <n v="0.7350000000000001"/>
    <x v="2"/>
    <x v="3"/>
    <n v="42500"/>
    <n v="47500"/>
    <n v="5000"/>
    <n v="3675.0000000000005"/>
    <n v="46175"/>
    <n v="15237.75"/>
    <n v="50675"/>
    <n v="53675"/>
    <n v="7434175"/>
    <n v="8158675"/>
    <n v="8641675"/>
    <n v="0"/>
    <n v="631904.875"/>
    <n v="2"/>
    <n v="200000"/>
    <n v="200000"/>
    <n v="7634175"/>
    <n v="8358675"/>
    <n v="8841675"/>
    <d v="2027-07-01T00:00:00"/>
    <d v="2023-09-01T00:00:00"/>
  </r>
  <r>
    <m/>
    <s v="D"/>
    <s v="D4"/>
    <s v="RESIDENTIAL"/>
    <n v="3"/>
    <n v="4"/>
    <x v="735"/>
    <s v="3 BEDROOM"/>
    <s v="C3"/>
    <n v="131.86000000000001"/>
    <n v="143.34771302603284"/>
    <x v="37"/>
    <m/>
    <m/>
    <s v="NW"/>
    <s v="CORNER "/>
    <s v="LAKE F"/>
    <s v="THIRD"/>
    <x v="4"/>
    <n v="0.13"/>
    <n v="0.05"/>
    <n v="0.3"/>
    <n v="0.15"/>
    <n v="2.5000000000000001E-2"/>
    <n v="0.65500000000000003"/>
    <x v="1"/>
    <x v="5"/>
    <n v="46750.000000000007"/>
    <n v="52250.000000000007"/>
    <n v="5500"/>
    <n v="3602.5"/>
    <n v="50352.500000000007"/>
    <n v="16616.325000000004"/>
    <n v="54852.500000000007"/>
    <n v="57852.500000000007"/>
    <n v="8106752.5000000009"/>
    <n v="8831252.5000000019"/>
    <n v="9314252.5000000019"/>
    <n v="0"/>
    <n v="689073.96250000014"/>
    <n v="2"/>
    <n v="220000.00000000003"/>
    <n v="220000.00000000003"/>
    <n v="8326752.5000000009"/>
    <n v="9051252.5000000019"/>
    <n v="9534252.5000000019"/>
    <d v="2027-07-01T00:00:00"/>
    <d v="2024-10-01T00:00:00"/>
  </r>
  <r>
    <m/>
    <s v="D"/>
    <s v="D4"/>
    <s v="RESIDENTIAL"/>
    <n v="4"/>
    <n v="1"/>
    <x v="736"/>
    <s v="3 BEDROOM"/>
    <s v="C3"/>
    <n v="125.09"/>
    <n v="135.98790704100142"/>
    <x v="31"/>
    <m/>
    <m/>
    <s v="NW"/>
    <s v="MIDDLE"/>
    <s v="ROAD 18M (BUILDINGS)"/>
    <s v="FORTH"/>
    <x v="0"/>
    <n v="0.13"/>
    <n v="2.5000000000000001E-2"/>
    <n v="0.15"/>
    <n v="0.06"/>
    <n v="3.5000000000000003E-2"/>
    <n v="0.4"/>
    <x v="0"/>
    <x v="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n v="8397850.0000000019"/>
    <n v="8856850.0000000019"/>
    <d v="2027-07-01T00:00:00"/>
    <d v="2024-10-01T00:00:00"/>
  </r>
  <r>
    <m/>
    <s v="D"/>
    <s v="D4"/>
    <s v="RESIDENTIAL"/>
    <n v="4"/>
    <n v="2"/>
    <x v="737"/>
    <s v="3 BEDROOM"/>
    <s v="C3"/>
    <n v="126.88"/>
    <n v="137.93385278889008"/>
    <x v="35"/>
    <m/>
    <m/>
    <s v="SE"/>
    <s v="MIDDLE"/>
    <s v="LAKE D"/>
    <s v="FORTH"/>
    <x v="0"/>
    <n v="0.08"/>
    <n v="2.5000000000000001E-2"/>
    <n v="0.43"/>
    <n v="0.06"/>
    <n v="3.5000000000000003E-2"/>
    <n v="0.63"/>
    <x v="1"/>
    <x v="6"/>
    <n v="44625"/>
    <n v="49875"/>
    <n v="5250"/>
    <n v="3307.5"/>
    <n v="47932.5"/>
    <n v="15817.725"/>
    <n v="52432.5"/>
    <n v="55432.5"/>
    <n v="7429537.5"/>
    <n v="8127037.5"/>
    <n v="8592037.5"/>
    <n v="0"/>
    <n v="631510.6875"/>
    <n v="2"/>
    <n v="210000"/>
    <n v="210000"/>
    <n v="7639537.5"/>
    <n v="8337037.5"/>
    <n v="8802037.5"/>
    <d v="2027-07-01T00:00:00"/>
    <d v="2024-04-01T00:00:00"/>
  </r>
  <r>
    <m/>
    <s v="D"/>
    <s v="D4"/>
    <s v="RESIDENTIAL"/>
    <n v="4"/>
    <n v="3"/>
    <x v="738"/>
    <s v="3 BEDROOM"/>
    <s v="C3"/>
    <n v="131.66"/>
    <n v="143.13028892012346"/>
    <x v="37"/>
    <m/>
    <m/>
    <s v="SE"/>
    <s v="CORNER "/>
    <s v="LAKE D"/>
    <s v="FORTH"/>
    <x v="4"/>
    <n v="0.08"/>
    <n v="0.05"/>
    <n v="0.43"/>
    <n v="0.06"/>
    <n v="2.5000000000000001E-2"/>
    <n v="0.64500000000000013"/>
    <x v="1"/>
    <x v="2"/>
    <n v="45687.5"/>
    <n v="51062.5"/>
    <n v="5375"/>
    <n v="3466.8750000000009"/>
    <n v="49154.375"/>
    <n v="16220.94375"/>
    <n v="53654.375"/>
    <n v="56654.375"/>
    <n v="7913854.375"/>
    <n v="8638354.375"/>
    <n v="9121354.375"/>
    <n v="0"/>
    <n v="672677.62187500007"/>
    <n v="2"/>
    <n v="215000"/>
    <n v="215000"/>
    <n v="8128854.375"/>
    <n v="8853354.375"/>
    <n v="9336354.375"/>
    <d v="2027-07-01T00:00:00"/>
    <d v="2024-07-01T00:00:00"/>
  </r>
  <r>
    <m/>
    <s v="D"/>
    <s v="D4"/>
    <s v="RESIDENTIAL"/>
    <n v="4"/>
    <n v="4"/>
    <x v="739"/>
    <s v="3 BEDROOM"/>
    <s v="C3"/>
    <n v="129.5"/>
    <n v="140.78210857630253"/>
    <x v="32"/>
    <m/>
    <m/>
    <s v="NW"/>
    <s v="CORNER "/>
    <s v="LAKE F"/>
    <s v="FORTH"/>
    <x v="0"/>
    <n v="0.13"/>
    <n v="0.05"/>
    <n v="0.3"/>
    <n v="0.06"/>
    <n v="3.5000000000000003E-2"/>
    <n v="0.57500000000000007"/>
    <x v="1"/>
    <x v="3"/>
    <n v="42500"/>
    <n v="47500"/>
    <n v="5000"/>
    <n v="2875.0000000000005"/>
    <n v="45375"/>
    <n v="14973.75"/>
    <n v="49875"/>
    <n v="52875"/>
    <n v="7169250"/>
    <n v="7880250"/>
    <n v="8354250"/>
    <n v="0"/>
    <n v="609386.25"/>
    <n v="2"/>
    <n v="200000"/>
    <n v="200000"/>
    <n v="7369250"/>
    <n v="8080250"/>
    <n v="8554250"/>
    <d v="2027-07-01T00:00:00"/>
    <d v="2023-09-01T00:00:00"/>
  </r>
  <r>
    <s v="C3"/>
    <s v="D"/>
    <s v="D5"/>
    <s v="RESIDENTIAL"/>
    <n v="0"/>
    <n v="1"/>
    <x v="740"/>
    <s v="3 BEDROOM"/>
    <s v="C3"/>
    <n v="131.68"/>
    <n v="143.16923069529381"/>
    <x v="37"/>
    <n v="84.359399999999994"/>
    <m/>
    <s v="NW"/>
    <s v="CORNER "/>
    <s v="ROAD 12M"/>
    <s v="GROUND"/>
    <x v="4"/>
    <n v="0.13"/>
    <n v="0.05"/>
    <n v="0.13"/>
    <n v="0.05"/>
    <n v="2.5000000000000001E-2"/>
    <n v="0.38500000000000001"/>
    <x v="0"/>
    <x v="6"/>
    <n v="44625"/>
    <n v="49875"/>
    <n v="5250"/>
    <n v="2021.25"/>
    <n v="46646.25"/>
    <n v="15393.262500000001"/>
    <n v="51146.25"/>
    <n v="54146.25"/>
    <n v="7510046.25"/>
    <n v="8234546.25"/>
    <n v="8717546.25"/>
    <n v="1298566.3885424999"/>
    <n v="748732.07427611249"/>
    <n v="2"/>
    <n v="210000"/>
    <n v="210000"/>
    <n v="9018612.6385424994"/>
    <n v="9743112.6385424994"/>
    <n v="10226112.638542499"/>
    <d v="2027-07-01T00:00:00"/>
    <d v="2024-04-01T00:00:00"/>
  </r>
  <r>
    <m/>
    <s v="D"/>
    <s v="D5"/>
    <s v="RESIDENTIAL"/>
    <n v="0"/>
    <n v="2"/>
    <x v="741"/>
    <s v="3 BEDROOM"/>
    <s v="C3"/>
    <n v="129.5"/>
    <n v="140.79902320049018"/>
    <x v="32"/>
    <n v="84.0732"/>
    <m/>
    <s v="SE"/>
    <s v="CORNER "/>
    <s v="LAKE D"/>
    <s v="GROUND"/>
    <x v="0"/>
    <n v="0.08"/>
    <n v="0.05"/>
    <n v="0.43"/>
    <n v="0.05"/>
    <n v="3.5000000000000003E-2"/>
    <n v="0.64500000000000013"/>
    <x v="1"/>
    <x v="2"/>
    <n v="45687.5"/>
    <n v="51062.5"/>
    <n v="5375"/>
    <n v="3466.8750000000009"/>
    <n v="49154.375"/>
    <n v="16220.94375"/>
    <n v="53654.375"/>
    <n v="56654.375"/>
    <n v="7766391.25"/>
    <n v="8477391.25"/>
    <n v="8951391.25"/>
    <n v="1363746.6480825001"/>
    <n v="776061.7213370126"/>
    <n v="2"/>
    <n v="215000"/>
    <n v="215000"/>
    <n v="9345137.8980825003"/>
    <n v="10056137.8980825"/>
    <n v="10530137.8980825"/>
    <d v="2027-07-01T00:00:00"/>
    <d v="2024-07-01T00:00:00"/>
  </r>
  <r>
    <m/>
    <s v="D"/>
    <s v="D5"/>
    <s v="RESIDENTIAL"/>
    <n v="0"/>
    <n v="3"/>
    <x v="742"/>
    <s v="3 BEDROOM"/>
    <s v="C3"/>
    <n v="124.72"/>
    <n v="135.60196273023271"/>
    <x v="48"/>
    <n v="85.417599999999993"/>
    <m/>
    <s v="SE"/>
    <s v="MIDDLE"/>
    <s v="LAKE D"/>
    <s v="GROUND"/>
    <x v="0"/>
    <n v="0.08"/>
    <n v="2.5000000000000001E-2"/>
    <n v="0.43"/>
    <n v="0.05"/>
    <n v="3.5000000000000003E-2"/>
    <n v="0.62000000000000011"/>
    <x v="1"/>
    <x v="6"/>
    <n v="44625"/>
    <n v="49875"/>
    <n v="5250"/>
    <n v="3255.0000000000005"/>
    <n v="47880"/>
    <n v="15800.400000000001"/>
    <n v="52380"/>
    <n v="55380"/>
    <n v="7277760"/>
    <n v="7961760"/>
    <n v="8417760"/>
    <n v="1349632.24704"/>
    <n v="733328.3409984"/>
    <n v="2"/>
    <n v="210000"/>
    <n v="210000"/>
    <n v="8837392.2470399998"/>
    <n v="9521392.2470399998"/>
    <n v="9977392.2470399998"/>
    <d v="2027-07-01T00:00:00"/>
    <d v="2024-04-01T00:00:00"/>
  </r>
  <r>
    <m/>
    <s v="D"/>
    <s v="D5"/>
    <s v="RESIDENTIAL"/>
    <n v="0"/>
    <n v="4"/>
    <x v="743"/>
    <s v="2 BEDROOM"/>
    <s v="C3"/>
    <n v="88.49"/>
    <n v="96.210853768427611"/>
    <x v="34"/>
    <n v="67.558899999999994"/>
    <m/>
    <s v="NW"/>
    <s v="MIDDLE"/>
    <s v="ROAD 12M"/>
    <s v="GROUND"/>
    <x v="1"/>
    <n v="0.13"/>
    <n v="2.5000000000000001E-2"/>
    <n v="0.13"/>
    <n v="0.05"/>
    <n v="0.04"/>
    <n v="0.375"/>
    <x v="0"/>
    <x v="6"/>
    <n v="44625"/>
    <n v="49875"/>
    <n v="5250"/>
    <n v="1968.75"/>
    <n v="46593.75"/>
    <n v="15375.9375"/>
    <n v="51093.75"/>
    <n v="54093.75"/>
    <n v="5032125"/>
    <n v="5518125"/>
    <n v="5842125"/>
    <n v="1038781.4239687499"/>
    <n v="516027.0460373438"/>
    <n v="1"/>
    <n v="210000"/>
    <n v="210000"/>
    <n v="6280906.4239687501"/>
    <n v="6766906.4239687501"/>
    <n v="7090906.4239687501"/>
    <d v="2027-07-01T00:00:00"/>
    <d v="2024-04-01T00:00:00"/>
  </r>
  <r>
    <m/>
    <s v="D"/>
    <s v="D5"/>
    <s v="RESIDENTIAL"/>
    <n v="1"/>
    <n v="1"/>
    <x v="744"/>
    <s v="3 BEDROOM"/>
    <s v="C3"/>
    <n v="128.56"/>
    <n v="139.77700712474919"/>
    <x v="36"/>
    <m/>
    <m/>
    <s v="NW"/>
    <s v="CORNER "/>
    <s v="ROAD 12M"/>
    <s v="FIRST"/>
    <x v="0"/>
    <n v="0.13"/>
    <n v="0.05"/>
    <n v="0.13"/>
    <n v="7.0000000000000007E-2"/>
    <n v="3.5000000000000003E-2"/>
    <n v="0.41500000000000004"/>
    <x v="0"/>
    <x v="12"/>
    <n v="50150"/>
    <n v="56050"/>
    <n v="5900"/>
    <n v="2448.5"/>
    <n v="52598.5"/>
    <n v="17357.505000000001"/>
    <n v="57098.5"/>
    <n v="60098.5"/>
    <n v="8257964.5"/>
    <n v="8964464.5"/>
    <n v="9435464.5"/>
    <n v="0"/>
    <n v="701926.98250000004"/>
    <n v="2"/>
    <n v="236000"/>
    <n v="236000"/>
    <n v="8493964.5"/>
    <n v="9200464.5"/>
    <n v="9671464.5"/>
    <d v="2027-07-01T00:00:00"/>
    <d v="2025-04-01T00:00:00"/>
  </r>
  <r>
    <m/>
    <s v="D"/>
    <s v="D5"/>
    <s v="RESIDENTIAL"/>
    <n v="1"/>
    <n v="2"/>
    <x v="745"/>
    <s v="3 BEDROOM"/>
    <s v="C3"/>
    <n v="131.12"/>
    <n v="142.56037005442684"/>
    <x v="33"/>
    <m/>
    <m/>
    <s v="SE"/>
    <s v="CORNER "/>
    <s v="LAKE D"/>
    <s v="FIRST"/>
    <x v="4"/>
    <n v="0.08"/>
    <n v="0.05"/>
    <n v="0.43"/>
    <n v="7.0000000000000007E-2"/>
    <n v="2.5000000000000001E-2"/>
    <n v="0.65500000000000014"/>
    <x v="1"/>
    <x v="1"/>
    <n v="48450.000000000007"/>
    <n v="54150.000000000007"/>
    <n v="5700"/>
    <n v="3733.5000000000009"/>
    <n v="52183.500000000007"/>
    <n v="17220.555000000004"/>
    <n v="56683.500000000007"/>
    <n v="59683.500000000007"/>
    <n v="8349360.0000000009"/>
    <n v="9069360.0000000019"/>
    <n v="9549360.0000000019"/>
    <n v="0"/>
    <n v="709695.60000000009"/>
    <n v="2"/>
    <n v="228000.00000000003"/>
    <n v="228000.00000000003"/>
    <n v="8577360.0000000019"/>
    <n v="9297360.0000000019"/>
    <n v="9777360.0000000019"/>
    <d v="2027-07-01T00:00:00"/>
    <d v="2025-01-01T00:00:00"/>
  </r>
  <r>
    <m/>
    <s v="D"/>
    <s v="D5"/>
    <s v="RESIDENTIAL"/>
    <n v="1"/>
    <n v="3"/>
    <x v="746"/>
    <s v="3 BEDROOM"/>
    <s v="C3"/>
    <n v="126.34"/>
    <n v="137.36330958416934"/>
    <x v="49"/>
    <m/>
    <m/>
    <s v="SE"/>
    <s v="MIDDLE"/>
    <s v="LAKE D"/>
    <s v="FIRST"/>
    <x v="0"/>
    <n v="0.08"/>
    <n v="2.5000000000000001E-2"/>
    <n v="0.43"/>
    <n v="7.0000000000000007E-2"/>
    <n v="3.5000000000000003E-2"/>
    <n v="0.64"/>
    <x v="1"/>
    <x v="2"/>
    <n v="45687.5"/>
    <n v="51062.5"/>
    <n v="5375"/>
    <n v="3440"/>
    <n v="49127.5"/>
    <n v="16212.075000000001"/>
    <n v="53627.5"/>
    <n v="56627.5"/>
    <n v="7565635"/>
    <n v="8258635"/>
    <n v="8720635"/>
    <n v="0"/>
    <n v="643078.97500000009"/>
    <n v="2"/>
    <n v="215000"/>
    <n v="215000"/>
    <n v="7780635"/>
    <n v="8473635"/>
    <n v="8935635"/>
    <d v="2027-07-01T00:00:00"/>
    <d v="2024-07-01T00:00:00"/>
  </r>
  <r>
    <m/>
    <s v="D"/>
    <s v="D5"/>
    <s v="RESIDENTIAL"/>
    <n v="1"/>
    <n v="4"/>
    <x v="747"/>
    <s v="2 BEDROOM"/>
    <s v="C3"/>
    <n v="88.79"/>
    <n v="96.537029111749234"/>
    <x v="34"/>
    <m/>
    <m/>
    <s v="NW"/>
    <s v="MIDDLE"/>
    <s v="ROAD 12M"/>
    <s v="FIRST"/>
    <x v="1"/>
    <n v="0.13"/>
    <n v="2.5000000000000001E-2"/>
    <n v="0.13"/>
    <n v="7.0000000000000007E-2"/>
    <n v="0.04"/>
    <n v="0.39500000000000002"/>
    <x v="0"/>
    <x v="2"/>
    <n v="45687.5"/>
    <n v="51062.5"/>
    <n v="5375"/>
    <n v="2123.125"/>
    <n v="47810.625"/>
    <n v="15777.50625"/>
    <n v="52310.625"/>
    <n v="55310.625"/>
    <n v="5163547.5"/>
    <n v="5649547.5"/>
    <n v="5973547.5"/>
    <n v="0"/>
    <n v="438901.53750000003"/>
    <n v="1"/>
    <n v="215000"/>
    <n v="215000"/>
    <n v="5378547.5"/>
    <n v="5864547.5"/>
    <n v="6188547.5"/>
    <d v="2027-07-01T00:00:00"/>
    <d v="2024-07-01T00:00:00"/>
  </r>
  <r>
    <m/>
    <s v="D"/>
    <s v="D5"/>
    <s v="RESIDENTIAL"/>
    <n v="2"/>
    <n v="1"/>
    <x v="748"/>
    <s v="3 BEDROOM"/>
    <s v="C3"/>
    <n v="131.56"/>
    <n v="143.03876055796516"/>
    <x v="37"/>
    <m/>
    <m/>
    <s v="NW"/>
    <s v="CORNER "/>
    <s v="ROAD 12M"/>
    <s v="SECOND"/>
    <x v="4"/>
    <n v="0.13"/>
    <n v="0.05"/>
    <n v="0.13"/>
    <n v="0.11"/>
    <n v="2.5000000000000001E-2"/>
    <n v="0.44500000000000001"/>
    <x v="0"/>
    <x v="10"/>
    <n v="53550"/>
    <n v="59850"/>
    <n v="6300"/>
    <n v="2803.5"/>
    <n v="56353.5"/>
    <n v="18596.655000000002"/>
    <n v="60853.5"/>
    <n v="63853.5"/>
    <n v="9072913.5"/>
    <n v="9797413.5"/>
    <n v="10280413.5"/>
    <n v="0"/>
    <n v="771197.64750000008"/>
    <n v="2"/>
    <n v="252000"/>
    <n v="252000"/>
    <n v="9324913.5"/>
    <n v="10049413.5"/>
    <n v="10532413.5"/>
    <d v="2027-07-01T00:00:00"/>
    <d v="2025-10-01T00:00:00"/>
  </r>
  <r>
    <m/>
    <s v="D"/>
    <s v="D5"/>
    <s v="RESIDENTIAL"/>
    <n v="2"/>
    <n v="2"/>
    <x v="749"/>
    <s v="3 BEDROOM"/>
    <s v="C3"/>
    <n v="131.56"/>
    <n v="143.03876055796516"/>
    <x v="37"/>
    <m/>
    <m/>
    <s v="SE"/>
    <s v="CORNER "/>
    <s v="LAKE D"/>
    <s v="SECOND"/>
    <x v="4"/>
    <n v="0.08"/>
    <n v="0.05"/>
    <n v="0.43"/>
    <n v="0.11"/>
    <n v="2.5000000000000001E-2"/>
    <n v="0.69500000000000006"/>
    <x v="1"/>
    <x v="10"/>
    <n v="53550"/>
    <n v="59850"/>
    <n v="6300"/>
    <n v="4378.5"/>
    <n v="57928.5"/>
    <n v="19116.405000000002"/>
    <n v="62428.5"/>
    <n v="65428.5"/>
    <n v="9326488.5"/>
    <n v="10050988.5"/>
    <n v="10533988.5"/>
    <n v="0"/>
    <n v="792751.52250000008"/>
    <n v="2"/>
    <n v="252000"/>
    <n v="252000"/>
    <n v="9578488.5"/>
    <n v="10302988.5"/>
    <n v="10785988.5"/>
    <d v="2027-07-01T00:00:00"/>
    <d v="2025-10-01T00:00:00"/>
  </r>
  <r>
    <m/>
    <s v="D"/>
    <s v="D5"/>
    <s v="RESIDENTIAL"/>
    <n v="2"/>
    <n v="3"/>
    <x v="750"/>
    <s v="3 BEDROOM"/>
    <s v="C3"/>
    <n v="126.78"/>
    <n v="137.84170008770769"/>
    <x v="35"/>
    <m/>
    <m/>
    <s v="SE"/>
    <s v="MIDDLE"/>
    <s v="LAKE D"/>
    <s v="SECOND"/>
    <x v="0"/>
    <n v="0.08"/>
    <n v="2.5000000000000001E-2"/>
    <n v="0.43"/>
    <n v="0.11"/>
    <n v="3.5000000000000003E-2"/>
    <n v="0.68"/>
    <x v="1"/>
    <x v="12"/>
    <n v="50150"/>
    <n v="56050"/>
    <n v="5900"/>
    <n v="4012.0000000000005"/>
    <n v="54162"/>
    <n v="17873.46"/>
    <n v="58662"/>
    <n v="61662"/>
    <n v="8395110"/>
    <n v="9092610"/>
    <n v="9557610"/>
    <n v="0"/>
    <n v="713584.35000000009"/>
    <n v="2"/>
    <n v="236000"/>
    <n v="236000"/>
    <n v="8631110"/>
    <n v="9328610"/>
    <n v="9793610"/>
    <d v="2027-07-01T00:00:00"/>
    <d v="2025-04-01T00:00:00"/>
  </r>
  <r>
    <m/>
    <s v="D"/>
    <s v="D5"/>
    <s v="RESIDENTIAL"/>
    <n v="2"/>
    <n v="4"/>
    <x v="751"/>
    <s v="3 BEDROOM"/>
    <s v="C3"/>
    <n v="127.15"/>
    <n v="138.24398301113769"/>
    <x v="35"/>
    <m/>
    <m/>
    <s v="NW"/>
    <s v="MIDDLE"/>
    <s v="ROAD 12M"/>
    <s v="SECOND"/>
    <x v="0"/>
    <n v="0.13"/>
    <n v="2.5000000000000001E-2"/>
    <n v="0.13"/>
    <n v="0.11"/>
    <n v="3.5000000000000003E-2"/>
    <n v="0.43000000000000005"/>
    <x v="0"/>
    <x v="4"/>
    <n v="51850"/>
    <n v="57950"/>
    <n v="6100"/>
    <n v="2623.0000000000005"/>
    <n v="54473"/>
    <n v="17976.09"/>
    <n v="58973"/>
    <n v="61973"/>
    <n v="8443315"/>
    <n v="9140815"/>
    <n v="9605815"/>
    <n v="0"/>
    <n v="717681.77500000002"/>
    <n v="2"/>
    <n v="244000"/>
    <n v="244000"/>
    <n v="8687315"/>
    <n v="9384815"/>
    <n v="9849815"/>
    <d v="2027-07-01T00:00:00"/>
    <d v="2025-07-01T00:00:00"/>
  </r>
  <r>
    <m/>
    <s v="D"/>
    <s v="D5"/>
    <s v="RESIDENTIAL"/>
    <n v="3"/>
    <n v="1"/>
    <x v="752"/>
    <s v="3 BEDROOM"/>
    <s v="C3"/>
    <n v="131.86000000000001"/>
    <n v="143.36493590128677"/>
    <x v="37"/>
    <m/>
    <m/>
    <s v="NW"/>
    <s v="CORNER "/>
    <s v="ROAD 12M"/>
    <s v="THIRD"/>
    <x v="4"/>
    <n v="0.13"/>
    <n v="0.05"/>
    <n v="0.13"/>
    <n v="0.15"/>
    <n v="2.5000000000000001E-2"/>
    <n v="0.48499999999999999"/>
    <x v="0"/>
    <x v="7"/>
    <n v="61625"/>
    <n v="68875"/>
    <n v="7250"/>
    <n v="3516.25"/>
    <n v="65141.25"/>
    <n v="21496.612499999999"/>
    <n v="69641.25"/>
    <n v="72641.25"/>
    <n v="10487741.25"/>
    <n v="11212241.25"/>
    <n v="11695241.25"/>
    <n v="0"/>
    <n v="891458.00625000009"/>
    <n v="2"/>
    <n v="290000"/>
    <n v="290000"/>
    <n v="10777741.25"/>
    <n v="11502241.25"/>
    <n v="11985241.25"/>
    <d v="2027-07-01T00:00:00"/>
    <d v="2026-07-01T00:00:00"/>
  </r>
  <r>
    <m/>
    <s v="D"/>
    <s v="D5"/>
    <s v="RESIDENTIAL"/>
    <n v="3"/>
    <n v="2"/>
    <x v="753"/>
    <s v="3 BEDROOM"/>
    <s v="C3"/>
    <n v="131.66"/>
    <n v="143.14748567240571"/>
    <x v="37"/>
    <m/>
    <m/>
    <s v="SE"/>
    <s v="CORNER "/>
    <s v="LAKE D"/>
    <s v="THIRD"/>
    <x v="4"/>
    <n v="0.08"/>
    <n v="0.05"/>
    <n v="0.43"/>
    <n v="0.15"/>
    <n v="2.5000000000000001E-2"/>
    <n v="0.7350000000000001"/>
    <x v="2"/>
    <x v="3"/>
    <n v="42500"/>
    <n v="47500"/>
    <n v="5000"/>
    <n v="3675.0000000000005"/>
    <n v="46175"/>
    <n v="15237.75"/>
    <n v="50675"/>
    <n v="53675"/>
    <n v="7434175"/>
    <n v="8158675"/>
    <n v="8641675"/>
    <n v="0"/>
    <n v="631904.875"/>
    <n v="2"/>
    <n v="200000"/>
    <n v="200000"/>
    <n v="7634175"/>
    <n v="8358675"/>
    <n v="8841675"/>
    <d v="2027-07-01T00:00:00"/>
    <d v="2023-09-01T00:00:00"/>
  </r>
  <r>
    <m/>
    <s v="D"/>
    <s v="D5"/>
    <s v="RESIDENTIAL"/>
    <n v="3"/>
    <n v="3"/>
    <x v="754"/>
    <s v="3 BEDROOM"/>
    <s v="C3"/>
    <n v="126.88"/>
    <n v="137.95042520214821"/>
    <x v="35"/>
    <m/>
    <m/>
    <s v="SE"/>
    <s v="MIDDLE"/>
    <s v="LAKE D"/>
    <s v="THIRD"/>
    <x v="0"/>
    <n v="0.08"/>
    <n v="2.5000000000000001E-2"/>
    <n v="0.43"/>
    <n v="0.15"/>
    <n v="3.5000000000000003E-2"/>
    <n v="0.72000000000000008"/>
    <x v="1"/>
    <x v="7"/>
    <n v="61625"/>
    <n v="68875"/>
    <n v="7250"/>
    <n v="5220.0000000000009"/>
    <n v="66845"/>
    <n v="22058.850000000002"/>
    <n v="71345"/>
    <n v="74345"/>
    <n v="10360975"/>
    <n v="11058475"/>
    <n v="11523475"/>
    <n v="0"/>
    <n v="880682.87500000012"/>
    <n v="2"/>
    <n v="290000"/>
    <n v="290000"/>
    <n v="10650975"/>
    <n v="11348475"/>
    <n v="11813475"/>
    <d v="2027-07-01T00:00:00"/>
    <d v="2026-07-01T00:00:00"/>
  </r>
  <r>
    <m/>
    <s v="D"/>
    <s v="D5"/>
    <s v="RESIDENTIAL"/>
    <n v="3"/>
    <n v="4"/>
    <x v="755"/>
    <s v="3 BEDROOM"/>
    <s v="C3"/>
    <n v="127.15"/>
    <n v="138.24398301113769"/>
    <x v="35"/>
    <m/>
    <m/>
    <s v="NW"/>
    <s v="MIDDLE"/>
    <s v="ROAD 12M"/>
    <s v="THIRD"/>
    <x v="0"/>
    <n v="0.13"/>
    <n v="2.5000000000000001E-2"/>
    <n v="0.13"/>
    <n v="0.15"/>
    <n v="3.5000000000000003E-2"/>
    <n v="0.47000000000000008"/>
    <x v="0"/>
    <x v="7"/>
    <n v="61625"/>
    <n v="68875"/>
    <n v="7250"/>
    <n v="3407.5000000000005"/>
    <n v="65032.5"/>
    <n v="21460.725000000002"/>
    <n v="69532.5"/>
    <n v="72532.5"/>
    <n v="10080037.5"/>
    <n v="10777537.5"/>
    <n v="11242537.5"/>
    <n v="0"/>
    <n v="856803.18750000012"/>
    <n v="2"/>
    <n v="290000"/>
    <n v="290000"/>
    <n v="10370037.5"/>
    <n v="11067537.5"/>
    <n v="11532537.5"/>
    <d v="2027-07-01T00:00:00"/>
    <d v="2026-07-01T00:00:00"/>
  </r>
  <r>
    <m/>
    <s v="D"/>
    <s v="D5"/>
    <s v="RESIDENTIAL"/>
    <n v="4"/>
    <n v="1"/>
    <x v="756"/>
    <s v="3 BEDROOM"/>
    <s v="C3"/>
    <n v="129.5"/>
    <n v="140.79902320049018"/>
    <x v="32"/>
    <m/>
    <m/>
    <s v="NW"/>
    <s v="CORNER "/>
    <s v="ROAD 12M"/>
    <s v="FORTH"/>
    <x v="0"/>
    <n v="0.13"/>
    <n v="0.05"/>
    <n v="0.13"/>
    <n v="0.06"/>
    <n v="3.5000000000000003E-2"/>
    <n v="0.40500000000000003"/>
    <x v="0"/>
    <x v="1"/>
    <n v="48450.000000000007"/>
    <n v="54150.000000000007"/>
    <n v="5700"/>
    <n v="2308.5"/>
    <n v="50758.500000000007"/>
    <n v="16750.305000000004"/>
    <n v="55258.500000000007"/>
    <n v="58258.500000000007"/>
    <n v="8019843.0000000009"/>
    <n v="8730843.0000000019"/>
    <n v="9204843.0000000019"/>
    <n v="0"/>
    <n v="681686.65500000014"/>
    <n v="2"/>
    <n v="228000.00000000003"/>
    <n v="228000.00000000003"/>
    <n v="8247843.0000000009"/>
    <n v="8958843.0000000019"/>
    <n v="9432843.0000000019"/>
    <d v="2027-07-01T00:00:00"/>
    <d v="2025-01-01T00:00:00"/>
  </r>
  <r>
    <m/>
    <s v="D"/>
    <s v="D5"/>
    <s v="RESIDENTIAL"/>
    <n v="4"/>
    <n v="2"/>
    <x v="757"/>
    <s v="3 BEDROOM"/>
    <s v="C3"/>
    <n v="131.66"/>
    <n v="143.14748567240571"/>
    <x v="37"/>
    <m/>
    <m/>
    <s v="SE"/>
    <s v="CORNER "/>
    <s v="LAKE D"/>
    <s v="FORTH"/>
    <x v="4"/>
    <n v="0.08"/>
    <n v="0.05"/>
    <n v="0.43"/>
    <n v="0.06"/>
    <n v="2.5000000000000001E-2"/>
    <n v="0.64500000000000013"/>
    <x v="1"/>
    <x v="2"/>
    <n v="45687.5"/>
    <n v="51062.5"/>
    <n v="5375"/>
    <n v="3466.8750000000009"/>
    <n v="49154.375"/>
    <n v="16220.94375"/>
    <n v="53654.375"/>
    <n v="56654.375"/>
    <n v="7913854.375"/>
    <n v="8638354.375"/>
    <n v="9121354.375"/>
    <n v="0"/>
    <n v="672677.62187500007"/>
    <n v="2"/>
    <n v="215000"/>
    <n v="215000"/>
    <n v="8128854.375"/>
    <n v="8853354.375"/>
    <n v="9336354.375"/>
    <d v="2027-07-01T00:00:00"/>
    <d v="2024-07-01T00:00:00"/>
  </r>
  <r>
    <m/>
    <s v="D"/>
    <s v="D5"/>
    <s v="RESIDENTIAL"/>
    <n v="4"/>
    <n v="3"/>
    <x v="758"/>
    <s v="3 BEDROOM"/>
    <s v="C3"/>
    <n v="126.88"/>
    <n v="137.95042520214821"/>
    <x v="35"/>
    <m/>
    <m/>
    <s v="SE"/>
    <s v="MIDDLE"/>
    <s v="LAKE D"/>
    <s v="FORTH"/>
    <x v="0"/>
    <n v="0.08"/>
    <n v="2.5000000000000001E-2"/>
    <n v="0.43"/>
    <n v="0.06"/>
    <n v="3.5000000000000003E-2"/>
    <n v="0.63"/>
    <x v="1"/>
    <x v="6"/>
    <n v="44625"/>
    <n v="49875"/>
    <n v="5250"/>
    <n v="3307.5"/>
    <n v="47932.5"/>
    <n v="15817.725"/>
    <n v="52432.5"/>
    <n v="55432.5"/>
    <n v="7429537.5"/>
    <n v="8127037.5"/>
    <n v="8592037.5"/>
    <n v="0"/>
    <n v="631510.6875"/>
    <n v="2"/>
    <n v="210000"/>
    <n v="210000"/>
    <n v="7639537.5"/>
    <n v="8337037.5"/>
    <n v="8802037.5"/>
    <d v="2027-07-01T00:00:00"/>
    <d v="2024-04-01T00:00:00"/>
  </r>
  <r>
    <m/>
    <s v="D"/>
    <s v="D5"/>
    <s v="RESIDENTIAL"/>
    <n v="4"/>
    <n v="4"/>
    <x v="759"/>
    <s v="3 BEDROOM"/>
    <s v="C3"/>
    <n v="125.09"/>
    <n v="136.00424565366268"/>
    <x v="31"/>
    <m/>
    <m/>
    <s v="NW"/>
    <s v="MIDDLE"/>
    <s v="ROAD 12M"/>
    <s v="FORTH"/>
    <x v="0"/>
    <n v="0.13"/>
    <n v="2.5000000000000001E-2"/>
    <n v="0.13"/>
    <n v="0.06"/>
    <n v="3.5000000000000003E-2"/>
    <n v="0.38"/>
    <x v="0"/>
    <x v="6"/>
    <n v="44625"/>
    <n v="49875"/>
    <n v="5250"/>
    <n v="1995"/>
    <n v="46620"/>
    <n v="15384.6"/>
    <n v="51120"/>
    <n v="54120"/>
    <n v="7132860"/>
    <n v="7821360"/>
    <n v="8280360"/>
    <n v="0"/>
    <n v="606293.10000000009"/>
    <n v="2"/>
    <n v="210000"/>
    <n v="210000"/>
    <n v="7342860"/>
    <n v="8031360"/>
    <n v="8490360"/>
    <d v="2027-07-01T00:00:00"/>
    <d v="2024-04-01T00:00:00"/>
  </r>
  <r>
    <s v="C3"/>
    <s v="E"/>
    <s v="E1"/>
    <s v="RESIDENTIAL"/>
    <n v="0"/>
    <n v="1"/>
    <x v="760"/>
    <s v="2 BEDROOM"/>
    <s v="C3"/>
    <n v="88.49"/>
    <n v="96.199295659590803"/>
    <x v="34"/>
    <n v="67.980199999999996"/>
    <m/>
    <s v="SE"/>
    <s v="MIDDLE"/>
    <s v="ROAD 12M"/>
    <s v="GROUND"/>
    <x v="1"/>
    <n v="0.08"/>
    <n v="2.5000000000000001E-2"/>
    <n v="0.13"/>
    <n v="0.05"/>
    <n v="0.04"/>
    <n v="0.32500000000000001"/>
    <x v="0"/>
    <x v="3"/>
    <n v="42500"/>
    <n v="47500"/>
    <n v="5000"/>
    <n v="1625"/>
    <n v="44125"/>
    <n v="14561.25"/>
    <n v="48625"/>
    <n v="51625"/>
    <n v="4765500"/>
    <n v="5251500"/>
    <n v="5575500"/>
    <n v="989876.68724999996"/>
    <n v="489207.01841625001"/>
    <n v="1"/>
    <n v="200000"/>
    <n v="200000"/>
    <n v="5955376.6872499995"/>
    <n v="6441376.6872499995"/>
    <n v="6765376.6872499995"/>
    <d v="2027-07-01T00:00:00"/>
    <d v="2023-09-01T00:00:00"/>
  </r>
  <r>
    <m/>
    <s v="E"/>
    <s v="E1"/>
    <s v="RESIDENTIAL"/>
    <n v="0"/>
    <n v="2"/>
    <x v="761"/>
    <s v="3 BEDROOM"/>
    <s v="C3"/>
    <n v="124.72"/>
    <n v="135.58567244506912"/>
    <x v="48"/>
    <n v="85.417599999999993"/>
    <m/>
    <s v="NW"/>
    <s v="MIDDLE"/>
    <s v="LAKE E"/>
    <s v="GROUND"/>
    <x v="0"/>
    <n v="0.13"/>
    <n v="2.5000000000000001E-2"/>
    <n v="0.43"/>
    <n v="0.05"/>
    <n v="3.5000000000000003E-2"/>
    <n v="0.67"/>
    <x v="1"/>
    <x v="1"/>
    <n v="48450.000000000007"/>
    <n v="54150.000000000007"/>
    <n v="5700"/>
    <n v="3819.0000000000005"/>
    <n v="52269.000000000007"/>
    <n v="17248.770000000004"/>
    <n v="56769.000000000007"/>
    <n v="59769.000000000007"/>
    <n v="7944888.0000000009"/>
    <n v="8628888.0000000019"/>
    <n v="9084888.0000000019"/>
    <n v="1473348.5363520002"/>
    <n v="800550.10558992019"/>
    <n v="2"/>
    <n v="228000.00000000003"/>
    <n v="228000.00000000003"/>
    <n v="9646236.5363520011"/>
    <n v="10330236.536352001"/>
    <n v="10786236.536352001"/>
    <d v="2027-07-01T00:00:00"/>
    <d v="2025-01-01T00:00:00"/>
  </r>
  <r>
    <m/>
    <s v="E"/>
    <s v="E1"/>
    <s v="RESIDENTIAL"/>
    <n v="0"/>
    <n v="3"/>
    <x v="762"/>
    <s v="3 BEDROOM"/>
    <s v="C3"/>
    <n v="129.5"/>
    <n v="140.78210857630253"/>
    <x v="32"/>
    <n v="84.0732"/>
    <m/>
    <s v="NW"/>
    <s v="CORNER "/>
    <s v="LAKE E"/>
    <s v="GROUND"/>
    <x v="0"/>
    <n v="0.13"/>
    <n v="0.05"/>
    <n v="0.43"/>
    <n v="0.05"/>
    <n v="3.5000000000000003E-2"/>
    <n v="0.69500000000000006"/>
    <x v="1"/>
    <x v="10"/>
    <n v="53550"/>
    <n v="59850"/>
    <n v="6300"/>
    <n v="4378.5"/>
    <n v="57928.5"/>
    <n v="19116.405000000002"/>
    <n v="62428.5"/>
    <n v="65428.5"/>
    <n v="9152703"/>
    <n v="9863703"/>
    <n v="10337703"/>
    <n v="1607177.3408460002"/>
    <n v="914589.82897191006"/>
    <n v="2"/>
    <n v="252000"/>
    <n v="252000"/>
    <n v="11011880.340846"/>
    <n v="11722880.340846"/>
    <n v="12196880.340846"/>
    <d v="2027-07-01T00:00:00"/>
    <d v="2025-10-01T00:00:00"/>
  </r>
  <r>
    <m/>
    <s v="E"/>
    <s v="E1"/>
    <s v="RESIDENTIAL"/>
    <n v="0"/>
    <n v="4"/>
    <x v="763"/>
    <s v="3 BEDROOM"/>
    <s v="C3"/>
    <n v="131.68"/>
    <n v="143.15203133071444"/>
    <x v="37"/>
    <n v="84.652000000000001"/>
    <m/>
    <s v="SE"/>
    <s v="CORNER "/>
    <s v="ROAD 12M"/>
    <s v="GROUND"/>
    <x v="4"/>
    <n v="0.08"/>
    <n v="0.05"/>
    <n v="0.13"/>
    <n v="0.05"/>
    <n v="2.5000000000000001E-2"/>
    <n v="0.33500000000000002"/>
    <x v="0"/>
    <x v="3"/>
    <n v="42500"/>
    <n v="47500"/>
    <n v="5000"/>
    <n v="1675"/>
    <n v="44175"/>
    <n v="14577.75"/>
    <n v="48675"/>
    <n v="51675"/>
    <n v="7112175"/>
    <n v="7836675"/>
    <n v="8319675"/>
    <n v="1234035.693"/>
    <n v="709427.90890500008"/>
    <n v="2"/>
    <n v="200000"/>
    <n v="200000"/>
    <n v="8546210.693"/>
    <n v="9270710.693"/>
    <n v="9753710.693"/>
    <d v="2027-07-01T00:00:00"/>
    <d v="2023-09-01T00:00:00"/>
  </r>
  <r>
    <m/>
    <s v="E"/>
    <s v="E1"/>
    <s v="RESIDENTIAL"/>
    <n v="1"/>
    <n v="1"/>
    <x v="764"/>
    <s v="2 BEDROOM"/>
    <s v="C3"/>
    <n v="88.79"/>
    <n v="96.525431818454848"/>
    <x v="34"/>
    <m/>
    <m/>
    <s v="SE"/>
    <s v="MIDDLE"/>
    <s v="ROAD 12M"/>
    <s v="FIRST"/>
    <x v="1"/>
    <n v="0.08"/>
    <n v="2.5000000000000001E-2"/>
    <n v="0.13"/>
    <n v="7.0000000000000007E-2"/>
    <n v="0.04"/>
    <n v="0.34500000000000003"/>
    <x v="0"/>
    <x v="3"/>
    <n v="42500"/>
    <n v="47500"/>
    <n v="5000"/>
    <n v="1725.0000000000002"/>
    <n v="44225"/>
    <n v="14594.25"/>
    <n v="48725"/>
    <n v="51725"/>
    <n v="4776300"/>
    <n v="5262300"/>
    <n v="5586300"/>
    <n v="0"/>
    <n v="405985.50000000006"/>
    <n v="1"/>
    <n v="200000"/>
    <n v="200000"/>
    <n v="4976300"/>
    <n v="5462300"/>
    <n v="5786300"/>
    <d v="2027-07-01T00:00:00"/>
    <d v="2023-09-01T00:00:00"/>
  </r>
  <r>
    <m/>
    <s v="E"/>
    <s v="E1"/>
    <s v="RESIDENTIAL"/>
    <n v="1"/>
    <n v="2"/>
    <x v="765"/>
    <s v="3 BEDROOM"/>
    <s v="C3"/>
    <n v="126.34"/>
    <n v="137.34680770293485"/>
    <x v="49"/>
    <m/>
    <m/>
    <s v="NW"/>
    <s v="MIDDLE"/>
    <s v="LAKE E"/>
    <s v="FIRST"/>
    <x v="0"/>
    <n v="0.13"/>
    <n v="2.5000000000000001E-2"/>
    <n v="0.43"/>
    <n v="7.0000000000000007E-2"/>
    <n v="3.5000000000000003E-2"/>
    <n v="0.69000000000000006"/>
    <x v="1"/>
    <x v="4"/>
    <n v="51850"/>
    <n v="57950"/>
    <n v="6100"/>
    <n v="4209"/>
    <n v="56059"/>
    <n v="18499.47"/>
    <n v="60559"/>
    <n v="63559"/>
    <n v="8633086"/>
    <n v="9326086"/>
    <n v="9788086"/>
    <n v="0"/>
    <n v="733812.31"/>
    <n v="2"/>
    <n v="244000"/>
    <n v="244000"/>
    <n v="8877086"/>
    <n v="9570086"/>
    <n v="10032086"/>
    <d v="2027-07-01T00:00:00"/>
    <d v="2025-07-01T00:00:00"/>
  </r>
  <r>
    <m/>
    <s v="E"/>
    <s v="E1"/>
    <s v="RESIDENTIAL"/>
    <n v="1"/>
    <n v="3"/>
    <x v="766"/>
    <s v="3 BEDROOM"/>
    <s v="C3"/>
    <n v="131.12"/>
    <n v="142.54324383416824"/>
    <x v="33"/>
    <m/>
    <m/>
    <s v="NW"/>
    <s v="CORNER "/>
    <s v="LAKE E"/>
    <s v="FIRST"/>
    <x v="4"/>
    <n v="0.13"/>
    <n v="0.05"/>
    <n v="0.43"/>
    <n v="7.0000000000000007E-2"/>
    <n v="2.5000000000000001E-2"/>
    <n v="0.70499999999999996"/>
    <x v="1"/>
    <x v="7"/>
    <n v="61625"/>
    <n v="68875"/>
    <n v="7250"/>
    <n v="5111.25"/>
    <n v="66736.25"/>
    <n v="22022.962500000001"/>
    <n v="71236.25"/>
    <n v="74236.25"/>
    <n v="10677800"/>
    <n v="11397800"/>
    <n v="11877800"/>
    <n v="0"/>
    <n v="907613.00000000012"/>
    <n v="2"/>
    <n v="290000"/>
    <n v="290000"/>
    <n v="10967800"/>
    <n v="11687800"/>
    <n v="12167800"/>
    <d v="2027-07-01T00:00:00"/>
    <d v="2026-07-01T00:00:00"/>
  </r>
  <r>
    <m/>
    <s v="E"/>
    <s v="E1"/>
    <s v="RESIDENTIAL"/>
    <n v="1"/>
    <n v="4"/>
    <x v="767"/>
    <s v="3 BEDROOM"/>
    <s v="C3"/>
    <n v="128.56"/>
    <n v="139.76021527852859"/>
    <x v="36"/>
    <m/>
    <m/>
    <s v="SE"/>
    <s v="CORNER "/>
    <s v="ROAD 12M"/>
    <s v="FIRST"/>
    <x v="0"/>
    <n v="0.08"/>
    <n v="0.05"/>
    <n v="0.13"/>
    <n v="7.0000000000000007E-2"/>
    <n v="3.5000000000000003E-2"/>
    <n v="0.36499999999999999"/>
    <x v="0"/>
    <x v="0"/>
    <n v="43562.499999999993"/>
    <n v="48687.499999999993"/>
    <n v="5125"/>
    <n v="1870.625"/>
    <n v="45433.124999999993"/>
    <n v="14992.931249999998"/>
    <n v="49933.124999999993"/>
    <n v="52933.124999999993"/>
    <n v="7133000.6249999991"/>
    <n v="7839500.6249999991"/>
    <n v="8310500.6249999991"/>
    <n v="0"/>
    <n v="606305.05312499998"/>
    <n v="2"/>
    <n v="204999.99999999997"/>
    <n v="204999.99999999997"/>
    <n v="7338000.6249999991"/>
    <n v="8044500.6249999991"/>
    <n v="8515500.6249999981"/>
    <d v="2027-07-01T00:00:00"/>
    <d v="2024-01-01T00:00:00"/>
  </r>
  <r>
    <m/>
    <s v="E"/>
    <s v="E1"/>
    <s v="RESIDENTIAL"/>
    <n v="2"/>
    <n v="1"/>
    <x v="768"/>
    <s v="3 BEDROOM"/>
    <s v="C3"/>
    <n v="127.15"/>
    <n v="138.22737533186771"/>
    <x v="35"/>
    <m/>
    <m/>
    <s v="SE"/>
    <s v="MIDDLE"/>
    <s v="ROAD 12M"/>
    <s v="SECOND"/>
    <x v="0"/>
    <n v="0.08"/>
    <n v="2.5000000000000001E-2"/>
    <n v="0.13"/>
    <n v="0.11"/>
    <n v="3.5000000000000003E-2"/>
    <n v="0.38"/>
    <x v="0"/>
    <x v="6"/>
    <n v="44625"/>
    <n v="49875"/>
    <n v="5250"/>
    <n v="1995"/>
    <n v="46620"/>
    <n v="15384.6"/>
    <n v="51120"/>
    <n v="54120"/>
    <n v="7226100"/>
    <n v="7923600"/>
    <n v="8388600"/>
    <n v="0"/>
    <n v="614218.5"/>
    <n v="2"/>
    <n v="210000"/>
    <n v="210000"/>
    <n v="7436100"/>
    <n v="8133600"/>
    <n v="8598600"/>
    <d v="2027-07-01T00:00:00"/>
    <d v="2024-04-01T00:00:00"/>
  </r>
  <r>
    <m/>
    <s v="E"/>
    <s v="E1"/>
    <s v="RESIDENTIAL"/>
    <n v="2"/>
    <n v="2"/>
    <x v="769"/>
    <s v="3 BEDROOM"/>
    <s v="C3"/>
    <n v="126.78"/>
    <n v="137.82514073593541"/>
    <x v="35"/>
    <m/>
    <m/>
    <s v="NW"/>
    <s v="MIDDLE"/>
    <s v="LAKE E"/>
    <s v="SECOND"/>
    <x v="0"/>
    <n v="0.13"/>
    <n v="2.5000000000000001E-2"/>
    <n v="0.43"/>
    <n v="0.11"/>
    <n v="3.5000000000000003E-2"/>
    <n v="0.73"/>
    <x v="2"/>
    <x v="3"/>
    <n v="42500"/>
    <n v="47500"/>
    <n v="5000"/>
    <n v="3650"/>
    <n v="46150"/>
    <n v="15229.5"/>
    <n v="50650"/>
    <n v="53650"/>
    <n v="7153250"/>
    <n v="7850750"/>
    <n v="8315750"/>
    <n v="0"/>
    <n v="608026.25"/>
    <n v="2"/>
    <n v="200000"/>
    <n v="200000"/>
    <n v="7353250"/>
    <n v="8050750"/>
    <n v="8515750"/>
    <d v="2027-07-01T00:00:00"/>
    <d v="2023-09-01T00:00:00"/>
  </r>
  <r>
    <m/>
    <s v="E"/>
    <s v="E1"/>
    <s v="RESIDENTIAL"/>
    <n v="2"/>
    <n v="3"/>
    <x v="770"/>
    <s v="3 BEDROOM"/>
    <s v="C3"/>
    <n v="131.56"/>
    <n v="143.02157686716882"/>
    <x v="37"/>
    <m/>
    <m/>
    <s v="NW"/>
    <s v="CORNER "/>
    <s v="LAKE E"/>
    <s v="SECOND"/>
    <x v="4"/>
    <n v="0.13"/>
    <n v="0.05"/>
    <n v="0.43"/>
    <n v="0.11"/>
    <n v="2.5000000000000001E-2"/>
    <n v="0.745"/>
    <x v="2"/>
    <x v="3"/>
    <n v="42500"/>
    <n v="47500"/>
    <n v="5000"/>
    <n v="3725"/>
    <n v="46225"/>
    <n v="15254.25"/>
    <n v="50725"/>
    <n v="53725"/>
    <n v="7442225"/>
    <n v="8166725"/>
    <n v="8649725"/>
    <n v="0"/>
    <n v="632589.125"/>
    <n v="2"/>
    <n v="200000"/>
    <n v="200000"/>
    <n v="7642225"/>
    <n v="8366725"/>
    <n v="8849725"/>
    <d v="2027-07-01T00:00:00"/>
    <d v="2023-09-01T00:00:00"/>
  </r>
  <r>
    <m/>
    <s v="E"/>
    <s v="E1"/>
    <s v="RESIDENTIAL"/>
    <n v="2"/>
    <n v="4"/>
    <x v="771"/>
    <s v="3 BEDROOM"/>
    <s v="C3"/>
    <n v="131.56"/>
    <n v="143.02157686716882"/>
    <x v="37"/>
    <m/>
    <m/>
    <s v="SE"/>
    <s v="CORNER "/>
    <s v="ROAD 12M"/>
    <s v="SECOND"/>
    <x v="4"/>
    <n v="0.08"/>
    <n v="0.05"/>
    <n v="0.13"/>
    <n v="0.11"/>
    <n v="2.5000000000000001E-2"/>
    <n v="0.39500000000000002"/>
    <x v="0"/>
    <x v="2"/>
    <n v="45687.5"/>
    <n v="51062.5"/>
    <n v="5375"/>
    <n v="2123.125"/>
    <n v="47810.625"/>
    <n v="15777.50625"/>
    <n v="52310.625"/>
    <n v="55310.625"/>
    <n v="7697510.625"/>
    <n v="8422010.625"/>
    <n v="8905010.625"/>
    <n v="0"/>
    <n v="654288.40312500007"/>
    <n v="2"/>
    <n v="215000"/>
    <n v="215000"/>
    <n v="7912510.625"/>
    <n v="8637010.625"/>
    <n v="9120010.625"/>
    <d v="2027-07-01T00:00:00"/>
    <d v="2024-07-01T00:00:00"/>
  </r>
  <r>
    <m/>
    <s v="E"/>
    <s v="E1"/>
    <s v="RESIDENTIAL"/>
    <n v="3"/>
    <n v="1"/>
    <x v="772"/>
    <s v="3 BEDROOM"/>
    <s v="C3"/>
    <n v="127.45"/>
    <n v="138.55351149073172"/>
    <x v="35"/>
    <m/>
    <m/>
    <s v="SE"/>
    <s v="MIDDLE"/>
    <s v="ROAD 12M"/>
    <s v="THIRD"/>
    <x v="0"/>
    <n v="0.08"/>
    <n v="2.5000000000000001E-2"/>
    <n v="0.13"/>
    <n v="0.15"/>
    <n v="3.5000000000000003E-2"/>
    <n v="0.42000000000000004"/>
    <x v="0"/>
    <x v="12"/>
    <n v="50150"/>
    <n v="56050"/>
    <n v="5900"/>
    <n v="2478.0000000000005"/>
    <n v="52628"/>
    <n v="17367.240000000002"/>
    <n v="57128"/>
    <n v="60128"/>
    <n v="8157340"/>
    <n v="8854840"/>
    <n v="9319840"/>
    <n v="0"/>
    <n v="693373.9"/>
    <n v="2"/>
    <n v="236000"/>
    <n v="236000"/>
    <n v="8393340"/>
    <n v="9090840"/>
    <n v="9555840"/>
    <d v="2027-07-01T00:00:00"/>
    <d v="2025-04-01T00:00:00"/>
  </r>
  <r>
    <m/>
    <s v="E"/>
    <s v="E1"/>
    <s v="RESIDENTIAL"/>
    <n v="3"/>
    <n v="2"/>
    <x v="773"/>
    <s v="3 BEDROOM"/>
    <s v="C3"/>
    <n v="126.88"/>
    <n v="137.93385278889008"/>
    <x v="35"/>
    <m/>
    <m/>
    <s v="NW"/>
    <s v="MIDDLE"/>
    <s v="LAKE E"/>
    <s v="THIRD"/>
    <x v="0"/>
    <n v="0.13"/>
    <n v="2.5000000000000001E-2"/>
    <n v="0.43"/>
    <n v="0.15"/>
    <n v="3.5000000000000003E-2"/>
    <n v="0.77"/>
    <x v="2"/>
    <x v="6"/>
    <n v="44625"/>
    <n v="49875"/>
    <n v="5250"/>
    <n v="4042.5"/>
    <n v="48667.5"/>
    <n v="16060.275000000001"/>
    <n v="53167.5"/>
    <n v="56167.5"/>
    <n v="7543462.5"/>
    <n v="8240962.5"/>
    <n v="8705962.5"/>
    <n v="0"/>
    <n v="641194.3125"/>
    <n v="2"/>
    <n v="210000"/>
    <n v="210000"/>
    <n v="7753462.5"/>
    <n v="8450962.5"/>
    <n v="8915962.5"/>
    <d v="2027-07-01T00:00:00"/>
    <d v="2024-04-01T00:00:00"/>
  </r>
  <r>
    <m/>
    <s v="E"/>
    <s v="E1"/>
    <s v="RESIDENTIAL"/>
    <n v="3"/>
    <n v="3"/>
    <x v="774"/>
    <s v="3 BEDROOM"/>
    <s v="C3"/>
    <n v="131.66"/>
    <n v="143.13028892012346"/>
    <x v="37"/>
    <m/>
    <m/>
    <s v="NW"/>
    <s v="CORNER "/>
    <s v="LAKE E"/>
    <s v="THIRD"/>
    <x v="4"/>
    <n v="0.13"/>
    <n v="0.05"/>
    <n v="0.43"/>
    <n v="0.15"/>
    <n v="2.5000000000000001E-2"/>
    <n v="0.78500000000000003"/>
    <x v="2"/>
    <x v="5"/>
    <n v="46750.000000000007"/>
    <n v="52250.000000000007"/>
    <n v="5500"/>
    <n v="4317.5"/>
    <n v="51067.500000000007"/>
    <n v="16852.275000000001"/>
    <n v="55567.500000000007"/>
    <n v="58567.500000000007"/>
    <n v="8221867.5000000009"/>
    <n v="8946367.5000000019"/>
    <n v="9429367.5000000019"/>
    <n v="0"/>
    <n v="698858.73750000016"/>
    <n v="2"/>
    <n v="220000.00000000003"/>
    <n v="220000.00000000003"/>
    <n v="8441867.5000000019"/>
    <n v="9166367.5000000019"/>
    <n v="9649367.5000000019"/>
    <d v="2027-07-01T00:00:00"/>
    <d v="2024-10-01T00:00:00"/>
  </r>
  <r>
    <m/>
    <s v="E"/>
    <s v="E1"/>
    <s v="RESIDENTIAL"/>
    <n v="3"/>
    <n v="4"/>
    <x v="775"/>
    <s v="3 BEDROOM"/>
    <s v="C3"/>
    <n v="131.86000000000001"/>
    <n v="143.34771302603284"/>
    <x v="37"/>
    <m/>
    <m/>
    <s v="SE"/>
    <s v="CORNER "/>
    <s v="ROAD 12M"/>
    <s v="THIRD"/>
    <x v="4"/>
    <n v="0.08"/>
    <n v="0.05"/>
    <n v="0.13"/>
    <n v="0.15"/>
    <n v="2.5000000000000001E-2"/>
    <n v="0.43500000000000005"/>
    <x v="0"/>
    <x v="4"/>
    <n v="51850"/>
    <n v="57950"/>
    <n v="6100"/>
    <n v="2653.5000000000005"/>
    <n v="54503.5"/>
    <n v="17986.155000000002"/>
    <n v="59003.5"/>
    <n v="62003.5"/>
    <n v="8775063.5"/>
    <n v="9499563.5"/>
    <n v="9982563.5"/>
    <n v="0"/>
    <n v="745880.39750000008"/>
    <n v="2"/>
    <n v="244000"/>
    <n v="244000"/>
    <n v="9019063.5"/>
    <n v="9743563.5"/>
    <n v="10226563.5"/>
    <d v="2027-07-01T00:00:00"/>
    <d v="2025-07-01T00:00:00"/>
  </r>
  <r>
    <m/>
    <s v="E"/>
    <s v="E1"/>
    <s v="RESIDENTIAL"/>
    <n v="4"/>
    <n v="1"/>
    <x v="776"/>
    <s v="3 BEDROOM"/>
    <s v="C3"/>
    <n v="125.09"/>
    <n v="135.98790704100142"/>
    <x v="31"/>
    <m/>
    <m/>
    <s v="SE"/>
    <s v="MIDDLE"/>
    <s v="ROAD 12M"/>
    <s v="FORTH"/>
    <x v="0"/>
    <n v="0.08"/>
    <n v="2.5000000000000001E-2"/>
    <n v="0.13"/>
    <n v="0.06"/>
    <n v="3.5000000000000003E-2"/>
    <n v="0.33000000000000007"/>
    <x v="0"/>
    <x v="3"/>
    <n v="42500"/>
    <n v="47500"/>
    <n v="5000"/>
    <n v="1650.0000000000005"/>
    <n v="44150"/>
    <n v="14569.5"/>
    <n v="48650"/>
    <n v="51650"/>
    <n v="6754950"/>
    <n v="7443450"/>
    <n v="7902450"/>
    <n v="0"/>
    <n v="574170.75"/>
    <n v="2"/>
    <n v="200000"/>
    <n v="200000"/>
    <n v="6954950"/>
    <n v="7643450"/>
    <n v="8102450"/>
    <d v="2027-07-01T00:00:00"/>
    <d v="2023-09-01T00:00:00"/>
  </r>
  <r>
    <m/>
    <s v="E"/>
    <s v="E1"/>
    <s v="RESIDENTIAL"/>
    <n v="4"/>
    <n v="2"/>
    <x v="777"/>
    <s v="3 BEDROOM"/>
    <s v="C3"/>
    <n v="126.88"/>
    <n v="137.93385278889008"/>
    <x v="35"/>
    <m/>
    <m/>
    <s v="NW"/>
    <s v="MIDDLE"/>
    <s v="LAKE E"/>
    <s v="FORTH"/>
    <x v="0"/>
    <n v="0.13"/>
    <n v="2.5000000000000001E-2"/>
    <n v="0.43"/>
    <n v="0.06"/>
    <n v="3.5000000000000003E-2"/>
    <n v="0.68"/>
    <x v="1"/>
    <x v="12"/>
    <n v="50150"/>
    <n v="56050"/>
    <n v="5900"/>
    <n v="4012.0000000000005"/>
    <n v="54162"/>
    <n v="17873.46"/>
    <n v="58662"/>
    <n v="61662"/>
    <n v="8395110"/>
    <n v="9092610"/>
    <n v="9557610"/>
    <n v="0"/>
    <n v="713584.35000000009"/>
    <n v="2"/>
    <n v="236000"/>
    <n v="236000"/>
    <n v="8631110"/>
    <n v="9328610"/>
    <n v="9793610"/>
    <d v="2027-07-01T00:00:00"/>
    <d v="2025-04-01T00:00:00"/>
  </r>
  <r>
    <m/>
    <s v="E"/>
    <s v="E1"/>
    <s v="RESIDENTIAL"/>
    <n v="4"/>
    <n v="3"/>
    <x v="778"/>
    <s v="3 BEDROOM"/>
    <s v="C3"/>
    <n v="131.66"/>
    <n v="143.13028892012346"/>
    <x v="37"/>
    <m/>
    <m/>
    <s v="NW"/>
    <s v="CORNER "/>
    <s v="LAKE E"/>
    <s v="FORTH"/>
    <x v="4"/>
    <n v="0.13"/>
    <n v="0.05"/>
    <n v="0.43"/>
    <n v="0.06"/>
    <n v="2.5000000000000001E-2"/>
    <n v="0.69499999999999995"/>
    <x v="1"/>
    <x v="4"/>
    <n v="51850"/>
    <n v="57950"/>
    <n v="6100"/>
    <n v="4239.5"/>
    <n v="56089.5"/>
    <n v="18509.535"/>
    <n v="60589.5"/>
    <n v="63589.5"/>
    <n v="9030409.5"/>
    <n v="9754909.5"/>
    <n v="10237909.5"/>
    <n v="0"/>
    <n v="767584.80750000011"/>
    <n v="2"/>
    <n v="244000"/>
    <n v="244000"/>
    <n v="9274409.5"/>
    <n v="9998909.5"/>
    <n v="10481909.5"/>
    <d v="2027-07-01T00:00:00"/>
    <d v="2025-07-01T00:00:00"/>
  </r>
  <r>
    <m/>
    <s v="E"/>
    <s v="E1"/>
    <s v="RESIDENTIAL"/>
    <n v="4"/>
    <n v="4"/>
    <x v="779"/>
    <s v="3 BEDROOM"/>
    <s v="C3"/>
    <n v="129.5"/>
    <n v="140.78210857630253"/>
    <x v="32"/>
    <m/>
    <m/>
    <s v="SE"/>
    <s v="CORNER "/>
    <s v="ROAD 12M"/>
    <s v="FORTH"/>
    <x v="0"/>
    <n v="0.08"/>
    <n v="0.05"/>
    <n v="0.13"/>
    <n v="0.06"/>
    <n v="3.5000000000000003E-2"/>
    <n v="0.35499999999999998"/>
    <x v="0"/>
    <x v="3"/>
    <n v="42500"/>
    <n v="47500"/>
    <n v="5000"/>
    <n v="1775"/>
    <n v="44275"/>
    <n v="14610.75"/>
    <n v="48775"/>
    <n v="51775"/>
    <n v="6995450"/>
    <n v="7706450"/>
    <n v="8180450"/>
    <n v="0"/>
    <n v="594613.25"/>
    <n v="2"/>
    <n v="200000"/>
    <n v="200000"/>
    <n v="7195450"/>
    <n v="7906450"/>
    <n v="8380450"/>
    <d v="2027-07-01T00:00:00"/>
    <d v="2023-09-01T00:00:00"/>
  </r>
  <r>
    <s v="C3"/>
    <s v="E"/>
    <s v="E2"/>
    <s v="RESIDENTIAL"/>
    <n v="0"/>
    <n v="1"/>
    <x v="780"/>
    <s v="3 BEDROOM"/>
    <s v="C3"/>
    <n v="131.68"/>
    <n v="143.16923069529381"/>
    <x v="37"/>
    <n v="85.031800000000004"/>
    <m/>
    <s v="SE"/>
    <s v="CORNER "/>
    <s v="ROAD 18M (VILLAS)"/>
    <s v="GROUND"/>
    <x v="4"/>
    <n v="0.08"/>
    <n v="0.05"/>
    <n v="0.16"/>
    <n v="0.05"/>
    <n v="2.5000000000000001E-2"/>
    <n v="0.36500000000000005"/>
    <x v="0"/>
    <x v="3"/>
    <n v="42500"/>
    <n v="47500"/>
    <n v="5000"/>
    <n v="1825.0000000000002"/>
    <n v="44325"/>
    <n v="14627.25"/>
    <n v="48825"/>
    <n v="51825"/>
    <n v="7136325"/>
    <n v="7860825"/>
    <n v="8343825"/>
    <n v="1243781.3965499999"/>
    <n v="712309.04370675003"/>
    <n v="2"/>
    <n v="200000"/>
    <n v="200000"/>
    <n v="8580106.3965499997"/>
    <n v="9304606.3965499997"/>
    <n v="9787606.3965499997"/>
    <d v="2027-07-01T00:00:00"/>
    <d v="2023-09-01T00:00:00"/>
  </r>
  <r>
    <m/>
    <s v="E"/>
    <s v="E2"/>
    <s v="RESIDENTIAL"/>
    <n v="0"/>
    <n v="2"/>
    <x v="781"/>
    <s v="3 BEDROOM"/>
    <s v="C3"/>
    <n v="129.5"/>
    <n v="140.79902320049018"/>
    <x v="32"/>
    <n v="84.0732"/>
    <m/>
    <s v="NW"/>
    <s v="CORNER "/>
    <s v="LAKE E"/>
    <s v="GROUND"/>
    <x v="0"/>
    <n v="0.13"/>
    <n v="0.05"/>
    <n v="0.43"/>
    <n v="0.05"/>
    <n v="3.5000000000000003E-2"/>
    <n v="0.69500000000000006"/>
    <x v="1"/>
    <x v="2"/>
    <n v="45687.5"/>
    <n v="51062.5"/>
    <n v="5375"/>
    <n v="3735.6250000000005"/>
    <n v="49423.125"/>
    <n v="16309.63125"/>
    <n v="53923.125"/>
    <n v="56923.125"/>
    <n v="7808853.75"/>
    <n v="8519853.75"/>
    <n v="8993853.75"/>
    <n v="1371202.8900075001"/>
    <n v="780304.81440063752"/>
    <n v="2"/>
    <n v="215000"/>
    <n v="215000"/>
    <n v="9395056.6400074996"/>
    <n v="10106056.6400075"/>
    <n v="10580056.6400075"/>
    <d v="2027-07-01T00:00:00"/>
    <d v="2024-07-01T00:00:00"/>
  </r>
  <r>
    <m/>
    <s v="E"/>
    <s v="E2"/>
    <s v="RESIDENTIAL"/>
    <n v="0"/>
    <n v="3"/>
    <x v="782"/>
    <s v="3 BEDROOM"/>
    <s v="C3"/>
    <n v="124.72"/>
    <n v="135.60196273023271"/>
    <x v="48"/>
    <n v="85.417599999999993"/>
    <m/>
    <s v="NW"/>
    <s v="MIDDLE"/>
    <s v="LAKE E"/>
    <s v="GROUND"/>
    <x v="0"/>
    <n v="0.13"/>
    <n v="2.5000000000000001E-2"/>
    <n v="0.43"/>
    <n v="0.05"/>
    <n v="3.5000000000000003E-2"/>
    <n v="0.67"/>
    <x v="1"/>
    <x v="1"/>
    <n v="48450.000000000007"/>
    <n v="54150.000000000007"/>
    <n v="5700"/>
    <n v="3819.0000000000005"/>
    <n v="52269.000000000007"/>
    <n v="17248.770000000004"/>
    <n v="56769.000000000007"/>
    <n v="59769.000000000007"/>
    <n v="7944888.0000000009"/>
    <n v="8628888.0000000019"/>
    <n v="9084888.0000000019"/>
    <n v="1473348.5363520002"/>
    <n v="800550.10558992019"/>
    <n v="2"/>
    <n v="228000.00000000003"/>
    <n v="228000.00000000003"/>
    <n v="9646236.5363520011"/>
    <n v="10330236.536352001"/>
    <n v="10786236.536352001"/>
    <d v="2027-07-01T00:00:00"/>
    <d v="2025-01-01T00:00:00"/>
  </r>
  <r>
    <m/>
    <s v="E"/>
    <s v="E2"/>
    <s v="RESIDENTIAL"/>
    <n v="0"/>
    <n v="4"/>
    <x v="783"/>
    <s v="2 BEDROOM"/>
    <s v="C3"/>
    <n v="88.49"/>
    <n v="96.210853768427611"/>
    <x v="34"/>
    <n v="68.089699999999993"/>
    <m/>
    <s v="SE"/>
    <s v="MIDDLE"/>
    <s v="ROAD 12M"/>
    <s v="GROUND"/>
    <x v="1"/>
    <n v="0.08"/>
    <n v="2.5000000000000001E-2"/>
    <n v="0.13"/>
    <n v="0.05"/>
    <n v="0.04"/>
    <n v="0.32500000000000001"/>
    <x v="0"/>
    <x v="6"/>
    <n v="44625"/>
    <n v="49875"/>
    <n v="5250"/>
    <n v="1706.25"/>
    <n v="46331.25"/>
    <n v="15289.3125"/>
    <n v="50831.25"/>
    <n v="53831.25"/>
    <n v="5003775"/>
    <n v="5489775"/>
    <n v="5813775"/>
    <n v="1041044.7013312499"/>
    <n v="513809.6746131563"/>
    <n v="1"/>
    <n v="210000"/>
    <n v="210000"/>
    <n v="6254819.7013312504"/>
    <n v="6740819.7013312504"/>
    <n v="7064819.7013312504"/>
    <d v="2027-07-01T00:00:00"/>
    <d v="2024-04-01T00:00:00"/>
  </r>
  <r>
    <m/>
    <s v="E"/>
    <s v="E2"/>
    <s v="RESIDENTIAL"/>
    <n v="1"/>
    <n v="1"/>
    <x v="784"/>
    <s v="3 BEDROOM"/>
    <s v="C3"/>
    <n v="128.56"/>
    <n v="139.77700712474919"/>
    <x v="36"/>
    <m/>
    <m/>
    <s v="SE"/>
    <s v="CORNER "/>
    <s v="LAKE F"/>
    <s v="FIRST"/>
    <x v="0"/>
    <n v="0.08"/>
    <n v="0.05"/>
    <n v="0.3"/>
    <n v="7.0000000000000007E-2"/>
    <n v="3.5000000000000003E-2"/>
    <n v="0.53500000000000003"/>
    <x v="1"/>
    <x v="3"/>
    <n v="42500"/>
    <n v="47500"/>
    <n v="5000"/>
    <n v="2675"/>
    <n v="45175"/>
    <n v="14907.75"/>
    <n v="49675"/>
    <n v="52675"/>
    <n v="7092475"/>
    <n v="7798975"/>
    <n v="8269975"/>
    <n v="0"/>
    <n v="602860.375"/>
    <n v="2"/>
    <n v="200000"/>
    <n v="200000"/>
    <n v="7292475"/>
    <n v="7998975"/>
    <n v="8469975"/>
    <d v="2027-07-01T00:00:00"/>
    <d v="2023-09-01T00:00:00"/>
  </r>
  <r>
    <m/>
    <s v="E"/>
    <s v="E2"/>
    <s v="RESIDENTIAL"/>
    <n v="1"/>
    <n v="2"/>
    <x v="785"/>
    <s v="3 BEDROOM"/>
    <s v="C3"/>
    <n v="131.12"/>
    <n v="142.56037005442684"/>
    <x v="33"/>
    <m/>
    <m/>
    <s v="NW"/>
    <s v="CORNER "/>
    <s v="LAKE E"/>
    <s v="FIRST"/>
    <x v="4"/>
    <n v="0.13"/>
    <n v="0.05"/>
    <n v="0.43"/>
    <n v="7.0000000000000007E-2"/>
    <n v="2.5000000000000001E-2"/>
    <n v="0.70499999999999996"/>
    <x v="1"/>
    <x v="12"/>
    <n v="50150"/>
    <n v="56050"/>
    <n v="5900"/>
    <n v="4159.5"/>
    <n v="54309.5"/>
    <n v="17922.135000000002"/>
    <n v="58809.5"/>
    <n v="61809.5"/>
    <n v="8689520"/>
    <n v="9409520"/>
    <n v="9889520"/>
    <n v="0"/>
    <n v="738609.20000000007"/>
    <n v="2"/>
    <n v="236000"/>
    <n v="236000"/>
    <n v="8925520"/>
    <n v="9645520"/>
    <n v="10125520"/>
    <d v="2027-07-01T00:00:00"/>
    <d v="2025-04-01T00:00:00"/>
  </r>
  <r>
    <m/>
    <s v="E"/>
    <s v="E2"/>
    <s v="RESIDENTIAL"/>
    <n v="1"/>
    <n v="3"/>
    <x v="786"/>
    <s v="3 BEDROOM"/>
    <s v="C3"/>
    <n v="126.34"/>
    <n v="137.36330958416934"/>
    <x v="49"/>
    <m/>
    <m/>
    <s v="NW"/>
    <s v="MIDDLE"/>
    <s v="LAKE E"/>
    <s v="FIRST"/>
    <x v="0"/>
    <n v="0.13"/>
    <n v="2.5000000000000001E-2"/>
    <n v="0.43"/>
    <n v="7.0000000000000007E-2"/>
    <n v="3.5000000000000003E-2"/>
    <n v="0.69000000000000006"/>
    <x v="1"/>
    <x v="4"/>
    <n v="51850"/>
    <n v="57950"/>
    <n v="6100"/>
    <n v="4209"/>
    <n v="56059"/>
    <n v="18499.47"/>
    <n v="60559"/>
    <n v="63559"/>
    <n v="8633086"/>
    <n v="9326086"/>
    <n v="9788086"/>
    <n v="0"/>
    <n v="733812.31"/>
    <n v="2"/>
    <n v="244000"/>
    <n v="244000"/>
    <n v="8877086"/>
    <n v="9570086"/>
    <n v="10032086"/>
    <d v="2027-07-01T00:00:00"/>
    <d v="2025-07-01T00:00:00"/>
  </r>
  <r>
    <m/>
    <s v="E"/>
    <s v="E2"/>
    <s v="RESIDENTIAL"/>
    <n v="1"/>
    <n v="4"/>
    <x v="787"/>
    <s v="2 BEDROOM"/>
    <s v="C3"/>
    <n v="88.79"/>
    <n v="96.537029111749234"/>
    <x v="34"/>
    <m/>
    <m/>
    <s v="SE"/>
    <s v="MIDDLE"/>
    <s v="ROAD 12M"/>
    <s v="FIRST"/>
    <x v="1"/>
    <n v="0.08"/>
    <n v="2.5000000000000001E-2"/>
    <n v="0.13"/>
    <n v="7.0000000000000007E-2"/>
    <n v="0.04"/>
    <n v="0.34500000000000003"/>
    <x v="0"/>
    <x v="2"/>
    <n v="45687.5"/>
    <n v="51062.5"/>
    <n v="5375"/>
    <n v="1854.3750000000002"/>
    <n v="47541.875"/>
    <n v="15688.81875"/>
    <n v="52041.875"/>
    <n v="55041.875"/>
    <n v="5134522.5"/>
    <n v="5620522.5"/>
    <n v="5944522.5"/>
    <n v="0"/>
    <n v="436434.41250000003"/>
    <n v="1"/>
    <n v="215000"/>
    <n v="215000"/>
    <n v="5349522.5"/>
    <n v="5835522.5"/>
    <n v="6159522.5"/>
    <d v="2027-07-01T00:00:00"/>
    <d v="2024-07-01T00:00:00"/>
  </r>
  <r>
    <m/>
    <s v="E"/>
    <s v="E2"/>
    <s v="RESIDENTIAL"/>
    <n v="2"/>
    <n v="1"/>
    <x v="788"/>
    <s v="3 BEDROOM"/>
    <s v="C3"/>
    <n v="131.56"/>
    <n v="143.03876055796516"/>
    <x v="37"/>
    <m/>
    <m/>
    <s v="SE"/>
    <s v="CORNER "/>
    <s v="LAKE F"/>
    <s v="SECOND"/>
    <x v="4"/>
    <n v="0.08"/>
    <n v="0.05"/>
    <n v="0.3"/>
    <n v="0.11"/>
    <n v="2.5000000000000001E-2"/>
    <n v="0.56500000000000006"/>
    <x v="1"/>
    <x v="3"/>
    <n v="42500"/>
    <n v="47500"/>
    <n v="5000"/>
    <n v="2825.0000000000005"/>
    <n v="45325"/>
    <n v="14957.25"/>
    <n v="49825"/>
    <n v="52825"/>
    <n v="7297325"/>
    <n v="8021825"/>
    <n v="8504825"/>
    <n v="0"/>
    <n v="620272.625"/>
    <n v="2"/>
    <n v="200000"/>
    <n v="200000"/>
    <n v="7497325"/>
    <n v="8221825"/>
    <n v="8704825"/>
    <d v="2027-07-01T00:00:00"/>
    <d v="2023-09-01T00:00:00"/>
  </r>
  <r>
    <m/>
    <s v="E"/>
    <s v="E2"/>
    <s v="RESIDENTIAL"/>
    <n v="2"/>
    <n v="2"/>
    <x v="789"/>
    <s v="3 BEDROOM"/>
    <s v="C3"/>
    <n v="131.56"/>
    <n v="143.03876055796516"/>
    <x v="37"/>
    <m/>
    <m/>
    <s v="NW"/>
    <s v="CORNER "/>
    <s v="LAKE E"/>
    <s v="SECOND"/>
    <x v="4"/>
    <n v="0.13"/>
    <n v="0.05"/>
    <n v="0.43"/>
    <n v="0.11"/>
    <n v="2.5000000000000001E-2"/>
    <n v="0.745"/>
    <x v="2"/>
    <x v="10"/>
    <n v="53550"/>
    <n v="59850"/>
    <n v="6300"/>
    <n v="4693.5"/>
    <n v="58243.5"/>
    <n v="19220.355"/>
    <n v="62743.5"/>
    <n v="65743.5"/>
    <n v="9377203.5"/>
    <n v="10101703.5"/>
    <n v="10584703.5"/>
    <n v="0"/>
    <n v="797062.2975000001"/>
    <n v="2"/>
    <n v="252000"/>
    <n v="252000"/>
    <n v="9629203.5"/>
    <n v="10353703.5"/>
    <n v="10836703.5"/>
    <d v="2027-07-01T00:00:00"/>
    <d v="2025-10-01T00:00:00"/>
  </r>
  <r>
    <m/>
    <s v="E"/>
    <s v="E2"/>
    <s v="RESIDENTIAL"/>
    <n v="2"/>
    <n v="3"/>
    <x v="790"/>
    <s v="3 BEDROOM"/>
    <s v="C3"/>
    <n v="126.78"/>
    <n v="137.84170008770769"/>
    <x v="35"/>
    <m/>
    <m/>
    <s v="NW"/>
    <s v="MIDDLE"/>
    <s v="LAKE E"/>
    <s v="SECOND"/>
    <x v="0"/>
    <n v="0.13"/>
    <n v="2.5000000000000001E-2"/>
    <n v="0.43"/>
    <n v="0.11"/>
    <n v="3.5000000000000003E-2"/>
    <n v="0.73"/>
    <x v="2"/>
    <x v="3"/>
    <n v="42500"/>
    <n v="47500"/>
    <n v="5000"/>
    <n v="3650"/>
    <n v="46150"/>
    <n v="15229.5"/>
    <n v="50650"/>
    <n v="53650"/>
    <n v="7153250"/>
    <n v="7850750"/>
    <n v="8315750"/>
    <n v="0"/>
    <n v="608026.25"/>
    <n v="2"/>
    <n v="200000"/>
    <n v="200000"/>
    <n v="7353250"/>
    <n v="8050750"/>
    <n v="8515750"/>
    <d v="2027-07-01T00:00:00"/>
    <d v="2023-09-01T00:00:00"/>
  </r>
  <r>
    <m/>
    <s v="E"/>
    <s v="E2"/>
    <s v="RESIDENTIAL"/>
    <n v="2"/>
    <n v="4"/>
    <x v="791"/>
    <s v="3 BEDROOM"/>
    <s v="C3"/>
    <n v="127.15"/>
    <n v="138.24398301113769"/>
    <x v="35"/>
    <m/>
    <m/>
    <s v="SE"/>
    <s v="MIDDLE"/>
    <s v="ROAD 12M"/>
    <s v="SECOND"/>
    <x v="0"/>
    <n v="0.08"/>
    <n v="2.5000000000000001E-2"/>
    <n v="0.13"/>
    <n v="0.11"/>
    <n v="3.5000000000000003E-2"/>
    <n v="0.38"/>
    <x v="0"/>
    <x v="12"/>
    <n v="50150"/>
    <n v="56050"/>
    <n v="5900"/>
    <n v="2242"/>
    <n v="52392"/>
    <n v="17289.36"/>
    <n v="56892"/>
    <n v="59892"/>
    <n v="8120760"/>
    <n v="8818260"/>
    <n v="9283260"/>
    <n v="0"/>
    <n v="690264.60000000009"/>
    <n v="2"/>
    <n v="236000"/>
    <n v="236000"/>
    <n v="8356760"/>
    <n v="9054260"/>
    <n v="9519260"/>
    <d v="2027-07-01T00:00:00"/>
    <d v="2025-04-01T00:00:00"/>
  </r>
  <r>
    <m/>
    <s v="E"/>
    <s v="E2"/>
    <s v="RESIDENTIAL"/>
    <n v="3"/>
    <n v="1"/>
    <x v="792"/>
    <s v="3 BEDROOM"/>
    <s v="C3"/>
    <n v="131.86000000000001"/>
    <n v="143.36493590128677"/>
    <x v="37"/>
    <m/>
    <m/>
    <s v="SE"/>
    <s v="CORNER "/>
    <s v="LAKE F"/>
    <s v="THIRD"/>
    <x v="4"/>
    <n v="0.08"/>
    <n v="0.05"/>
    <n v="0.3"/>
    <n v="0.15"/>
    <n v="2.5000000000000001E-2"/>
    <n v="0.60499999999999998"/>
    <x v="1"/>
    <x v="0"/>
    <n v="43562.499999999993"/>
    <n v="48687.499999999993"/>
    <n v="5125"/>
    <n v="3100.625"/>
    <n v="46663.124999999993"/>
    <n v="15398.831249999997"/>
    <n v="51163.124999999993"/>
    <n v="54163.124999999993"/>
    <n v="7512763.1249999991"/>
    <n v="8237263.1249999991"/>
    <n v="8720263.1249999981"/>
    <n v="0"/>
    <n v="638584.86562499998"/>
    <n v="2"/>
    <n v="204999.99999999997"/>
    <n v="204999.99999999997"/>
    <n v="7717763.1249999991"/>
    <n v="8442263.1249999981"/>
    <n v="8925263.1249999981"/>
    <d v="2027-07-01T00:00:00"/>
    <d v="2024-01-01T00:00:00"/>
  </r>
  <r>
    <m/>
    <s v="E"/>
    <s v="E2"/>
    <s v="RESIDENTIAL"/>
    <n v="3"/>
    <n v="2"/>
    <x v="793"/>
    <s v="3 BEDROOM"/>
    <s v="C3"/>
    <n v="131.66"/>
    <n v="143.14748567240571"/>
    <x v="37"/>
    <m/>
    <m/>
    <s v="NW"/>
    <s v="CORNER "/>
    <s v="LAKE E"/>
    <s v="THIRD"/>
    <x v="4"/>
    <n v="0.13"/>
    <n v="0.05"/>
    <n v="0.43"/>
    <n v="0.15"/>
    <n v="2.5000000000000001E-2"/>
    <n v="0.78500000000000003"/>
    <x v="2"/>
    <x v="7"/>
    <n v="61625"/>
    <n v="68875"/>
    <n v="7250"/>
    <n v="5691.25"/>
    <n v="67316.25"/>
    <n v="22214.362499999999"/>
    <n v="71816.25"/>
    <n v="74816.25"/>
    <n v="10837916.25"/>
    <n v="11562416.25"/>
    <n v="12045416.25"/>
    <n v="0"/>
    <n v="921222.88125000009"/>
    <n v="2"/>
    <n v="290000"/>
    <n v="290000"/>
    <n v="11127916.25"/>
    <n v="11852416.25"/>
    <n v="12335416.25"/>
    <d v="2027-07-01T00:00:00"/>
    <d v="2026-07-01T00:00:00"/>
  </r>
  <r>
    <m/>
    <s v="E"/>
    <s v="E2"/>
    <s v="RESIDENTIAL"/>
    <n v="3"/>
    <n v="3"/>
    <x v="794"/>
    <s v="3 BEDROOM"/>
    <s v="C3"/>
    <n v="126.88"/>
    <n v="137.95042520214821"/>
    <x v="35"/>
    <m/>
    <m/>
    <s v="NW"/>
    <s v="MIDDLE"/>
    <s v="LAKE E"/>
    <s v="THIRD"/>
    <x v="0"/>
    <n v="0.13"/>
    <n v="2.5000000000000001E-2"/>
    <n v="0.43"/>
    <n v="0.15"/>
    <n v="3.5000000000000003E-2"/>
    <n v="0.77"/>
    <x v="2"/>
    <x v="6"/>
    <n v="44625"/>
    <n v="49875"/>
    <n v="5250"/>
    <n v="4042.5"/>
    <n v="48667.5"/>
    <n v="16060.275000000001"/>
    <n v="53167.5"/>
    <n v="56167.5"/>
    <n v="7543462.5"/>
    <n v="8240962.5"/>
    <n v="8705962.5"/>
    <n v="0"/>
    <n v="641194.3125"/>
    <n v="2"/>
    <n v="210000"/>
    <n v="210000"/>
    <n v="7753462.5"/>
    <n v="8450962.5"/>
    <n v="8915962.5"/>
    <d v="2027-07-01T00:00:00"/>
    <d v="2024-04-01T00:00:00"/>
  </r>
  <r>
    <m/>
    <s v="E"/>
    <s v="E2"/>
    <s v="RESIDENTIAL"/>
    <n v="3"/>
    <n v="4"/>
    <x v="795"/>
    <s v="3 BEDROOM"/>
    <s v="C3"/>
    <n v="127.15"/>
    <n v="138.24398301113769"/>
    <x v="35"/>
    <m/>
    <m/>
    <s v="SE"/>
    <s v="MIDDLE"/>
    <s v="ROAD 12M"/>
    <s v="THIRD"/>
    <x v="0"/>
    <n v="0.08"/>
    <n v="2.5000000000000001E-2"/>
    <n v="0.13"/>
    <n v="0.15"/>
    <n v="3.5000000000000003E-2"/>
    <n v="0.42000000000000004"/>
    <x v="0"/>
    <x v="7"/>
    <n v="61625"/>
    <n v="68875"/>
    <n v="7250"/>
    <n v="3045.0000000000005"/>
    <n v="64670"/>
    <n v="21341.100000000002"/>
    <n v="69170"/>
    <n v="72170"/>
    <n v="10023850"/>
    <n v="10721350"/>
    <n v="11186350"/>
    <n v="0"/>
    <n v="852027.25000000012"/>
    <n v="2"/>
    <n v="290000"/>
    <n v="290000"/>
    <n v="10313850"/>
    <n v="11011350"/>
    <n v="11476350"/>
    <d v="2027-07-01T00:00:00"/>
    <d v="2026-07-01T00:00:00"/>
  </r>
  <r>
    <m/>
    <s v="E"/>
    <s v="E2"/>
    <s v="RESIDENTIAL"/>
    <n v="4"/>
    <n v="1"/>
    <x v="796"/>
    <s v="3 BEDROOM"/>
    <s v="C3"/>
    <n v="129.5"/>
    <n v="140.79902320049018"/>
    <x v="32"/>
    <m/>
    <m/>
    <s v="SE"/>
    <s v="CORNER "/>
    <s v="LAKE F"/>
    <s v="FORTH"/>
    <x v="0"/>
    <n v="0.08"/>
    <n v="0.05"/>
    <n v="0.3"/>
    <n v="0.06"/>
    <n v="3.5000000000000003E-2"/>
    <n v="0.52500000000000002"/>
    <x v="1"/>
    <x v="3"/>
    <n v="42500"/>
    <n v="47500"/>
    <n v="5000"/>
    <n v="2625"/>
    <n v="45125"/>
    <n v="14891.25"/>
    <n v="49625"/>
    <n v="52625"/>
    <n v="7129750"/>
    <n v="7840750"/>
    <n v="8314750"/>
    <n v="0"/>
    <n v="606028.75"/>
    <n v="2"/>
    <n v="200000"/>
    <n v="200000"/>
    <n v="7329750"/>
    <n v="8040750"/>
    <n v="8514750"/>
    <d v="2027-07-01T00:00:00"/>
    <d v="2023-09-01T00:00:00"/>
  </r>
  <r>
    <m/>
    <s v="E"/>
    <s v="E2"/>
    <s v="RESIDENTIAL"/>
    <n v="4"/>
    <n v="2"/>
    <x v="797"/>
    <s v="3 BEDROOM"/>
    <s v="C3"/>
    <n v="131.66"/>
    <n v="143.14748567240571"/>
    <x v="37"/>
    <m/>
    <m/>
    <s v="NW"/>
    <s v="CORNER "/>
    <s v="LAKE E"/>
    <s v="FORTH"/>
    <x v="4"/>
    <n v="0.13"/>
    <n v="0.05"/>
    <n v="0.43"/>
    <n v="0.06"/>
    <n v="2.5000000000000001E-2"/>
    <n v="0.69499999999999995"/>
    <x v="1"/>
    <x v="2"/>
    <n v="45687.5"/>
    <n v="51062.5"/>
    <n v="5375"/>
    <n v="3735.6249999999995"/>
    <n v="49423.125"/>
    <n v="16309.63125"/>
    <n v="53923.125"/>
    <n v="56923.125"/>
    <n v="7957123.125"/>
    <n v="8681623.125"/>
    <n v="9164623.125"/>
    <n v="0"/>
    <n v="676355.46562500007"/>
    <n v="2"/>
    <n v="215000"/>
    <n v="215000"/>
    <n v="8172123.125"/>
    <n v="8896623.125"/>
    <n v="9379623.125"/>
    <d v="2027-07-01T00:00:00"/>
    <d v="2024-07-01T00:00:00"/>
  </r>
  <r>
    <m/>
    <s v="E"/>
    <s v="E2"/>
    <s v="RESIDENTIAL"/>
    <n v="4"/>
    <n v="3"/>
    <x v="798"/>
    <s v="3 BEDROOM"/>
    <s v="C3"/>
    <n v="126.88"/>
    <n v="137.95042520214821"/>
    <x v="35"/>
    <m/>
    <m/>
    <s v="NW"/>
    <s v="MIDDLE"/>
    <s v="LAKE E"/>
    <s v="FORTH"/>
    <x v="0"/>
    <n v="0.13"/>
    <n v="2.5000000000000001E-2"/>
    <n v="0.43"/>
    <n v="0.06"/>
    <n v="3.5000000000000003E-2"/>
    <n v="0.68"/>
    <x v="1"/>
    <x v="12"/>
    <n v="50150"/>
    <n v="56050"/>
    <n v="5900"/>
    <n v="4012.0000000000005"/>
    <n v="54162"/>
    <n v="17873.46"/>
    <n v="58662"/>
    <n v="61662"/>
    <n v="8395110"/>
    <n v="9092610"/>
    <n v="9557610"/>
    <n v="0"/>
    <n v="713584.35000000009"/>
    <n v="2"/>
    <n v="236000"/>
    <n v="236000"/>
    <n v="8631110"/>
    <n v="9328610"/>
    <n v="9793610"/>
    <d v="2027-07-01T00:00:00"/>
    <d v="2025-04-01T00:00:00"/>
  </r>
  <r>
    <m/>
    <s v="E"/>
    <s v="E2"/>
    <s v="RESIDENTIAL"/>
    <n v="4"/>
    <n v="4"/>
    <x v="799"/>
    <s v="3 BEDROOM"/>
    <s v="C3"/>
    <n v="125.09"/>
    <n v="136.00424565366268"/>
    <x v="31"/>
    <m/>
    <m/>
    <s v="SE"/>
    <s v="MIDDLE"/>
    <s v="ROAD 12M"/>
    <s v="FORTH"/>
    <x v="0"/>
    <n v="0.08"/>
    <n v="2.5000000000000001E-2"/>
    <n v="0.13"/>
    <n v="0.06"/>
    <n v="3.5000000000000003E-2"/>
    <n v="0.33000000000000007"/>
    <x v="0"/>
    <x v="6"/>
    <n v="44625"/>
    <n v="49875"/>
    <n v="5250"/>
    <n v="1732.5000000000005"/>
    <n v="46357.5"/>
    <n v="15297.975"/>
    <n v="50857.5"/>
    <n v="53857.5"/>
    <n v="7092697.5"/>
    <n v="7781197.5"/>
    <n v="8240197.5"/>
    <n v="0"/>
    <n v="602879.28750000009"/>
    <n v="2"/>
    <n v="210000"/>
    <n v="210000"/>
    <n v="7302697.5"/>
    <n v="7991197.5"/>
    <n v="8450197.5"/>
    <d v="2027-07-01T00:00:00"/>
    <d v="2024-04-01T00:00:00"/>
  </r>
  <r>
    <s v="C3"/>
    <s v="E"/>
    <s v="E3"/>
    <s v="RESIDENTIAL"/>
    <n v="0"/>
    <n v="1"/>
    <x v="800"/>
    <s v="2 BEDROOM"/>
    <s v="C3"/>
    <n v="87.23"/>
    <n v="94.72160516317075"/>
    <x v="30"/>
    <n v="73.757099999999994"/>
    <m/>
    <s v="NW"/>
    <s v="MIDDLE"/>
    <s v="ROAD 18M (BUILDINGS)"/>
    <s v="GROUND"/>
    <x v="1"/>
    <n v="0.13"/>
    <n v="2.5000000000000001E-2"/>
    <n v="0.15"/>
    <n v="0.05"/>
    <n v="0.04"/>
    <n v="0.39499999999999996"/>
    <x v="0"/>
    <x v="2"/>
    <n v="45687.5"/>
    <n v="51062.5"/>
    <n v="5375"/>
    <n v="2123.125"/>
    <n v="47810.625"/>
    <n v="15777.50625"/>
    <n v="52310.625"/>
    <n v="55310.625"/>
    <n v="5067926.25"/>
    <n v="5544926.25"/>
    <n v="5862926.25"/>
    <n v="1163703.106231875"/>
    <n v="529688.49527970934"/>
    <n v="1"/>
    <n v="215000"/>
    <n v="215000"/>
    <n v="6446629.3562318748"/>
    <n v="6923629.3562318748"/>
    <n v="7241629.3562318748"/>
    <d v="2027-07-01T00:00:00"/>
    <d v="2024-07-01T00:00:00"/>
  </r>
  <r>
    <m/>
    <s v="E"/>
    <s v="E3"/>
    <s v="RESIDENTIAL"/>
    <n v="0"/>
    <n v="2"/>
    <x v="801"/>
    <s v="3 BEDROOM"/>
    <s v="C3"/>
    <n v="125.09"/>
    <n v="135.83314902970341"/>
    <x v="31"/>
    <n v="85.619500000000002"/>
    <m/>
    <s v="SE"/>
    <s v="MIDDLE"/>
    <s v="LAKE E"/>
    <s v="GROUND"/>
    <x v="0"/>
    <n v="0.08"/>
    <n v="2.5000000000000001E-2"/>
    <n v="0.43"/>
    <n v="0.05"/>
    <n v="3.5000000000000003E-2"/>
    <n v="0.62000000000000011"/>
    <x v="1"/>
    <x v="6"/>
    <n v="44625"/>
    <n v="49875"/>
    <n v="5250"/>
    <n v="3255.0000000000005"/>
    <n v="47880"/>
    <n v="15800.400000000001"/>
    <n v="52380"/>
    <n v="55380"/>
    <n v="7325640"/>
    <n v="8014140"/>
    <n v="8473140"/>
    <n v="1352822.3478000001"/>
    <n v="737669.29956299998"/>
    <n v="2"/>
    <n v="210000"/>
    <n v="210000"/>
    <n v="8888462.3477999996"/>
    <n v="9576962.3477999996"/>
    <n v="10035962.3478"/>
    <d v="2027-07-01T00:00:00"/>
    <d v="2024-04-01T00:00:00"/>
  </r>
  <r>
    <m/>
    <s v="E"/>
    <s v="E3"/>
    <s v="RESIDENTIAL"/>
    <n v="0"/>
    <n v="3"/>
    <x v="802"/>
    <s v="3 BEDROOM"/>
    <s v="C3"/>
    <n v="129.57"/>
    <n v="140.69790646557414"/>
    <x v="32"/>
    <n v="84.075199999999995"/>
    <m/>
    <s v="SE"/>
    <s v="CORNER "/>
    <s v="LAKE E"/>
    <s v="GROUND"/>
    <x v="0"/>
    <n v="0.08"/>
    <n v="0.05"/>
    <n v="0.43"/>
    <n v="0.05"/>
    <n v="3.5000000000000003E-2"/>
    <n v="0.64500000000000013"/>
    <x v="1"/>
    <x v="2"/>
    <n v="45687.5"/>
    <n v="51062.5"/>
    <n v="5375"/>
    <n v="3466.8750000000009"/>
    <n v="49154.375"/>
    <n v="16220.94375"/>
    <n v="53654.375"/>
    <n v="56654.375"/>
    <n v="7766391.25"/>
    <n v="8477391.25"/>
    <n v="8951391.25"/>
    <n v="1363779.0899699999"/>
    <n v="776064.47889745003"/>
    <n v="2"/>
    <n v="215000"/>
    <n v="215000"/>
    <n v="9345170.3399700001"/>
    <n v="10056170.33997"/>
    <n v="10530170.33997"/>
    <d v="2027-07-01T00:00:00"/>
    <d v="2024-07-01T00:00:00"/>
  </r>
  <r>
    <m/>
    <s v="E"/>
    <s v="E3"/>
    <s v="RESIDENTIAL"/>
    <n v="0"/>
    <n v="4"/>
    <x v="803"/>
    <s v="3 BEDROOM"/>
    <s v="C3"/>
    <n v="131.34"/>
    <n v="142.61992000608558"/>
    <x v="33"/>
    <n v="88.6297"/>
    <m/>
    <s v="NW"/>
    <s v="CORNER "/>
    <s v="ROAD 18M (BUILDINGS)"/>
    <s v="GROUND"/>
    <x v="4"/>
    <n v="0.13"/>
    <n v="0.05"/>
    <n v="0.15"/>
    <n v="0.05"/>
    <n v="2.5000000000000001E-2"/>
    <n v="0.40499999999999997"/>
    <x v="0"/>
    <x v="1"/>
    <n v="48450.000000000007"/>
    <n v="54150.000000000007"/>
    <n v="5700"/>
    <n v="2308.5"/>
    <n v="50758.500000000007"/>
    <n v="16750.305000000004"/>
    <n v="55258.500000000007"/>
    <n v="58258.500000000007"/>
    <n v="8121360.0000000009"/>
    <n v="8841360.0000000019"/>
    <n v="9321360.0000000019"/>
    <n v="1484574.5070585003"/>
    <n v="816504.43309997267"/>
    <n v="2"/>
    <n v="228000.00000000003"/>
    <n v="228000.00000000003"/>
    <n v="9833934.5070585012"/>
    <n v="10553934.507058501"/>
    <n v="11033934.507058501"/>
    <d v="2027-07-01T00:00:00"/>
    <d v="2025-01-01T00:00:00"/>
  </r>
  <r>
    <m/>
    <s v="E"/>
    <s v="E3"/>
    <s v="RESIDENTIAL"/>
    <n v="1"/>
    <n v="1"/>
    <x v="804"/>
    <s v="2 BEDROOM"/>
    <s v="C3"/>
    <n v="88.87"/>
    <n v="96.502453867373433"/>
    <x v="34"/>
    <m/>
    <m/>
    <s v="NW"/>
    <s v="MIDDLE"/>
    <s v="ROAD 18M (BUILDINGS)"/>
    <s v="FIRST"/>
    <x v="1"/>
    <n v="0.13"/>
    <n v="2.5000000000000001E-2"/>
    <n v="0.15"/>
    <n v="7.0000000000000007E-2"/>
    <n v="0.04"/>
    <n v="0.41499999999999998"/>
    <x v="0"/>
    <x v="12"/>
    <n v="50150"/>
    <n v="56050"/>
    <n v="5900"/>
    <n v="2448.5"/>
    <n v="52598.5"/>
    <n v="17357.505000000001"/>
    <n v="57098.5"/>
    <n v="60098.5"/>
    <n v="5680638"/>
    <n v="6166638"/>
    <n v="6490638"/>
    <n v="0"/>
    <n v="482854.23000000004"/>
    <n v="1"/>
    <n v="236000"/>
    <n v="236000"/>
    <n v="5916638"/>
    <n v="6402638"/>
    <n v="6726638"/>
    <d v="2027-07-01T00:00:00"/>
    <d v="2025-04-01T00:00:00"/>
  </r>
  <r>
    <m/>
    <s v="E"/>
    <s v="E3"/>
    <s v="RESIDENTIAL"/>
    <n v="1"/>
    <n v="2"/>
    <x v="805"/>
    <s v="3 BEDROOM"/>
    <s v="C3"/>
    <n v="127.14"/>
    <n v="138.05920990995676"/>
    <x v="35"/>
    <m/>
    <m/>
    <s v="SE"/>
    <s v="MIDDLE"/>
    <s v="LAKE E"/>
    <s v="FIRST"/>
    <x v="0"/>
    <n v="0.08"/>
    <n v="2.5000000000000001E-2"/>
    <n v="0.43"/>
    <n v="7.0000000000000007E-2"/>
    <n v="3.5000000000000003E-2"/>
    <n v="0.64"/>
    <x v="1"/>
    <x v="2"/>
    <n v="45687.5"/>
    <n v="51062.5"/>
    <n v="5375"/>
    <n v="3440"/>
    <n v="49127.5"/>
    <n v="16212.075000000001"/>
    <n v="53627.5"/>
    <n v="56627.5"/>
    <n v="7614762.5"/>
    <n v="8312262.5"/>
    <n v="8777262.5"/>
    <n v="0"/>
    <n v="647254.8125"/>
    <n v="2"/>
    <n v="215000"/>
    <n v="215000"/>
    <n v="7829762.5"/>
    <n v="8527262.5"/>
    <n v="8992262.5"/>
    <d v="2027-07-01T00:00:00"/>
    <d v="2024-07-01T00:00:00"/>
  </r>
  <r>
    <m/>
    <s v="E"/>
    <s v="E3"/>
    <s v="RESIDENTIAL"/>
    <n v="1"/>
    <n v="3"/>
    <x v="806"/>
    <s v="3 BEDROOM"/>
    <s v="C3"/>
    <n v="131.43"/>
    <n v="142.71764950814548"/>
    <x v="33"/>
    <m/>
    <m/>
    <s v="SE"/>
    <s v="CORNER "/>
    <s v="LAKE E"/>
    <s v="FIRST"/>
    <x v="4"/>
    <n v="0.08"/>
    <n v="0.05"/>
    <n v="0.43"/>
    <n v="7.0000000000000007E-2"/>
    <n v="2.5000000000000001E-2"/>
    <n v="0.65500000000000014"/>
    <x v="1"/>
    <x v="5"/>
    <n v="46750.000000000007"/>
    <n v="52250.000000000007"/>
    <n v="5500"/>
    <n v="3602.5000000000009"/>
    <n v="50352.500000000007"/>
    <n v="16616.325000000004"/>
    <n v="54852.500000000007"/>
    <n v="57852.500000000007"/>
    <n v="8056400.0000000009"/>
    <n v="8776400.0000000019"/>
    <n v="9256400.0000000019"/>
    <n v="0"/>
    <n v="684794.00000000012"/>
    <n v="2"/>
    <n v="220000.00000000003"/>
    <n v="220000.00000000003"/>
    <n v="8276400.0000000009"/>
    <n v="8996400.0000000019"/>
    <n v="9476400.0000000019"/>
    <d v="2027-07-01T00:00:00"/>
    <d v="2024-10-01T00:00:00"/>
  </r>
  <r>
    <m/>
    <s v="E"/>
    <s v="E3"/>
    <s v="RESIDENTIAL"/>
    <n v="1"/>
    <n v="4"/>
    <x v="807"/>
    <s v="3 BEDROOM"/>
    <s v="C3"/>
    <n v="129.04"/>
    <n v="140.12238828677692"/>
    <x v="36"/>
    <m/>
    <m/>
    <s v="NW"/>
    <s v="CORNER "/>
    <s v="ROAD 18M (BUILDINGS)"/>
    <s v="FIRST"/>
    <x v="0"/>
    <n v="0.13"/>
    <n v="0.05"/>
    <n v="0.15"/>
    <n v="7.0000000000000007E-2"/>
    <n v="3.5000000000000003E-2"/>
    <n v="0.43499999999999994"/>
    <x v="0"/>
    <x v="4"/>
    <n v="51850"/>
    <n v="57950"/>
    <n v="6100"/>
    <n v="2653.4999999999995"/>
    <n v="54503.5"/>
    <n v="17986.155000000002"/>
    <n v="59003.5"/>
    <n v="62003.5"/>
    <n v="8557049.5"/>
    <n v="9263549.5"/>
    <n v="9734549.5"/>
    <n v="0"/>
    <n v="727349.20750000002"/>
    <n v="2"/>
    <n v="244000"/>
    <n v="244000"/>
    <n v="8801049.5"/>
    <n v="9507549.5"/>
    <n v="9978549.5"/>
    <d v="2027-07-01T00:00:00"/>
    <d v="2025-07-01T00:00:00"/>
  </r>
  <r>
    <m/>
    <s v="E"/>
    <s v="E3"/>
    <s v="RESIDENTIAL"/>
    <n v="2"/>
    <n v="1"/>
    <x v="808"/>
    <s v="3 BEDROOM"/>
    <s v="C3"/>
    <n v="127.15"/>
    <n v="138.07006874351899"/>
    <x v="35"/>
    <m/>
    <m/>
    <s v="NW"/>
    <s v="MIDDLE"/>
    <s v="ROAD 18M (BUILDINGS)"/>
    <s v="SECOND"/>
    <x v="0"/>
    <n v="0.13"/>
    <n v="2.5000000000000001E-2"/>
    <n v="0.15"/>
    <n v="0.11"/>
    <n v="3.5000000000000003E-2"/>
    <n v="0.44999999999999996"/>
    <x v="0"/>
    <x v="10"/>
    <n v="53550"/>
    <n v="59850"/>
    <n v="6300"/>
    <n v="2834.9999999999995"/>
    <n v="56385"/>
    <n v="18607.05"/>
    <n v="60885"/>
    <n v="63885"/>
    <n v="8739675"/>
    <n v="9437175"/>
    <n v="9902175"/>
    <n v="0"/>
    <n v="742872.375"/>
    <n v="2"/>
    <n v="252000"/>
    <n v="252000"/>
    <n v="8991675"/>
    <n v="9689175"/>
    <n v="10154175"/>
    <d v="2027-07-01T00:00:00"/>
    <d v="2025-10-01T00:00:00"/>
  </r>
  <r>
    <m/>
    <s v="E"/>
    <s v="E3"/>
    <s v="RESIDENTIAL"/>
    <n v="2"/>
    <n v="2"/>
    <x v="809"/>
    <s v="3 BEDROOM"/>
    <s v="C3"/>
    <n v="126.95"/>
    <n v="137.85289207227476"/>
    <x v="35"/>
    <m/>
    <m/>
    <s v="SE"/>
    <s v="MIDDLE"/>
    <s v="LAKE E"/>
    <s v="SECOND"/>
    <x v="0"/>
    <n v="0.08"/>
    <n v="2.5000000000000001E-2"/>
    <n v="0.43"/>
    <n v="0.11"/>
    <n v="3.5000000000000003E-2"/>
    <n v="0.68"/>
    <x v="1"/>
    <x v="12"/>
    <n v="50150"/>
    <n v="56050"/>
    <n v="5900"/>
    <n v="4012.0000000000005"/>
    <n v="54162"/>
    <n v="17873.46"/>
    <n v="58662"/>
    <n v="61662"/>
    <n v="8395110"/>
    <n v="9092610"/>
    <n v="9557610"/>
    <n v="0"/>
    <n v="713584.35000000009"/>
    <n v="2"/>
    <n v="236000"/>
    <n v="236000"/>
    <n v="8631110"/>
    <n v="9328610"/>
    <n v="9793610"/>
    <d v="2027-07-01T00:00:00"/>
    <d v="2025-04-01T00:00:00"/>
  </r>
  <r>
    <m/>
    <s v="E"/>
    <s v="E3"/>
    <s v="RESIDENTIAL"/>
    <n v="2"/>
    <n v="3"/>
    <x v="810"/>
    <s v="3 BEDROOM"/>
    <s v="C3"/>
    <n v="131.44"/>
    <n v="142.72850834170771"/>
    <x v="33"/>
    <m/>
    <m/>
    <s v="SE"/>
    <s v="CORNER "/>
    <s v="LAKE E"/>
    <s v="SECOND"/>
    <x v="4"/>
    <n v="0.08"/>
    <n v="0.05"/>
    <n v="0.43"/>
    <n v="0.11"/>
    <n v="2.5000000000000001E-2"/>
    <n v="0.69500000000000006"/>
    <x v="1"/>
    <x v="10"/>
    <n v="53550"/>
    <n v="59850"/>
    <n v="6300"/>
    <n v="4378.5"/>
    <n v="57928.5"/>
    <n v="19116.405000000002"/>
    <n v="62428.5"/>
    <n v="65428.5"/>
    <n v="9268560"/>
    <n v="9988560"/>
    <n v="10468560"/>
    <n v="0"/>
    <n v="787827.60000000009"/>
    <n v="2"/>
    <n v="252000"/>
    <n v="252000"/>
    <n v="9520560"/>
    <n v="10240560"/>
    <n v="10720560"/>
    <d v="2027-07-01T00:00:00"/>
    <d v="2025-10-01T00:00:00"/>
  </r>
  <r>
    <m/>
    <s v="E"/>
    <s v="E3"/>
    <s v="RESIDENTIAL"/>
    <n v="2"/>
    <n v="4"/>
    <x v="811"/>
    <s v="3 BEDROOM"/>
    <s v="C3"/>
    <n v="131.43"/>
    <n v="142.71764950814548"/>
    <x v="33"/>
    <m/>
    <m/>
    <s v="NW"/>
    <s v="CORNER "/>
    <s v="ROAD 18M (BUILDINGS)"/>
    <s v="SECOND"/>
    <x v="4"/>
    <n v="0.13"/>
    <n v="0.05"/>
    <n v="0.15"/>
    <n v="0.11"/>
    <n v="2.5000000000000001E-2"/>
    <n v="0.46499999999999997"/>
    <x v="0"/>
    <x v="8"/>
    <n v="56100"/>
    <n v="62700"/>
    <n v="6600"/>
    <n v="3069"/>
    <n v="59169"/>
    <n v="19525.77"/>
    <n v="63669"/>
    <n v="66669"/>
    <n v="9467040"/>
    <n v="10187040"/>
    <n v="10667040"/>
    <n v="0"/>
    <n v="804698.4"/>
    <n v="2"/>
    <n v="264000"/>
    <n v="264000"/>
    <n v="9731040"/>
    <n v="10451040"/>
    <n v="10931040"/>
    <d v="2027-07-01T00:00:00"/>
    <d v="2026-01-01T00:00:00"/>
  </r>
  <r>
    <m/>
    <s v="E"/>
    <s v="E3"/>
    <s v="RESIDENTIAL"/>
    <n v="3"/>
    <n v="1"/>
    <x v="812"/>
    <s v="3 BEDROOM"/>
    <s v="C3"/>
    <n v="127.45"/>
    <n v="138.39583375038532"/>
    <x v="35"/>
    <m/>
    <m/>
    <s v="NW"/>
    <s v="MIDDLE"/>
    <s v="ROAD 18M (BUILDINGS)"/>
    <s v="THIRD"/>
    <x v="0"/>
    <n v="0.13"/>
    <n v="2.5000000000000001E-2"/>
    <n v="0.15"/>
    <n v="0.15"/>
    <n v="3.5000000000000003E-2"/>
    <n v="0.49"/>
    <x v="0"/>
    <x v="7"/>
    <n v="61625"/>
    <n v="68875"/>
    <n v="7250"/>
    <n v="3552.5"/>
    <n v="65177.5"/>
    <n v="21508.575000000001"/>
    <n v="69677.5"/>
    <n v="72677.5"/>
    <n v="10102512.5"/>
    <n v="10800012.5"/>
    <n v="11265012.5"/>
    <n v="0"/>
    <n v="858713.56250000012"/>
    <n v="2"/>
    <n v="290000"/>
    <n v="290000"/>
    <n v="10392512.5"/>
    <n v="11090012.5"/>
    <n v="11555012.5"/>
    <d v="2027-07-01T00:00:00"/>
    <d v="2026-07-01T00:00:00"/>
  </r>
  <r>
    <m/>
    <s v="E"/>
    <s v="E3"/>
    <s v="RESIDENTIAL"/>
    <n v="3"/>
    <n v="2"/>
    <x v="813"/>
    <s v="3 BEDROOM"/>
    <s v="C3"/>
    <n v="126.97"/>
    <n v="137.87460973939918"/>
    <x v="35"/>
    <m/>
    <m/>
    <s v="SE"/>
    <s v="MIDDLE"/>
    <s v="LAKE E"/>
    <s v="THIRD"/>
    <x v="0"/>
    <n v="0.08"/>
    <n v="2.5000000000000001E-2"/>
    <n v="0.43"/>
    <n v="0.15"/>
    <n v="3.5000000000000003E-2"/>
    <n v="0.72000000000000008"/>
    <x v="1"/>
    <x v="7"/>
    <n v="61625"/>
    <n v="68875"/>
    <n v="7250"/>
    <n v="5220.0000000000009"/>
    <n v="66845"/>
    <n v="22058.850000000002"/>
    <n v="71345"/>
    <n v="74345"/>
    <n v="10360975"/>
    <n v="11058475"/>
    <n v="11523475"/>
    <n v="0"/>
    <n v="880682.87500000012"/>
    <n v="2"/>
    <n v="290000"/>
    <n v="290000"/>
    <n v="10650975"/>
    <n v="11348475"/>
    <n v="11813475"/>
    <d v="2027-07-01T00:00:00"/>
    <d v="2026-07-01T00:00:00"/>
  </r>
  <r>
    <m/>
    <s v="E"/>
    <s v="E3"/>
    <s v="RESIDENTIAL"/>
    <n v="3"/>
    <n v="3"/>
    <x v="814"/>
    <s v="3 BEDROOM"/>
    <s v="C3"/>
    <n v="131.43"/>
    <n v="142.71764950814548"/>
    <x v="33"/>
    <m/>
    <m/>
    <s v="SE"/>
    <s v="CORNER "/>
    <s v="LAKE E"/>
    <s v="THIRD"/>
    <x v="4"/>
    <n v="0.08"/>
    <n v="0.05"/>
    <n v="0.43"/>
    <n v="0.15"/>
    <n v="2.5000000000000001E-2"/>
    <n v="0.7350000000000001"/>
    <x v="2"/>
    <x v="3"/>
    <n v="42500"/>
    <n v="47500"/>
    <n v="5000"/>
    <n v="3675.0000000000005"/>
    <n v="46175"/>
    <n v="15237.75"/>
    <n v="50675"/>
    <n v="53675"/>
    <n v="7388000"/>
    <n v="8108000"/>
    <n v="8588000"/>
    <n v="0"/>
    <n v="627980"/>
    <n v="2"/>
    <n v="200000"/>
    <n v="200000"/>
    <n v="7588000"/>
    <n v="8308000"/>
    <n v="8788000"/>
    <d v="2027-07-01T00:00:00"/>
    <d v="2023-09-01T00:00:00"/>
  </r>
  <r>
    <m/>
    <s v="E"/>
    <s v="E3"/>
    <s v="RESIDENTIAL"/>
    <n v="3"/>
    <n v="4"/>
    <x v="815"/>
    <s v="3 BEDROOM"/>
    <s v="C3"/>
    <n v="131.88"/>
    <n v="143.20629701844501"/>
    <x v="37"/>
    <m/>
    <m/>
    <s v="NW"/>
    <s v="CORNER "/>
    <s v="ROAD 18M (BUILDINGS)"/>
    <s v="THIRD"/>
    <x v="4"/>
    <n v="0.13"/>
    <n v="0.05"/>
    <n v="0.15"/>
    <n v="0.15"/>
    <n v="2.5000000000000001E-2"/>
    <n v="0.505"/>
    <x v="1"/>
    <x v="3"/>
    <n v="42500"/>
    <n v="47500"/>
    <n v="5000"/>
    <n v="2525"/>
    <n v="45025"/>
    <n v="14858.25"/>
    <n v="49525"/>
    <n v="52525"/>
    <n v="7249025"/>
    <n v="7973525"/>
    <n v="8456525"/>
    <n v="0"/>
    <n v="616167.125"/>
    <n v="2"/>
    <n v="200000"/>
    <n v="200000"/>
    <n v="7449025"/>
    <n v="8173525"/>
    <n v="8656525"/>
    <d v="2027-07-01T00:00:00"/>
    <d v="2023-09-01T00:00:00"/>
  </r>
  <r>
    <m/>
    <s v="E"/>
    <s v="E3"/>
    <s v="RESIDENTIAL"/>
    <n v="4"/>
    <n v="1"/>
    <x v="816"/>
    <s v="3 BEDROOM"/>
    <s v="C3"/>
    <n v="125.13"/>
    <n v="135.87658436395225"/>
    <x v="31"/>
    <m/>
    <m/>
    <s v="NW"/>
    <s v="MIDDLE"/>
    <s v="ROAD 18M (BUILDINGS)"/>
    <s v="FORTH"/>
    <x v="0"/>
    <n v="0.13"/>
    <n v="2.5000000000000001E-2"/>
    <n v="0.15"/>
    <n v="0.06"/>
    <n v="3.5000000000000003E-2"/>
    <n v="0.4"/>
    <x v="0"/>
    <x v="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n v="8397850.0000000019"/>
    <n v="8856850.0000000019"/>
    <d v="2027-07-01T00:00:00"/>
    <d v="2024-10-01T00:00:00"/>
  </r>
  <r>
    <m/>
    <s v="E"/>
    <s v="E3"/>
    <s v="RESIDENTIAL"/>
    <n v="4"/>
    <n v="2"/>
    <x v="817"/>
    <s v="3 BEDROOM"/>
    <s v="C3"/>
    <n v="127.19"/>
    <n v="138.11350407776783"/>
    <x v="35"/>
    <m/>
    <m/>
    <s v="SE"/>
    <s v="MIDDLE"/>
    <s v="LAKE E"/>
    <s v="FORTH"/>
    <x v="0"/>
    <n v="0.08"/>
    <n v="2.5000000000000001E-2"/>
    <n v="0.43"/>
    <n v="0.06"/>
    <n v="3.5000000000000003E-2"/>
    <n v="0.63"/>
    <x v="1"/>
    <x v="6"/>
    <n v="44625"/>
    <n v="49875"/>
    <n v="5250"/>
    <n v="3307.5"/>
    <n v="47932.5"/>
    <n v="15817.725"/>
    <n v="52432.5"/>
    <n v="55432.5"/>
    <n v="7429537.5"/>
    <n v="8127037.5"/>
    <n v="8592037.5"/>
    <n v="0"/>
    <n v="631510.6875"/>
    <n v="2"/>
    <n v="210000"/>
    <n v="210000"/>
    <n v="7639537.5"/>
    <n v="8337037.5"/>
    <n v="8802037.5"/>
    <d v="2027-07-01T00:00:00"/>
    <d v="2024-04-01T00:00:00"/>
  </r>
  <r>
    <m/>
    <s v="E"/>
    <s v="E3"/>
    <s v="RESIDENTIAL"/>
    <n v="4"/>
    <n v="3"/>
    <x v="818"/>
    <s v="3 BEDROOM"/>
    <s v="C3"/>
    <n v="131.38"/>
    <n v="142.66335534033442"/>
    <x v="33"/>
    <m/>
    <m/>
    <s v="SE"/>
    <s v="CORNER "/>
    <s v="LAKE E"/>
    <s v="FORTH"/>
    <x v="4"/>
    <n v="0.08"/>
    <n v="0.05"/>
    <n v="0.43"/>
    <n v="0.06"/>
    <n v="2.5000000000000001E-2"/>
    <n v="0.64500000000000013"/>
    <x v="1"/>
    <x v="2"/>
    <n v="45687.5"/>
    <n v="51062.5"/>
    <n v="5375"/>
    <n v="3466.8750000000009"/>
    <n v="49154.375"/>
    <n v="16220.94375"/>
    <n v="53654.375"/>
    <n v="56654.375"/>
    <n v="7864700"/>
    <n v="8584700"/>
    <n v="9064700"/>
    <n v="0"/>
    <n v="668499.5"/>
    <n v="2"/>
    <n v="215000"/>
    <n v="215000"/>
    <n v="8079700"/>
    <n v="8799700"/>
    <n v="9279700"/>
    <d v="2027-07-01T00:00:00"/>
    <d v="2024-07-01T00:00:00"/>
  </r>
  <r>
    <m/>
    <s v="E"/>
    <s v="E3"/>
    <s v="RESIDENTIAL"/>
    <n v="4"/>
    <n v="4"/>
    <x v="819"/>
    <s v="3 BEDROOM"/>
    <s v="C3"/>
    <n v="129.58000000000001"/>
    <n v="140.70876529913639"/>
    <x v="32"/>
    <m/>
    <m/>
    <s v="NW"/>
    <s v="CORNER "/>
    <s v="ROAD 18M (BUILDINGS)"/>
    <s v="FORTH"/>
    <x v="0"/>
    <n v="0.13"/>
    <n v="0.05"/>
    <n v="0.15"/>
    <n v="0.06"/>
    <n v="3.5000000000000003E-2"/>
    <n v="0.42499999999999993"/>
    <x v="0"/>
    <x v="12"/>
    <n v="50150"/>
    <n v="56050"/>
    <n v="5900"/>
    <n v="2507.4999999999995"/>
    <n v="52657.5"/>
    <n v="17376.975000000002"/>
    <n v="57157.5"/>
    <n v="60157.5"/>
    <n v="8319885"/>
    <n v="9030885"/>
    <n v="9504885"/>
    <n v="0"/>
    <n v="707190.22500000009"/>
    <n v="2"/>
    <n v="236000"/>
    <n v="236000"/>
    <n v="8555885"/>
    <n v="9266885"/>
    <n v="9740885"/>
    <d v="2027-07-01T00:00:00"/>
    <d v="2025-04-01T00:00:00"/>
  </r>
  <r>
    <s v="C3"/>
    <s v="E"/>
    <s v="E4"/>
    <s v="RESIDENTIAL"/>
    <n v="0"/>
    <n v="1"/>
    <x v="820"/>
    <s v="3 BEDROOM"/>
    <s v="C3"/>
    <n v="131.32"/>
    <n v="142.66718842094684"/>
    <x v="33"/>
    <n v="89.694999999999993"/>
    <m/>
    <s v="NW"/>
    <s v="MIDDLE"/>
    <s v="ROAD 18M (BUILDINGS)"/>
    <s v="GROUND"/>
    <x v="4"/>
    <n v="0.13"/>
    <n v="2.5000000000000001E-2"/>
    <n v="0.15"/>
    <n v="0.05"/>
    <n v="2.5000000000000001E-2"/>
    <n v="0.38"/>
    <x v="0"/>
    <x v="6"/>
    <n v="44625"/>
    <n v="49875"/>
    <n v="5250"/>
    <n v="1995"/>
    <n v="46620"/>
    <n v="15384.6"/>
    <n v="51120"/>
    <n v="54120"/>
    <n v="7459200"/>
    <n v="8179200"/>
    <n v="8659200"/>
    <n v="1379921.6969999999"/>
    <n v="751325.34424500016"/>
    <n v="2"/>
    <n v="210000"/>
    <n v="210000"/>
    <n v="9049121.6970000006"/>
    <n v="9769121.6970000006"/>
    <n v="10249121.697000001"/>
    <d v="2027-07-01T00:00:00"/>
    <d v="2024-04-01T00:00:00"/>
  </r>
  <r>
    <m/>
    <s v="E"/>
    <s v="E4"/>
    <s v="RESIDENTIAL"/>
    <n v="0"/>
    <n v="2"/>
    <x v="821"/>
    <s v="3 BEDROOM + LIVING (DUPLEX)"/>
    <s v="C3"/>
    <n v="128.28"/>
    <n v="139.36450602070562"/>
    <x v="38"/>
    <n v="86.075999999999993"/>
    <m/>
    <s v="SE"/>
    <s v="MIDDLE"/>
    <s v="LAKE E"/>
    <s v="GROUND"/>
    <x v="5"/>
    <n v="0.08"/>
    <n v="2.5000000000000001E-2"/>
    <n v="0.43"/>
    <n v="0.05"/>
    <n v="0"/>
    <n v="0.58500000000000008"/>
    <x v="1"/>
    <x v="3"/>
    <n v="42500"/>
    <n v="47500"/>
    <n v="5000"/>
    <n v="2925.0000000000005"/>
    <n v="45425"/>
    <n v="14990.25"/>
    <n v="49925"/>
    <n v="52925"/>
    <n v="14036325"/>
    <n v="15426825"/>
    <n v="16353825"/>
    <n v="1290300.7589999998"/>
    <n v="1302763.189515"/>
    <n v="2"/>
    <n v="200000"/>
    <n v="200000"/>
    <n v="15526625.759"/>
    <n v="16917125.759"/>
    <n v="17844125.759"/>
    <d v="2027-07-01T00:00:00"/>
    <d v="2023-09-01T00:00:00"/>
  </r>
  <r>
    <m/>
    <s v="E"/>
    <s v="E4"/>
    <s v="RESIDENTIAL"/>
    <n v="0"/>
    <n v="3"/>
    <x v="822"/>
    <s v="3 BEDROOM + LIVING (DUPLEX)"/>
    <s v="C3"/>
    <n v="125.03"/>
    <n v="135.83367779676351"/>
    <x v="39"/>
    <n v="85.509600000000006"/>
    <m/>
    <s v="SE"/>
    <s v="MIDDLE"/>
    <s v="LAKE E"/>
    <s v="GROUND"/>
    <x v="5"/>
    <n v="0.08"/>
    <n v="2.5000000000000001E-2"/>
    <n v="0.43"/>
    <n v="0.05"/>
    <n v="0"/>
    <n v="0.58500000000000008"/>
    <x v="1"/>
    <x v="3"/>
    <n v="42500"/>
    <n v="47500"/>
    <n v="5000"/>
    <n v="2925.0000000000005"/>
    <n v="45425"/>
    <n v="14990.25"/>
    <n v="49925"/>
    <n v="52925"/>
    <n v="13672925"/>
    <n v="15027425"/>
    <n v="15930425"/>
    <n v="1281810.2814"/>
    <n v="1271152.4989190002"/>
    <n v="2"/>
    <n v="200000"/>
    <n v="200000"/>
    <n v="15154735.281400001"/>
    <n v="16509235.281400001"/>
    <n v="17412235.281399999"/>
    <d v="2027-07-01T00:00:00"/>
    <d v="2023-09-01T00:00:00"/>
  </r>
  <r>
    <m/>
    <s v="E"/>
    <s v="E4"/>
    <s v="RESIDENTIAL"/>
    <n v="0"/>
    <n v="4"/>
    <x v="823"/>
    <s v="2 BEDROOM"/>
    <s v="C3"/>
    <n v="87.23"/>
    <n v="94.767429530606108"/>
    <x v="30"/>
    <n v="73.371899999999997"/>
    <m/>
    <s v="NW"/>
    <s v="MIDDLE"/>
    <s v="ROAD 18M (BUILDINGS)"/>
    <s v="GROUND"/>
    <x v="1"/>
    <n v="0.13"/>
    <n v="2.5000000000000001E-2"/>
    <n v="0.15"/>
    <n v="0.05"/>
    <n v="0.04"/>
    <n v="0.39499999999999996"/>
    <x v="0"/>
    <x v="2"/>
    <n v="45687.5"/>
    <n v="51062.5"/>
    <n v="5375"/>
    <n v="2123.125"/>
    <n v="47810.625"/>
    <n v="15777.50625"/>
    <n v="52310.625"/>
    <n v="55310.625"/>
    <n v="5067926.25"/>
    <n v="5544926.25"/>
    <n v="5862926.25"/>
    <n v="1157625.6108243749"/>
    <n v="529171.9081700719"/>
    <n v="1"/>
    <n v="215000"/>
    <n v="215000"/>
    <n v="6440551.8608243745"/>
    <n v="6917551.8608243745"/>
    <n v="7235551.8608243745"/>
    <d v="2027-07-01T00:00:00"/>
    <d v="2024-07-01T00:00:00"/>
  </r>
  <r>
    <m/>
    <s v="E"/>
    <s v="E4"/>
    <s v="RESIDENTIAL"/>
    <n v="1"/>
    <n v="1"/>
    <x v="824"/>
    <s v="3 BEDROOM"/>
    <s v="C3"/>
    <n v="132.94"/>
    <n v="144.42717048949646"/>
    <x v="40"/>
    <m/>
    <m/>
    <s v="NW"/>
    <s v="MIDDLE"/>
    <s v="ROAD 18M (BUILDINGS)"/>
    <s v="FIRST"/>
    <x v="4"/>
    <n v="0.13"/>
    <n v="2.5000000000000001E-2"/>
    <n v="0.15"/>
    <n v="7.0000000000000007E-2"/>
    <n v="2.5000000000000001E-2"/>
    <n v="0.4"/>
    <x v="0"/>
    <x v="5"/>
    <n v="46750.000000000007"/>
    <n v="52250.000000000007"/>
    <n v="5500"/>
    <n v="2200"/>
    <n v="48950.000000000007"/>
    <n v="16153.500000000004"/>
    <n v="53450.000000000007"/>
    <n v="56450.000000000007"/>
    <n v="7929900.0000000009"/>
    <n v="8658900.0000000019"/>
    <n v="9144900.0000000019"/>
    <n v="0"/>
    <n v="674041.50000000012"/>
    <n v="2"/>
    <n v="220000.00000000003"/>
    <n v="220000.00000000003"/>
    <n v="8149900.0000000009"/>
    <n v="8878900.0000000019"/>
    <n v="9364900.0000000019"/>
    <d v="2027-07-01T00:00:00"/>
    <d v="2024-10-01T00:00:00"/>
  </r>
  <r>
    <m/>
    <s v="E"/>
    <s v="E4"/>
    <s v="RESIDENTIAL"/>
    <n v="1"/>
    <n v="4"/>
    <x v="825"/>
    <s v="2 BEDROOM"/>
    <s v="C3"/>
    <n v="88.87"/>
    <n v="96.549139772841514"/>
    <x v="34"/>
    <m/>
    <m/>
    <s v="NW"/>
    <s v="MIDDLE"/>
    <s v="ROAD 18M (BUILDINGS)"/>
    <s v="FIRST"/>
    <x v="1"/>
    <n v="0.13"/>
    <n v="2.5000000000000001E-2"/>
    <n v="0.15"/>
    <n v="7.0000000000000007E-2"/>
    <n v="0.04"/>
    <n v="0.41499999999999998"/>
    <x v="0"/>
    <x v="12"/>
    <n v="50150"/>
    <n v="56050"/>
    <n v="5900"/>
    <n v="2448.5"/>
    <n v="52598.5"/>
    <n v="17357.505000000001"/>
    <n v="57098.5"/>
    <n v="60098.5"/>
    <n v="5680638"/>
    <n v="6166638"/>
    <n v="6490638"/>
    <n v="0"/>
    <n v="482854.23000000004"/>
    <n v="1"/>
    <n v="236000"/>
    <n v="236000"/>
    <n v="5916638"/>
    <n v="6402638"/>
    <n v="6726638"/>
    <d v="2027-07-01T00:00:00"/>
    <d v="2025-04-01T00:00:00"/>
  </r>
  <r>
    <m/>
    <s v="E"/>
    <s v="E4"/>
    <s v="RESIDENTIAL"/>
    <n v="2"/>
    <n v="1"/>
    <x v="826"/>
    <s v="3 BEDROOM"/>
    <s v="C3"/>
    <n v="131.41999999999999"/>
    <n v="142.77582928937582"/>
    <x v="33"/>
    <m/>
    <m/>
    <s v="NW"/>
    <s v="MIDDLE"/>
    <s v="ROAD 18M (BUILDINGS)"/>
    <s v="SECOND"/>
    <x v="4"/>
    <n v="0.13"/>
    <n v="2.5000000000000001E-2"/>
    <n v="0.15"/>
    <n v="0.11"/>
    <n v="2.5000000000000001E-2"/>
    <n v="0.44"/>
    <x v="0"/>
    <x v="4"/>
    <n v="51850"/>
    <n v="57950"/>
    <n v="6100"/>
    <n v="2684"/>
    <n v="54534"/>
    <n v="17996.22"/>
    <n v="59034"/>
    <n v="62034"/>
    <n v="8725440"/>
    <n v="9445440"/>
    <n v="9925440"/>
    <n v="0"/>
    <n v="741662.4"/>
    <n v="2"/>
    <n v="244000"/>
    <n v="244000"/>
    <n v="8969440"/>
    <n v="9689440"/>
    <n v="10169440"/>
    <d v="2027-07-01T00:00:00"/>
    <d v="2025-07-01T00:00:00"/>
  </r>
  <r>
    <m/>
    <s v="E"/>
    <s v="E4"/>
    <s v="RESIDENTIAL"/>
    <n v="2"/>
    <n v="2"/>
    <x v="827"/>
    <s v="3 BEDROOM"/>
    <s v="C3"/>
    <n v="131.03"/>
    <n v="142.35212990250278"/>
    <x v="33"/>
    <m/>
    <m/>
    <s v="SE"/>
    <s v="MIDDLE"/>
    <s v="LAKE E"/>
    <s v="SECOND"/>
    <x v="4"/>
    <n v="0.08"/>
    <n v="2.5000000000000001E-2"/>
    <n v="0.43"/>
    <n v="0.11"/>
    <n v="2.5000000000000001E-2"/>
    <n v="0.67"/>
    <x v="1"/>
    <x v="12"/>
    <n v="50150"/>
    <n v="56050"/>
    <n v="5900"/>
    <n v="3953.0000000000005"/>
    <n v="54103"/>
    <n v="17853.990000000002"/>
    <n v="58603"/>
    <n v="61603"/>
    <n v="8656480"/>
    <n v="9376480"/>
    <n v="9856480"/>
    <n v="0"/>
    <n v="735800.8"/>
    <n v="2"/>
    <n v="236000"/>
    <n v="236000"/>
    <n v="8892480"/>
    <n v="9612480"/>
    <n v="10092480"/>
    <d v="2027-07-01T00:00:00"/>
    <d v="2025-04-01T00:00:00"/>
  </r>
  <r>
    <m/>
    <s v="E"/>
    <s v="E4"/>
    <s v="RESIDENTIAL"/>
    <n v="2"/>
    <n v="3"/>
    <x v="828"/>
    <s v="3 BEDROOM"/>
    <s v="C3"/>
    <n v="126.89"/>
    <n v="137.85439794954269"/>
    <x v="35"/>
    <m/>
    <m/>
    <s v="SE"/>
    <s v="MIDDLE"/>
    <s v="LAKE E"/>
    <s v="SECOND"/>
    <x v="0"/>
    <n v="0.08"/>
    <n v="2.5000000000000001E-2"/>
    <n v="0.43"/>
    <n v="0.11"/>
    <n v="3.5000000000000003E-2"/>
    <n v="0.68"/>
    <x v="1"/>
    <x v="12"/>
    <n v="50150"/>
    <n v="56050"/>
    <n v="5900"/>
    <n v="4012.0000000000005"/>
    <n v="54162"/>
    <n v="17873.46"/>
    <n v="58662"/>
    <n v="61662"/>
    <n v="8395110"/>
    <n v="9092610"/>
    <n v="9557610"/>
    <n v="0"/>
    <n v="713584.35000000009"/>
    <n v="2"/>
    <n v="236000"/>
    <n v="236000"/>
    <n v="8631110"/>
    <n v="9328610"/>
    <n v="9793610"/>
    <d v="2027-07-01T00:00:00"/>
    <d v="2025-04-01T00:00:00"/>
  </r>
  <r>
    <m/>
    <s v="E"/>
    <s v="E4"/>
    <s v="RESIDENTIAL"/>
    <n v="2"/>
    <n v="4"/>
    <x v="829"/>
    <s v="3 BEDROOM"/>
    <s v="C3"/>
    <n v="126.99"/>
    <n v="137.96303881797166"/>
    <x v="35"/>
    <m/>
    <m/>
    <s v="NW"/>
    <s v="MIDDLE"/>
    <s v="ROAD 18M (BUILDINGS)"/>
    <s v="SECOND"/>
    <x v="0"/>
    <n v="0.13"/>
    <n v="2.5000000000000001E-2"/>
    <n v="0.15"/>
    <n v="0.11"/>
    <n v="3.5000000000000003E-2"/>
    <n v="0.44999999999999996"/>
    <x v="0"/>
    <x v="10"/>
    <n v="53550"/>
    <n v="59850"/>
    <n v="6300"/>
    <n v="2834.9999999999995"/>
    <n v="56385"/>
    <n v="18607.05"/>
    <n v="60885"/>
    <n v="63885"/>
    <n v="8739675"/>
    <n v="9437175"/>
    <n v="9902175"/>
    <n v="0"/>
    <n v="742872.375"/>
    <n v="2"/>
    <n v="252000"/>
    <n v="252000"/>
    <n v="8991675"/>
    <n v="9689175"/>
    <n v="10154175"/>
    <d v="2027-07-01T00:00:00"/>
    <d v="2025-10-01T00:00:00"/>
  </r>
  <r>
    <m/>
    <s v="E"/>
    <s v="E4"/>
    <s v="RESIDENTIAL"/>
    <n v="3"/>
    <n v="1"/>
    <x v="830"/>
    <s v="3 BEDROOM"/>
    <s v="C3"/>
    <n v="131.88"/>
    <n v="143.27557728414919"/>
    <x v="37"/>
    <m/>
    <m/>
    <s v="NW"/>
    <s v="MIDDLE"/>
    <s v="ROAD 18M (BUILDINGS)"/>
    <s v="THIRD"/>
    <x v="4"/>
    <n v="0.13"/>
    <n v="2.5000000000000001E-2"/>
    <n v="0.15"/>
    <n v="0.15"/>
    <n v="2.5000000000000001E-2"/>
    <n v="0.48"/>
    <x v="0"/>
    <x v="7"/>
    <n v="61625"/>
    <n v="68875"/>
    <n v="7250"/>
    <n v="3480"/>
    <n v="65105"/>
    <n v="21484.65"/>
    <n v="69605"/>
    <n v="72605"/>
    <n v="10481905"/>
    <n v="11206405"/>
    <n v="11689405"/>
    <n v="0"/>
    <n v="890961.92500000005"/>
    <n v="2"/>
    <n v="290000"/>
    <n v="290000"/>
    <n v="10771905"/>
    <n v="11496405"/>
    <n v="11979405"/>
    <d v="2027-07-01T00:00:00"/>
    <d v="2026-07-01T00:00:00"/>
  </r>
  <r>
    <m/>
    <s v="E"/>
    <s v="E4"/>
    <s v="RESIDENTIAL"/>
    <n v="3"/>
    <n v="2"/>
    <x v="831"/>
    <s v="3 BEDROOM"/>
    <s v="C3"/>
    <n v="131.02000000000001"/>
    <n v="142.34126581565991"/>
    <x v="33"/>
    <m/>
    <m/>
    <s v="SE"/>
    <s v="MIDDLE"/>
    <s v="LAKE E"/>
    <s v="THIRD"/>
    <x v="4"/>
    <n v="0.08"/>
    <n v="2.5000000000000001E-2"/>
    <n v="0.43"/>
    <n v="0.15"/>
    <n v="2.5000000000000001E-2"/>
    <n v="0.71000000000000008"/>
    <x v="1"/>
    <x v="7"/>
    <n v="61625"/>
    <n v="68875"/>
    <n v="7250"/>
    <n v="5147.5000000000009"/>
    <n v="66772.5"/>
    <n v="22034.924999999999"/>
    <n v="71272.5"/>
    <n v="74272.5"/>
    <n v="10683600"/>
    <n v="11403600"/>
    <n v="11883600"/>
    <n v="0"/>
    <n v="908106.00000000012"/>
    <n v="2"/>
    <n v="290000"/>
    <n v="290000"/>
    <n v="10973600"/>
    <n v="11693600"/>
    <n v="12173600"/>
    <d v="2027-07-01T00:00:00"/>
    <d v="2026-07-01T00:00:00"/>
  </r>
  <r>
    <m/>
    <s v="E"/>
    <s v="E4"/>
    <s v="RESIDENTIAL"/>
    <n v="3"/>
    <n v="3"/>
    <x v="832"/>
    <s v="3 BEDROOM"/>
    <s v="C3"/>
    <n v="126.87"/>
    <n v="137.83266977585691"/>
    <x v="35"/>
    <m/>
    <m/>
    <s v="SE"/>
    <s v="MIDDLE"/>
    <s v="LAKE E"/>
    <s v="THIRD"/>
    <x v="0"/>
    <n v="0.08"/>
    <n v="2.5000000000000001E-2"/>
    <n v="0.43"/>
    <n v="0.15"/>
    <n v="3.5000000000000003E-2"/>
    <n v="0.72000000000000008"/>
    <x v="1"/>
    <x v="7"/>
    <n v="61625"/>
    <n v="68875"/>
    <n v="7250"/>
    <n v="5220.0000000000009"/>
    <n v="66845"/>
    <n v="22058.850000000002"/>
    <n v="71345"/>
    <n v="74345"/>
    <n v="10360975"/>
    <n v="11058475"/>
    <n v="11523475"/>
    <n v="0"/>
    <n v="880682.87500000012"/>
    <n v="2"/>
    <n v="290000"/>
    <n v="290000"/>
    <n v="10650975"/>
    <n v="11348475"/>
    <n v="11813475"/>
    <d v="2027-07-01T00:00:00"/>
    <d v="2026-07-01T00:00:00"/>
  </r>
  <r>
    <m/>
    <s v="E"/>
    <s v="E4"/>
    <s v="RESIDENTIAL"/>
    <n v="3"/>
    <n v="4"/>
    <x v="833"/>
    <s v="3 BEDROOM"/>
    <s v="C3"/>
    <n v="127.41"/>
    <n v="138.41933046537343"/>
    <x v="35"/>
    <m/>
    <m/>
    <s v="NW"/>
    <s v="MIDDLE"/>
    <s v="ROAD 18M (BUILDINGS)"/>
    <s v="THIRD"/>
    <x v="0"/>
    <n v="0.13"/>
    <n v="2.5000000000000001E-2"/>
    <n v="0.15"/>
    <n v="0.15"/>
    <n v="3.5000000000000003E-2"/>
    <n v="0.49"/>
    <x v="0"/>
    <x v="7"/>
    <n v="61625"/>
    <n v="68875"/>
    <n v="7250"/>
    <n v="3552.5"/>
    <n v="65177.5"/>
    <n v="21508.575000000001"/>
    <n v="69677.5"/>
    <n v="72677.5"/>
    <n v="10102512.5"/>
    <n v="10800012.5"/>
    <n v="11265012.5"/>
    <n v="0"/>
    <n v="858713.56250000012"/>
    <n v="2"/>
    <n v="290000"/>
    <n v="290000"/>
    <n v="10392512.5"/>
    <n v="11090012.5"/>
    <n v="11555012.5"/>
    <d v="2027-07-01T00:00:00"/>
    <d v="2026-07-01T00:00:00"/>
  </r>
  <r>
    <m/>
    <s v="E"/>
    <s v="E4"/>
    <s v="RESIDENTIAL"/>
    <n v="4"/>
    <n v="1"/>
    <x v="834"/>
    <s v="3 BEDROOM"/>
    <s v="C3"/>
    <n v="129.59"/>
    <n v="140.78770139712537"/>
    <x v="32"/>
    <m/>
    <m/>
    <s v="NW"/>
    <s v="MIDDLE"/>
    <s v="ROAD 18M (BUILDINGS)"/>
    <s v="FORTH"/>
    <x v="0"/>
    <n v="0.13"/>
    <n v="2.5000000000000001E-2"/>
    <n v="0.15"/>
    <n v="0.06"/>
    <n v="3.5000000000000003E-2"/>
    <n v="0.4"/>
    <x v="0"/>
    <x v="5"/>
    <n v="46750.000000000007"/>
    <n v="52250.000000000007"/>
    <n v="5500"/>
    <n v="2200"/>
    <n v="48950.000000000007"/>
    <n v="16153.500000000004"/>
    <n v="53450.000000000007"/>
    <n v="56450.000000000007"/>
    <n v="7734100.0000000009"/>
    <n v="8445100.0000000019"/>
    <n v="8919100.0000000019"/>
    <n v="0"/>
    <n v="657398.50000000012"/>
    <n v="2"/>
    <n v="220000.00000000003"/>
    <n v="220000.00000000003"/>
    <n v="7954100.0000000009"/>
    <n v="8665100.0000000019"/>
    <n v="9139100.0000000019"/>
    <d v="2027-07-01T00:00:00"/>
    <d v="2024-10-01T00:00:00"/>
  </r>
  <r>
    <m/>
    <s v="E"/>
    <s v="E4"/>
    <s v="RESIDENTIAL"/>
    <n v="4"/>
    <n v="2"/>
    <x v="835"/>
    <s v="3 BEDROOM"/>
    <s v="C3"/>
    <n v="131.72"/>
    <n v="143.10175189466281"/>
    <x v="37"/>
    <m/>
    <m/>
    <s v="SE"/>
    <s v="MIDDLE"/>
    <s v="LAKE E"/>
    <s v="FORTH"/>
    <x v="4"/>
    <n v="0.08"/>
    <n v="2.5000000000000001E-2"/>
    <n v="0.43"/>
    <n v="0.06"/>
    <n v="2.5000000000000001E-2"/>
    <n v="0.62"/>
    <x v="1"/>
    <x v="6"/>
    <n v="44625"/>
    <n v="49875"/>
    <n v="5250"/>
    <n v="3255"/>
    <n v="47880"/>
    <n v="15800.400000000001"/>
    <n v="52380"/>
    <n v="55380"/>
    <n v="7708680"/>
    <n v="8433180"/>
    <n v="8916180"/>
    <n v="0"/>
    <n v="655237.80000000005"/>
    <n v="2"/>
    <n v="210000"/>
    <n v="210000"/>
    <n v="7918680"/>
    <n v="8643180"/>
    <n v="9126180"/>
    <d v="2027-07-01T00:00:00"/>
    <d v="2024-04-01T00:00:00"/>
  </r>
  <r>
    <m/>
    <s v="E"/>
    <s v="E4"/>
    <s v="RESIDENTIAL"/>
    <n v="4"/>
    <n v="3"/>
    <x v="836"/>
    <s v="3 BEDROOM"/>
    <s v="C3"/>
    <n v="127.12"/>
    <n v="138.10427194692937"/>
    <x v="35"/>
    <m/>
    <m/>
    <s v="SE"/>
    <s v="MIDDLE"/>
    <s v="LAKE E"/>
    <s v="FORTH"/>
    <x v="0"/>
    <n v="0.08"/>
    <n v="2.5000000000000001E-2"/>
    <n v="0.43"/>
    <n v="0.06"/>
    <n v="3.5000000000000003E-2"/>
    <n v="0.63"/>
    <x v="1"/>
    <x v="6"/>
    <n v="44625"/>
    <n v="49875"/>
    <n v="5250"/>
    <n v="3307.5"/>
    <n v="47932.5"/>
    <n v="15817.725"/>
    <n v="52432.5"/>
    <n v="55432.5"/>
    <n v="7429537.5"/>
    <n v="8127037.5"/>
    <n v="8592037.5"/>
    <n v="0"/>
    <n v="631510.6875"/>
    <n v="2"/>
    <n v="210000"/>
    <n v="210000"/>
    <n v="7639537.5"/>
    <n v="8337037.5"/>
    <n v="8802037.5"/>
    <d v="2027-07-01T00:00:00"/>
    <d v="2024-04-01T00:00:00"/>
  </r>
  <r>
    <m/>
    <s v="E"/>
    <s v="E4"/>
    <s v="RESIDENTIAL"/>
    <n v="4"/>
    <n v="4"/>
    <x v="837"/>
    <s v="3 BEDROOM"/>
    <s v="C3"/>
    <n v="125.12"/>
    <n v="135.93145457834962"/>
    <x v="31"/>
    <m/>
    <m/>
    <s v="NW"/>
    <s v="MIDDLE"/>
    <s v="ROAD 18M (BUILDINGS)"/>
    <s v="FORTH"/>
    <x v="0"/>
    <n v="0.13"/>
    <n v="2.5000000000000001E-2"/>
    <n v="0.15"/>
    <n v="0.06"/>
    <n v="3.5000000000000003E-2"/>
    <n v="0.4"/>
    <x v="0"/>
    <x v="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n v="8397850.0000000019"/>
    <n v="8856850.0000000019"/>
    <d v="2027-07-01T00:00:00"/>
    <d v="2024-10-01T00:00:00"/>
  </r>
  <r>
    <s v="C3"/>
    <s v="E"/>
    <s v="E5"/>
    <s v="RESIDENTIAL"/>
    <n v="0"/>
    <n v="1"/>
    <x v="838"/>
    <s v="3 BEDROOM"/>
    <s v="C3"/>
    <n v="131.34"/>
    <n v="142.61992000608555"/>
    <x v="33"/>
    <n v="88.345699999999994"/>
    <m/>
    <s v="NW"/>
    <s v="CORNER "/>
    <s v="ROAD 18M (BUILDINGS)"/>
    <s v="GROUND"/>
    <x v="4"/>
    <n v="0.13"/>
    <n v="0.05"/>
    <n v="0.15"/>
    <n v="0.05"/>
    <n v="2.5000000000000001E-2"/>
    <n v="0.40499999999999997"/>
    <x v="0"/>
    <x v="1"/>
    <n v="48450.000000000007"/>
    <n v="54150.000000000007"/>
    <n v="5700"/>
    <n v="2308.5"/>
    <n v="50758.500000000007"/>
    <n v="16750.305000000004"/>
    <n v="55258.500000000007"/>
    <n v="58258.500000000007"/>
    <n v="8121360.0000000009"/>
    <n v="8841360.0000000019"/>
    <n v="9321360.0000000019"/>
    <n v="1479817.4204385004"/>
    <n v="816100.08073727274"/>
    <n v="2"/>
    <n v="228000.00000000003"/>
    <n v="228000.00000000003"/>
    <n v="9829177.420438502"/>
    <n v="10549177.420438502"/>
    <n v="11029177.420438502"/>
    <d v="2027-07-01T00:00:00"/>
    <d v="2025-01-01T00:00:00"/>
  </r>
  <r>
    <m/>
    <s v="E"/>
    <s v="E5"/>
    <s v="RESIDENTIAL"/>
    <n v="0"/>
    <n v="2"/>
    <x v="839"/>
    <s v="3 BEDROOM"/>
    <s v="C3"/>
    <n v="129.57"/>
    <n v="140.69790646557411"/>
    <x v="32"/>
    <n v="84.036199999999994"/>
    <m/>
    <s v="SE"/>
    <s v="CORNER "/>
    <s v="LAKE E"/>
    <s v="GROUND"/>
    <x v="0"/>
    <n v="0.08"/>
    <n v="0.05"/>
    <n v="0.43"/>
    <n v="0.05"/>
    <n v="3.5000000000000003E-2"/>
    <n v="0.64500000000000013"/>
    <x v="1"/>
    <x v="2"/>
    <n v="45687.5"/>
    <n v="51062.5"/>
    <n v="5375"/>
    <n v="3466.8750000000009"/>
    <n v="49154.375"/>
    <n v="16220.94375"/>
    <n v="53654.375"/>
    <n v="56654.375"/>
    <n v="7766391.25"/>
    <n v="8477391.25"/>
    <n v="8951391.25"/>
    <n v="1363146.47316375"/>
    <n v="776010.70646891883"/>
    <n v="2"/>
    <n v="215000"/>
    <n v="215000"/>
    <n v="9344537.72316375"/>
    <n v="10055537.72316375"/>
    <n v="10529537.72316375"/>
    <d v="2027-07-01T00:00:00"/>
    <d v="2024-07-01T00:00:00"/>
  </r>
  <r>
    <m/>
    <s v="E"/>
    <s v="E5"/>
    <s v="RESIDENTIAL"/>
    <n v="0"/>
    <n v="3"/>
    <x v="840"/>
    <s v="3 BEDROOM"/>
    <s v="C3"/>
    <n v="125.09"/>
    <n v="135.83314902970338"/>
    <x v="31"/>
    <n v="85.562899999999999"/>
    <m/>
    <s v="SE"/>
    <s v="MIDDLE"/>
    <s v="LAKE E"/>
    <s v="GROUND"/>
    <x v="0"/>
    <n v="0.08"/>
    <n v="2.5000000000000001E-2"/>
    <n v="0.43"/>
    <n v="0.05"/>
    <n v="3.5000000000000003E-2"/>
    <n v="0.62000000000000011"/>
    <x v="1"/>
    <x v="6"/>
    <n v="44625"/>
    <n v="49875"/>
    <n v="5250"/>
    <n v="3255.0000000000005"/>
    <n v="47880"/>
    <n v="15800.400000000001"/>
    <n v="52380"/>
    <n v="55380"/>
    <n v="7325640"/>
    <n v="8014140"/>
    <n v="8473140"/>
    <n v="1351928.0451600002"/>
    <n v="737593.28383860004"/>
    <n v="2"/>
    <n v="210000"/>
    <n v="210000"/>
    <n v="8887568.0451599993"/>
    <n v="9576068.0451599993"/>
    <n v="10035068.045159999"/>
    <d v="2027-07-01T00:00:00"/>
    <d v="2024-04-01T00:00:00"/>
  </r>
  <r>
    <m/>
    <s v="E"/>
    <s v="E5"/>
    <s v="RESIDENTIAL"/>
    <n v="0"/>
    <n v="4"/>
    <x v="841"/>
    <s v="2 BEDROOM"/>
    <s v="C3"/>
    <n v="87.23"/>
    <n v="94.721605163170736"/>
    <x v="30"/>
    <n v="72.451099999999997"/>
    <m/>
    <s v="NW"/>
    <s v="MIDDLE"/>
    <s v="ROAD 18M (BUILDINGS)"/>
    <s v="GROUND"/>
    <x v="1"/>
    <n v="0.13"/>
    <n v="2.5000000000000001E-2"/>
    <n v="0.15"/>
    <n v="0.05"/>
    <n v="0.04"/>
    <n v="0.39499999999999996"/>
    <x v="0"/>
    <x v="2"/>
    <n v="45687.5"/>
    <n v="51062.5"/>
    <n v="5375"/>
    <n v="2123.125"/>
    <n v="47810.625"/>
    <n v="15777.50625"/>
    <n v="52310.625"/>
    <n v="55310.625"/>
    <n v="5067926.25"/>
    <n v="5544926.25"/>
    <n v="5862926.25"/>
    <n v="1143097.6830693749"/>
    <n v="527937.03431089688"/>
    <n v="1"/>
    <n v="215000"/>
    <n v="215000"/>
    <n v="6426023.9330693744"/>
    <n v="6903023.9330693744"/>
    <n v="7221023.9330693744"/>
    <d v="2027-07-01T00:00:00"/>
    <d v="2024-07-01T00:00:00"/>
  </r>
  <r>
    <m/>
    <s v="E"/>
    <s v="E5"/>
    <s v="RESIDENTIAL"/>
    <n v="1"/>
    <n v="1"/>
    <x v="842"/>
    <s v="3 BEDROOM"/>
    <s v="C3"/>
    <n v="129.04"/>
    <n v="140.1223882867769"/>
    <x v="36"/>
    <m/>
    <m/>
    <s v="NW"/>
    <s v="CORNER "/>
    <s v="ROAD 18M (BUILDINGS)"/>
    <s v="FIRST"/>
    <x v="0"/>
    <n v="0.13"/>
    <n v="0.05"/>
    <n v="0.15"/>
    <n v="7.0000000000000007E-2"/>
    <n v="3.5000000000000003E-2"/>
    <n v="0.43499999999999994"/>
    <x v="0"/>
    <x v="4"/>
    <n v="51850"/>
    <n v="57950"/>
    <n v="6100"/>
    <n v="2653.4999999999995"/>
    <n v="54503.5"/>
    <n v="17986.155000000002"/>
    <n v="59003.5"/>
    <n v="62003.5"/>
    <n v="8557049.5"/>
    <n v="9263549.5"/>
    <n v="9734549.5"/>
    <n v="0"/>
    <n v="727349.20750000002"/>
    <n v="2"/>
    <n v="244000"/>
    <n v="244000"/>
    <n v="8801049.5"/>
    <n v="9507549.5"/>
    <n v="9978549.5"/>
    <d v="2027-07-01T00:00:00"/>
    <d v="2025-07-01T00:00:00"/>
  </r>
  <r>
    <m/>
    <s v="E"/>
    <s v="E5"/>
    <s v="RESIDENTIAL"/>
    <n v="1"/>
    <n v="2"/>
    <x v="843"/>
    <s v="3 BEDROOM"/>
    <s v="C3"/>
    <n v="131.43"/>
    <n v="142.71764950814546"/>
    <x v="33"/>
    <m/>
    <m/>
    <s v="SE"/>
    <s v="CORNER "/>
    <s v="LAKE E"/>
    <s v="FIRST"/>
    <x v="4"/>
    <n v="0.08"/>
    <n v="0.05"/>
    <n v="0.43"/>
    <n v="7.0000000000000007E-2"/>
    <n v="2.5000000000000001E-2"/>
    <n v="0.65500000000000014"/>
    <x v="1"/>
    <x v="5"/>
    <n v="46750.000000000007"/>
    <n v="52250.000000000007"/>
    <n v="5500"/>
    <n v="3602.5000000000009"/>
    <n v="50352.500000000007"/>
    <n v="16616.325000000004"/>
    <n v="54852.500000000007"/>
    <n v="57852.500000000007"/>
    <n v="8056400.0000000009"/>
    <n v="8776400.0000000019"/>
    <n v="9256400.0000000019"/>
    <n v="0"/>
    <n v="684794.00000000012"/>
    <n v="2"/>
    <n v="220000.00000000003"/>
    <n v="220000.00000000003"/>
    <n v="8276400.0000000009"/>
    <n v="8996400.0000000019"/>
    <n v="9476400.0000000019"/>
    <d v="2027-07-01T00:00:00"/>
    <d v="2024-10-01T00:00:00"/>
  </r>
  <r>
    <m/>
    <s v="E"/>
    <s v="E5"/>
    <s v="RESIDENTIAL"/>
    <n v="1"/>
    <n v="3"/>
    <x v="844"/>
    <s v="3 BEDROOM"/>
    <s v="C3"/>
    <n v="127.14"/>
    <n v="138.05920990995673"/>
    <x v="35"/>
    <m/>
    <m/>
    <s v="SE"/>
    <s v="MIDDLE"/>
    <s v="LAKE E"/>
    <s v="FIRST"/>
    <x v="0"/>
    <n v="0.08"/>
    <n v="2.5000000000000001E-2"/>
    <n v="0.43"/>
    <n v="7.0000000000000007E-2"/>
    <n v="3.5000000000000003E-2"/>
    <n v="0.64"/>
    <x v="1"/>
    <x v="2"/>
    <n v="45687.5"/>
    <n v="51062.5"/>
    <n v="5375"/>
    <n v="3440"/>
    <n v="49127.5"/>
    <n v="16212.075000000001"/>
    <n v="53627.5"/>
    <n v="56627.5"/>
    <n v="7614762.5"/>
    <n v="8312262.5"/>
    <n v="8777262.5"/>
    <n v="0"/>
    <n v="647254.8125"/>
    <n v="2"/>
    <n v="215000"/>
    <n v="215000"/>
    <n v="7829762.5"/>
    <n v="8527262.5"/>
    <n v="8992262.5"/>
    <d v="2027-07-01T00:00:00"/>
    <d v="2024-07-01T00:00:00"/>
  </r>
  <r>
    <m/>
    <s v="E"/>
    <s v="E5"/>
    <s v="RESIDENTIAL"/>
    <n v="1"/>
    <n v="4"/>
    <x v="845"/>
    <s v="2 BEDROOM"/>
    <s v="C3"/>
    <n v="88.87"/>
    <n v="96.502453867373418"/>
    <x v="34"/>
    <m/>
    <m/>
    <s v="NW"/>
    <s v="MIDDLE"/>
    <s v="ROAD 18M (BUILDINGS)"/>
    <s v="FIRST"/>
    <x v="1"/>
    <n v="0.13"/>
    <n v="2.5000000000000001E-2"/>
    <n v="0.15"/>
    <n v="7.0000000000000007E-2"/>
    <n v="0.04"/>
    <n v="0.41499999999999998"/>
    <x v="0"/>
    <x v="12"/>
    <n v="50150"/>
    <n v="56050"/>
    <n v="5900"/>
    <n v="2448.5"/>
    <n v="52598.5"/>
    <n v="17357.505000000001"/>
    <n v="57098.5"/>
    <n v="60098.5"/>
    <n v="5680638"/>
    <n v="6166638"/>
    <n v="6490638"/>
    <n v="0"/>
    <n v="482854.23000000004"/>
    <n v="1"/>
    <n v="236000"/>
    <n v="236000"/>
    <n v="5916638"/>
    <n v="6402638"/>
    <n v="6726638"/>
    <d v="2027-07-01T00:00:00"/>
    <d v="2025-04-01T00:00:00"/>
  </r>
  <r>
    <m/>
    <s v="E"/>
    <s v="E5"/>
    <s v="RESIDENTIAL"/>
    <n v="2"/>
    <n v="1"/>
    <x v="846"/>
    <s v="3 BEDROOM"/>
    <s v="C3"/>
    <n v="131.43"/>
    <n v="142.71764950814546"/>
    <x v="33"/>
    <m/>
    <m/>
    <s v="NW"/>
    <s v="CORNER "/>
    <s v="ROAD 18M (BUILDINGS)"/>
    <s v="SECOND"/>
    <x v="4"/>
    <n v="0.13"/>
    <n v="0.05"/>
    <n v="0.15"/>
    <n v="0.11"/>
    <n v="2.5000000000000001E-2"/>
    <n v="0.46499999999999997"/>
    <x v="0"/>
    <x v="8"/>
    <n v="56100"/>
    <n v="62700"/>
    <n v="6600"/>
    <n v="3069"/>
    <n v="59169"/>
    <n v="19525.77"/>
    <n v="63669"/>
    <n v="66669"/>
    <n v="9467040"/>
    <n v="10187040"/>
    <n v="10667040"/>
    <n v="0"/>
    <n v="804698.4"/>
    <n v="2"/>
    <n v="264000"/>
    <n v="264000"/>
    <n v="9731040"/>
    <n v="10451040"/>
    <n v="10931040"/>
    <d v="2027-07-01T00:00:00"/>
    <d v="2026-01-01T00:00:00"/>
  </r>
  <r>
    <m/>
    <s v="E"/>
    <s v="E5"/>
    <s v="RESIDENTIAL"/>
    <n v="2"/>
    <n v="2"/>
    <x v="847"/>
    <s v="3 BEDROOM"/>
    <s v="C3"/>
    <n v="131.44"/>
    <n v="142.72850834170768"/>
    <x v="33"/>
    <m/>
    <m/>
    <s v="SE"/>
    <s v="CORNER "/>
    <s v="LAKE E"/>
    <s v="SECOND"/>
    <x v="4"/>
    <n v="0.08"/>
    <n v="0.05"/>
    <n v="0.43"/>
    <n v="0.11"/>
    <n v="2.5000000000000001E-2"/>
    <n v="0.69500000000000006"/>
    <x v="1"/>
    <x v="4"/>
    <n v="51850"/>
    <n v="57950"/>
    <n v="6100"/>
    <n v="4239.5"/>
    <n v="56089.5"/>
    <n v="18509.535"/>
    <n v="60589.5"/>
    <n v="63589.5"/>
    <n v="8974320"/>
    <n v="9694320"/>
    <n v="10174320"/>
    <n v="0"/>
    <n v="762817.20000000007"/>
    <n v="2"/>
    <n v="244000"/>
    <n v="244000"/>
    <n v="9218320"/>
    <n v="9938320"/>
    <n v="10418320"/>
    <d v="2027-07-01T00:00:00"/>
    <d v="2025-07-01T00:00:00"/>
  </r>
  <r>
    <m/>
    <s v="E"/>
    <s v="E5"/>
    <s v="RESIDENTIAL"/>
    <n v="2"/>
    <n v="3"/>
    <x v="848"/>
    <s v="3 BEDROOM"/>
    <s v="C3"/>
    <n v="126.95"/>
    <n v="137.85289207227473"/>
    <x v="35"/>
    <m/>
    <m/>
    <s v="SE"/>
    <s v="MIDDLE"/>
    <s v="LAKE E"/>
    <s v="SECOND"/>
    <x v="0"/>
    <n v="0.08"/>
    <n v="2.5000000000000001E-2"/>
    <n v="0.43"/>
    <n v="0.11"/>
    <n v="3.5000000000000003E-2"/>
    <n v="0.68"/>
    <x v="1"/>
    <x v="12"/>
    <n v="50150"/>
    <n v="56050"/>
    <n v="5900"/>
    <n v="4012.0000000000005"/>
    <n v="54162"/>
    <n v="17873.46"/>
    <n v="58662"/>
    <n v="61662"/>
    <n v="8395110"/>
    <n v="9092610"/>
    <n v="9557610"/>
    <n v="0"/>
    <n v="713584.35000000009"/>
    <n v="2"/>
    <n v="236000"/>
    <n v="236000"/>
    <n v="8631110"/>
    <n v="9328610"/>
    <n v="9793610"/>
    <d v="2027-07-01T00:00:00"/>
    <d v="2025-04-01T00:00:00"/>
  </r>
  <r>
    <m/>
    <s v="E"/>
    <s v="E5"/>
    <s v="RESIDENTIAL"/>
    <n v="2"/>
    <n v="4"/>
    <x v="849"/>
    <s v="3 BEDROOM"/>
    <s v="C3"/>
    <n v="127.15"/>
    <n v="138.07006874351896"/>
    <x v="35"/>
    <m/>
    <m/>
    <s v="NW"/>
    <s v="MIDDLE"/>
    <s v="ROAD 18M (BUILDINGS)"/>
    <s v="SECOND"/>
    <x v="0"/>
    <n v="0.13"/>
    <n v="2.5000000000000001E-2"/>
    <n v="0.15"/>
    <n v="0.11"/>
    <n v="3.5000000000000003E-2"/>
    <n v="0.44999999999999996"/>
    <x v="0"/>
    <x v="10"/>
    <n v="53550"/>
    <n v="59850"/>
    <n v="6300"/>
    <n v="2834.9999999999995"/>
    <n v="56385"/>
    <n v="18607.05"/>
    <n v="60885"/>
    <n v="63885"/>
    <n v="8739675"/>
    <n v="9437175"/>
    <n v="9902175"/>
    <n v="0"/>
    <n v="742872.375"/>
    <n v="2"/>
    <n v="252000"/>
    <n v="252000"/>
    <n v="8991675"/>
    <n v="9689175"/>
    <n v="10154175"/>
    <d v="2027-07-01T00:00:00"/>
    <d v="2025-10-01T00:00:00"/>
  </r>
  <r>
    <m/>
    <s v="E"/>
    <s v="E5"/>
    <s v="RESIDENTIAL"/>
    <n v="3"/>
    <n v="1"/>
    <x v="850"/>
    <s v="3 BEDROOM"/>
    <s v="C3"/>
    <n v="131.88"/>
    <n v="143.20629701844499"/>
    <x v="37"/>
    <m/>
    <m/>
    <s v="NW"/>
    <s v="CORNER "/>
    <s v="ROAD 18M (BUILDINGS)"/>
    <s v="THIRD"/>
    <x v="4"/>
    <n v="0.13"/>
    <n v="0.05"/>
    <n v="0.15"/>
    <n v="0.15"/>
    <n v="2.5000000000000001E-2"/>
    <n v="0.505"/>
    <x v="1"/>
    <x v="3"/>
    <n v="42500"/>
    <n v="47500"/>
    <n v="5000"/>
    <n v="2525"/>
    <n v="45025"/>
    <n v="14858.25"/>
    <n v="49525"/>
    <n v="52525"/>
    <n v="7249025"/>
    <n v="7973525"/>
    <n v="8456525"/>
    <n v="0"/>
    <n v="616167.125"/>
    <n v="2"/>
    <n v="200000"/>
    <n v="200000"/>
    <n v="7449025"/>
    <n v="8173525"/>
    <n v="8656525"/>
    <d v="2027-07-01T00:00:00"/>
    <d v="2023-09-01T00:00:00"/>
  </r>
  <r>
    <m/>
    <s v="E"/>
    <s v="E5"/>
    <s v="RESIDENTIAL"/>
    <n v="3"/>
    <n v="2"/>
    <x v="851"/>
    <s v="3 BEDROOM"/>
    <s v="C3"/>
    <n v="131.43"/>
    <n v="142.71764950814546"/>
    <x v="33"/>
    <m/>
    <m/>
    <s v="SE"/>
    <s v="CORNER "/>
    <s v="LAKE E"/>
    <s v="THIRD"/>
    <x v="4"/>
    <n v="0.08"/>
    <n v="0.05"/>
    <n v="0.43"/>
    <n v="0.15"/>
    <n v="2.5000000000000001E-2"/>
    <n v="0.7350000000000001"/>
    <x v="2"/>
    <x v="3"/>
    <n v="42500"/>
    <n v="47500"/>
    <n v="5000"/>
    <n v="3675.0000000000005"/>
    <n v="46175"/>
    <n v="15237.75"/>
    <n v="50675"/>
    <n v="53675"/>
    <n v="7388000"/>
    <n v="8108000"/>
    <n v="8588000"/>
    <n v="0"/>
    <n v="627980"/>
    <n v="2"/>
    <n v="200000"/>
    <n v="200000"/>
    <n v="7588000"/>
    <n v="8308000"/>
    <n v="8788000"/>
    <d v="2027-07-01T00:00:00"/>
    <d v="2023-09-01T00:00:00"/>
  </r>
  <r>
    <m/>
    <s v="E"/>
    <s v="E5"/>
    <s v="RESIDENTIAL"/>
    <n v="3"/>
    <n v="3"/>
    <x v="852"/>
    <s v="3 BEDROOM"/>
    <s v="C3"/>
    <n v="126.97"/>
    <n v="137.87460973939915"/>
    <x v="35"/>
    <m/>
    <m/>
    <s v="SE"/>
    <s v="MIDDLE"/>
    <s v="LAKE E"/>
    <s v="THIRD"/>
    <x v="0"/>
    <n v="0.08"/>
    <n v="2.5000000000000001E-2"/>
    <n v="0.43"/>
    <n v="0.15"/>
    <n v="3.5000000000000003E-2"/>
    <n v="0.72000000000000008"/>
    <x v="1"/>
    <x v="7"/>
    <n v="61625"/>
    <n v="68875"/>
    <n v="7250"/>
    <n v="5220.0000000000009"/>
    <n v="66845"/>
    <n v="22058.850000000002"/>
    <n v="71345"/>
    <n v="74345"/>
    <n v="10360975"/>
    <n v="11058475"/>
    <n v="11523475"/>
    <n v="0"/>
    <n v="880682.87500000012"/>
    <n v="2"/>
    <n v="290000"/>
    <n v="290000"/>
    <n v="10650975"/>
    <n v="11348475"/>
    <n v="11813475"/>
    <d v="2027-07-01T00:00:00"/>
    <d v="2026-07-01T00:00:00"/>
  </r>
  <r>
    <m/>
    <s v="E"/>
    <s v="E5"/>
    <s v="RESIDENTIAL"/>
    <n v="3"/>
    <n v="4"/>
    <x v="853"/>
    <s v="3 BEDROOM"/>
    <s v="C3"/>
    <n v="127.45"/>
    <n v="138.39583375038529"/>
    <x v="35"/>
    <m/>
    <m/>
    <s v="NW"/>
    <s v="MIDDLE"/>
    <s v="ROAD 18M (BUILDINGS)"/>
    <s v="THIRD"/>
    <x v="0"/>
    <n v="0.13"/>
    <n v="2.5000000000000001E-2"/>
    <n v="0.15"/>
    <n v="0.15"/>
    <n v="3.5000000000000003E-2"/>
    <n v="0.49"/>
    <x v="0"/>
    <x v="7"/>
    <n v="61625"/>
    <n v="68875"/>
    <n v="7250"/>
    <n v="3552.5"/>
    <n v="65177.5"/>
    <n v="21508.575000000001"/>
    <n v="69677.5"/>
    <n v="72677.5"/>
    <n v="10102512.5"/>
    <n v="10800012.5"/>
    <n v="11265012.5"/>
    <n v="0"/>
    <n v="858713.56250000012"/>
    <n v="2"/>
    <n v="290000"/>
    <n v="290000"/>
    <n v="10392512.5"/>
    <n v="11090012.5"/>
    <n v="11555012.5"/>
    <d v="2027-07-01T00:00:00"/>
    <d v="2026-07-01T00:00:00"/>
  </r>
  <r>
    <m/>
    <s v="E"/>
    <s v="E5"/>
    <s v="RESIDENTIAL"/>
    <n v="4"/>
    <n v="1"/>
    <x v="854"/>
    <s v="3 BEDROOM"/>
    <s v="C3"/>
    <n v="129.58000000000001"/>
    <n v="140.70876529913636"/>
    <x v="32"/>
    <m/>
    <m/>
    <s v="NW"/>
    <s v="CORNER "/>
    <s v="ROAD 18M (BUILDINGS)"/>
    <s v="FORTH"/>
    <x v="0"/>
    <n v="0.13"/>
    <n v="0.05"/>
    <n v="0.15"/>
    <n v="0.06"/>
    <n v="3.5000000000000003E-2"/>
    <n v="0.42499999999999993"/>
    <x v="0"/>
    <x v="12"/>
    <n v="50150"/>
    <n v="56050"/>
    <n v="5900"/>
    <n v="2507.4999999999995"/>
    <n v="52657.5"/>
    <n v="17376.975000000002"/>
    <n v="57157.5"/>
    <n v="60157.5"/>
    <n v="8319885"/>
    <n v="9030885"/>
    <n v="9504885"/>
    <n v="0"/>
    <n v="707190.22500000009"/>
    <n v="2"/>
    <n v="236000"/>
    <n v="236000"/>
    <n v="8555885"/>
    <n v="9266885"/>
    <n v="9740885"/>
    <d v="2027-07-01T00:00:00"/>
    <d v="2025-04-01T00:00:00"/>
  </r>
  <r>
    <m/>
    <s v="E"/>
    <s v="E5"/>
    <s v="RESIDENTIAL"/>
    <n v="4"/>
    <n v="2"/>
    <x v="855"/>
    <s v="3 BEDROOM"/>
    <s v="C3"/>
    <n v="131.38"/>
    <n v="142.66335534033439"/>
    <x v="33"/>
    <m/>
    <m/>
    <s v="SE"/>
    <s v="CORNER "/>
    <s v="LAKE E"/>
    <s v="FORTH"/>
    <x v="4"/>
    <n v="0.08"/>
    <n v="0.05"/>
    <n v="0.43"/>
    <n v="0.06"/>
    <n v="2.5000000000000001E-2"/>
    <n v="0.64500000000000013"/>
    <x v="1"/>
    <x v="2"/>
    <n v="45687.5"/>
    <n v="51062.5"/>
    <n v="5375"/>
    <n v="3466.8750000000009"/>
    <n v="49154.375"/>
    <n v="16220.94375"/>
    <n v="53654.375"/>
    <n v="56654.375"/>
    <n v="7864700"/>
    <n v="8584700"/>
    <n v="9064700"/>
    <n v="0"/>
    <n v="668499.5"/>
    <n v="2"/>
    <n v="215000"/>
    <n v="215000"/>
    <n v="8079700"/>
    <n v="8799700"/>
    <n v="9279700"/>
    <d v="2027-07-01T00:00:00"/>
    <d v="2024-07-01T00:00:00"/>
  </r>
  <r>
    <m/>
    <s v="E"/>
    <s v="E5"/>
    <s v="RESIDENTIAL"/>
    <n v="4"/>
    <n v="3"/>
    <x v="856"/>
    <s v="3 BEDROOM"/>
    <s v="C3"/>
    <n v="127.19"/>
    <n v="138.1135040777678"/>
    <x v="35"/>
    <m/>
    <m/>
    <s v="SE"/>
    <s v="MIDDLE"/>
    <s v="LAKE E"/>
    <s v="FORTH"/>
    <x v="0"/>
    <n v="0.08"/>
    <n v="2.5000000000000001E-2"/>
    <n v="0.43"/>
    <n v="0.06"/>
    <n v="3.5000000000000003E-2"/>
    <n v="0.63"/>
    <x v="1"/>
    <x v="6"/>
    <n v="44625"/>
    <n v="49875"/>
    <n v="5250"/>
    <n v="3307.5"/>
    <n v="47932.5"/>
    <n v="15817.725"/>
    <n v="52432.5"/>
    <n v="55432.5"/>
    <n v="7429537.5"/>
    <n v="8127037.5"/>
    <n v="8592037.5"/>
    <n v="0"/>
    <n v="631510.6875"/>
    <n v="2"/>
    <n v="210000"/>
    <n v="210000"/>
    <n v="7639537.5"/>
    <n v="8337037.5"/>
    <n v="8802037.5"/>
    <d v="2027-07-01T00:00:00"/>
    <d v="2024-04-01T00:00:00"/>
  </r>
  <r>
    <m/>
    <s v="E"/>
    <s v="E5"/>
    <s v="RESIDENTIAL"/>
    <n v="4"/>
    <n v="4"/>
    <x v="857"/>
    <s v="3 BEDROOM"/>
    <s v="C3"/>
    <n v="125.13"/>
    <n v="135.87658436395222"/>
    <x v="31"/>
    <m/>
    <m/>
    <s v="NW"/>
    <s v="MIDDLE"/>
    <s v="ROAD 18M (BUILDINGS)"/>
    <s v="FORTH"/>
    <x v="0"/>
    <n v="0.13"/>
    <n v="2.5000000000000001E-2"/>
    <n v="0.15"/>
    <n v="0.06"/>
    <n v="3.5000000000000003E-2"/>
    <n v="0.4"/>
    <x v="0"/>
    <x v="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n v="8397850.0000000019"/>
    <n v="8856850.0000000019"/>
    <d v="2027-07-01T00:00:00"/>
    <d v="2024-10-01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9">
  <r>
    <s v="A"/>
    <s v="A"/>
    <x v="0"/>
    <x v="0"/>
    <n v="0"/>
    <n v="1"/>
    <x v="0"/>
    <s v="2 BEDROOM"/>
    <x v="0"/>
    <n v="110.32"/>
    <n v="120.40866089136887"/>
    <n v="136"/>
    <n v="42.779499999999999"/>
    <m/>
    <s v="SE"/>
    <s v="CORNER "/>
    <s v="ROAD 18M (BUILDINGS)"/>
    <s v="GROUND"/>
    <s v="C"/>
    <n v="0.08"/>
    <n v="0.05"/>
    <n v="0.15"/>
    <n v="0.05"/>
    <n v="3.5000000000000003E-2"/>
    <n v="0.36499999999999999"/>
    <x v="0"/>
    <s v="R 2"/>
    <n v="43562.499999999993"/>
    <n v="48687.499999999993"/>
    <n v="5125"/>
    <n v="1870.625"/>
    <n v="45433.124999999993"/>
    <n v="14992.931249999998"/>
    <n v="49933.124999999993"/>
    <n v="52933.124999999993"/>
    <n v="6178904.9999999991"/>
    <n v="6790904.9999999991"/>
    <n v="7198904.9999999991"/>
    <n v="641390.1024093749"/>
    <n v="579725.08370479685"/>
    <n v="2"/>
    <n v="204999.99999999997"/>
    <n v="204999.99999999997"/>
    <n v="7025295.102409374"/>
  </r>
  <r>
    <m/>
    <s v="A"/>
    <x v="0"/>
    <x v="0"/>
    <n v="0"/>
    <n v="2"/>
    <x v="1"/>
    <s v="2 BEDROOM"/>
    <x v="0"/>
    <n v="110.14"/>
    <n v="120.21220005960269"/>
    <n v="135"/>
    <n v="59.482100000000003"/>
    <m/>
    <s v="NW"/>
    <s v="CORNER "/>
    <s v="LAKE A-1"/>
    <s v="GROUND"/>
    <s v="C"/>
    <n v="0.13"/>
    <n v="0.05"/>
    <n v="0.4"/>
    <n v="0.05"/>
    <n v="3.5000000000000003E-2"/>
    <n v="0.66500000000000015"/>
    <x v="1"/>
    <s v="R 6"/>
    <n v="48450.000000000007"/>
    <n v="54150.000000000007"/>
    <n v="5700"/>
    <n v="3790.5000000000009"/>
    <n v="52240.500000000007"/>
    <n v="17239.365000000002"/>
    <n v="56740.500000000007"/>
    <n v="59740.500000000007"/>
    <n v="7052467.5000000009"/>
    <n v="7659967.5000000009"/>
    <n v="8064967.5000000009"/>
    <n v="1025433.6328665002"/>
    <n v="686621.59629365266"/>
    <n v="2"/>
    <n v="228000.00000000003"/>
    <n v="228000.00000000003"/>
    <n v="8305901.1328665009"/>
  </r>
  <r>
    <m/>
    <s v="A"/>
    <x v="0"/>
    <x v="0"/>
    <n v="0"/>
    <n v="3"/>
    <x v="2"/>
    <s v="2 BEDROOM"/>
    <x v="0"/>
    <n v="89.96"/>
    <n v="98.186757920481725"/>
    <n v="111"/>
    <n v="50.507800000000003"/>
    <m/>
    <s v="NW"/>
    <s v="MIDDLE"/>
    <s v="LAKE A-1"/>
    <s v="GROUND"/>
    <s v="B"/>
    <n v="0.13"/>
    <n v="2.5000000000000001E-2"/>
    <n v="0.4"/>
    <n v="0.05"/>
    <n v="0.04"/>
    <n v="0.64500000000000013"/>
    <x v="1"/>
    <s v="R 4"/>
    <n v="45687.5"/>
    <n v="51062.5"/>
    <n v="5375"/>
    <n v="3466.8750000000009"/>
    <n v="49154.375"/>
    <n v="16220.94375"/>
    <n v="53654.375"/>
    <n v="56654.375"/>
    <n v="5456135.625"/>
    <n v="5955635.625"/>
    <n v="6288635.625"/>
    <n v="819284.18273625011"/>
    <n v="533410.68365758122"/>
    <n v="1"/>
    <n v="215000"/>
    <n v="215000"/>
    <n v="6490419.8077362496"/>
  </r>
  <r>
    <m/>
    <s v="A"/>
    <x v="0"/>
    <x v="0"/>
    <n v="0"/>
    <n v="4"/>
    <x v="3"/>
    <s v="1 BEDROOM (STUDIO)"/>
    <x v="0"/>
    <n v="60.98"/>
    <n v="66.556564006124674"/>
    <n v="75"/>
    <n v="23.808399999999999"/>
    <m/>
    <s v="SE"/>
    <s v="MIDDLE"/>
    <s v="ROAD 18M (BUILDINGS)"/>
    <s v="GROUND"/>
    <s v="A"/>
    <n v="0.08"/>
    <n v="2.5000000000000001E-2"/>
    <n v="0.15"/>
    <n v="0.05"/>
    <n v="0.05"/>
    <n v="0.35499999999999998"/>
    <x v="0"/>
    <s v="R 1"/>
    <n v="42500"/>
    <n v="47500"/>
    <n v="5000"/>
    <n v="1775"/>
    <n v="44275"/>
    <n v="14610.75"/>
    <n v="48775"/>
    <n v="51775"/>
    <n v="3320625"/>
    <n v="3658125"/>
    <n v="3883125"/>
    <n v="347858.58029999997"/>
    <n v="311821.10432550003"/>
    <n v="1"/>
    <n v="200000"/>
    <n v="200000"/>
    <n v="3868483.5803"/>
  </r>
  <r>
    <m/>
    <s v="A"/>
    <x v="0"/>
    <x v="0"/>
    <n v="1"/>
    <n v="1"/>
    <x v="4"/>
    <s v="2 BEDROOM"/>
    <x v="0"/>
    <n v="110.61"/>
    <n v="120.72518112032553"/>
    <n v="136"/>
    <m/>
    <m/>
    <s v="SE"/>
    <s v="CORNER "/>
    <s v="ROAD 18M (BUILDINGS)"/>
    <s v="FIRST"/>
    <s v="C"/>
    <n v="0.08"/>
    <n v="0.05"/>
    <n v="0.15"/>
    <n v="7.0000000000000007E-2"/>
    <n v="3.5000000000000003E-2"/>
    <n v="0.38500000000000001"/>
    <x v="0"/>
    <s v="R 4"/>
    <n v="45687.5"/>
    <n v="51062.5"/>
    <n v="5375"/>
    <n v="2069.375"/>
    <n v="47756.875"/>
    <n v="15759.768750000001"/>
    <n v="52256.875"/>
    <n v="55256.875"/>
    <n v="6494935"/>
    <n v="7106935"/>
    <n v="7514935"/>
    <n v="0"/>
    <n v="552069.47500000009"/>
    <n v="2"/>
    <n v="215000"/>
    <n v="215000"/>
    <n v="6709935"/>
  </r>
  <r>
    <m/>
    <s v="A"/>
    <x v="0"/>
    <x v="0"/>
    <n v="1"/>
    <n v="2"/>
    <x v="5"/>
    <s v="2 BEDROOM"/>
    <x v="0"/>
    <n v="110.14"/>
    <n v="120.21220005960269"/>
    <n v="135"/>
    <m/>
    <m/>
    <s v="NW"/>
    <s v="CORNER "/>
    <s v="LAKE A-1"/>
    <s v="FIRST"/>
    <s v="C"/>
    <n v="0.13"/>
    <n v="0.05"/>
    <n v="0.4"/>
    <n v="7.0000000000000007E-2"/>
    <n v="3.5000000000000003E-2"/>
    <n v="0.68500000000000016"/>
    <x v="1"/>
    <s v="R 8"/>
    <n v="51850"/>
    <n v="57950"/>
    <n v="6100"/>
    <n v="4178.5000000000009"/>
    <n v="56028.5"/>
    <n v="18489.405000000002"/>
    <n v="60528.5"/>
    <n v="63528.5"/>
    <n v="7563847.5"/>
    <n v="8171347.5"/>
    <n v="8576347.5"/>
    <n v="0"/>
    <n v="642927.03750000009"/>
    <n v="2"/>
    <n v="244000"/>
    <n v="244000"/>
    <n v="7807847.5"/>
  </r>
  <r>
    <m/>
    <s v="A"/>
    <x v="0"/>
    <x v="0"/>
    <n v="1"/>
    <n v="3"/>
    <x v="6"/>
    <s v="2 BEDROOM"/>
    <x v="0"/>
    <n v="89.05"/>
    <n v="97.193539270997093"/>
    <n v="110"/>
    <m/>
    <m/>
    <s v="NW"/>
    <s v="MIDDLE"/>
    <s v="LAKE A-1"/>
    <s v="FIRST"/>
    <s v="B"/>
    <n v="0.13"/>
    <n v="2.5000000000000001E-2"/>
    <n v="0.4"/>
    <n v="7.0000000000000007E-2"/>
    <n v="0.04"/>
    <n v="0.66500000000000004"/>
    <x v="1"/>
    <s v="R 5"/>
    <n v="46750.000000000007"/>
    <n v="52250.000000000007"/>
    <n v="5500"/>
    <n v="3657.5"/>
    <n v="50407.500000000007"/>
    <n v="16634.475000000002"/>
    <n v="54907.500000000007"/>
    <n v="57907.500000000007"/>
    <n v="5544825.0000000009"/>
    <n v="6039825.0000000009"/>
    <n v="6369825.0000000009"/>
    <n v="0"/>
    <n v="471310.12500000012"/>
    <n v="1"/>
    <n v="220000.00000000003"/>
    <n v="220000.00000000003"/>
    <n v="5764825.0000000009"/>
  </r>
  <r>
    <m/>
    <s v="A"/>
    <x v="0"/>
    <x v="0"/>
    <n v="1"/>
    <n v="4"/>
    <x v="7"/>
    <s v="1 BEDROOM (STUDIO)"/>
    <x v="0"/>
    <n v="61.82"/>
    <n v="67.473381221033577"/>
    <n v="76"/>
    <m/>
    <m/>
    <s v="SE"/>
    <s v="MIDDLE"/>
    <s v="ROAD 18M (BUILDINGS)"/>
    <s v="FIRST"/>
    <s v="A"/>
    <n v="0.08"/>
    <n v="2.5000000000000001E-2"/>
    <n v="0.15"/>
    <n v="7.0000000000000007E-2"/>
    <n v="0.05"/>
    <n v="0.375"/>
    <x v="0"/>
    <s v="R 3"/>
    <n v="44625"/>
    <n v="49875"/>
    <n v="5250"/>
    <n v="1968.75"/>
    <n v="46593.75"/>
    <n v="15375.9375"/>
    <n v="51093.75"/>
    <n v="54093.75"/>
    <n v="3541125"/>
    <n v="3883125"/>
    <n v="4111125"/>
    <n v="0"/>
    <n v="300995.625"/>
    <n v="1"/>
    <n v="210000"/>
    <n v="210000"/>
    <n v="3751125"/>
  </r>
  <r>
    <m/>
    <s v="A"/>
    <x v="0"/>
    <x v="0"/>
    <n v="2"/>
    <n v="1"/>
    <x v="8"/>
    <s v="2 BEDROOM"/>
    <x v="0"/>
    <n v="112.2"/>
    <n v="122.46058513426023"/>
    <n v="138"/>
    <m/>
    <m/>
    <s v="SE"/>
    <s v="CORNER "/>
    <s v="ROAD 18M (BUILDINGS)"/>
    <s v="SECOND"/>
    <s v="C"/>
    <n v="0.08"/>
    <n v="0.05"/>
    <n v="0.15"/>
    <n v="0.11"/>
    <n v="3.5000000000000003E-2"/>
    <n v="0.42500000000000004"/>
    <x v="0"/>
    <s v="R 8"/>
    <n v="51850"/>
    <n v="57950"/>
    <n v="6100"/>
    <n v="2592.5000000000005"/>
    <n v="54442.5"/>
    <n v="17966.025000000001"/>
    <n v="58942.5"/>
    <n v="61942.5"/>
    <n v="7513065"/>
    <n v="8134065"/>
    <n v="8548065"/>
    <n v="0"/>
    <n v="638610.52500000002"/>
    <n v="2"/>
    <n v="244000"/>
    <n v="244000"/>
    <n v="7757065"/>
  </r>
  <r>
    <m/>
    <s v="A"/>
    <x v="0"/>
    <x v="0"/>
    <n v="2"/>
    <n v="2"/>
    <x v="9"/>
    <s v="2 BEDROOM"/>
    <x v="0"/>
    <n v="112.2"/>
    <n v="122.46058513426023"/>
    <n v="138"/>
    <m/>
    <m/>
    <s v="NW"/>
    <s v="CORNER "/>
    <s v="LAKE A-1"/>
    <s v="SECOND"/>
    <s v="C"/>
    <n v="0.13"/>
    <n v="0.05"/>
    <n v="0.4"/>
    <n v="0.11"/>
    <n v="3.5000000000000003E-2"/>
    <n v="0.72500000000000009"/>
    <x v="1"/>
    <s v="R 12"/>
    <n v="61625"/>
    <n v="68875"/>
    <n v="7250"/>
    <n v="5256.2500000000009"/>
    <n v="66881.25"/>
    <n v="22070.8125"/>
    <n v="71381.25"/>
    <n v="74381.25"/>
    <n v="9229612.5"/>
    <n v="9850612.5"/>
    <n v="10264612.5"/>
    <n v="0"/>
    <n v="784517.0625"/>
    <n v="2"/>
    <n v="290000"/>
    <n v="290000"/>
    <n v="9519612.5"/>
  </r>
  <r>
    <m/>
    <s v="A"/>
    <x v="0"/>
    <x v="0"/>
    <n v="2"/>
    <n v="3"/>
    <x v="10"/>
    <s v="2 BEDROOM"/>
    <x v="0"/>
    <n v="90.91"/>
    <n v="99.223634532581073"/>
    <n v="112"/>
    <m/>
    <m/>
    <s v="NW"/>
    <s v="MIDDLE"/>
    <s v="LAKE A-1"/>
    <s v="SECOND"/>
    <s v="B"/>
    <n v="0.13"/>
    <n v="2.5000000000000001E-2"/>
    <n v="0.4"/>
    <n v="0.11"/>
    <n v="0.04"/>
    <n v="0.70500000000000007"/>
    <x v="1"/>
    <s v="R 10"/>
    <n v="56100"/>
    <n v="62700"/>
    <n v="6600"/>
    <n v="4653.0000000000009"/>
    <n v="60753"/>
    <n v="20048.490000000002"/>
    <n v="65253"/>
    <n v="68253"/>
    <n v="6804336"/>
    <n v="7308336"/>
    <n v="7644336"/>
    <n v="0"/>
    <n v="578368.56000000006"/>
    <n v="1"/>
    <n v="264000"/>
    <n v="264000"/>
    <n v="7068336"/>
  </r>
  <r>
    <m/>
    <s v="A"/>
    <x v="0"/>
    <x v="0"/>
    <n v="2"/>
    <n v="4"/>
    <x v="11"/>
    <s v="2 BEDROOM"/>
    <x v="0"/>
    <n v="90.91"/>
    <n v="99.223634532581073"/>
    <n v="112"/>
    <m/>
    <m/>
    <s v="SE"/>
    <s v="MIDDLE"/>
    <s v="ROAD 18M (BUILDINGS)"/>
    <s v="SECOND"/>
    <s v="B"/>
    <n v="0.08"/>
    <n v="2.5000000000000001E-2"/>
    <n v="0.15"/>
    <n v="0.11"/>
    <n v="0.04"/>
    <n v="0.40499999999999997"/>
    <x v="0"/>
    <s v="R 5"/>
    <n v="46750.000000000007"/>
    <n v="52250.000000000007"/>
    <n v="5500"/>
    <n v="2227.5"/>
    <n v="48977.500000000007"/>
    <n v="16162.575000000003"/>
    <n v="53477.500000000007"/>
    <n v="56477.500000000007"/>
    <n v="5485480.0000000009"/>
    <n v="5989480.0000000009"/>
    <n v="6325480.0000000009"/>
    <n v="0"/>
    <n v="466265.8000000001"/>
    <n v="1"/>
    <n v="220000.00000000003"/>
    <n v="220000.00000000003"/>
    <n v="5705480.0000000009"/>
  </r>
  <r>
    <m/>
    <s v="A"/>
    <x v="0"/>
    <x v="0"/>
    <n v="3"/>
    <n v="1"/>
    <x v="12"/>
    <s v="2 BEDROOM"/>
    <x v="0"/>
    <n v="110.14"/>
    <n v="120.21220005960269"/>
    <n v="135"/>
    <m/>
    <m/>
    <s v="SE"/>
    <s v="CORNER "/>
    <s v="ROAD 18M (BUILDINGS)"/>
    <s v="THIRD"/>
    <s v="C"/>
    <n v="0.08"/>
    <n v="0.05"/>
    <n v="0.15"/>
    <n v="0.15"/>
    <n v="3.5000000000000003E-2"/>
    <n v="0.46500000000000008"/>
    <x v="0"/>
    <s v="R 11"/>
    <n v="58649.999999999993"/>
    <n v="65550"/>
    <n v="6900.0000000000073"/>
    <n v="3208.5000000000041"/>
    <n v="61858.5"/>
    <n v="20413.305"/>
    <n v="66358.5"/>
    <n v="69358.5"/>
    <n v="8350897.5"/>
    <n v="8958397.5"/>
    <n v="9363397.5"/>
    <n v="0"/>
    <n v="709826.28750000009"/>
    <n v="2"/>
    <n v="276000"/>
    <n v="276000"/>
    <n v="8626897.5"/>
  </r>
  <r>
    <m/>
    <s v="A"/>
    <x v="0"/>
    <x v="0"/>
    <n v="3"/>
    <n v="2"/>
    <x v="13"/>
    <s v="2 BEDROOM"/>
    <x v="0"/>
    <n v="110.14"/>
    <n v="120.21220005960269"/>
    <n v="135"/>
    <m/>
    <m/>
    <s v="NW"/>
    <s v="CORNER "/>
    <s v="LAKE A-1"/>
    <s v="THIRD"/>
    <s v="C"/>
    <n v="0.13"/>
    <n v="0.05"/>
    <n v="0.4"/>
    <n v="0.15"/>
    <n v="3.5000000000000003E-2"/>
    <n v="0.76500000000000012"/>
    <x v="2"/>
    <s v="R 3"/>
    <n v="44625"/>
    <n v="49875"/>
    <n v="5250"/>
    <n v="4016.2500000000005"/>
    <n v="48641.25"/>
    <n v="16051.612500000001"/>
    <n v="53141.25"/>
    <n v="56141.25"/>
    <n v="6566568.75"/>
    <n v="7174068.75"/>
    <n v="7579068.75"/>
    <n v="0"/>
    <n v="558158.34375"/>
    <n v="2"/>
    <n v="210000"/>
    <n v="210000"/>
    <n v="6776568.75"/>
  </r>
  <r>
    <m/>
    <s v="A"/>
    <x v="0"/>
    <x v="0"/>
    <n v="3"/>
    <n v="3"/>
    <x v="14"/>
    <s v="2 BEDROOM"/>
    <x v="0"/>
    <n v="89.05"/>
    <n v="97.193539270997093"/>
    <n v="110"/>
    <m/>
    <m/>
    <s v="NW"/>
    <s v="MIDDLE"/>
    <s v="LAKE A-1"/>
    <s v="THIRD"/>
    <s v="B"/>
    <n v="0.13"/>
    <n v="2.5000000000000001E-2"/>
    <n v="0.4"/>
    <n v="0.15"/>
    <n v="0.04"/>
    <n v="0.74500000000000011"/>
    <x v="2"/>
    <s v="R 2"/>
    <n v="43562.499999999993"/>
    <n v="48687.499999999993"/>
    <n v="5125"/>
    <n v="3818.1250000000005"/>
    <n v="47380.624999999993"/>
    <n v="15635.606249999999"/>
    <n v="51880.624999999993"/>
    <n v="54880.624999999993"/>
    <n v="5211868.7499999991"/>
    <n v="5706868.7499999991"/>
    <n v="6036868.7499999991"/>
    <n v="0"/>
    <n v="443008.84374999994"/>
    <n v="1"/>
    <n v="204999.99999999997"/>
    <n v="204999.99999999997"/>
    <n v="5416868.7499999991"/>
  </r>
  <r>
    <m/>
    <s v="A"/>
    <x v="0"/>
    <x v="0"/>
    <n v="3"/>
    <n v="4"/>
    <x v="15"/>
    <s v="2 BEDROOM"/>
    <x v="0"/>
    <n v="89.05"/>
    <n v="97.193539270997093"/>
    <n v="110"/>
    <m/>
    <m/>
    <s v="SE"/>
    <s v="MIDDLE"/>
    <s v="ROAD 18M (BUILDINGS)"/>
    <s v="THIRD"/>
    <s v="B"/>
    <n v="0.08"/>
    <n v="2.5000000000000001E-2"/>
    <n v="0.15"/>
    <n v="0.15"/>
    <n v="0.04"/>
    <n v="0.44500000000000001"/>
    <x v="0"/>
    <s v="R 9"/>
    <n v="53550"/>
    <n v="59850"/>
    <n v="6300"/>
    <n v="2803.5"/>
    <n v="56353.5"/>
    <n v="18596.655000000002"/>
    <n v="60853.5"/>
    <n v="63853.5"/>
    <n v="6198885"/>
    <n v="6693885"/>
    <n v="7023885"/>
    <n v="0"/>
    <n v="526905.22500000009"/>
    <n v="1"/>
    <n v="252000"/>
    <n v="252000"/>
    <n v="6450885"/>
  </r>
  <r>
    <m/>
    <s v="A"/>
    <x v="0"/>
    <x v="0"/>
    <n v="4"/>
    <n v="1"/>
    <x v="16"/>
    <s v="2 BEDROOM"/>
    <x v="0"/>
    <n v="110.18"/>
    <n v="120.25585802221741"/>
    <n v="136"/>
    <m/>
    <m/>
    <s v="SE"/>
    <s v="CORNER "/>
    <s v="ROAD 18M (BUILDINGS)"/>
    <s v="FORTH"/>
    <s v="C"/>
    <n v="0.08"/>
    <n v="0.05"/>
    <n v="0.15"/>
    <n v="0.06"/>
    <n v="3.5000000000000003E-2"/>
    <n v="0.375"/>
    <x v="0"/>
    <s v="R 3"/>
    <n v="44625"/>
    <n v="49875"/>
    <n v="5250"/>
    <n v="1968.75"/>
    <n v="46593.75"/>
    <n v="15375.9375"/>
    <n v="51093.75"/>
    <n v="54093.75"/>
    <n v="6336750"/>
    <n v="6948750"/>
    <n v="7356750"/>
    <n v="0"/>
    <n v="538623.75"/>
    <n v="2"/>
    <n v="210000"/>
    <n v="210000"/>
    <n v="6546750"/>
  </r>
  <r>
    <m/>
    <s v="A"/>
    <x v="0"/>
    <x v="0"/>
    <n v="4"/>
    <n v="2"/>
    <x v="17"/>
    <s v="2 BEDROOM"/>
    <x v="0"/>
    <n v="110.18"/>
    <n v="120.25585802221741"/>
    <n v="136"/>
    <m/>
    <m/>
    <s v="NW"/>
    <s v="CORNER "/>
    <s v="LAKE A-1"/>
    <s v="FORTH"/>
    <s v="C"/>
    <n v="0.13"/>
    <n v="0.05"/>
    <n v="0.4"/>
    <n v="0.06"/>
    <n v="3.5000000000000003E-2"/>
    <n v="0.67500000000000016"/>
    <x v="1"/>
    <s v="R 6"/>
    <n v="48450.000000000007"/>
    <n v="54150.000000000007"/>
    <n v="5700"/>
    <n v="3847.5000000000009"/>
    <n v="52297.500000000007"/>
    <n v="17258.175000000003"/>
    <n v="56797.500000000007"/>
    <n v="59797.500000000007"/>
    <n v="7112460.0000000009"/>
    <n v="7724460.0000000009"/>
    <n v="8132460.0000000009"/>
    <n v="0"/>
    <n v="604559.10000000009"/>
    <n v="2"/>
    <n v="228000.00000000003"/>
    <n v="228000.00000000003"/>
    <n v="7340460.0000000009"/>
  </r>
  <r>
    <m/>
    <s v="A"/>
    <x v="0"/>
    <x v="0"/>
    <n v="4"/>
    <n v="3"/>
    <x v="18"/>
    <s v="2 BEDROOM"/>
    <x v="0"/>
    <n v="89.12"/>
    <n v="97.269940705572836"/>
    <n v="110"/>
    <m/>
    <m/>
    <s v="NW"/>
    <s v="MIDDLE"/>
    <s v="LAKE A-1"/>
    <s v="FORTH"/>
    <s v="B"/>
    <n v="0.13"/>
    <n v="2.5000000000000001E-2"/>
    <n v="0.4"/>
    <n v="0.06"/>
    <n v="0.04"/>
    <n v="0.65500000000000003"/>
    <x v="1"/>
    <s v="R 5"/>
    <n v="46750.000000000007"/>
    <n v="52250.000000000007"/>
    <n v="5500"/>
    <n v="3602.5"/>
    <n v="50352.500000000007"/>
    <n v="16616.325000000004"/>
    <n v="54852.500000000007"/>
    <n v="57852.500000000007"/>
    <n v="5538775.0000000009"/>
    <n v="6033775.0000000009"/>
    <n v="6363775.0000000009"/>
    <n v="0"/>
    <n v="470795.87500000012"/>
    <n v="1"/>
    <n v="220000.00000000003"/>
    <n v="220000.00000000003"/>
    <n v="5758775.0000000009"/>
  </r>
  <r>
    <m/>
    <s v="A"/>
    <x v="0"/>
    <x v="0"/>
    <n v="4"/>
    <n v="4"/>
    <x v="19"/>
    <s v="2 BEDROOM"/>
    <x v="0"/>
    <n v="89.12"/>
    <n v="97.269940705572836"/>
    <n v="110"/>
    <m/>
    <m/>
    <s v="SE"/>
    <s v="MIDDLE"/>
    <s v="ROAD 18M (BUILDINGS)"/>
    <s v="FORTH"/>
    <s v="B"/>
    <n v="0.08"/>
    <n v="2.5000000000000001E-2"/>
    <n v="0.15"/>
    <n v="0.06"/>
    <n v="0.04"/>
    <n v="0.35499999999999998"/>
    <x v="0"/>
    <s v="R 1"/>
    <n v="42500"/>
    <n v="47500"/>
    <n v="5000"/>
    <n v="1775"/>
    <n v="44275"/>
    <n v="14610.75"/>
    <n v="48775"/>
    <n v="51775"/>
    <n v="4870250"/>
    <n v="5365250"/>
    <n v="5695250"/>
    <n v="0"/>
    <n v="413971.25000000006"/>
    <n v="1"/>
    <n v="200000"/>
    <n v="200000"/>
    <n v="5070250"/>
  </r>
  <r>
    <s v="A"/>
    <s v="A"/>
    <x v="1"/>
    <x v="0"/>
    <n v="0"/>
    <n v="1"/>
    <x v="20"/>
    <s v="1 BEDROOM (STUDIO)"/>
    <x v="0"/>
    <n v="60.98"/>
    <n v="66.844099610330389"/>
    <n v="75"/>
    <n v="23.808399999999999"/>
    <m/>
    <s v="SE"/>
    <s v="MIDDLE"/>
    <s v="ROAD 18M (BUILDINGS)"/>
    <s v="GROUND"/>
    <s v="A"/>
    <n v="0.08"/>
    <n v="2.5000000000000001E-2"/>
    <n v="0.15"/>
    <n v="0.05"/>
    <n v="0.05"/>
    <n v="0.35499999999999998"/>
    <x v="0"/>
    <s v="R 1"/>
    <n v="42500"/>
    <n v="47500"/>
    <n v="5000"/>
    <n v="1775"/>
    <n v="44275"/>
    <n v="14610.75"/>
    <n v="48775"/>
    <n v="51775"/>
    <n v="3320625"/>
    <n v="3658125"/>
    <n v="3883125"/>
    <n v="347858.58029999997"/>
    <n v="311821.10432550003"/>
    <n v="1"/>
    <n v="200000"/>
    <n v="200000"/>
    <n v="3868483.5803"/>
  </r>
  <r>
    <m/>
    <s v="A"/>
    <x v="1"/>
    <x v="0"/>
    <n v="0"/>
    <n v="2"/>
    <x v="21"/>
    <s v="2 BEDROOM"/>
    <x v="0"/>
    <n v="89.96"/>
    <n v="98.610941307729107"/>
    <n v="111"/>
    <n v="50.503900000000002"/>
    <m/>
    <s v="NW"/>
    <s v="MIDDLE"/>
    <s v="LAKE A-1"/>
    <s v="GROUND"/>
    <s v="B"/>
    <n v="0.13"/>
    <n v="2.5000000000000001E-2"/>
    <n v="0.4"/>
    <n v="0.05"/>
    <n v="0.04"/>
    <n v="0.64500000000000013"/>
    <x v="1"/>
    <s v="R 4"/>
    <n v="45687.5"/>
    <n v="51062.5"/>
    <n v="5375"/>
    <n v="3466.8750000000009"/>
    <n v="49154.375"/>
    <n v="16220.94375"/>
    <n v="53654.375"/>
    <n v="56654.375"/>
    <n v="5456135.625"/>
    <n v="5955635.625"/>
    <n v="6288635.625"/>
    <n v="819220.92105562508"/>
    <n v="533405.30641472817"/>
    <n v="1"/>
    <n v="215000"/>
    <n v="215000"/>
    <n v="6490356.5460556252"/>
  </r>
  <r>
    <m/>
    <s v="A"/>
    <x v="1"/>
    <x v="0"/>
    <n v="0"/>
    <n v="3"/>
    <x v="22"/>
    <s v="2 BEDROOM"/>
    <x v="0"/>
    <n v="97.98"/>
    <n v="107.40217907215762"/>
    <n v="121"/>
    <n v="50.705300000000001"/>
    <m/>
    <s v="NW"/>
    <s v="MIDDLE"/>
    <s v="LAKE A-1"/>
    <s v="GROUND"/>
    <s v="B"/>
    <n v="0.13"/>
    <n v="2.5000000000000001E-2"/>
    <n v="0.4"/>
    <n v="0.05"/>
    <n v="0.04"/>
    <n v="0.64500000000000013"/>
    <x v="1"/>
    <s v="R 4"/>
    <n v="45687.5"/>
    <n v="51062.5"/>
    <n v="5375"/>
    <n v="3466.8750000000009"/>
    <n v="49154.375"/>
    <n v="16220.94375"/>
    <n v="53654.375"/>
    <n v="56654.375"/>
    <n v="5947679.375"/>
    <n v="6492179.375"/>
    <n v="6855179.375"/>
    <n v="822487.81912687502"/>
    <n v="575464.21150078438"/>
    <n v="1"/>
    <n v="215000"/>
    <n v="215000"/>
    <n v="6985167.1941268751"/>
  </r>
  <r>
    <m/>
    <s v="A"/>
    <x v="1"/>
    <x v="0"/>
    <n v="0"/>
    <n v="4"/>
    <x v="23"/>
    <s v="2 BEDROOM"/>
    <x v="0"/>
    <n v="98.17"/>
    <n v="107.61045029101565"/>
    <n v="121"/>
    <n v="31.613900000000001"/>
    <m/>
    <s v="SE"/>
    <s v="MIDDLE"/>
    <s v="ROAD 18M (BUILDINGS)"/>
    <s v="GROUND"/>
    <s v="B"/>
    <n v="0.08"/>
    <n v="2.5000000000000001E-2"/>
    <n v="0.15"/>
    <n v="0.05"/>
    <n v="0.04"/>
    <n v="0.34499999999999997"/>
    <x v="0"/>
    <s v="R 1"/>
    <n v="42500"/>
    <n v="47500"/>
    <n v="5000"/>
    <n v="1724.9999999999998"/>
    <n v="44225"/>
    <n v="14594.25"/>
    <n v="48725"/>
    <n v="51725"/>
    <n v="5351225"/>
    <n v="5895725"/>
    <n v="6258725"/>
    <n v="461381.16007500002"/>
    <n v="494071.52360637498"/>
    <n v="1"/>
    <n v="200000"/>
    <n v="200000"/>
    <n v="6012606.1600749996"/>
  </r>
  <r>
    <m/>
    <s v="A"/>
    <x v="1"/>
    <x v="0"/>
    <n v="1"/>
    <n v="1"/>
    <x v="24"/>
    <s v="1 BEDROOM (STUDIO)"/>
    <x v="0"/>
    <n v="61.82"/>
    <n v="67.764877630544845"/>
    <n v="76"/>
    <m/>
    <m/>
    <s v="SE"/>
    <s v="MIDDLE"/>
    <s v="ROAD 18M (BUILDINGS)"/>
    <s v="FIRST"/>
    <s v="A"/>
    <n v="0.08"/>
    <n v="2.5000000000000001E-2"/>
    <n v="0.15"/>
    <n v="7.0000000000000007E-2"/>
    <n v="0.05"/>
    <n v="0.375"/>
    <x v="0"/>
    <s v="R 3"/>
    <n v="44625"/>
    <n v="49875"/>
    <n v="5250"/>
    <n v="1968.75"/>
    <n v="46593.75"/>
    <n v="15375.9375"/>
    <n v="51093.75"/>
    <n v="54093.75"/>
    <n v="3541125"/>
    <n v="3883125"/>
    <n v="4111125"/>
    <n v="0"/>
    <n v="300995.625"/>
    <n v="1"/>
    <n v="210000"/>
    <n v="210000"/>
    <n v="3751125"/>
  </r>
  <r>
    <m/>
    <s v="A"/>
    <x v="1"/>
    <x v="0"/>
    <n v="1"/>
    <n v="2"/>
    <x v="25"/>
    <s v="2 BEDROOM"/>
    <x v="0"/>
    <n v="89.05"/>
    <n v="97.61343178583013"/>
    <n v="110"/>
    <m/>
    <m/>
    <s v="NW"/>
    <s v="MIDDLE"/>
    <s v="LAKE A-1"/>
    <s v="FIRST"/>
    <s v="B"/>
    <n v="0.13"/>
    <n v="2.5000000000000001E-2"/>
    <n v="0.4"/>
    <n v="7.0000000000000007E-2"/>
    <n v="0.04"/>
    <n v="0.66500000000000004"/>
    <x v="1"/>
    <s v="R 5"/>
    <n v="46750.000000000007"/>
    <n v="52250.000000000007"/>
    <n v="5500"/>
    <n v="3657.5"/>
    <n v="50407.500000000007"/>
    <n v="16634.475000000002"/>
    <n v="54907.500000000007"/>
    <n v="57907.500000000007"/>
    <n v="5544825.0000000009"/>
    <n v="6039825.0000000009"/>
    <n v="6369825.0000000009"/>
    <n v="0"/>
    <n v="471310.12500000012"/>
    <n v="1"/>
    <n v="220000.00000000003"/>
    <n v="220000.00000000003"/>
    <n v="5764825.0000000009"/>
  </r>
  <r>
    <m/>
    <s v="A"/>
    <x v="1"/>
    <x v="0"/>
    <n v="1"/>
    <n v="3"/>
    <x v="26"/>
    <s v="2 BEDROOM"/>
    <x v="0"/>
    <n v="97.06"/>
    <n v="106.39370790716083"/>
    <n v="120"/>
    <m/>
    <m/>
    <s v="NW"/>
    <s v="MIDDLE"/>
    <s v="LAKE A-1"/>
    <s v="FIRST"/>
    <s v="B"/>
    <n v="0.13"/>
    <n v="2.5000000000000001E-2"/>
    <n v="0.4"/>
    <n v="7.0000000000000007E-2"/>
    <n v="0.04"/>
    <n v="0.66500000000000004"/>
    <x v="1"/>
    <s v="R 5"/>
    <n v="46750.000000000007"/>
    <n v="52250.000000000007"/>
    <n v="5500"/>
    <n v="3657.5"/>
    <n v="50407.500000000007"/>
    <n v="16634.475000000002"/>
    <n v="54907.500000000007"/>
    <n v="57907.500000000007"/>
    <n v="6048900.0000000009"/>
    <n v="6588900.0000000009"/>
    <n v="6948900.0000000009"/>
    <n v="0"/>
    <n v="514156.50000000012"/>
    <n v="1"/>
    <n v="220000.00000000003"/>
    <n v="220000.00000000003"/>
    <n v="6268900.0000000009"/>
  </r>
  <r>
    <m/>
    <s v="A"/>
    <x v="1"/>
    <x v="0"/>
    <n v="1"/>
    <n v="4"/>
    <x v="27"/>
    <s v="2 BEDROOM"/>
    <x v="0"/>
    <n v="97.09"/>
    <n v="106.4265928364542"/>
    <n v="119"/>
    <m/>
    <m/>
    <s v="SE"/>
    <s v="MIDDLE"/>
    <s v="ROAD 18M (BUILDINGS)"/>
    <s v="FIRST"/>
    <s v="B"/>
    <n v="0.08"/>
    <n v="2.5000000000000001E-2"/>
    <n v="0.15"/>
    <n v="7.0000000000000007E-2"/>
    <n v="0.04"/>
    <n v="0.36499999999999999"/>
    <x v="0"/>
    <s v="R 2"/>
    <n v="43562.499999999993"/>
    <n v="48687.499999999993"/>
    <n v="5125"/>
    <n v="1870.625"/>
    <n v="45433.124999999993"/>
    <n v="14992.931249999998"/>
    <n v="49933.124999999993"/>
    <n v="52933.124999999993"/>
    <n v="5406541.8749999991"/>
    <n v="5942041.8749999991"/>
    <n v="6299041.8749999991"/>
    <n v="0"/>
    <n v="459556.05937499995"/>
    <n v="1"/>
    <n v="204999.99999999997"/>
    <n v="204999.99999999997"/>
    <n v="5611541.8749999991"/>
  </r>
  <r>
    <m/>
    <s v="A"/>
    <x v="1"/>
    <x v="0"/>
    <n v="2"/>
    <n v="1"/>
    <x v="28"/>
    <s v="2 BEDROOM"/>
    <x v="0"/>
    <n v="90.91"/>
    <n v="99.652297402019272"/>
    <n v="112"/>
    <m/>
    <m/>
    <s v="SE"/>
    <s v="MIDDLE"/>
    <s v="ROAD 18M (BUILDINGS)"/>
    <s v="SECOND"/>
    <s v="B"/>
    <n v="0.08"/>
    <n v="2.5000000000000001E-2"/>
    <n v="0.15"/>
    <n v="0.11"/>
    <n v="0.04"/>
    <n v="0.40499999999999997"/>
    <x v="0"/>
    <s v="R 6"/>
    <n v="48450.000000000007"/>
    <n v="54150.000000000007"/>
    <n v="5700"/>
    <n v="2308.5"/>
    <n v="50758.500000000007"/>
    <n v="16750.305000000004"/>
    <n v="55258.500000000007"/>
    <n v="58258.500000000007"/>
    <n v="5684952.0000000009"/>
    <n v="6188952.0000000009"/>
    <n v="6524952.0000000009"/>
    <n v="0"/>
    <n v="483220.9200000001"/>
    <n v="1"/>
    <n v="228000.00000000003"/>
    <n v="228000.00000000003"/>
    <n v="5912952.0000000009"/>
  </r>
  <r>
    <m/>
    <s v="A"/>
    <x v="1"/>
    <x v="0"/>
    <n v="2"/>
    <n v="2"/>
    <x v="29"/>
    <s v="2 BEDROOM"/>
    <x v="0"/>
    <n v="90.91"/>
    <n v="99.652297402019272"/>
    <n v="112"/>
    <m/>
    <m/>
    <s v="NW"/>
    <s v="MIDDLE"/>
    <s v="LAKE A-1"/>
    <s v="SECOND"/>
    <s v="B"/>
    <n v="0.13"/>
    <n v="2.5000000000000001E-2"/>
    <n v="0.4"/>
    <n v="0.11"/>
    <n v="0.04"/>
    <n v="0.70500000000000007"/>
    <x v="1"/>
    <s v="R 10"/>
    <n v="56100"/>
    <n v="62700"/>
    <n v="6600"/>
    <n v="4653.0000000000009"/>
    <n v="60753"/>
    <n v="20048.490000000002"/>
    <n v="65253"/>
    <n v="68253"/>
    <n v="6804336"/>
    <n v="7308336"/>
    <n v="7644336"/>
    <n v="0"/>
    <n v="578368.56000000006"/>
    <n v="1"/>
    <n v="264000"/>
    <n v="264000"/>
    <n v="7068336"/>
  </r>
  <r>
    <m/>
    <s v="A"/>
    <x v="1"/>
    <x v="0"/>
    <n v="2"/>
    <n v="3"/>
    <x v="30"/>
    <s v="2 BEDROOM"/>
    <x v="0"/>
    <n v="98.95"/>
    <n v="108.46545845264336"/>
    <n v="122"/>
    <m/>
    <m/>
    <s v="NW"/>
    <s v="MIDDLE"/>
    <s v="LAKE A-1"/>
    <s v="SECOND"/>
    <s v="B"/>
    <n v="0.13"/>
    <n v="2.5000000000000001E-2"/>
    <n v="0.4"/>
    <n v="0.11"/>
    <n v="0.04"/>
    <n v="0.70500000000000007"/>
    <x v="1"/>
    <s v="R 10"/>
    <n v="56100"/>
    <n v="62700"/>
    <n v="6600"/>
    <n v="4653.0000000000009"/>
    <n v="60753"/>
    <n v="20048.490000000002"/>
    <n v="65253"/>
    <n v="68253"/>
    <n v="7411866"/>
    <n v="7960866"/>
    <n v="8326866"/>
    <n v="0"/>
    <n v="630008.6100000001"/>
    <n v="1"/>
    <n v="264000"/>
    <n v="264000"/>
    <n v="7675866"/>
  </r>
  <r>
    <m/>
    <s v="A"/>
    <x v="1"/>
    <x v="0"/>
    <n v="2"/>
    <n v="4"/>
    <x v="31"/>
    <s v="2 BEDROOM"/>
    <x v="0"/>
    <n v="98.95"/>
    <n v="108.46545845264336"/>
    <n v="122"/>
    <m/>
    <m/>
    <s v="SE"/>
    <s v="MIDDLE"/>
    <s v="ROAD 18M (BUILDINGS)"/>
    <s v="SECOND"/>
    <s v="B"/>
    <n v="0.08"/>
    <n v="2.5000000000000001E-2"/>
    <n v="0.15"/>
    <n v="0.11"/>
    <n v="0.04"/>
    <n v="0.40499999999999997"/>
    <x v="0"/>
    <s v="R 6"/>
    <n v="48450.000000000007"/>
    <n v="54150.000000000007"/>
    <n v="5700"/>
    <n v="2308.5"/>
    <n v="50758.500000000007"/>
    <n v="16750.305000000004"/>
    <n v="55258.500000000007"/>
    <n v="58258.500000000007"/>
    <n v="6192537.0000000009"/>
    <n v="6741537.0000000009"/>
    <n v="7107537.0000000009"/>
    <n v="0"/>
    <n v="526365.64500000014"/>
    <n v="1"/>
    <n v="228000.00000000003"/>
    <n v="228000.00000000003"/>
    <n v="6420537.0000000009"/>
  </r>
  <r>
    <m/>
    <s v="A"/>
    <x v="1"/>
    <x v="0"/>
    <n v="3"/>
    <n v="1"/>
    <x v="32"/>
    <s v="2 BEDROOM"/>
    <x v="0"/>
    <n v="89.05"/>
    <n v="97.61343178583013"/>
    <n v="110"/>
    <m/>
    <m/>
    <s v="SE"/>
    <s v="MIDDLE"/>
    <s v="ROAD 18M (BUILDINGS)"/>
    <s v="THIRD"/>
    <s v="B"/>
    <n v="0.08"/>
    <n v="2.5000000000000001E-2"/>
    <n v="0.15"/>
    <n v="0.15"/>
    <n v="0.04"/>
    <n v="0.44500000000000001"/>
    <x v="0"/>
    <s v="R 9"/>
    <n v="53550"/>
    <n v="59850"/>
    <n v="6300"/>
    <n v="2803.5"/>
    <n v="56353.5"/>
    <n v="18596.655000000002"/>
    <n v="60853.5"/>
    <n v="63853.5"/>
    <n v="6198885"/>
    <n v="6693885"/>
    <n v="7023885"/>
    <n v="0"/>
    <n v="526905.22500000009"/>
    <n v="1"/>
    <n v="252000"/>
    <n v="252000"/>
    <n v="6450885"/>
  </r>
  <r>
    <m/>
    <s v="A"/>
    <x v="1"/>
    <x v="0"/>
    <n v="3"/>
    <n v="2"/>
    <x v="33"/>
    <s v="2 BEDROOM"/>
    <x v="0"/>
    <n v="89.05"/>
    <n v="97.61343178583013"/>
    <n v="110"/>
    <m/>
    <m/>
    <s v="NW"/>
    <s v="MIDDLE"/>
    <s v="LAKE A-1"/>
    <s v="THIRD"/>
    <s v="B"/>
    <n v="0.13"/>
    <n v="2.5000000000000001E-2"/>
    <n v="0.4"/>
    <n v="0.15"/>
    <n v="0.04"/>
    <n v="0.74500000000000011"/>
    <x v="2"/>
    <s v="R 1"/>
    <n v="42500"/>
    <n v="47500"/>
    <n v="5000"/>
    <n v="3725.0000000000005"/>
    <n v="46225"/>
    <n v="15254.25"/>
    <n v="50725"/>
    <n v="53725"/>
    <n v="5084750"/>
    <n v="5579750"/>
    <n v="5909750"/>
    <n v="0"/>
    <n v="432203.75000000006"/>
    <n v="1"/>
    <n v="200000"/>
    <n v="200000"/>
    <n v="5284750"/>
  </r>
  <r>
    <m/>
    <s v="A"/>
    <x v="1"/>
    <x v="0"/>
    <n v="3"/>
    <n v="3"/>
    <x v="34"/>
    <s v="2 BEDROOM"/>
    <x v="0"/>
    <n v="97.09"/>
    <n v="106.4265928364542"/>
    <n v="119"/>
    <m/>
    <m/>
    <s v="NW"/>
    <s v="MIDDLE"/>
    <s v="LAKE A-1"/>
    <s v="THIRD"/>
    <s v="B"/>
    <n v="0.13"/>
    <n v="2.5000000000000001E-2"/>
    <n v="0.4"/>
    <n v="0.15"/>
    <n v="0.04"/>
    <n v="0.74500000000000011"/>
    <x v="2"/>
    <s v="R 1"/>
    <n v="42500"/>
    <n v="47500"/>
    <n v="5000"/>
    <n v="3725.0000000000005"/>
    <n v="46225"/>
    <n v="15254.25"/>
    <n v="50725"/>
    <n v="53725"/>
    <n v="5500775"/>
    <n v="6036275"/>
    <n v="6393275"/>
    <n v="0"/>
    <n v="467565.87500000006"/>
    <n v="1"/>
    <n v="200000"/>
    <n v="200000"/>
    <n v="5700775"/>
  </r>
  <r>
    <m/>
    <s v="A"/>
    <x v="1"/>
    <x v="0"/>
    <n v="3"/>
    <n v="4"/>
    <x v="35"/>
    <s v="2 BEDROOM"/>
    <x v="0"/>
    <n v="97.09"/>
    <n v="106.4265928364542"/>
    <n v="119"/>
    <m/>
    <m/>
    <s v="SE"/>
    <s v="MIDDLE"/>
    <s v="ROAD 18M (BUILDINGS)"/>
    <s v="THIRD"/>
    <s v="B"/>
    <n v="0.08"/>
    <n v="2.5000000000000001E-2"/>
    <n v="0.15"/>
    <n v="0.15"/>
    <n v="0.04"/>
    <n v="0.44500000000000001"/>
    <x v="0"/>
    <s v="R 9"/>
    <n v="53550"/>
    <n v="59850"/>
    <n v="6300"/>
    <n v="2803.5"/>
    <n v="56353.5"/>
    <n v="18596.655000000002"/>
    <n v="60853.5"/>
    <n v="63853.5"/>
    <n v="6706066.5"/>
    <n v="7241566.5"/>
    <n v="7598566.5"/>
    <n v="0"/>
    <n v="570015.65250000008"/>
    <n v="1"/>
    <n v="252000"/>
    <n v="252000"/>
    <n v="6958066.5"/>
  </r>
  <r>
    <m/>
    <s v="A"/>
    <x v="1"/>
    <x v="0"/>
    <n v="4"/>
    <n v="1"/>
    <x v="36"/>
    <s v="2 BEDROOM"/>
    <x v="0"/>
    <n v="89.12"/>
    <n v="97.690163287514665"/>
    <n v="110"/>
    <m/>
    <m/>
    <s v="SE"/>
    <s v="MIDDLE"/>
    <s v="ROAD 18M (BUILDINGS)"/>
    <s v="FORTH"/>
    <s v="B"/>
    <n v="0.08"/>
    <n v="2.5000000000000001E-2"/>
    <n v="0.15"/>
    <n v="0.06"/>
    <n v="0.04"/>
    <n v="0.35499999999999998"/>
    <x v="0"/>
    <s v="R 1"/>
    <n v="42500"/>
    <n v="47500"/>
    <n v="5000"/>
    <n v="1775"/>
    <n v="44275"/>
    <n v="14610.75"/>
    <n v="48775"/>
    <n v="51775"/>
    <n v="4870250"/>
    <n v="5365250"/>
    <n v="5695250"/>
    <n v="0"/>
    <n v="413971.25000000006"/>
    <n v="1"/>
    <n v="200000"/>
    <n v="200000"/>
    <n v="5070250"/>
  </r>
  <r>
    <m/>
    <s v="A"/>
    <x v="1"/>
    <x v="0"/>
    <n v="4"/>
    <n v="2"/>
    <x v="37"/>
    <s v="2 BEDROOM"/>
    <x v="0"/>
    <n v="90.52"/>
    <n v="99.224793321205425"/>
    <n v="111"/>
    <m/>
    <m/>
    <s v="NW"/>
    <s v="MIDDLE"/>
    <s v="LAKE A-1"/>
    <s v="FORTH"/>
    <s v="B"/>
    <n v="0.13"/>
    <n v="2.5000000000000001E-2"/>
    <n v="0.4"/>
    <n v="0.06"/>
    <n v="0.04"/>
    <n v="0.65500000000000003"/>
    <x v="1"/>
    <s v="R 5"/>
    <n v="46750.000000000007"/>
    <n v="52250.000000000007"/>
    <n v="5500"/>
    <n v="3602.5"/>
    <n v="50352.500000000007"/>
    <n v="16616.325000000004"/>
    <n v="54852.500000000007"/>
    <n v="57852.500000000007"/>
    <n v="5589127.5000000009"/>
    <n v="6088627.5000000009"/>
    <n v="6421627.5000000009"/>
    <n v="0"/>
    <n v="475075.83750000014"/>
    <n v="1"/>
    <n v="220000.00000000003"/>
    <n v="220000.00000000003"/>
    <n v="5809127.5000000009"/>
  </r>
  <r>
    <m/>
    <s v="A"/>
    <x v="1"/>
    <x v="0"/>
    <n v="4"/>
    <n v="3"/>
    <x v="38"/>
    <s v="2 BEDROOM"/>
    <x v="0"/>
    <n v="98.57"/>
    <n v="108.04891601492729"/>
    <n v="121"/>
    <m/>
    <m/>
    <s v="NW"/>
    <s v="MIDDLE"/>
    <s v="LAKE A-1"/>
    <s v="FORTH"/>
    <s v="B"/>
    <n v="0.13"/>
    <n v="2.5000000000000001E-2"/>
    <n v="0.4"/>
    <n v="0.06"/>
    <n v="0.04"/>
    <n v="0.65500000000000003"/>
    <x v="1"/>
    <s v="R 5"/>
    <n v="46750.000000000007"/>
    <n v="52250.000000000007"/>
    <n v="5500"/>
    <n v="3602.5"/>
    <n v="50352.500000000007"/>
    <n v="16616.325000000004"/>
    <n v="54852.500000000007"/>
    <n v="57852.500000000007"/>
    <n v="6092652.5000000009"/>
    <n v="6637152.5000000009"/>
    <n v="7000152.5000000009"/>
    <n v="0"/>
    <n v="517875.46250000014"/>
    <n v="1"/>
    <n v="220000.00000000003"/>
    <n v="220000.00000000003"/>
    <n v="6312652.5000000009"/>
  </r>
  <r>
    <m/>
    <s v="A"/>
    <x v="1"/>
    <x v="0"/>
    <n v="4"/>
    <n v="4"/>
    <x v="39"/>
    <s v="2 BEDROOM"/>
    <x v="0"/>
    <n v="97.17"/>
    <n v="106.51428598123654"/>
    <n v="120"/>
    <m/>
    <m/>
    <s v="SE"/>
    <s v="MIDDLE"/>
    <s v="ROAD 18M (BUILDINGS)"/>
    <s v="FORTH"/>
    <s v="B"/>
    <n v="0.08"/>
    <n v="2.5000000000000001E-2"/>
    <n v="0.15"/>
    <n v="0.06"/>
    <n v="0.04"/>
    <n v="0.35499999999999998"/>
    <x v="0"/>
    <s v="R 1"/>
    <n v="42500"/>
    <n v="47500"/>
    <n v="5000"/>
    <n v="1775"/>
    <n v="44275"/>
    <n v="14610.75"/>
    <n v="48775"/>
    <n v="51775"/>
    <n v="5313000"/>
    <n v="5853000"/>
    <n v="6213000"/>
    <n v="0"/>
    <n v="451605.00000000006"/>
    <n v="1"/>
    <n v="200000"/>
    <n v="200000"/>
    <n v="5513000"/>
  </r>
  <r>
    <s v="A"/>
    <s v="A"/>
    <x v="2"/>
    <x v="0"/>
    <n v="0"/>
    <n v="1"/>
    <x v="40"/>
    <s v="2 BEDROOM"/>
    <x v="0"/>
    <n v="98.17"/>
    <n v="107.61222461609491"/>
    <n v="121"/>
    <n v="31.614699999999999"/>
    <m/>
    <s v="SE"/>
    <s v="MIDDLE"/>
    <s v="ROAD 18M (BUILDINGS)"/>
    <s v="GROUND"/>
    <s v="B"/>
    <n v="0.08"/>
    <n v="2.5000000000000001E-2"/>
    <n v="0.15"/>
    <n v="0.05"/>
    <n v="0.04"/>
    <n v="0.34499999999999997"/>
    <x v="0"/>
    <s v="R 1"/>
    <n v="42500"/>
    <n v="47500"/>
    <n v="5000"/>
    <n v="1724.9999999999998"/>
    <n v="44225"/>
    <n v="14594.25"/>
    <n v="48725"/>
    <n v="51725"/>
    <n v="5351225"/>
    <n v="5895725"/>
    <n v="6258725"/>
    <n v="461392.83547499997"/>
    <n v="494072.51601537497"/>
    <n v="1"/>
    <n v="200000"/>
    <n v="200000"/>
    <n v="6012617.8354749996"/>
  </r>
  <r>
    <m/>
    <s v="A"/>
    <x v="2"/>
    <x v="0"/>
    <n v="0"/>
    <n v="2"/>
    <x v="41"/>
    <s v="2 BEDROOM"/>
    <x v="0"/>
    <n v="97.98"/>
    <n v="107.40394996317592"/>
    <n v="121"/>
    <n v="50.705300000000001"/>
    <m/>
    <s v="NW"/>
    <s v="MIDDLE"/>
    <s v="SEMI LAKE AND FENCE"/>
    <s v="GROUND"/>
    <s v="B"/>
    <n v="0.13"/>
    <n v="2.5000000000000001E-2"/>
    <n v="0.25"/>
    <n v="0.05"/>
    <n v="0.04"/>
    <n v="0.495"/>
    <x v="0"/>
    <s v="R 12"/>
    <n v="61625"/>
    <n v="68875"/>
    <n v="7250"/>
    <n v="3588.75"/>
    <n v="65213.75"/>
    <n v="21520.537500000002"/>
    <n v="69713.75"/>
    <n v="72713.75"/>
    <n v="7890863.75"/>
    <n v="8435363.75"/>
    <n v="8798363.75"/>
    <n v="1091205.3100987501"/>
    <n v="763475.87010839384"/>
    <n v="1"/>
    <n v="290000"/>
    <n v="290000"/>
    <n v="9272069.0600987505"/>
  </r>
  <r>
    <m/>
    <s v="A"/>
    <x v="2"/>
    <x v="0"/>
    <n v="0"/>
    <n v="3"/>
    <x v="42"/>
    <s v="2 BEDROOM"/>
    <x v="0"/>
    <n v="89.96"/>
    <n v="98.612567245226629"/>
    <n v="111"/>
    <n v="50.540100000000002"/>
    <m/>
    <s v="NW"/>
    <s v="MIDDLE"/>
    <s v="FENCE"/>
    <s v="GROUND"/>
    <s v="B"/>
    <n v="0.13"/>
    <n v="2.5000000000000001E-2"/>
    <n v="0.1"/>
    <n v="0.05"/>
    <n v="0.04"/>
    <n v="0.34499999999999997"/>
    <x v="0"/>
    <s v="R 1"/>
    <n v="42500"/>
    <n v="47500"/>
    <n v="5000"/>
    <n v="1724.9999999999998"/>
    <n v="44225"/>
    <n v="14594.25"/>
    <n v="48725"/>
    <n v="51725"/>
    <n v="4908975"/>
    <n v="5408475"/>
    <n v="5741475"/>
    <n v="737594.85442500003"/>
    <n v="479958.43762612506"/>
    <n v="1"/>
    <n v="200000"/>
    <n v="200000"/>
    <n v="5846569.854425"/>
  </r>
  <r>
    <m/>
    <s v="A"/>
    <x v="2"/>
    <x v="0"/>
    <n v="0"/>
    <n v="4"/>
    <x v="43"/>
    <s v="1 BEDROOM (STUDIO)"/>
    <x v="0"/>
    <n v="60.98"/>
    <n v="66.845201763160517"/>
    <n v="75"/>
    <n v="23.830100000000002"/>
    <m/>
    <s v="SE"/>
    <s v="MIDDLE"/>
    <s v="ROAD 18M (BUILDINGS)"/>
    <s v="GROUND"/>
    <s v="A"/>
    <n v="0.08"/>
    <n v="2.5000000000000001E-2"/>
    <n v="0.15"/>
    <n v="0.05"/>
    <n v="0.05"/>
    <n v="0.35499999999999998"/>
    <x v="0"/>
    <s v="R 1"/>
    <n v="42500"/>
    <n v="47500"/>
    <n v="5000"/>
    <n v="1775"/>
    <n v="44275"/>
    <n v="14610.75"/>
    <n v="48775"/>
    <n v="51775"/>
    <n v="3320625"/>
    <n v="3658125"/>
    <n v="3883125"/>
    <n v="348175.63357500004"/>
    <n v="311848.05385387503"/>
    <n v="1"/>
    <n v="200000"/>
    <n v="200000"/>
    <n v="3868800.6335749999"/>
  </r>
  <r>
    <m/>
    <s v="A"/>
    <x v="2"/>
    <x v="0"/>
    <n v="1"/>
    <n v="1"/>
    <x v="44"/>
    <s v="2 BEDROOM"/>
    <x v="0"/>
    <n v="97.09"/>
    <n v="106.42834764160798"/>
    <n v="119"/>
    <m/>
    <m/>
    <s v="SE"/>
    <s v="MIDDLE"/>
    <s v="ROAD 18M (BUILDINGS)"/>
    <s v="FIRST"/>
    <s v="B"/>
    <n v="0.08"/>
    <n v="2.5000000000000001E-2"/>
    <n v="0.15"/>
    <n v="7.0000000000000007E-2"/>
    <n v="0.04"/>
    <n v="0.36499999999999999"/>
    <x v="0"/>
    <s v="R 2"/>
    <n v="43562.499999999993"/>
    <n v="48687.499999999993"/>
    <n v="5125"/>
    <n v="1870.625"/>
    <n v="45433.124999999993"/>
    <n v="14992.931249999998"/>
    <n v="49933.124999999993"/>
    <n v="52933.124999999993"/>
    <n v="5406541.8749999991"/>
    <n v="5942041.8749999991"/>
    <n v="6299041.8749999991"/>
    <n v="0"/>
    <n v="459556.05937499995"/>
    <n v="1"/>
    <n v="204999.99999999997"/>
    <n v="204999.99999999997"/>
    <n v="5611541.8749999991"/>
  </r>
  <r>
    <m/>
    <s v="A"/>
    <x v="2"/>
    <x v="0"/>
    <n v="1"/>
    <n v="2"/>
    <x v="45"/>
    <s v="2 BEDROOM"/>
    <x v="0"/>
    <n v="97.06"/>
    <n v="106.39546217009445"/>
    <n v="119"/>
    <m/>
    <m/>
    <s v="NW"/>
    <s v="MIDDLE"/>
    <s v="SEMI LAKE AND FENCE"/>
    <s v="FIRST"/>
    <s v="B"/>
    <n v="0.13"/>
    <n v="2.5000000000000001E-2"/>
    <n v="0.25"/>
    <n v="7.0000000000000007E-2"/>
    <n v="0.04"/>
    <n v="0.51500000000000001"/>
    <x v="1"/>
    <s v="R 1"/>
    <n v="42500"/>
    <n v="47500"/>
    <n v="5000"/>
    <n v="2575"/>
    <n v="45075"/>
    <n v="14874.75"/>
    <n v="49575"/>
    <n v="52575"/>
    <n v="5363925"/>
    <n v="5899425"/>
    <n v="6256425"/>
    <n v="0"/>
    <n v="455933.62500000006"/>
    <n v="1"/>
    <n v="200000"/>
    <n v="200000"/>
    <n v="5563925"/>
  </r>
  <r>
    <m/>
    <s v="A"/>
    <x v="2"/>
    <x v="0"/>
    <n v="1"/>
    <n v="3"/>
    <x v="46"/>
    <s v="2 BEDROOM"/>
    <x v="0"/>
    <n v="89.05"/>
    <n v="97.615041275983003"/>
    <n v="110"/>
    <m/>
    <m/>
    <s v="NW"/>
    <s v="MIDDLE"/>
    <s v="LAYAN VILLAS"/>
    <s v="FIRST"/>
    <s v="B"/>
    <n v="0.13"/>
    <n v="2.5000000000000001E-2"/>
    <n v="0.2"/>
    <n v="7.0000000000000007E-2"/>
    <n v="0.04"/>
    <n v="0.46499999999999997"/>
    <x v="0"/>
    <s v="R 10"/>
    <n v="56100"/>
    <n v="62700"/>
    <n v="6600"/>
    <n v="3069"/>
    <n v="59169"/>
    <n v="19525.77"/>
    <n v="63669"/>
    <n v="66669"/>
    <n v="6508590"/>
    <n v="7003590"/>
    <n v="7333590"/>
    <n v="0"/>
    <n v="553230.15"/>
    <n v="1"/>
    <n v="264000"/>
    <n v="264000"/>
    <n v="6772590"/>
  </r>
  <r>
    <m/>
    <s v="A"/>
    <x v="2"/>
    <x v="0"/>
    <n v="1"/>
    <n v="4"/>
    <x v="47"/>
    <s v="1 BEDROOM (STUDIO)"/>
    <x v="0"/>
    <n v="61.82"/>
    <n v="67.765994965539235"/>
    <n v="76"/>
    <m/>
    <m/>
    <s v="SE"/>
    <s v="MIDDLE"/>
    <s v="ROAD 18M (BUILDINGS)"/>
    <s v="FIRST"/>
    <s v="A"/>
    <n v="0.08"/>
    <n v="2.5000000000000001E-2"/>
    <n v="0.15"/>
    <n v="7.0000000000000007E-2"/>
    <n v="0.05"/>
    <n v="0.375"/>
    <x v="0"/>
    <s v="R 3"/>
    <n v="44625"/>
    <n v="49875"/>
    <n v="5250"/>
    <n v="1968.75"/>
    <n v="46593.75"/>
    <n v="15375.9375"/>
    <n v="51093.75"/>
    <n v="54093.75"/>
    <n v="3541125"/>
    <n v="3883125"/>
    <n v="4111125"/>
    <n v="0"/>
    <n v="300995.625"/>
    <n v="1"/>
    <n v="210000"/>
    <n v="210000"/>
    <n v="3751125"/>
  </r>
  <r>
    <m/>
    <s v="A"/>
    <x v="2"/>
    <x v="0"/>
    <n v="2"/>
    <n v="1"/>
    <x v="48"/>
    <s v="2 BEDROOM"/>
    <x v="0"/>
    <n v="98.95"/>
    <n v="108.46724687544659"/>
    <n v="122"/>
    <m/>
    <m/>
    <s v="SE"/>
    <s v="MIDDLE"/>
    <s v="ROAD 18M (BUILDINGS)"/>
    <s v="SECOND"/>
    <s v="B"/>
    <n v="0.08"/>
    <n v="2.5000000000000001E-2"/>
    <n v="0.15"/>
    <n v="0.11"/>
    <n v="0.04"/>
    <n v="0.40499999999999997"/>
    <x v="0"/>
    <s v="R 6"/>
    <n v="48450.000000000007"/>
    <n v="54150.000000000007"/>
    <n v="5700"/>
    <n v="2308.5"/>
    <n v="50758.500000000007"/>
    <n v="16750.305000000004"/>
    <n v="55258.500000000007"/>
    <n v="58258.500000000007"/>
    <n v="6192537.0000000009"/>
    <n v="6741537.0000000009"/>
    <n v="7107537.0000000009"/>
    <n v="0"/>
    <n v="526365.64500000014"/>
    <n v="1"/>
    <n v="228000.00000000003"/>
    <n v="228000.00000000003"/>
    <n v="6420537.0000000009"/>
  </r>
  <r>
    <m/>
    <s v="A"/>
    <x v="2"/>
    <x v="0"/>
    <n v="2"/>
    <n v="2"/>
    <x v="49"/>
    <s v="2 BEDROOM"/>
    <x v="0"/>
    <n v="98.93"/>
    <n v="108.44532322777091"/>
    <n v="122"/>
    <m/>
    <m/>
    <s v="NW"/>
    <s v="MIDDLE"/>
    <s v="SEMI LAKE AND FENCE"/>
    <s v="SECOND"/>
    <s v="B"/>
    <n v="0.13"/>
    <n v="2.5000000000000001E-2"/>
    <n v="0.25"/>
    <n v="0.11"/>
    <n v="0.04"/>
    <n v="0.55500000000000005"/>
    <x v="1"/>
    <s v="R 1"/>
    <n v="42500"/>
    <n v="47500"/>
    <n v="5000"/>
    <n v="2775.0000000000005"/>
    <n v="45275"/>
    <n v="14940.75"/>
    <n v="49775"/>
    <n v="52775"/>
    <n v="5523550"/>
    <n v="6072550"/>
    <n v="6438550"/>
    <n v="0"/>
    <n v="469501.75000000006"/>
    <n v="1"/>
    <n v="200000"/>
    <n v="200000"/>
    <n v="5723550"/>
  </r>
  <r>
    <m/>
    <s v="A"/>
    <x v="2"/>
    <x v="0"/>
    <n v="2"/>
    <n v="3"/>
    <x v="50"/>
    <s v="2 BEDROOM"/>
    <x v="0"/>
    <n v="90.91"/>
    <n v="99.653940509821609"/>
    <n v="112"/>
    <m/>
    <m/>
    <s v="NW"/>
    <s v="MIDDLE"/>
    <s v="LAYAN VILLAS"/>
    <s v="SECOND"/>
    <s v="B"/>
    <n v="0.13"/>
    <n v="2.5000000000000001E-2"/>
    <n v="0.2"/>
    <n v="0.11"/>
    <n v="0.04"/>
    <n v="0.505"/>
    <x v="1"/>
    <s v="R 1"/>
    <n v="42500"/>
    <n v="47500"/>
    <n v="5000"/>
    <n v="2525"/>
    <n v="45025"/>
    <n v="14858.25"/>
    <n v="49525"/>
    <n v="52525"/>
    <n v="5042800"/>
    <n v="5546800"/>
    <n v="5882800"/>
    <n v="0"/>
    <n v="428638.00000000006"/>
    <n v="1"/>
    <n v="200000"/>
    <n v="200000"/>
    <n v="5242800"/>
  </r>
  <r>
    <m/>
    <s v="A"/>
    <x v="2"/>
    <x v="0"/>
    <n v="2"/>
    <n v="4"/>
    <x v="51"/>
    <s v="2 BEDROOM"/>
    <x v="0"/>
    <n v="90.9"/>
    <n v="99.642978685983778"/>
    <n v="112"/>
    <m/>
    <m/>
    <s v="SE"/>
    <s v="MIDDLE"/>
    <s v="ROAD 18M (BUILDINGS)"/>
    <s v="SECOND"/>
    <s v="B"/>
    <n v="0.08"/>
    <n v="2.5000000000000001E-2"/>
    <n v="0.15"/>
    <n v="0.11"/>
    <n v="0.04"/>
    <n v="0.40499999999999997"/>
    <x v="0"/>
    <s v="R 5"/>
    <n v="46750.000000000007"/>
    <n v="52250.000000000007"/>
    <n v="5500"/>
    <n v="2227.5"/>
    <n v="48977.500000000007"/>
    <n v="16162.575000000003"/>
    <n v="53477.500000000007"/>
    <n v="56477.500000000007"/>
    <n v="5485480.0000000009"/>
    <n v="5989480.0000000009"/>
    <n v="6325480.0000000009"/>
    <n v="0"/>
    <n v="466265.8000000001"/>
    <n v="1"/>
    <n v="220000.00000000003"/>
    <n v="220000.00000000003"/>
    <n v="5705480.0000000009"/>
  </r>
  <r>
    <m/>
    <s v="A"/>
    <x v="2"/>
    <x v="0"/>
    <n v="3"/>
    <n v="1"/>
    <x v="52"/>
    <s v="2 BEDROOM"/>
    <x v="0"/>
    <n v="97.09"/>
    <n v="106.42834764160798"/>
    <n v="119"/>
    <m/>
    <m/>
    <s v="SE"/>
    <s v="MIDDLE"/>
    <s v="ROAD 18M (BUILDINGS)"/>
    <s v="THIRD"/>
    <s v="B"/>
    <n v="0.08"/>
    <n v="2.5000000000000001E-2"/>
    <n v="0.15"/>
    <n v="0.15"/>
    <n v="0.04"/>
    <n v="0.44500000000000001"/>
    <x v="0"/>
    <s v="R 9"/>
    <n v="53550"/>
    <n v="59850"/>
    <n v="6300"/>
    <n v="2803.5"/>
    <n v="56353.5"/>
    <n v="18596.655000000002"/>
    <n v="60853.5"/>
    <n v="63853.5"/>
    <n v="6706066.5"/>
    <n v="7241566.5"/>
    <n v="7598566.5"/>
    <n v="0"/>
    <n v="570015.65250000008"/>
    <n v="1"/>
    <n v="252000"/>
    <n v="252000"/>
    <n v="6958066.5"/>
  </r>
  <r>
    <m/>
    <s v="A"/>
    <x v="2"/>
    <x v="0"/>
    <n v="3"/>
    <n v="2"/>
    <x v="53"/>
    <s v="2 BEDROOM"/>
    <x v="0"/>
    <n v="97.09"/>
    <n v="106.42834764160798"/>
    <n v="119"/>
    <m/>
    <m/>
    <s v="NW"/>
    <s v="MIDDLE"/>
    <s v="SEMI LAKE AND FENCE"/>
    <s v="THIRD"/>
    <s v="B"/>
    <n v="0.13"/>
    <n v="2.5000000000000001E-2"/>
    <n v="0.25"/>
    <n v="0.15"/>
    <n v="0.04"/>
    <n v="0.59500000000000008"/>
    <x v="1"/>
    <s v="R 2"/>
    <n v="43562.499999999993"/>
    <n v="48687.499999999993"/>
    <n v="5125"/>
    <n v="3049.3750000000005"/>
    <n v="46611.874999999993"/>
    <n v="15381.918749999999"/>
    <n v="51111.874999999993"/>
    <n v="54111.874999999993"/>
    <n v="5546813.1249999991"/>
    <n v="6082313.1249999991"/>
    <n v="6439313.1249999991"/>
    <n v="0"/>
    <n v="471479.11562499998"/>
    <n v="1"/>
    <n v="204999.99999999997"/>
    <n v="204999.99999999997"/>
    <n v="5751813.1249999991"/>
  </r>
  <r>
    <m/>
    <s v="A"/>
    <x v="2"/>
    <x v="0"/>
    <n v="3"/>
    <n v="3"/>
    <x v="54"/>
    <s v="2 BEDROOM"/>
    <x v="0"/>
    <n v="89.05"/>
    <n v="97.615041275983003"/>
    <n v="110"/>
    <m/>
    <m/>
    <s v="NW"/>
    <s v="MIDDLE"/>
    <s v="LAYAN VILLAS"/>
    <s v="THIRD"/>
    <s v="B"/>
    <n v="0.13"/>
    <n v="2.5000000000000001E-2"/>
    <n v="0.2"/>
    <n v="0.15"/>
    <n v="0.04"/>
    <n v="0.54500000000000004"/>
    <x v="1"/>
    <s v="R 1"/>
    <n v="42500"/>
    <n v="47500"/>
    <n v="5000"/>
    <n v="2725"/>
    <n v="45225"/>
    <n v="14924.25"/>
    <n v="49725"/>
    <n v="52725"/>
    <n v="4974750"/>
    <n v="5469750"/>
    <n v="5799750"/>
    <n v="0"/>
    <n v="422853.75000000006"/>
    <n v="1"/>
    <n v="200000"/>
    <n v="200000"/>
    <n v="5174750"/>
  </r>
  <r>
    <m/>
    <s v="A"/>
    <x v="2"/>
    <x v="0"/>
    <n v="3"/>
    <n v="4"/>
    <x v="55"/>
    <s v="2 BEDROOM"/>
    <x v="0"/>
    <n v="89.05"/>
    <n v="97.615041275983003"/>
    <n v="110"/>
    <m/>
    <m/>
    <s v="SE"/>
    <s v="MIDDLE"/>
    <s v="ROAD 18M (BUILDINGS)"/>
    <s v="THIRD"/>
    <s v="B"/>
    <n v="0.08"/>
    <n v="2.5000000000000001E-2"/>
    <n v="0.15"/>
    <n v="0.15"/>
    <n v="0.04"/>
    <n v="0.44500000000000001"/>
    <x v="0"/>
    <s v="R 9"/>
    <n v="53550"/>
    <n v="59850"/>
    <n v="6300"/>
    <n v="2803.5"/>
    <n v="56353.5"/>
    <n v="18596.655000000002"/>
    <n v="60853.5"/>
    <n v="63853.5"/>
    <n v="6198885"/>
    <n v="6693885"/>
    <n v="7023885"/>
    <n v="0"/>
    <n v="526905.22500000009"/>
    <n v="1"/>
    <n v="252000"/>
    <n v="252000"/>
    <n v="6450885"/>
  </r>
  <r>
    <m/>
    <s v="A"/>
    <x v="2"/>
    <x v="0"/>
    <n v="4"/>
    <n v="1"/>
    <x v="56"/>
    <s v="2 BEDROOM"/>
    <x v="0"/>
    <n v="97.17"/>
    <n v="106.51604223231071"/>
    <n v="120"/>
    <m/>
    <m/>
    <s v="SE"/>
    <s v="MIDDLE"/>
    <s v="ROAD 18M (BUILDINGS)"/>
    <s v="FORTH"/>
    <s v="B"/>
    <n v="0.08"/>
    <n v="2.5000000000000001E-2"/>
    <n v="0.15"/>
    <n v="0.06"/>
    <n v="0.04"/>
    <n v="0.35499999999999998"/>
    <x v="0"/>
    <s v="R 1"/>
    <n v="42500"/>
    <n v="47500"/>
    <n v="5000"/>
    <n v="1775"/>
    <n v="44275"/>
    <n v="14610.75"/>
    <n v="48775"/>
    <n v="51775"/>
    <n v="5313000"/>
    <n v="5853000"/>
    <n v="6213000"/>
    <n v="0"/>
    <n v="451605.00000000006"/>
    <n v="1"/>
    <n v="200000"/>
    <n v="200000"/>
    <n v="5513000"/>
  </r>
  <r>
    <m/>
    <s v="A"/>
    <x v="2"/>
    <x v="0"/>
    <n v="4"/>
    <n v="2"/>
    <x v="57"/>
    <s v="2 BEDROOM"/>
    <x v="0"/>
    <n v="98.57"/>
    <n v="108.05069756960859"/>
    <n v="121"/>
    <m/>
    <m/>
    <s v="NW"/>
    <s v="MIDDLE"/>
    <s v="SEMI LAKE AND FENCE"/>
    <s v="FORTH"/>
    <s v="B"/>
    <n v="0.13"/>
    <n v="2.5000000000000001E-2"/>
    <n v="0.25"/>
    <n v="0.06"/>
    <n v="0.04"/>
    <n v="0.505"/>
    <x v="1"/>
    <s v="R 1"/>
    <n v="42500"/>
    <n v="47500"/>
    <n v="5000"/>
    <n v="2525"/>
    <n v="45025"/>
    <n v="14858.25"/>
    <n v="49525"/>
    <n v="52525"/>
    <n v="5448025"/>
    <n v="5992525"/>
    <n v="6355525"/>
    <n v="0"/>
    <n v="463082.12500000006"/>
    <n v="1"/>
    <n v="200000"/>
    <n v="200000"/>
    <n v="5648025"/>
  </r>
  <r>
    <m/>
    <s v="A"/>
    <x v="2"/>
    <x v="0"/>
    <n v="4"/>
    <n v="3"/>
    <x v="58"/>
    <s v="2 BEDROOM"/>
    <x v="0"/>
    <n v="90.52"/>
    <n v="99.226429380145774"/>
    <n v="111"/>
    <m/>
    <m/>
    <s v="NW"/>
    <s v="MIDDLE"/>
    <s v="LAYAN VILLAS"/>
    <s v="FORTH"/>
    <s v="B"/>
    <n v="0.13"/>
    <n v="2.5000000000000001E-2"/>
    <n v="0.2"/>
    <n v="0.06"/>
    <n v="0.04"/>
    <n v="0.45499999999999996"/>
    <x v="0"/>
    <s v="R 10"/>
    <n v="56100"/>
    <n v="62700"/>
    <n v="6600"/>
    <n v="3002.9999999999995"/>
    <n v="59103"/>
    <n v="19503.990000000002"/>
    <n v="63603"/>
    <n v="66603"/>
    <n v="6560433"/>
    <n v="7059933"/>
    <n v="7392933"/>
    <n v="0"/>
    <n v="557636.80500000005"/>
    <n v="1"/>
    <n v="264000"/>
    <n v="264000"/>
    <n v="6824433"/>
  </r>
  <r>
    <m/>
    <s v="A"/>
    <x v="2"/>
    <x v="0"/>
    <n v="4"/>
    <n v="4"/>
    <x v="59"/>
    <s v="2 BEDROOM"/>
    <x v="0"/>
    <n v="89.12"/>
    <n v="97.691774042847911"/>
    <n v="110"/>
    <m/>
    <m/>
    <s v="SE"/>
    <s v="MIDDLE"/>
    <s v="ROAD 18M (BUILDINGS)"/>
    <s v="FORTH"/>
    <s v="B"/>
    <n v="0.08"/>
    <n v="2.5000000000000001E-2"/>
    <n v="0.15"/>
    <n v="0.06"/>
    <n v="0.04"/>
    <n v="0.35499999999999998"/>
    <x v="0"/>
    <s v="R 1"/>
    <n v="42500"/>
    <n v="47500"/>
    <n v="5000"/>
    <n v="1775"/>
    <n v="44275"/>
    <n v="14610.75"/>
    <n v="48775"/>
    <n v="51775"/>
    <n v="4870250"/>
    <n v="5365250"/>
    <n v="5695250"/>
    <n v="0"/>
    <n v="413971.25000000006"/>
    <n v="1"/>
    <n v="200000"/>
    <n v="200000"/>
    <n v="5070250"/>
  </r>
  <r>
    <s v="A"/>
    <s v="A"/>
    <x v="3"/>
    <x v="1"/>
    <n v="0"/>
    <n v="1"/>
    <x v="60"/>
    <s v="1 BEDROOM (STUDIO)"/>
    <x v="0"/>
    <n v="63.79"/>
    <n v="81.452738123463917"/>
    <n v="78"/>
    <n v="24.682200000000002"/>
    <m/>
    <s v="SE"/>
    <s v="MIDDLE"/>
    <s v="ROAD 18M (BUILDINGS)"/>
    <s v="GROUND"/>
    <s v="A"/>
    <n v="0.08"/>
    <n v="2.5000000000000001E-2"/>
    <n v="0.15"/>
    <n v="0.05"/>
    <n v="0.05"/>
    <n v="0.35499999999999998"/>
    <x v="3"/>
    <s v="RH"/>
    <n v="76850"/>
    <n v="82950"/>
    <n v="6100"/>
    <n v="2165.5"/>
    <n v="79015.5"/>
    <n v="26075.115000000002"/>
    <n v="83515.5"/>
    <n v="86515.5"/>
    <n v="6163209"/>
    <n v="6514209"/>
    <n v="6748209"/>
    <n v="643591.20345300005"/>
    <n v="578578.01729350502"/>
    <n v="1"/>
    <n v="244000"/>
    <n v="244000"/>
    <n v="7050800.2034529997"/>
  </r>
  <r>
    <m/>
    <s v="A"/>
    <x v="3"/>
    <x v="1"/>
    <n v="0"/>
    <n v="2"/>
    <x v="61"/>
    <s v="1 BEDROOM (STUDIO)"/>
    <x v="0"/>
    <n v="63.16"/>
    <n v="80.648298163943892"/>
    <n v="78"/>
    <n v="37.717199999999998"/>
    <m/>
    <s v="NW"/>
    <s v="MIDDLE"/>
    <s v="FENCE"/>
    <s v="GROUND"/>
    <s v="A"/>
    <n v="0.13"/>
    <n v="2.5000000000000001E-2"/>
    <n v="0.1"/>
    <n v="0.05"/>
    <n v="0.05"/>
    <n v="0.35499999999999998"/>
    <x v="3"/>
    <s v="RH"/>
    <n v="76850"/>
    <n v="82950"/>
    <n v="6100"/>
    <n v="2165.5"/>
    <n v="79015.5"/>
    <n v="26075.115000000002"/>
    <n v="83515.5"/>
    <n v="86515.5"/>
    <n v="6163209"/>
    <n v="6514209"/>
    <n v="6748209"/>
    <n v="983480.32747799996"/>
    <n v="607468.59283563006"/>
    <n v="1"/>
    <n v="244000"/>
    <n v="244000"/>
    <n v="7390689.327478"/>
  </r>
  <r>
    <m/>
    <s v="A"/>
    <x v="3"/>
    <x v="1"/>
    <n v="0"/>
    <n v="3"/>
    <x v="62"/>
    <s v="1 BEDROOM (STUDIO)"/>
    <x v="0"/>
    <n v="51.02"/>
    <n v="65.146867832875529"/>
    <n v="63"/>
    <n v="34.889099999999999"/>
    <m/>
    <s v="NW"/>
    <s v="MIDDLE"/>
    <s v="FENCE"/>
    <s v="GROUND"/>
    <s v="A"/>
    <n v="0.13"/>
    <n v="2.5000000000000001E-2"/>
    <n v="0.1"/>
    <n v="0.05"/>
    <n v="0.05"/>
    <n v="0.35499999999999998"/>
    <x v="3"/>
    <s v="RH"/>
    <n v="76850"/>
    <n v="82950"/>
    <n v="6100"/>
    <n v="2165.5"/>
    <n v="79015.5"/>
    <n v="26075.115000000002"/>
    <n v="83515.5"/>
    <n v="86515.5"/>
    <n v="4977976.5"/>
    <n v="5261476.5"/>
    <n v="5450476.5"/>
    <n v="909737.29474650009"/>
    <n v="500455.67255345255"/>
    <n v="1"/>
    <n v="244000"/>
    <n v="244000"/>
    <n v="6131713.7947464995"/>
  </r>
  <r>
    <m/>
    <s v="A"/>
    <x v="3"/>
    <x v="1"/>
    <n v="0"/>
    <n v="4"/>
    <x v="63"/>
    <s v="1 BEDROOM (STUDIO)"/>
    <x v="0"/>
    <n v="68.59"/>
    <n v="87.581804481711714"/>
    <n v="84"/>
    <n v="35.785600000000002"/>
    <m/>
    <s v="NW"/>
    <s v="CORNER "/>
    <s v="FENCE"/>
    <s v="GROUND"/>
    <s v="A"/>
    <n v="0.13"/>
    <n v="0.05"/>
    <n v="0.1"/>
    <n v="0.05"/>
    <n v="0.05"/>
    <n v="0.38"/>
    <x v="3"/>
    <s v="RH"/>
    <n v="76850"/>
    <n v="82950"/>
    <n v="6100"/>
    <n v="2318"/>
    <n v="79168"/>
    <n v="26125.440000000002"/>
    <n v="83668"/>
    <n v="86668"/>
    <n v="6650112"/>
    <n v="7028112"/>
    <n v="7280112"/>
    <n v="934914.54566400009"/>
    <n v="644727.25638144009"/>
    <n v="1"/>
    <n v="244000"/>
    <n v="244000"/>
    <n v="7829026.5456640003"/>
  </r>
  <r>
    <m/>
    <s v="A"/>
    <x v="3"/>
    <x v="1"/>
    <n v="0"/>
    <n v="5"/>
    <x v="64"/>
    <s v="1 BEDROOM (STUDIO)"/>
    <x v="0"/>
    <n v="69.17"/>
    <n v="88.322399999999988"/>
    <n v="85"/>
    <n v="24.142299999999999"/>
    <m/>
    <s v="SE"/>
    <s v="CORNER "/>
    <s v="MAIN GATE &amp; LAKE ENTRANCE"/>
    <s v="GROUND"/>
    <s v="A"/>
    <n v="0.08"/>
    <n v="0.05"/>
    <n v="0.25"/>
    <n v="0.05"/>
    <n v="0.05"/>
    <n v="0.48"/>
    <x v="3"/>
    <s v="RH"/>
    <n v="76850"/>
    <n v="82950"/>
    <n v="6100"/>
    <n v="2928"/>
    <n v="79778"/>
    <n v="26326.74"/>
    <n v="84278"/>
    <n v="87278"/>
    <n v="6781130"/>
    <n v="7163630"/>
    <n v="7418630"/>
    <n v="635588.05510200001"/>
    <n v="630421.03468367003"/>
    <n v="1"/>
    <n v="244000"/>
    <n v="244000"/>
    <n v="7660718.055102"/>
  </r>
  <r>
    <m/>
    <s v="A"/>
    <x v="3"/>
    <x v="1"/>
    <n v="1"/>
    <n v="1"/>
    <x v="65"/>
    <s v="1 BEDROOM (STUDIO)"/>
    <x v="0"/>
    <n v="63.79"/>
    <n v="81.452738123463917"/>
    <n v="78"/>
    <m/>
    <m/>
    <s v="SE"/>
    <s v="MIDDLE"/>
    <s v="ROAD 18M (BUILDINGS)"/>
    <s v="FIRST"/>
    <s v="A"/>
    <n v="0.08"/>
    <n v="2.5000000000000001E-2"/>
    <n v="0.15"/>
    <n v="7.0000000000000007E-2"/>
    <n v="0.05"/>
    <n v="0.375"/>
    <x v="3"/>
    <s v="RH"/>
    <n v="76850"/>
    <n v="82950"/>
    <n v="6100"/>
    <n v="2287.5"/>
    <n v="79137.5"/>
    <n v="26115.375"/>
    <n v="83637.5"/>
    <n v="86637.5"/>
    <n v="6172725"/>
    <n v="6523725"/>
    <n v="6757725"/>
    <n v="0"/>
    <n v="524681.625"/>
    <n v="1"/>
    <n v="244000"/>
    <n v="244000"/>
    <n v="6416725"/>
  </r>
  <r>
    <m/>
    <s v="A"/>
    <x v="3"/>
    <x v="1"/>
    <n v="1"/>
    <n v="2"/>
    <x v="66"/>
    <s v="1 BEDROOM (STUDIO)"/>
    <x v="0"/>
    <n v="62.9"/>
    <n v="80.316307069538809"/>
    <n v="77"/>
    <m/>
    <m/>
    <s v="NW"/>
    <s v="MIDDLE"/>
    <s v="LAYAN VILLAS"/>
    <s v="FIRST"/>
    <s v="A"/>
    <n v="0.13"/>
    <n v="2.5000000000000001E-2"/>
    <n v="0.2"/>
    <n v="7.0000000000000007E-2"/>
    <n v="0.05"/>
    <n v="0.47499999999999998"/>
    <x v="3"/>
    <s v="RH"/>
    <n v="76850"/>
    <n v="82950"/>
    <n v="6100"/>
    <n v="2897.5"/>
    <n v="79747.5"/>
    <n v="26316.675000000003"/>
    <n v="84247.5"/>
    <n v="87247.5"/>
    <n v="6140557.5"/>
    <n v="6487057.5"/>
    <n v="6718057.5"/>
    <n v="0"/>
    <n v="521947.38750000001"/>
    <n v="1"/>
    <n v="244000"/>
    <n v="244000"/>
    <n v="6384557.5"/>
  </r>
  <r>
    <m/>
    <s v="A"/>
    <x v="3"/>
    <x v="1"/>
    <n v="1"/>
    <n v="3"/>
    <x v="67"/>
    <s v="1 BEDROOM (STUDIO)"/>
    <x v="0"/>
    <n v="51.02"/>
    <n v="65.146867832875529"/>
    <n v="63"/>
    <m/>
    <m/>
    <s v="NW"/>
    <s v="MIDDLE"/>
    <s v="LAYAN VILLAS"/>
    <s v="FIRST"/>
    <s v="A"/>
    <n v="0.13"/>
    <n v="2.5000000000000001E-2"/>
    <n v="0.2"/>
    <n v="7.0000000000000007E-2"/>
    <n v="0.05"/>
    <n v="0.47499999999999998"/>
    <x v="3"/>
    <s v="RH"/>
    <n v="76850"/>
    <n v="82950"/>
    <n v="6100"/>
    <n v="2897.5"/>
    <n v="79747.5"/>
    <n v="26316.675000000003"/>
    <n v="84247.5"/>
    <n v="87247.5"/>
    <n v="5024092.5"/>
    <n v="5307592.5"/>
    <n v="5496592.5"/>
    <n v="0"/>
    <n v="427047.86250000005"/>
    <n v="1"/>
    <n v="244000"/>
    <n v="244000"/>
    <n v="5268092.5"/>
  </r>
  <r>
    <m/>
    <s v="A"/>
    <x v="3"/>
    <x v="1"/>
    <n v="1"/>
    <n v="4"/>
    <x v="68"/>
    <s v="1 BEDROOM (STUDIO)"/>
    <x v="0"/>
    <n v="68.59"/>
    <n v="87.581804481711714"/>
    <n v="84"/>
    <m/>
    <m/>
    <s v="NW"/>
    <s v="CORNER "/>
    <s v="LAYAN VILLAS"/>
    <s v="FIRST"/>
    <s v="A"/>
    <n v="0.13"/>
    <n v="0.05"/>
    <n v="0.2"/>
    <n v="7.0000000000000007E-2"/>
    <n v="0.05"/>
    <n v="0.5"/>
    <x v="3"/>
    <s v="RH"/>
    <n v="76850"/>
    <n v="82950"/>
    <n v="6100"/>
    <n v="3050"/>
    <n v="79900"/>
    <n v="26367"/>
    <n v="84400"/>
    <n v="87400"/>
    <n v="6711600"/>
    <n v="7089600"/>
    <n v="7341600"/>
    <n v="0"/>
    <n v="570486"/>
    <n v="1"/>
    <n v="244000"/>
    <n v="244000"/>
    <n v="6955600"/>
  </r>
  <r>
    <m/>
    <s v="A"/>
    <x v="3"/>
    <x v="1"/>
    <n v="1"/>
    <n v="5"/>
    <x v="69"/>
    <s v="1 BEDROOM (STUDIO)"/>
    <x v="0"/>
    <n v="69.17"/>
    <n v="88.322399999999988"/>
    <n v="85"/>
    <m/>
    <m/>
    <s v="SE"/>
    <s v="CORNER "/>
    <s v="MAIN GATE &amp; LAKE ENTRANCE"/>
    <s v="FIRST"/>
    <s v="A"/>
    <n v="0.08"/>
    <n v="0.05"/>
    <n v="0.25"/>
    <n v="7.0000000000000007E-2"/>
    <n v="0.05"/>
    <n v="0.5"/>
    <x v="3"/>
    <s v="RH"/>
    <n v="76850"/>
    <n v="82950"/>
    <n v="6100"/>
    <n v="3050"/>
    <n v="79900"/>
    <n v="26367"/>
    <n v="84400"/>
    <n v="87400"/>
    <n v="6791500"/>
    <n v="7174000"/>
    <n v="7429000"/>
    <n v="0"/>
    <n v="577277.5"/>
    <n v="1"/>
    <n v="244000"/>
    <n v="244000"/>
    <n v="7035500"/>
  </r>
  <r>
    <m/>
    <s v="A"/>
    <x v="3"/>
    <x v="1"/>
    <n v="2"/>
    <n v="1"/>
    <x v="70"/>
    <s v="1 BEDROOM (STUDIO)"/>
    <x v="0"/>
    <n v="63.16"/>
    <n v="80.648298163943892"/>
    <n v="78"/>
    <m/>
    <m/>
    <s v="SE"/>
    <s v="MIDDLE"/>
    <s v="ROAD 18M (BUILDINGS)"/>
    <s v="SECOND"/>
    <s v="A"/>
    <n v="0.08"/>
    <n v="2.5000000000000001E-2"/>
    <n v="0.15"/>
    <n v="0.11"/>
    <n v="0.05"/>
    <n v="0.41499999999999998"/>
    <x v="3"/>
    <s v="RH"/>
    <n v="76850"/>
    <n v="82950"/>
    <n v="6100"/>
    <n v="2531.5"/>
    <n v="79381.5"/>
    <n v="26195.895"/>
    <n v="83881.5"/>
    <n v="86881.5"/>
    <n v="6191757"/>
    <n v="6542757"/>
    <n v="6776757"/>
    <n v="0"/>
    <n v="526299.34500000009"/>
    <n v="1"/>
    <n v="244000"/>
    <n v="244000"/>
    <n v="6435757"/>
  </r>
  <r>
    <m/>
    <s v="A"/>
    <x v="3"/>
    <x v="1"/>
    <n v="2"/>
    <n v="2"/>
    <x v="71"/>
    <s v="1 BEDROOM (STUDIO)"/>
    <x v="0"/>
    <n v="63.11"/>
    <n v="80.584453722712155"/>
    <n v="78"/>
    <m/>
    <m/>
    <s v="NW"/>
    <s v="MIDDLE"/>
    <s v="LAYAN VILLAS"/>
    <s v="SECOND"/>
    <s v="A"/>
    <n v="0.13"/>
    <n v="2.5000000000000001E-2"/>
    <n v="0.2"/>
    <n v="0.11"/>
    <n v="0.05"/>
    <n v="0.51500000000000001"/>
    <x v="3"/>
    <s v="RH"/>
    <n v="76850"/>
    <n v="82950"/>
    <n v="6100"/>
    <n v="3141.5"/>
    <n v="79991.5"/>
    <n v="26397.195"/>
    <n v="84491.5"/>
    <n v="87491.5"/>
    <n v="6239337"/>
    <n v="6590337"/>
    <n v="6824337"/>
    <n v="0"/>
    <n v="530343.64500000002"/>
    <n v="1"/>
    <n v="244000"/>
    <n v="244000"/>
    <n v="6483337"/>
  </r>
  <r>
    <m/>
    <s v="A"/>
    <x v="3"/>
    <x v="1"/>
    <n v="2"/>
    <n v="3"/>
    <x v="72"/>
    <s v="1 BEDROOM (STUDIO)"/>
    <x v="0"/>
    <n v="51.48"/>
    <n v="65.734236692207588"/>
    <n v="63"/>
    <m/>
    <m/>
    <s v="NW"/>
    <s v="MIDDLE"/>
    <s v="LAYAN VILLAS"/>
    <s v="SECOND"/>
    <s v="A"/>
    <n v="0.13"/>
    <n v="2.5000000000000001E-2"/>
    <n v="0.2"/>
    <n v="0.11"/>
    <n v="0.05"/>
    <n v="0.51500000000000001"/>
    <x v="3"/>
    <s v="RH"/>
    <n v="76850"/>
    <n v="82950"/>
    <n v="6100"/>
    <n v="3141.5"/>
    <n v="79991.5"/>
    <n v="26397.195"/>
    <n v="84491.5"/>
    <n v="87491.5"/>
    <n v="5039464.5"/>
    <n v="5322964.5"/>
    <n v="5511964.5"/>
    <n v="0"/>
    <n v="428354.48250000004"/>
    <n v="1"/>
    <n v="244000"/>
    <n v="244000"/>
    <n v="5283464.5"/>
  </r>
  <r>
    <m/>
    <s v="A"/>
    <x v="3"/>
    <x v="1"/>
    <n v="2"/>
    <n v="4"/>
    <x v="73"/>
    <s v="1 BEDROOM (STUDIO)"/>
    <x v="0"/>
    <n v="68.89"/>
    <n v="87.964871129102207"/>
    <n v="85"/>
    <m/>
    <m/>
    <s v="NW"/>
    <s v="CORNER "/>
    <s v="LAYAN VILLAS"/>
    <s v="SECOND"/>
    <s v="A"/>
    <n v="0.13"/>
    <n v="0.05"/>
    <n v="0.2"/>
    <n v="0.11"/>
    <n v="0.05"/>
    <n v="0.54"/>
    <x v="3"/>
    <s v="RH"/>
    <n v="76850"/>
    <n v="82950"/>
    <n v="6100"/>
    <n v="3294"/>
    <n v="80144"/>
    <n v="26447.52"/>
    <n v="84644"/>
    <n v="87644"/>
    <n v="6812240"/>
    <n v="7194740"/>
    <n v="7449740"/>
    <n v="0"/>
    <n v="579040.4"/>
    <n v="1"/>
    <n v="244000"/>
    <n v="244000"/>
    <n v="7056240"/>
  </r>
  <r>
    <m/>
    <s v="A"/>
    <x v="3"/>
    <x v="1"/>
    <n v="2"/>
    <n v="5"/>
    <x v="74"/>
    <s v="1 BEDROOM (STUDIO)"/>
    <x v="0"/>
    <n v="68.91"/>
    <n v="87.990408905594904"/>
    <n v="85"/>
    <m/>
    <m/>
    <s v="SE"/>
    <s v="CORNER "/>
    <s v="MAIN GATE &amp; LAKE ENTRANCE"/>
    <s v="SECOND"/>
    <s v="A"/>
    <n v="0.08"/>
    <n v="0.05"/>
    <n v="0.25"/>
    <n v="0.11"/>
    <n v="0.05"/>
    <n v="0.54"/>
    <x v="3"/>
    <s v="RH"/>
    <n v="76850"/>
    <n v="82950"/>
    <n v="6100"/>
    <n v="3294"/>
    <n v="80144"/>
    <n v="26447.52"/>
    <n v="84644"/>
    <n v="87644"/>
    <n v="6812240"/>
    <n v="7194740"/>
    <n v="7449740"/>
    <n v="0"/>
    <n v="579040.4"/>
    <n v="1"/>
    <n v="244000"/>
    <n v="244000"/>
    <n v="7056240"/>
  </r>
  <r>
    <m/>
    <s v="A"/>
    <x v="3"/>
    <x v="1"/>
    <n v="2"/>
    <n v="6"/>
    <x v="75"/>
    <s v="1 BEDROOM (STUDIO)"/>
    <x v="0"/>
    <n v="51.5"/>
    <n v="65.7597744687003"/>
    <n v="63"/>
    <m/>
    <m/>
    <s v="SE"/>
    <s v="MIDDLE"/>
    <s v="MAIN GATE &amp; LAKE ENTRANCE"/>
    <s v="SECOND"/>
    <s v="A"/>
    <n v="0.08"/>
    <n v="2.5000000000000001E-2"/>
    <n v="0.25"/>
    <n v="0.11"/>
    <n v="0.05"/>
    <n v="0.51500000000000001"/>
    <x v="3"/>
    <s v="RH"/>
    <n v="76850"/>
    <n v="82950"/>
    <n v="6100"/>
    <n v="3141.5"/>
    <n v="79991.5"/>
    <n v="26397.195"/>
    <n v="84491.5"/>
    <n v="87491.5"/>
    <n v="5039464.5"/>
    <n v="5322964.5"/>
    <n v="5511964.5"/>
    <n v="0"/>
    <n v="428354.48250000004"/>
    <n v="1"/>
    <n v="244000"/>
    <n v="244000"/>
    <n v="5283464.5"/>
  </r>
  <r>
    <m/>
    <s v="A"/>
    <x v="3"/>
    <x v="1"/>
    <n v="3"/>
    <n v="1"/>
    <x v="76"/>
    <s v="1 BEDROOM (STUDIO)"/>
    <x v="0"/>
    <n v="62.86"/>
    <n v="80.265231516553413"/>
    <n v="77"/>
    <m/>
    <m/>
    <s v="SE"/>
    <s v="MIDDLE"/>
    <s v="ROAD 18M (BUILDINGS)"/>
    <s v="THIRD"/>
    <s v="A"/>
    <n v="0.08"/>
    <n v="2.5000000000000001E-2"/>
    <n v="0.15"/>
    <n v="0.15"/>
    <n v="0.05"/>
    <n v="0.45500000000000002"/>
    <x v="3"/>
    <s v="RH"/>
    <n v="76850"/>
    <n v="82950"/>
    <n v="6100"/>
    <n v="2775.5"/>
    <n v="79625.5"/>
    <n v="26276.415000000001"/>
    <n v="84125.5"/>
    <n v="87125.5"/>
    <n v="6131163.5"/>
    <n v="6477663.5"/>
    <n v="6708663.5"/>
    <n v="0"/>
    <n v="521148.89750000002"/>
    <n v="1"/>
    <n v="244000"/>
    <n v="244000"/>
    <n v="6375163.5"/>
  </r>
  <r>
    <m/>
    <s v="A"/>
    <x v="3"/>
    <x v="1"/>
    <n v="3"/>
    <n v="2"/>
    <x v="77"/>
    <s v="1 BEDROOM (STUDIO)"/>
    <x v="0"/>
    <n v="62.84"/>
    <n v="80.239693740060716"/>
    <n v="77"/>
    <m/>
    <m/>
    <s v="NW"/>
    <s v="MIDDLE"/>
    <s v="LAYAN VILLAS"/>
    <s v="THIRD"/>
    <s v="A"/>
    <n v="0.13"/>
    <n v="2.5000000000000001E-2"/>
    <n v="0.2"/>
    <n v="0.15"/>
    <n v="0.05"/>
    <n v="0.55500000000000005"/>
    <x v="3"/>
    <s v="RH"/>
    <n v="76850"/>
    <n v="82950"/>
    <n v="6100"/>
    <n v="3385.5000000000005"/>
    <n v="80235.5"/>
    <n v="26477.715"/>
    <n v="84735.5"/>
    <n v="87735.5"/>
    <n v="6178133.5"/>
    <n v="6524633.5"/>
    <n v="6755633.5"/>
    <n v="0"/>
    <n v="525141.34750000003"/>
    <n v="1"/>
    <n v="244000"/>
    <n v="244000"/>
    <n v="6422133.5"/>
  </r>
  <r>
    <m/>
    <s v="A"/>
    <x v="3"/>
    <x v="1"/>
    <n v="3"/>
    <n v="3"/>
    <x v="78"/>
    <s v="1 BEDROOM (STUDIO)"/>
    <x v="0"/>
    <n v="50.89"/>
    <n v="64.980872285672973"/>
    <n v="63"/>
    <m/>
    <m/>
    <s v="NW"/>
    <s v="MIDDLE"/>
    <s v="LAYAN VILLAS"/>
    <s v="THIRD"/>
    <s v="A"/>
    <n v="0.13"/>
    <n v="2.5000000000000001E-2"/>
    <n v="0.2"/>
    <n v="0.15"/>
    <n v="0.05"/>
    <n v="0.55500000000000005"/>
    <x v="3"/>
    <s v="RH"/>
    <n v="76850"/>
    <n v="82950"/>
    <n v="6100"/>
    <n v="3385.5000000000005"/>
    <n v="80235.5"/>
    <n v="26477.715"/>
    <n v="84735.5"/>
    <n v="87735.5"/>
    <n v="5054836.5"/>
    <n v="5338336.5"/>
    <n v="5527336.5"/>
    <n v="0"/>
    <n v="429661.10250000004"/>
    <n v="1"/>
    <n v="244000"/>
    <n v="244000"/>
    <n v="5298836.5"/>
  </r>
  <r>
    <m/>
    <s v="A"/>
    <x v="3"/>
    <x v="1"/>
    <n v="3"/>
    <n v="4"/>
    <x v="79"/>
    <s v="1 BEDROOM (STUDIO)"/>
    <x v="0"/>
    <n v="68.599999999999994"/>
    <n v="87.594573369958056"/>
    <n v="84"/>
    <m/>
    <m/>
    <s v="NW"/>
    <s v="CORNER "/>
    <s v="LAYAN VILLAS"/>
    <s v="THIRD"/>
    <s v="A"/>
    <n v="0.13"/>
    <n v="0.05"/>
    <n v="0.2"/>
    <n v="0.15"/>
    <n v="0.05"/>
    <n v="0.58000000000000007"/>
    <x v="3"/>
    <s v="RH"/>
    <n v="76850"/>
    <n v="82950"/>
    <n v="6100"/>
    <n v="3538.0000000000005"/>
    <n v="80388"/>
    <n v="26528.04"/>
    <n v="84888"/>
    <n v="87888"/>
    <n v="6752592"/>
    <n v="7130592"/>
    <n v="7382592"/>
    <n v="0"/>
    <n v="573970.32000000007"/>
    <n v="1"/>
    <n v="244000"/>
    <n v="244000"/>
    <n v="6996592"/>
  </r>
  <r>
    <m/>
    <s v="A"/>
    <x v="3"/>
    <x v="1"/>
    <n v="3"/>
    <n v="5"/>
    <x v="80"/>
    <s v="1 BEDROOM (STUDIO)"/>
    <x v="0"/>
    <n v="68.62"/>
    <n v="87.620111146450768"/>
    <n v="84"/>
    <m/>
    <m/>
    <s v="SE"/>
    <s v="CORNER "/>
    <s v="MAIN GATE &amp; LAKE ENTRANCE"/>
    <s v="THIRD"/>
    <s v="A"/>
    <n v="0.08"/>
    <n v="0.05"/>
    <n v="0.25"/>
    <n v="0.15"/>
    <n v="0.05"/>
    <n v="0.58000000000000007"/>
    <x v="3"/>
    <s v="RH"/>
    <n v="76850"/>
    <n v="82950"/>
    <n v="6100"/>
    <n v="3538.0000000000005"/>
    <n v="80388"/>
    <n v="26528.04"/>
    <n v="84888"/>
    <n v="87888"/>
    <n v="6752592"/>
    <n v="7130592"/>
    <n v="7382592"/>
    <n v="0"/>
    <n v="573970.32000000007"/>
    <n v="1"/>
    <n v="244000"/>
    <n v="244000"/>
    <n v="6996592"/>
  </r>
  <r>
    <m/>
    <s v="A"/>
    <x v="3"/>
    <x v="1"/>
    <n v="3"/>
    <n v="6"/>
    <x v="81"/>
    <s v="1 BEDROOM (STUDIO)"/>
    <x v="0"/>
    <n v="50.89"/>
    <n v="64.980872285672973"/>
    <n v="63"/>
    <m/>
    <m/>
    <s v="SE"/>
    <s v="MIDDLE"/>
    <s v="MAIN GATE &amp; LAKE ENTRANCE"/>
    <s v="THIRD"/>
    <s v="A"/>
    <n v="0.08"/>
    <n v="2.5000000000000001E-2"/>
    <n v="0.25"/>
    <n v="0.15"/>
    <n v="0.05"/>
    <n v="0.55500000000000005"/>
    <x v="3"/>
    <s v="RH"/>
    <n v="76850"/>
    <n v="82950"/>
    <n v="6100"/>
    <n v="3385.5000000000005"/>
    <n v="80235.5"/>
    <n v="26477.715"/>
    <n v="84735.5"/>
    <n v="87735.5"/>
    <n v="5054836.5"/>
    <n v="5338336.5"/>
    <n v="5527336.5"/>
    <n v="0"/>
    <n v="429661.10250000004"/>
    <n v="1"/>
    <n v="244000"/>
    <n v="244000"/>
    <n v="5298836.5"/>
  </r>
  <r>
    <m/>
    <s v="A"/>
    <x v="3"/>
    <x v="1"/>
    <n v="4"/>
    <n v="1"/>
    <x v="82"/>
    <s v="1 BEDROOM (STUDIO)"/>
    <x v="0"/>
    <n v="62.97"/>
    <n v="80.405689287263257"/>
    <n v="77"/>
    <m/>
    <m/>
    <s v="SE"/>
    <s v="MIDDLE"/>
    <s v="ROAD 18M (BUILDINGS)"/>
    <s v="FORTH"/>
    <s v="A"/>
    <n v="0.08"/>
    <n v="2.5000000000000001E-2"/>
    <n v="0.15"/>
    <n v="0.06"/>
    <n v="0.05"/>
    <n v="0.36499999999999999"/>
    <x v="3"/>
    <s v="RH"/>
    <n v="76850"/>
    <n v="82950"/>
    <n v="6100"/>
    <n v="2226.5"/>
    <n v="79076.5"/>
    <n v="26095.245000000003"/>
    <n v="83576.5"/>
    <n v="86576.5"/>
    <n v="6088890.5"/>
    <n v="6435390.5"/>
    <n v="6666390.5"/>
    <n v="0"/>
    <n v="517555.69250000006"/>
    <n v="1"/>
    <n v="244000"/>
    <n v="244000"/>
    <n v="6332890.5"/>
  </r>
  <r>
    <m/>
    <s v="A"/>
    <x v="3"/>
    <x v="1"/>
    <n v="4"/>
    <n v="2"/>
    <x v="83"/>
    <s v="1 BEDROOM (STUDIO)"/>
    <x v="0"/>
    <n v="62.97"/>
    <n v="80.405689287263257"/>
    <n v="77"/>
    <m/>
    <m/>
    <s v="NW"/>
    <s v="MIDDLE"/>
    <s v="LAYAN VILLAS"/>
    <s v="FORTH"/>
    <s v="A"/>
    <n v="0.13"/>
    <n v="2.5000000000000001E-2"/>
    <n v="0.2"/>
    <n v="0.06"/>
    <n v="0.05"/>
    <n v="0.46499999999999997"/>
    <x v="3"/>
    <s v="RH"/>
    <n v="76850"/>
    <n v="82950"/>
    <n v="6100"/>
    <n v="2836.5"/>
    <n v="79686.5"/>
    <n v="26296.545000000002"/>
    <n v="84186.5"/>
    <n v="87186.5"/>
    <n v="6135860.5"/>
    <n v="6482360.5"/>
    <n v="6713360.5"/>
    <n v="0"/>
    <n v="521548.14250000002"/>
    <n v="1"/>
    <n v="244000"/>
    <n v="244000"/>
    <n v="6379860.5"/>
  </r>
  <r>
    <m/>
    <s v="A"/>
    <x v="3"/>
    <x v="1"/>
    <n v="4"/>
    <n v="3"/>
    <x v="84"/>
    <s v="1 BEDROOM (STUDIO)"/>
    <x v="0"/>
    <n v="51.5"/>
    <n v="65.7597744687003"/>
    <n v="63"/>
    <m/>
    <m/>
    <s v="NW"/>
    <s v="MIDDLE"/>
    <s v="LAYAN VILLAS"/>
    <s v="FORTH"/>
    <s v="A"/>
    <n v="0.13"/>
    <n v="2.5000000000000001E-2"/>
    <n v="0.2"/>
    <n v="0.06"/>
    <n v="0.05"/>
    <n v="0.46499999999999997"/>
    <x v="3"/>
    <s v="RH"/>
    <n v="76850"/>
    <n v="82950"/>
    <n v="6100"/>
    <n v="2836.5"/>
    <n v="79686.5"/>
    <n v="26296.545000000002"/>
    <n v="84186.5"/>
    <n v="87186.5"/>
    <n v="5020249.5"/>
    <n v="5303749.5"/>
    <n v="5492749.5"/>
    <n v="0"/>
    <n v="426721.20750000002"/>
    <n v="1"/>
    <n v="244000"/>
    <n v="244000"/>
    <n v="5264249.5"/>
  </r>
  <r>
    <m/>
    <s v="A"/>
    <x v="3"/>
    <x v="1"/>
    <n v="4"/>
    <n v="4"/>
    <x v="85"/>
    <s v="1 BEDROOM (STUDIO)"/>
    <x v="0"/>
    <n v="68.680000000000007"/>
    <n v="87.696724475928875"/>
    <n v="84"/>
    <m/>
    <m/>
    <s v="NW"/>
    <s v="CORNER "/>
    <s v="LAYAN VILLAS"/>
    <s v="FORTH"/>
    <s v="A"/>
    <n v="0.13"/>
    <n v="0.05"/>
    <n v="0.2"/>
    <n v="0.06"/>
    <n v="0.05"/>
    <n v="0.49"/>
    <x v="3"/>
    <s v="RH"/>
    <n v="76850"/>
    <n v="82950"/>
    <n v="6100"/>
    <n v="2989"/>
    <n v="79839"/>
    <n v="26346.870000000003"/>
    <n v="84339"/>
    <n v="87339"/>
    <n v="6706476"/>
    <n v="7084476"/>
    <n v="7336476"/>
    <n v="0"/>
    <n v="570050.46000000008"/>
    <n v="1"/>
    <n v="244000"/>
    <n v="244000"/>
    <n v="6950476"/>
  </r>
  <r>
    <m/>
    <s v="A"/>
    <x v="3"/>
    <x v="1"/>
    <n v="4"/>
    <n v="5"/>
    <x v="86"/>
    <s v="1 BEDROOM (STUDIO)"/>
    <x v="0"/>
    <n v="68.680000000000007"/>
    <n v="87.696724475928875"/>
    <n v="84"/>
    <m/>
    <m/>
    <s v="SE"/>
    <s v="CORNER "/>
    <s v="MAIN GATE &amp; LAKE ENTRANCE"/>
    <s v="FORTH"/>
    <s v="A"/>
    <n v="0.08"/>
    <n v="0.05"/>
    <n v="0.25"/>
    <n v="0.06"/>
    <n v="0.05"/>
    <n v="0.49"/>
    <x v="3"/>
    <s v="RH"/>
    <n v="76850"/>
    <n v="82950"/>
    <n v="6100"/>
    <n v="2989"/>
    <n v="79839"/>
    <n v="26346.870000000003"/>
    <n v="84339"/>
    <n v="87339"/>
    <n v="6706476"/>
    <n v="7084476"/>
    <n v="7336476"/>
    <n v="0"/>
    <n v="570050.46000000008"/>
    <n v="1"/>
    <n v="244000"/>
    <n v="244000"/>
    <n v="6950476"/>
  </r>
  <r>
    <m/>
    <s v="A"/>
    <x v="3"/>
    <x v="1"/>
    <n v="4"/>
    <n v="6"/>
    <x v="87"/>
    <s v="1 BEDROOM (STUDIO)"/>
    <x v="0"/>
    <n v="51.5"/>
    <n v="65.7597744687003"/>
    <n v="63"/>
    <m/>
    <m/>
    <s v="SE"/>
    <s v="MIDDLE"/>
    <s v="MAIN GATE &amp; LAKE ENTRANCE"/>
    <s v="FORTH"/>
    <s v="A"/>
    <n v="0.08"/>
    <n v="2.5000000000000001E-2"/>
    <n v="0.25"/>
    <n v="0.06"/>
    <n v="0.05"/>
    <n v="0.46499999999999997"/>
    <x v="3"/>
    <s v="RH"/>
    <n v="76850"/>
    <n v="82950"/>
    <n v="6100"/>
    <n v="2836.5"/>
    <n v="79686.5"/>
    <n v="26296.545000000002"/>
    <n v="84186.5"/>
    <n v="87186.5"/>
    <n v="5020249.5"/>
    <n v="5303749.5"/>
    <n v="5492749.5"/>
    <n v="0"/>
    <n v="426721.20750000002"/>
    <n v="1"/>
    <n v="244000"/>
    <n v="244000"/>
    <n v="5264249.5"/>
  </r>
  <r>
    <s v="A'"/>
    <s v="A"/>
    <x v="4"/>
    <x v="1"/>
    <n v="0"/>
    <n v="1"/>
    <x v="88"/>
    <s v="1 BEDROOM (STUDIO)"/>
    <x v="0"/>
    <n v="69.17"/>
    <n v="88.322399999999988"/>
    <n v="85"/>
    <n v="24.4619"/>
    <m/>
    <s v="NE"/>
    <s v="CORNER "/>
    <s v="MAIN GATE &amp; LAKE ENTRANCE"/>
    <s v="GROUND"/>
    <s v="A"/>
    <n v="0.15"/>
    <n v="0.05"/>
    <n v="0.25"/>
    <n v="0.05"/>
    <n v="0.05"/>
    <n v="0.55000000000000004"/>
    <x v="3"/>
    <s v="RH"/>
    <n v="76850"/>
    <n v="82950"/>
    <n v="6100"/>
    <n v="3355.0000000000005"/>
    <n v="80205"/>
    <n v="26467.65"/>
    <n v="84705"/>
    <n v="87705"/>
    <n v="6817425"/>
    <n v="7199925"/>
    <n v="7454925"/>
    <n v="647449.00753499998"/>
    <n v="634514.29064047511"/>
    <n v="1"/>
    <n v="244000"/>
    <n v="244000"/>
    <n v="7708874.0075350003"/>
  </r>
  <r>
    <m/>
    <s v="A"/>
    <x v="4"/>
    <x v="1"/>
    <n v="0"/>
    <n v="2"/>
    <x v="89"/>
    <s v="1 BEDROOM (STUDIO)"/>
    <x v="0"/>
    <n v="68.59"/>
    <n v="87.581804481711714"/>
    <n v="84"/>
    <n v="35.785600000000002"/>
    <m/>
    <s v="SW"/>
    <s v="CORNER "/>
    <s v="FENCE"/>
    <s v="GROUND"/>
    <s v="A"/>
    <n v="0.06"/>
    <n v="0.05"/>
    <n v="0.1"/>
    <n v="0.05"/>
    <n v="0.05"/>
    <n v="0.31"/>
    <x v="3"/>
    <s v="RH"/>
    <n v="76850"/>
    <n v="82950"/>
    <n v="6100"/>
    <n v="1891"/>
    <n v="78741"/>
    <n v="25984.530000000002"/>
    <n v="83241"/>
    <n v="86241"/>
    <n v="6614244"/>
    <n v="6992244"/>
    <n v="7244244"/>
    <n v="929871.99676800019"/>
    <n v="641249.85972528008"/>
    <n v="1"/>
    <n v="244000"/>
    <n v="244000"/>
    <n v="7788115.9967679996"/>
  </r>
  <r>
    <m/>
    <s v="A"/>
    <x v="4"/>
    <x v="1"/>
    <n v="0"/>
    <n v="3"/>
    <x v="90"/>
    <s v="1 BEDROOM (STUDIO)"/>
    <x v="0"/>
    <n v="51.02"/>
    <n v="65.146867832875529"/>
    <n v="63"/>
    <n v="34.889099999999999"/>
    <m/>
    <s v="SW"/>
    <s v="MIDDLE"/>
    <s v="FENCE"/>
    <s v="GROUND"/>
    <s v="A"/>
    <n v="0.06"/>
    <n v="2.5000000000000001E-2"/>
    <n v="0.1"/>
    <n v="0.05"/>
    <n v="0.05"/>
    <n v="0.28499999999999998"/>
    <x v="3"/>
    <s v="RH"/>
    <n v="76850"/>
    <n v="82950"/>
    <n v="6100"/>
    <n v="1738.4999999999998"/>
    <n v="78588.5"/>
    <n v="25934.205000000002"/>
    <n v="83088.5"/>
    <n v="86088.5"/>
    <n v="4951075.5"/>
    <n v="5234575.5"/>
    <n v="5423575.5"/>
    <n v="904821.07166550006"/>
    <n v="497751.20859156759"/>
    <n v="1"/>
    <n v="244000"/>
    <n v="244000"/>
    <n v="6099896.5716655003"/>
  </r>
  <r>
    <m/>
    <s v="A"/>
    <x v="4"/>
    <x v="1"/>
    <n v="0"/>
    <n v="4"/>
    <x v="91"/>
    <s v="1 BEDROOM (STUDIO)"/>
    <x v="0"/>
    <n v="63.16"/>
    <n v="80.648298163943892"/>
    <n v="78"/>
    <n v="37.717199999999998"/>
    <m/>
    <s v="SW"/>
    <s v="MIDDLE"/>
    <s v="FENCE"/>
    <s v="GROUND"/>
    <s v="A"/>
    <n v="0.06"/>
    <n v="2.5000000000000001E-2"/>
    <n v="0.1"/>
    <n v="0.05"/>
    <n v="0.05"/>
    <n v="0.28499999999999998"/>
    <x v="3"/>
    <s v="RH"/>
    <n v="76850"/>
    <n v="82950"/>
    <n v="6100"/>
    <n v="1738.4999999999998"/>
    <n v="78588.5"/>
    <n v="25934.205000000002"/>
    <n v="83088.5"/>
    <n v="86088.5"/>
    <n v="6129903"/>
    <n v="6480903"/>
    <n v="6714903"/>
    <n v="978165.59682600002"/>
    <n v="604185.83073021006"/>
    <n v="1"/>
    <n v="244000"/>
    <n v="244000"/>
    <n v="7352068.5968260001"/>
  </r>
  <r>
    <m/>
    <s v="A"/>
    <x v="4"/>
    <x v="1"/>
    <n v="0"/>
    <n v="5"/>
    <x v="92"/>
    <s v="1 BEDROOM (STUDIO)"/>
    <x v="0"/>
    <n v="63.79"/>
    <n v="81.452738123463917"/>
    <n v="78"/>
    <n v="24.668800000000001"/>
    <m/>
    <s v="NE"/>
    <s v="MIDDLE"/>
    <s v="ROAD 18M (BUILDINGS)"/>
    <s v="GROUND"/>
    <s v="A"/>
    <n v="0.15"/>
    <n v="2.5000000000000001E-2"/>
    <n v="0.15"/>
    <n v="0.05"/>
    <n v="0.05"/>
    <n v="0.42499999999999993"/>
    <x v="3"/>
    <s v="RH"/>
    <n v="76850"/>
    <n v="82950"/>
    <n v="6100"/>
    <n v="2592.4999999999995"/>
    <n v="79442.5"/>
    <n v="26216.025000000001"/>
    <n v="83942.5"/>
    <n v="86942.5"/>
    <n v="6196515"/>
    <n v="6547515"/>
    <n v="6781515"/>
    <n v="646717.8775200001"/>
    <n v="581674.79458920006"/>
    <n v="1"/>
    <n v="244000"/>
    <n v="244000"/>
    <n v="7087232.8775200006"/>
  </r>
  <r>
    <m/>
    <s v="A"/>
    <x v="4"/>
    <x v="1"/>
    <n v="1"/>
    <n v="1"/>
    <x v="93"/>
    <s v="1 BEDROOM (STUDIO)"/>
    <x v="0"/>
    <n v="69.17"/>
    <n v="88.322399999999988"/>
    <n v="85"/>
    <m/>
    <m/>
    <s v="NE"/>
    <s v="CORNER "/>
    <s v="MAIN GATE &amp; LAKE ENTRANCE"/>
    <s v="FIRST"/>
    <s v="A"/>
    <n v="0.15"/>
    <n v="0.05"/>
    <n v="0.25"/>
    <n v="7.0000000000000007E-2"/>
    <n v="0.05"/>
    <n v="0.57000000000000006"/>
    <x v="3"/>
    <s v="RH"/>
    <n v="76850"/>
    <n v="82950"/>
    <n v="6100"/>
    <n v="3477.0000000000005"/>
    <n v="80327"/>
    <n v="26507.91"/>
    <n v="84827"/>
    <n v="87827"/>
    <n v="6827795"/>
    <n v="7210295"/>
    <n v="7465295"/>
    <n v="0"/>
    <n v="580362.57500000007"/>
    <n v="1"/>
    <n v="244000"/>
    <n v="244000"/>
    <n v="7071795"/>
  </r>
  <r>
    <m/>
    <s v="A"/>
    <x v="4"/>
    <x v="1"/>
    <n v="1"/>
    <n v="2"/>
    <x v="94"/>
    <s v="1 BEDROOM (STUDIO)"/>
    <x v="0"/>
    <n v="68.59"/>
    <n v="87.581804481711714"/>
    <n v="84"/>
    <m/>
    <m/>
    <s v="SW"/>
    <s v="CORNER "/>
    <s v="LAYAN VILLAS"/>
    <s v="FIRST"/>
    <s v="A"/>
    <n v="0.06"/>
    <n v="0.05"/>
    <n v="0.2"/>
    <n v="7.0000000000000007E-2"/>
    <n v="0.05"/>
    <n v="0.43"/>
    <x v="3"/>
    <s v="RH"/>
    <n v="76850"/>
    <n v="82950"/>
    <n v="6100"/>
    <n v="2623"/>
    <n v="79473"/>
    <n v="26226.09"/>
    <n v="83973"/>
    <n v="86973"/>
    <n v="6675732"/>
    <n v="7053732"/>
    <n v="7305732"/>
    <n v="0"/>
    <n v="567437.22000000009"/>
    <n v="1"/>
    <n v="244000"/>
    <n v="244000"/>
    <n v="6919732"/>
  </r>
  <r>
    <m/>
    <s v="A"/>
    <x v="4"/>
    <x v="1"/>
    <n v="1"/>
    <n v="3"/>
    <x v="95"/>
    <s v="1 BEDROOM (STUDIO)"/>
    <x v="0"/>
    <n v="51.02"/>
    <n v="65.146867832875529"/>
    <n v="63"/>
    <m/>
    <m/>
    <s v="SW"/>
    <s v="MIDDLE"/>
    <s v="LAYAN VILLAS"/>
    <s v="FIRST"/>
    <s v="A"/>
    <n v="0.06"/>
    <n v="2.5000000000000001E-2"/>
    <n v="0.2"/>
    <n v="7.0000000000000007E-2"/>
    <n v="0.05"/>
    <n v="0.40500000000000003"/>
    <x v="3"/>
    <s v="RH"/>
    <n v="76850"/>
    <n v="82950"/>
    <n v="6100"/>
    <n v="2470.5"/>
    <n v="79320.5"/>
    <n v="26175.764999999999"/>
    <n v="83820.5"/>
    <n v="86820.5"/>
    <n v="4997191.5"/>
    <n v="5280691.5"/>
    <n v="5469691.5"/>
    <n v="0"/>
    <n v="424761.27750000003"/>
    <n v="1"/>
    <n v="244000"/>
    <n v="244000"/>
    <n v="5241191.5"/>
  </r>
  <r>
    <m/>
    <s v="A"/>
    <x v="4"/>
    <x v="1"/>
    <n v="1"/>
    <n v="4"/>
    <x v="96"/>
    <s v="1 BEDROOM (STUDIO)"/>
    <x v="0"/>
    <n v="62.9"/>
    <n v="80.316307069538809"/>
    <n v="77"/>
    <m/>
    <m/>
    <s v="SW"/>
    <s v="MIDDLE"/>
    <s v="LAYAN VILLAS"/>
    <s v="FIRST"/>
    <s v="A"/>
    <n v="0.06"/>
    <n v="2.5000000000000001E-2"/>
    <n v="0.2"/>
    <n v="7.0000000000000007E-2"/>
    <n v="0.05"/>
    <n v="0.40500000000000003"/>
    <x v="3"/>
    <s v="RH"/>
    <n v="76850"/>
    <n v="82950"/>
    <n v="6100"/>
    <n v="2470.5"/>
    <n v="79320.5"/>
    <n v="26175.764999999999"/>
    <n v="83820.5"/>
    <n v="86820.5"/>
    <n v="6107678.5"/>
    <n v="6454178.5"/>
    <n v="6685178.5"/>
    <n v="0"/>
    <n v="519152.67250000004"/>
    <n v="1"/>
    <n v="244000"/>
    <n v="244000"/>
    <n v="6351678.5"/>
  </r>
  <r>
    <m/>
    <s v="A"/>
    <x v="4"/>
    <x v="1"/>
    <n v="1"/>
    <n v="5"/>
    <x v="97"/>
    <s v="1 BEDROOM (STUDIO)"/>
    <x v="0"/>
    <n v="63.79"/>
    <n v="81.452738123463917"/>
    <n v="78"/>
    <m/>
    <m/>
    <s v="NE"/>
    <s v="MIDDLE"/>
    <s v="ROAD 18M (BUILDINGS)"/>
    <s v="FIRST"/>
    <s v="A"/>
    <n v="0.15"/>
    <n v="2.5000000000000001E-2"/>
    <n v="0.15"/>
    <n v="7.0000000000000007E-2"/>
    <n v="0.05"/>
    <n v="0.44499999999999995"/>
    <x v="3"/>
    <s v="RH"/>
    <n v="76850"/>
    <n v="82950"/>
    <n v="6100"/>
    <n v="2714.4999999999995"/>
    <n v="79564.5"/>
    <n v="26256.285"/>
    <n v="84064.5"/>
    <n v="87064.5"/>
    <n v="6206031"/>
    <n v="6557031"/>
    <n v="6791031"/>
    <n v="0"/>
    <n v="527512.63500000001"/>
    <n v="1"/>
    <n v="244000"/>
    <n v="244000"/>
    <n v="6450031"/>
  </r>
  <r>
    <m/>
    <s v="A"/>
    <x v="4"/>
    <x v="1"/>
    <n v="2"/>
    <n v="1"/>
    <x v="98"/>
    <s v="1 BEDROOM (STUDIO)"/>
    <x v="0"/>
    <n v="68.91"/>
    <n v="87.990408905594904"/>
    <n v="85"/>
    <m/>
    <m/>
    <s v="NE"/>
    <s v="CORNER "/>
    <s v="MAIN GATE &amp; LAKE ENTRANCE"/>
    <s v="SECOND"/>
    <s v="A"/>
    <n v="0.15"/>
    <n v="0.05"/>
    <n v="0.25"/>
    <n v="0.11"/>
    <n v="0.05"/>
    <n v="0.6100000000000001"/>
    <x v="3"/>
    <s v="RH"/>
    <n v="76850"/>
    <n v="82950"/>
    <n v="6100"/>
    <n v="3721.0000000000005"/>
    <n v="80571"/>
    <n v="26588.43"/>
    <n v="85071"/>
    <n v="88071"/>
    <n v="6848535"/>
    <n v="7231035"/>
    <n v="7486035"/>
    <n v="0"/>
    <n v="582125.47500000009"/>
    <n v="1"/>
    <n v="244000"/>
    <n v="244000"/>
    <n v="7092535"/>
  </r>
  <r>
    <m/>
    <s v="A"/>
    <x v="4"/>
    <x v="1"/>
    <n v="2"/>
    <n v="2"/>
    <x v="99"/>
    <s v="1 BEDROOM (STUDIO)"/>
    <x v="0"/>
    <n v="68.89"/>
    <n v="87.964871129102207"/>
    <n v="85"/>
    <m/>
    <m/>
    <s v="SW"/>
    <s v="CORNER "/>
    <s v="LAYAN VILLAS"/>
    <s v="SECOND"/>
    <s v="A"/>
    <n v="0.06"/>
    <n v="0.05"/>
    <n v="0.2"/>
    <n v="0.11"/>
    <n v="0.05"/>
    <n v="0.47"/>
    <x v="3"/>
    <s v="RH"/>
    <n v="76850"/>
    <n v="82950"/>
    <n v="6100"/>
    <n v="2867"/>
    <n v="79717"/>
    <n v="26306.61"/>
    <n v="84217"/>
    <n v="87217"/>
    <n v="6775945"/>
    <n v="7158445"/>
    <n v="7413445"/>
    <n v="0"/>
    <n v="575955.32500000007"/>
    <n v="1"/>
    <n v="244000"/>
    <n v="244000"/>
    <n v="7019945"/>
  </r>
  <r>
    <m/>
    <s v="A"/>
    <x v="4"/>
    <x v="1"/>
    <n v="2"/>
    <n v="3"/>
    <x v="100"/>
    <s v="1 BEDROOM (STUDIO)"/>
    <x v="0"/>
    <n v="51.48"/>
    <n v="65.734236692207588"/>
    <n v="63"/>
    <m/>
    <m/>
    <s v="SW"/>
    <s v="MIDDLE"/>
    <s v="LAYAN VILLAS"/>
    <s v="SECOND"/>
    <s v="A"/>
    <n v="0.06"/>
    <n v="2.5000000000000001E-2"/>
    <n v="0.2"/>
    <n v="0.11"/>
    <n v="0.05"/>
    <n v="0.44500000000000001"/>
    <x v="3"/>
    <s v="RH"/>
    <n v="76850"/>
    <n v="82950"/>
    <n v="6100"/>
    <n v="2714.5"/>
    <n v="79564.5"/>
    <n v="26256.285"/>
    <n v="84064.5"/>
    <n v="87064.5"/>
    <n v="5012563.5"/>
    <n v="5296063.5"/>
    <n v="5485063.5"/>
    <n v="0"/>
    <n v="426067.89750000002"/>
    <n v="1"/>
    <n v="244000"/>
    <n v="244000"/>
    <n v="5256563.5"/>
  </r>
  <r>
    <m/>
    <s v="A"/>
    <x v="4"/>
    <x v="1"/>
    <n v="2"/>
    <n v="4"/>
    <x v="101"/>
    <s v="1 BEDROOM (STUDIO)"/>
    <x v="0"/>
    <n v="63.11"/>
    <n v="80.584453722712155"/>
    <n v="78"/>
    <m/>
    <m/>
    <s v="SW"/>
    <s v="MIDDLE"/>
    <s v="LAYAN VILLAS"/>
    <s v="SECOND"/>
    <s v="A"/>
    <n v="0.06"/>
    <n v="2.5000000000000001E-2"/>
    <n v="0.2"/>
    <n v="0.11"/>
    <n v="0.05"/>
    <n v="0.44500000000000001"/>
    <x v="3"/>
    <s v="RH"/>
    <n v="76850"/>
    <n v="82950"/>
    <n v="6100"/>
    <n v="2714.5"/>
    <n v="79564.5"/>
    <n v="26256.285"/>
    <n v="84064.5"/>
    <n v="87064.5"/>
    <n v="6206031"/>
    <n v="6557031"/>
    <n v="6791031"/>
    <n v="0"/>
    <n v="527512.63500000001"/>
    <n v="1"/>
    <n v="244000"/>
    <n v="244000"/>
    <n v="6450031"/>
  </r>
  <r>
    <m/>
    <s v="A"/>
    <x v="4"/>
    <x v="1"/>
    <n v="2"/>
    <n v="5"/>
    <x v="102"/>
    <s v="1 BEDROOM (STUDIO)"/>
    <x v="0"/>
    <n v="63.16"/>
    <n v="80.648298163943892"/>
    <n v="78"/>
    <m/>
    <m/>
    <s v="NE"/>
    <s v="MIDDLE"/>
    <s v="ROAD 18M (BUILDINGS)"/>
    <s v="SECOND"/>
    <s v="A"/>
    <n v="0.15"/>
    <n v="2.5000000000000001E-2"/>
    <n v="0.15"/>
    <n v="0.11"/>
    <n v="0.05"/>
    <n v="0.48499999999999993"/>
    <x v="3"/>
    <s v="RH"/>
    <n v="76850"/>
    <n v="82950"/>
    <n v="6100"/>
    <n v="2958.4999999999995"/>
    <n v="79808.5"/>
    <n v="26336.805"/>
    <n v="84308.5"/>
    <n v="87308.5"/>
    <n v="6225063"/>
    <n v="6576063"/>
    <n v="6810063"/>
    <n v="0"/>
    <n v="529130.35499999998"/>
    <n v="1"/>
    <n v="244000"/>
    <n v="244000"/>
    <n v="6469063"/>
  </r>
  <r>
    <m/>
    <s v="A"/>
    <x v="4"/>
    <x v="1"/>
    <n v="2"/>
    <n v="6"/>
    <x v="103"/>
    <s v="1 BEDROOM (STUDIO)"/>
    <x v="0"/>
    <n v="51.5"/>
    <n v="65.7597744687003"/>
    <n v="63"/>
    <m/>
    <m/>
    <s v="NE"/>
    <s v="MIDDLE"/>
    <s v="ROAD 18M (BUILDINGS)"/>
    <s v="SECOND"/>
    <s v="A"/>
    <n v="0.15"/>
    <n v="2.5000000000000001E-2"/>
    <n v="0.15"/>
    <n v="0.11"/>
    <n v="0.05"/>
    <n v="0.48499999999999993"/>
    <x v="3"/>
    <s v="RH"/>
    <n v="76850"/>
    <n v="82950"/>
    <n v="6100"/>
    <n v="2958.4999999999995"/>
    <n v="79808.5"/>
    <n v="26336.805"/>
    <n v="84308.5"/>
    <n v="87308.5"/>
    <n v="5027935.5"/>
    <n v="5311435.5"/>
    <n v="5500435.5"/>
    <n v="0"/>
    <n v="427374.51750000002"/>
    <n v="1"/>
    <n v="244000"/>
    <n v="244000"/>
    <n v="5271935.5"/>
  </r>
  <r>
    <m/>
    <s v="A"/>
    <x v="4"/>
    <x v="1"/>
    <n v="3"/>
    <n v="1"/>
    <x v="104"/>
    <s v="1 BEDROOM (STUDIO)"/>
    <x v="0"/>
    <n v="68.62"/>
    <n v="87.620111146450768"/>
    <n v="84"/>
    <m/>
    <m/>
    <s v="NE"/>
    <s v="CORNER "/>
    <s v="MAIN GATE &amp; LAKE ENTRANCE"/>
    <s v="THIRD"/>
    <s v="A"/>
    <n v="0.15"/>
    <n v="0.05"/>
    <n v="0.25"/>
    <n v="0.15"/>
    <n v="0.05"/>
    <n v="0.65"/>
    <x v="3"/>
    <s v="RH"/>
    <n v="76850"/>
    <n v="82950"/>
    <n v="6100"/>
    <n v="3965"/>
    <n v="80815"/>
    <n v="26668.95"/>
    <n v="85315"/>
    <n v="88315"/>
    <n v="6788460"/>
    <n v="7166460"/>
    <n v="7418460"/>
    <n v="0"/>
    <n v="577019.10000000009"/>
    <n v="1"/>
    <n v="244000"/>
    <n v="244000"/>
    <n v="7032460"/>
  </r>
  <r>
    <m/>
    <s v="A"/>
    <x v="4"/>
    <x v="1"/>
    <n v="3"/>
    <n v="2"/>
    <x v="105"/>
    <s v="1 BEDROOM (STUDIO)"/>
    <x v="0"/>
    <n v="68.599999999999994"/>
    <n v="87.594573369958056"/>
    <n v="84"/>
    <m/>
    <m/>
    <s v="SW"/>
    <s v="CORNER "/>
    <s v="LAYAN VILLAS"/>
    <s v="THIRD"/>
    <s v="A"/>
    <n v="0.06"/>
    <n v="0.05"/>
    <n v="0.2"/>
    <n v="0.15"/>
    <n v="0.05"/>
    <n v="0.51"/>
    <x v="3"/>
    <s v="RH"/>
    <n v="76850"/>
    <n v="82950"/>
    <n v="6100"/>
    <n v="3111"/>
    <n v="79961"/>
    <n v="26387.13"/>
    <n v="84461"/>
    <n v="87461"/>
    <n v="6716724"/>
    <n v="7094724"/>
    <n v="7346724"/>
    <n v="0"/>
    <n v="570921.54"/>
    <n v="1"/>
    <n v="244000"/>
    <n v="244000"/>
    <n v="6960724"/>
  </r>
  <r>
    <m/>
    <s v="A"/>
    <x v="4"/>
    <x v="1"/>
    <n v="3"/>
    <n v="3"/>
    <x v="106"/>
    <s v="1 BEDROOM (STUDIO)"/>
    <x v="0"/>
    <n v="50.89"/>
    <n v="64.980872285672973"/>
    <n v="63"/>
    <m/>
    <m/>
    <s v="SW"/>
    <s v="MIDDLE"/>
    <s v="LAYAN VILLAS"/>
    <s v="THIRD"/>
    <s v="A"/>
    <n v="0.06"/>
    <n v="2.5000000000000001E-2"/>
    <n v="0.2"/>
    <n v="0.15"/>
    <n v="0.05"/>
    <n v="0.48500000000000004"/>
    <x v="3"/>
    <s v="RH"/>
    <n v="76850"/>
    <n v="82950"/>
    <n v="6100"/>
    <n v="2958.5000000000005"/>
    <n v="79808.5"/>
    <n v="26336.805"/>
    <n v="84308.5"/>
    <n v="87308.5"/>
    <n v="5027935.5"/>
    <n v="5311435.5"/>
    <n v="5500435.5"/>
    <n v="0"/>
    <n v="427374.51750000002"/>
    <n v="1"/>
    <n v="244000"/>
    <n v="244000"/>
    <n v="5271935.5"/>
  </r>
  <r>
    <m/>
    <s v="A"/>
    <x v="4"/>
    <x v="1"/>
    <n v="3"/>
    <n v="4"/>
    <x v="107"/>
    <s v="1 BEDROOM (STUDIO)"/>
    <x v="0"/>
    <n v="62.84"/>
    <n v="80.239693740060716"/>
    <n v="77"/>
    <m/>
    <m/>
    <s v="SW"/>
    <s v="MIDDLE"/>
    <s v="LAYAN VILLAS"/>
    <s v="THIRD"/>
    <s v="A"/>
    <n v="0.06"/>
    <n v="2.5000000000000001E-2"/>
    <n v="0.2"/>
    <n v="0.15"/>
    <n v="0.05"/>
    <n v="0.48500000000000004"/>
    <x v="3"/>
    <s v="RH"/>
    <n v="76850"/>
    <n v="82950"/>
    <n v="6100"/>
    <n v="2958.5000000000005"/>
    <n v="79808.5"/>
    <n v="26336.805"/>
    <n v="84308.5"/>
    <n v="87308.5"/>
    <n v="6145254.5"/>
    <n v="6491754.5"/>
    <n v="6722754.5"/>
    <n v="0"/>
    <n v="522346.63250000007"/>
    <n v="1"/>
    <n v="244000"/>
    <n v="244000"/>
    <n v="6389254.5"/>
  </r>
  <r>
    <m/>
    <s v="A"/>
    <x v="4"/>
    <x v="1"/>
    <n v="3"/>
    <n v="5"/>
    <x v="108"/>
    <s v="1 BEDROOM (STUDIO)"/>
    <x v="0"/>
    <n v="62.86"/>
    <n v="80.265231516553413"/>
    <n v="77"/>
    <m/>
    <m/>
    <s v="NE"/>
    <s v="MIDDLE"/>
    <s v="ROAD 18M (BUILDINGS)"/>
    <s v="THIRD"/>
    <s v="A"/>
    <n v="0.15"/>
    <n v="2.5000000000000001E-2"/>
    <n v="0.15"/>
    <n v="0.15"/>
    <n v="0.05"/>
    <n v="0.52500000000000002"/>
    <x v="3"/>
    <s v="RH"/>
    <n v="76850"/>
    <n v="82950"/>
    <n v="6100"/>
    <n v="3202.5"/>
    <n v="80052.5"/>
    <n v="26417.325000000001"/>
    <n v="84552.5"/>
    <n v="87552.5"/>
    <n v="6164042.5"/>
    <n v="6510542.5"/>
    <n v="6741542.5"/>
    <n v="0"/>
    <n v="523943.61250000005"/>
    <n v="1"/>
    <n v="244000"/>
    <n v="244000"/>
    <n v="6408042.5"/>
  </r>
  <r>
    <m/>
    <s v="A"/>
    <x v="4"/>
    <x v="1"/>
    <n v="3"/>
    <n v="6"/>
    <x v="109"/>
    <s v="1 BEDROOM (STUDIO)"/>
    <x v="0"/>
    <n v="50.89"/>
    <n v="64.980872285672973"/>
    <n v="63"/>
    <m/>
    <m/>
    <s v="NE"/>
    <s v="MIDDLE"/>
    <s v="ROAD 18M (BUILDINGS)"/>
    <s v="THIRD"/>
    <s v="A"/>
    <n v="0.15"/>
    <n v="2.5000000000000001E-2"/>
    <n v="0.15"/>
    <n v="0.15"/>
    <n v="0.05"/>
    <n v="0.52500000000000002"/>
    <x v="3"/>
    <s v="RH"/>
    <n v="76850"/>
    <n v="82950"/>
    <n v="6100"/>
    <n v="3202.5"/>
    <n v="80052.5"/>
    <n v="26417.325000000001"/>
    <n v="84552.5"/>
    <n v="87552.5"/>
    <n v="5043307.5"/>
    <n v="5326807.5"/>
    <n v="5515807.5"/>
    <n v="0"/>
    <n v="428681.13750000001"/>
    <n v="1"/>
    <n v="244000"/>
    <n v="244000"/>
    <n v="5287307.5"/>
  </r>
  <r>
    <m/>
    <s v="A"/>
    <x v="4"/>
    <x v="1"/>
    <n v="4"/>
    <n v="1"/>
    <x v="110"/>
    <s v="1 BEDROOM (STUDIO)"/>
    <x v="0"/>
    <n v="68.680000000000007"/>
    <n v="87.696724475928875"/>
    <n v="84"/>
    <m/>
    <m/>
    <s v="NE"/>
    <s v="CORNER "/>
    <s v="MAIN GATE &amp; LAKE ENTRANCE"/>
    <s v="FORTH"/>
    <s v="A"/>
    <n v="0.15"/>
    <n v="0.05"/>
    <n v="0.25"/>
    <n v="0.06"/>
    <n v="0.05"/>
    <n v="0.56000000000000005"/>
    <x v="3"/>
    <s v="RH"/>
    <n v="76850"/>
    <n v="82950"/>
    <n v="6100"/>
    <n v="3416.0000000000005"/>
    <n v="80266"/>
    <n v="26487.780000000002"/>
    <n v="84766"/>
    <n v="87766"/>
    <n v="6742344"/>
    <n v="7120344"/>
    <n v="7372344"/>
    <n v="0"/>
    <n v="573099.24"/>
    <n v="1"/>
    <n v="244000"/>
    <n v="244000"/>
    <n v="6986344"/>
  </r>
  <r>
    <m/>
    <s v="A"/>
    <x v="4"/>
    <x v="1"/>
    <n v="4"/>
    <n v="2"/>
    <x v="111"/>
    <s v="1 BEDROOM (STUDIO)"/>
    <x v="0"/>
    <n v="68.680000000000007"/>
    <n v="87.696724475928875"/>
    <n v="84"/>
    <m/>
    <m/>
    <s v="SW"/>
    <s v="CORNER "/>
    <s v="LAYAN VILLAS"/>
    <s v="FORTH"/>
    <s v="A"/>
    <n v="0.06"/>
    <n v="0.05"/>
    <n v="0.2"/>
    <n v="0.06"/>
    <n v="0.05"/>
    <n v="0.42"/>
    <x v="3"/>
    <s v="RH"/>
    <n v="76850"/>
    <n v="82950"/>
    <n v="6100"/>
    <n v="2562"/>
    <n v="79412"/>
    <n v="26205.960000000003"/>
    <n v="83912"/>
    <n v="86912"/>
    <n v="6670608"/>
    <n v="7048608"/>
    <n v="7300608"/>
    <n v="0"/>
    <n v="567001.68000000005"/>
    <n v="1"/>
    <n v="244000"/>
    <n v="244000"/>
    <n v="6914608"/>
  </r>
  <r>
    <m/>
    <s v="A"/>
    <x v="4"/>
    <x v="1"/>
    <n v="4"/>
    <n v="3"/>
    <x v="112"/>
    <s v="1 BEDROOM (STUDIO)"/>
    <x v="0"/>
    <n v="51.5"/>
    <n v="65.7597744687003"/>
    <n v="63"/>
    <m/>
    <m/>
    <s v="SW"/>
    <s v="MIDDLE"/>
    <s v="LAYAN VILLAS"/>
    <s v="FORTH"/>
    <s v="A"/>
    <n v="0.06"/>
    <n v="2.5000000000000001E-2"/>
    <n v="0.2"/>
    <n v="0.06"/>
    <n v="0.05"/>
    <n v="0.39500000000000002"/>
    <x v="3"/>
    <s v="RH"/>
    <n v="76850"/>
    <n v="82950"/>
    <n v="6100"/>
    <n v="2409.5"/>
    <n v="79259.5"/>
    <n v="26155.635000000002"/>
    <n v="83759.5"/>
    <n v="86759.5"/>
    <n v="4993348.5"/>
    <n v="5276848.5"/>
    <n v="5465848.5"/>
    <n v="0"/>
    <n v="424434.62250000006"/>
    <n v="1"/>
    <n v="244000"/>
    <n v="244000"/>
    <n v="5237348.5"/>
  </r>
  <r>
    <m/>
    <s v="A"/>
    <x v="4"/>
    <x v="1"/>
    <n v="4"/>
    <n v="4"/>
    <x v="113"/>
    <s v="1 BEDROOM (STUDIO)"/>
    <x v="0"/>
    <n v="62.97"/>
    <n v="80.405689287263257"/>
    <n v="77"/>
    <m/>
    <m/>
    <s v="SW"/>
    <s v="MIDDLE"/>
    <s v="LAYAN VILLAS"/>
    <s v="FORTH"/>
    <s v="A"/>
    <n v="0.06"/>
    <n v="2.5000000000000001E-2"/>
    <n v="0.2"/>
    <n v="0.06"/>
    <n v="0.05"/>
    <n v="0.39500000000000002"/>
    <x v="3"/>
    <s v="RH"/>
    <n v="76850"/>
    <n v="82950"/>
    <n v="6100"/>
    <n v="2409.5"/>
    <n v="79259.5"/>
    <n v="26155.635000000002"/>
    <n v="83759.5"/>
    <n v="86759.5"/>
    <n v="6102981.5"/>
    <n v="6449481.5"/>
    <n v="6680481.5"/>
    <n v="0"/>
    <n v="518753.42750000005"/>
    <n v="1"/>
    <n v="244000"/>
    <n v="244000"/>
    <n v="6346981.5"/>
  </r>
  <r>
    <m/>
    <s v="A"/>
    <x v="4"/>
    <x v="1"/>
    <n v="4"/>
    <n v="5"/>
    <x v="114"/>
    <s v="1 BEDROOM (STUDIO)"/>
    <x v="0"/>
    <n v="62.97"/>
    <n v="80.405689287263257"/>
    <n v="77"/>
    <m/>
    <m/>
    <s v="NE"/>
    <s v="MIDDLE"/>
    <s v="ROAD 18M (BUILDINGS)"/>
    <s v="FORTH"/>
    <s v="A"/>
    <n v="0.15"/>
    <n v="2.5000000000000001E-2"/>
    <n v="0.15"/>
    <n v="0.06"/>
    <n v="0.05"/>
    <n v="0.43499999999999994"/>
    <x v="3"/>
    <s v="RH"/>
    <n v="76850"/>
    <n v="82950"/>
    <n v="6100"/>
    <n v="2653.4999999999995"/>
    <n v="79503.5"/>
    <n v="26236.155000000002"/>
    <n v="84003.5"/>
    <n v="87003.5"/>
    <n v="6121769.5"/>
    <n v="6468269.5"/>
    <n v="6699269.5"/>
    <n v="0"/>
    <n v="520350.40750000003"/>
    <n v="1"/>
    <n v="244000"/>
    <n v="244000"/>
    <n v="6365769.5"/>
  </r>
  <r>
    <m/>
    <s v="A"/>
    <x v="4"/>
    <x v="1"/>
    <n v="4"/>
    <n v="6"/>
    <x v="115"/>
    <s v="1 BEDROOM (STUDIO)"/>
    <x v="0"/>
    <n v="51.5"/>
    <n v="65.7597744687003"/>
    <n v="63"/>
    <m/>
    <m/>
    <s v="NE"/>
    <s v="MIDDLE"/>
    <s v="ROAD 18M (BUILDINGS)"/>
    <s v="FORTH"/>
    <s v="A"/>
    <n v="0.15"/>
    <n v="2.5000000000000001E-2"/>
    <n v="0.15"/>
    <n v="0.06"/>
    <n v="0.05"/>
    <n v="0.43499999999999994"/>
    <x v="3"/>
    <s v="RH"/>
    <n v="76850"/>
    <n v="82950"/>
    <n v="6100"/>
    <n v="2653.4999999999995"/>
    <n v="79503.5"/>
    <n v="26236.155000000002"/>
    <n v="84003.5"/>
    <n v="87003.5"/>
    <n v="5008720.5"/>
    <n v="5292220.5"/>
    <n v="5481220.5"/>
    <n v="0"/>
    <n v="425741.24250000005"/>
    <n v="1"/>
    <n v="244000"/>
    <n v="244000"/>
    <n v="5252720.5"/>
  </r>
  <r>
    <s v="A'"/>
    <s v="A"/>
    <x v="5"/>
    <x v="0"/>
    <n v="0"/>
    <n v="1"/>
    <x v="116"/>
    <s v="1 BEDROOM (STUDIO)"/>
    <x v="0"/>
    <n v="60.98"/>
    <n v="66.845201763160503"/>
    <n v="75"/>
    <n v="23.818100000000001"/>
    <m/>
    <s v="NE"/>
    <s v="MIDDLE"/>
    <s v="ROAD 18M (BUILDINGS)"/>
    <s v="GROUND"/>
    <s v="A"/>
    <n v="0.15"/>
    <n v="2.5000000000000001E-2"/>
    <n v="0.15"/>
    <n v="0.05"/>
    <n v="0.05"/>
    <n v="0.42499999999999993"/>
    <x v="0"/>
    <s v="R 7"/>
    <n v="50150"/>
    <n v="56050"/>
    <n v="5900"/>
    <n v="2507.4999999999995"/>
    <n v="52657.5"/>
    <n v="17376.975000000002"/>
    <n v="57157.5"/>
    <n v="60157.5"/>
    <n v="3949312.5"/>
    <n v="4286812.5"/>
    <n v="4511812.5"/>
    <n v="413886.52824750007"/>
    <n v="370871.91740103753"/>
    <n v="1"/>
    <n v="236000"/>
    <n v="236000"/>
    <n v="4599199.0282474998"/>
  </r>
  <r>
    <m/>
    <s v="A"/>
    <x v="5"/>
    <x v="0"/>
    <n v="0"/>
    <n v="2"/>
    <x v="117"/>
    <s v="2 BEDROOM"/>
    <x v="0"/>
    <n v="89.96"/>
    <n v="98.6125672452266"/>
    <n v="111"/>
    <n v="50.540100000000002"/>
    <m/>
    <s v="SW"/>
    <s v="MIDDLE"/>
    <s v="FENCE"/>
    <s v="GROUND"/>
    <s v="B"/>
    <n v="0.06"/>
    <n v="2.5000000000000001E-2"/>
    <n v="0.1"/>
    <n v="0.05"/>
    <n v="0.04"/>
    <n v="0.27499999999999997"/>
    <x v="0"/>
    <s v="R 1"/>
    <n v="42500"/>
    <n v="47500"/>
    <n v="5000"/>
    <n v="1374.9999999999998"/>
    <n v="43875"/>
    <n v="14478.75"/>
    <n v="48375"/>
    <n v="51375"/>
    <n v="4870125"/>
    <n v="5369625"/>
    <n v="5702625"/>
    <n v="731757.47287499998"/>
    <n v="476160.01019437501"/>
    <n v="1"/>
    <n v="200000"/>
    <n v="200000"/>
    <n v="5801882.472875"/>
  </r>
  <r>
    <m/>
    <s v="A"/>
    <x v="5"/>
    <x v="0"/>
    <n v="0"/>
    <n v="3"/>
    <x v="118"/>
    <s v="2 BEDROOM"/>
    <x v="0"/>
    <n v="97.98"/>
    <n v="107.40394996317589"/>
    <n v="121"/>
    <n v="50.705300000000001"/>
    <m/>
    <s v="SW"/>
    <s v="MIDDLE"/>
    <s v="SEMI LAKE AND FENCE"/>
    <s v="GROUND"/>
    <s v="B"/>
    <n v="0.06"/>
    <n v="2.5000000000000001E-2"/>
    <n v="0.25"/>
    <n v="0.05"/>
    <n v="0.04"/>
    <n v="0.42499999999999993"/>
    <x v="0"/>
    <s v="R 7"/>
    <n v="50150"/>
    <n v="56050"/>
    <n v="5900"/>
    <n v="2507.4999999999995"/>
    <n v="52657.5"/>
    <n v="17376.975000000002"/>
    <n v="57157.5"/>
    <n v="60157.5"/>
    <n v="6371557.5"/>
    <n v="6916057.5"/>
    <n v="7279057.5"/>
    <n v="881104.73046750017"/>
    <n v="616476.28958973754"/>
    <n v="1"/>
    <n v="236000"/>
    <n v="236000"/>
    <n v="7488662.2304675002"/>
  </r>
  <r>
    <m/>
    <s v="A"/>
    <x v="5"/>
    <x v="0"/>
    <n v="0"/>
    <n v="4"/>
    <x v="119"/>
    <s v="2 BEDROOM"/>
    <x v="0"/>
    <n v="98.17"/>
    <n v="107.61222461609489"/>
    <n v="121"/>
    <n v="31.597200000000001"/>
    <m/>
    <s v="NE"/>
    <s v="MIDDLE"/>
    <s v="ROAD 18M (BUILDINGS)"/>
    <s v="GROUND"/>
    <s v="B"/>
    <n v="0.15"/>
    <n v="2.5000000000000001E-2"/>
    <n v="0.15"/>
    <n v="0.05"/>
    <n v="0.04"/>
    <n v="0.41499999999999992"/>
    <x v="0"/>
    <s v="R 6"/>
    <n v="48450.000000000007"/>
    <n v="54150.000000000007"/>
    <n v="5700"/>
    <n v="2365.4999999999995"/>
    <n v="50815.500000000007"/>
    <n v="16769.115000000002"/>
    <n v="55315.500000000007"/>
    <n v="58315.500000000007"/>
    <n v="6148675.5000000009"/>
    <n v="6693175.5000000009"/>
    <n v="7056175.5000000009"/>
    <n v="529857.08047800011"/>
    <n v="567675.26934063016"/>
    <n v="1"/>
    <n v="228000.00000000003"/>
    <n v="228000.00000000003"/>
    <n v="6906532.5804780014"/>
  </r>
  <r>
    <m/>
    <s v="A"/>
    <x v="5"/>
    <x v="0"/>
    <n v="1"/>
    <n v="1"/>
    <x v="120"/>
    <s v="1 BEDROOM (STUDIO)"/>
    <x v="0"/>
    <n v="61.82"/>
    <n v="67.765994965539235"/>
    <n v="76"/>
    <m/>
    <m/>
    <s v="NE"/>
    <s v="MIDDLE"/>
    <s v="ROAD 18M (BUILDINGS)"/>
    <s v="FIRST"/>
    <s v="A"/>
    <n v="0.15"/>
    <n v="2.5000000000000001E-2"/>
    <n v="0.15"/>
    <n v="7.0000000000000007E-2"/>
    <n v="0.05"/>
    <n v="0.44499999999999995"/>
    <x v="0"/>
    <s v="R 9"/>
    <n v="53550"/>
    <n v="59850"/>
    <n v="6300"/>
    <n v="2803.4999999999995"/>
    <n v="56353.5"/>
    <n v="18596.655000000002"/>
    <n v="60853.5"/>
    <n v="63853.5"/>
    <n v="4282866"/>
    <n v="4624866"/>
    <n v="4852866"/>
    <n v="0"/>
    <n v="364043.61000000004"/>
    <n v="1"/>
    <n v="252000"/>
    <n v="252000"/>
    <n v="4534866"/>
  </r>
  <r>
    <m/>
    <s v="A"/>
    <x v="5"/>
    <x v="0"/>
    <n v="1"/>
    <n v="2"/>
    <x v="121"/>
    <s v="2 BEDROOM"/>
    <x v="0"/>
    <n v="89.05"/>
    <n v="97.615041275982989"/>
    <n v="110"/>
    <m/>
    <m/>
    <s v="SW"/>
    <s v="MIDDLE"/>
    <s v="LAYAN VILLAS"/>
    <s v="FIRST"/>
    <s v="B"/>
    <n v="0.06"/>
    <n v="2.5000000000000001E-2"/>
    <n v="0.2"/>
    <n v="7.0000000000000007E-2"/>
    <n v="0.04"/>
    <n v="0.39500000000000002"/>
    <x v="0"/>
    <s v="R 5"/>
    <n v="46750.000000000007"/>
    <n v="52250.000000000007"/>
    <n v="5500"/>
    <n v="2172.5"/>
    <n v="48922.500000000007"/>
    <n v="16144.425000000003"/>
    <n v="53422.500000000007"/>
    <n v="56422.500000000007"/>
    <n v="5381475.0000000009"/>
    <n v="5876475.0000000009"/>
    <n v="6206475.0000000009"/>
    <n v="0"/>
    <n v="457425.37500000012"/>
    <n v="1"/>
    <n v="220000.00000000003"/>
    <n v="220000.00000000003"/>
    <n v="5601475.0000000009"/>
  </r>
  <r>
    <m/>
    <s v="A"/>
    <x v="5"/>
    <x v="0"/>
    <n v="1"/>
    <n v="3"/>
    <x v="122"/>
    <s v="2 BEDROOM"/>
    <x v="0"/>
    <n v="97.06"/>
    <n v="106.39546217009443"/>
    <n v="119"/>
    <m/>
    <m/>
    <s v="SW"/>
    <s v="MIDDLE"/>
    <s v="SEMI LAKE AND FENCE"/>
    <s v="FIRST"/>
    <s v="B"/>
    <n v="0.06"/>
    <n v="2.5000000000000001E-2"/>
    <n v="0.25"/>
    <n v="7.0000000000000007E-2"/>
    <n v="0.04"/>
    <n v="0.44499999999999995"/>
    <x v="0"/>
    <s v="R 9"/>
    <n v="53550"/>
    <n v="59850"/>
    <n v="6300"/>
    <n v="2803.4999999999995"/>
    <n v="56353.5"/>
    <n v="18596.655000000002"/>
    <n v="60853.5"/>
    <n v="63853.5"/>
    <n v="6706066.5"/>
    <n v="7241566.5"/>
    <n v="7598566.5"/>
    <n v="0"/>
    <n v="570015.65250000008"/>
    <n v="1"/>
    <n v="252000"/>
    <n v="252000"/>
    <n v="6958066.5"/>
  </r>
  <r>
    <m/>
    <s v="A"/>
    <x v="5"/>
    <x v="0"/>
    <n v="1"/>
    <n v="4"/>
    <x v="123"/>
    <s v="2 BEDROOM"/>
    <x v="0"/>
    <n v="97.09"/>
    <n v="106.42834764160796"/>
    <n v="119"/>
    <m/>
    <m/>
    <s v="NE"/>
    <s v="MIDDLE"/>
    <s v="ROAD 18M (BUILDINGS)"/>
    <s v="FIRST"/>
    <s v="B"/>
    <n v="0.15"/>
    <n v="2.5000000000000001E-2"/>
    <n v="0.15"/>
    <n v="7.0000000000000007E-2"/>
    <n v="0.04"/>
    <n v="0.43499999999999994"/>
    <x v="0"/>
    <s v="R 8"/>
    <n v="51850"/>
    <n v="57950"/>
    <n v="6100"/>
    <n v="2653.4999999999995"/>
    <n v="54503.5"/>
    <n v="17986.155000000002"/>
    <n v="59003.5"/>
    <n v="62003.5"/>
    <n v="6485916.5"/>
    <n v="7021416.5"/>
    <n v="7378416.5"/>
    <n v="0"/>
    <n v="551302.90250000008"/>
    <n v="1"/>
    <n v="244000"/>
    <n v="244000"/>
    <n v="6729916.5"/>
  </r>
  <r>
    <m/>
    <s v="A"/>
    <x v="5"/>
    <x v="0"/>
    <n v="2"/>
    <n v="1"/>
    <x v="124"/>
    <s v="2 BEDROOM"/>
    <x v="0"/>
    <n v="90.9"/>
    <n v="99.642978685983763"/>
    <n v="112"/>
    <m/>
    <m/>
    <s v="NE"/>
    <s v="MIDDLE"/>
    <s v="ROAD 18M (BUILDINGS)"/>
    <s v="SECOND"/>
    <s v="B"/>
    <n v="0.15"/>
    <n v="2.5000000000000001E-2"/>
    <n v="0.15"/>
    <n v="0.11"/>
    <n v="0.04"/>
    <n v="0.47499999999999992"/>
    <x v="0"/>
    <s v="R 12"/>
    <n v="61625"/>
    <n v="68875"/>
    <n v="7250"/>
    <n v="3443.7499999999995"/>
    <n v="65068.75"/>
    <n v="21472.6875"/>
    <n v="69568.75"/>
    <n v="72568.75"/>
    <n v="7287700"/>
    <n v="7791700"/>
    <n v="8127700"/>
    <n v="0"/>
    <n v="619454.5"/>
    <n v="1"/>
    <n v="290000"/>
    <n v="290000"/>
    <n v="7577700"/>
  </r>
  <r>
    <m/>
    <s v="A"/>
    <x v="5"/>
    <x v="0"/>
    <n v="2"/>
    <n v="2"/>
    <x v="125"/>
    <s v="2 BEDROOM"/>
    <x v="0"/>
    <n v="90.91"/>
    <n v="99.653940509821595"/>
    <n v="112"/>
    <m/>
    <m/>
    <s v="SW"/>
    <s v="MIDDLE"/>
    <s v="LAYAN VILLAS"/>
    <s v="SECOND"/>
    <s v="B"/>
    <n v="0.06"/>
    <n v="2.5000000000000001E-2"/>
    <n v="0.2"/>
    <n v="0.11"/>
    <n v="0.04"/>
    <n v="0.435"/>
    <x v="0"/>
    <s v="R 8"/>
    <n v="51850"/>
    <n v="57950"/>
    <n v="6100"/>
    <n v="2653.5"/>
    <n v="54503.5"/>
    <n v="17986.155000000002"/>
    <n v="59003.5"/>
    <n v="62003.5"/>
    <n v="6104392"/>
    <n v="6608392"/>
    <n v="6944392"/>
    <n v="0"/>
    <n v="518873.32000000007"/>
    <n v="1"/>
    <n v="244000"/>
    <n v="244000"/>
    <n v="6348392"/>
  </r>
  <r>
    <m/>
    <s v="A"/>
    <x v="5"/>
    <x v="0"/>
    <n v="2"/>
    <n v="3"/>
    <x v="126"/>
    <s v="2 BEDROOM"/>
    <x v="0"/>
    <n v="98.93"/>
    <n v="108.44532322777088"/>
    <n v="122"/>
    <m/>
    <m/>
    <s v="SW"/>
    <s v="MIDDLE"/>
    <s v="SEMI LAKE AND FENCE"/>
    <s v="SECOND"/>
    <s v="B"/>
    <n v="0.06"/>
    <n v="2.5000000000000001E-2"/>
    <n v="0.25"/>
    <n v="0.11"/>
    <n v="0.04"/>
    <n v="0.48499999999999993"/>
    <x v="0"/>
    <s v="R 12"/>
    <n v="61625"/>
    <n v="68875"/>
    <n v="7250"/>
    <n v="3516.2499999999995"/>
    <n v="65141.25"/>
    <n v="21496.612499999999"/>
    <n v="69641.25"/>
    <n v="72641.25"/>
    <n v="7947232.5"/>
    <n v="8496232.5"/>
    <n v="8862232.5"/>
    <n v="0"/>
    <n v="675514.76250000007"/>
    <n v="1"/>
    <n v="290000"/>
    <n v="290000"/>
    <n v="8237232.5"/>
  </r>
  <r>
    <m/>
    <s v="A"/>
    <x v="5"/>
    <x v="0"/>
    <n v="2"/>
    <n v="4"/>
    <x v="127"/>
    <s v="2 BEDROOM"/>
    <x v="0"/>
    <n v="98.95"/>
    <n v="108.46724687544656"/>
    <n v="122"/>
    <m/>
    <m/>
    <s v="NE"/>
    <s v="MIDDLE"/>
    <s v="ROAD 18M (BUILDINGS)"/>
    <s v="SECOND"/>
    <s v="B"/>
    <n v="0.15"/>
    <n v="2.5000000000000001E-2"/>
    <n v="0.15"/>
    <n v="0.11"/>
    <n v="0.04"/>
    <n v="0.47499999999999992"/>
    <x v="0"/>
    <s v="R 12"/>
    <n v="61625"/>
    <n v="68875"/>
    <n v="7250"/>
    <n v="3443.7499999999995"/>
    <n v="65068.75"/>
    <n v="21472.6875"/>
    <n v="69568.75"/>
    <n v="72568.75"/>
    <n v="7938387.5"/>
    <n v="8487387.5"/>
    <n v="8853387.5"/>
    <n v="0"/>
    <n v="674762.9375"/>
    <n v="1"/>
    <n v="290000"/>
    <n v="290000"/>
    <n v="8228387.5"/>
  </r>
  <r>
    <m/>
    <s v="A"/>
    <x v="5"/>
    <x v="0"/>
    <n v="3"/>
    <n v="1"/>
    <x v="128"/>
    <s v="2 BEDROOM"/>
    <x v="0"/>
    <n v="89.05"/>
    <n v="97.615041275982989"/>
    <n v="110"/>
    <m/>
    <m/>
    <s v="NE"/>
    <s v="MIDDLE"/>
    <s v="ROAD 18M (BUILDINGS)"/>
    <s v="THIRD"/>
    <s v="B"/>
    <n v="0.15"/>
    <n v="2.5000000000000001E-2"/>
    <n v="0.15"/>
    <n v="0.15"/>
    <n v="0.04"/>
    <n v="0.51500000000000001"/>
    <x v="1"/>
    <s v="R 1"/>
    <n v="42500"/>
    <n v="47500"/>
    <n v="5000"/>
    <n v="2575"/>
    <n v="45075"/>
    <n v="14874.75"/>
    <n v="49575"/>
    <n v="52575"/>
    <n v="4958250"/>
    <n v="5453250"/>
    <n v="5783250"/>
    <n v="0"/>
    <n v="421451.25000000006"/>
    <n v="1"/>
    <n v="200000"/>
    <n v="200000"/>
    <n v="5158250"/>
  </r>
  <r>
    <m/>
    <s v="A"/>
    <x v="5"/>
    <x v="0"/>
    <n v="3"/>
    <n v="2"/>
    <x v="129"/>
    <s v="2 BEDROOM"/>
    <x v="0"/>
    <n v="89.05"/>
    <n v="97.615041275982989"/>
    <n v="110"/>
    <m/>
    <m/>
    <s v="SW"/>
    <s v="MIDDLE"/>
    <s v="LAYAN VILLAS"/>
    <s v="THIRD"/>
    <s v="B"/>
    <n v="0.06"/>
    <n v="2.5000000000000001E-2"/>
    <n v="0.2"/>
    <n v="0.15"/>
    <n v="0.04"/>
    <n v="0.47500000000000003"/>
    <x v="0"/>
    <s v="R 12"/>
    <n v="61625"/>
    <n v="68875"/>
    <n v="7250"/>
    <n v="3443.7500000000005"/>
    <n v="65068.75"/>
    <n v="21472.6875"/>
    <n v="69568.75"/>
    <n v="72568.75"/>
    <n v="7157562.5"/>
    <n v="7652562.5"/>
    <n v="7982562.5"/>
    <n v="0"/>
    <n v="608392.8125"/>
    <n v="1"/>
    <n v="290000"/>
    <n v="290000"/>
    <n v="7447562.5"/>
  </r>
  <r>
    <m/>
    <s v="A"/>
    <x v="5"/>
    <x v="0"/>
    <n v="3"/>
    <n v="3"/>
    <x v="130"/>
    <s v="2 BEDROOM"/>
    <x v="0"/>
    <n v="97.09"/>
    <n v="106.42834764160796"/>
    <n v="119"/>
    <m/>
    <m/>
    <s v="SW"/>
    <s v="MIDDLE"/>
    <s v="SEMI LAKE AND FENCE"/>
    <s v="THIRD"/>
    <s v="B"/>
    <n v="0.06"/>
    <n v="2.5000000000000001E-2"/>
    <n v="0.25"/>
    <n v="0.15"/>
    <n v="0.04"/>
    <n v="0.52500000000000002"/>
    <x v="1"/>
    <s v="R 1"/>
    <n v="42500"/>
    <n v="47500"/>
    <n v="5000"/>
    <n v="2625"/>
    <n v="45125"/>
    <n v="14891.25"/>
    <n v="49625"/>
    <n v="52625"/>
    <n v="5369875"/>
    <n v="5905375"/>
    <n v="6262375"/>
    <n v="0"/>
    <n v="456439.37500000006"/>
    <n v="1"/>
    <n v="200000"/>
    <n v="200000"/>
    <n v="5569875"/>
  </r>
  <r>
    <m/>
    <s v="A"/>
    <x v="5"/>
    <x v="0"/>
    <n v="3"/>
    <n v="4"/>
    <x v="131"/>
    <s v="2 BEDROOM"/>
    <x v="0"/>
    <n v="97.09"/>
    <n v="106.42834764160796"/>
    <n v="119"/>
    <m/>
    <m/>
    <s v="NE"/>
    <s v="MIDDLE"/>
    <s v="ROAD 18M (BUILDINGS)"/>
    <s v="THIRD"/>
    <s v="B"/>
    <n v="0.15"/>
    <n v="2.5000000000000001E-2"/>
    <n v="0.15"/>
    <n v="0.15"/>
    <n v="0.04"/>
    <n v="0.51500000000000001"/>
    <x v="1"/>
    <s v="R 1"/>
    <n v="42500"/>
    <n v="47500"/>
    <n v="5000"/>
    <n v="2575"/>
    <n v="45075"/>
    <n v="14874.75"/>
    <n v="49575"/>
    <n v="52575"/>
    <n v="5363925"/>
    <n v="5899425"/>
    <n v="6256425"/>
    <n v="0"/>
    <n v="455933.62500000006"/>
    <n v="1"/>
    <n v="200000"/>
    <n v="200000"/>
    <n v="5563925"/>
  </r>
  <r>
    <m/>
    <s v="A"/>
    <x v="5"/>
    <x v="0"/>
    <n v="4"/>
    <n v="1"/>
    <x v="132"/>
    <s v="2 BEDROOM"/>
    <x v="0"/>
    <n v="89.12"/>
    <n v="97.691774042847882"/>
    <n v="110"/>
    <m/>
    <m/>
    <s v="NE"/>
    <s v="MIDDLE"/>
    <s v="ROAD 18M (BUILDINGS)"/>
    <s v="FORTH"/>
    <s v="B"/>
    <n v="0.15"/>
    <n v="2.5000000000000001E-2"/>
    <n v="0.15"/>
    <n v="0.06"/>
    <n v="0.04"/>
    <n v="0.42499999999999993"/>
    <x v="0"/>
    <s v="R 7"/>
    <n v="50150"/>
    <n v="56050"/>
    <n v="5900"/>
    <n v="2507.4999999999995"/>
    <n v="52657.5"/>
    <n v="17376.975000000002"/>
    <n v="57157.5"/>
    <n v="60157.5"/>
    <n v="5792325"/>
    <n v="6287325"/>
    <n v="6617325"/>
    <n v="0"/>
    <n v="492347.62500000006"/>
    <n v="1"/>
    <n v="236000"/>
    <n v="236000"/>
    <n v="6028325"/>
  </r>
  <r>
    <m/>
    <s v="A"/>
    <x v="5"/>
    <x v="0"/>
    <n v="4"/>
    <n v="2"/>
    <x v="133"/>
    <s v="2 BEDROOM"/>
    <x v="0"/>
    <n v="90.52"/>
    <n v="99.22642938014576"/>
    <n v="111"/>
    <m/>
    <m/>
    <s v="SW"/>
    <s v="MIDDLE"/>
    <s v="LAYAN VILLAS"/>
    <s v="FORTH"/>
    <s v="B"/>
    <n v="0.06"/>
    <n v="2.5000000000000001E-2"/>
    <n v="0.2"/>
    <n v="0.06"/>
    <n v="0.04"/>
    <n v="0.38500000000000001"/>
    <x v="0"/>
    <s v="R 3"/>
    <n v="44625"/>
    <n v="49875"/>
    <n v="5250"/>
    <n v="2021.25"/>
    <n v="46646.25"/>
    <n v="15393.262500000001"/>
    <n v="51146.25"/>
    <n v="54146.25"/>
    <n v="5177733.75"/>
    <n v="5677233.75"/>
    <n v="6010233.75"/>
    <n v="0"/>
    <n v="440107.36875000002"/>
    <n v="1"/>
    <n v="210000"/>
    <n v="210000"/>
    <n v="5387733.75"/>
  </r>
  <r>
    <m/>
    <s v="A"/>
    <x v="5"/>
    <x v="0"/>
    <n v="4"/>
    <n v="3"/>
    <x v="134"/>
    <s v="2 BEDROOM"/>
    <x v="0"/>
    <n v="98.57"/>
    <n v="108.05069756960856"/>
    <n v="121"/>
    <m/>
    <m/>
    <s v="SW"/>
    <s v="MIDDLE"/>
    <s v="SEMI LAKE AND FENCE"/>
    <s v="FORTH"/>
    <s v="B"/>
    <n v="0.06"/>
    <n v="2.5000000000000001E-2"/>
    <n v="0.25"/>
    <n v="0.06"/>
    <n v="0.04"/>
    <n v="0.43499999999999994"/>
    <x v="0"/>
    <s v="R 8"/>
    <n v="51850"/>
    <n v="57950"/>
    <n v="6100"/>
    <n v="2653.4999999999995"/>
    <n v="54503.5"/>
    <n v="17986.155000000002"/>
    <n v="59003.5"/>
    <n v="62003.5"/>
    <n v="6594923.5"/>
    <n v="7139423.5"/>
    <n v="7502423.5"/>
    <n v="0"/>
    <n v="560568.49750000006"/>
    <n v="1"/>
    <n v="244000"/>
    <n v="244000"/>
    <n v="6838923.5"/>
  </r>
  <r>
    <m/>
    <s v="A"/>
    <x v="5"/>
    <x v="0"/>
    <n v="4"/>
    <n v="4"/>
    <x v="135"/>
    <s v="2 BEDROOM"/>
    <x v="0"/>
    <n v="97.17"/>
    <n v="106.5160422323107"/>
    <n v="120"/>
    <m/>
    <m/>
    <s v="NE"/>
    <s v="MIDDLE"/>
    <s v="ROAD 18M (BUILDINGS)"/>
    <s v="FORTH"/>
    <s v="B"/>
    <n v="0.15"/>
    <n v="2.5000000000000001E-2"/>
    <n v="0.15"/>
    <n v="0.06"/>
    <n v="0.04"/>
    <n v="0.42499999999999993"/>
    <x v="0"/>
    <s v="R 7"/>
    <n v="50150"/>
    <n v="56050"/>
    <n v="5900"/>
    <n v="2507.4999999999995"/>
    <n v="52657.5"/>
    <n v="17376.975000000002"/>
    <n v="57157.5"/>
    <n v="60157.5"/>
    <n v="6318900"/>
    <n v="6858900"/>
    <n v="7218900"/>
    <n v="0"/>
    <n v="537106.5"/>
    <n v="1"/>
    <n v="236000"/>
    <n v="236000"/>
    <n v="6554900"/>
  </r>
  <r>
    <s v="A'"/>
    <s v="A"/>
    <x v="6"/>
    <x v="0"/>
    <n v="0"/>
    <n v="1"/>
    <x v="136"/>
    <s v="2 BEDROOM"/>
    <x v="0"/>
    <n v="98.17"/>
    <n v="107.61045029101562"/>
    <n v="121"/>
    <n v="31.597899999999999"/>
    <m/>
    <s v="NE"/>
    <s v="MIDDLE"/>
    <s v="ROAD 18M (BUILDINGS)"/>
    <s v="GROUND"/>
    <s v="B"/>
    <n v="0.15"/>
    <n v="2.5000000000000001E-2"/>
    <n v="0.15"/>
    <n v="0.05"/>
    <n v="0.04"/>
    <n v="0.41499999999999992"/>
    <x v="0"/>
    <s v="R 6"/>
    <n v="48450.000000000007"/>
    <n v="54150.000000000007"/>
    <n v="5700"/>
    <n v="2365.4999999999995"/>
    <n v="50815.500000000007"/>
    <n v="16769.115000000002"/>
    <n v="55315.500000000007"/>
    <n v="58315.500000000007"/>
    <n v="6148675.5000000009"/>
    <n v="6693175.5000000009"/>
    <n v="7056175.5000000009"/>
    <n v="529868.81885849999"/>
    <n v="567676.2671029726"/>
    <n v="1"/>
    <n v="228000.00000000003"/>
    <n v="228000.00000000003"/>
    <n v="6906544.3188585006"/>
  </r>
  <r>
    <m/>
    <s v="A"/>
    <x v="6"/>
    <x v="0"/>
    <n v="0"/>
    <n v="2"/>
    <x v="137"/>
    <s v="2 BEDROOM"/>
    <x v="0"/>
    <n v="97.98"/>
    <n v="107.40217907215759"/>
    <n v="121"/>
    <n v="50.705300000000001"/>
    <m/>
    <s v="SW"/>
    <s v="MIDDLE"/>
    <s v="LAKE A-2"/>
    <s v="GROUND"/>
    <s v="B"/>
    <n v="0.06"/>
    <n v="2.5000000000000001E-2"/>
    <n v="0.4"/>
    <n v="0.05"/>
    <n v="0.04"/>
    <n v="0.57500000000000007"/>
    <x v="1"/>
    <s v="R 1"/>
    <n v="42500"/>
    <n v="47500"/>
    <n v="5000"/>
    <n v="2875.0000000000005"/>
    <n v="45375"/>
    <n v="14973.75"/>
    <n v="49875"/>
    <n v="52875"/>
    <n v="5490375"/>
    <n v="6034875"/>
    <n v="6397875"/>
    <n v="759248.48587500001"/>
    <n v="531217.99629937508"/>
    <n v="1"/>
    <n v="200000"/>
    <n v="200000"/>
    <n v="6449623.4858750002"/>
  </r>
  <r>
    <m/>
    <s v="A"/>
    <x v="6"/>
    <x v="0"/>
    <n v="0"/>
    <n v="3"/>
    <x v="138"/>
    <s v="2 BEDROOM"/>
    <x v="0"/>
    <n v="89.96"/>
    <n v="98.610941307729092"/>
    <n v="111"/>
    <n v="50.503900000000002"/>
    <m/>
    <s v="SW"/>
    <s v="MIDDLE"/>
    <s v="LAKE A-2"/>
    <s v="GROUND"/>
    <s v="B"/>
    <n v="0.06"/>
    <n v="2.5000000000000001E-2"/>
    <n v="0.4"/>
    <n v="0.05"/>
    <n v="0.04"/>
    <n v="0.57500000000000007"/>
    <x v="1"/>
    <s v="R 1"/>
    <n v="42500"/>
    <n v="47500"/>
    <n v="5000"/>
    <n v="2875.0000000000005"/>
    <n v="45375"/>
    <n v="14973.75"/>
    <n v="49875"/>
    <n v="52875"/>
    <n v="5036625"/>
    <n v="5536125"/>
    <n v="5869125"/>
    <n v="756232.77262499998"/>
    <n v="492392.91067312506"/>
    <n v="1"/>
    <n v="200000"/>
    <n v="200000"/>
    <n v="5992857.7726250002"/>
  </r>
  <r>
    <m/>
    <s v="A"/>
    <x v="6"/>
    <x v="0"/>
    <n v="0"/>
    <n v="4"/>
    <x v="139"/>
    <s v="1 BEDROOM (STUDIO)"/>
    <x v="0"/>
    <n v="60.98"/>
    <n v="66.844099610330375"/>
    <n v="75"/>
    <n v="23.799600000000002"/>
    <m/>
    <s v="NE"/>
    <s v="MIDDLE"/>
    <s v="ROAD 18M (BUILDINGS)"/>
    <s v="GROUND"/>
    <s v="A"/>
    <n v="0.15"/>
    <n v="2.5000000000000001E-2"/>
    <n v="0.15"/>
    <n v="0.05"/>
    <n v="0.05"/>
    <n v="0.42499999999999993"/>
    <x v="0"/>
    <s v="R 8"/>
    <n v="51850"/>
    <n v="57950"/>
    <n v="6100"/>
    <n v="2592.4999999999995"/>
    <n v="54442.5"/>
    <n v="17966.025000000001"/>
    <n v="58942.5"/>
    <n v="61942.5"/>
    <n v="4083187.5"/>
    <n v="4420687.5"/>
    <n v="4645687.5"/>
    <n v="427584.20859000005"/>
    <n v="383415.59523015004"/>
    <n v="1"/>
    <n v="244000"/>
    <n v="244000"/>
    <n v="4754771.7085899999"/>
  </r>
  <r>
    <m/>
    <s v="A"/>
    <x v="6"/>
    <x v="0"/>
    <n v="1"/>
    <n v="1"/>
    <x v="140"/>
    <s v="2 BEDROOM"/>
    <x v="0"/>
    <n v="97.09"/>
    <n v="106.42659283645419"/>
    <n v="119"/>
    <m/>
    <m/>
    <s v="NE"/>
    <s v="MIDDLE"/>
    <s v="ROAD 18M (BUILDINGS)"/>
    <s v="FIRST"/>
    <s v="B"/>
    <n v="0.15"/>
    <n v="2.5000000000000001E-2"/>
    <n v="0.15"/>
    <n v="7.0000000000000007E-2"/>
    <n v="0.04"/>
    <n v="0.43499999999999994"/>
    <x v="0"/>
    <s v="R 8"/>
    <n v="51850"/>
    <n v="57950"/>
    <n v="6100"/>
    <n v="2653.4999999999995"/>
    <n v="54503.5"/>
    <n v="17986.155000000002"/>
    <n v="59003.5"/>
    <n v="62003.5"/>
    <n v="6485916.5"/>
    <n v="7021416.5"/>
    <n v="7378416.5"/>
    <n v="0"/>
    <n v="551302.90250000008"/>
    <n v="1"/>
    <n v="244000"/>
    <n v="244000"/>
    <n v="6729916.5"/>
  </r>
  <r>
    <m/>
    <s v="A"/>
    <x v="6"/>
    <x v="0"/>
    <n v="1"/>
    <n v="2"/>
    <x v="141"/>
    <s v="2 BEDROOM"/>
    <x v="0"/>
    <n v="97.06"/>
    <n v="106.39370790716082"/>
    <n v="119"/>
    <m/>
    <m/>
    <s v="SW"/>
    <s v="MIDDLE"/>
    <s v="LAKE A-2"/>
    <s v="FIRST"/>
    <s v="B"/>
    <n v="0.06"/>
    <n v="2.5000000000000001E-2"/>
    <n v="0.4"/>
    <n v="7.0000000000000007E-2"/>
    <n v="0.04"/>
    <n v="0.59499999999999997"/>
    <x v="1"/>
    <s v="R 2"/>
    <n v="43562.499999999993"/>
    <n v="48687.499999999993"/>
    <n v="5125"/>
    <n v="3049.375"/>
    <n v="46611.874999999993"/>
    <n v="15381.918749999999"/>
    <n v="51111.874999999993"/>
    <n v="54111.874999999993"/>
    <n v="5546813.1249999991"/>
    <n v="6082313.1249999991"/>
    <n v="6439313.1249999991"/>
    <n v="0"/>
    <n v="471479.11562499998"/>
    <n v="1"/>
    <n v="204999.99999999997"/>
    <n v="204999.99999999997"/>
    <n v="5751813.1249999991"/>
  </r>
  <r>
    <m/>
    <s v="A"/>
    <x v="6"/>
    <x v="0"/>
    <n v="1"/>
    <n v="3"/>
    <x v="142"/>
    <s v="2 BEDROOM"/>
    <x v="0"/>
    <n v="89.05"/>
    <n v="97.613431785830102"/>
    <n v="110"/>
    <m/>
    <m/>
    <s v="SW"/>
    <s v="MIDDLE"/>
    <s v="LAKE A-2"/>
    <s v="FIRST"/>
    <s v="B"/>
    <n v="0.06"/>
    <n v="2.5000000000000001E-2"/>
    <n v="0.4"/>
    <n v="7.0000000000000007E-2"/>
    <n v="0.04"/>
    <n v="0.59499999999999997"/>
    <x v="1"/>
    <s v="R 2"/>
    <n v="43562.499999999993"/>
    <n v="48687.499999999993"/>
    <n v="5125"/>
    <n v="3049.375"/>
    <n v="46611.874999999993"/>
    <n v="15381.918749999999"/>
    <n v="51111.874999999993"/>
    <n v="54111.874999999993"/>
    <n v="5127306.2499999991"/>
    <n v="5622306.2499999991"/>
    <n v="5952306.2499999991"/>
    <n v="0"/>
    <n v="435821.03124999994"/>
    <n v="1"/>
    <n v="204999.99999999997"/>
    <n v="204999.99999999997"/>
    <n v="5332306.2499999991"/>
  </r>
  <r>
    <m/>
    <s v="A"/>
    <x v="6"/>
    <x v="0"/>
    <n v="1"/>
    <n v="4"/>
    <x v="143"/>
    <s v="1 BEDROOM (STUDIO)"/>
    <x v="0"/>
    <n v="61.82"/>
    <n v="67.764877630544831"/>
    <n v="76"/>
    <m/>
    <m/>
    <s v="NE"/>
    <s v="MIDDLE"/>
    <s v="ROAD 18M (BUILDINGS)"/>
    <s v="FIRST"/>
    <s v="A"/>
    <n v="0.15"/>
    <n v="2.5000000000000001E-2"/>
    <n v="0.15"/>
    <n v="7.0000000000000007E-2"/>
    <n v="0.05"/>
    <n v="0.44499999999999995"/>
    <x v="0"/>
    <s v="R 9"/>
    <n v="53550"/>
    <n v="59850"/>
    <n v="6300"/>
    <n v="2803.4999999999995"/>
    <n v="56353.5"/>
    <n v="18596.655000000002"/>
    <n v="60853.5"/>
    <n v="63853.5"/>
    <n v="4282866"/>
    <n v="4624866"/>
    <n v="4852866"/>
    <n v="0"/>
    <n v="364043.61000000004"/>
    <n v="1"/>
    <n v="252000"/>
    <n v="252000"/>
    <n v="4534866"/>
  </r>
  <r>
    <m/>
    <s v="A"/>
    <x v="6"/>
    <x v="0"/>
    <n v="2"/>
    <n v="1"/>
    <x v="144"/>
    <s v="2 BEDROOM"/>
    <x v="0"/>
    <n v="98.95"/>
    <n v="108.46545845264333"/>
    <n v="122"/>
    <m/>
    <m/>
    <s v="NE"/>
    <s v="MIDDLE"/>
    <s v="ROAD 18M (BUILDINGS)"/>
    <s v="SECOND"/>
    <s v="B"/>
    <n v="0.15"/>
    <n v="2.5000000000000001E-2"/>
    <n v="0.15"/>
    <n v="0.11"/>
    <n v="0.04"/>
    <n v="0.47499999999999992"/>
    <x v="0"/>
    <s v="R 12"/>
    <n v="61625"/>
    <n v="68875"/>
    <n v="7250"/>
    <n v="3443.7499999999995"/>
    <n v="65068.75"/>
    <n v="21472.6875"/>
    <n v="69568.75"/>
    <n v="72568.75"/>
    <n v="7938387.5"/>
    <n v="8487387.5"/>
    <n v="8853387.5"/>
    <n v="0"/>
    <n v="674762.9375"/>
    <n v="1"/>
    <n v="290000"/>
    <n v="290000"/>
    <n v="8228387.5"/>
  </r>
  <r>
    <m/>
    <s v="A"/>
    <x v="6"/>
    <x v="0"/>
    <n v="2"/>
    <n v="2"/>
    <x v="145"/>
    <s v="2 BEDROOM"/>
    <x v="0"/>
    <n v="98.95"/>
    <n v="108.46545845264333"/>
    <n v="122"/>
    <m/>
    <m/>
    <s v="SW"/>
    <s v="MIDDLE"/>
    <s v="LAKE A-2"/>
    <s v="SECOND"/>
    <s v="B"/>
    <n v="0.06"/>
    <n v="2.5000000000000001E-2"/>
    <n v="0.4"/>
    <n v="0.11"/>
    <n v="0.04"/>
    <n v="0.63500000000000001"/>
    <x v="1"/>
    <s v="R 4"/>
    <n v="45687.5"/>
    <n v="51062.5"/>
    <n v="5375"/>
    <n v="3413.125"/>
    <n v="49100.625"/>
    <n v="16203.206250000001"/>
    <n v="53600.625"/>
    <n v="56600.625"/>
    <n v="5990276.25"/>
    <n v="6539276.25"/>
    <n v="6905276.25"/>
    <n v="0"/>
    <n v="509173.48125000001"/>
    <n v="1"/>
    <n v="215000"/>
    <n v="215000"/>
    <n v="6205276.25"/>
  </r>
  <r>
    <m/>
    <s v="A"/>
    <x v="6"/>
    <x v="0"/>
    <n v="2"/>
    <n v="3"/>
    <x v="146"/>
    <s v="2 BEDROOM"/>
    <x v="0"/>
    <n v="90.91"/>
    <n v="99.652297402019258"/>
    <n v="112"/>
    <m/>
    <m/>
    <s v="SW"/>
    <s v="MIDDLE"/>
    <s v="LAKE A-2"/>
    <s v="SECOND"/>
    <s v="B"/>
    <n v="0.06"/>
    <n v="2.5000000000000001E-2"/>
    <n v="0.4"/>
    <n v="0.11"/>
    <n v="0.04"/>
    <n v="0.63500000000000001"/>
    <x v="1"/>
    <s v="R 4"/>
    <n v="45687.5"/>
    <n v="51062.5"/>
    <n v="5375"/>
    <n v="3413.125"/>
    <n v="49100.625"/>
    <n v="16203.206250000001"/>
    <n v="53600.625"/>
    <n v="56600.625"/>
    <n v="5499270"/>
    <n v="6003270"/>
    <n v="6339270"/>
    <n v="0"/>
    <n v="467437.95"/>
    <n v="1"/>
    <n v="215000"/>
    <n v="215000"/>
    <n v="5714270"/>
  </r>
  <r>
    <m/>
    <s v="A"/>
    <x v="6"/>
    <x v="0"/>
    <n v="2"/>
    <n v="4"/>
    <x v="147"/>
    <s v="2 BEDROOM"/>
    <x v="0"/>
    <n v="90.91"/>
    <n v="99.652297402019258"/>
    <n v="112"/>
    <m/>
    <m/>
    <s v="NE"/>
    <s v="MIDDLE"/>
    <s v="ROAD 18M (BUILDINGS)"/>
    <s v="SECOND"/>
    <s v="B"/>
    <n v="0.15"/>
    <n v="2.5000000000000001E-2"/>
    <n v="0.15"/>
    <n v="0.11"/>
    <n v="0.04"/>
    <n v="0.47499999999999992"/>
    <x v="0"/>
    <s v="R 12"/>
    <n v="61625"/>
    <n v="68875"/>
    <n v="7250"/>
    <n v="3443.7499999999995"/>
    <n v="65068.75"/>
    <n v="21472.6875"/>
    <n v="69568.75"/>
    <n v="72568.75"/>
    <n v="7287700"/>
    <n v="7791700"/>
    <n v="8127700"/>
    <n v="0"/>
    <n v="619454.5"/>
    <n v="1"/>
    <n v="290000"/>
    <n v="290000"/>
    <n v="7577700"/>
  </r>
  <r>
    <m/>
    <s v="A"/>
    <x v="6"/>
    <x v="0"/>
    <n v="3"/>
    <n v="1"/>
    <x v="148"/>
    <s v="2 BEDROOM"/>
    <x v="0"/>
    <n v="97.09"/>
    <n v="106.42659283645419"/>
    <n v="119"/>
    <m/>
    <m/>
    <s v="NE"/>
    <s v="MIDDLE"/>
    <s v="ROAD 18M (BUILDINGS)"/>
    <s v="THIRD"/>
    <s v="B"/>
    <n v="0.15"/>
    <n v="2.5000000000000001E-2"/>
    <n v="0.15"/>
    <n v="0.15"/>
    <n v="0.04"/>
    <n v="0.51500000000000001"/>
    <x v="1"/>
    <s v="R 1"/>
    <n v="42500"/>
    <n v="47500"/>
    <n v="5000"/>
    <n v="2575"/>
    <n v="45075"/>
    <n v="14874.75"/>
    <n v="49575"/>
    <n v="52575"/>
    <n v="5363925"/>
    <n v="5899425"/>
    <n v="6256425"/>
    <n v="0"/>
    <n v="455933.62500000006"/>
    <n v="1"/>
    <n v="200000"/>
    <n v="200000"/>
    <n v="5563925"/>
  </r>
  <r>
    <m/>
    <s v="A"/>
    <x v="6"/>
    <x v="0"/>
    <n v="3"/>
    <n v="2"/>
    <x v="149"/>
    <s v="2 BEDROOM"/>
    <x v="0"/>
    <n v="97.09"/>
    <n v="106.42659283645419"/>
    <n v="119"/>
    <m/>
    <m/>
    <s v="SW"/>
    <s v="MIDDLE"/>
    <s v="LAKE A-2"/>
    <s v="THIRD"/>
    <s v="B"/>
    <n v="0.06"/>
    <n v="2.5000000000000001E-2"/>
    <n v="0.4"/>
    <n v="0.15"/>
    <n v="0.04"/>
    <n v="0.67500000000000004"/>
    <x v="1"/>
    <s v="R 6"/>
    <n v="48450.000000000007"/>
    <n v="54150.000000000007"/>
    <n v="5700"/>
    <n v="3847.5000000000005"/>
    <n v="52297.500000000007"/>
    <n v="17258.175000000003"/>
    <n v="56797.500000000007"/>
    <n v="59797.500000000007"/>
    <n v="6223402.5000000009"/>
    <n v="6758902.5000000009"/>
    <n v="7115902.5000000009"/>
    <n v="0"/>
    <n v="528989.21250000014"/>
    <n v="1"/>
    <n v="228000.00000000003"/>
    <n v="228000.00000000003"/>
    <n v="6451402.5000000009"/>
  </r>
  <r>
    <m/>
    <s v="A"/>
    <x v="6"/>
    <x v="0"/>
    <n v="3"/>
    <n v="3"/>
    <x v="150"/>
    <s v="2 BEDROOM"/>
    <x v="0"/>
    <n v="89.05"/>
    <n v="97.613431785830102"/>
    <n v="110"/>
    <m/>
    <m/>
    <s v="SW"/>
    <s v="MIDDLE"/>
    <s v="LAKE A-2"/>
    <s v="THIRD"/>
    <s v="B"/>
    <n v="0.06"/>
    <n v="2.5000000000000001E-2"/>
    <n v="0.4"/>
    <n v="0.15"/>
    <n v="0.04"/>
    <n v="0.67500000000000004"/>
    <x v="1"/>
    <s v="R 6"/>
    <n v="48450.000000000007"/>
    <n v="54150.000000000007"/>
    <n v="5700"/>
    <n v="3847.5000000000005"/>
    <n v="52297.500000000007"/>
    <n v="17258.175000000003"/>
    <n v="56797.500000000007"/>
    <n v="59797.500000000007"/>
    <n v="5752725.0000000009"/>
    <n v="6247725.0000000009"/>
    <n v="6577725.0000000009"/>
    <n v="0"/>
    <n v="488981.62500000012"/>
    <n v="1"/>
    <n v="228000.00000000003"/>
    <n v="228000.00000000003"/>
    <n v="5980725.0000000009"/>
  </r>
  <r>
    <m/>
    <s v="A"/>
    <x v="6"/>
    <x v="0"/>
    <n v="3"/>
    <n v="4"/>
    <x v="151"/>
    <s v="2 BEDROOM"/>
    <x v="0"/>
    <n v="89.05"/>
    <n v="97.613431785830102"/>
    <n v="110"/>
    <m/>
    <m/>
    <s v="NE"/>
    <s v="MIDDLE"/>
    <s v="ROAD 18M (BUILDINGS)"/>
    <s v="THIRD"/>
    <s v="B"/>
    <n v="0.15"/>
    <n v="2.5000000000000001E-2"/>
    <n v="0.15"/>
    <n v="0.15"/>
    <n v="0.04"/>
    <n v="0.51500000000000001"/>
    <x v="1"/>
    <s v="R 1"/>
    <n v="42500"/>
    <n v="47500"/>
    <n v="5000"/>
    <n v="2575"/>
    <n v="45075"/>
    <n v="14874.75"/>
    <n v="49575"/>
    <n v="52575"/>
    <n v="4958250"/>
    <n v="5453250"/>
    <n v="5783250"/>
    <n v="0"/>
    <n v="421451.25000000006"/>
    <n v="1"/>
    <n v="200000"/>
    <n v="200000"/>
    <n v="5158250"/>
  </r>
  <r>
    <m/>
    <s v="A"/>
    <x v="6"/>
    <x v="0"/>
    <n v="4"/>
    <n v="1"/>
    <x v="152"/>
    <s v="2 BEDROOM"/>
    <x v="0"/>
    <n v="97.17"/>
    <n v="106.51428598123651"/>
    <n v="120"/>
    <m/>
    <m/>
    <s v="NE"/>
    <s v="MIDDLE"/>
    <s v="ROAD 18M (BUILDINGS)"/>
    <s v="FORTH"/>
    <s v="B"/>
    <n v="0.15"/>
    <n v="2.5000000000000001E-2"/>
    <n v="0.15"/>
    <n v="0.06"/>
    <n v="0.04"/>
    <n v="0.42499999999999993"/>
    <x v="0"/>
    <s v="R 7"/>
    <n v="50150"/>
    <n v="56050"/>
    <n v="5900"/>
    <n v="2507.4999999999995"/>
    <n v="52657.5"/>
    <n v="17376.975000000002"/>
    <n v="57157.5"/>
    <n v="60157.5"/>
    <n v="6318900"/>
    <n v="6858900"/>
    <n v="7218900"/>
    <n v="0"/>
    <n v="537106.5"/>
    <n v="1"/>
    <n v="236000"/>
    <n v="236000"/>
    <n v="6554900"/>
  </r>
  <r>
    <m/>
    <s v="A"/>
    <x v="6"/>
    <x v="0"/>
    <n v="4"/>
    <n v="2"/>
    <x v="153"/>
    <s v="2 BEDROOM"/>
    <x v="0"/>
    <n v="98.57"/>
    <n v="108.04891601492726"/>
    <n v="121"/>
    <m/>
    <m/>
    <s v="SW"/>
    <s v="MIDDLE"/>
    <s v="LAKE A-2"/>
    <s v="FORTH"/>
    <s v="B"/>
    <n v="0.06"/>
    <n v="2.5000000000000001E-2"/>
    <n v="0.4"/>
    <n v="0.06"/>
    <n v="0.04"/>
    <n v="0.58499999999999996"/>
    <x v="1"/>
    <s v="R 1"/>
    <n v="42500"/>
    <n v="47500"/>
    <n v="5000"/>
    <n v="2925"/>
    <n v="45425"/>
    <n v="14990.25"/>
    <n v="49925"/>
    <n v="52925"/>
    <n v="5496425"/>
    <n v="6040925"/>
    <n v="6403925"/>
    <n v="0"/>
    <n v="467196.12500000006"/>
    <n v="1"/>
    <n v="200000"/>
    <n v="200000"/>
    <n v="5696425"/>
  </r>
  <r>
    <m/>
    <s v="A"/>
    <x v="6"/>
    <x v="0"/>
    <n v="4"/>
    <n v="3"/>
    <x v="154"/>
    <s v="2 BEDROOM"/>
    <x v="0"/>
    <n v="90.52"/>
    <n v="99.224793321205397"/>
    <n v="111"/>
    <m/>
    <m/>
    <s v="SW"/>
    <s v="MIDDLE"/>
    <s v="LAKE A-2"/>
    <s v="FORTH"/>
    <s v="B"/>
    <n v="0.06"/>
    <n v="2.5000000000000001E-2"/>
    <n v="0.4"/>
    <n v="0.06"/>
    <n v="0.04"/>
    <n v="0.58499999999999996"/>
    <x v="1"/>
    <s v="R 1"/>
    <n v="42500"/>
    <n v="47500"/>
    <n v="5000"/>
    <n v="2925"/>
    <n v="45425"/>
    <n v="14990.25"/>
    <n v="49925"/>
    <n v="52925"/>
    <n v="5042175"/>
    <n v="5541675"/>
    <n v="5874675"/>
    <n v="0"/>
    <n v="428584.87500000006"/>
    <n v="1"/>
    <n v="200000"/>
    <n v="200000"/>
    <n v="5242175"/>
  </r>
  <r>
    <m/>
    <s v="A"/>
    <x v="6"/>
    <x v="0"/>
    <n v="4"/>
    <n v="4"/>
    <x v="155"/>
    <s v="2 BEDROOM"/>
    <x v="0"/>
    <n v="89.12"/>
    <n v="97.69016328751465"/>
    <n v="110"/>
    <m/>
    <m/>
    <s v="NE"/>
    <s v="MIDDLE"/>
    <s v="ROAD 18M (BUILDINGS)"/>
    <s v="FORTH"/>
    <s v="B"/>
    <n v="0.15"/>
    <n v="2.5000000000000001E-2"/>
    <n v="0.15"/>
    <n v="0.06"/>
    <n v="0.04"/>
    <n v="0.42499999999999993"/>
    <x v="0"/>
    <s v="R 8"/>
    <n v="51850"/>
    <n v="57950"/>
    <n v="6100"/>
    <n v="2592.4999999999995"/>
    <n v="54442.5"/>
    <n v="17966.025000000001"/>
    <n v="58942.5"/>
    <n v="61942.5"/>
    <n v="5988675"/>
    <n v="6483675"/>
    <n v="6813675"/>
    <n v="0"/>
    <n v="509037.37500000006"/>
    <n v="1"/>
    <n v="244000"/>
    <n v="244000"/>
    <n v="6232675"/>
  </r>
  <r>
    <s v="A'"/>
    <s v="A"/>
    <x v="7"/>
    <x v="0"/>
    <n v="0"/>
    <n v="1"/>
    <x v="156"/>
    <s v="1 BEDROOM (STUDIO)"/>
    <x v="0"/>
    <n v="60.98"/>
    <n v="66.556564006124674"/>
    <n v="75"/>
    <n v="23.800799999999999"/>
    <m/>
    <s v="NE"/>
    <s v="MIDDLE"/>
    <s v="ROAD 18M (BUILDINGS)"/>
    <s v="GROUND"/>
    <s v="A"/>
    <n v="0.15"/>
    <n v="2.5000000000000001E-2"/>
    <n v="0.15"/>
    <n v="0.05"/>
    <n v="0.05"/>
    <n v="0.42499999999999993"/>
    <x v="0"/>
    <s v="R 8"/>
    <n v="51850"/>
    <n v="57950"/>
    <n v="6100"/>
    <n v="2592.4999999999995"/>
    <n v="54442.5"/>
    <n v="17966.025000000001"/>
    <n v="58942.5"/>
    <n v="61942.5"/>
    <n v="4083187.5"/>
    <n v="4420687.5"/>
    <n v="4645687.5"/>
    <n v="427605.76782000001"/>
    <n v="383417.42776470003"/>
    <n v="1"/>
    <n v="244000"/>
    <n v="244000"/>
    <n v="4754793.2678199997"/>
  </r>
  <r>
    <m/>
    <s v="A"/>
    <x v="7"/>
    <x v="0"/>
    <n v="0"/>
    <n v="2"/>
    <x v="157"/>
    <s v="2 BEDROOM"/>
    <x v="0"/>
    <n v="89.96"/>
    <n v="98.186757920481725"/>
    <n v="111"/>
    <n v="50.507800000000003"/>
    <m/>
    <s v="SW"/>
    <s v="MIDDLE"/>
    <s v="LAKE A-2"/>
    <s v="GROUND"/>
    <s v="B"/>
    <n v="0.06"/>
    <n v="2.5000000000000001E-2"/>
    <n v="0.4"/>
    <n v="0.05"/>
    <n v="0.04"/>
    <n v="0.57500000000000007"/>
    <x v="1"/>
    <s v="R 1"/>
    <n v="42500"/>
    <n v="47500"/>
    <n v="5000"/>
    <n v="2875.0000000000005"/>
    <n v="45375"/>
    <n v="14973.75"/>
    <n v="49875"/>
    <n v="52875"/>
    <n v="5036625"/>
    <n v="5536125"/>
    <n v="5869125"/>
    <n v="756291.17025000008"/>
    <n v="492397.87447125005"/>
    <n v="1"/>
    <n v="200000"/>
    <n v="200000"/>
    <n v="5992916.1702500004"/>
  </r>
  <r>
    <m/>
    <s v="A"/>
    <x v="7"/>
    <x v="0"/>
    <n v="0"/>
    <n v="3"/>
    <x v="158"/>
    <s v="2 BEDROOM"/>
    <x v="0"/>
    <n v="110.14"/>
    <n v="120.21220005960269"/>
    <n v="135"/>
    <n v="59.482100000000003"/>
    <m/>
    <s v="SW"/>
    <s v="CORNER "/>
    <s v="LAKE A-2"/>
    <s v="GROUND"/>
    <s v="C"/>
    <n v="0.06"/>
    <n v="0.05"/>
    <n v="0.4"/>
    <n v="0.05"/>
    <n v="3.5000000000000003E-2"/>
    <n v="0.59500000000000008"/>
    <x v="1"/>
    <s v="R 2"/>
    <n v="43562.499999999993"/>
    <n v="48687.499999999993"/>
    <n v="5125"/>
    <n v="3049.3750000000005"/>
    <n v="46611.874999999993"/>
    <n v="15381.918749999999"/>
    <n v="51111.874999999993"/>
    <n v="54111.874999999993"/>
    <n v="6292603.1249999991"/>
    <n v="6900103.1249999991"/>
    <n v="7305103.1249999991"/>
    <n v="914948.82927937503"/>
    <n v="612641.91611374682"/>
    <n v="2"/>
    <n v="204999.99999999997"/>
    <n v="204999.99999999997"/>
    <n v="7412551.9542793743"/>
  </r>
  <r>
    <m/>
    <s v="A"/>
    <x v="7"/>
    <x v="0"/>
    <n v="0"/>
    <n v="4"/>
    <x v="159"/>
    <s v="2 BEDROOM"/>
    <x v="0"/>
    <n v="110.32"/>
    <n v="120.40866089136887"/>
    <n v="136"/>
    <n v="50.038899999999998"/>
    <m/>
    <s v="NE"/>
    <s v="CORNER "/>
    <s v="ROAD 18M (BUILDINGS)"/>
    <s v="GROUND"/>
    <s v="C"/>
    <n v="0.15"/>
    <n v="0.05"/>
    <n v="0.15"/>
    <n v="0.05"/>
    <n v="3.5000000000000003E-2"/>
    <n v="0.43499999999999994"/>
    <x v="0"/>
    <s v="R 8"/>
    <n v="51850"/>
    <n v="57950"/>
    <n v="6100"/>
    <n v="2653.4999999999995"/>
    <n v="54503.5"/>
    <n v="17986.155000000002"/>
    <n v="59003.5"/>
    <n v="62003.5"/>
    <n v="7412476"/>
    <n v="8024476"/>
    <n v="8432476"/>
    <n v="900007.41142950009"/>
    <n v="706561.08997150755"/>
    <n v="2"/>
    <n v="244000"/>
    <n v="244000"/>
    <n v="8556483.4114295002"/>
  </r>
  <r>
    <m/>
    <s v="A"/>
    <x v="7"/>
    <x v="0"/>
    <n v="1"/>
    <n v="1"/>
    <x v="160"/>
    <s v="1 BEDROOM (STUDIO)"/>
    <x v="0"/>
    <n v="61.82"/>
    <n v="67.473381221033577"/>
    <n v="76"/>
    <m/>
    <m/>
    <s v="NE"/>
    <s v="MIDDLE"/>
    <s v="ROAD 18M (BUILDINGS)"/>
    <s v="FIRST"/>
    <s v="A"/>
    <n v="0.15"/>
    <n v="2.5000000000000001E-2"/>
    <n v="0.15"/>
    <n v="7.0000000000000007E-2"/>
    <n v="0.05"/>
    <n v="0.44499999999999995"/>
    <x v="0"/>
    <s v="R 9"/>
    <n v="53550"/>
    <n v="59850"/>
    <n v="6300"/>
    <n v="2803.4999999999995"/>
    <n v="56353.5"/>
    <n v="18596.655000000002"/>
    <n v="60853.5"/>
    <n v="63853.5"/>
    <n v="4282866"/>
    <n v="4624866"/>
    <n v="4852866"/>
    <n v="0"/>
    <n v="364043.61000000004"/>
    <n v="1"/>
    <n v="252000"/>
    <n v="252000"/>
    <n v="4534866"/>
  </r>
  <r>
    <m/>
    <s v="A"/>
    <x v="7"/>
    <x v="0"/>
    <n v="1"/>
    <n v="2"/>
    <x v="161"/>
    <s v="2 BEDROOM"/>
    <x v="0"/>
    <n v="89.05"/>
    <n v="97.193539270997093"/>
    <n v="110"/>
    <m/>
    <m/>
    <s v="SW"/>
    <s v="MIDDLE"/>
    <s v="LAKE A-2"/>
    <s v="FIRST"/>
    <s v="B"/>
    <n v="0.06"/>
    <n v="2.5000000000000001E-2"/>
    <n v="0.4"/>
    <n v="7.0000000000000007E-2"/>
    <n v="0.04"/>
    <n v="0.59499999999999997"/>
    <x v="1"/>
    <s v="R 2"/>
    <n v="43562.499999999993"/>
    <n v="48687.499999999993"/>
    <n v="5125"/>
    <n v="3049.375"/>
    <n v="46611.874999999993"/>
    <n v="15381.918749999999"/>
    <n v="51111.874999999993"/>
    <n v="54111.874999999993"/>
    <n v="5127306.2499999991"/>
    <n v="5622306.2499999991"/>
    <n v="5952306.2499999991"/>
    <n v="0"/>
    <n v="435821.03124999994"/>
    <n v="1"/>
    <n v="204999.99999999997"/>
    <n v="204999.99999999997"/>
    <n v="5332306.2499999991"/>
  </r>
  <r>
    <m/>
    <s v="A"/>
    <x v="7"/>
    <x v="0"/>
    <n v="1"/>
    <n v="3"/>
    <x v="162"/>
    <s v="2 BEDROOM"/>
    <x v="0"/>
    <n v="110.14"/>
    <n v="120.21220005960269"/>
    <n v="135"/>
    <m/>
    <m/>
    <s v="SW"/>
    <s v="CORNER "/>
    <s v="LAKE A-2"/>
    <s v="FIRST"/>
    <s v="C"/>
    <n v="0.06"/>
    <n v="0.05"/>
    <n v="0.4"/>
    <n v="7.0000000000000007E-2"/>
    <n v="3.5000000000000003E-2"/>
    <n v="0.6150000000000001"/>
    <x v="1"/>
    <s v="R 3"/>
    <n v="44625"/>
    <n v="49875"/>
    <n v="5250"/>
    <n v="3228.7500000000005"/>
    <n v="47853.75"/>
    <n v="15791.737500000001"/>
    <n v="52353.75"/>
    <n v="55353.75"/>
    <n v="6460256.25"/>
    <n v="7067756.25"/>
    <n v="7472756.25"/>
    <n v="0"/>
    <n v="549121.78125"/>
    <n v="2"/>
    <n v="210000"/>
    <n v="210000"/>
    <n v="6670256.25"/>
  </r>
  <r>
    <m/>
    <s v="A"/>
    <x v="7"/>
    <x v="0"/>
    <n v="1"/>
    <n v="4"/>
    <x v="163"/>
    <s v="2 BEDROOM"/>
    <x v="0"/>
    <n v="110.61"/>
    <n v="120.72518112032553"/>
    <n v="136"/>
    <m/>
    <m/>
    <s v="NE"/>
    <s v="CORNER "/>
    <s v="ROAD 18M (BUILDINGS)"/>
    <s v="FIRST"/>
    <s v="C"/>
    <n v="0.15"/>
    <n v="0.05"/>
    <n v="0.15"/>
    <n v="7.0000000000000007E-2"/>
    <n v="3.5000000000000003E-2"/>
    <n v="0.45499999999999996"/>
    <x v="0"/>
    <s v="R 10"/>
    <n v="56100"/>
    <n v="62700"/>
    <n v="6600"/>
    <n v="3002.9999999999995"/>
    <n v="59103"/>
    <n v="19503.990000000002"/>
    <n v="63603"/>
    <n v="66603"/>
    <n v="8038008"/>
    <n v="8650008"/>
    <n v="9058008"/>
    <n v="0"/>
    <n v="683230.68"/>
    <n v="2"/>
    <n v="264000"/>
    <n v="264000"/>
    <n v="8302008"/>
  </r>
  <r>
    <m/>
    <s v="A"/>
    <x v="7"/>
    <x v="0"/>
    <n v="2"/>
    <n v="1"/>
    <x v="164"/>
    <s v="2 BEDROOM"/>
    <x v="0"/>
    <n v="90.91"/>
    <n v="99.223634532581073"/>
    <n v="112"/>
    <m/>
    <m/>
    <s v="NE"/>
    <s v="MIDDLE"/>
    <s v="ROAD 18M (BUILDINGS)"/>
    <s v="SECOND"/>
    <s v="B"/>
    <n v="0.15"/>
    <n v="2.5000000000000001E-2"/>
    <n v="0.15"/>
    <n v="0.11"/>
    <n v="0.04"/>
    <n v="0.47499999999999992"/>
    <x v="0"/>
    <s v="R 12"/>
    <n v="61625"/>
    <n v="68875"/>
    <n v="7250"/>
    <n v="3443.7499999999995"/>
    <n v="65068.75"/>
    <n v="21472.6875"/>
    <n v="69568.75"/>
    <n v="72568.75"/>
    <n v="7287700"/>
    <n v="7791700"/>
    <n v="8127700"/>
    <n v="0"/>
    <n v="619454.5"/>
    <n v="1"/>
    <n v="290000"/>
    <n v="290000"/>
    <n v="7577700"/>
  </r>
  <r>
    <m/>
    <s v="A"/>
    <x v="7"/>
    <x v="0"/>
    <n v="2"/>
    <n v="2"/>
    <x v="165"/>
    <s v="2 BEDROOM"/>
    <x v="0"/>
    <n v="90.91"/>
    <n v="99.223634532581073"/>
    <n v="112"/>
    <m/>
    <m/>
    <s v="SW"/>
    <s v="MIDDLE"/>
    <s v="LAKE A-2"/>
    <s v="SECOND"/>
    <s v="B"/>
    <n v="0.06"/>
    <n v="2.5000000000000001E-2"/>
    <n v="0.4"/>
    <n v="0.11"/>
    <n v="0.04"/>
    <n v="0.63500000000000001"/>
    <x v="1"/>
    <s v="R 4"/>
    <n v="45687.5"/>
    <n v="51062.5"/>
    <n v="5375"/>
    <n v="3413.125"/>
    <n v="49100.625"/>
    <n v="16203.206250000001"/>
    <n v="53600.625"/>
    <n v="56600.625"/>
    <n v="5499270"/>
    <n v="6003270"/>
    <n v="6339270"/>
    <n v="0"/>
    <n v="467437.95"/>
    <n v="1"/>
    <n v="215000"/>
    <n v="215000"/>
    <n v="5714270"/>
  </r>
  <r>
    <m/>
    <s v="A"/>
    <x v="7"/>
    <x v="0"/>
    <n v="2"/>
    <n v="3"/>
    <x v="166"/>
    <s v="2 BEDROOM"/>
    <x v="0"/>
    <n v="112.2"/>
    <n v="122.46058513426023"/>
    <n v="138"/>
    <m/>
    <m/>
    <s v="SW"/>
    <s v="CORNER "/>
    <s v="LAKE A-2"/>
    <s v="SECOND"/>
    <s v="C"/>
    <n v="0.06"/>
    <n v="0.05"/>
    <n v="0.4"/>
    <n v="0.11"/>
    <n v="3.5000000000000003E-2"/>
    <n v="0.65500000000000003"/>
    <x v="1"/>
    <s v="R 5"/>
    <n v="46750.000000000007"/>
    <n v="52250.000000000007"/>
    <n v="5500"/>
    <n v="3602.5"/>
    <n v="50352.500000000007"/>
    <n v="16616.325000000004"/>
    <n v="54852.500000000007"/>
    <n v="57852.500000000007"/>
    <n v="6948645.0000000009"/>
    <n v="7569645.0000000009"/>
    <n v="7983645.0000000009"/>
    <n v="0"/>
    <n v="590634.82500000007"/>
    <n v="2"/>
    <n v="220000.00000000003"/>
    <n v="220000.00000000003"/>
    <n v="7168645.0000000009"/>
  </r>
  <r>
    <m/>
    <s v="A"/>
    <x v="7"/>
    <x v="0"/>
    <n v="2"/>
    <n v="4"/>
    <x v="167"/>
    <s v="2 BEDROOM"/>
    <x v="0"/>
    <n v="112.2"/>
    <n v="122.46058513426023"/>
    <n v="138"/>
    <m/>
    <m/>
    <s v="NE"/>
    <s v="CORNER "/>
    <s v="ROAD 18M (BUILDINGS)"/>
    <s v="SECOND"/>
    <s v="C"/>
    <n v="0.15"/>
    <n v="0.05"/>
    <n v="0.15"/>
    <n v="0.11"/>
    <n v="3.5000000000000003E-2"/>
    <n v="0.495"/>
    <x v="0"/>
    <s v="R 12"/>
    <n v="61625"/>
    <n v="68875"/>
    <n v="7250"/>
    <n v="3588.75"/>
    <n v="65213.75"/>
    <n v="21520.537500000002"/>
    <n v="69713.75"/>
    <n v="72713.75"/>
    <n v="8999497.5"/>
    <n v="9620497.5"/>
    <n v="10034497.5"/>
    <n v="0"/>
    <n v="764957.28750000009"/>
    <n v="2"/>
    <n v="290000"/>
    <n v="290000"/>
    <n v="9289497.5"/>
  </r>
  <r>
    <m/>
    <s v="A"/>
    <x v="7"/>
    <x v="0"/>
    <n v="3"/>
    <n v="1"/>
    <x v="168"/>
    <s v="2 BEDROOM"/>
    <x v="0"/>
    <n v="89.05"/>
    <n v="97.193539270997093"/>
    <n v="110"/>
    <m/>
    <m/>
    <s v="NE"/>
    <s v="MIDDLE"/>
    <s v="ROAD 18M (BUILDINGS)"/>
    <s v="THIRD"/>
    <s v="B"/>
    <n v="0.15"/>
    <n v="2.5000000000000001E-2"/>
    <n v="0.15"/>
    <n v="0.15"/>
    <n v="0.04"/>
    <n v="0.51500000000000001"/>
    <x v="1"/>
    <s v="R 1"/>
    <n v="42500"/>
    <n v="47500"/>
    <n v="5000"/>
    <n v="2575"/>
    <n v="45075"/>
    <n v="14874.75"/>
    <n v="49575"/>
    <n v="52575"/>
    <n v="4958250"/>
    <n v="5453250"/>
    <n v="5783250"/>
    <n v="0"/>
    <n v="421451.25000000006"/>
    <n v="1"/>
    <n v="200000"/>
    <n v="200000"/>
    <n v="5158250"/>
  </r>
  <r>
    <m/>
    <s v="A"/>
    <x v="7"/>
    <x v="0"/>
    <n v="3"/>
    <n v="2"/>
    <x v="169"/>
    <s v="2 BEDROOM"/>
    <x v="0"/>
    <n v="89.05"/>
    <n v="97.193539270997093"/>
    <n v="110"/>
    <m/>
    <m/>
    <s v="SW"/>
    <s v="MIDDLE"/>
    <s v="LAKE A-2"/>
    <s v="THIRD"/>
    <s v="B"/>
    <n v="0.06"/>
    <n v="2.5000000000000001E-2"/>
    <n v="0.4"/>
    <n v="0.15"/>
    <n v="0.04"/>
    <n v="0.67500000000000004"/>
    <x v="1"/>
    <s v="R 6"/>
    <n v="48450.000000000007"/>
    <n v="54150.000000000007"/>
    <n v="5700"/>
    <n v="3847.5000000000005"/>
    <n v="52297.500000000007"/>
    <n v="17258.175000000003"/>
    <n v="56797.500000000007"/>
    <n v="59797.500000000007"/>
    <n v="5752725.0000000009"/>
    <n v="6247725.0000000009"/>
    <n v="6577725.0000000009"/>
    <n v="0"/>
    <n v="488981.62500000012"/>
    <n v="1"/>
    <n v="228000.00000000003"/>
    <n v="228000.00000000003"/>
    <n v="5980725.0000000009"/>
  </r>
  <r>
    <m/>
    <s v="A"/>
    <x v="7"/>
    <x v="0"/>
    <n v="3"/>
    <n v="3"/>
    <x v="170"/>
    <s v="2 BEDROOM"/>
    <x v="0"/>
    <n v="110.14"/>
    <n v="120.21220005960269"/>
    <n v="135"/>
    <m/>
    <m/>
    <s v="SW"/>
    <s v="CORNER "/>
    <s v="LAKE A-2"/>
    <s v="THIRD"/>
    <s v="C"/>
    <n v="0.06"/>
    <n v="0.05"/>
    <n v="0.4"/>
    <n v="0.15"/>
    <n v="3.5000000000000003E-2"/>
    <n v="0.69500000000000006"/>
    <x v="1"/>
    <s v="R 8"/>
    <n v="51850"/>
    <n v="57950"/>
    <n v="6100"/>
    <n v="4239.5"/>
    <n v="56089.5"/>
    <n v="18509.535"/>
    <n v="60589.5"/>
    <n v="63589.5"/>
    <n v="7572082.5"/>
    <n v="8179582.5"/>
    <n v="8584582.5"/>
    <n v="0"/>
    <n v="643627.01250000007"/>
    <n v="2"/>
    <n v="244000"/>
    <n v="244000"/>
    <n v="7816082.5"/>
  </r>
  <r>
    <m/>
    <s v="A"/>
    <x v="7"/>
    <x v="0"/>
    <n v="3"/>
    <n v="4"/>
    <x v="171"/>
    <s v="2 BEDROOM"/>
    <x v="0"/>
    <n v="110.14"/>
    <n v="120.21220005960269"/>
    <n v="135"/>
    <m/>
    <m/>
    <s v="NE"/>
    <s v="CORNER "/>
    <s v="ROAD 18M (BUILDINGS)"/>
    <s v="THIRD"/>
    <s v="C"/>
    <n v="0.15"/>
    <n v="0.05"/>
    <n v="0.15"/>
    <n v="0.15"/>
    <n v="3.5000000000000003E-2"/>
    <n v="0.53500000000000003"/>
    <x v="1"/>
    <s v="R 1"/>
    <n v="42500"/>
    <n v="47500"/>
    <n v="5000"/>
    <n v="2675"/>
    <n v="45175"/>
    <n v="14907.75"/>
    <n v="49675"/>
    <n v="52675"/>
    <n v="6098625"/>
    <n v="6706125"/>
    <n v="7111125"/>
    <n v="0"/>
    <n v="518383.12500000006"/>
    <n v="2"/>
    <n v="200000"/>
    <n v="200000"/>
    <n v="6298625"/>
  </r>
  <r>
    <m/>
    <s v="A"/>
    <x v="7"/>
    <x v="0"/>
    <n v="4"/>
    <n v="1"/>
    <x v="172"/>
    <s v="2 BEDROOM"/>
    <x v="0"/>
    <n v="89.12"/>
    <n v="97.269940705572836"/>
    <n v="110"/>
    <m/>
    <m/>
    <s v="NE"/>
    <s v="MIDDLE"/>
    <s v="ROAD 18M (BUILDINGS)"/>
    <s v="FORTH"/>
    <s v="B"/>
    <n v="0.15"/>
    <n v="2.5000000000000001E-2"/>
    <n v="0.15"/>
    <n v="0.06"/>
    <n v="0.04"/>
    <n v="0.42499999999999993"/>
    <x v="0"/>
    <s v="R 7"/>
    <n v="50150"/>
    <n v="56050"/>
    <n v="5900"/>
    <n v="2507.4999999999995"/>
    <n v="52657.5"/>
    <n v="17376.975000000002"/>
    <n v="57157.5"/>
    <n v="60157.5"/>
    <n v="5792325"/>
    <n v="6287325"/>
    <n v="6617325"/>
    <n v="0"/>
    <n v="492347.62500000006"/>
    <n v="1"/>
    <n v="236000"/>
    <n v="236000"/>
    <n v="6028325"/>
  </r>
  <r>
    <m/>
    <s v="A"/>
    <x v="7"/>
    <x v="0"/>
    <n v="4"/>
    <n v="2"/>
    <x v="173"/>
    <s v="2 BEDROOM"/>
    <x v="0"/>
    <n v="89.12"/>
    <n v="97.269940705572836"/>
    <n v="110"/>
    <m/>
    <m/>
    <s v="SW"/>
    <s v="MIDDLE"/>
    <s v="LAKE A-2"/>
    <s v="FORTH"/>
    <s v="B"/>
    <n v="0.06"/>
    <n v="2.5000000000000001E-2"/>
    <n v="0.4"/>
    <n v="0.06"/>
    <n v="0.04"/>
    <n v="0.58499999999999996"/>
    <x v="1"/>
    <s v="R 1"/>
    <n v="42500"/>
    <n v="47500"/>
    <n v="5000"/>
    <n v="2925"/>
    <n v="45425"/>
    <n v="14990.25"/>
    <n v="49925"/>
    <n v="52925"/>
    <n v="4996750"/>
    <n v="5491750"/>
    <n v="5821750"/>
    <n v="0"/>
    <n v="424723.75000000006"/>
    <n v="1"/>
    <n v="200000"/>
    <n v="200000"/>
    <n v="5196750"/>
  </r>
  <r>
    <m/>
    <s v="A"/>
    <x v="7"/>
    <x v="0"/>
    <n v="4"/>
    <n v="3"/>
    <x v="174"/>
    <s v="2 BEDROOM"/>
    <x v="0"/>
    <n v="110.18"/>
    <n v="120.25585802221741"/>
    <n v="136"/>
    <m/>
    <m/>
    <s v="SW"/>
    <s v="CORNER "/>
    <s v="LAKE A-2"/>
    <s v="FORTH"/>
    <s v="C"/>
    <n v="0.06"/>
    <n v="0.05"/>
    <n v="0.4"/>
    <n v="0.06"/>
    <n v="3.5000000000000003E-2"/>
    <n v="0.60500000000000009"/>
    <x v="1"/>
    <s v="R 2"/>
    <n v="43562.499999999993"/>
    <n v="48687.499999999993"/>
    <n v="5125"/>
    <n v="3100.6250000000005"/>
    <n v="46663.124999999993"/>
    <n v="15398.831249999997"/>
    <n v="51163.124999999993"/>
    <n v="54163.124999999993"/>
    <n v="6346184.9999999991"/>
    <n v="6958184.9999999991"/>
    <n v="7366184.9999999991"/>
    <n v="0"/>
    <n v="539425.72499999998"/>
    <n v="2"/>
    <n v="204999.99999999997"/>
    <n v="204999.99999999997"/>
    <n v="6551184.9999999991"/>
  </r>
  <r>
    <m/>
    <s v="A"/>
    <x v="7"/>
    <x v="0"/>
    <n v="4"/>
    <n v="4"/>
    <x v="175"/>
    <s v="2 BEDROOM"/>
    <x v="0"/>
    <n v="110.18"/>
    <n v="120.25585802221741"/>
    <n v="136"/>
    <m/>
    <m/>
    <s v="NE"/>
    <s v="CORNER "/>
    <s v="ROAD 18M (BUILDINGS)"/>
    <s v="FORTH"/>
    <s v="C"/>
    <n v="0.15"/>
    <n v="0.05"/>
    <n v="0.15"/>
    <n v="0.06"/>
    <n v="3.5000000000000003E-2"/>
    <n v="0.44499999999999995"/>
    <x v="0"/>
    <s v="R 9"/>
    <n v="53550"/>
    <n v="59850"/>
    <n v="6300"/>
    <n v="2803.4999999999995"/>
    <n v="56353.5"/>
    <n v="18596.655000000002"/>
    <n v="60853.5"/>
    <n v="63853.5"/>
    <n v="7664076"/>
    <n v="8276076"/>
    <n v="8684076"/>
    <n v="0"/>
    <n v="651446.46000000008"/>
    <n v="2"/>
    <n v="252000"/>
    <n v="252000"/>
    <n v="7916076"/>
  </r>
  <r>
    <s v="B2"/>
    <s v="B"/>
    <x v="8"/>
    <x v="0"/>
    <n v="0"/>
    <n v="1"/>
    <x v="176"/>
    <s v="2 BEDROOM"/>
    <x v="0"/>
    <n v="94.92"/>
    <n v="105.12823941945527"/>
    <n v="116"/>
    <n v="62.601799999999997"/>
    <m/>
    <s v="SW"/>
    <s v="MIDDLE"/>
    <s v="ROAD 18M (BUILDINGS)"/>
    <s v="GROUND"/>
    <s v="B"/>
    <n v="0.06"/>
    <n v="2.5000000000000001E-2"/>
    <n v="0.15"/>
    <n v="0.05"/>
    <n v="0.04"/>
    <n v="0.32499999999999996"/>
    <x v="0"/>
    <s v="R 1"/>
    <n v="42500"/>
    <n v="47500"/>
    <n v="5000"/>
    <n v="1624.9999999999998"/>
    <n v="44125"/>
    <n v="14561.25"/>
    <n v="48625"/>
    <n v="51625"/>
    <n v="5118500"/>
    <n v="5640500"/>
    <n v="5988500"/>
    <n v="911560.46025"/>
    <n v="512555.13912125002"/>
    <n v="1"/>
    <n v="200000"/>
    <n v="200000"/>
    <n v="6230060.4602499995"/>
  </r>
  <r>
    <m/>
    <s v="B"/>
    <x v="8"/>
    <x v="0"/>
    <n v="0"/>
    <n v="2"/>
    <x v="177"/>
    <s v="3 BEDROOM"/>
    <x v="0"/>
    <n v="163.35"/>
    <n v="180.91759280623702"/>
    <n v="199"/>
    <n v="76.321799999999996"/>
    <m/>
    <s v="NE"/>
    <s v="MIDDLE"/>
    <s v="LAKE B-1"/>
    <s v="GROUND"/>
    <s v="E"/>
    <n v="0.15"/>
    <n v="2.5000000000000001E-2"/>
    <n v="0.6"/>
    <n v="0.05"/>
    <n v="1.4999999999999999E-2"/>
    <n v="0.84"/>
    <x v="2"/>
    <s v="R 8"/>
    <n v="51850"/>
    <n v="57950"/>
    <n v="6100"/>
    <n v="5124"/>
    <n v="56974"/>
    <n v="18801.420000000002"/>
    <n v="61474"/>
    <n v="64474"/>
    <n v="11337826"/>
    <n v="12233326"/>
    <n v="12830326"/>
    <n v="1434958.2169560001"/>
    <n v="1085686.6584412602"/>
    <n v="2"/>
    <n v="244000"/>
    <n v="244000"/>
    <n v="13016784.216956001"/>
  </r>
  <r>
    <m/>
    <s v="B"/>
    <x v="8"/>
    <x v="0"/>
    <n v="0"/>
    <n v="3"/>
    <x v="178"/>
    <s v="3 BEDROOM + LIVING"/>
    <x v="0"/>
    <n v="183.89"/>
    <n v="203.66658182515411"/>
    <n v="224"/>
    <n v="61.571399999999997"/>
    <m/>
    <s v="NE"/>
    <s v="CORNER "/>
    <s v="LAKE B-1"/>
    <s v="GROUND"/>
    <s v="E"/>
    <n v="0.15"/>
    <n v="0.05"/>
    <n v="0.6"/>
    <n v="0.05"/>
    <n v="1.4999999999999999E-2"/>
    <n v="0.8650000000000001"/>
    <x v="2"/>
    <s v="R 9"/>
    <n v="53550"/>
    <n v="59850"/>
    <n v="6300"/>
    <n v="5449.5000000000009"/>
    <n v="58999.5"/>
    <n v="19469.834999999999"/>
    <n v="63499.5"/>
    <n v="66499.5"/>
    <n v="13215888"/>
    <n v="14223888"/>
    <n v="14895888"/>
    <n v="1198784.9987189998"/>
    <n v="1225247.204891115"/>
    <n v="2"/>
    <n v="252000"/>
    <n v="252000"/>
    <n v="14666672.998718999"/>
  </r>
  <r>
    <m/>
    <s v="B"/>
    <x v="8"/>
    <x v="0"/>
    <n v="0"/>
    <n v="4"/>
    <x v="179"/>
    <s v="3 BEDROOM"/>
    <x v="0"/>
    <n v="144.21"/>
    <n v="159.71916779055672"/>
    <n v="176"/>
    <n v="83.296199999999999"/>
    <m/>
    <s v="SW"/>
    <s v="CORNER "/>
    <s v="ROAD 18M (BUILDINGS)"/>
    <s v="GROUND"/>
    <s v="D"/>
    <n v="0.06"/>
    <n v="0.05"/>
    <n v="0.15"/>
    <n v="0.05"/>
    <n v="2.5000000000000001E-2"/>
    <n v="0.33500000000000002"/>
    <x v="0"/>
    <s v="R 1"/>
    <n v="42500"/>
    <n v="47500"/>
    <n v="5000"/>
    <n v="1675"/>
    <n v="44175"/>
    <n v="14577.75"/>
    <n v="48675"/>
    <n v="51675"/>
    <n v="7774800"/>
    <n v="8566800"/>
    <n v="9094800"/>
    <n v="1214271.17955"/>
    <n v="764071.05026175"/>
    <n v="2"/>
    <n v="200000"/>
    <n v="200000"/>
    <n v="9189071.1795499995"/>
  </r>
  <r>
    <m/>
    <s v="B"/>
    <x v="8"/>
    <x v="0"/>
    <n v="1"/>
    <n v="1"/>
    <x v="180"/>
    <s v="2 BEDROOM"/>
    <x v="0"/>
    <n v="96.29"/>
    <n v="106.64557705119415"/>
    <n v="117"/>
    <m/>
    <m/>
    <s v="SW"/>
    <s v="MIDDLE"/>
    <s v="ROAD 18M (BUILDINGS)"/>
    <s v="FIRST"/>
    <s v="B"/>
    <n v="0.06"/>
    <n v="2.5000000000000001E-2"/>
    <n v="0.15"/>
    <n v="7.0000000000000007E-2"/>
    <n v="0.04"/>
    <n v="0.34499999999999997"/>
    <x v="0"/>
    <s v="R 1"/>
    <n v="42500"/>
    <n v="47500"/>
    <n v="5000"/>
    <n v="1724.9999999999998"/>
    <n v="44225"/>
    <n v="14594.25"/>
    <n v="48725"/>
    <n v="51725"/>
    <n v="5174325"/>
    <n v="5700825"/>
    <n v="6051825"/>
    <n v="0"/>
    <n v="439817.62500000006"/>
    <n v="1"/>
    <n v="200000"/>
    <n v="200000"/>
    <n v="5374325"/>
  </r>
  <r>
    <m/>
    <s v="B"/>
    <x v="8"/>
    <x v="0"/>
    <n v="1"/>
    <n v="2"/>
    <x v="181"/>
    <s v="3 BEDROOM"/>
    <x v="0"/>
    <n v="163.05000000000001"/>
    <n v="180.58532909125773"/>
    <n v="199"/>
    <m/>
    <m/>
    <s v="NE"/>
    <s v="MIDDLE"/>
    <s v="LAKE B-1"/>
    <s v="FIRST"/>
    <s v="E"/>
    <n v="0.15"/>
    <n v="2.5000000000000001E-2"/>
    <n v="0.6"/>
    <n v="7.0000000000000007E-2"/>
    <n v="1.4999999999999999E-2"/>
    <n v="0.86"/>
    <x v="2"/>
    <s v="R 9"/>
    <n v="53550"/>
    <n v="59850"/>
    <n v="6300"/>
    <n v="5418"/>
    <n v="58968"/>
    <n v="19459.440000000002"/>
    <n v="63468"/>
    <n v="66468"/>
    <n v="11734632"/>
    <n v="12630132"/>
    <n v="13227132"/>
    <n v="0"/>
    <n v="997443.72000000009"/>
    <n v="2"/>
    <n v="252000"/>
    <n v="252000"/>
    <n v="11986632"/>
  </r>
  <r>
    <m/>
    <s v="B"/>
    <x v="8"/>
    <x v="0"/>
    <n v="1"/>
    <n v="3"/>
    <x v="182"/>
    <s v="3 BEDROOM + LIVING"/>
    <x v="0"/>
    <n v="183.59"/>
    <n v="203.33431811017482"/>
    <n v="224"/>
    <m/>
    <m/>
    <s v="NE"/>
    <s v="CORNER "/>
    <s v="LAKE B-1"/>
    <s v="FIRST"/>
    <s v="E"/>
    <n v="0.15"/>
    <n v="0.05"/>
    <n v="0.6"/>
    <n v="7.0000000000000007E-2"/>
    <n v="1.4999999999999999E-2"/>
    <n v="0.88500000000000012"/>
    <x v="2"/>
    <s v="R 10"/>
    <n v="56100"/>
    <n v="62700"/>
    <n v="6600"/>
    <n v="5841.0000000000009"/>
    <n v="61941"/>
    <n v="20440.530000000002"/>
    <n v="66441"/>
    <n v="69441"/>
    <n v="13874784"/>
    <n v="14882784"/>
    <n v="15554784"/>
    <n v="0"/>
    <n v="1179356.6400000001"/>
    <n v="2"/>
    <n v="264000"/>
    <n v="264000"/>
    <n v="14138784"/>
  </r>
  <r>
    <m/>
    <s v="B"/>
    <x v="8"/>
    <x v="0"/>
    <n v="1"/>
    <n v="4"/>
    <x v="183"/>
    <s v="3 BEDROOM"/>
    <x v="0"/>
    <n v="141.59"/>
    <n v="156.81739801307072"/>
    <n v="173"/>
    <m/>
    <m/>
    <s v="SW"/>
    <s v="CORNER "/>
    <s v="ROAD 18M (BUILDINGS)"/>
    <s v="FIRST"/>
    <s v="D"/>
    <n v="0.06"/>
    <n v="0.05"/>
    <n v="0.15"/>
    <n v="7.0000000000000007E-2"/>
    <n v="2.5000000000000001E-2"/>
    <n v="0.35500000000000004"/>
    <x v="0"/>
    <s v="R 1"/>
    <n v="42500"/>
    <n v="47500"/>
    <n v="5000"/>
    <n v="1775.0000000000002"/>
    <n v="44275"/>
    <n v="14610.75"/>
    <n v="48775"/>
    <n v="51775"/>
    <n v="7659575"/>
    <n v="8438075"/>
    <n v="8957075"/>
    <n v="0"/>
    <n v="651063.875"/>
    <n v="2"/>
    <n v="200000"/>
    <n v="200000"/>
    <n v="7859575"/>
  </r>
  <r>
    <m/>
    <s v="B"/>
    <x v="8"/>
    <x v="0"/>
    <n v="2"/>
    <n v="1"/>
    <x v="184"/>
    <s v="3 BEDROOM"/>
    <x v="0"/>
    <n v="141.15"/>
    <n v="156.33007789776772"/>
    <n v="172"/>
    <m/>
    <m/>
    <s v="SW"/>
    <s v="MIDDLE"/>
    <s v="ROAD 18M (BUILDINGS)"/>
    <s v="SECOND"/>
    <s v="D"/>
    <n v="0.06"/>
    <n v="2.5000000000000001E-2"/>
    <n v="0.15"/>
    <n v="0.11"/>
    <n v="2.5000000000000001E-2"/>
    <n v="0.37"/>
    <x v="0"/>
    <s v="R 2"/>
    <n v="43562.499999999993"/>
    <n v="48687.499999999993"/>
    <n v="5125"/>
    <n v="1896.25"/>
    <n v="45458.749999999993"/>
    <n v="15001.387499999999"/>
    <n v="49958.749999999993"/>
    <n v="52958.749999999993"/>
    <n v="7818904.9999999991"/>
    <n v="8592904.9999999981"/>
    <n v="9108904.9999999981"/>
    <n v="0"/>
    <n v="664606.92499999993"/>
    <n v="2"/>
    <n v="204999.99999999997"/>
    <n v="204999.99999999997"/>
    <n v="8023904.9999999991"/>
  </r>
  <r>
    <m/>
    <s v="B"/>
    <x v="8"/>
    <x v="0"/>
    <n v="2"/>
    <n v="2"/>
    <x v="185"/>
    <s v="3 BEDROOM"/>
    <x v="0"/>
    <n v="167.88"/>
    <n v="185.93477490242469"/>
    <n v="205"/>
    <m/>
    <m/>
    <s v="NE"/>
    <s v="MIDDLE"/>
    <s v="LAKE B-1"/>
    <s v="SECOND"/>
    <s v="E"/>
    <n v="0.15"/>
    <n v="2.5000000000000001E-2"/>
    <n v="0.6"/>
    <n v="0.11"/>
    <n v="1.4999999999999999E-2"/>
    <n v="0.89999999999999991"/>
    <x v="2"/>
    <s v="R 11"/>
    <n v="58649.999999999993"/>
    <n v="65550"/>
    <n v="6900.0000000000073"/>
    <n v="6210.0000000000064"/>
    <n v="64860"/>
    <n v="21403.8"/>
    <n v="69360"/>
    <n v="72360"/>
    <n v="13296300"/>
    <n v="14218800"/>
    <n v="14833800"/>
    <n v="0"/>
    <n v="1130185.5"/>
    <n v="2"/>
    <n v="276000"/>
    <n v="276000"/>
    <n v="13572300"/>
  </r>
  <r>
    <m/>
    <s v="B"/>
    <x v="8"/>
    <x v="0"/>
    <n v="2"/>
    <n v="3"/>
    <x v="186"/>
    <s v="3 BEDROOM + LIVING"/>
    <x v="0"/>
    <n v="187.09"/>
    <n v="207.21072811826681"/>
    <n v="228"/>
    <m/>
    <m/>
    <s v="NE"/>
    <s v="CORNER "/>
    <s v="LAKE B-1"/>
    <s v="SECOND"/>
    <s v="E"/>
    <n v="0.15"/>
    <n v="0.05"/>
    <n v="0.6"/>
    <n v="0.11"/>
    <n v="1.4999999999999999E-2"/>
    <n v="0.92500000000000004"/>
    <x v="2"/>
    <s v="R 12"/>
    <n v="61625"/>
    <n v="68875"/>
    <n v="7250"/>
    <n v="6706.25"/>
    <n v="68331.25"/>
    <n v="22549.3125"/>
    <n v="72831.25"/>
    <n v="75831.25"/>
    <n v="15579525"/>
    <n v="16605525"/>
    <n v="17289525"/>
    <n v="0"/>
    <n v="1324259.625"/>
    <n v="2"/>
    <n v="290000"/>
    <n v="290000"/>
    <n v="15869525"/>
  </r>
  <r>
    <m/>
    <s v="B"/>
    <x v="8"/>
    <x v="0"/>
    <n v="2"/>
    <n v="4"/>
    <x v="187"/>
    <s v="3 BEDROOM"/>
    <x v="0"/>
    <n v="143.97"/>
    <n v="159.45335681857327"/>
    <n v="176"/>
    <m/>
    <m/>
    <s v="SW"/>
    <s v="CORNER "/>
    <s v="ROAD 18M (BUILDINGS)"/>
    <s v="SECOND"/>
    <s v="D"/>
    <n v="0.06"/>
    <n v="0.05"/>
    <n v="0.15"/>
    <n v="0.11"/>
    <n v="2.5000000000000001E-2"/>
    <n v="0.39500000000000002"/>
    <x v="0"/>
    <s v="R 4"/>
    <n v="45687.5"/>
    <n v="51062.5"/>
    <n v="5375"/>
    <n v="2123.125"/>
    <n v="47810.625"/>
    <n v="15777.50625"/>
    <n v="52310.625"/>
    <n v="55310.625"/>
    <n v="8414670"/>
    <n v="9206670"/>
    <n v="9734670"/>
    <n v="0"/>
    <n v="715246.95000000007"/>
    <n v="2"/>
    <n v="215000"/>
    <n v="215000"/>
    <n v="8629670"/>
  </r>
  <r>
    <m/>
    <s v="B"/>
    <x v="8"/>
    <x v="0"/>
    <n v="3"/>
    <n v="1"/>
    <x v="188"/>
    <s v="3 BEDROOM"/>
    <x v="0"/>
    <n v="141.38999999999999"/>
    <n v="156.59588886975115"/>
    <n v="172"/>
    <m/>
    <m/>
    <s v="SW"/>
    <s v="MIDDLE"/>
    <s v="ROAD 18M (BUILDINGS)"/>
    <s v="THIRD"/>
    <s v="D"/>
    <n v="0.06"/>
    <n v="2.5000000000000001E-2"/>
    <n v="0.15"/>
    <n v="0.15"/>
    <n v="2.5000000000000001E-2"/>
    <n v="0.41000000000000003"/>
    <x v="0"/>
    <s v="R 6"/>
    <n v="48450.000000000007"/>
    <n v="54150.000000000007"/>
    <n v="5700"/>
    <n v="2337"/>
    <n v="50787.000000000007"/>
    <n v="16759.710000000003"/>
    <n v="55287.000000000007"/>
    <n v="58287.000000000007"/>
    <n v="8735364.0000000019"/>
    <n v="9509364.0000000019"/>
    <n v="10025364.000000002"/>
    <n v="0"/>
    <n v="742505.94000000018"/>
    <n v="2"/>
    <n v="228000.00000000003"/>
    <n v="228000.00000000003"/>
    <n v="8963364.0000000019"/>
  </r>
  <r>
    <m/>
    <s v="B"/>
    <x v="8"/>
    <x v="0"/>
    <n v="3"/>
    <n v="2"/>
    <x v="189"/>
    <s v="3 BEDROOM"/>
    <x v="0"/>
    <n v="165.71"/>
    <n v="183.53140069740763"/>
    <n v="202"/>
    <m/>
    <m/>
    <s v="NE"/>
    <s v="MIDDLE"/>
    <s v="LAKE B-1"/>
    <s v="THIRD"/>
    <s v="E"/>
    <n v="0.15"/>
    <n v="2.5000000000000001E-2"/>
    <n v="0.6"/>
    <n v="0.15"/>
    <n v="1.4999999999999999E-2"/>
    <n v="0.94"/>
    <x v="2"/>
    <s v="R 12"/>
    <n v="61625"/>
    <n v="68875"/>
    <n v="7250"/>
    <n v="6815"/>
    <n v="68440"/>
    <n v="22585.200000000001"/>
    <n v="72940"/>
    <n v="75940"/>
    <n v="13824880"/>
    <n v="14733880"/>
    <n v="15339880"/>
    <n v="0"/>
    <n v="1175114.8"/>
    <n v="2"/>
    <n v="290000"/>
    <n v="290000"/>
    <n v="14114880"/>
  </r>
  <r>
    <m/>
    <s v="B"/>
    <x v="8"/>
    <x v="0"/>
    <n v="3"/>
    <n v="3"/>
    <x v="190"/>
    <s v="3 BEDROOM + LIVING"/>
    <x v="0"/>
    <n v="187.91"/>
    <n v="208.11891560587694"/>
    <n v="229"/>
    <m/>
    <m/>
    <s v="NE"/>
    <s v="CORNER "/>
    <s v="LAKE B-1"/>
    <s v="THIRD"/>
    <s v="E"/>
    <n v="0.15"/>
    <n v="0.05"/>
    <n v="0.6"/>
    <n v="0.15"/>
    <n v="1.4999999999999999E-2"/>
    <n v="0.96500000000000008"/>
    <x v="2"/>
    <s v="R 12"/>
    <n v="61625"/>
    <n v="68875"/>
    <n v="7250"/>
    <n v="6996.2500000000009"/>
    <n v="68621.25"/>
    <n v="22645.012500000001"/>
    <n v="73121.25"/>
    <n v="76121.25"/>
    <n v="15714266.25"/>
    <n v="16744766.25"/>
    <n v="17431766.25"/>
    <n v="0"/>
    <n v="1335712.6312500001"/>
    <n v="2"/>
    <n v="290000"/>
    <n v="290000"/>
    <n v="16004266.25"/>
  </r>
  <r>
    <m/>
    <s v="B"/>
    <x v="8"/>
    <x v="0"/>
    <n v="3"/>
    <n v="4"/>
    <x v="191"/>
    <s v="3 BEDROOM"/>
    <x v="0"/>
    <n v="144.21"/>
    <n v="159.71916779055672"/>
    <n v="176"/>
    <m/>
    <m/>
    <s v="SW"/>
    <s v="CORNER "/>
    <s v="ROAD 18M (BUILDINGS)"/>
    <s v="THIRD"/>
    <s v="D"/>
    <n v="0.06"/>
    <n v="0.05"/>
    <n v="0.15"/>
    <n v="0.15"/>
    <n v="2.5000000000000001E-2"/>
    <n v="0.43500000000000005"/>
    <x v="0"/>
    <s v="R 8"/>
    <n v="51850"/>
    <n v="57950"/>
    <n v="6100"/>
    <n v="2653.5000000000005"/>
    <n v="54503.5"/>
    <n v="17986.155000000002"/>
    <n v="59003.5"/>
    <n v="62003.5"/>
    <n v="9592616"/>
    <n v="10384616"/>
    <n v="10912616"/>
    <n v="0"/>
    <n v="815372.3600000001"/>
    <n v="2"/>
    <n v="244000"/>
    <n v="244000"/>
    <n v="9836616"/>
  </r>
  <r>
    <m/>
    <s v="B"/>
    <x v="8"/>
    <x v="0"/>
    <n v="4"/>
    <n v="1"/>
    <x v="192"/>
    <s v="3 BEDROOM"/>
    <x v="0"/>
    <n v="139.09"/>
    <n v="154.04853372157643"/>
    <n v="170"/>
    <m/>
    <m/>
    <s v="SW"/>
    <s v="MIDDLE"/>
    <s v="ROAD 18M (BUILDINGS)"/>
    <s v="FORTH"/>
    <s v="D"/>
    <n v="0.06"/>
    <n v="2.5000000000000001E-2"/>
    <n v="0.15"/>
    <n v="0.06"/>
    <n v="2.5000000000000001E-2"/>
    <n v="0.32"/>
    <x v="0"/>
    <s v="R 1"/>
    <n v="42500"/>
    <n v="47500"/>
    <n v="5000"/>
    <n v="1600"/>
    <n v="44100"/>
    <n v="14553"/>
    <n v="48600"/>
    <n v="51600"/>
    <n v="7497000"/>
    <n v="8262000"/>
    <n v="8772000"/>
    <n v="0"/>
    <n v="637245"/>
    <n v="2"/>
    <n v="200000"/>
    <n v="200000"/>
    <n v="7697000"/>
  </r>
  <r>
    <m/>
    <s v="B"/>
    <x v="8"/>
    <x v="0"/>
    <n v="4"/>
    <n v="2"/>
    <x v="193"/>
    <s v="3 BEDROOM"/>
    <x v="0"/>
    <n v="163.35"/>
    <n v="180.91759280623702"/>
    <n v="199"/>
    <m/>
    <m/>
    <s v="NE"/>
    <s v="MIDDLE"/>
    <s v="LAKE B-1"/>
    <s v="FORTH"/>
    <s v="E"/>
    <n v="0.15"/>
    <n v="2.5000000000000001E-2"/>
    <n v="0.6"/>
    <n v="0.06"/>
    <n v="1.4999999999999999E-2"/>
    <n v="0.85"/>
    <x v="2"/>
    <s v="R 8"/>
    <n v="51850"/>
    <n v="57950"/>
    <n v="6100"/>
    <n v="5185"/>
    <n v="57035"/>
    <n v="18821.55"/>
    <n v="61535"/>
    <n v="64535"/>
    <n v="11349965"/>
    <n v="12245465"/>
    <n v="12842465"/>
    <n v="0"/>
    <n v="964747.02500000002"/>
    <n v="2"/>
    <n v="244000"/>
    <n v="244000"/>
    <n v="11593965"/>
  </r>
  <r>
    <m/>
    <s v="B"/>
    <x v="8"/>
    <x v="0"/>
    <n v="4"/>
    <n v="3"/>
    <x v="194"/>
    <s v="3 BEDROOM + LIVING"/>
    <x v="0"/>
    <n v="182.56"/>
    <n v="202.19354602207918"/>
    <n v="223"/>
    <m/>
    <m/>
    <s v="NE"/>
    <s v="CORNER "/>
    <s v="LAKE B-1"/>
    <s v="FORTH"/>
    <s v="E"/>
    <n v="0.15"/>
    <n v="0.05"/>
    <n v="0.6"/>
    <n v="0.06"/>
    <n v="1.4999999999999999E-2"/>
    <n v="0.87500000000000011"/>
    <x v="2"/>
    <s v="R 9"/>
    <n v="53550"/>
    <n v="59850"/>
    <n v="6300"/>
    <n v="5512.5000000000009"/>
    <n v="59062.5"/>
    <n v="19490.625"/>
    <n v="63562.5"/>
    <n v="66562.5"/>
    <n v="13170937.5"/>
    <n v="14174437.5"/>
    <n v="14843437.5"/>
    <n v="0"/>
    <n v="1119529.6875"/>
    <n v="2"/>
    <n v="252000"/>
    <n v="252000"/>
    <n v="13422937.5"/>
  </r>
  <r>
    <m/>
    <s v="B"/>
    <x v="8"/>
    <x v="0"/>
    <n v="4"/>
    <n v="4"/>
    <x v="195"/>
    <s v="3 BEDROOM"/>
    <x v="0"/>
    <n v="141.91"/>
    <n v="157.17181264238198"/>
    <n v="173"/>
    <m/>
    <m/>
    <s v="SW"/>
    <s v="CORNER "/>
    <s v="ROAD 18M (BUILDINGS)"/>
    <s v="FORTH"/>
    <s v="D"/>
    <n v="0.06"/>
    <n v="0.05"/>
    <n v="0.15"/>
    <n v="0.06"/>
    <n v="2.5000000000000001E-2"/>
    <n v="0.34500000000000003"/>
    <x v="0"/>
    <s v="R 1"/>
    <n v="42500"/>
    <n v="47500"/>
    <n v="5000"/>
    <n v="1725.0000000000002"/>
    <n v="44225"/>
    <n v="14594.25"/>
    <n v="48725"/>
    <n v="51725"/>
    <n v="7650925"/>
    <n v="8429425"/>
    <n v="8948425"/>
    <n v="0"/>
    <n v="650328.625"/>
    <n v="2"/>
    <n v="200000"/>
    <n v="200000"/>
    <n v="7850925"/>
  </r>
  <r>
    <s v="B2"/>
    <s v="B"/>
    <x v="9"/>
    <x v="0"/>
    <n v="0"/>
    <n v="1"/>
    <x v="196"/>
    <s v="3 BEDROOM"/>
    <x v="0"/>
    <n v="144.21"/>
    <n v="159.71916779055672"/>
    <n v="176"/>
    <n v="82.528400000000005"/>
    <m/>
    <s v="SW"/>
    <s v="CORNER "/>
    <s v="ROAD 18M (BUILDINGS)"/>
    <s v="GROUND"/>
    <s v="D"/>
    <n v="0.06"/>
    <n v="0.05"/>
    <n v="0.15"/>
    <n v="0.05"/>
    <n v="2.5000000000000001E-2"/>
    <n v="0.33500000000000002"/>
    <x v="0"/>
    <s v="R 1"/>
    <n v="42500"/>
    <n v="47500"/>
    <n v="5000"/>
    <n v="1675"/>
    <n v="44175"/>
    <n v="14577.75"/>
    <n v="48675"/>
    <n v="51675"/>
    <n v="7774800"/>
    <n v="8566800"/>
    <n v="9094800"/>
    <n v="1203078.3831"/>
    <n v="763119.66256349999"/>
    <n v="2"/>
    <n v="200000"/>
    <n v="200000"/>
    <n v="9177878.3830999993"/>
  </r>
  <r>
    <m/>
    <s v="B"/>
    <x v="9"/>
    <x v="0"/>
    <n v="0"/>
    <n v="2"/>
    <x v="197"/>
    <s v="3 BEDROOM + LIVING"/>
    <x v="0"/>
    <n v="183.89"/>
    <n v="203.66658182515411"/>
    <n v="224"/>
    <n v="61.571399999999997"/>
    <m/>
    <s v="NE"/>
    <s v="CORNER "/>
    <s v="LAKE B-1"/>
    <s v="GROUND"/>
    <s v="E"/>
    <n v="0.15"/>
    <n v="0.05"/>
    <n v="0.6"/>
    <n v="0.05"/>
    <n v="1.4999999999999999E-2"/>
    <n v="0.8650000000000001"/>
    <x v="2"/>
    <s v="R 9"/>
    <n v="53550"/>
    <n v="59850"/>
    <n v="6300"/>
    <n v="5449.5000000000009"/>
    <n v="58999.5"/>
    <n v="19469.834999999999"/>
    <n v="63499.5"/>
    <n v="66499.5"/>
    <n v="13215888"/>
    <n v="14223888"/>
    <n v="14895888"/>
    <n v="1198784.9987189998"/>
    <n v="1225247.204891115"/>
    <n v="2"/>
    <n v="252000"/>
    <n v="252000"/>
    <n v="14666672.998718999"/>
  </r>
  <r>
    <m/>
    <s v="B"/>
    <x v="9"/>
    <x v="0"/>
    <n v="0"/>
    <n v="3"/>
    <x v="198"/>
    <s v="3 BEDROOM"/>
    <x v="0"/>
    <n v="163.35"/>
    <n v="180.91759280623702"/>
    <n v="199"/>
    <n v="76.321799999999996"/>
    <m/>
    <s v="NE"/>
    <s v="MIDDLE"/>
    <s v="LAKE B-1"/>
    <s v="GROUND"/>
    <s v="E"/>
    <n v="0.15"/>
    <n v="2.5000000000000001E-2"/>
    <n v="0.6"/>
    <n v="0.05"/>
    <n v="1.4999999999999999E-2"/>
    <n v="0.84"/>
    <x v="2"/>
    <s v="R 8"/>
    <n v="51850"/>
    <n v="57950"/>
    <n v="6100"/>
    <n v="5124"/>
    <n v="56974"/>
    <n v="18801.420000000002"/>
    <n v="61474"/>
    <n v="64474"/>
    <n v="11337826"/>
    <n v="12233326"/>
    <n v="12830326"/>
    <n v="1434958.2169560001"/>
    <n v="1085686.6584412602"/>
    <n v="2"/>
    <n v="244000"/>
    <n v="244000"/>
    <n v="13016784.216956001"/>
  </r>
  <r>
    <m/>
    <s v="B"/>
    <x v="9"/>
    <x v="0"/>
    <n v="0"/>
    <n v="4"/>
    <x v="199"/>
    <s v="3 BEDROOM"/>
    <x v="0"/>
    <n v="94.92"/>
    <n v="105.12823941945527"/>
    <n v="116"/>
    <n v="62.468000000000004"/>
    <m/>
    <s v="SW"/>
    <s v="MIDDLE"/>
    <s v="ROAD 18M (BUILDINGS)"/>
    <s v="GROUND"/>
    <s v="B"/>
    <n v="0.06"/>
    <n v="2.5000000000000001E-2"/>
    <n v="0.15"/>
    <n v="0.05"/>
    <n v="0.04"/>
    <n v="0.32499999999999996"/>
    <x v="0"/>
    <s v="R 1"/>
    <n v="42500"/>
    <n v="47500"/>
    <n v="5000"/>
    <n v="1624.9999999999998"/>
    <n v="44125"/>
    <n v="14561.25"/>
    <n v="48625"/>
    <n v="51625"/>
    <n v="5118500"/>
    <n v="5640500"/>
    <n v="5988500"/>
    <n v="909612.16500000004"/>
    <n v="512389.53402500006"/>
    <n v="1"/>
    <n v="200000"/>
    <n v="200000"/>
    <n v="6228112.165"/>
  </r>
  <r>
    <m/>
    <s v="B"/>
    <x v="9"/>
    <x v="0"/>
    <n v="1"/>
    <n v="1"/>
    <x v="200"/>
    <s v="3 BEDROOM"/>
    <x v="0"/>
    <n v="141.59"/>
    <n v="156.81739801307072"/>
    <n v="173"/>
    <m/>
    <m/>
    <s v="SW"/>
    <s v="CORNER "/>
    <s v="ROAD 18M (BUILDINGS)"/>
    <s v="FIRST"/>
    <s v="D"/>
    <n v="0.06"/>
    <n v="0.05"/>
    <n v="0.15"/>
    <n v="7.0000000000000007E-2"/>
    <n v="2.5000000000000001E-2"/>
    <n v="0.35500000000000004"/>
    <x v="0"/>
    <s v="R 1"/>
    <n v="42500"/>
    <n v="47500"/>
    <n v="5000"/>
    <n v="1775.0000000000002"/>
    <n v="44275"/>
    <n v="14610.75"/>
    <n v="48775"/>
    <n v="51775"/>
    <n v="7659575"/>
    <n v="8438075"/>
    <n v="8957075"/>
    <n v="0"/>
    <n v="651063.875"/>
    <n v="2"/>
    <n v="200000"/>
    <n v="200000"/>
    <n v="7859575"/>
  </r>
  <r>
    <m/>
    <s v="B"/>
    <x v="9"/>
    <x v="0"/>
    <n v="1"/>
    <n v="2"/>
    <x v="201"/>
    <s v="3 BEDROOM + LIVING"/>
    <x v="0"/>
    <n v="183.59"/>
    <n v="203.33431811017482"/>
    <n v="224"/>
    <m/>
    <m/>
    <s v="NE"/>
    <s v="CORNER "/>
    <s v="LAKE B-1"/>
    <s v="FIRST"/>
    <s v="E"/>
    <n v="0.15"/>
    <n v="0.05"/>
    <n v="0.6"/>
    <n v="7.0000000000000007E-2"/>
    <n v="1.4999999999999999E-2"/>
    <n v="0.88500000000000012"/>
    <x v="2"/>
    <s v="R 10"/>
    <n v="56100"/>
    <n v="62700"/>
    <n v="6600"/>
    <n v="5841.0000000000009"/>
    <n v="61941"/>
    <n v="20440.530000000002"/>
    <n v="66441"/>
    <n v="69441"/>
    <n v="13874784"/>
    <n v="14882784"/>
    <n v="15554784"/>
    <n v="0"/>
    <n v="1179356.6400000001"/>
    <n v="2"/>
    <n v="264000"/>
    <n v="264000"/>
    <n v="14138784"/>
  </r>
  <r>
    <m/>
    <s v="B"/>
    <x v="9"/>
    <x v="0"/>
    <n v="1"/>
    <n v="3"/>
    <x v="202"/>
    <s v="3 BEDROOM"/>
    <x v="0"/>
    <n v="163.05000000000001"/>
    <n v="180.58532909125773"/>
    <n v="199"/>
    <m/>
    <m/>
    <s v="NE"/>
    <s v="MIDDLE"/>
    <s v="LAKE B-1"/>
    <s v="FIRST"/>
    <s v="E"/>
    <n v="0.15"/>
    <n v="2.5000000000000001E-2"/>
    <n v="0.6"/>
    <n v="7.0000000000000007E-2"/>
    <n v="1.4999999999999999E-2"/>
    <n v="0.86"/>
    <x v="2"/>
    <s v="R 9"/>
    <n v="53550"/>
    <n v="59850"/>
    <n v="6300"/>
    <n v="5418"/>
    <n v="58968"/>
    <n v="19459.440000000002"/>
    <n v="63468"/>
    <n v="66468"/>
    <n v="11734632"/>
    <n v="12630132"/>
    <n v="13227132"/>
    <n v="0"/>
    <n v="997443.72000000009"/>
    <n v="2"/>
    <n v="252000"/>
    <n v="252000"/>
    <n v="11986632"/>
  </r>
  <r>
    <m/>
    <s v="B"/>
    <x v="9"/>
    <x v="0"/>
    <n v="1"/>
    <n v="4"/>
    <x v="203"/>
    <s v="2 BEDROOM"/>
    <x v="0"/>
    <n v="96.29"/>
    <n v="106.64557705119415"/>
    <n v="117"/>
    <m/>
    <m/>
    <s v="SW"/>
    <s v="MIDDLE"/>
    <s v="ROAD 18M (BUILDINGS)"/>
    <s v="FIRST"/>
    <s v="B"/>
    <n v="0.06"/>
    <n v="2.5000000000000001E-2"/>
    <n v="0.15"/>
    <n v="7.0000000000000007E-2"/>
    <n v="0.04"/>
    <n v="0.34499999999999997"/>
    <x v="0"/>
    <s v="R 1"/>
    <n v="42500"/>
    <n v="47500"/>
    <n v="5000"/>
    <n v="1724.9999999999998"/>
    <n v="44225"/>
    <n v="14594.25"/>
    <n v="48725"/>
    <n v="51725"/>
    <n v="5174325"/>
    <n v="5700825"/>
    <n v="6051825"/>
    <n v="0"/>
    <n v="439817.62500000006"/>
    <n v="1"/>
    <n v="200000"/>
    <n v="200000"/>
    <n v="5374325"/>
  </r>
  <r>
    <m/>
    <s v="B"/>
    <x v="9"/>
    <x v="0"/>
    <n v="2"/>
    <n v="1"/>
    <x v="204"/>
    <s v="3 BEDROOM"/>
    <x v="0"/>
    <n v="143.97"/>
    <n v="159.45335681857327"/>
    <n v="176"/>
    <m/>
    <m/>
    <s v="SW"/>
    <s v="CORNER "/>
    <s v="ROAD 18M (BUILDINGS)"/>
    <s v="SECOND"/>
    <s v="D"/>
    <n v="0.06"/>
    <n v="0.05"/>
    <n v="0.15"/>
    <n v="0.11"/>
    <n v="2.5000000000000001E-2"/>
    <n v="0.39500000000000002"/>
    <x v="0"/>
    <s v="R 5"/>
    <n v="46750.000000000007"/>
    <n v="52250.000000000007"/>
    <n v="5500"/>
    <n v="2172.5"/>
    <n v="48922.500000000007"/>
    <n v="16144.425000000003"/>
    <n v="53422.500000000007"/>
    <n v="56422.500000000007"/>
    <n v="8610360.0000000019"/>
    <n v="9402360.0000000019"/>
    <n v="9930360.0000000019"/>
    <n v="0"/>
    <n v="731880.60000000021"/>
    <n v="2"/>
    <n v="220000.00000000003"/>
    <n v="220000.00000000003"/>
    <n v="8830360.0000000019"/>
  </r>
  <r>
    <m/>
    <s v="B"/>
    <x v="9"/>
    <x v="0"/>
    <n v="2"/>
    <n v="2"/>
    <x v="205"/>
    <s v="3 BEDROOM + LIVING"/>
    <x v="0"/>
    <n v="187.09"/>
    <n v="207.21072811826681"/>
    <n v="228"/>
    <m/>
    <m/>
    <s v="NE"/>
    <s v="CORNER "/>
    <s v="LAKE B-1"/>
    <s v="SECOND"/>
    <s v="E"/>
    <n v="0.15"/>
    <n v="0.05"/>
    <n v="0.6"/>
    <n v="0.11"/>
    <n v="1.4999999999999999E-2"/>
    <n v="0.92500000000000004"/>
    <x v="2"/>
    <s v="R 12"/>
    <n v="61625"/>
    <n v="68875"/>
    <n v="7250"/>
    <n v="6706.25"/>
    <n v="68331.25"/>
    <n v="22549.3125"/>
    <n v="72831.25"/>
    <n v="75831.25"/>
    <n v="15579525"/>
    <n v="16605525"/>
    <n v="17289525"/>
    <n v="0"/>
    <n v="1324259.625"/>
    <n v="2"/>
    <n v="290000"/>
    <n v="290000"/>
    <n v="15869525"/>
  </r>
  <r>
    <m/>
    <s v="B"/>
    <x v="9"/>
    <x v="0"/>
    <n v="2"/>
    <n v="3"/>
    <x v="206"/>
    <s v="3 BEDROOM"/>
    <x v="0"/>
    <n v="167.88"/>
    <n v="185.93477490242469"/>
    <n v="205"/>
    <m/>
    <m/>
    <s v="NE"/>
    <s v="MIDDLE"/>
    <s v="LAKE B-1"/>
    <s v="SECOND"/>
    <s v="E"/>
    <n v="0.15"/>
    <n v="2.5000000000000001E-2"/>
    <n v="0.6"/>
    <n v="0.11"/>
    <n v="1.4999999999999999E-2"/>
    <n v="0.89999999999999991"/>
    <x v="2"/>
    <s v="R 11"/>
    <n v="58649.999999999993"/>
    <n v="65550"/>
    <n v="6900.0000000000073"/>
    <n v="6210.0000000000064"/>
    <n v="64860"/>
    <n v="21403.8"/>
    <n v="69360"/>
    <n v="72360"/>
    <n v="13296300"/>
    <n v="14218800"/>
    <n v="14833800"/>
    <n v="0"/>
    <n v="1130185.5"/>
    <n v="2"/>
    <n v="276000"/>
    <n v="276000"/>
    <n v="13572300"/>
  </r>
  <r>
    <m/>
    <s v="B"/>
    <x v="9"/>
    <x v="0"/>
    <n v="2"/>
    <n v="4"/>
    <x v="207"/>
    <s v="3 BEDROOM"/>
    <x v="0"/>
    <n v="141.15"/>
    <n v="156.33007789776772"/>
    <n v="172"/>
    <m/>
    <m/>
    <s v="SW"/>
    <s v="MIDDLE"/>
    <s v="ROAD 18M (BUILDINGS)"/>
    <s v="SECOND"/>
    <s v="D"/>
    <n v="0.06"/>
    <n v="2.5000000000000001E-2"/>
    <n v="0.15"/>
    <n v="0.11"/>
    <n v="2.5000000000000001E-2"/>
    <n v="0.37"/>
    <x v="0"/>
    <s v="R 2"/>
    <n v="43562.499999999993"/>
    <n v="48687.499999999993"/>
    <n v="5125"/>
    <n v="1896.25"/>
    <n v="45458.749999999993"/>
    <n v="15001.387499999999"/>
    <n v="49958.749999999993"/>
    <n v="52958.749999999993"/>
    <n v="7818904.9999999991"/>
    <n v="8592904.9999999981"/>
    <n v="9108904.9999999981"/>
    <n v="0"/>
    <n v="664606.92499999993"/>
    <n v="2"/>
    <n v="204999.99999999997"/>
    <n v="204999.99999999997"/>
    <n v="8023904.9999999991"/>
  </r>
  <r>
    <m/>
    <s v="B"/>
    <x v="9"/>
    <x v="0"/>
    <n v="3"/>
    <n v="1"/>
    <x v="208"/>
    <s v="3 BEDROOM"/>
    <x v="0"/>
    <n v="144.21"/>
    <n v="159.71916779055672"/>
    <n v="176"/>
    <m/>
    <m/>
    <s v="SW"/>
    <s v="CORNER "/>
    <s v="ROAD 18M (BUILDINGS)"/>
    <s v="THIRD"/>
    <s v="D"/>
    <n v="0.06"/>
    <n v="0.05"/>
    <n v="0.15"/>
    <n v="0.15"/>
    <n v="2.5000000000000001E-2"/>
    <n v="0.43500000000000005"/>
    <x v="0"/>
    <s v="R 8"/>
    <n v="51850"/>
    <n v="57950"/>
    <n v="6100"/>
    <n v="2653.5000000000005"/>
    <n v="54503.5"/>
    <n v="17986.155000000002"/>
    <n v="59003.5"/>
    <n v="62003.5"/>
    <n v="9592616"/>
    <n v="10384616"/>
    <n v="10912616"/>
    <n v="0"/>
    <n v="815372.3600000001"/>
    <n v="2"/>
    <n v="244000"/>
    <n v="244000"/>
    <n v="9836616"/>
  </r>
  <r>
    <m/>
    <s v="B"/>
    <x v="9"/>
    <x v="0"/>
    <n v="3"/>
    <n v="2"/>
    <x v="209"/>
    <s v="3 BEDROOM + LIVING"/>
    <x v="0"/>
    <n v="187.91"/>
    <n v="208.11891560587694"/>
    <n v="229"/>
    <m/>
    <m/>
    <s v="NE"/>
    <s v="CORNER "/>
    <s v="LAKE B-1"/>
    <s v="THIRD"/>
    <s v="E"/>
    <n v="0.15"/>
    <n v="0.05"/>
    <n v="0.6"/>
    <n v="0.15"/>
    <n v="1.4999999999999999E-2"/>
    <n v="0.96500000000000008"/>
    <x v="2"/>
    <s v="R 12"/>
    <n v="61625"/>
    <n v="68875"/>
    <n v="7250"/>
    <n v="6996.2500000000009"/>
    <n v="68621.25"/>
    <n v="22645.012500000001"/>
    <n v="73121.25"/>
    <n v="76121.25"/>
    <n v="15714266.25"/>
    <n v="16744766.25"/>
    <n v="17431766.25"/>
    <n v="0"/>
    <n v="1335712.6312500001"/>
    <n v="2"/>
    <n v="290000"/>
    <n v="290000"/>
    <n v="16004266.25"/>
  </r>
  <r>
    <m/>
    <s v="B"/>
    <x v="9"/>
    <x v="0"/>
    <n v="3"/>
    <n v="3"/>
    <x v="210"/>
    <s v="3 BEDROOM"/>
    <x v="0"/>
    <n v="165.71"/>
    <n v="183.53140069740763"/>
    <n v="202"/>
    <m/>
    <m/>
    <s v="NE"/>
    <s v="MIDDLE"/>
    <s v="LAKE B-1"/>
    <s v="THIRD"/>
    <s v="E"/>
    <n v="0.15"/>
    <n v="2.5000000000000001E-2"/>
    <n v="0.6"/>
    <n v="0.15"/>
    <n v="1.4999999999999999E-2"/>
    <n v="0.94"/>
    <x v="2"/>
    <s v="R 12"/>
    <n v="61625"/>
    <n v="68875"/>
    <n v="7250"/>
    <n v="6815"/>
    <n v="68440"/>
    <n v="22585.200000000001"/>
    <n v="72940"/>
    <n v="75940"/>
    <n v="13824880"/>
    <n v="14733880"/>
    <n v="15339880"/>
    <n v="0"/>
    <n v="1175114.8"/>
    <n v="2"/>
    <n v="290000"/>
    <n v="290000"/>
    <n v="14114880"/>
  </r>
  <r>
    <m/>
    <s v="B"/>
    <x v="9"/>
    <x v="0"/>
    <n v="3"/>
    <n v="4"/>
    <x v="211"/>
    <s v="3 BEDROOM"/>
    <x v="0"/>
    <n v="141.38999999999999"/>
    <n v="156.59588886975115"/>
    <n v="172"/>
    <m/>
    <m/>
    <s v="SW"/>
    <s v="MIDDLE"/>
    <s v="ROAD 18M (BUILDINGS)"/>
    <s v="THIRD"/>
    <s v="D"/>
    <n v="0.06"/>
    <n v="2.5000000000000001E-2"/>
    <n v="0.15"/>
    <n v="0.15"/>
    <n v="2.5000000000000001E-2"/>
    <n v="0.41000000000000003"/>
    <x v="0"/>
    <s v="R 6"/>
    <n v="48450.000000000007"/>
    <n v="54150.000000000007"/>
    <n v="5700"/>
    <n v="2337"/>
    <n v="50787.000000000007"/>
    <n v="16759.710000000003"/>
    <n v="55287.000000000007"/>
    <n v="58287.000000000007"/>
    <n v="8735364.0000000019"/>
    <n v="9509364.0000000019"/>
    <n v="10025364.000000002"/>
    <n v="0"/>
    <n v="742505.94000000018"/>
    <n v="2"/>
    <n v="228000.00000000003"/>
    <n v="228000.00000000003"/>
    <n v="8963364.0000000019"/>
  </r>
  <r>
    <m/>
    <s v="B"/>
    <x v="9"/>
    <x v="0"/>
    <n v="4"/>
    <n v="1"/>
    <x v="212"/>
    <s v="3 BEDROOM"/>
    <x v="0"/>
    <n v="141.91"/>
    <n v="157.17181264238198"/>
    <n v="173"/>
    <m/>
    <m/>
    <s v="SW"/>
    <s v="CORNER "/>
    <s v="ROAD 18M (BUILDINGS)"/>
    <s v="FORTH"/>
    <s v="D"/>
    <n v="0.06"/>
    <n v="0.05"/>
    <n v="0.15"/>
    <n v="0.06"/>
    <n v="2.5000000000000001E-2"/>
    <n v="0.34500000000000003"/>
    <x v="0"/>
    <s v="R 1"/>
    <n v="42500"/>
    <n v="47500"/>
    <n v="5000"/>
    <n v="1725.0000000000002"/>
    <n v="44225"/>
    <n v="14594.25"/>
    <n v="48725"/>
    <n v="51725"/>
    <n v="7650925"/>
    <n v="8429425"/>
    <n v="8948425"/>
    <n v="0"/>
    <n v="650328.625"/>
    <n v="2"/>
    <n v="200000"/>
    <n v="200000"/>
    <n v="7850925"/>
  </r>
  <r>
    <m/>
    <s v="B"/>
    <x v="9"/>
    <x v="0"/>
    <n v="4"/>
    <n v="2"/>
    <x v="213"/>
    <s v="3 BEDROOM + LIVING"/>
    <x v="0"/>
    <n v="182.56"/>
    <n v="202.19354602207918"/>
    <n v="223"/>
    <m/>
    <m/>
    <s v="NE"/>
    <s v="CORNER "/>
    <s v="LAKE B-1"/>
    <s v="FORTH"/>
    <s v="E"/>
    <n v="0.15"/>
    <n v="0.05"/>
    <n v="0.6"/>
    <n v="0.06"/>
    <n v="1.4999999999999999E-2"/>
    <n v="0.87500000000000011"/>
    <x v="2"/>
    <s v="R 10"/>
    <n v="56100"/>
    <n v="62700"/>
    <n v="6600"/>
    <n v="5775.0000000000009"/>
    <n v="61875"/>
    <n v="20418.75"/>
    <n v="66375"/>
    <n v="69375"/>
    <n v="13798125"/>
    <n v="14801625"/>
    <n v="15470625"/>
    <n v="0"/>
    <n v="1172840.625"/>
    <n v="2"/>
    <n v="264000"/>
    <n v="264000"/>
    <n v="14062125"/>
  </r>
  <r>
    <m/>
    <s v="B"/>
    <x v="9"/>
    <x v="0"/>
    <n v="4"/>
    <n v="3"/>
    <x v="214"/>
    <s v="3 BEDROOM"/>
    <x v="0"/>
    <n v="163.35"/>
    <n v="180.91759280623702"/>
    <n v="199"/>
    <m/>
    <m/>
    <s v="NE"/>
    <s v="MIDDLE"/>
    <s v="LAKE B-1"/>
    <s v="FORTH"/>
    <s v="E"/>
    <n v="0.15"/>
    <n v="2.5000000000000001E-2"/>
    <n v="0.6"/>
    <n v="0.06"/>
    <n v="1.4999999999999999E-2"/>
    <n v="0.85"/>
    <x v="2"/>
    <s v="R 8"/>
    <n v="51850"/>
    <n v="57950"/>
    <n v="6100"/>
    <n v="5185"/>
    <n v="57035"/>
    <n v="18821.55"/>
    <n v="61535"/>
    <n v="64535"/>
    <n v="11349965"/>
    <n v="12245465"/>
    <n v="12842465"/>
    <n v="0"/>
    <n v="964747.02500000002"/>
    <n v="2"/>
    <n v="244000"/>
    <n v="244000"/>
    <n v="11593965"/>
  </r>
  <r>
    <m/>
    <s v="B"/>
    <x v="9"/>
    <x v="0"/>
    <n v="4"/>
    <n v="4"/>
    <x v="215"/>
    <s v="3 BEDROOM"/>
    <x v="0"/>
    <n v="139.09"/>
    <n v="154.04853372157643"/>
    <n v="170"/>
    <m/>
    <m/>
    <s v="SW"/>
    <s v="MIDDLE"/>
    <s v="ROAD 18M (BUILDINGS)"/>
    <s v="FORTH"/>
    <s v="D"/>
    <n v="0.06"/>
    <n v="2.5000000000000001E-2"/>
    <n v="0.15"/>
    <n v="0.06"/>
    <n v="2.5000000000000001E-2"/>
    <n v="0.32"/>
    <x v="0"/>
    <s v="R 1"/>
    <n v="42500"/>
    <n v="47500"/>
    <n v="5000"/>
    <n v="1600"/>
    <n v="44100"/>
    <n v="14553"/>
    <n v="48600"/>
    <n v="51600"/>
    <n v="7497000"/>
    <n v="8262000"/>
    <n v="8772000"/>
    <n v="0"/>
    <n v="637245"/>
    <n v="2"/>
    <n v="200000"/>
    <n v="200000"/>
    <n v="7697000"/>
  </r>
  <r>
    <s v="C3"/>
    <s v="B"/>
    <x v="10"/>
    <x v="0"/>
    <n v="0"/>
    <n v="1"/>
    <x v="216"/>
    <s v="2 BEDROOM"/>
    <x v="0"/>
    <n v="87.23"/>
    <n v="94.72160516317075"/>
    <n v="106"/>
    <n v="66.0976"/>
    <m/>
    <s v="SE"/>
    <s v="MIDDLE"/>
    <s v="ROAD 18M (VILLAS)"/>
    <s v="GROUND"/>
    <s v="B"/>
    <n v="0.08"/>
    <n v="2.5000000000000001E-2"/>
    <n v="0.16"/>
    <n v="0.05"/>
    <n v="0.04"/>
    <n v="0.35499999999999998"/>
    <x v="0"/>
    <s v="R 1"/>
    <n v="42500"/>
    <n v="47500"/>
    <n v="5000"/>
    <n v="1775"/>
    <n v="44275"/>
    <n v="14610.75"/>
    <n v="48775"/>
    <n v="51775"/>
    <n v="4693150"/>
    <n v="5170150"/>
    <n v="5488150"/>
    <n v="965735.50919999997"/>
    <n v="481005.26828200003"/>
    <n v="1"/>
    <n v="200000"/>
    <n v="200000"/>
    <n v="5858885.5092000002"/>
  </r>
  <r>
    <m/>
    <s v="B"/>
    <x v="10"/>
    <x v="0"/>
    <n v="0"/>
    <n v="2"/>
    <x v="217"/>
    <s v="3 BEDROOM"/>
    <x v="0"/>
    <n v="125.09"/>
    <n v="135.83314902970341"/>
    <n v="153"/>
    <n v="85.619500000000002"/>
    <m/>
    <s v="NW"/>
    <s v="MIDDLE"/>
    <s v="LAKE B-1"/>
    <s v="GROUND"/>
    <s v="C"/>
    <n v="0.13"/>
    <n v="2.5000000000000001E-2"/>
    <n v="0.6"/>
    <n v="0.05"/>
    <n v="3.5000000000000003E-2"/>
    <n v="0.84000000000000008"/>
    <x v="2"/>
    <s v="R 8"/>
    <n v="51850"/>
    <n v="57950"/>
    <n v="6100"/>
    <n v="5124.0000000000009"/>
    <n v="56974"/>
    <n v="18801.420000000002"/>
    <n v="61474"/>
    <n v="64474"/>
    <n v="8717022"/>
    <n v="9405522"/>
    <n v="9864522"/>
    <n v="1609768.1796900001"/>
    <n v="877777.16527365008"/>
    <n v="2"/>
    <n v="244000"/>
    <n v="244000"/>
    <n v="10570790.17969"/>
  </r>
  <r>
    <m/>
    <s v="B"/>
    <x v="10"/>
    <x v="0"/>
    <n v="0"/>
    <n v="3"/>
    <x v="218"/>
    <s v="3 BEDROOM"/>
    <x v="0"/>
    <n v="129.57"/>
    <n v="140.69790646557414"/>
    <n v="158"/>
    <n v="84.075199999999995"/>
    <m/>
    <s v="NW"/>
    <s v="CORNER "/>
    <s v="LAKE B-1"/>
    <s v="GROUND"/>
    <s v="C"/>
    <n v="0.13"/>
    <n v="0.05"/>
    <n v="0.6"/>
    <n v="0.05"/>
    <n v="3.5000000000000003E-2"/>
    <n v="0.8650000000000001"/>
    <x v="2"/>
    <s v="R 9"/>
    <n v="53550"/>
    <n v="59850"/>
    <n v="6300"/>
    <n v="5449.5000000000009"/>
    <n v="58999.5"/>
    <n v="19469.834999999999"/>
    <n v="63499.5"/>
    <n v="66499.5"/>
    <n v="9321921"/>
    <n v="10032921"/>
    <n v="10506921"/>
    <n v="1636930.2715919998"/>
    <n v="931502.3580853201"/>
    <n v="2"/>
    <n v="252000"/>
    <n v="252000"/>
    <n v="11210851.271592"/>
  </r>
  <r>
    <m/>
    <s v="B"/>
    <x v="10"/>
    <x v="0"/>
    <n v="0"/>
    <n v="4"/>
    <x v="219"/>
    <s v="3 BEDROOM"/>
    <x v="0"/>
    <n v="131.34"/>
    <n v="142.61992000608558"/>
    <n v="160"/>
    <n v="80.916700000000006"/>
    <m/>
    <s v="SE"/>
    <s v="CORNER "/>
    <s v="ROAD 18M (VILLAS)"/>
    <s v="GROUND"/>
    <s v="D"/>
    <n v="0.08"/>
    <n v="0.05"/>
    <n v="0.16"/>
    <n v="0.05"/>
    <n v="2.5000000000000001E-2"/>
    <n v="0.36500000000000005"/>
    <x v="0"/>
    <s v="R 2"/>
    <n v="43562.499999999993"/>
    <n v="48687.499999999993"/>
    <n v="5125"/>
    <n v="1870.6250000000002"/>
    <n v="45433.124999999993"/>
    <n v="14992.931249999998"/>
    <n v="49933.124999999993"/>
    <n v="52933.124999999993"/>
    <n v="7269299.9999999991"/>
    <n v="7989299.9999999991"/>
    <n v="8469299.9999999981"/>
    <n v="1213178.5200768749"/>
    <n v="721010.6742065344"/>
    <n v="2"/>
    <n v="204999.99999999997"/>
    <n v="204999.99999999997"/>
    <n v="8687478.5200768746"/>
  </r>
  <r>
    <m/>
    <s v="B"/>
    <x v="10"/>
    <x v="0"/>
    <n v="1"/>
    <n v="1"/>
    <x v="220"/>
    <s v="2 BEDROOM"/>
    <x v="0"/>
    <n v="88.87"/>
    <n v="96.502453867373433"/>
    <n v="108"/>
    <m/>
    <m/>
    <s v="SE"/>
    <s v="MIDDLE"/>
    <s v="ROAD 18M (VILLAS)"/>
    <s v="FIRST"/>
    <s v="B"/>
    <n v="0.08"/>
    <n v="2.5000000000000001E-2"/>
    <n v="0.16"/>
    <n v="7.0000000000000007E-2"/>
    <n v="0.04"/>
    <n v="0.375"/>
    <x v="0"/>
    <s v="R 3"/>
    <n v="44625"/>
    <n v="49875"/>
    <n v="5250"/>
    <n v="1968.75"/>
    <n v="46593.75"/>
    <n v="15375.9375"/>
    <n v="51093.75"/>
    <n v="54093.75"/>
    <n v="5032125"/>
    <n v="5518125"/>
    <n v="5842125"/>
    <n v="0"/>
    <n v="427730.62500000006"/>
    <n v="1"/>
    <n v="210000"/>
    <n v="210000"/>
    <n v="5242125"/>
  </r>
  <r>
    <m/>
    <s v="B"/>
    <x v="10"/>
    <x v="0"/>
    <n v="1"/>
    <n v="2"/>
    <x v="221"/>
    <s v="3 BEDROOM"/>
    <x v="0"/>
    <n v="127.14"/>
    <n v="138.05920990995676"/>
    <n v="155"/>
    <m/>
    <m/>
    <s v="NW"/>
    <s v="MIDDLE"/>
    <s v="LAKE B-1"/>
    <s v="FIRST"/>
    <s v="C"/>
    <n v="0.13"/>
    <n v="2.5000000000000001E-2"/>
    <n v="0.6"/>
    <n v="7.0000000000000007E-2"/>
    <n v="3.5000000000000003E-2"/>
    <n v="0.86"/>
    <x v="2"/>
    <s v="R 8"/>
    <n v="51850"/>
    <n v="57950"/>
    <n v="6100"/>
    <n v="5246"/>
    <n v="57096"/>
    <n v="18841.68"/>
    <n v="61596"/>
    <n v="64596"/>
    <n v="8849880"/>
    <n v="9547380"/>
    <n v="10012380"/>
    <n v="0"/>
    <n v="752239.8"/>
    <n v="2"/>
    <n v="244000"/>
    <n v="244000"/>
    <n v="9093880"/>
  </r>
  <r>
    <m/>
    <s v="B"/>
    <x v="10"/>
    <x v="0"/>
    <n v="1"/>
    <n v="3"/>
    <x v="222"/>
    <s v="3 BEDROOM"/>
    <x v="0"/>
    <n v="131.43"/>
    <n v="142.71764950814548"/>
    <n v="160"/>
    <m/>
    <m/>
    <s v="NW"/>
    <s v="CORNER "/>
    <s v="LAKE B-1"/>
    <s v="FIRST"/>
    <s v="D"/>
    <n v="0.13"/>
    <n v="0.05"/>
    <n v="0.6"/>
    <n v="7.0000000000000007E-2"/>
    <n v="2.5000000000000001E-2"/>
    <n v="0.87500000000000011"/>
    <x v="2"/>
    <s v="R 10"/>
    <n v="56100"/>
    <n v="62700"/>
    <n v="6600"/>
    <n v="5775.0000000000009"/>
    <n v="61875"/>
    <n v="20418.75"/>
    <n v="66375"/>
    <n v="69375"/>
    <n v="9900000"/>
    <n v="10620000"/>
    <n v="11100000"/>
    <n v="0"/>
    <n v="841500.00000000012"/>
    <n v="2"/>
    <n v="264000"/>
    <n v="264000"/>
    <n v="10164000"/>
  </r>
  <r>
    <m/>
    <s v="B"/>
    <x v="10"/>
    <x v="0"/>
    <n v="1"/>
    <n v="4"/>
    <x v="223"/>
    <s v="3 BEDROOM"/>
    <x v="0"/>
    <n v="129.04"/>
    <n v="140.12238828677692"/>
    <n v="157"/>
    <m/>
    <m/>
    <s v="SE"/>
    <s v="CORNER "/>
    <s v="ROAD 18M (VILLAS)"/>
    <s v="FIRST"/>
    <s v="C"/>
    <n v="0.08"/>
    <n v="0.05"/>
    <n v="0.16"/>
    <n v="7.0000000000000007E-2"/>
    <n v="3.5000000000000003E-2"/>
    <n v="0.39500000000000002"/>
    <x v="0"/>
    <s v="R 4"/>
    <n v="45687.5"/>
    <n v="51062.5"/>
    <n v="5375"/>
    <n v="2123.125"/>
    <n v="47810.625"/>
    <n v="15777.50625"/>
    <n v="52310.625"/>
    <n v="55310.625"/>
    <n v="7506268.125"/>
    <n v="8212768.125"/>
    <n v="8683768.125"/>
    <n v="0"/>
    <n v="638032.79062500002"/>
    <n v="2"/>
    <n v="215000"/>
    <n v="215000"/>
    <n v="7721268.125"/>
  </r>
  <r>
    <m/>
    <s v="B"/>
    <x v="10"/>
    <x v="0"/>
    <n v="2"/>
    <n v="1"/>
    <x v="224"/>
    <s v="3 BEDROOM"/>
    <x v="0"/>
    <n v="127.15"/>
    <n v="138.07006874351899"/>
    <n v="155"/>
    <m/>
    <m/>
    <s v="SE"/>
    <s v="MIDDLE"/>
    <s v="ROAD 18M (VILLAS)"/>
    <s v="SECOND"/>
    <s v="C"/>
    <n v="0.08"/>
    <n v="2.5000000000000001E-2"/>
    <n v="0.16"/>
    <n v="0.11"/>
    <n v="3.5000000000000003E-2"/>
    <n v="0.41000000000000003"/>
    <x v="0"/>
    <s v="R 6"/>
    <n v="48450.000000000007"/>
    <n v="54150.000000000007"/>
    <n v="5700"/>
    <n v="2337"/>
    <n v="50787.000000000007"/>
    <n v="16759.710000000003"/>
    <n v="55287.000000000007"/>
    <n v="58287.000000000007"/>
    <n v="7871985.0000000009"/>
    <n v="8569485.0000000019"/>
    <n v="9034485.0000000019"/>
    <n v="0"/>
    <n v="669118.72500000009"/>
    <n v="2"/>
    <n v="228000.00000000003"/>
    <n v="228000.00000000003"/>
    <n v="8099985.0000000009"/>
  </r>
  <r>
    <m/>
    <s v="B"/>
    <x v="10"/>
    <x v="0"/>
    <n v="2"/>
    <n v="2"/>
    <x v="225"/>
    <s v="3 BEDROOM"/>
    <x v="0"/>
    <n v="126.95"/>
    <n v="137.85289207227476"/>
    <n v="155"/>
    <m/>
    <m/>
    <s v="NW"/>
    <s v="MIDDLE"/>
    <s v="LAKE B-1"/>
    <s v="SECOND"/>
    <s v="C"/>
    <n v="0.13"/>
    <n v="2.5000000000000001E-2"/>
    <n v="0.6"/>
    <n v="0.11"/>
    <n v="3.5000000000000003E-2"/>
    <n v="0.9"/>
    <x v="2"/>
    <s v="R 12"/>
    <n v="61625"/>
    <n v="68875"/>
    <n v="7250"/>
    <n v="6525"/>
    <n v="68150"/>
    <n v="22489.5"/>
    <n v="72650"/>
    <n v="75650"/>
    <n v="10563250"/>
    <n v="11260750"/>
    <n v="11725750"/>
    <n v="0"/>
    <n v="897876.25000000012"/>
    <n v="2"/>
    <n v="290000"/>
    <n v="290000"/>
    <n v="10853250"/>
  </r>
  <r>
    <m/>
    <s v="B"/>
    <x v="10"/>
    <x v="0"/>
    <n v="2"/>
    <n v="3"/>
    <x v="226"/>
    <s v="3 BEDROOM"/>
    <x v="0"/>
    <n v="131.44"/>
    <n v="142.72850834170771"/>
    <n v="160"/>
    <m/>
    <m/>
    <s v="NW"/>
    <s v="CORNER "/>
    <s v="LAKE B-1"/>
    <s v="SECOND"/>
    <s v="D"/>
    <n v="0.13"/>
    <n v="0.05"/>
    <n v="0.6"/>
    <n v="0.11"/>
    <n v="2.5000000000000001E-2"/>
    <n v="0.91500000000000004"/>
    <x v="2"/>
    <s v="R 12"/>
    <n v="61625"/>
    <n v="68875"/>
    <n v="7250"/>
    <n v="6633.75"/>
    <n v="68258.75"/>
    <n v="22525.387500000001"/>
    <n v="72758.75"/>
    <n v="75758.75"/>
    <n v="10921400"/>
    <n v="11641400"/>
    <n v="12121400"/>
    <n v="0"/>
    <n v="928319.00000000012"/>
    <n v="2"/>
    <n v="290000"/>
    <n v="290000"/>
    <n v="11211400"/>
  </r>
  <r>
    <m/>
    <s v="B"/>
    <x v="10"/>
    <x v="0"/>
    <n v="2"/>
    <n v="4"/>
    <x v="227"/>
    <s v="3 BEDROOM"/>
    <x v="0"/>
    <n v="131.43"/>
    <n v="142.71764950814548"/>
    <n v="160"/>
    <m/>
    <m/>
    <s v="SE"/>
    <s v="CORNER "/>
    <s v="ROAD 18M (VILLAS)"/>
    <s v="SECOND"/>
    <s v="D"/>
    <n v="0.08"/>
    <n v="0.05"/>
    <n v="0.16"/>
    <n v="0.11"/>
    <n v="2.5000000000000001E-2"/>
    <n v="0.42500000000000004"/>
    <x v="0"/>
    <s v="R 8"/>
    <n v="51850"/>
    <n v="57950"/>
    <n v="6100"/>
    <n v="2592.5000000000005"/>
    <n v="54442.5"/>
    <n v="17966.025000000001"/>
    <n v="58942.5"/>
    <n v="61942.5"/>
    <n v="8710800"/>
    <n v="9430800"/>
    <n v="9910800"/>
    <n v="0"/>
    <n v="740418"/>
    <n v="2"/>
    <n v="244000"/>
    <n v="244000"/>
    <n v="8954800"/>
  </r>
  <r>
    <m/>
    <s v="B"/>
    <x v="10"/>
    <x v="0"/>
    <n v="3"/>
    <n v="1"/>
    <x v="228"/>
    <s v="3 BEDROOM"/>
    <x v="0"/>
    <n v="127.45"/>
    <n v="138.39583375038532"/>
    <n v="155"/>
    <m/>
    <m/>
    <s v="SE"/>
    <s v="MIDDLE"/>
    <s v="ROAD 18M (VILLAS)"/>
    <s v="THIRD"/>
    <s v="C"/>
    <n v="0.08"/>
    <n v="2.5000000000000001E-2"/>
    <n v="0.16"/>
    <n v="0.15"/>
    <n v="3.5000000000000003E-2"/>
    <n v="0.45000000000000007"/>
    <x v="0"/>
    <s v="R 9"/>
    <n v="53550"/>
    <n v="59850"/>
    <n v="6300"/>
    <n v="2835.0000000000005"/>
    <n v="56385"/>
    <n v="18607.05"/>
    <n v="60885"/>
    <n v="63885"/>
    <n v="8739675"/>
    <n v="9437175"/>
    <n v="9902175"/>
    <n v="0"/>
    <n v="742872.375"/>
    <n v="2"/>
    <n v="252000"/>
    <n v="252000"/>
    <n v="8991675"/>
  </r>
  <r>
    <m/>
    <s v="B"/>
    <x v="10"/>
    <x v="0"/>
    <n v="3"/>
    <n v="2"/>
    <x v="229"/>
    <s v="3 BEDROOM"/>
    <x v="0"/>
    <n v="126.97"/>
    <n v="137.87460973939918"/>
    <n v="155"/>
    <m/>
    <m/>
    <s v="NW"/>
    <s v="MIDDLE"/>
    <s v="LAKE B-1"/>
    <s v="THIRD"/>
    <s v="C"/>
    <n v="0.13"/>
    <n v="2.5000000000000001E-2"/>
    <n v="0.6"/>
    <n v="0.15"/>
    <n v="3.5000000000000003E-2"/>
    <n v="0.94000000000000006"/>
    <x v="2"/>
    <s v="R 12"/>
    <n v="61625"/>
    <n v="68875"/>
    <n v="7250"/>
    <n v="6815"/>
    <n v="68440"/>
    <n v="22585.200000000001"/>
    <n v="72940"/>
    <n v="75940"/>
    <n v="10608200"/>
    <n v="11305700"/>
    <n v="11770700"/>
    <n v="0"/>
    <n v="901697.00000000012"/>
    <n v="2"/>
    <n v="290000"/>
    <n v="290000"/>
    <n v="10898200"/>
  </r>
  <r>
    <m/>
    <s v="B"/>
    <x v="10"/>
    <x v="0"/>
    <n v="3"/>
    <n v="3"/>
    <x v="230"/>
    <s v="3 BEDROOM"/>
    <x v="0"/>
    <n v="131.43"/>
    <n v="142.71764950814548"/>
    <n v="160"/>
    <m/>
    <m/>
    <s v="NW"/>
    <s v="CORNER "/>
    <s v="LAKE B-1"/>
    <s v="THIRD"/>
    <s v="D"/>
    <n v="0.13"/>
    <n v="0.05"/>
    <n v="0.6"/>
    <n v="0.15"/>
    <n v="2.5000000000000001E-2"/>
    <n v="0.95500000000000007"/>
    <x v="2"/>
    <s v="R 12"/>
    <n v="61625"/>
    <n v="68875"/>
    <n v="7250"/>
    <n v="6923.7500000000009"/>
    <n v="68548.75"/>
    <n v="22621.087500000001"/>
    <n v="73048.75"/>
    <n v="76048.75"/>
    <n v="10967800"/>
    <n v="11687800"/>
    <n v="12167800"/>
    <n v="0"/>
    <n v="932263.00000000012"/>
    <n v="2"/>
    <n v="290000"/>
    <n v="290000"/>
    <n v="11257800"/>
  </r>
  <r>
    <m/>
    <s v="B"/>
    <x v="10"/>
    <x v="0"/>
    <n v="3"/>
    <n v="4"/>
    <x v="231"/>
    <s v="3 BEDROOM"/>
    <x v="0"/>
    <n v="131.88"/>
    <n v="143.20629701844501"/>
    <n v="161"/>
    <m/>
    <m/>
    <s v="SE"/>
    <s v="CORNER "/>
    <s v="ROAD 18M (VILLAS)"/>
    <s v="THIRD"/>
    <s v="D"/>
    <n v="0.08"/>
    <n v="0.05"/>
    <n v="0.16"/>
    <n v="0.15"/>
    <n v="2.5000000000000001E-2"/>
    <n v="0.46500000000000008"/>
    <x v="0"/>
    <s v="R 11"/>
    <n v="58649.999999999993"/>
    <n v="65550"/>
    <n v="6900.0000000000073"/>
    <n v="3208.5000000000041"/>
    <n v="61858.5"/>
    <n v="20413.305"/>
    <n v="66358.5"/>
    <n v="69358.5"/>
    <n v="9959218.5"/>
    <n v="10683718.5"/>
    <n v="11166718.5"/>
    <n v="0"/>
    <n v="846533.57250000001"/>
    <n v="2"/>
    <n v="276000"/>
    <n v="276000"/>
    <n v="10235218.5"/>
  </r>
  <r>
    <m/>
    <s v="B"/>
    <x v="10"/>
    <x v="0"/>
    <n v="4"/>
    <n v="1"/>
    <x v="232"/>
    <s v="3 BEDROOM"/>
    <x v="0"/>
    <n v="125.13"/>
    <n v="135.87658436395225"/>
    <n v="153"/>
    <m/>
    <m/>
    <s v="SE"/>
    <s v="MIDDLE"/>
    <s v="ROAD 18M (VILLAS)"/>
    <s v="FORTH"/>
    <s v="C"/>
    <n v="0.08"/>
    <n v="2.5000000000000001E-2"/>
    <n v="0.16"/>
    <n v="0.06"/>
    <n v="3.5000000000000003E-2"/>
    <n v="0.36"/>
    <x v="0"/>
    <s v="R 2"/>
    <n v="43562.499999999993"/>
    <n v="48687.499999999993"/>
    <n v="5125"/>
    <n v="1845"/>
    <n v="45407.499999999993"/>
    <n v="14984.474999999999"/>
    <n v="49907.499999999993"/>
    <n v="52907.499999999993"/>
    <n v="6947347.4999999991"/>
    <n v="7635847.4999999991"/>
    <n v="8094847.4999999991"/>
    <n v="0"/>
    <n v="590524.53749999998"/>
    <n v="2"/>
    <n v="204999.99999999997"/>
    <n v="204999.99999999997"/>
    <n v="7152347.4999999991"/>
  </r>
  <r>
    <m/>
    <s v="B"/>
    <x v="10"/>
    <x v="0"/>
    <n v="4"/>
    <n v="2"/>
    <x v="233"/>
    <s v="3 BEDROOM"/>
    <x v="0"/>
    <n v="127.19"/>
    <n v="138.11350407776783"/>
    <n v="155"/>
    <m/>
    <m/>
    <s v="NW"/>
    <s v="MIDDLE"/>
    <s v="LAKE B-1"/>
    <s v="FORTH"/>
    <s v="C"/>
    <n v="0.13"/>
    <n v="2.5000000000000001E-2"/>
    <n v="0.6"/>
    <n v="0.06"/>
    <n v="3.5000000000000003E-2"/>
    <n v="0.85"/>
    <x v="2"/>
    <s v="R 8"/>
    <n v="51850"/>
    <n v="57950"/>
    <n v="6100"/>
    <n v="5185"/>
    <n v="57035"/>
    <n v="18821.55"/>
    <n v="61535"/>
    <n v="64535"/>
    <n v="8840425"/>
    <n v="9537925"/>
    <n v="10002925"/>
    <n v="0"/>
    <n v="751436.125"/>
    <n v="2"/>
    <n v="244000"/>
    <n v="244000"/>
    <n v="9084425"/>
  </r>
  <r>
    <m/>
    <s v="B"/>
    <x v="10"/>
    <x v="0"/>
    <n v="4"/>
    <n v="3"/>
    <x v="234"/>
    <s v="3 BEDROOM"/>
    <x v="0"/>
    <n v="131.38"/>
    <n v="142.66335534033442"/>
    <n v="160"/>
    <m/>
    <m/>
    <s v="NW"/>
    <s v="CORNER "/>
    <s v="LAKE B-1"/>
    <s v="FORTH"/>
    <s v="D"/>
    <n v="0.13"/>
    <n v="0.05"/>
    <n v="0.6"/>
    <n v="0.06"/>
    <n v="2.5000000000000001E-2"/>
    <n v="0.8650000000000001"/>
    <x v="2"/>
    <s v="R 9"/>
    <n v="53550"/>
    <n v="59850"/>
    <n v="6300"/>
    <n v="5449.5000000000009"/>
    <n v="58999.5"/>
    <n v="19469.834999999999"/>
    <n v="63499.5"/>
    <n v="66499.5"/>
    <n v="9439920"/>
    <n v="10159920"/>
    <n v="10639920"/>
    <n v="0"/>
    <n v="802393.20000000007"/>
    <n v="2"/>
    <n v="252000"/>
    <n v="252000"/>
    <n v="9691920"/>
  </r>
  <r>
    <m/>
    <s v="B"/>
    <x v="10"/>
    <x v="0"/>
    <n v="4"/>
    <n v="4"/>
    <x v="235"/>
    <s v="3 BEDROOM"/>
    <x v="0"/>
    <n v="129.58000000000001"/>
    <n v="140.70876529913639"/>
    <n v="158"/>
    <m/>
    <m/>
    <s v="SE"/>
    <s v="CORNER "/>
    <s v="ROAD 18M (VILLAS)"/>
    <s v="FORTH"/>
    <s v="C"/>
    <n v="0.08"/>
    <n v="0.05"/>
    <n v="0.16"/>
    <n v="0.06"/>
    <n v="3.5000000000000003E-2"/>
    <n v="0.38500000000000001"/>
    <x v="0"/>
    <s v="R 4"/>
    <n v="45687.5"/>
    <n v="51062.5"/>
    <n v="5375"/>
    <n v="2069.375"/>
    <n v="47756.875"/>
    <n v="15759.768750000001"/>
    <n v="52256.875"/>
    <n v="55256.875"/>
    <n v="7545586.25"/>
    <n v="8256586.25"/>
    <n v="8730586.25"/>
    <n v="0"/>
    <n v="641374.83125000005"/>
    <n v="2"/>
    <n v="215000"/>
    <n v="215000"/>
    <n v="7760586.25"/>
  </r>
  <r>
    <s v="C3"/>
    <s v="B"/>
    <x v="11"/>
    <x v="0"/>
    <n v="0"/>
    <n v="1"/>
    <x v="236"/>
    <s v="3 BEDROOM"/>
    <x v="0"/>
    <n v="131.32"/>
    <n v="142.66718842094684"/>
    <n v="160"/>
    <n v="81.224599999999995"/>
    <m/>
    <s v="SE"/>
    <s v="MIDDLE"/>
    <s v="ROAD 18M (VILLAS)"/>
    <s v="GROUND"/>
    <s v="D"/>
    <n v="0.08"/>
    <n v="2.5000000000000001E-2"/>
    <n v="0.16"/>
    <n v="0.05"/>
    <n v="2.5000000000000001E-2"/>
    <n v="0.34"/>
    <x v="0"/>
    <s v="R 1"/>
    <n v="42500"/>
    <n v="47500"/>
    <n v="5000"/>
    <n v="1700.0000000000002"/>
    <n v="44200"/>
    <n v="14586"/>
    <n v="48700"/>
    <n v="51700"/>
    <n v="7072000"/>
    <n v="7792000"/>
    <n v="8272000"/>
    <n v="1184742.0156"/>
    <n v="701823.07132600003"/>
    <n v="2"/>
    <n v="200000"/>
    <n v="200000"/>
    <n v="8456742.0155999996"/>
  </r>
  <r>
    <m/>
    <s v="B"/>
    <x v="11"/>
    <x v="0"/>
    <n v="0"/>
    <n v="2"/>
    <x v="237"/>
    <s v="3 BEDROOM + LIVING (DUPLEX)"/>
    <x v="0"/>
    <n v="128.28"/>
    <n v="139.36450602070562"/>
    <n v="309"/>
    <n v="86.075999999999993"/>
    <m/>
    <s v="NW"/>
    <s v="MIDDLE"/>
    <s v="LAKE B-1"/>
    <s v="GROUND"/>
    <s v="F"/>
    <n v="0.13"/>
    <n v="2.5000000000000001E-2"/>
    <n v="0.6"/>
    <n v="0.05"/>
    <n v="0"/>
    <n v="0.80500000000000005"/>
    <x v="2"/>
    <s v="R 6"/>
    <n v="48450.000000000007"/>
    <n v="54150.000000000007"/>
    <n v="5700"/>
    <n v="4588.5"/>
    <n v="53038.500000000007"/>
    <n v="17502.705000000002"/>
    <n v="57538.500000000007"/>
    <n v="60538.500000000007"/>
    <n v="16388896.500000002"/>
    <n v="17779396.500000004"/>
    <n v="18706396.500000004"/>
    <n v="1506562.83558"/>
    <n v="1521114.0435243002"/>
    <n v="2"/>
    <n v="228000.00000000003"/>
    <n v="228000.00000000003"/>
    <n v="18123459.335580003"/>
  </r>
  <r>
    <m/>
    <s v="B"/>
    <x v="11"/>
    <x v="0"/>
    <n v="0"/>
    <n v="3"/>
    <x v="238"/>
    <s v="3 BEDROOM + LIVING (DUPLEX)"/>
    <x v="0"/>
    <n v="125.03"/>
    <n v="135.83367779676351"/>
    <n v="301"/>
    <n v="85.509600000000006"/>
    <m/>
    <s v="NW"/>
    <s v="MIDDLE"/>
    <s v="LAKE B-1"/>
    <s v="GROUND"/>
    <s v="F"/>
    <n v="0.13"/>
    <n v="2.5000000000000001E-2"/>
    <n v="0.6"/>
    <n v="0.05"/>
    <n v="0"/>
    <n v="0.80500000000000005"/>
    <x v="2"/>
    <s v="R 6"/>
    <n v="48450.000000000007"/>
    <n v="54150.000000000007"/>
    <n v="5700"/>
    <n v="4588.5"/>
    <n v="53038.500000000007"/>
    <n v="17502.705000000002"/>
    <n v="57538.500000000007"/>
    <n v="60538.500000000007"/>
    <n v="15964588.500000002"/>
    <n v="17319088.500000004"/>
    <n v="18222088.500000004"/>
    <n v="1496649.3034680001"/>
    <n v="1484205.2132947803"/>
    <n v="2"/>
    <n v="228000.00000000003"/>
    <n v="228000.00000000003"/>
    <n v="17689237.803468004"/>
  </r>
  <r>
    <m/>
    <s v="B"/>
    <x v="11"/>
    <x v="0"/>
    <n v="0"/>
    <n v="4"/>
    <x v="239"/>
    <s v="2 BEDROOM"/>
    <x v="0"/>
    <n v="87.23"/>
    <n v="94.767429530606108"/>
    <n v="106"/>
    <n v="66.334900000000005"/>
    <m/>
    <s v="SE"/>
    <s v="MIDDLE"/>
    <s v="ROAD 18M (VILLAS)"/>
    <s v="GROUND"/>
    <s v="B"/>
    <n v="0.08"/>
    <n v="2.5000000000000001E-2"/>
    <n v="0.16"/>
    <n v="0.05"/>
    <n v="0.04"/>
    <n v="0.35499999999999998"/>
    <x v="0"/>
    <s v="R 1"/>
    <n v="42500"/>
    <n v="47500"/>
    <n v="5000"/>
    <n v="1775"/>
    <n v="44275"/>
    <n v="14610.75"/>
    <n v="48775"/>
    <n v="51775"/>
    <n v="4693150"/>
    <n v="5170150"/>
    <n v="5488150"/>
    <n v="969202.64017500007"/>
    <n v="481299.97441487503"/>
    <n v="1"/>
    <n v="200000"/>
    <n v="200000"/>
    <n v="5862352.6401749998"/>
  </r>
  <r>
    <m/>
    <s v="B"/>
    <x v="11"/>
    <x v="0"/>
    <n v="1"/>
    <n v="1"/>
    <x v="240"/>
    <s v="3 BEDROOM"/>
    <x v="0"/>
    <n v="132.94"/>
    <n v="144.42717048949646"/>
    <n v="162"/>
    <m/>
    <m/>
    <s v="SE"/>
    <s v="MIDDLE"/>
    <s v="ROAD 18M (VILLAS)"/>
    <s v="FIRST"/>
    <s v="D"/>
    <n v="0.08"/>
    <n v="2.5000000000000001E-2"/>
    <n v="0.16"/>
    <n v="7.0000000000000007E-2"/>
    <n v="2.5000000000000001E-2"/>
    <n v="0.36000000000000004"/>
    <x v="0"/>
    <s v="R 2"/>
    <n v="43562.499999999993"/>
    <n v="48687.499999999993"/>
    <n v="5125"/>
    <n v="1845.0000000000002"/>
    <n v="45407.499999999993"/>
    <n v="14984.474999999999"/>
    <n v="49907.499999999993"/>
    <n v="52907.499999999993"/>
    <n v="7356014.9999999991"/>
    <n v="8085014.9999999991"/>
    <n v="8571014.9999999981"/>
    <n v="0"/>
    <n v="625261.27500000002"/>
    <n v="2"/>
    <n v="204999.99999999997"/>
    <n v="204999.99999999997"/>
    <n v="7561014.9999999991"/>
  </r>
  <r>
    <m/>
    <s v="B"/>
    <x v="11"/>
    <x v="0"/>
    <n v="1"/>
    <n v="4"/>
    <x v="241"/>
    <s v="2 BEDROOM"/>
    <x v="0"/>
    <n v="88.87"/>
    <n v="96.549139772841514"/>
    <n v="108"/>
    <m/>
    <m/>
    <s v="SE"/>
    <s v="MIDDLE"/>
    <s v="ROAD 18M (VILLAS)"/>
    <s v="FIRST"/>
    <s v="B"/>
    <n v="0.08"/>
    <n v="2.5000000000000001E-2"/>
    <n v="0.16"/>
    <n v="7.0000000000000007E-2"/>
    <n v="0.04"/>
    <n v="0.375"/>
    <x v="0"/>
    <s v="R 3"/>
    <n v="44625"/>
    <n v="49875"/>
    <n v="5250"/>
    <n v="1968.75"/>
    <n v="46593.75"/>
    <n v="15375.9375"/>
    <n v="51093.75"/>
    <n v="54093.75"/>
    <n v="5032125"/>
    <n v="5518125"/>
    <n v="5842125"/>
    <n v="0"/>
    <n v="427730.62500000006"/>
    <n v="1"/>
    <n v="210000"/>
    <n v="210000"/>
    <n v="5242125"/>
  </r>
  <r>
    <m/>
    <s v="B"/>
    <x v="11"/>
    <x v="0"/>
    <n v="2"/>
    <n v="1"/>
    <x v="242"/>
    <s v="3 BEDROOM"/>
    <x v="0"/>
    <n v="131.41999999999999"/>
    <n v="142.77582928937582"/>
    <n v="160"/>
    <m/>
    <m/>
    <s v="SE"/>
    <s v="MIDDLE"/>
    <s v="ROAD 18M (VILLAS)"/>
    <s v="SECOND"/>
    <s v="D"/>
    <n v="0.08"/>
    <n v="2.5000000000000001E-2"/>
    <n v="0.16"/>
    <n v="0.11"/>
    <n v="2.5000000000000001E-2"/>
    <n v="0.4"/>
    <x v="0"/>
    <s v="R 5"/>
    <n v="46750.000000000007"/>
    <n v="52250.000000000007"/>
    <n v="5500"/>
    <n v="2200"/>
    <n v="48950.000000000007"/>
    <n v="16153.500000000004"/>
    <n v="53450.000000000007"/>
    <n v="56450.000000000007"/>
    <n v="7832000.0000000009"/>
    <n v="8552000.0000000019"/>
    <n v="9032000.0000000019"/>
    <n v="0"/>
    <n v="665720.00000000012"/>
    <n v="2"/>
    <n v="220000.00000000003"/>
    <n v="220000.00000000003"/>
    <n v="8052000.0000000009"/>
  </r>
  <r>
    <m/>
    <s v="B"/>
    <x v="11"/>
    <x v="0"/>
    <n v="2"/>
    <n v="2"/>
    <x v="243"/>
    <s v="3 BEDROOM"/>
    <x v="0"/>
    <n v="131.03"/>
    <n v="142.35212990250278"/>
    <n v="160"/>
    <m/>
    <m/>
    <s v="NW"/>
    <s v="MIDDLE"/>
    <s v="LAKE B-1"/>
    <s v="SECOND"/>
    <s v="D"/>
    <n v="0.13"/>
    <n v="2.5000000000000001E-2"/>
    <n v="0.6"/>
    <n v="0.11"/>
    <n v="2.5000000000000001E-2"/>
    <n v="0.89"/>
    <x v="2"/>
    <s v="R 12"/>
    <n v="61625"/>
    <n v="68875"/>
    <n v="7250"/>
    <n v="6452.5"/>
    <n v="68077.5"/>
    <n v="22465.575000000001"/>
    <n v="72577.5"/>
    <n v="75577.5"/>
    <n v="10892400"/>
    <n v="11612400"/>
    <n v="12092400"/>
    <n v="0"/>
    <n v="925854.00000000012"/>
    <n v="2"/>
    <n v="290000"/>
    <n v="290000"/>
    <n v="11182400"/>
  </r>
  <r>
    <m/>
    <s v="B"/>
    <x v="11"/>
    <x v="0"/>
    <n v="2"/>
    <n v="3"/>
    <x v="244"/>
    <s v="3 BEDROOM"/>
    <x v="0"/>
    <n v="126.89"/>
    <n v="137.85439794954269"/>
    <n v="155"/>
    <m/>
    <m/>
    <s v="NW"/>
    <s v="MIDDLE"/>
    <s v="LAKE B-1"/>
    <s v="SECOND"/>
    <s v="C"/>
    <n v="0.13"/>
    <n v="2.5000000000000001E-2"/>
    <n v="0.6"/>
    <n v="0.11"/>
    <n v="3.5000000000000003E-2"/>
    <n v="0.9"/>
    <x v="2"/>
    <s v="R 12"/>
    <n v="61625"/>
    <n v="68875"/>
    <n v="7250"/>
    <n v="6525"/>
    <n v="68150"/>
    <n v="22489.5"/>
    <n v="72650"/>
    <n v="75650"/>
    <n v="10563250"/>
    <n v="11260750"/>
    <n v="11725750"/>
    <n v="0"/>
    <n v="897876.25000000012"/>
    <n v="2"/>
    <n v="290000"/>
    <n v="290000"/>
    <n v="10853250"/>
  </r>
  <r>
    <m/>
    <s v="B"/>
    <x v="11"/>
    <x v="0"/>
    <n v="2"/>
    <n v="4"/>
    <x v="245"/>
    <s v="3 BEDROOM"/>
    <x v="0"/>
    <n v="126.99"/>
    <n v="137.96303881797166"/>
    <n v="155"/>
    <m/>
    <m/>
    <s v="SE"/>
    <s v="MIDDLE"/>
    <s v="ROAD 18M (VILLAS)"/>
    <s v="SECOND"/>
    <s v="C"/>
    <n v="0.08"/>
    <n v="2.5000000000000001E-2"/>
    <n v="0.16"/>
    <n v="0.11"/>
    <n v="3.5000000000000003E-2"/>
    <n v="0.41000000000000003"/>
    <x v="0"/>
    <s v="R 6"/>
    <n v="48450.000000000007"/>
    <n v="54150.000000000007"/>
    <n v="5700"/>
    <n v="2337"/>
    <n v="50787.000000000007"/>
    <n v="16759.710000000003"/>
    <n v="55287.000000000007"/>
    <n v="58287.000000000007"/>
    <n v="7871985.0000000009"/>
    <n v="8569485.0000000019"/>
    <n v="9034485.0000000019"/>
    <n v="0"/>
    <n v="669118.72500000009"/>
    <n v="2"/>
    <n v="228000.00000000003"/>
    <n v="228000.00000000003"/>
    <n v="8099985.0000000009"/>
  </r>
  <r>
    <m/>
    <s v="B"/>
    <x v="11"/>
    <x v="0"/>
    <n v="3"/>
    <n v="1"/>
    <x v="246"/>
    <s v="3 BEDROOM"/>
    <x v="0"/>
    <n v="131.88"/>
    <n v="143.27557728414919"/>
    <n v="161"/>
    <m/>
    <m/>
    <s v="SE"/>
    <s v="MIDDLE"/>
    <s v="ROAD 18M (VILLAS)"/>
    <s v="THIRD"/>
    <s v="D"/>
    <n v="0.08"/>
    <n v="2.5000000000000001E-2"/>
    <n v="0.16"/>
    <n v="0.15"/>
    <n v="2.5000000000000001E-2"/>
    <n v="0.44000000000000006"/>
    <x v="0"/>
    <s v="R 8"/>
    <n v="51850"/>
    <n v="57950"/>
    <n v="6100"/>
    <n v="2684.0000000000005"/>
    <n v="54534"/>
    <n v="17996.22"/>
    <n v="59034"/>
    <n v="62034"/>
    <n v="8779974"/>
    <n v="9504474"/>
    <n v="9987474"/>
    <n v="0"/>
    <n v="746297.79"/>
    <n v="2"/>
    <n v="244000"/>
    <n v="244000"/>
    <n v="9023974"/>
  </r>
  <r>
    <m/>
    <s v="B"/>
    <x v="11"/>
    <x v="0"/>
    <n v="3"/>
    <n v="2"/>
    <x v="247"/>
    <s v="3 BEDROOM"/>
    <x v="0"/>
    <n v="131.02000000000001"/>
    <n v="142.34126581565991"/>
    <n v="160"/>
    <m/>
    <m/>
    <s v="NW"/>
    <s v="MIDDLE"/>
    <s v="LAKE B-1"/>
    <s v="THIRD"/>
    <s v="D"/>
    <n v="0.13"/>
    <n v="2.5000000000000001E-2"/>
    <n v="0.6"/>
    <n v="0.15"/>
    <n v="2.5000000000000001E-2"/>
    <n v="0.93"/>
    <x v="2"/>
    <s v="R 12"/>
    <n v="61625"/>
    <n v="68875"/>
    <n v="7250"/>
    <n v="6742.5"/>
    <n v="68367.5"/>
    <n v="22561.275000000001"/>
    <n v="72867.5"/>
    <n v="75867.5"/>
    <n v="10938800"/>
    <n v="11658800"/>
    <n v="12138800"/>
    <n v="0"/>
    <n v="929798.00000000012"/>
    <n v="2"/>
    <n v="290000"/>
    <n v="290000"/>
    <n v="11228800"/>
  </r>
  <r>
    <m/>
    <s v="B"/>
    <x v="11"/>
    <x v="0"/>
    <n v="3"/>
    <n v="3"/>
    <x v="248"/>
    <s v="3 BEDROOM"/>
    <x v="0"/>
    <n v="126.87"/>
    <n v="137.83266977585691"/>
    <n v="155"/>
    <m/>
    <m/>
    <s v="NW"/>
    <s v="MIDDLE"/>
    <s v="LAKE B-1"/>
    <s v="THIRD"/>
    <s v="C"/>
    <n v="0.13"/>
    <n v="2.5000000000000001E-2"/>
    <n v="0.6"/>
    <n v="0.15"/>
    <n v="3.5000000000000003E-2"/>
    <n v="0.94000000000000006"/>
    <x v="2"/>
    <s v="R 12"/>
    <n v="61625"/>
    <n v="68875"/>
    <n v="7250"/>
    <n v="6815"/>
    <n v="68440"/>
    <n v="22585.200000000001"/>
    <n v="72940"/>
    <n v="75940"/>
    <n v="10608200"/>
    <n v="11305700"/>
    <n v="11770700"/>
    <n v="0"/>
    <n v="901697.00000000012"/>
    <n v="2"/>
    <n v="290000"/>
    <n v="290000"/>
    <n v="10898200"/>
  </r>
  <r>
    <m/>
    <s v="B"/>
    <x v="11"/>
    <x v="0"/>
    <n v="3"/>
    <n v="4"/>
    <x v="249"/>
    <s v="3 BEDROOM"/>
    <x v="0"/>
    <n v="127.41"/>
    <n v="138.41933046537343"/>
    <n v="155"/>
    <m/>
    <m/>
    <s v="SE"/>
    <s v="MIDDLE"/>
    <s v="ROAD 18M (VILLAS)"/>
    <s v="THIRD"/>
    <s v="C"/>
    <n v="0.08"/>
    <n v="2.5000000000000001E-2"/>
    <n v="0.16"/>
    <n v="0.15"/>
    <n v="3.5000000000000003E-2"/>
    <n v="0.45000000000000007"/>
    <x v="0"/>
    <s v="R 9"/>
    <n v="53550"/>
    <n v="59850"/>
    <n v="6300"/>
    <n v="2835.0000000000005"/>
    <n v="56385"/>
    <n v="18607.05"/>
    <n v="60885"/>
    <n v="63885"/>
    <n v="8739675"/>
    <n v="9437175"/>
    <n v="9902175"/>
    <n v="0"/>
    <n v="742872.375"/>
    <n v="2"/>
    <n v="252000"/>
    <n v="252000"/>
    <n v="8991675"/>
  </r>
  <r>
    <m/>
    <s v="B"/>
    <x v="11"/>
    <x v="0"/>
    <n v="4"/>
    <n v="1"/>
    <x v="250"/>
    <s v="3 BEDROOM"/>
    <x v="0"/>
    <n v="129.59"/>
    <n v="140.78770139712537"/>
    <n v="158"/>
    <m/>
    <m/>
    <s v="SE"/>
    <s v="MIDDLE"/>
    <s v="ROAD 18M (VILLAS)"/>
    <s v="FORTH"/>
    <s v="C"/>
    <n v="0.08"/>
    <n v="2.5000000000000001E-2"/>
    <n v="0.16"/>
    <n v="0.06"/>
    <n v="3.5000000000000003E-2"/>
    <n v="0.36"/>
    <x v="0"/>
    <s v="R 1"/>
    <n v="42500"/>
    <n v="47500"/>
    <n v="5000"/>
    <n v="1800"/>
    <n v="44300"/>
    <n v="14619"/>
    <n v="48800"/>
    <n v="51800"/>
    <n v="6999400"/>
    <n v="7710400"/>
    <n v="8184400"/>
    <n v="0"/>
    <n v="594949"/>
    <n v="2"/>
    <n v="200000"/>
    <n v="200000"/>
    <n v="7199400"/>
  </r>
  <r>
    <m/>
    <s v="B"/>
    <x v="11"/>
    <x v="0"/>
    <n v="4"/>
    <n v="2"/>
    <x v="251"/>
    <s v="3 BEDROOM"/>
    <x v="0"/>
    <n v="131.72"/>
    <n v="143.10175189466281"/>
    <n v="161"/>
    <m/>
    <m/>
    <s v="NW"/>
    <s v="MIDDLE"/>
    <s v="LAKE B-1"/>
    <s v="FORTH"/>
    <s v="D"/>
    <n v="0.13"/>
    <n v="2.5000000000000001E-2"/>
    <n v="0.6"/>
    <n v="0.06"/>
    <n v="2.5000000000000001E-2"/>
    <n v="0.84"/>
    <x v="2"/>
    <s v="R 8"/>
    <n v="51850"/>
    <n v="57950"/>
    <n v="6100"/>
    <n v="5124"/>
    <n v="56974"/>
    <n v="18801.420000000002"/>
    <n v="61474"/>
    <n v="64474"/>
    <n v="9172814"/>
    <n v="9897314"/>
    <n v="10380314"/>
    <n v="0"/>
    <n v="779689.19000000006"/>
    <n v="2"/>
    <n v="244000"/>
    <n v="244000"/>
    <n v="9416814"/>
  </r>
  <r>
    <m/>
    <s v="B"/>
    <x v="11"/>
    <x v="0"/>
    <n v="4"/>
    <n v="3"/>
    <x v="252"/>
    <s v="3 BEDROOM"/>
    <x v="0"/>
    <n v="127.12"/>
    <n v="138.10427194692937"/>
    <n v="155"/>
    <m/>
    <m/>
    <s v="NW"/>
    <s v="MIDDLE"/>
    <s v="LAKE B-1"/>
    <s v="FORTH"/>
    <s v="C"/>
    <n v="0.13"/>
    <n v="2.5000000000000001E-2"/>
    <n v="0.6"/>
    <n v="0.06"/>
    <n v="3.5000000000000003E-2"/>
    <n v="0.85"/>
    <x v="2"/>
    <s v="R 8"/>
    <n v="51850"/>
    <n v="57950"/>
    <n v="6100"/>
    <n v="5185"/>
    <n v="57035"/>
    <n v="18821.55"/>
    <n v="61535"/>
    <n v="64535"/>
    <n v="8840425"/>
    <n v="9537925"/>
    <n v="10002925"/>
    <n v="0"/>
    <n v="751436.125"/>
    <n v="2"/>
    <n v="244000"/>
    <n v="244000"/>
    <n v="9084425"/>
  </r>
  <r>
    <m/>
    <s v="B"/>
    <x v="11"/>
    <x v="0"/>
    <n v="4"/>
    <n v="4"/>
    <x v="253"/>
    <s v="3 BEDROOM"/>
    <x v="0"/>
    <n v="125.12"/>
    <n v="135.93145457834962"/>
    <n v="153"/>
    <m/>
    <m/>
    <s v="SE"/>
    <s v="MIDDLE"/>
    <s v="ROAD 18M (VILLAS)"/>
    <s v="FORTH"/>
    <s v="C"/>
    <n v="0.08"/>
    <n v="2.5000000000000001E-2"/>
    <n v="0.16"/>
    <n v="0.06"/>
    <n v="3.5000000000000003E-2"/>
    <n v="0.36"/>
    <x v="0"/>
    <s v="R 1"/>
    <n v="42500"/>
    <n v="47500"/>
    <n v="5000"/>
    <n v="1800"/>
    <n v="44300"/>
    <n v="14619"/>
    <n v="48800"/>
    <n v="51800"/>
    <n v="6777900"/>
    <n v="7466400"/>
    <n v="7925400"/>
    <n v="0"/>
    <n v="576121.5"/>
    <n v="2"/>
    <n v="200000"/>
    <n v="200000"/>
    <n v="6977900"/>
  </r>
  <r>
    <s v="C3"/>
    <s v="B"/>
    <x v="12"/>
    <x v="0"/>
    <n v="0"/>
    <n v="1"/>
    <x v="254"/>
    <s v="3 BEDROOM"/>
    <x v="0"/>
    <n v="131.34"/>
    <n v="142.61992000608555"/>
    <n v="160"/>
    <n v="75.025700000000001"/>
    <m/>
    <s v="SE"/>
    <s v="CORNER "/>
    <s v="ROAD 18M (VILLAS)"/>
    <s v="GROUND"/>
    <s v="D"/>
    <n v="0.08"/>
    <n v="0.05"/>
    <n v="0.16"/>
    <n v="0.05"/>
    <n v="2.5000000000000001E-2"/>
    <n v="0.36500000000000005"/>
    <x v="0"/>
    <s v="R 2"/>
    <n v="43562.499999999993"/>
    <n v="48687.499999999993"/>
    <n v="5125"/>
    <n v="1870.6250000000002"/>
    <n v="45433.124999999993"/>
    <n v="14992.931249999998"/>
    <n v="49933.124999999993"/>
    <n v="52933.124999999993"/>
    <n v="7269299.9999999991"/>
    <n v="7989299.9999999991"/>
    <n v="8469299.9999999981"/>
    <n v="1124855.1620831247"/>
    <n v="713503.18877706549"/>
    <n v="2"/>
    <n v="204999.99999999997"/>
    <n v="204999.99999999997"/>
    <n v="8599155.1620831229"/>
  </r>
  <r>
    <m/>
    <s v="B"/>
    <x v="12"/>
    <x v="0"/>
    <n v="0"/>
    <n v="2"/>
    <x v="255"/>
    <s v="3 BEDROOM"/>
    <x v="0"/>
    <n v="129.57"/>
    <n v="140.69790646557411"/>
    <n v="158"/>
    <n v="84.036199999999994"/>
    <m/>
    <s v="NW"/>
    <s v="CORNER "/>
    <s v="SEMI LAKE B-1"/>
    <s v="GROUND"/>
    <s v="C"/>
    <n v="0.13"/>
    <n v="0.05"/>
    <n v="0.48"/>
    <n v="0.05"/>
    <n v="3.5000000000000003E-2"/>
    <n v="0.745"/>
    <x v="2"/>
    <s v="R 1"/>
    <n v="42500"/>
    <n v="47500"/>
    <n v="5000"/>
    <n v="3725"/>
    <n v="46225"/>
    <n v="15254.25"/>
    <n v="50725"/>
    <n v="53725"/>
    <n v="7303550"/>
    <n v="8014550"/>
    <n v="8488550"/>
    <n v="1281909.2038499999"/>
    <n v="729764.03232725"/>
    <n v="2"/>
    <n v="200000"/>
    <n v="200000"/>
    <n v="8785459.2038499992"/>
  </r>
  <r>
    <m/>
    <s v="B"/>
    <x v="12"/>
    <x v="0"/>
    <n v="0"/>
    <n v="3"/>
    <x v="256"/>
    <s v="3 BEDROOM"/>
    <x v="0"/>
    <n v="125.09"/>
    <n v="135.83314902970338"/>
    <n v="153"/>
    <n v="85.562899999999999"/>
    <m/>
    <s v="NW"/>
    <s v="MIDDLE"/>
    <s v="LAKE B-1"/>
    <s v="GROUND"/>
    <s v="C"/>
    <n v="0.13"/>
    <n v="2.5000000000000001E-2"/>
    <n v="0.6"/>
    <n v="0.05"/>
    <n v="3.5000000000000003E-2"/>
    <n v="0.84000000000000008"/>
    <x v="2"/>
    <s v="R 8"/>
    <n v="51850"/>
    <n v="57950"/>
    <n v="6100"/>
    <n v="5124.0000000000009"/>
    <n v="56974"/>
    <n v="18801.420000000002"/>
    <n v="61474"/>
    <n v="64474"/>
    <n v="8717022"/>
    <n v="9405522"/>
    <n v="9864522"/>
    <n v="1608704.0193180002"/>
    <n v="877686.71164203004"/>
    <n v="2"/>
    <n v="244000"/>
    <n v="244000"/>
    <n v="10569726.019317999"/>
  </r>
  <r>
    <m/>
    <s v="B"/>
    <x v="12"/>
    <x v="0"/>
    <n v="0"/>
    <n v="4"/>
    <x v="257"/>
    <s v="2 BEDROOM"/>
    <x v="0"/>
    <n v="87.23"/>
    <n v="94.721605163170736"/>
    <n v="106"/>
    <n v="67.096199999999996"/>
    <m/>
    <s v="SE"/>
    <s v="MIDDLE"/>
    <s v="ROAD 18M (VILLAS)"/>
    <s v="GROUND"/>
    <s v="B"/>
    <n v="0.08"/>
    <n v="2.5000000000000001E-2"/>
    <n v="0.16"/>
    <n v="0.05"/>
    <n v="0.04"/>
    <n v="0.35499999999999998"/>
    <x v="0"/>
    <s v="R 1"/>
    <n v="42500"/>
    <n v="47500"/>
    <n v="5000"/>
    <n v="1775"/>
    <n v="44275"/>
    <n v="14610.75"/>
    <n v="48775"/>
    <n v="51775"/>
    <n v="4693150"/>
    <n v="5170150"/>
    <n v="5488150"/>
    <n v="980325.80414999998"/>
    <n v="482245.44335275004"/>
    <n v="1"/>
    <n v="200000"/>
    <n v="200000"/>
    <n v="5873475.8041500002"/>
  </r>
  <r>
    <m/>
    <s v="B"/>
    <x v="12"/>
    <x v="0"/>
    <n v="1"/>
    <n v="1"/>
    <x v="258"/>
    <s v="3 BEDROOM"/>
    <x v="0"/>
    <n v="129.04"/>
    <n v="140.1223882867769"/>
    <n v="157"/>
    <m/>
    <m/>
    <s v="SE"/>
    <s v="CORNER "/>
    <s v="ROAD 18M (VILLAS)"/>
    <s v="FIRST"/>
    <s v="C"/>
    <n v="0.08"/>
    <n v="0.05"/>
    <n v="0.16"/>
    <n v="7.0000000000000007E-2"/>
    <n v="3.5000000000000003E-2"/>
    <n v="0.39500000000000002"/>
    <x v="0"/>
    <s v="R 4"/>
    <n v="45687.5"/>
    <n v="51062.5"/>
    <n v="5375"/>
    <n v="2123.125"/>
    <n v="47810.625"/>
    <n v="15777.50625"/>
    <n v="52310.625"/>
    <n v="55310.625"/>
    <n v="7506268.125"/>
    <n v="8212768.125"/>
    <n v="8683768.125"/>
    <n v="0"/>
    <n v="638032.79062500002"/>
    <n v="2"/>
    <n v="215000"/>
    <n v="215000"/>
    <n v="7721268.125"/>
  </r>
  <r>
    <m/>
    <s v="B"/>
    <x v="12"/>
    <x v="0"/>
    <n v="1"/>
    <n v="2"/>
    <x v="259"/>
    <s v="3 BEDROOM"/>
    <x v="0"/>
    <n v="131.43"/>
    <n v="142.71764950814546"/>
    <n v="160"/>
    <m/>
    <m/>
    <s v="NW"/>
    <s v="CORNER "/>
    <s v="SEMI LAKE B-1"/>
    <s v="FIRST"/>
    <s v="D"/>
    <n v="0.13"/>
    <n v="0.05"/>
    <n v="0.48"/>
    <n v="7.0000000000000007E-2"/>
    <n v="2.5000000000000001E-2"/>
    <n v="0.755"/>
    <x v="2"/>
    <s v="R 2"/>
    <n v="43562.499999999993"/>
    <n v="48687.499999999993"/>
    <n v="5125"/>
    <n v="3869.375"/>
    <n v="47431.874999999993"/>
    <n v="15652.518749999997"/>
    <n v="51931.874999999993"/>
    <n v="54931.874999999993"/>
    <n v="7589099.9999999991"/>
    <n v="8309099.9999999991"/>
    <n v="8789099.9999999981"/>
    <n v="0"/>
    <n v="645073.5"/>
    <n v="2"/>
    <n v="204999.99999999997"/>
    <n v="204999.99999999997"/>
    <n v="7794099.9999999991"/>
  </r>
  <r>
    <m/>
    <s v="B"/>
    <x v="12"/>
    <x v="0"/>
    <n v="1"/>
    <n v="3"/>
    <x v="260"/>
    <s v="3 BEDROOM"/>
    <x v="0"/>
    <n v="127.14"/>
    <n v="138.05920990995673"/>
    <n v="155"/>
    <m/>
    <m/>
    <s v="NW"/>
    <s v="MIDDLE"/>
    <s v="LAKE B-1"/>
    <s v="FIRST"/>
    <s v="C"/>
    <n v="0.13"/>
    <n v="2.5000000000000001E-2"/>
    <n v="0.6"/>
    <n v="7.0000000000000007E-2"/>
    <n v="3.5000000000000003E-2"/>
    <n v="0.86"/>
    <x v="2"/>
    <s v="R 9"/>
    <n v="53550"/>
    <n v="59850"/>
    <n v="6300"/>
    <n v="5418"/>
    <n v="58968"/>
    <n v="19459.440000000002"/>
    <n v="63468"/>
    <n v="66468"/>
    <n v="9140040"/>
    <n v="9837540"/>
    <n v="10302540"/>
    <n v="0"/>
    <n v="776903.4"/>
    <n v="2"/>
    <n v="252000"/>
    <n v="252000"/>
    <n v="9392040"/>
  </r>
  <r>
    <m/>
    <s v="B"/>
    <x v="12"/>
    <x v="0"/>
    <n v="1"/>
    <n v="4"/>
    <x v="261"/>
    <s v="2 BEDROOM"/>
    <x v="0"/>
    <n v="88.87"/>
    <n v="96.502453867373418"/>
    <n v="108"/>
    <m/>
    <m/>
    <s v="SE"/>
    <s v="MIDDLE"/>
    <s v="ROAD 18M (VILLAS)"/>
    <s v="FIRST"/>
    <s v="B"/>
    <n v="0.08"/>
    <n v="2.5000000000000001E-2"/>
    <n v="0.16"/>
    <n v="7.0000000000000007E-2"/>
    <n v="0.04"/>
    <n v="0.375"/>
    <x v="0"/>
    <s v="R 3"/>
    <n v="44625"/>
    <n v="49875"/>
    <n v="5250"/>
    <n v="1968.75"/>
    <n v="46593.75"/>
    <n v="15375.9375"/>
    <n v="51093.75"/>
    <n v="54093.75"/>
    <n v="5032125"/>
    <n v="5518125"/>
    <n v="5842125"/>
    <n v="0"/>
    <n v="427730.62500000006"/>
    <n v="1"/>
    <n v="210000"/>
    <n v="210000"/>
    <n v="5242125"/>
  </r>
  <r>
    <m/>
    <s v="B"/>
    <x v="12"/>
    <x v="0"/>
    <n v="2"/>
    <n v="1"/>
    <x v="262"/>
    <s v="3 BEDROOM"/>
    <x v="0"/>
    <n v="131.43"/>
    <n v="142.71764950814546"/>
    <n v="160"/>
    <m/>
    <m/>
    <s v="SE"/>
    <s v="CORNER "/>
    <s v="ROAD 18M (VILLAS)"/>
    <s v="SECOND"/>
    <s v="D"/>
    <n v="0.08"/>
    <n v="0.05"/>
    <n v="0.16"/>
    <n v="0.11"/>
    <n v="2.5000000000000001E-2"/>
    <n v="0.42500000000000004"/>
    <x v="0"/>
    <s v="R 8"/>
    <n v="51850"/>
    <n v="57950"/>
    <n v="6100"/>
    <n v="2592.5000000000005"/>
    <n v="54442.5"/>
    <n v="17966.025000000001"/>
    <n v="58942.5"/>
    <n v="61942.5"/>
    <n v="8710800"/>
    <n v="9430800"/>
    <n v="9910800"/>
    <n v="0"/>
    <n v="740418"/>
    <n v="2"/>
    <n v="244000"/>
    <n v="244000"/>
    <n v="8954800"/>
  </r>
  <r>
    <m/>
    <s v="B"/>
    <x v="12"/>
    <x v="0"/>
    <n v="2"/>
    <n v="2"/>
    <x v="263"/>
    <s v="3 BEDROOM"/>
    <x v="0"/>
    <n v="131.44"/>
    <n v="142.72850834170768"/>
    <n v="160"/>
    <m/>
    <m/>
    <s v="NW"/>
    <s v="CORNER "/>
    <s v="SEMI LAKE B-1"/>
    <s v="SECOND"/>
    <s v="D"/>
    <n v="0.13"/>
    <n v="0.05"/>
    <n v="0.48"/>
    <n v="0.11"/>
    <n v="2.5000000000000001E-2"/>
    <n v="0.79499999999999993"/>
    <x v="2"/>
    <s v="R 5"/>
    <n v="46750.000000000007"/>
    <n v="52250.000000000007"/>
    <n v="5500"/>
    <n v="4372.5"/>
    <n v="51122.500000000007"/>
    <n v="16870.425000000003"/>
    <n v="55622.500000000007"/>
    <n v="58622.500000000007"/>
    <n v="8179600.0000000009"/>
    <n v="8899600.0000000019"/>
    <n v="9379600.0000000019"/>
    <n v="0"/>
    <n v="695266.00000000012"/>
    <n v="2"/>
    <n v="220000.00000000003"/>
    <n v="220000.00000000003"/>
    <n v="8399600.0000000019"/>
  </r>
  <r>
    <m/>
    <s v="B"/>
    <x v="12"/>
    <x v="0"/>
    <n v="2"/>
    <n v="3"/>
    <x v="264"/>
    <s v="3 BEDROOM"/>
    <x v="0"/>
    <n v="126.95"/>
    <n v="137.85289207227473"/>
    <n v="155"/>
    <m/>
    <m/>
    <s v="NW"/>
    <s v="MIDDLE"/>
    <s v="LAKE B-1"/>
    <s v="SECOND"/>
    <s v="C"/>
    <n v="0.13"/>
    <n v="2.5000000000000001E-2"/>
    <n v="0.6"/>
    <n v="0.11"/>
    <n v="3.5000000000000003E-2"/>
    <n v="0.9"/>
    <x v="2"/>
    <s v="R 12"/>
    <n v="61625"/>
    <n v="68875"/>
    <n v="7250"/>
    <n v="6525"/>
    <n v="68150"/>
    <n v="22489.5"/>
    <n v="72650"/>
    <n v="75650"/>
    <n v="10563250"/>
    <n v="11260750"/>
    <n v="11725750"/>
    <n v="0"/>
    <n v="897876.25000000012"/>
    <n v="2"/>
    <n v="290000"/>
    <n v="290000"/>
    <n v="10853250"/>
  </r>
  <r>
    <m/>
    <s v="B"/>
    <x v="12"/>
    <x v="0"/>
    <n v="2"/>
    <n v="4"/>
    <x v="265"/>
    <s v="3 BEDROOM"/>
    <x v="0"/>
    <n v="127.15"/>
    <n v="138.07006874351896"/>
    <n v="155"/>
    <m/>
    <m/>
    <s v="SE"/>
    <s v="MIDDLE"/>
    <s v="ROAD 18M (VILLAS)"/>
    <s v="SECOND"/>
    <s v="C"/>
    <n v="0.08"/>
    <n v="2.5000000000000001E-2"/>
    <n v="0.16"/>
    <n v="0.11"/>
    <n v="3.5000000000000003E-2"/>
    <n v="0.41000000000000003"/>
    <x v="0"/>
    <s v="R 6"/>
    <n v="48450.000000000007"/>
    <n v="54150.000000000007"/>
    <n v="5700"/>
    <n v="2337"/>
    <n v="50787.000000000007"/>
    <n v="16759.710000000003"/>
    <n v="55287.000000000007"/>
    <n v="58287.000000000007"/>
    <n v="7871985.0000000009"/>
    <n v="8569485.0000000019"/>
    <n v="9034485.0000000019"/>
    <n v="0"/>
    <n v="669118.72500000009"/>
    <n v="2"/>
    <n v="228000.00000000003"/>
    <n v="228000.00000000003"/>
    <n v="8099985.0000000009"/>
  </r>
  <r>
    <m/>
    <s v="B"/>
    <x v="12"/>
    <x v="0"/>
    <n v="3"/>
    <n v="1"/>
    <x v="266"/>
    <s v="3 BEDROOM"/>
    <x v="0"/>
    <n v="131.88"/>
    <n v="143.20629701844499"/>
    <n v="161"/>
    <m/>
    <m/>
    <s v="SE"/>
    <s v="CORNER "/>
    <s v="ROAD 18M (VILLAS)"/>
    <s v="THIRD"/>
    <s v="D"/>
    <n v="0.08"/>
    <n v="0.05"/>
    <n v="0.16"/>
    <n v="0.15"/>
    <n v="2.5000000000000001E-2"/>
    <n v="0.46500000000000008"/>
    <x v="0"/>
    <s v="R 12"/>
    <n v="61625"/>
    <n v="68875"/>
    <n v="7250"/>
    <n v="3371.2500000000005"/>
    <n v="64996.25"/>
    <n v="21448.762500000001"/>
    <n v="69496.25"/>
    <n v="72496.25"/>
    <n v="10464396.25"/>
    <n v="11188896.25"/>
    <n v="11671896.25"/>
    <n v="0"/>
    <n v="889473.68125000002"/>
    <n v="2"/>
    <n v="290000"/>
    <n v="290000"/>
    <n v="10754396.25"/>
  </r>
  <r>
    <m/>
    <s v="B"/>
    <x v="12"/>
    <x v="0"/>
    <n v="3"/>
    <n v="2"/>
    <x v="267"/>
    <s v="3 BEDROOM"/>
    <x v="0"/>
    <n v="131.43"/>
    <n v="142.71764950814546"/>
    <n v="160"/>
    <m/>
    <m/>
    <s v="NW"/>
    <s v="CORNER "/>
    <s v="SEMI LAKE B-1"/>
    <s v="THIRD"/>
    <s v="D"/>
    <n v="0.13"/>
    <n v="0.05"/>
    <n v="0.48"/>
    <n v="0.15"/>
    <n v="2.5000000000000001E-2"/>
    <n v="0.83499999999999996"/>
    <x v="2"/>
    <s v="R 8"/>
    <n v="51850"/>
    <n v="57950"/>
    <n v="6100"/>
    <n v="5093.5"/>
    <n v="56943.5"/>
    <n v="18791.355"/>
    <n v="61443.5"/>
    <n v="64443.5"/>
    <n v="9110960"/>
    <n v="9830960"/>
    <n v="10310960"/>
    <n v="0"/>
    <n v="774431.60000000009"/>
    <n v="2"/>
    <n v="244000"/>
    <n v="244000"/>
    <n v="9354960"/>
  </r>
  <r>
    <m/>
    <s v="B"/>
    <x v="12"/>
    <x v="0"/>
    <n v="3"/>
    <n v="3"/>
    <x v="268"/>
    <s v="3 BEDROOM"/>
    <x v="0"/>
    <n v="126.97"/>
    <n v="137.87460973939915"/>
    <n v="155"/>
    <m/>
    <m/>
    <s v="NW"/>
    <s v="MIDDLE"/>
    <s v="LAKE B-1"/>
    <s v="THIRD"/>
    <s v="C"/>
    <n v="0.13"/>
    <n v="2.5000000000000001E-2"/>
    <n v="0.6"/>
    <n v="0.15"/>
    <n v="3.5000000000000003E-2"/>
    <n v="0.94000000000000006"/>
    <x v="2"/>
    <s v="R 12"/>
    <n v="61625"/>
    <n v="68875"/>
    <n v="7250"/>
    <n v="6815"/>
    <n v="68440"/>
    <n v="22585.200000000001"/>
    <n v="72940"/>
    <n v="75940"/>
    <n v="10608200"/>
    <n v="11305700"/>
    <n v="11770700"/>
    <n v="0"/>
    <n v="901697.00000000012"/>
    <n v="2"/>
    <n v="290000"/>
    <n v="290000"/>
    <n v="10898200"/>
  </r>
  <r>
    <m/>
    <s v="B"/>
    <x v="12"/>
    <x v="0"/>
    <n v="3"/>
    <n v="4"/>
    <x v="269"/>
    <s v="3 BEDROOM"/>
    <x v="0"/>
    <n v="127.45"/>
    <n v="138.39583375038529"/>
    <n v="155"/>
    <m/>
    <m/>
    <s v="SE"/>
    <s v="MIDDLE"/>
    <s v="ROAD 18M (VILLAS)"/>
    <s v="THIRD"/>
    <s v="C"/>
    <n v="0.08"/>
    <n v="2.5000000000000001E-2"/>
    <n v="0.16"/>
    <n v="0.15"/>
    <n v="3.5000000000000003E-2"/>
    <n v="0.45000000000000007"/>
    <x v="0"/>
    <s v="R 10"/>
    <n v="56100"/>
    <n v="62700"/>
    <n v="6600"/>
    <n v="2970.0000000000005"/>
    <n v="59070"/>
    <n v="19493.100000000002"/>
    <n v="63570"/>
    <n v="66570"/>
    <n v="9155850"/>
    <n v="9853350"/>
    <n v="10318350"/>
    <n v="0"/>
    <n v="778247.25"/>
    <n v="2"/>
    <n v="264000"/>
    <n v="264000"/>
    <n v="9419850"/>
  </r>
  <r>
    <m/>
    <s v="B"/>
    <x v="12"/>
    <x v="0"/>
    <n v="4"/>
    <n v="1"/>
    <x v="270"/>
    <s v="3 BEDROOM"/>
    <x v="0"/>
    <n v="129.58000000000001"/>
    <n v="140.70876529913636"/>
    <n v="158"/>
    <m/>
    <m/>
    <s v="SE"/>
    <s v="CORNER "/>
    <s v="ROAD 18M (VILLAS)"/>
    <s v="FORTH"/>
    <s v="C"/>
    <n v="0.08"/>
    <n v="0.05"/>
    <n v="0.16"/>
    <n v="0.06"/>
    <n v="3.5000000000000003E-2"/>
    <n v="0.38500000000000001"/>
    <x v="0"/>
    <s v="R 3"/>
    <n v="44625"/>
    <n v="49875"/>
    <n v="5250"/>
    <n v="2021.25"/>
    <n v="46646.25"/>
    <n v="15393.262500000001"/>
    <n v="51146.25"/>
    <n v="54146.25"/>
    <n v="7370107.5"/>
    <n v="8081107.5"/>
    <n v="8555107.5"/>
    <n v="0"/>
    <n v="626459.13750000007"/>
    <n v="2"/>
    <n v="210000"/>
    <n v="210000"/>
    <n v="7580107.5"/>
  </r>
  <r>
    <m/>
    <s v="B"/>
    <x v="12"/>
    <x v="0"/>
    <n v="4"/>
    <n v="2"/>
    <x v="271"/>
    <s v="3 BEDROOM"/>
    <x v="0"/>
    <n v="131.38"/>
    <n v="142.66335534033439"/>
    <n v="160"/>
    <m/>
    <m/>
    <s v="NW"/>
    <s v="CORNER "/>
    <s v="SEMI LAKE B-1"/>
    <s v="FORTH"/>
    <s v="D"/>
    <n v="0.13"/>
    <n v="0.05"/>
    <n v="0.48"/>
    <n v="0.06"/>
    <n v="2.5000000000000001E-2"/>
    <n v="0.745"/>
    <x v="2"/>
    <s v="R 1"/>
    <n v="42500"/>
    <n v="47500"/>
    <n v="5000"/>
    <n v="3725"/>
    <n v="46225"/>
    <n v="15254.25"/>
    <n v="50725"/>
    <n v="53725"/>
    <n v="7396000"/>
    <n v="8116000"/>
    <n v="8596000"/>
    <n v="0"/>
    <n v="628660"/>
    <n v="2"/>
    <n v="200000"/>
    <n v="200000"/>
    <n v="7596000"/>
  </r>
  <r>
    <m/>
    <s v="B"/>
    <x v="12"/>
    <x v="0"/>
    <n v="4"/>
    <n v="3"/>
    <x v="272"/>
    <s v="3 BEDROOM"/>
    <x v="0"/>
    <n v="127.19"/>
    <n v="138.1135040777678"/>
    <n v="155"/>
    <m/>
    <m/>
    <s v="NW"/>
    <s v="MIDDLE"/>
    <s v="LAKE B-1"/>
    <s v="FORTH"/>
    <s v="C"/>
    <n v="0.13"/>
    <n v="2.5000000000000001E-2"/>
    <n v="0.6"/>
    <n v="0.06"/>
    <n v="3.5000000000000003E-2"/>
    <n v="0.85"/>
    <x v="2"/>
    <s v="R 8"/>
    <n v="51850"/>
    <n v="57950"/>
    <n v="6100"/>
    <n v="5185"/>
    <n v="57035"/>
    <n v="18821.55"/>
    <n v="61535"/>
    <n v="64535"/>
    <n v="8840425"/>
    <n v="9537925"/>
    <n v="10002925"/>
    <n v="0"/>
    <n v="751436.125"/>
    <n v="2"/>
    <n v="244000"/>
    <n v="244000"/>
    <n v="9084425"/>
  </r>
  <r>
    <m/>
    <s v="B"/>
    <x v="12"/>
    <x v="0"/>
    <n v="4"/>
    <n v="4"/>
    <x v="273"/>
    <s v="3 BEDROOM"/>
    <x v="0"/>
    <n v="125.13"/>
    <n v="135.87658436395222"/>
    <n v="153"/>
    <m/>
    <m/>
    <s v="SE"/>
    <s v="MIDDLE"/>
    <s v="ROAD 18M (VILLAS)"/>
    <s v="FORTH"/>
    <s v="C"/>
    <n v="0.08"/>
    <n v="2.5000000000000001E-2"/>
    <n v="0.16"/>
    <n v="0.06"/>
    <n v="3.5000000000000003E-2"/>
    <n v="0.36"/>
    <x v="0"/>
    <s v="R 1"/>
    <n v="42500"/>
    <n v="47500"/>
    <n v="5000"/>
    <n v="1800"/>
    <n v="44300"/>
    <n v="14619"/>
    <n v="48800"/>
    <n v="51800"/>
    <n v="6777900"/>
    <n v="7466400"/>
    <n v="7925400"/>
    <n v="0"/>
    <n v="576121.5"/>
    <n v="2"/>
    <n v="200000"/>
    <n v="200000"/>
    <n v="6977900"/>
  </r>
  <r>
    <s v="B3"/>
    <s v="B"/>
    <x v="13"/>
    <x v="0"/>
    <n v="0"/>
    <n v="1"/>
    <x v="274"/>
    <s v="2 BEDROOM"/>
    <x v="1"/>
    <n v="95.254000000000005"/>
    <n v="105.53950812408786"/>
    <n v="116"/>
    <n v="63.664700000000003"/>
    <m/>
    <s v="SE"/>
    <s v="MIDDLE"/>
    <s v="ROAD 18M (VILLAS)"/>
    <s v="GROUND"/>
    <s v="B"/>
    <n v="0.08"/>
    <n v="2.5000000000000001E-2"/>
    <n v="0.16"/>
    <n v="0.05"/>
    <n v="0.04"/>
    <n v="0.35499999999999998"/>
    <x v="0"/>
    <s v="R 1"/>
    <n v="42500"/>
    <n v="47500"/>
    <n v="5000"/>
    <n v="1775"/>
    <n v="44275"/>
    <n v="14610.75"/>
    <n v="48775"/>
    <n v="51775"/>
    <n v="5135900"/>
    <n v="5657900"/>
    <n v="6005900"/>
    <n v="930189.01552500005"/>
    <n v="515617.56631962507"/>
    <n v="1"/>
    <n v="200000"/>
    <n v="200000"/>
    <n v="6266089.0155250002"/>
  </r>
  <r>
    <m/>
    <s v="B"/>
    <x v="13"/>
    <x v="0"/>
    <n v="0"/>
    <n v="2"/>
    <x v="275"/>
    <s v="3 BEDROOM"/>
    <x v="1"/>
    <n v="162.82599999999999"/>
    <n v="180.40791935050211"/>
    <n v="199"/>
    <n v="77.610299999999995"/>
    <m/>
    <s v="NW"/>
    <s v="MIDDLE"/>
    <s v="LAKE B-2"/>
    <s v="GROUND"/>
    <s v="E"/>
    <n v="0.13"/>
    <n v="2.5000000000000001E-2"/>
    <n v="0.53"/>
    <n v="0.05"/>
    <n v="1.4999999999999999E-2"/>
    <n v="0.75000000000000011"/>
    <x v="2"/>
    <s v="R 2"/>
    <n v="43562.499999999993"/>
    <n v="48687.499999999993"/>
    <n v="5125"/>
    <n v="3843.7500000000005"/>
    <n v="47406.249999999993"/>
    <n v="15644.062499999998"/>
    <n v="51906.249999999993"/>
    <n v="54906.249999999993"/>
    <n v="9433843.7499999981"/>
    <n v="10329343.749999998"/>
    <n v="10926343.749999998"/>
    <n v="1214140.3838437498"/>
    <n v="905078.65137671866"/>
    <n v="2"/>
    <n v="204999.99999999997"/>
    <n v="204999.99999999997"/>
    <n v="10852984.133843748"/>
  </r>
  <r>
    <m/>
    <s v="B"/>
    <x v="13"/>
    <x v="0"/>
    <n v="0"/>
    <n v="3"/>
    <x v="276"/>
    <s v="3 BEDROOM + LIVING"/>
    <x v="1"/>
    <n v="183.887"/>
    <n v="203.74308197465874"/>
    <n v="224"/>
    <n v="54.576500000000003"/>
    <m/>
    <s v="NW"/>
    <s v="CORNER "/>
    <s v="SEMI LAKE B-2"/>
    <s v="GROUND"/>
    <s v="E"/>
    <n v="0.13"/>
    <n v="0.05"/>
    <n v="0.42400000000000004"/>
    <n v="0.05"/>
    <n v="1.4999999999999999E-2"/>
    <n v="0.66900000000000015"/>
    <x v="1"/>
    <s v="R 6"/>
    <n v="48450.000000000007"/>
    <n v="54150.000000000007"/>
    <n v="5700"/>
    <n v="3813.3000000000006"/>
    <n v="52263.30000000001"/>
    <n v="17246.889000000003"/>
    <n v="56763.30000000001"/>
    <n v="59763.30000000001"/>
    <n v="11706979.200000003"/>
    <n v="12714979.200000003"/>
    <n v="13386979.200000003"/>
    <n v="941274.8375085002"/>
    <n v="1075101.5931882227"/>
    <n v="2"/>
    <n v="228000.00000000003"/>
    <n v="228000.00000000003"/>
    <n v="12876254.037508503"/>
  </r>
  <r>
    <m/>
    <s v="B"/>
    <x v="13"/>
    <x v="0"/>
    <n v="0"/>
    <n v="4"/>
    <x v="277"/>
    <s v="3 BEDROOM"/>
    <x v="1"/>
    <n v="147.54499999999999"/>
    <n v="163.47687998581205"/>
    <n v="180"/>
    <n v="76.683400000000006"/>
    <m/>
    <s v="SE"/>
    <s v="CORNER "/>
    <s v="ROAD 18M (VILLAS)"/>
    <s v="GROUND"/>
    <s v="D"/>
    <n v="0.08"/>
    <n v="0.05"/>
    <n v="0.16"/>
    <n v="0.05"/>
    <n v="2.5000000000000001E-2"/>
    <n v="0.36500000000000005"/>
    <x v="0"/>
    <s v="R 2"/>
    <n v="43562.499999999993"/>
    <n v="48687.499999999993"/>
    <n v="5125"/>
    <n v="1870.6250000000002"/>
    <n v="45433.124999999993"/>
    <n v="14992.931249999998"/>
    <n v="49933.124999999993"/>
    <n v="52933.124999999993"/>
    <n v="8177962.4999999991"/>
    <n v="8987962.4999999981"/>
    <n v="9527962.4999999981"/>
    <n v="1149708.94421625"/>
    <n v="792852.07275838125"/>
    <n v="2"/>
    <n v="204999.99999999997"/>
    <n v="204999.99999999997"/>
    <n v="9532671.4442162495"/>
  </r>
  <r>
    <m/>
    <s v="B"/>
    <x v="13"/>
    <x v="0"/>
    <n v="1"/>
    <n v="1"/>
    <x v="278"/>
    <s v="2 BEDROOM"/>
    <x v="1"/>
    <n v="96.311000000000007"/>
    <n v="106.71064277551626"/>
    <n v="117"/>
    <m/>
    <m/>
    <s v="SE"/>
    <s v="MIDDLE"/>
    <s v="ROAD 18M (VILLAS)"/>
    <s v="FIRST"/>
    <s v="B"/>
    <n v="0.08"/>
    <n v="2.5000000000000001E-2"/>
    <n v="0.16"/>
    <n v="7.0000000000000007E-2"/>
    <n v="0.04"/>
    <n v="0.375"/>
    <x v="0"/>
    <s v="R 3"/>
    <n v="44625"/>
    <n v="49875"/>
    <n v="5250"/>
    <n v="1968.75"/>
    <n v="46593.75"/>
    <n v="15375.9375"/>
    <n v="51093.75"/>
    <n v="54093.75"/>
    <n v="5451468.75"/>
    <n v="5977968.75"/>
    <n v="6328968.75"/>
    <n v="0"/>
    <n v="463374.84375000006"/>
    <n v="1"/>
    <n v="210000"/>
    <n v="210000"/>
    <n v="5661468.75"/>
  </r>
  <r>
    <m/>
    <s v="B"/>
    <x v="13"/>
    <x v="0"/>
    <n v="1"/>
    <n v="2"/>
    <x v="279"/>
    <s v="3 BEDROOM"/>
    <x v="1"/>
    <n v="162.57599999999999"/>
    <n v="180.13092439983313"/>
    <n v="198"/>
    <m/>
    <m/>
    <s v="NW"/>
    <s v="MIDDLE"/>
    <s v="LAKE B-2"/>
    <s v="FIRST"/>
    <s v="E"/>
    <n v="0.13"/>
    <n v="2.5000000000000001E-2"/>
    <n v="0.53"/>
    <n v="7.0000000000000007E-2"/>
    <n v="1.4999999999999999E-2"/>
    <n v="0.77000000000000013"/>
    <x v="2"/>
    <s v="R 4"/>
    <n v="45687.5"/>
    <n v="51062.5"/>
    <n v="5375"/>
    <n v="4138.7500000000009"/>
    <n v="49826.25"/>
    <n v="16442.662500000002"/>
    <n v="54326.25"/>
    <n v="57326.25"/>
    <n v="9865597.5"/>
    <n v="10756597.5"/>
    <n v="11350597.5"/>
    <n v="0"/>
    <n v="838575.78750000009"/>
    <n v="2"/>
    <n v="215000"/>
    <n v="215000"/>
    <n v="10080597.5"/>
  </r>
  <r>
    <m/>
    <s v="B"/>
    <x v="13"/>
    <x v="0"/>
    <n v="1"/>
    <n v="3"/>
    <x v="280"/>
    <s v="3 BEDROOM + LIVING"/>
    <x v="1"/>
    <n v="183.637"/>
    <n v="203.46608702398976"/>
    <n v="224"/>
    <m/>
    <m/>
    <s v="NW"/>
    <s v="CORNER "/>
    <s v="SEMI LAKE B-2"/>
    <s v="FIRST"/>
    <s v="E"/>
    <n v="0.13"/>
    <n v="0.05"/>
    <n v="0.42400000000000004"/>
    <n v="7.0000000000000007E-2"/>
    <n v="1.4999999999999999E-2"/>
    <n v="0.68900000000000017"/>
    <x v="1"/>
    <s v="R 8"/>
    <n v="51850"/>
    <n v="57950"/>
    <n v="6100"/>
    <n v="4202.9000000000015"/>
    <n v="56052.9"/>
    <n v="18497.457000000002"/>
    <n v="60552.9"/>
    <n v="63552.9"/>
    <n v="12555849.6"/>
    <n v="13563849.6"/>
    <n v="14235849.6"/>
    <n v="0"/>
    <n v="1067247.216"/>
    <n v="2"/>
    <n v="244000"/>
    <n v="244000"/>
    <n v="12799849.6"/>
  </r>
  <r>
    <m/>
    <s v="B"/>
    <x v="13"/>
    <x v="0"/>
    <n v="1"/>
    <n v="4"/>
    <x v="281"/>
    <s v="3 BEDROOM"/>
    <x v="1"/>
    <n v="141.66300000000001"/>
    <n v="156.95974278647259"/>
    <n v="173"/>
    <m/>
    <m/>
    <s v="SE"/>
    <s v="CORNER "/>
    <s v="ROAD 18M (VILLAS)"/>
    <s v="FIRST"/>
    <s v="D"/>
    <n v="0.08"/>
    <n v="0.05"/>
    <n v="0.16"/>
    <n v="7.0000000000000007E-2"/>
    <n v="2.5000000000000001E-2"/>
    <n v="0.38500000000000006"/>
    <x v="0"/>
    <s v="R 4"/>
    <n v="45687.5"/>
    <n v="51062.5"/>
    <n v="5375"/>
    <n v="2069.3750000000005"/>
    <n v="47756.875"/>
    <n v="15759.768750000001"/>
    <n v="52256.875"/>
    <n v="55256.875"/>
    <n v="8261939.375"/>
    <n v="9040439.375"/>
    <n v="9559439.375"/>
    <n v="0"/>
    <n v="702264.84687500005"/>
    <n v="2"/>
    <n v="215000"/>
    <n v="215000"/>
    <n v="8476939.375"/>
  </r>
  <r>
    <m/>
    <s v="B"/>
    <x v="13"/>
    <x v="0"/>
    <n v="2"/>
    <n v="1"/>
    <x v="282"/>
    <s v="3 BEDROOM"/>
    <x v="1"/>
    <n v="141.22499999999999"/>
    <n v="156.47444763290054"/>
    <n v="172"/>
    <m/>
    <m/>
    <s v="SE"/>
    <s v="MIDDLE"/>
    <s v="ROAD 18M (VILLAS)"/>
    <s v="SECOND"/>
    <s v="D"/>
    <n v="0.08"/>
    <n v="2.5000000000000001E-2"/>
    <n v="0.16"/>
    <n v="0.11"/>
    <n v="2.5000000000000001E-2"/>
    <n v="0.4"/>
    <x v="0"/>
    <s v="R 5"/>
    <n v="46750.000000000007"/>
    <n v="52250.000000000007"/>
    <n v="5500"/>
    <n v="2200"/>
    <n v="48950.000000000007"/>
    <n v="16153.500000000004"/>
    <n v="53450.000000000007"/>
    <n v="56450.000000000007"/>
    <n v="8419400.0000000019"/>
    <n v="9193400.0000000019"/>
    <n v="9709400.0000000019"/>
    <n v="0"/>
    <n v="715649.00000000023"/>
    <n v="2"/>
    <n v="220000.00000000003"/>
    <n v="220000.00000000003"/>
    <n v="8639400.0000000019"/>
  </r>
  <r>
    <m/>
    <s v="B"/>
    <x v="13"/>
    <x v="0"/>
    <n v="2"/>
    <n v="2"/>
    <x v="283"/>
    <s v="3 BEDROOM"/>
    <x v="1"/>
    <n v="167.214"/>
    <n v="185.26973472464385"/>
    <n v="204"/>
    <m/>
    <m/>
    <s v="NW"/>
    <s v="MIDDLE"/>
    <s v="LAKE B-2"/>
    <s v="SECOND"/>
    <s v="E"/>
    <n v="0.13"/>
    <n v="2.5000000000000001E-2"/>
    <n v="0.53"/>
    <n v="0.11"/>
    <n v="1.4999999999999999E-2"/>
    <n v="0.81"/>
    <x v="2"/>
    <s v="R 7"/>
    <n v="50150"/>
    <n v="56050"/>
    <n v="5900"/>
    <n v="4779"/>
    <n v="54929"/>
    <n v="18126.57"/>
    <n v="59429"/>
    <n v="62429"/>
    <n v="11205516"/>
    <n v="12123516"/>
    <n v="12735516"/>
    <n v="0"/>
    <n v="952468.8600000001"/>
    <n v="2"/>
    <n v="236000"/>
    <n v="236000"/>
    <n v="11441516"/>
  </r>
  <r>
    <m/>
    <s v="B"/>
    <x v="13"/>
    <x v="0"/>
    <n v="2"/>
    <n v="3"/>
    <x v="284"/>
    <s v="3 BEDROOM + LIVING"/>
    <x v="1"/>
    <n v="187.10300000000001"/>
    <n v="207.30634502006436"/>
    <n v="228"/>
    <m/>
    <m/>
    <s v="NW"/>
    <s v="CORNER "/>
    <s v="SEMI LAKE B-2"/>
    <s v="SECOND"/>
    <s v="E"/>
    <n v="0.13"/>
    <n v="0.05"/>
    <n v="0.42400000000000004"/>
    <n v="0.11"/>
    <n v="1.4999999999999999E-2"/>
    <n v="0.72900000000000009"/>
    <x v="1"/>
    <s v="R 12"/>
    <n v="61625"/>
    <n v="68875"/>
    <n v="7250"/>
    <n v="5285.2500000000009"/>
    <n v="66910.25"/>
    <n v="22080.3825"/>
    <n v="71410.25"/>
    <n v="74410.25"/>
    <n v="15255537"/>
    <n v="16281537"/>
    <n v="16965537"/>
    <n v="0"/>
    <n v="1296720.645"/>
    <n v="2"/>
    <n v="290000"/>
    <n v="290000"/>
    <n v="15545537"/>
  </r>
  <r>
    <m/>
    <s v="B"/>
    <x v="13"/>
    <x v="0"/>
    <n v="2"/>
    <n v="4"/>
    <x v="285"/>
    <s v="3 BEDROOM"/>
    <x v="1"/>
    <n v="143.989"/>
    <n v="159.53690380749666"/>
    <n v="176"/>
    <m/>
    <m/>
    <s v="SE"/>
    <s v="CORNER "/>
    <s v="ROAD 18M (VILLAS)"/>
    <s v="SECOND"/>
    <s v="D"/>
    <n v="0.08"/>
    <n v="0.05"/>
    <n v="0.16"/>
    <n v="0.11"/>
    <n v="2.5000000000000001E-2"/>
    <n v="0.42500000000000004"/>
    <x v="0"/>
    <s v="R 8"/>
    <n v="51850"/>
    <n v="57950"/>
    <n v="6100"/>
    <n v="2592.5000000000005"/>
    <n v="54442.5"/>
    <n v="17966.025000000001"/>
    <n v="58942.5"/>
    <n v="61942.5"/>
    <n v="9581880"/>
    <n v="10373880"/>
    <n v="10901880"/>
    <n v="0"/>
    <n v="814459.8"/>
    <n v="2"/>
    <n v="244000"/>
    <n v="244000"/>
    <n v="9825880"/>
  </r>
  <r>
    <m/>
    <s v="B"/>
    <x v="13"/>
    <x v="0"/>
    <n v="3"/>
    <n v="1"/>
    <x v="286"/>
    <s v="3 BEDROOM"/>
    <x v="1"/>
    <n v="141.131"/>
    <n v="156.37029753144901"/>
    <n v="172"/>
    <m/>
    <m/>
    <s v="SE"/>
    <s v="MIDDLE"/>
    <s v="ROAD 18M (VILLAS)"/>
    <s v="THIRD"/>
    <s v="D"/>
    <n v="0.08"/>
    <n v="2.5000000000000001E-2"/>
    <n v="0.16"/>
    <n v="0.15"/>
    <n v="2.5000000000000001E-2"/>
    <n v="0.44000000000000006"/>
    <x v="0"/>
    <s v="R 8"/>
    <n v="51850"/>
    <n v="57950"/>
    <n v="6100"/>
    <n v="2684.0000000000005"/>
    <n v="54534"/>
    <n v="17996.22"/>
    <n v="59034"/>
    <n v="62034"/>
    <n v="9379848"/>
    <n v="10153848"/>
    <n v="10669848"/>
    <n v="0"/>
    <n v="797287.08000000007"/>
    <n v="2"/>
    <n v="244000"/>
    <n v="244000"/>
    <n v="9623848"/>
  </r>
  <r>
    <m/>
    <s v="B"/>
    <x v="13"/>
    <x v="0"/>
    <n v="3"/>
    <n v="2"/>
    <x v="287"/>
    <s v="3 BEDROOM"/>
    <x v="1"/>
    <n v="164.43600000000001"/>
    <n v="182.19176683281029"/>
    <n v="201"/>
    <m/>
    <m/>
    <s v="NW"/>
    <s v="MIDDLE"/>
    <s v="LAKE B-2"/>
    <s v="THIRD"/>
    <s v="E"/>
    <n v="0.13"/>
    <n v="2.5000000000000001E-2"/>
    <n v="0.53"/>
    <n v="0.15"/>
    <n v="1.4999999999999999E-2"/>
    <n v="0.85000000000000009"/>
    <x v="2"/>
    <s v="R 8"/>
    <n v="51850"/>
    <n v="57950"/>
    <n v="6100"/>
    <n v="5185.0000000000009"/>
    <n v="57035"/>
    <n v="18821.55"/>
    <n v="61535"/>
    <n v="64535"/>
    <n v="11464035"/>
    <n v="12368535"/>
    <n v="12971535"/>
    <n v="0"/>
    <n v="974442.97500000009"/>
    <n v="2"/>
    <n v="244000"/>
    <n v="244000"/>
    <n v="11708035"/>
  </r>
  <r>
    <m/>
    <s v="B"/>
    <x v="13"/>
    <x v="0"/>
    <n v="3"/>
    <n v="3"/>
    <x v="288"/>
    <s v="3 BEDROOM + LIVING"/>
    <x v="1"/>
    <n v="187.20400000000001"/>
    <n v="207.41825098013462"/>
    <n v="228"/>
    <m/>
    <m/>
    <s v="NW"/>
    <s v="CORNER "/>
    <s v="SEMI LAKE B-2"/>
    <s v="THIRD"/>
    <s v="E"/>
    <n v="0.13"/>
    <n v="0.05"/>
    <n v="0.42400000000000004"/>
    <n v="0.15"/>
    <n v="1.4999999999999999E-2"/>
    <n v="0.76900000000000013"/>
    <x v="2"/>
    <s v="R 3"/>
    <n v="44625"/>
    <n v="49875"/>
    <n v="5250"/>
    <n v="4037.2500000000005"/>
    <n v="48662.25"/>
    <n v="16058.542500000001"/>
    <n v="53162.25"/>
    <n v="56162.25"/>
    <n v="11094993"/>
    <n v="12120993"/>
    <n v="12804993"/>
    <n v="0"/>
    <n v="943074.40500000003"/>
    <n v="2"/>
    <n v="210000"/>
    <n v="210000"/>
    <n v="11304993"/>
  </r>
  <r>
    <m/>
    <s v="B"/>
    <x v="13"/>
    <x v="0"/>
    <n v="3"/>
    <n v="4"/>
    <x v="289"/>
    <s v="3 BEDROOM"/>
    <x v="1"/>
    <n v="143.911"/>
    <n v="159.45048138288794"/>
    <n v="176"/>
    <m/>
    <m/>
    <s v="SE"/>
    <s v="CORNER "/>
    <s v="ROAD 18M (VILLAS)"/>
    <s v="THIRD"/>
    <s v="D"/>
    <n v="0.08"/>
    <n v="0.05"/>
    <n v="0.16"/>
    <n v="0.15"/>
    <n v="2.5000000000000001E-2"/>
    <n v="0.46500000000000008"/>
    <x v="0"/>
    <s v="R 11"/>
    <n v="58649.999999999993"/>
    <n v="65550"/>
    <n v="6900.0000000000073"/>
    <n v="3208.5000000000041"/>
    <n v="61858.5"/>
    <n v="20413.305"/>
    <n v="66358.5"/>
    <n v="69358.5"/>
    <n v="10887096"/>
    <n v="11679096"/>
    <n v="12207096"/>
    <n v="0"/>
    <n v="925403.16"/>
    <n v="2"/>
    <n v="276000"/>
    <n v="276000"/>
    <n v="11163096"/>
  </r>
  <r>
    <m/>
    <s v="B"/>
    <x v="13"/>
    <x v="0"/>
    <n v="4"/>
    <n v="1"/>
    <x v="290"/>
    <s v="3 BEDROOM"/>
    <x v="1"/>
    <n v="139.16499999999999"/>
    <n v="154.19200923938823"/>
    <n v="170"/>
    <m/>
    <m/>
    <s v="SE"/>
    <s v="MIDDLE"/>
    <s v="ROAD 18M (VILLAS)"/>
    <s v="FORTH"/>
    <s v="D"/>
    <n v="0.08"/>
    <n v="2.5000000000000001E-2"/>
    <n v="0.16"/>
    <n v="0.06"/>
    <n v="2.5000000000000001E-2"/>
    <n v="0.35000000000000003"/>
    <x v="0"/>
    <s v="R 1"/>
    <n v="42500"/>
    <n v="47500"/>
    <n v="5000"/>
    <n v="1750.0000000000002"/>
    <n v="44250"/>
    <n v="14602.5"/>
    <n v="48750"/>
    <n v="51750"/>
    <n v="7522500"/>
    <n v="8287500"/>
    <n v="8797500"/>
    <n v="0"/>
    <n v="639412.5"/>
    <n v="2"/>
    <n v="200000"/>
    <n v="200000"/>
    <n v="7722500"/>
  </r>
  <r>
    <m/>
    <s v="B"/>
    <x v="13"/>
    <x v="0"/>
    <n v="4"/>
    <n v="2"/>
    <x v="291"/>
    <s v="3 BEDROOM"/>
    <x v="1"/>
    <n v="162.49"/>
    <n v="180.03563813680304"/>
    <n v="198"/>
    <m/>
    <m/>
    <s v="NW"/>
    <s v="MIDDLE"/>
    <s v="LAKE B-2"/>
    <s v="FORTH"/>
    <s v="E"/>
    <n v="0.13"/>
    <n v="2.5000000000000001E-2"/>
    <n v="0.53"/>
    <n v="0.06"/>
    <n v="1.4999999999999999E-2"/>
    <n v="0.76000000000000012"/>
    <x v="2"/>
    <s v="R 3"/>
    <n v="44625"/>
    <n v="49875"/>
    <n v="5250"/>
    <n v="3990.0000000000005"/>
    <n v="48615"/>
    <n v="16042.95"/>
    <n v="53115"/>
    <n v="56115"/>
    <n v="9625770"/>
    <n v="10516770"/>
    <n v="11110770"/>
    <n v="0"/>
    <n v="818190.45000000007"/>
    <n v="2"/>
    <n v="210000"/>
    <n v="210000"/>
    <n v="9835770"/>
  </r>
  <r>
    <m/>
    <s v="B"/>
    <x v="13"/>
    <x v="0"/>
    <n v="4"/>
    <n v="3"/>
    <x v="292"/>
    <s v="3 BEDROOM + LIVING"/>
    <x v="1"/>
    <n v="182.357"/>
    <n v="202.04787287656464"/>
    <n v="222"/>
    <m/>
    <m/>
    <s v="NW"/>
    <s v="CORNER "/>
    <s v="SEMI LAKE B-2"/>
    <s v="FORTH"/>
    <s v="E"/>
    <n v="0.13"/>
    <n v="0.05"/>
    <n v="0.42400000000000004"/>
    <n v="0.06"/>
    <n v="1.4999999999999999E-2"/>
    <n v="0.67900000000000016"/>
    <x v="1"/>
    <s v="R 7"/>
    <n v="50150"/>
    <n v="56050"/>
    <n v="5900"/>
    <n v="4006.1000000000008"/>
    <n v="54156.1"/>
    <n v="17871.512999999999"/>
    <n v="58656.1"/>
    <n v="61656.1"/>
    <n v="12022654.199999999"/>
    <n v="13021654.199999999"/>
    <n v="13687654.199999999"/>
    <n v="0"/>
    <n v="1021925.607"/>
    <n v="2"/>
    <n v="236000"/>
    <n v="236000"/>
    <n v="12258654.199999999"/>
  </r>
  <r>
    <m/>
    <s v="B"/>
    <x v="13"/>
    <x v="0"/>
    <n v="4"/>
    <n v="4"/>
    <x v="293"/>
    <s v="3 BEDROOM"/>
    <x v="1"/>
    <n v="141.929"/>
    <n v="157.25446541398435"/>
    <n v="173"/>
    <m/>
    <m/>
    <s v="SE"/>
    <s v="CORNER "/>
    <s v="ROAD 18M (VILLAS)"/>
    <s v="FORTH"/>
    <s v="D"/>
    <n v="0.08"/>
    <n v="0.05"/>
    <n v="0.16"/>
    <n v="0.06"/>
    <n v="2.5000000000000001E-2"/>
    <n v="0.37500000000000006"/>
    <x v="0"/>
    <s v="R 3"/>
    <n v="44625"/>
    <n v="49875"/>
    <n v="5250"/>
    <n v="1968.7500000000002"/>
    <n v="46593.75"/>
    <n v="15375.9375"/>
    <n v="51093.75"/>
    <n v="54093.75"/>
    <n v="8060718.75"/>
    <n v="8839218.75"/>
    <n v="9358218.75"/>
    <n v="0"/>
    <n v="685161.09375"/>
    <n v="2"/>
    <n v="210000"/>
    <n v="210000"/>
    <n v="8270718.75"/>
  </r>
  <r>
    <s v="B3"/>
    <s v="B"/>
    <x v="14"/>
    <x v="0"/>
    <n v="0"/>
    <n v="1"/>
    <x v="294"/>
    <s v="3 BEDROOM"/>
    <x v="1"/>
    <n v="141.82499999999999"/>
    <n v="159.04192828545919"/>
    <n v="173"/>
    <n v="80.092500000000001"/>
    <m/>
    <s v="SE"/>
    <s v="MIDDLE"/>
    <s v="ROAD 18M (VILLAS)"/>
    <s v="GROUND"/>
    <s v="D"/>
    <n v="0.08"/>
    <n v="2.5000000000000001E-2"/>
    <n v="0.16"/>
    <n v="0.05"/>
    <n v="2.5000000000000001E-2"/>
    <n v="0.34"/>
    <x v="0"/>
    <s v="R 1"/>
    <n v="42500"/>
    <n v="47500"/>
    <n v="5000"/>
    <n v="1700.0000000000002"/>
    <n v="44200"/>
    <n v="14586"/>
    <n v="48700"/>
    <n v="51700"/>
    <n v="7646600"/>
    <n v="8425100"/>
    <n v="8944100"/>
    <n v="1168229.2050000001"/>
    <n v="749260.48242500005"/>
    <n v="2"/>
    <n v="200000"/>
    <n v="200000"/>
    <n v="9014829.2050000001"/>
  </r>
  <r>
    <m/>
    <s v="B"/>
    <x v="14"/>
    <x v="0"/>
    <n v="0"/>
    <n v="2"/>
    <x v="295"/>
    <s v="3 BEDROOM + LIVING (DUPLEX)"/>
    <x v="1"/>
    <n v="142.05600000000001"/>
    <n v="159.30097066468673"/>
    <n v="344"/>
    <n v="97.868200000000002"/>
    <m/>
    <s v="NW"/>
    <s v="MIDDLE"/>
    <s v="LAKE B-2"/>
    <s v="GROUND"/>
    <s v="F"/>
    <n v="0.13"/>
    <n v="2.5000000000000001E-2"/>
    <n v="0.53"/>
    <n v="0.05"/>
    <n v="0"/>
    <n v="0.7350000000000001"/>
    <x v="2"/>
    <s v="R 1"/>
    <n v="42500"/>
    <n v="47500"/>
    <n v="5000"/>
    <n v="3675.0000000000005"/>
    <n v="46175"/>
    <n v="15237.75"/>
    <n v="50675"/>
    <n v="53675"/>
    <n v="15884200"/>
    <n v="17432200"/>
    <n v="18464200"/>
    <n v="1491291.1645500001"/>
    <n v="1476916.7489867499"/>
    <n v="2"/>
    <n v="200000"/>
    <n v="200000"/>
    <n v="17575491.164549999"/>
  </r>
  <r>
    <m/>
    <s v="B"/>
    <x v="14"/>
    <x v="0"/>
    <n v="0"/>
    <n v="3"/>
    <x v="296"/>
    <s v="3 BEDROOM + LIVING (DUPLEX)"/>
    <x v="1"/>
    <n v="142.197"/>
    <n v="159.45908744161781"/>
    <n v="344"/>
    <n v="97.259299999999996"/>
    <m/>
    <s v="NW"/>
    <s v="MIDDLE"/>
    <s v="LAKE B-2"/>
    <s v="GROUND"/>
    <s v="F"/>
    <n v="0.13"/>
    <n v="2.5000000000000001E-2"/>
    <n v="0.53"/>
    <n v="0.05"/>
    <n v="0"/>
    <n v="0.7350000000000001"/>
    <x v="2"/>
    <s v="R 2"/>
    <n v="43562.499999999993"/>
    <n v="48687.499999999993"/>
    <n v="5125"/>
    <n v="3766.8750000000005"/>
    <n v="47329.374999999993"/>
    <n v="15618.693749999999"/>
    <n v="51829.374999999993"/>
    <n v="54829.374999999993"/>
    <n v="16281304.999999998"/>
    <n v="17829304.999999996"/>
    <n v="18861304.999999996"/>
    <n v="1519063.2210393748"/>
    <n v="1513031.2987883468"/>
    <n v="2"/>
    <n v="204999.99999999997"/>
    <n v="204999.99999999997"/>
    <n v="18005368.221039373"/>
  </r>
  <r>
    <m/>
    <s v="B"/>
    <x v="14"/>
    <x v="0"/>
    <n v="0"/>
    <n v="4"/>
    <x v="297"/>
    <s v="2 BEDROOM"/>
    <x v="1"/>
    <n v="95.254000000000005"/>
    <n v="106.81741467938045"/>
    <n v="116"/>
    <n v="63.675199999999997"/>
    <m/>
    <s v="SE"/>
    <s v="MIDDLE"/>
    <s v="ROAD 18M (VILLAS)"/>
    <s v="GROUND"/>
    <s v="B"/>
    <n v="0.08"/>
    <n v="2.5000000000000001E-2"/>
    <n v="0.16"/>
    <n v="0.05"/>
    <n v="0.04"/>
    <n v="0.35499999999999998"/>
    <x v="0"/>
    <s v="R 1"/>
    <n v="42500"/>
    <n v="47500"/>
    <n v="5000"/>
    <n v="1775"/>
    <n v="44275"/>
    <n v="14610.75"/>
    <n v="48775"/>
    <n v="51775"/>
    <n v="5135900"/>
    <n v="5657900"/>
    <n v="6005900"/>
    <n v="930342.42839999998"/>
    <n v="515630.60641399998"/>
    <n v="1"/>
    <n v="200000"/>
    <n v="200000"/>
    <n v="6266242.4284000006"/>
  </r>
  <r>
    <m/>
    <s v="B"/>
    <x v="14"/>
    <x v="0"/>
    <n v="1"/>
    <n v="1"/>
    <x v="298"/>
    <s v="3 BEDROOM"/>
    <x v="1"/>
    <n v="142.977"/>
    <n v="160.33377599485354"/>
    <n v="174"/>
    <m/>
    <m/>
    <s v="SE"/>
    <s v="MIDDLE"/>
    <s v="ROAD 18M (VILLAS)"/>
    <s v="FIRST"/>
    <s v="D"/>
    <n v="0.08"/>
    <n v="2.5000000000000001E-2"/>
    <n v="0.16"/>
    <n v="7.0000000000000007E-2"/>
    <n v="2.5000000000000001E-2"/>
    <n v="0.36000000000000004"/>
    <x v="0"/>
    <s v="R 2"/>
    <n v="43562.499999999993"/>
    <n v="48687.499999999993"/>
    <n v="5125"/>
    <n v="1845.0000000000002"/>
    <n v="45407.499999999993"/>
    <n v="14984.474999999999"/>
    <n v="49907.499999999993"/>
    <n v="52907.499999999993"/>
    <n v="7900904.9999999991"/>
    <n v="8683904.9999999981"/>
    <n v="9205904.9999999981"/>
    <n v="0"/>
    <n v="671576.92499999993"/>
    <n v="2"/>
    <n v="204999.99999999997"/>
    <n v="204999.99999999997"/>
    <n v="8105904.9999999991"/>
  </r>
  <r>
    <m/>
    <s v="B"/>
    <x v="14"/>
    <x v="0"/>
    <n v="1"/>
    <n v="4"/>
    <x v="299"/>
    <s v="2 BEDROOM"/>
    <x v="1"/>
    <n v="96.311000000000007"/>
    <n v="108.00272980857298"/>
    <n v="117"/>
    <m/>
    <m/>
    <s v="SE"/>
    <s v="MIDDLE"/>
    <s v="ROAD 18M (VILLAS)"/>
    <s v="FIRST"/>
    <s v="B"/>
    <n v="0.08"/>
    <n v="2.5000000000000001E-2"/>
    <n v="0.16"/>
    <n v="7.0000000000000007E-2"/>
    <n v="0.04"/>
    <n v="0.375"/>
    <x v="0"/>
    <s v="R 3"/>
    <n v="44625"/>
    <n v="49875"/>
    <n v="5250"/>
    <n v="1968.75"/>
    <n v="46593.75"/>
    <n v="15375.9375"/>
    <n v="51093.75"/>
    <n v="54093.75"/>
    <n v="5451468.75"/>
    <n v="5977968.75"/>
    <n v="6328968.75"/>
    <n v="0"/>
    <n v="463374.84375000006"/>
    <n v="1"/>
    <n v="210000"/>
    <n v="210000"/>
    <n v="5661468.75"/>
  </r>
  <r>
    <m/>
    <s v="B"/>
    <x v="14"/>
    <x v="0"/>
    <n v="2"/>
    <n v="1"/>
    <x v="300"/>
    <s v="3 BEDROOM"/>
    <x v="1"/>
    <n v="141.18700000000001"/>
    <n v="158.32647790473564"/>
    <n v="172"/>
    <m/>
    <m/>
    <s v="SE"/>
    <s v="MIDDLE"/>
    <s v="ROAD 18M (VILLAS)"/>
    <s v="SECOND"/>
    <s v="D"/>
    <n v="0.08"/>
    <n v="2.5000000000000001E-2"/>
    <n v="0.16"/>
    <n v="0.11"/>
    <n v="2.5000000000000001E-2"/>
    <n v="0.4"/>
    <x v="0"/>
    <s v="R 5"/>
    <n v="46750.000000000007"/>
    <n v="52250.000000000007"/>
    <n v="5500"/>
    <n v="2200"/>
    <n v="48950.000000000007"/>
    <n v="16153.500000000004"/>
    <n v="53450.000000000007"/>
    <n v="56450.000000000007"/>
    <n v="8419400.0000000019"/>
    <n v="9193400.0000000019"/>
    <n v="9709400.0000000019"/>
    <n v="0"/>
    <n v="715649.00000000023"/>
    <n v="2"/>
    <n v="220000.00000000003"/>
    <n v="220000.00000000003"/>
    <n v="8639400.0000000019"/>
  </r>
  <r>
    <m/>
    <s v="B"/>
    <x v="14"/>
    <x v="0"/>
    <n v="2"/>
    <n v="2"/>
    <x v="301"/>
    <s v="3 BEDROOM"/>
    <x v="1"/>
    <n v="141.446"/>
    <n v="158.61691936023314"/>
    <n v="173"/>
    <m/>
    <m/>
    <s v="NW"/>
    <s v="MIDDLE"/>
    <s v="LAKE B-2"/>
    <s v="SECOND"/>
    <s v="D"/>
    <n v="0.13"/>
    <n v="2.5000000000000001E-2"/>
    <n v="0.53"/>
    <n v="0.11"/>
    <n v="2.5000000000000001E-2"/>
    <n v="0.82000000000000006"/>
    <x v="2"/>
    <s v="R 7"/>
    <n v="50150"/>
    <n v="56050"/>
    <n v="5900"/>
    <n v="4838"/>
    <n v="54988"/>
    <n v="18146.04"/>
    <n v="59488"/>
    <n v="62488"/>
    <n v="9512924"/>
    <n v="10291424"/>
    <n v="10810424"/>
    <n v="0"/>
    <n v="808598.54"/>
    <n v="2"/>
    <n v="236000"/>
    <n v="236000"/>
    <n v="9748924"/>
  </r>
  <r>
    <m/>
    <s v="B"/>
    <x v="14"/>
    <x v="0"/>
    <n v="2"/>
    <n v="3"/>
    <x v="302"/>
    <s v="3 BEDROOM"/>
    <x v="1"/>
    <n v="141.572"/>
    <n v="158.75821520344815"/>
    <n v="173"/>
    <m/>
    <m/>
    <s v="NW"/>
    <s v="MIDDLE"/>
    <s v="LAKE B-2"/>
    <s v="SECOND"/>
    <s v="D"/>
    <n v="0.13"/>
    <n v="2.5000000000000001E-2"/>
    <n v="0.53"/>
    <n v="0.11"/>
    <n v="2.5000000000000001E-2"/>
    <n v="0.82000000000000006"/>
    <x v="2"/>
    <s v="R 7"/>
    <n v="50150"/>
    <n v="56050"/>
    <n v="5900"/>
    <n v="4838"/>
    <n v="54988"/>
    <n v="18146.04"/>
    <n v="59488"/>
    <n v="62488"/>
    <n v="9512924"/>
    <n v="10291424"/>
    <n v="10810424"/>
    <n v="0"/>
    <n v="808598.54"/>
    <n v="2"/>
    <n v="236000"/>
    <n v="236000"/>
    <n v="9748924"/>
  </r>
  <r>
    <m/>
    <s v="B"/>
    <x v="14"/>
    <x v="0"/>
    <n v="2"/>
    <n v="4"/>
    <x v="303"/>
    <s v="3 BEDROOM"/>
    <x v="1"/>
    <n v="141.226"/>
    <n v="158.37021233239741"/>
    <n v="172"/>
    <m/>
    <m/>
    <s v="SE"/>
    <s v="MIDDLE"/>
    <s v="ROAD 18M (VILLAS)"/>
    <s v="SECOND"/>
    <s v="D"/>
    <n v="0.08"/>
    <n v="2.5000000000000001E-2"/>
    <n v="0.16"/>
    <n v="0.11"/>
    <n v="2.5000000000000001E-2"/>
    <n v="0.4"/>
    <x v="0"/>
    <s v="R 5"/>
    <n v="46750.000000000007"/>
    <n v="52250.000000000007"/>
    <n v="5500"/>
    <n v="2200"/>
    <n v="48950.000000000007"/>
    <n v="16153.500000000004"/>
    <n v="53450.000000000007"/>
    <n v="56450.000000000007"/>
    <n v="8419400.0000000019"/>
    <n v="9193400.0000000019"/>
    <n v="9709400.0000000019"/>
    <n v="0"/>
    <n v="715649.00000000023"/>
    <n v="2"/>
    <n v="220000.00000000003"/>
    <n v="220000.00000000003"/>
    <n v="8639400.0000000019"/>
  </r>
  <r>
    <m/>
    <s v="B"/>
    <x v="14"/>
    <x v="0"/>
    <n v="3"/>
    <n v="1"/>
    <x v="304"/>
    <s v="3 BEDROOM"/>
    <x v="1"/>
    <n v="141.48599999999999"/>
    <n v="158.66177518347598"/>
    <n v="173"/>
    <m/>
    <m/>
    <s v="SE"/>
    <s v="MIDDLE"/>
    <s v="ROAD 18M (VILLAS)"/>
    <s v="THIRD"/>
    <s v="D"/>
    <n v="0.08"/>
    <n v="2.5000000000000001E-2"/>
    <n v="0.16"/>
    <n v="0.15"/>
    <n v="2.5000000000000001E-2"/>
    <n v="0.44000000000000006"/>
    <x v="0"/>
    <s v="R 9"/>
    <n v="53550"/>
    <n v="59850"/>
    <n v="6300"/>
    <n v="2772.0000000000005"/>
    <n v="56322"/>
    <n v="18586.260000000002"/>
    <n v="60822"/>
    <n v="63822"/>
    <n v="9743706"/>
    <n v="10522206"/>
    <n v="11041206"/>
    <n v="0"/>
    <n v="828215.01"/>
    <n v="2"/>
    <n v="252000"/>
    <n v="252000"/>
    <n v="9995706"/>
  </r>
  <r>
    <m/>
    <s v="B"/>
    <x v="14"/>
    <x v="0"/>
    <n v="3"/>
    <n v="2"/>
    <x v="305"/>
    <s v="3 BEDROOM"/>
    <x v="1"/>
    <n v="142.25399999999999"/>
    <n v="159.52300698973886"/>
    <n v="174"/>
    <m/>
    <m/>
    <s v="NW"/>
    <s v="MIDDLE"/>
    <s v="LAKE B-2"/>
    <s v="THIRD"/>
    <s v="D"/>
    <n v="0.13"/>
    <n v="2.5000000000000001E-2"/>
    <n v="0.53"/>
    <n v="0.15"/>
    <n v="2.5000000000000001E-2"/>
    <n v="0.8600000000000001"/>
    <x v="2"/>
    <s v="R 9"/>
    <n v="53550"/>
    <n v="59850"/>
    <n v="6300"/>
    <n v="5418.0000000000009"/>
    <n v="58968"/>
    <n v="19459.440000000002"/>
    <n v="63468"/>
    <n v="66468"/>
    <n v="10260432"/>
    <n v="11043432"/>
    <n v="11565432"/>
    <n v="0"/>
    <n v="872136.72000000009"/>
    <n v="2"/>
    <n v="252000"/>
    <n v="252000"/>
    <n v="10512432"/>
  </r>
  <r>
    <m/>
    <s v="B"/>
    <x v="14"/>
    <x v="0"/>
    <n v="3"/>
    <n v="3"/>
    <x v="306"/>
    <s v="3 BEDROOM"/>
    <x v="1"/>
    <n v="142.37799999999999"/>
    <n v="159.6620600417917"/>
    <n v="174"/>
    <m/>
    <m/>
    <s v="NW"/>
    <s v="MIDDLE"/>
    <s v="LAKE B-2"/>
    <s v="THIRD"/>
    <s v="D"/>
    <n v="0.13"/>
    <n v="2.5000000000000001E-2"/>
    <n v="0.53"/>
    <n v="0.15"/>
    <n v="2.5000000000000001E-2"/>
    <n v="0.8600000000000001"/>
    <x v="2"/>
    <s v="R 9"/>
    <n v="53550"/>
    <n v="59850"/>
    <n v="6300"/>
    <n v="5418.0000000000009"/>
    <n v="58968"/>
    <n v="19459.440000000002"/>
    <n v="63468"/>
    <n v="66468"/>
    <n v="10260432"/>
    <n v="11043432"/>
    <n v="11565432"/>
    <n v="0"/>
    <n v="872136.72000000009"/>
    <n v="2"/>
    <n v="252000"/>
    <n v="252000"/>
    <n v="10512432"/>
  </r>
  <r>
    <m/>
    <s v="B"/>
    <x v="14"/>
    <x v="0"/>
    <n v="3"/>
    <n v="4"/>
    <x v="307"/>
    <s v="3 BEDROOM"/>
    <x v="1"/>
    <n v="141.52600000000001"/>
    <n v="158.70663100671885"/>
    <n v="173"/>
    <m/>
    <m/>
    <s v="SE"/>
    <s v="MIDDLE"/>
    <s v="ROAD 18M (VILLAS)"/>
    <s v="THIRD"/>
    <s v="D"/>
    <n v="0.08"/>
    <n v="2.5000000000000001E-2"/>
    <n v="0.16"/>
    <n v="0.15"/>
    <n v="2.5000000000000001E-2"/>
    <n v="0.44000000000000006"/>
    <x v="0"/>
    <s v="R 9"/>
    <n v="53550"/>
    <n v="59850"/>
    <n v="6300"/>
    <n v="2772.0000000000005"/>
    <n v="56322"/>
    <n v="18586.260000000002"/>
    <n v="60822"/>
    <n v="63822"/>
    <n v="9743706"/>
    <n v="10522206"/>
    <n v="11041206"/>
    <n v="0"/>
    <n v="828215.01"/>
    <n v="2"/>
    <n v="252000"/>
    <n v="252000"/>
    <n v="9995706"/>
  </r>
  <r>
    <m/>
    <s v="B"/>
    <x v="14"/>
    <x v="0"/>
    <n v="4"/>
    <n v="1"/>
    <x v="308"/>
    <s v="3 BEDROOM"/>
    <x v="1"/>
    <n v="139.12"/>
    <n v="156.00855323866094"/>
    <n v="170"/>
    <m/>
    <m/>
    <s v="SE"/>
    <s v="MIDDLE"/>
    <s v="ROAD 18M (VILLAS)"/>
    <s v="FORTH"/>
    <s v="D"/>
    <n v="0.08"/>
    <n v="2.5000000000000001E-2"/>
    <n v="0.16"/>
    <n v="0.06"/>
    <n v="2.5000000000000001E-2"/>
    <n v="0.35000000000000003"/>
    <x v="0"/>
    <s v="R 1"/>
    <n v="42500"/>
    <n v="47500"/>
    <n v="5000"/>
    <n v="1750.0000000000002"/>
    <n v="44250"/>
    <n v="14602.5"/>
    <n v="48750"/>
    <n v="51750"/>
    <n v="7522500"/>
    <n v="8287500"/>
    <n v="8797500"/>
    <n v="0"/>
    <n v="639412.5"/>
    <n v="2"/>
    <n v="200000"/>
    <n v="200000"/>
    <n v="7722500"/>
  </r>
  <r>
    <m/>
    <s v="B"/>
    <x v="14"/>
    <x v="0"/>
    <n v="4"/>
    <n v="2"/>
    <x v="309"/>
    <s v="3 BEDROOM"/>
    <x v="1"/>
    <n v="141.53399999999999"/>
    <n v="158.71560217136741"/>
    <n v="173"/>
    <m/>
    <m/>
    <s v="NW"/>
    <s v="MIDDLE"/>
    <s v="LAKE B-2"/>
    <s v="FORTH"/>
    <s v="D"/>
    <n v="0.13"/>
    <n v="2.5000000000000001E-2"/>
    <n v="0.53"/>
    <n v="0.06"/>
    <n v="2.5000000000000001E-2"/>
    <n v="0.77000000000000013"/>
    <x v="2"/>
    <s v="R 4"/>
    <n v="45687.5"/>
    <n v="51062.5"/>
    <n v="5375"/>
    <n v="4138.7500000000009"/>
    <n v="49826.25"/>
    <n v="16442.662500000002"/>
    <n v="54326.25"/>
    <n v="57326.25"/>
    <n v="8619941.25"/>
    <n v="9398441.25"/>
    <n v="9917441.25"/>
    <n v="0"/>
    <n v="732695.00625000009"/>
    <n v="2"/>
    <n v="215000"/>
    <n v="215000"/>
    <n v="8834941.25"/>
  </r>
  <r>
    <m/>
    <s v="B"/>
    <x v="14"/>
    <x v="0"/>
    <n v="4"/>
    <n v="3"/>
    <x v="310"/>
    <s v="3 BEDROOM"/>
    <x v="1"/>
    <n v="141.65899999999999"/>
    <n v="158.85577661900135"/>
    <n v="173"/>
    <m/>
    <m/>
    <s v="NW"/>
    <s v="MIDDLE"/>
    <s v="LAKE B-2"/>
    <s v="FORTH"/>
    <s v="D"/>
    <n v="0.13"/>
    <n v="2.5000000000000001E-2"/>
    <n v="0.53"/>
    <n v="0.06"/>
    <n v="2.5000000000000001E-2"/>
    <n v="0.77000000000000013"/>
    <x v="2"/>
    <s v="R 4"/>
    <n v="45687.5"/>
    <n v="51062.5"/>
    <n v="5375"/>
    <n v="4138.7500000000009"/>
    <n v="49826.25"/>
    <n v="16442.662500000002"/>
    <n v="54326.25"/>
    <n v="57326.25"/>
    <n v="8619941.25"/>
    <n v="9398441.25"/>
    <n v="9917441.25"/>
    <n v="0"/>
    <n v="732695.00625000009"/>
    <n v="2"/>
    <n v="215000"/>
    <n v="215000"/>
    <n v="8834941.25"/>
  </r>
  <r>
    <m/>
    <s v="B"/>
    <x v="14"/>
    <x v="0"/>
    <n v="4"/>
    <n v="4"/>
    <x v="311"/>
    <s v="3 BEDROOM"/>
    <x v="1"/>
    <n v="139.31659999999999"/>
    <n v="156.22901960989958"/>
    <n v="170"/>
    <m/>
    <m/>
    <s v="SE"/>
    <s v="MIDDLE"/>
    <s v="ROAD 18M (VILLAS)"/>
    <s v="FORTH"/>
    <s v="D"/>
    <n v="0.08"/>
    <n v="2.5000000000000001E-2"/>
    <n v="0.16"/>
    <n v="0.06"/>
    <n v="2.5000000000000001E-2"/>
    <n v="0.35000000000000003"/>
    <x v="0"/>
    <s v="R 1"/>
    <n v="42500"/>
    <n v="47500"/>
    <n v="5000"/>
    <n v="1750.0000000000002"/>
    <n v="44250"/>
    <n v="14602.5"/>
    <n v="48750"/>
    <n v="51750"/>
    <n v="7522500"/>
    <n v="8287500"/>
    <n v="8797500"/>
    <n v="0"/>
    <n v="639412.5"/>
    <n v="2"/>
    <n v="200000"/>
    <n v="200000"/>
    <n v="7722500"/>
  </r>
  <r>
    <s v="B3"/>
    <s v="B"/>
    <x v="15"/>
    <x v="0"/>
    <n v="0"/>
    <n v="1"/>
    <x v="312"/>
    <s v="3 BEDROOM"/>
    <x v="1"/>
    <n v="144.66300000000001"/>
    <n v="160.29970969584483"/>
    <n v="176"/>
    <n v="84.046400000000006"/>
    <m/>
    <s v="SE"/>
    <s v="CORNER "/>
    <s v="ROAD 18M (VILLAS)"/>
    <s v="GROUND"/>
    <s v="D"/>
    <n v="0.08"/>
    <n v="0.05"/>
    <n v="0.16"/>
    <n v="0.05"/>
    <n v="2.5000000000000001E-2"/>
    <n v="0.36500000000000005"/>
    <x v="0"/>
    <s v="R 2"/>
    <n v="43562.499999999993"/>
    <n v="48687.499999999993"/>
    <n v="5125"/>
    <n v="1870.6250000000002"/>
    <n v="45433.124999999993"/>
    <n v="14992.931249999998"/>
    <n v="49933.124999999993"/>
    <n v="52933.124999999993"/>
    <n v="7996229.9999999991"/>
    <n v="8788229.9999999981"/>
    <n v="9316229.9999999981"/>
    <n v="1260101.89701"/>
    <n v="786788.21124584996"/>
    <n v="2"/>
    <n v="204999.99999999997"/>
    <n v="204999.99999999997"/>
    <n v="9461331.8970099986"/>
  </r>
  <r>
    <m/>
    <s v="B"/>
    <x v="15"/>
    <x v="0"/>
    <n v="0"/>
    <n v="2"/>
    <x v="313"/>
    <s v="3 BEDROOM + LIVING"/>
    <x v="1"/>
    <n v="183.887"/>
    <n v="203.76345518093646"/>
    <n v="224"/>
    <n v="61.522199999999998"/>
    <m/>
    <s v="NW"/>
    <s v="CORNER "/>
    <s v="LAKE B-2"/>
    <s v="GROUND"/>
    <s v="E"/>
    <n v="0.13"/>
    <n v="0.05"/>
    <n v="0.53"/>
    <n v="0.05"/>
    <n v="1.4999999999999999E-2"/>
    <n v="0.77500000000000002"/>
    <x v="2"/>
    <s v="R 4"/>
    <n v="45687.5"/>
    <n v="51062.5"/>
    <n v="5375"/>
    <n v="4165.625"/>
    <n v="49853.125"/>
    <n v="16451.53125"/>
    <n v="54353.125"/>
    <n v="57353.125"/>
    <n v="11167100"/>
    <n v="12175100"/>
    <n v="12847100"/>
    <n v="1012134.3958687499"/>
    <n v="1035234.9236488439"/>
    <n v="2"/>
    <n v="215000"/>
    <n v="215000"/>
    <n v="12394234.39586875"/>
  </r>
  <r>
    <m/>
    <s v="B"/>
    <x v="15"/>
    <x v="0"/>
    <n v="0"/>
    <n v="3"/>
    <x v="314"/>
    <s v="3 BEDROOM"/>
    <x v="1"/>
    <n v="162.78100000000001"/>
    <n v="180.37609508996297"/>
    <n v="199"/>
    <n v="77.576999999999998"/>
    <m/>
    <s v="NW"/>
    <s v="MIDDLE"/>
    <s v="LAKE B-2"/>
    <s v="GROUND"/>
    <s v="E"/>
    <n v="0.13"/>
    <n v="2.5000000000000001E-2"/>
    <n v="0.53"/>
    <n v="0.05"/>
    <n v="1.4999999999999999E-2"/>
    <n v="0.75000000000000011"/>
    <x v="2"/>
    <s v="R 2"/>
    <n v="43562.499999999993"/>
    <n v="48687.499999999993"/>
    <n v="5125"/>
    <n v="3843.7500000000005"/>
    <n v="47406.249999999993"/>
    <n v="15644.062499999998"/>
    <n v="51906.249999999993"/>
    <n v="54906.249999999993"/>
    <n v="9433843.7499999981"/>
    <n v="10329343.749999998"/>
    <n v="10926343.749999998"/>
    <n v="1213619.4365624997"/>
    <n v="905034.37085781235"/>
    <n v="2"/>
    <n v="204999.99999999997"/>
    <n v="204999.99999999997"/>
    <n v="10852463.186562497"/>
  </r>
  <r>
    <m/>
    <s v="B"/>
    <x v="15"/>
    <x v="0"/>
    <n v="0"/>
    <n v="4"/>
    <x v="315"/>
    <s v="2 BEDROOM"/>
    <x v="1"/>
    <n v="95.213999999999999"/>
    <n v="105.50573788031609"/>
    <n v="116"/>
    <n v="63.702300000000001"/>
    <m/>
    <s v="SE"/>
    <s v="MIDDLE"/>
    <s v="ROAD 18M (VILLAS)"/>
    <s v="GROUND"/>
    <s v="B"/>
    <n v="0.08"/>
    <n v="2.5000000000000001E-2"/>
    <n v="0.16"/>
    <n v="0.05"/>
    <n v="0.04"/>
    <n v="0.35499999999999998"/>
    <x v="0"/>
    <s v="R 1"/>
    <n v="42500"/>
    <n v="47500"/>
    <n v="5000"/>
    <n v="1775"/>
    <n v="44275"/>
    <n v="14610.75"/>
    <n v="48775"/>
    <n v="51775"/>
    <n v="5135900"/>
    <n v="5657900"/>
    <n v="6005900"/>
    <n v="930738.37972500001"/>
    <n v="515664.26227662503"/>
    <n v="1"/>
    <n v="200000"/>
    <n v="200000"/>
    <n v="6266638.3797249999"/>
  </r>
  <r>
    <m/>
    <s v="B"/>
    <x v="15"/>
    <x v="0"/>
    <n v="1"/>
    <n v="1"/>
    <x v="316"/>
    <s v="3 BEDROOM"/>
    <x v="1"/>
    <n v="141.66300000000001"/>
    <n v="156.9754379118535"/>
    <n v="173"/>
    <m/>
    <m/>
    <s v="SE"/>
    <s v="CORNER "/>
    <s v="ROAD 18M (VILLAS)"/>
    <s v="FIRST"/>
    <s v="D"/>
    <n v="0.08"/>
    <n v="0.05"/>
    <n v="0.16"/>
    <n v="7.0000000000000007E-2"/>
    <n v="2.5000000000000001E-2"/>
    <n v="0.38500000000000006"/>
    <x v="0"/>
    <s v="R 4"/>
    <n v="45687.5"/>
    <n v="51062.5"/>
    <n v="5375"/>
    <n v="2069.3750000000005"/>
    <n v="47756.875"/>
    <n v="15759.768750000001"/>
    <n v="52256.875"/>
    <n v="55256.875"/>
    <n v="8261939.375"/>
    <n v="9040439.375"/>
    <n v="9559439.375"/>
    <n v="0"/>
    <n v="702264.84687500005"/>
    <n v="2"/>
    <n v="215000"/>
    <n v="215000"/>
    <n v="8476939.375"/>
  </r>
  <r>
    <m/>
    <s v="B"/>
    <x v="15"/>
    <x v="0"/>
    <n v="1"/>
    <n v="2"/>
    <x v="317"/>
    <s v="3 BEDROOM + LIVING"/>
    <x v="1"/>
    <n v="183.637"/>
    <n v="203.48643253227053"/>
    <n v="224"/>
    <m/>
    <m/>
    <s v="NW"/>
    <s v="CORNER "/>
    <s v="LAKE B-2"/>
    <s v="FIRST"/>
    <s v="E"/>
    <n v="0.13"/>
    <n v="0.05"/>
    <n v="0.53"/>
    <n v="7.0000000000000007E-2"/>
    <n v="1.4999999999999999E-2"/>
    <n v="0.79500000000000004"/>
    <x v="2"/>
    <s v="R 5"/>
    <n v="46750.000000000007"/>
    <n v="52250.000000000007"/>
    <n v="5500"/>
    <n v="4372.5"/>
    <n v="51122.500000000007"/>
    <n v="16870.425000000003"/>
    <n v="55622.500000000007"/>
    <n v="58622.500000000007"/>
    <n v="11451440.000000002"/>
    <n v="12459440.000000002"/>
    <n v="13131440.000000002"/>
    <n v="0"/>
    <n v="973372.40000000026"/>
    <n v="2"/>
    <n v="220000.00000000003"/>
    <n v="220000.00000000003"/>
    <n v="11671440.000000002"/>
  </r>
  <r>
    <m/>
    <s v="B"/>
    <x v="15"/>
    <x v="0"/>
    <n v="1"/>
    <n v="3"/>
    <x v="318"/>
    <s v="3 BEDROOM"/>
    <x v="1"/>
    <n v="162.53100000000001"/>
    <n v="180.09907244129704"/>
    <n v="198"/>
    <m/>
    <m/>
    <s v="NW"/>
    <s v="MIDDLE"/>
    <s v="LAKE B-2"/>
    <s v="FIRST"/>
    <s v="E"/>
    <n v="0.13"/>
    <n v="2.5000000000000001E-2"/>
    <n v="0.53"/>
    <n v="7.0000000000000007E-2"/>
    <n v="1.4999999999999999E-2"/>
    <n v="0.77000000000000013"/>
    <x v="2"/>
    <s v="R 4"/>
    <n v="45687.5"/>
    <n v="51062.5"/>
    <n v="5375"/>
    <n v="4138.7500000000009"/>
    <n v="49826.25"/>
    <n v="16442.662500000002"/>
    <n v="54326.25"/>
    <n v="57326.25"/>
    <n v="9865597.5"/>
    <n v="10756597.5"/>
    <n v="11350597.5"/>
    <n v="0"/>
    <n v="838575.78750000009"/>
    <n v="2"/>
    <n v="215000"/>
    <n v="215000"/>
    <n v="10080597.5"/>
  </r>
  <r>
    <m/>
    <s v="B"/>
    <x v="15"/>
    <x v="0"/>
    <n v="1"/>
    <n v="4"/>
    <x v="319"/>
    <s v="2 BEDROOM"/>
    <x v="1"/>
    <n v="96.271000000000001"/>
    <n v="106.6769896388757"/>
    <n v="117"/>
    <m/>
    <m/>
    <s v="SE"/>
    <s v="MIDDLE"/>
    <s v="ROAD 18M (VILLAS)"/>
    <s v="FIRST"/>
    <s v="B"/>
    <n v="0.08"/>
    <n v="2.5000000000000001E-2"/>
    <n v="0.16"/>
    <n v="7.0000000000000007E-2"/>
    <n v="0.04"/>
    <n v="0.375"/>
    <x v="0"/>
    <s v="R 3"/>
    <n v="44625"/>
    <n v="49875"/>
    <n v="5250"/>
    <n v="1968.75"/>
    <n v="46593.75"/>
    <n v="15375.9375"/>
    <n v="51093.75"/>
    <n v="54093.75"/>
    <n v="5451468.75"/>
    <n v="5977968.75"/>
    <n v="6328968.75"/>
    <n v="0"/>
    <n v="463374.84375000006"/>
    <n v="1"/>
    <n v="210000"/>
    <n v="210000"/>
    <n v="5661468.75"/>
  </r>
  <r>
    <m/>
    <s v="B"/>
    <x v="15"/>
    <x v="0"/>
    <n v="2"/>
    <n v="1"/>
    <x v="320"/>
    <s v="3 BEDROOM"/>
    <x v="1"/>
    <n v="143.989"/>
    <n v="159.55285663504142"/>
    <n v="176"/>
    <m/>
    <m/>
    <s v="SE"/>
    <s v="CORNER "/>
    <s v="ROAD 18M (VILLAS)"/>
    <s v="SECOND"/>
    <s v="D"/>
    <n v="0.08"/>
    <n v="0.05"/>
    <n v="0.16"/>
    <n v="0.11"/>
    <n v="2.5000000000000001E-2"/>
    <n v="0.42500000000000004"/>
    <x v="0"/>
    <s v="R 8"/>
    <n v="51850"/>
    <n v="57950"/>
    <n v="6100"/>
    <n v="2592.5000000000005"/>
    <n v="54442.5"/>
    <n v="17966.025000000001"/>
    <n v="58942.5"/>
    <n v="61942.5"/>
    <n v="9581880"/>
    <n v="10373880"/>
    <n v="10901880"/>
    <n v="0"/>
    <n v="814459.8"/>
    <n v="2"/>
    <n v="244000"/>
    <n v="244000"/>
    <n v="9825880"/>
  </r>
  <r>
    <m/>
    <s v="B"/>
    <x v="15"/>
    <x v="0"/>
    <n v="2"/>
    <n v="2"/>
    <x v="321"/>
    <s v="3 BEDROOM + LIVING"/>
    <x v="1"/>
    <n v="187.1"/>
    <n v="207.32375026159116"/>
    <n v="228"/>
    <m/>
    <m/>
    <s v="NW"/>
    <s v="CORNER "/>
    <s v="LAKE B-2"/>
    <s v="SECOND"/>
    <s v="E"/>
    <n v="0.13"/>
    <n v="0.05"/>
    <n v="0.53"/>
    <n v="0.11"/>
    <n v="1.4999999999999999E-2"/>
    <n v="0.83499999999999996"/>
    <x v="2"/>
    <s v="R 8"/>
    <n v="51850"/>
    <n v="57950"/>
    <n v="6100"/>
    <n v="5093.5"/>
    <n v="56943.5"/>
    <n v="18791.355"/>
    <n v="61443.5"/>
    <n v="64443.5"/>
    <n v="12983118"/>
    <n v="14009118"/>
    <n v="14693118"/>
    <n v="0"/>
    <n v="1103565.03"/>
    <n v="2"/>
    <n v="244000"/>
    <n v="244000"/>
    <n v="13227118"/>
  </r>
  <r>
    <m/>
    <s v="B"/>
    <x v="15"/>
    <x v="0"/>
    <n v="2"/>
    <n v="3"/>
    <x v="322"/>
    <s v="3 BEDROOM"/>
    <x v="1"/>
    <n v="167.16900000000001"/>
    <n v="185.23839661934761"/>
    <n v="204"/>
    <m/>
    <m/>
    <s v="NW"/>
    <s v="MIDDLE"/>
    <s v="LAKE B-2"/>
    <s v="SECOND"/>
    <s v="E"/>
    <n v="0.13"/>
    <n v="2.5000000000000001E-2"/>
    <n v="0.53"/>
    <n v="0.11"/>
    <n v="1.4999999999999999E-2"/>
    <n v="0.81"/>
    <x v="2"/>
    <s v="R 7"/>
    <n v="50150"/>
    <n v="56050"/>
    <n v="5900"/>
    <n v="4779"/>
    <n v="54929"/>
    <n v="18126.57"/>
    <n v="59429"/>
    <n v="62429"/>
    <n v="11205516"/>
    <n v="12123516"/>
    <n v="12735516"/>
    <n v="0"/>
    <n v="952468.8600000001"/>
    <n v="2"/>
    <n v="236000"/>
    <n v="236000"/>
    <n v="11441516"/>
  </r>
  <r>
    <m/>
    <s v="B"/>
    <x v="15"/>
    <x v="0"/>
    <n v="2"/>
    <n v="4"/>
    <x v="323"/>
    <s v="3 BEDROOM"/>
    <x v="1"/>
    <n v="141.18700000000001"/>
    <n v="156.44798678879354"/>
    <n v="172"/>
    <m/>
    <m/>
    <s v="SE"/>
    <s v="MIDDLE"/>
    <s v="ROAD 18M (VILLAS)"/>
    <s v="SECOND"/>
    <s v="D"/>
    <n v="0.08"/>
    <n v="2.5000000000000001E-2"/>
    <n v="0.16"/>
    <n v="0.11"/>
    <n v="2.5000000000000001E-2"/>
    <n v="0.4"/>
    <x v="0"/>
    <s v="R 5"/>
    <n v="46750.000000000007"/>
    <n v="52250.000000000007"/>
    <n v="5500"/>
    <n v="2200"/>
    <n v="48950.000000000007"/>
    <n v="16153.500000000004"/>
    <n v="53450.000000000007"/>
    <n v="56450.000000000007"/>
    <n v="8419400.0000000019"/>
    <n v="9193400.0000000019"/>
    <n v="9709400.0000000019"/>
    <n v="0"/>
    <n v="715649.00000000023"/>
    <n v="2"/>
    <n v="220000.00000000003"/>
    <n v="220000.00000000003"/>
    <n v="8639400.0000000019"/>
  </r>
  <r>
    <m/>
    <s v="B"/>
    <x v="15"/>
    <x v="0"/>
    <n v="3"/>
    <n v="1"/>
    <x v="324"/>
    <s v="3 BEDROOM"/>
    <x v="1"/>
    <n v="143.89599999999999"/>
    <n v="159.44980420973766"/>
    <n v="176"/>
    <m/>
    <m/>
    <s v="SE"/>
    <s v="CORNER "/>
    <s v="ROAD 18M (VILLAS)"/>
    <s v="THIRD"/>
    <s v="D"/>
    <n v="0.08"/>
    <n v="0.05"/>
    <n v="0.16"/>
    <n v="0.15"/>
    <n v="2.5000000000000001E-2"/>
    <n v="0.46500000000000008"/>
    <x v="0"/>
    <s v="R 11"/>
    <n v="58649.999999999993"/>
    <n v="65550"/>
    <n v="6900.0000000000073"/>
    <n v="3208.5000000000041"/>
    <n v="61858.5"/>
    <n v="20413.305"/>
    <n v="66358.5"/>
    <n v="69358.5"/>
    <n v="10887096"/>
    <n v="11679096"/>
    <n v="12207096"/>
    <n v="0"/>
    <n v="925403.16"/>
    <n v="2"/>
    <n v="276000"/>
    <n v="276000"/>
    <n v="11163096"/>
  </r>
  <r>
    <m/>
    <s v="B"/>
    <x v="15"/>
    <x v="0"/>
    <n v="3"/>
    <n v="2"/>
    <x v="325"/>
    <s v="3 BEDROOM + LIVING"/>
    <x v="1"/>
    <n v="187.20400000000001"/>
    <n v="207.4389916834362"/>
    <n v="228"/>
    <m/>
    <m/>
    <s v="NW"/>
    <s v="CORNER "/>
    <s v="LAKE B-2"/>
    <s v="THIRD"/>
    <s v="E"/>
    <n v="0.13"/>
    <n v="0.05"/>
    <n v="0.53"/>
    <n v="0.15"/>
    <n v="1.4999999999999999E-2"/>
    <n v="0.875"/>
    <x v="2"/>
    <s v="R 9"/>
    <n v="53550"/>
    <n v="59850"/>
    <n v="6300"/>
    <n v="5512.5"/>
    <n v="59062.5"/>
    <n v="19490.625"/>
    <n v="63562.5"/>
    <n v="66562.5"/>
    <n v="13466250"/>
    <n v="14492250"/>
    <n v="15176250"/>
    <n v="0"/>
    <n v="1144631.25"/>
    <n v="2"/>
    <n v="252000"/>
    <n v="252000"/>
    <n v="13718250"/>
  </r>
  <r>
    <m/>
    <s v="B"/>
    <x v="15"/>
    <x v="0"/>
    <n v="3"/>
    <n v="3"/>
    <x v="326"/>
    <s v="3 BEDROOM"/>
    <x v="1"/>
    <n v="164.417"/>
    <n v="182.18893130283288"/>
    <n v="201"/>
    <m/>
    <m/>
    <s v="NW"/>
    <s v="MIDDLE"/>
    <s v="LAKE B-2"/>
    <s v="THIRD"/>
    <s v="E"/>
    <n v="0.13"/>
    <n v="2.5000000000000001E-2"/>
    <n v="0.53"/>
    <n v="0.15"/>
    <n v="1.4999999999999999E-2"/>
    <n v="0.85000000000000009"/>
    <x v="2"/>
    <s v="R 8"/>
    <n v="51850"/>
    <n v="57950"/>
    <n v="6100"/>
    <n v="5185.0000000000009"/>
    <n v="57035"/>
    <n v="18821.55"/>
    <n v="61535"/>
    <n v="64535"/>
    <n v="11464035"/>
    <n v="12368535"/>
    <n v="12971535"/>
    <n v="0"/>
    <n v="974442.97500000009"/>
    <n v="2"/>
    <n v="244000"/>
    <n v="244000"/>
    <n v="11708035"/>
  </r>
  <r>
    <m/>
    <s v="B"/>
    <x v="15"/>
    <x v="0"/>
    <n v="3"/>
    <n v="4"/>
    <x v="327"/>
    <s v="3 BEDROOM"/>
    <x v="1"/>
    <n v="141.07300000000001"/>
    <n v="156.32166446100189"/>
    <n v="172"/>
    <m/>
    <m/>
    <s v="SE"/>
    <s v="MIDDLE"/>
    <s v="ROAD 18M (VILLAS)"/>
    <s v="THIRD"/>
    <s v="D"/>
    <n v="0.08"/>
    <n v="2.5000000000000001E-2"/>
    <n v="0.16"/>
    <n v="0.15"/>
    <n v="2.5000000000000001E-2"/>
    <n v="0.44000000000000006"/>
    <x v="0"/>
    <s v="R 9"/>
    <n v="53550"/>
    <n v="59850"/>
    <n v="6300"/>
    <n v="2772.0000000000005"/>
    <n v="56322"/>
    <n v="18586.260000000002"/>
    <n v="60822"/>
    <n v="63822"/>
    <n v="9687384"/>
    <n v="10461384"/>
    <n v="10977384"/>
    <n v="0"/>
    <n v="823427.64"/>
    <n v="2"/>
    <n v="252000"/>
    <n v="252000"/>
    <n v="9939384"/>
  </r>
  <r>
    <m/>
    <s v="B"/>
    <x v="15"/>
    <x v="0"/>
    <n v="4"/>
    <n v="1"/>
    <x v="328"/>
    <s v="3 BEDROOM"/>
    <x v="1"/>
    <n v="141.929"/>
    <n v="157.27019001003407"/>
    <n v="173"/>
    <m/>
    <m/>
    <s v="SE"/>
    <s v="CORNER "/>
    <s v="ROAD 18M (VILLAS)"/>
    <s v="FORTH"/>
    <s v="D"/>
    <n v="0.08"/>
    <n v="0.05"/>
    <n v="0.16"/>
    <n v="0.06"/>
    <n v="2.5000000000000001E-2"/>
    <n v="0.37500000000000006"/>
    <x v="0"/>
    <s v="R 3"/>
    <n v="44625"/>
    <n v="49875"/>
    <n v="5250"/>
    <n v="1968.7500000000002"/>
    <n v="46593.75"/>
    <n v="15375.9375"/>
    <n v="51093.75"/>
    <n v="54093.75"/>
    <n v="8060718.75"/>
    <n v="8839218.75"/>
    <n v="9358218.75"/>
    <n v="0"/>
    <n v="685161.09375"/>
    <n v="2"/>
    <n v="210000"/>
    <n v="210000"/>
    <n v="8270718.75"/>
  </r>
  <r>
    <m/>
    <s v="B"/>
    <x v="15"/>
    <x v="0"/>
    <n v="4"/>
    <n v="2"/>
    <x v="329"/>
    <s v="3 BEDROOM + LIVING"/>
    <x v="1"/>
    <n v="182.36099999999999"/>
    <n v="202.07250893347955"/>
    <n v="222"/>
    <m/>
    <m/>
    <s v="NW"/>
    <s v="CORNER "/>
    <s v="LAKE B-2"/>
    <s v="FORTH"/>
    <s v="E"/>
    <n v="0.13"/>
    <n v="0.05"/>
    <n v="0.53"/>
    <n v="0.06"/>
    <n v="1.4999999999999999E-2"/>
    <n v="0.78500000000000003"/>
    <x v="2"/>
    <s v="R 4"/>
    <n v="45687.5"/>
    <n v="51062.5"/>
    <n v="5375"/>
    <n v="4219.375"/>
    <n v="49906.875"/>
    <n v="16469.268749999999"/>
    <n v="54406.875"/>
    <n v="57406.875"/>
    <n v="11079326.25"/>
    <n v="12078326.25"/>
    <n v="12744326.25"/>
    <n v="0"/>
    <n v="941742.73125000007"/>
    <n v="2"/>
    <n v="215000"/>
    <n v="215000"/>
    <n v="11294326.25"/>
  </r>
  <r>
    <m/>
    <s v="B"/>
    <x v="15"/>
    <x v="0"/>
    <n v="4"/>
    <n v="3"/>
    <x v="330"/>
    <s v="3 BEDROOM"/>
    <x v="1"/>
    <n v="162.44399999999999"/>
    <n v="180.00266855956127"/>
    <n v="198"/>
    <m/>
    <m/>
    <s v="NW"/>
    <s v="MIDDLE"/>
    <s v="LAKE B-2"/>
    <s v="FORTH"/>
    <s v="E"/>
    <n v="0.13"/>
    <n v="2.5000000000000001E-2"/>
    <n v="0.53"/>
    <n v="0.06"/>
    <n v="1.4999999999999999E-2"/>
    <n v="0.76000000000000012"/>
    <x v="2"/>
    <s v="R 2"/>
    <n v="43562.499999999993"/>
    <n v="48687.499999999993"/>
    <n v="5125"/>
    <n v="3895.0000000000005"/>
    <n v="47457.499999999993"/>
    <n v="15660.974999999999"/>
    <n v="51957.499999999993"/>
    <n v="54957.499999999993"/>
    <n v="9396584.9999999981"/>
    <n v="10287584.999999998"/>
    <n v="10881584.999999998"/>
    <n v="0"/>
    <n v="798709.72499999986"/>
    <n v="2"/>
    <n v="204999.99999999997"/>
    <n v="204999.99999999997"/>
    <n v="9601584.9999999981"/>
  </r>
  <r>
    <m/>
    <s v="B"/>
    <x v="15"/>
    <x v="0"/>
    <n v="4"/>
    <n v="4"/>
    <x v="331"/>
    <s v="3 BEDROOM"/>
    <x v="1"/>
    <n v="139.12700000000001"/>
    <n v="154.16532016378619"/>
    <n v="170"/>
    <m/>
    <m/>
    <s v="SE"/>
    <s v="MIDDLE"/>
    <s v="ROAD 18M (VILLAS)"/>
    <s v="FORTH"/>
    <s v="D"/>
    <n v="0.08"/>
    <n v="2.5000000000000001E-2"/>
    <n v="0.16"/>
    <n v="0.06"/>
    <n v="2.5000000000000001E-2"/>
    <n v="0.35000000000000003"/>
    <x v="0"/>
    <s v="R 1"/>
    <n v="42500"/>
    <n v="47500"/>
    <n v="5000"/>
    <n v="1750.0000000000002"/>
    <n v="44250"/>
    <n v="14602.5"/>
    <n v="48750"/>
    <n v="51750"/>
    <n v="7522500"/>
    <n v="8287500"/>
    <n v="8797500"/>
    <n v="0"/>
    <n v="639412.5"/>
    <n v="2"/>
    <n v="200000"/>
    <n v="200000"/>
    <n v="7722500"/>
  </r>
  <r>
    <s v="B3"/>
    <s v="B"/>
    <x v="16"/>
    <x v="0"/>
    <n v="0"/>
    <n v="1"/>
    <x v="332"/>
    <s v="2 BEDROOM"/>
    <x v="1"/>
    <n v="95.254000000000005"/>
    <n v="105.53950812408786"/>
    <n v="116"/>
    <n v="42.259599999999999"/>
    <m/>
    <s v="NE"/>
    <s v="MIDDLE"/>
    <s v="SEMI LAKE D"/>
    <s v="GROUND"/>
    <s v="B"/>
    <n v="0.15"/>
    <n v="2.5000000000000001E-2"/>
    <n v="0.32250000000000001"/>
    <n v="0.05"/>
    <n v="0.04"/>
    <n v="0.58750000000000002"/>
    <x v="1"/>
    <s v="R 2"/>
    <n v="43562.499999999993"/>
    <n v="48687.499999999993"/>
    <n v="5125"/>
    <n v="3010.9375"/>
    <n v="46573.437499999993"/>
    <n v="15369.234374999998"/>
    <n v="51073.437499999993"/>
    <n v="54073.437499999993"/>
    <n v="5402518.7499999991"/>
    <n v="5924518.7499999991"/>
    <n v="6272518.7499999991"/>
    <n v="649497.69699374994"/>
    <n v="514421.39799446869"/>
    <n v="1"/>
    <n v="204999.99999999997"/>
    <n v="204999.99999999997"/>
    <n v="6257016.4469937487"/>
  </r>
  <r>
    <m/>
    <s v="B"/>
    <x v="16"/>
    <x v="0"/>
    <n v="0"/>
    <n v="2"/>
    <x v="333"/>
    <s v="3 BEDROOM"/>
    <x v="1"/>
    <n v="162.82599999999999"/>
    <n v="180.40791935050211"/>
    <n v="199"/>
    <n v="77.610299999999995"/>
    <m/>
    <s v="SW"/>
    <s v="MIDDLE"/>
    <s v="LAKE B-2"/>
    <s v="GROUND"/>
    <s v="E"/>
    <n v="0.06"/>
    <n v="2.5000000000000001E-2"/>
    <n v="0.53"/>
    <n v="0.05"/>
    <n v="1.4999999999999999E-2"/>
    <n v="0.68"/>
    <x v="1"/>
    <s v="R 7"/>
    <n v="50150"/>
    <n v="56050"/>
    <n v="5900"/>
    <n v="4012.0000000000005"/>
    <n v="54162"/>
    <n v="17873.46"/>
    <n v="58662"/>
    <n v="61662"/>
    <n v="10778238"/>
    <n v="11673738"/>
    <n v="12270738"/>
    <n v="1387164.5926379999"/>
    <n v="1034059.2203742302"/>
    <n v="2"/>
    <n v="236000"/>
    <n v="236000"/>
    <n v="12401402.592638001"/>
  </r>
  <r>
    <m/>
    <s v="B"/>
    <x v="16"/>
    <x v="0"/>
    <n v="0"/>
    <n v="3"/>
    <x v="334"/>
    <s v="3 BEDROOM + LIVING"/>
    <x v="1"/>
    <n v="183.887"/>
    <n v="203.74308197465874"/>
    <n v="224"/>
    <n v="61.527700000000003"/>
    <m/>
    <s v="SW"/>
    <s v="CORNER "/>
    <s v="LAKE B-2"/>
    <s v="GROUND"/>
    <s v="E"/>
    <n v="0.06"/>
    <n v="0.05"/>
    <n v="0.53"/>
    <n v="0.05"/>
    <n v="1.4999999999999999E-2"/>
    <n v="0.70500000000000007"/>
    <x v="1"/>
    <s v="R 10"/>
    <n v="56100"/>
    <n v="62700"/>
    <n v="6600"/>
    <n v="4653.0000000000009"/>
    <n v="60753"/>
    <n v="20048.490000000002"/>
    <n v="65253"/>
    <n v="68253"/>
    <n v="13608672"/>
    <n v="14616672"/>
    <n v="15288672"/>
    <n v="1233537.4781730003"/>
    <n v="1261587.8056447052"/>
    <n v="2"/>
    <n v="264000"/>
    <n v="264000"/>
    <n v="15106209.478173001"/>
  </r>
  <r>
    <m/>
    <s v="B"/>
    <x v="16"/>
    <x v="0"/>
    <n v="0"/>
    <n v="4"/>
    <x v="335"/>
    <s v="3 BEDROOM"/>
    <x v="1"/>
    <n v="147.54499999999999"/>
    <n v="163.47687998581205"/>
    <n v="180"/>
    <n v="51.884399999999999"/>
    <m/>
    <s v="NE"/>
    <s v="CORNER "/>
    <s v="LAKE D"/>
    <s v="GROUND"/>
    <s v="D"/>
    <n v="0.15"/>
    <n v="0.05"/>
    <n v="0.43"/>
    <n v="0.05"/>
    <n v="2.5000000000000001E-2"/>
    <n v="0.70500000000000007"/>
    <x v="1"/>
    <s v="R 10"/>
    <n v="56100"/>
    <n v="62700"/>
    <n v="6600"/>
    <n v="4653.0000000000009"/>
    <n v="60753"/>
    <n v="20048.490000000002"/>
    <n v="65253"/>
    <n v="68253"/>
    <n v="10935540"/>
    <n v="11745540"/>
    <n v="12285540"/>
    <n v="1040203.8745560001"/>
    <n v="1017938.22933726"/>
    <n v="2"/>
    <n v="264000"/>
    <n v="264000"/>
    <n v="12239743.874555999"/>
  </r>
  <r>
    <m/>
    <s v="B"/>
    <x v="16"/>
    <x v="0"/>
    <n v="1"/>
    <n v="1"/>
    <x v="336"/>
    <s v="2 BEDROOM"/>
    <x v="1"/>
    <n v="96.311000000000007"/>
    <n v="106.71064277551626"/>
    <n v="117"/>
    <m/>
    <m/>
    <s v="NE"/>
    <s v="MIDDLE"/>
    <s v="SEMI LAKE D"/>
    <s v="FIRST"/>
    <s v="B"/>
    <n v="0.15"/>
    <n v="2.5000000000000001E-2"/>
    <n v="0.32250000000000001"/>
    <n v="7.0000000000000007E-2"/>
    <n v="0.04"/>
    <n v="0.60750000000000004"/>
    <x v="1"/>
    <s v="R 2"/>
    <n v="43562.499999999993"/>
    <n v="48687.499999999993"/>
    <n v="5125"/>
    <n v="3113.4375"/>
    <n v="46675.937499999993"/>
    <n v="15403.059374999999"/>
    <n v="51175.937499999993"/>
    <n v="54175.937499999993"/>
    <n v="5461084.6874999991"/>
    <n v="5987584.6874999991"/>
    <n v="6338584.6874999991"/>
    <n v="0"/>
    <n v="464192.19843749993"/>
    <n v="1"/>
    <n v="204999.99999999997"/>
    <n v="204999.99999999997"/>
    <n v="5666084.6874999991"/>
  </r>
  <r>
    <m/>
    <s v="B"/>
    <x v="16"/>
    <x v="0"/>
    <n v="1"/>
    <n v="2"/>
    <x v="337"/>
    <s v="3 BEDROOM"/>
    <x v="1"/>
    <n v="162.57599999999999"/>
    <n v="180.13092439983313"/>
    <n v="198"/>
    <m/>
    <m/>
    <s v="SW"/>
    <s v="MIDDLE"/>
    <s v="LAKE B-2"/>
    <s v="FIRST"/>
    <s v="E"/>
    <n v="0.06"/>
    <n v="2.5000000000000001E-2"/>
    <n v="0.53"/>
    <n v="7.0000000000000007E-2"/>
    <n v="1.4999999999999999E-2"/>
    <n v="0.70000000000000007"/>
    <x v="1"/>
    <s v="R 9"/>
    <n v="53550"/>
    <n v="59850"/>
    <n v="6300"/>
    <n v="4410"/>
    <n v="57960"/>
    <n v="19126.8"/>
    <n v="62460"/>
    <n v="65460"/>
    <n v="11476080"/>
    <n v="12367080"/>
    <n v="12961080"/>
    <n v="0"/>
    <n v="975466.8"/>
    <n v="2"/>
    <n v="252000"/>
    <n v="252000"/>
    <n v="11728080"/>
  </r>
  <r>
    <m/>
    <s v="B"/>
    <x v="16"/>
    <x v="0"/>
    <n v="1"/>
    <n v="3"/>
    <x v="338"/>
    <s v="3 BEDROOM + LIVING"/>
    <x v="1"/>
    <n v="183.637"/>
    <n v="203.46608702398976"/>
    <n v="224"/>
    <m/>
    <m/>
    <s v="SW"/>
    <s v="CORNER "/>
    <s v="LAKE B-2"/>
    <s v="FIRST"/>
    <s v="E"/>
    <n v="0.06"/>
    <n v="0.05"/>
    <n v="0.53"/>
    <n v="7.0000000000000007E-2"/>
    <n v="1.4999999999999999E-2"/>
    <n v="0.72499999999999998"/>
    <x v="1"/>
    <s v="R 12"/>
    <n v="61625"/>
    <n v="68875"/>
    <n v="7250"/>
    <n v="5256.25"/>
    <n v="66881.25"/>
    <n v="22070.8125"/>
    <n v="71381.25"/>
    <n v="74381.25"/>
    <n v="14981400"/>
    <n v="15989400"/>
    <n v="16661400"/>
    <n v="0"/>
    <n v="1273419"/>
    <n v="2"/>
    <n v="290000"/>
    <n v="290000"/>
    <n v="15271400"/>
  </r>
  <r>
    <m/>
    <s v="B"/>
    <x v="16"/>
    <x v="0"/>
    <n v="1"/>
    <n v="4"/>
    <x v="339"/>
    <s v="3 BEDROOM"/>
    <x v="1"/>
    <n v="141.66300000000001"/>
    <n v="156.95974278647259"/>
    <n v="173"/>
    <m/>
    <m/>
    <s v="NE"/>
    <s v="CORNER "/>
    <s v="LAKE D"/>
    <s v="FIRST"/>
    <s v="D"/>
    <n v="0.15"/>
    <n v="0.05"/>
    <n v="0.43"/>
    <n v="7.0000000000000007E-2"/>
    <n v="2.5000000000000001E-2"/>
    <n v="0.72499999999999998"/>
    <x v="1"/>
    <s v="R 12"/>
    <n v="61625"/>
    <n v="68875"/>
    <n v="7250"/>
    <n v="5256.25"/>
    <n v="66881.25"/>
    <n v="22070.8125"/>
    <n v="71381.25"/>
    <n v="74381.25"/>
    <n v="11570456.25"/>
    <n v="12348956.25"/>
    <n v="12867956.25"/>
    <n v="0"/>
    <n v="983488.78125000012"/>
    <n v="2"/>
    <n v="290000"/>
    <n v="290000"/>
    <n v="11860456.25"/>
  </r>
  <r>
    <m/>
    <s v="B"/>
    <x v="16"/>
    <x v="0"/>
    <n v="2"/>
    <n v="1"/>
    <x v="340"/>
    <s v="3 BEDROOM"/>
    <x v="1"/>
    <n v="141.22499999999999"/>
    <n v="156.47444763290054"/>
    <n v="172"/>
    <m/>
    <m/>
    <s v="NE"/>
    <s v="MIDDLE"/>
    <s v="SEMI LAKE D"/>
    <s v="SECOND"/>
    <s v="D"/>
    <n v="0.15"/>
    <n v="2.5000000000000001E-2"/>
    <n v="0.32250000000000001"/>
    <n v="0.11"/>
    <n v="2.5000000000000001E-2"/>
    <n v="0.63250000000000006"/>
    <x v="1"/>
    <s v="R 4"/>
    <n v="45687.5"/>
    <n v="51062.5"/>
    <n v="5375"/>
    <n v="3399.6875000000005"/>
    <n v="49087.1875"/>
    <n v="16198.771875"/>
    <n v="53587.1875"/>
    <n v="56587.1875"/>
    <n v="8442996.25"/>
    <n v="9216996.25"/>
    <n v="9732996.25"/>
    <n v="0"/>
    <n v="717654.68125000002"/>
    <n v="2"/>
    <n v="215000"/>
    <n v="215000"/>
    <n v="8657996.25"/>
  </r>
  <r>
    <m/>
    <s v="B"/>
    <x v="16"/>
    <x v="0"/>
    <n v="2"/>
    <n v="2"/>
    <x v="341"/>
    <s v="3 BEDROOM"/>
    <x v="1"/>
    <n v="167.214"/>
    <n v="185.26973472464385"/>
    <n v="204"/>
    <m/>
    <m/>
    <s v="SW"/>
    <s v="MIDDLE"/>
    <s v="LAKE B-2"/>
    <s v="SECOND"/>
    <s v="E"/>
    <n v="0.06"/>
    <n v="2.5000000000000001E-2"/>
    <n v="0.53"/>
    <n v="0.11"/>
    <n v="1.4999999999999999E-2"/>
    <n v="0.74"/>
    <x v="2"/>
    <s v="R 1"/>
    <n v="42500"/>
    <n v="47500"/>
    <n v="5000"/>
    <n v="3700"/>
    <n v="46200"/>
    <n v="15246"/>
    <n v="50700"/>
    <n v="53700"/>
    <n v="9424800"/>
    <n v="10342800"/>
    <n v="10954800"/>
    <n v="0"/>
    <n v="801108"/>
    <n v="2"/>
    <n v="200000"/>
    <n v="200000"/>
    <n v="9624800"/>
  </r>
  <r>
    <m/>
    <s v="B"/>
    <x v="16"/>
    <x v="0"/>
    <n v="2"/>
    <n v="3"/>
    <x v="342"/>
    <s v="3 BEDROOM + LIVING"/>
    <x v="1"/>
    <n v="187.10300000000001"/>
    <n v="207.30634502006436"/>
    <n v="228"/>
    <m/>
    <m/>
    <s v="SW"/>
    <s v="CORNER "/>
    <s v="LAKE B-2"/>
    <s v="SECOND"/>
    <s v="E"/>
    <n v="0.06"/>
    <n v="0.05"/>
    <n v="0.53"/>
    <n v="0.11"/>
    <n v="1.4999999999999999E-2"/>
    <n v="0.76500000000000001"/>
    <x v="2"/>
    <s v="R 3"/>
    <n v="44625"/>
    <n v="49875"/>
    <n v="5250"/>
    <n v="4016.25"/>
    <n v="48641.25"/>
    <n v="16051.612500000001"/>
    <n v="53141.25"/>
    <n v="56141.25"/>
    <n v="11090205"/>
    <n v="12116205"/>
    <n v="12800205"/>
    <n v="0"/>
    <n v="942667.42500000005"/>
    <n v="2"/>
    <n v="210000"/>
    <n v="210000"/>
    <n v="11300205"/>
  </r>
  <r>
    <m/>
    <s v="B"/>
    <x v="16"/>
    <x v="0"/>
    <n v="2"/>
    <n v="4"/>
    <x v="343"/>
    <s v="3 BEDROOM"/>
    <x v="1"/>
    <n v="143.989"/>
    <n v="159.53690380749666"/>
    <n v="176"/>
    <m/>
    <m/>
    <s v="NE"/>
    <s v="CORNER "/>
    <s v="LAKE D"/>
    <s v="SECOND"/>
    <s v="D"/>
    <n v="0.15"/>
    <n v="0.05"/>
    <n v="0.43"/>
    <n v="0.11"/>
    <n v="2.5000000000000001E-2"/>
    <n v="0.76500000000000001"/>
    <x v="2"/>
    <s v="R 3"/>
    <n v="44625"/>
    <n v="49875"/>
    <n v="5250"/>
    <n v="4016.25"/>
    <n v="48641.25"/>
    <n v="16051.612500000001"/>
    <n v="53141.25"/>
    <n v="56141.25"/>
    <n v="8560860"/>
    <n v="9352860"/>
    <n v="9880860"/>
    <n v="0"/>
    <n v="727673.10000000009"/>
    <n v="2"/>
    <n v="210000"/>
    <n v="210000"/>
    <n v="8770860"/>
  </r>
  <r>
    <m/>
    <s v="B"/>
    <x v="16"/>
    <x v="0"/>
    <n v="3"/>
    <n v="1"/>
    <x v="344"/>
    <s v="3 BEDROOM"/>
    <x v="1"/>
    <n v="141.131"/>
    <n v="156.37029753144901"/>
    <n v="172"/>
    <m/>
    <m/>
    <s v="NE"/>
    <s v="MIDDLE"/>
    <s v="SEMI LAKE D"/>
    <s v="THIRD"/>
    <s v="D"/>
    <n v="0.15"/>
    <n v="2.5000000000000001E-2"/>
    <n v="0.32250000000000001"/>
    <n v="0.15"/>
    <n v="2.5000000000000001E-2"/>
    <n v="0.67249999999999999"/>
    <x v="1"/>
    <s v="R 6"/>
    <n v="48450.000000000007"/>
    <n v="54150.000000000007"/>
    <n v="5700"/>
    <n v="3833.25"/>
    <n v="52283.250000000007"/>
    <n v="17253.472500000003"/>
    <n v="56783.250000000007"/>
    <n v="59783.250000000007"/>
    <n v="8992719.0000000019"/>
    <n v="9766719.0000000019"/>
    <n v="10282719.000000002"/>
    <n v="0"/>
    <n v="764381.11500000022"/>
    <n v="2"/>
    <n v="228000.00000000003"/>
    <n v="228000.00000000003"/>
    <n v="9220719.0000000019"/>
  </r>
  <r>
    <m/>
    <s v="B"/>
    <x v="16"/>
    <x v="0"/>
    <n v="3"/>
    <n v="2"/>
    <x v="345"/>
    <s v="3 BEDROOM"/>
    <x v="1"/>
    <n v="164.43600000000001"/>
    <n v="182.19176683281029"/>
    <n v="201"/>
    <m/>
    <m/>
    <s v="SW"/>
    <s v="MIDDLE"/>
    <s v="LAKE B-2"/>
    <s v="THIRD"/>
    <s v="E"/>
    <n v="0.06"/>
    <n v="2.5000000000000001E-2"/>
    <n v="0.53"/>
    <n v="0.15"/>
    <n v="1.4999999999999999E-2"/>
    <n v="0.78"/>
    <x v="2"/>
    <s v="R 4"/>
    <n v="45687.5"/>
    <n v="51062.5"/>
    <n v="5375"/>
    <n v="4192.5"/>
    <n v="49880"/>
    <n v="16460.400000000001"/>
    <n v="54380"/>
    <n v="57380"/>
    <n v="10025880"/>
    <n v="10930380"/>
    <n v="11533380"/>
    <n v="0"/>
    <n v="852199.8"/>
    <n v="2"/>
    <n v="215000"/>
    <n v="215000"/>
    <n v="10240880"/>
  </r>
  <r>
    <m/>
    <s v="B"/>
    <x v="16"/>
    <x v="0"/>
    <n v="3"/>
    <n v="3"/>
    <x v="346"/>
    <s v="3 BEDROOM + LIVING"/>
    <x v="1"/>
    <n v="187.20400000000001"/>
    <n v="207.41825098013462"/>
    <n v="228"/>
    <m/>
    <m/>
    <s v="SW"/>
    <s v="CORNER "/>
    <s v="LAKE B-2"/>
    <s v="THIRD"/>
    <s v="E"/>
    <n v="0.06"/>
    <n v="0.05"/>
    <n v="0.53"/>
    <n v="0.15"/>
    <n v="1.4999999999999999E-2"/>
    <n v="0.80500000000000005"/>
    <x v="2"/>
    <s v="R 6"/>
    <n v="48450.000000000007"/>
    <n v="54150.000000000007"/>
    <n v="5700"/>
    <n v="4588.5"/>
    <n v="53038.500000000007"/>
    <n v="17502.705000000002"/>
    <n v="57538.500000000007"/>
    <n v="60538.500000000007"/>
    <n v="12092778.000000002"/>
    <n v="13118778.000000002"/>
    <n v="13802778.000000002"/>
    <n v="0"/>
    <n v="1027886.1300000002"/>
    <n v="2"/>
    <n v="228000.00000000003"/>
    <n v="228000.00000000003"/>
    <n v="12320778.000000002"/>
  </r>
  <r>
    <m/>
    <s v="B"/>
    <x v="16"/>
    <x v="0"/>
    <n v="3"/>
    <n v="4"/>
    <x v="347"/>
    <s v="3 BEDROOM"/>
    <x v="1"/>
    <n v="143.911"/>
    <n v="159.45048138288794"/>
    <n v="176"/>
    <m/>
    <m/>
    <s v="NE"/>
    <s v="CORNER "/>
    <s v="LAKE D"/>
    <s v="THIRD"/>
    <s v="D"/>
    <n v="0.15"/>
    <n v="0.05"/>
    <n v="0.43"/>
    <n v="0.15"/>
    <n v="2.5000000000000001E-2"/>
    <n v="0.80500000000000005"/>
    <x v="2"/>
    <s v="R 6"/>
    <n v="48450.000000000007"/>
    <n v="54150.000000000007"/>
    <n v="5700"/>
    <n v="4588.5"/>
    <n v="53038.500000000007"/>
    <n v="17502.705000000002"/>
    <n v="57538.500000000007"/>
    <n v="60538.500000000007"/>
    <n v="9334776.0000000019"/>
    <n v="10126776.000000002"/>
    <n v="10654776.000000002"/>
    <n v="0"/>
    <n v="793455.9600000002"/>
    <n v="2"/>
    <n v="228000.00000000003"/>
    <n v="228000.00000000003"/>
    <n v="9562776.0000000019"/>
  </r>
  <r>
    <m/>
    <s v="B"/>
    <x v="16"/>
    <x v="0"/>
    <n v="4"/>
    <n v="1"/>
    <x v="348"/>
    <s v="3 BEDROOM"/>
    <x v="1"/>
    <n v="139.16499999999999"/>
    <n v="154.19200923938823"/>
    <n v="170"/>
    <m/>
    <m/>
    <s v="NE"/>
    <s v="MIDDLE"/>
    <s v="SEMI LAKE D"/>
    <s v="FORTH"/>
    <s v="D"/>
    <n v="0.15"/>
    <n v="2.5000000000000001E-2"/>
    <n v="0.32250000000000001"/>
    <n v="0.06"/>
    <n v="2.5000000000000001E-2"/>
    <n v="0.58250000000000002"/>
    <x v="1"/>
    <s v="R 1"/>
    <n v="42500"/>
    <n v="47500"/>
    <n v="5000"/>
    <n v="2912.5"/>
    <n v="45412.5"/>
    <n v="14986.125"/>
    <n v="49912.5"/>
    <n v="52912.5"/>
    <n v="7720125"/>
    <n v="8485125"/>
    <n v="8995125"/>
    <n v="0"/>
    <n v="656210.625"/>
    <n v="2"/>
    <n v="200000"/>
    <n v="200000"/>
    <n v="7920125"/>
  </r>
  <r>
    <m/>
    <s v="B"/>
    <x v="16"/>
    <x v="0"/>
    <n v="4"/>
    <n v="2"/>
    <x v="349"/>
    <s v="3 BEDROOM"/>
    <x v="1"/>
    <n v="162.49"/>
    <n v="180.03563813680304"/>
    <n v="198"/>
    <m/>
    <m/>
    <s v="SW"/>
    <s v="MIDDLE"/>
    <s v="LAKE B-2"/>
    <s v="FORTH"/>
    <s v="E"/>
    <n v="0.06"/>
    <n v="2.5000000000000001E-2"/>
    <n v="0.53"/>
    <n v="0.06"/>
    <n v="1.4999999999999999E-2"/>
    <n v="0.69000000000000006"/>
    <x v="1"/>
    <s v="R 8"/>
    <n v="51850"/>
    <n v="57950"/>
    <n v="6100"/>
    <n v="4209"/>
    <n v="56059"/>
    <n v="18499.47"/>
    <n v="60559"/>
    <n v="63559"/>
    <n v="11099682"/>
    <n v="11990682"/>
    <n v="12584682"/>
    <n v="0"/>
    <n v="943472.97000000009"/>
    <n v="2"/>
    <n v="244000"/>
    <n v="244000"/>
    <n v="11343682"/>
  </r>
  <r>
    <m/>
    <s v="B"/>
    <x v="16"/>
    <x v="0"/>
    <n v="4"/>
    <n v="3"/>
    <x v="350"/>
    <s v="3 BEDROOM + LIVING"/>
    <x v="1"/>
    <n v="182.357"/>
    <n v="202.04787287656464"/>
    <n v="222"/>
    <m/>
    <m/>
    <s v="SW"/>
    <s v="CORNER "/>
    <s v="LAKE B-2"/>
    <s v="FORTH"/>
    <s v="E"/>
    <n v="0.06"/>
    <n v="0.05"/>
    <n v="0.53"/>
    <n v="0.06"/>
    <n v="1.4999999999999999E-2"/>
    <n v="0.71499999999999997"/>
    <x v="1"/>
    <s v="R 11"/>
    <n v="58649.999999999993"/>
    <n v="65550"/>
    <n v="6900.0000000000073"/>
    <n v="4933.5000000000045"/>
    <n v="63583.5"/>
    <n v="20982.555"/>
    <n v="68083.5"/>
    <n v="71083.5"/>
    <n v="14115537"/>
    <n v="15114537"/>
    <n v="15780537"/>
    <n v="0"/>
    <n v="1199820.645"/>
    <n v="2"/>
    <n v="276000"/>
    <n v="276000"/>
    <n v="14391537"/>
  </r>
  <r>
    <m/>
    <s v="B"/>
    <x v="16"/>
    <x v="0"/>
    <n v="4"/>
    <n v="4"/>
    <x v="351"/>
    <s v="3 BEDROOM"/>
    <x v="1"/>
    <n v="141.929"/>
    <n v="157.25446541398435"/>
    <n v="173"/>
    <m/>
    <m/>
    <s v="NE"/>
    <s v="CORNER "/>
    <s v="LAKE D"/>
    <s v="FORTH"/>
    <s v="D"/>
    <n v="0.15"/>
    <n v="0.05"/>
    <n v="0.43"/>
    <n v="0.06"/>
    <n v="2.5000000000000001E-2"/>
    <n v="0.71499999999999997"/>
    <x v="1"/>
    <s v="R 11"/>
    <n v="58649.999999999993"/>
    <n v="65550"/>
    <n v="6900.0000000000073"/>
    <n v="4933.5000000000045"/>
    <n v="63583.5"/>
    <n v="20982.555"/>
    <n v="68083.5"/>
    <n v="71083.5"/>
    <n v="10999945.5"/>
    <n v="11778445.5"/>
    <n v="12297445.5"/>
    <n v="0"/>
    <n v="934995.36750000005"/>
    <n v="2"/>
    <n v="276000"/>
    <n v="276000"/>
    <n v="11275945.5"/>
  </r>
  <r>
    <s v="B3"/>
    <s v="B"/>
    <x v="17"/>
    <x v="0"/>
    <n v="0"/>
    <n v="1"/>
    <x v="352"/>
    <s v="3 BEDROOM"/>
    <x v="1"/>
    <n v="141.82499999999999"/>
    <n v="159.04192828545919"/>
    <n v="173"/>
    <n v="49.875"/>
    <m/>
    <s v="NE"/>
    <s v="MIDDLE"/>
    <s v="ROAD 18M (BUILDINGS)"/>
    <s v="GROUND"/>
    <s v="D"/>
    <n v="0.15"/>
    <n v="2.5000000000000001E-2"/>
    <n v="0.15"/>
    <n v="0.05"/>
    <n v="2.5000000000000001E-2"/>
    <n v="0.39999999999999997"/>
    <x v="0"/>
    <s v="R 5"/>
    <n v="46750.000000000007"/>
    <n v="52250.000000000007"/>
    <n v="5500"/>
    <n v="2200"/>
    <n v="48950.000000000007"/>
    <n v="16153.500000000004"/>
    <n v="53450.000000000007"/>
    <n v="56450.000000000007"/>
    <n v="8468350.0000000019"/>
    <n v="9246850.0000000019"/>
    <n v="9765850.0000000019"/>
    <n v="805655.81250000023"/>
    <n v="788290.49406250019"/>
    <n v="2"/>
    <n v="220000.00000000003"/>
    <n v="220000.00000000003"/>
    <n v="9494005.8125000019"/>
  </r>
  <r>
    <m/>
    <s v="B"/>
    <x v="17"/>
    <x v="0"/>
    <n v="0"/>
    <n v="2"/>
    <x v="353"/>
    <s v="3 BEDROOM + LIVING (DUPLEX)"/>
    <x v="1"/>
    <n v="142.05600000000001"/>
    <n v="159.30097066468673"/>
    <n v="344"/>
    <n v="97.868200000000002"/>
    <m/>
    <s v="SW"/>
    <s v="MIDDLE"/>
    <s v="LAKE B-2"/>
    <s v="GROUND"/>
    <s v="F"/>
    <n v="0.06"/>
    <n v="2.5000000000000001E-2"/>
    <n v="0.53"/>
    <n v="0.05"/>
    <n v="0"/>
    <n v="0.66500000000000004"/>
    <x v="1"/>
    <s v="R 5"/>
    <n v="46750.000000000007"/>
    <n v="52250.000000000007"/>
    <n v="5500"/>
    <n v="3657.5"/>
    <n v="50407.500000000007"/>
    <n v="16634.475000000002"/>
    <n v="54907.500000000007"/>
    <n v="57907.500000000007"/>
    <n v="17340180.000000004"/>
    <n v="18888180.000000004"/>
    <n v="19920180.000000004"/>
    <n v="1627986.1261950003"/>
    <n v="1612294.1207265754"/>
    <n v="2"/>
    <n v="220000.00000000003"/>
    <n v="220000.00000000003"/>
    <n v="19188166.126195002"/>
  </r>
  <r>
    <m/>
    <s v="B"/>
    <x v="17"/>
    <x v="0"/>
    <n v="0"/>
    <n v="3"/>
    <x v="354"/>
    <s v="3 BEDROOM + LIVING (DUPLEX)"/>
    <x v="1"/>
    <n v="142.197"/>
    <n v="159.45908744161781"/>
    <n v="344"/>
    <n v="97.259299999999996"/>
    <m/>
    <s v="SW"/>
    <s v="MIDDLE"/>
    <s v="LAKE B-2"/>
    <s v="GROUND"/>
    <s v="F"/>
    <n v="0.06"/>
    <n v="2.5000000000000001E-2"/>
    <n v="0.53"/>
    <n v="0.05"/>
    <n v="0"/>
    <n v="0.66500000000000004"/>
    <x v="1"/>
    <s v="R 5"/>
    <n v="46750.000000000007"/>
    <n v="52250.000000000007"/>
    <n v="5500"/>
    <n v="3657.5"/>
    <n v="50407.500000000007"/>
    <n v="16634.475000000002"/>
    <n v="54907.500000000007"/>
    <n v="57907.500000000007"/>
    <n v="17340180.000000004"/>
    <n v="18888180.000000004"/>
    <n v="19920180.000000004"/>
    <n v="1617857.3943675002"/>
    <n v="1611433.178521238"/>
    <n v="2"/>
    <n v="220000.00000000003"/>
    <n v="220000.00000000003"/>
    <n v="19178037.394367505"/>
  </r>
  <r>
    <m/>
    <s v="B"/>
    <x v="17"/>
    <x v="0"/>
    <n v="0"/>
    <n v="4"/>
    <x v="355"/>
    <s v="2 BEDROOM"/>
    <x v="1"/>
    <n v="95.254000000000005"/>
    <n v="106.81741467938045"/>
    <n v="116"/>
    <n v="42.098799999999997"/>
    <m/>
    <s v="NE"/>
    <s v="MIDDLE"/>
    <s v="ROAD 18M (BUILDINGS)"/>
    <s v="GROUND"/>
    <s v="B"/>
    <n v="0.15"/>
    <n v="2.5000000000000001E-2"/>
    <n v="0.15"/>
    <n v="0.05"/>
    <n v="0.04"/>
    <n v="0.41499999999999992"/>
    <x v="0"/>
    <s v="R 6"/>
    <n v="48450.000000000007"/>
    <n v="54150.000000000007"/>
    <n v="5700"/>
    <n v="2365.4999999999995"/>
    <n v="50815.500000000007"/>
    <n v="16769.115000000002"/>
    <n v="55315.500000000007"/>
    <n v="58315.500000000007"/>
    <n v="5894598.0000000009"/>
    <n v="6416598.0000000009"/>
    <n v="6764598.0000000009"/>
    <n v="705959.61856199999"/>
    <n v="561047.39757777005"/>
    <n v="1"/>
    <n v="228000.00000000003"/>
    <n v="228000.00000000003"/>
    <n v="6828557.6185620008"/>
  </r>
  <r>
    <m/>
    <s v="B"/>
    <x v="17"/>
    <x v="0"/>
    <n v="1"/>
    <n v="1"/>
    <x v="356"/>
    <s v="3 BEDROOM"/>
    <x v="1"/>
    <n v="142.977"/>
    <n v="160.33377599485354"/>
    <n v="174"/>
    <m/>
    <m/>
    <s v="NE"/>
    <s v="MIDDLE"/>
    <s v="LAKE F"/>
    <s v="FIRST"/>
    <s v="D"/>
    <n v="0.15"/>
    <n v="2.5000000000000001E-2"/>
    <n v="0.3"/>
    <n v="7.0000000000000007E-2"/>
    <n v="2.5000000000000001E-2"/>
    <n v="0.56999999999999995"/>
    <x v="1"/>
    <s v="R 1"/>
    <n v="42500"/>
    <n v="47500"/>
    <n v="5000"/>
    <n v="2849.9999999999995"/>
    <n v="45350"/>
    <n v="14965.5"/>
    <n v="49850"/>
    <n v="52850"/>
    <n v="7890900"/>
    <n v="8673900"/>
    <n v="9195900"/>
    <n v="0"/>
    <n v="670726.5"/>
    <n v="2"/>
    <n v="200000"/>
    <n v="200000"/>
    <n v="8090900"/>
  </r>
  <r>
    <m/>
    <s v="B"/>
    <x v="17"/>
    <x v="0"/>
    <n v="1"/>
    <n v="4"/>
    <x v="357"/>
    <s v="2 BEDROOM"/>
    <x v="1"/>
    <n v="96.311000000000007"/>
    <n v="108.00272980857298"/>
    <n v="117"/>
    <m/>
    <m/>
    <s v="NE"/>
    <s v="MIDDLE"/>
    <s v="LAKE F"/>
    <s v="FIRST"/>
    <s v="B"/>
    <n v="0.15"/>
    <n v="2.5000000000000001E-2"/>
    <n v="0.3"/>
    <n v="7.0000000000000007E-2"/>
    <n v="0.04"/>
    <n v="0.58499999999999996"/>
    <x v="1"/>
    <s v="R 1"/>
    <n v="42500"/>
    <n v="47500"/>
    <n v="5000"/>
    <n v="2925"/>
    <n v="45425"/>
    <n v="14990.25"/>
    <n v="49925"/>
    <n v="52925"/>
    <n v="5314725"/>
    <n v="5841225"/>
    <n v="6192225"/>
    <n v="0"/>
    <n v="451751.62500000006"/>
    <n v="1"/>
    <n v="200000"/>
    <n v="200000"/>
    <n v="5514725"/>
  </r>
  <r>
    <m/>
    <s v="B"/>
    <x v="17"/>
    <x v="0"/>
    <n v="2"/>
    <n v="1"/>
    <x v="358"/>
    <s v="3 BEDROOM"/>
    <x v="1"/>
    <n v="141.18700000000001"/>
    <n v="158.32647790473564"/>
    <n v="172"/>
    <m/>
    <m/>
    <s v="NE"/>
    <s v="MIDDLE"/>
    <s v="LAKE F"/>
    <s v="SECOND"/>
    <s v="D"/>
    <n v="0.15"/>
    <n v="2.5000000000000001E-2"/>
    <n v="0.3"/>
    <n v="0.11"/>
    <n v="2.5000000000000001E-2"/>
    <n v="0.61"/>
    <x v="1"/>
    <s v="R 2"/>
    <n v="43562.499999999993"/>
    <n v="48687.499999999993"/>
    <n v="5125"/>
    <n v="3126.25"/>
    <n v="46688.749999999993"/>
    <n v="15407.287499999999"/>
    <n v="51188.749999999993"/>
    <n v="54188.749999999993"/>
    <n v="8030464.9999999991"/>
    <n v="8804464.9999999981"/>
    <n v="9320464.9999999981"/>
    <n v="0"/>
    <n v="682589.52500000002"/>
    <n v="2"/>
    <n v="204999.99999999997"/>
    <n v="204999.99999999997"/>
    <n v="8235464.9999999991"/>
  </r>
  <r>
    <m/>
    <s v="B"/>
    <x v="17"/>
    <x v="0"/>
    <n v="2"/>
    <n v="2"/>
    <x v="359"/>
    <s v="3 BEDROOM"/>
    <x v="1"/>
    <n v="141.446"/>
    <n v="158.61691936023314"/>
    <n v="173"/>
    <m/>
    <m/>
    <s v="SW"/>
    <s v="MIDDLE"/>
    <s v="LAKE B-2"/>
    <s v="SECOND"/>
    <s v="D"/>
    <n v="0.06"/>
    <n v="2.5000000000000001E-2"/>
    <n v="0.53"/>
    <n v="0.11"/>
    <n v="2.5000000000000001E-2"/>
    <n v="0.75"/>
    <x v="2"/>
    <s v="R 2"/>
    <n v="43562.499999999993"/>
    <n v="48687.499999999993"/>
    <n v="5125"/>
    <n v="3843.75"/>
    <n v="47406.249999999993"/>
    <n v="15644.062499999998"/>
    <n v="51906.249999999993"/>
    <n v="54906.249999999993"/>
    <n v="8201281.2499999991"/>
    <n v="8979781.2499999981"/>
    <n v="9498781.2499999981"/>
    <n v="0"/>
    <n v="697108.90625"/>
    <n v="2"/>
    <n v="204999.99999999997"/>
    <n v="204999.99999999997"/>
    <n v="8406281.2499999981"/>
  </r>
  <r>
    <m/>
    <s v="B"/>
    <x v="17"/>
    <x v="0"/>
    <n v="2"/>
    <n v="3"/>
    <x v="360"/>
    <s v="3 BEDROOM"/>
    <x v="1"/>
    <n v="141.572"/>
    <n v="158.75821520344815"/>
    <n v="173"/>
    <m/>
    <m/>
    <s v="SW"/>
    <s v="MIDDLE"/>
    <s v="LAKE B-2"/>
    <s v="SECOND"/>
    <s v="D"/>
    <n v="0.06"/>
    <n v="2.5000000000000001E-2"/>
    <n v="0.53"/>
    <n v="0.11"/>
    <n v="2.5000000000000001E-2"/>
    <n v="0.75"/>
    <x v="2"/>
    <s v="R 2"/>
    <n v="43562.499999999993"/>
    <n v="48687.499999999993"/>
    <n v="5125"/>
    <n v="3843.75"/>
    <n v="47406.249999999993"/>
    <n v="15644.062499999998"/>
    <n v="51906.249999999993"/>
    <n v="54906.249999999993"/>
    <n v="8201281.2499999991"/>
    <n v="8979781.2499999981"/>
    <n v="9498781.2499999981"/>
    <n v="0"/>
    <n v="697108.90625"/>
    <n v="2"/>
    <n v="204999.99999999997"/>
    <n v="204999.99999999997"/>
    <n v="8406281.2499999981"/>
  </r>
  <r>
    <m/>
    <s v="B"/>
    <x v="17"/>
    <x v="0"/>
    <n v="2"/>
    <n v="4"/>
    <x v="361"/>
    <s v="3 BEDROOM"/>
    <x v="1"/>
    <n v="141.226"/>
    <n v="158.37021233239741"/>
    <n v="172"/>
    <m/>
    <m/>
    <s v="NE"/>
    <s v="MIDDLE"/>
    <s v="LAKE F"/>
    <s v="SECOND"/>
    <s v="D"/>
    <n v="0.15"/>
    <n v="2.5000000000000001E-2"/>
    <n v="0.3"/>
    <n v="0.11"/>
    <n v="2.5000000000000001E-2"/>
    <n v="0.61"/>
    <x v="1"/>
    <s v="R 2"/>
    <n v="43562.499999999993"/>
    <n v="48687.499999999993"/>
    <n v="5125"/>
    <n v="3126.25"/>
    <n v="46688.749999999993"/>
    <n v="15407.287499999999"/>
    <n v="51188.749999999993"/>
    <n v="54188.749999999993"/>
    <n v="8030464.9999999991"/>
    <n v="8804464.9999999981"/>
    <n v="9320464.9999999981"/>
    <n v="0"/>
    <n v="682589.52500000002"/>
    <n v="2"/>
    <n v="204999.99999999997"/>
    <n v="204999.99999999997"/>
    <n v="8235464.9999999991"/>
  </r>
  <r>
    <m/>
    <s v="B"/>
    <x v="17"/>
    <x v="0"/>
    <n v="3"/>
    <n v="1"/>
    <x v="362"/>
    <s v="3 BEDROOM"/>
    <x v="1"/>
    <n v="141.48599999999999"/>
    <n v="158.66177518347598"/>
    <n v="173"/>
    <m/>
    <m/>
    <s v="NE"/>
    <s v="MIDDLE"/>
    <s v="LAKE F"/>
    <s v="THIRD"/>
    <s v="D"/>
    <n v="0.15"/>
    <n v="2.5000000000000001E-2"/>
    <n v="0.3"/>
    <n v="0.15"/>
    <n v="2.5000000000000001E-2"/>
    <n v="0.65"/>
    <x v="1"/>
    <s v="R 5"/>
    <n v="46750.000000000007"/>
    <n v="52250.000000000007"/>
    <n v="5500"/>
    <n v="3575"/>
    <n v="50325.000000000007"/>
    <n v="16607.250000000004"/>
    <n v="54825.000000000007"/>
    <n v="57825.000000000007"/>
    <n v="8706225.0000000019"/>
    <n v="9484725.0000000019"/>
    <n v="10003725.000000002"/>
    <n v="0"/>
    <n v="740029.12500000023"/>
    <n v="2"/>
    <n v="220000.00000000003"/>
    <n v="220000.00000000003"/>
    <n v="8926225.0000000019"/>
  </r>
  <r>
    <m/>
    <s v="B"/>
    <x v="17"/>
    <x v="0"/>
    <n v="3"/>
    <n v="2"/>
    <x v="363"/>
    <s v="3 BEDROOM"/>
    <x v="1"/>
    <n v="142.25399999999999"/>
    <n v="159.52300698973886"/>
    <n v="174"/>
    <m/>
    <m/>
    <s v="SW"/>
    <s v="MIDDLE"/>
    <s v="LAKE B-2"/>
    <s v="THIRD"/>
    <s v="D"/>
    <n v="0.06"/>
    <n v="2.5000000000000001E-2"/>
    <n v="0.53"/>
    <n v="0.15"/>
    <n v="2.5000000000000001E-2"/>
    <n v="0.79"/>
    <x v="2"/>
    <s v="R 5"/>
    <n v="46750.000000000007"/>
    <n v="52250.000000000007"/>
    <n v="5500"/>
    <n v="4345"/>
    <n v="51095.000000000007"/>
    <n v="16861.350000000002"/>
    <n v="55595.000000000007"/>
    <n v="58595.000000000007"/>
    <n v="8890530.0000000019"/>
    <n v="9673530.0000000019"/>
    <n v="10195530.000000002"/>
    <n v="0"/>
    <n v="755695.05000000016"/>
    <n v="2"/>
    <n v="220000.00000000003"/>
    <n v="220000.00000000003"/>
    <n v="9110530.0000000019"/>
  </r>
  <r>
    <m/>
    <s v="B"/>
    <x v="17"/>
    <x v="0"/>
    <n v="3"/>
    <n v="3"/>
    <x v="364"/>
    <s v="3 BEDROOM"/>
    <x v="1"/>
    <n v="142.37799999999999"/>
    <n v="159.6620600417917"/>
    <n v="174"/>
    <m/>
    <m/>
    <s v="SW"/>
    <s v="MIDDLE"/>
    <s v="LAKE B-2"/>
    <s v="THIRD"/>
    <s v="D"/>
    <n v="0.06"/>
    <n v="2.5000000000000001E-2"/>
    <n v="0.53"/>
    <n v="0.15"/>
    <n v="2.5000000000000001E-2"/>
    <n v="0.79"/>
    <x v="2"/>
    <s v="R 5"/>
    <n v="46750.000000000007"/>
    <n v="52250.000000000007"/>
    <n v="5500"/>
    <n v="4345"/>
    <n v="51095.000000000007"/>
    <n v="16861.350000000002"/>
    <n v="55595.000000000007"/>
    <n v="58595.000000000007"/>
    <n v="8890530.0000000019"/>
    <n v="9673530.0000000019"/>
    <n v="10195530.000000002"/>
    <n v="0"/>
    <n v="755695.05000000016"/>
    <n v="2"/>
    <n v="220000.00000000003"/>
    <n v="220000.00000000003"/>
    <n v="9110530.0000000019"/>
  </r>
  <r>
    <m/>
    <s v="B"/>
    <x v="17"/>
    <x v="0"/>
    <n v="3"/>
    <n v="4"/>
    <x v="365"/>
    <s v="3 BEDROOM"/>
    <x v="1"/>
    <n v="141.52600000000001"/>
    <n v="158.70663100671885"/>
    <n v="173"/>
    <m/>
    <m/>
    <s v="NE"/>
    <s v="MIDDLE"/>
    <s v="LAKE F"/>
    <s v="THIRD"/>
    <s v="D"/>
    <n v="0.15"/>
    <n v="2.5000000000000001E-2"/>
    <n v="0.3"/>
    <n v="0.15"/>
    <n v="2.5000000000000001E-2"/>
    <n v="0.65"/>
    <x v="1"/>
    <s v="R 5"/>
    <n v="46750.000000000007"/>
    <n v="52250.000000000007"/>
    <n v="5500"/>
    <n v="3575"/>
    <n v="50325.000000000007"/>
    <n v="16607.250000000004"/>
    <n v="54825.000000000007"/>
    <n v="57825.000000000007"/>
    <n v="8706225.0000000019"/>
    <n v="9484725.0000000019"/>
    <n v="10003725.000000002"/>
    <n v="0"/>
    <n v="740029.12500000023"/>
    <n v="2"/>
    <n v="220000.00000000003"/>
    <n v="220000.00000000003"/>
    <n v="8926225.0000000019"/>
  </r>
  <r>
    <m/>
    <s v="B"/>
    <x v="17"/>
    <x v="0"/>
    <n v="4"/>
    <n v="1"/>
    <x v="366"/>
    <s v="3 BEDROOM"/>
    <x v="1"/>
    <n v="139.12"/>
    <n v="156.00855323866094"/>
    <n v="170"/>
    <m/>
    <m/>
    <s v="NE"/>
    <s v="MIDDLE"/>
    <s v="LAKE F"/>
    <s v="FORTH"/>
    <s v="D"/>
    <n v="0.15"/>
    <n v="2.5000000000000001E-2"/>
    <n v="0.3"/>
    <n v="0.06"/>
    <n v="2.5000000000000001E-2"/>
    <n v="0.55999999999999994"/>
    <x v="1"/>
    <s v="R 1"/>
    <n v="42500"/>
    <n v="47500"/>
    <n v="5000"/>
    <n v="2799.9999999999995"/>
    <n v="45300"/>
    <n v="14949"/>
    <n v="49800"/>
    <n v="52800"/>
    <n v="7701000"/>
    <n v="8466000"/>
    <n v="8976000"/>
    <n v="0"/>
    <n v="654585"/>
    <n v="2"/>
    <n v="200000"/>
    <n v="200000"/>
    <n v="7901000"/>
  </r>
  <r>
    <m/>
    <s v="B"/>
    <x v="17"/>
    <x v="0"/>
    <n v="4"/>
    <n v="2"/>
    <x v="367"/>
    <s v="3 BEDROOM"/>
    <x v="1"/>
    <n v="141.53399999999999"/>
    <n v="158.71560217136741"/>
    <n v="173"/>
    <m/>
    <m/>
    <s v="SW"/>
    <s v="MIDDLE"/>
    <s v="LAKE B-2"/>
    <s v="FORTH"/>
    <s v="D"/>
    <n v="0.06"/>
    <n v="2.5000000000000001E-2"/>
    <n v="0.53"/>
    <n v="0.06"/>
    <n v="2.5000000000000001E-2"/>
    <n v="0.70000000000000007"/>
    <x v="1"/>
    <s v="R 9"/>
    <n v="53550"/>
    <n v="59850"/>
    <n v="6300"/>
    <n v="4410"/>
    <n v="57960"/>
    <n v="19126.8"/>
    <n v="62460"/>
    <n v="65460"/>
    <n v="10027080"/>
    <n v="10805580"/>
    <n v="11324580"/>
    <n v="0"/>
    <n v="852301.8"/>
    <n v="2"/>
    <n v="252000"/>
    <n v="252000"/>
    <n v="10279080"/>
  </r>
  <r>
    <m/>
    <s v="B"/>
    <x v="17"/>
    <x v="0"/>
    <n v="4"/>
    <n v="3"/>
    <x v="368"/>
    <s v="3 BEDROOM"/>
    <x v="1"/>
    <n v="141.65899999999999"/>
    <n v="158.85577661900135"/>
    <n v="173"/>
    <m/>
    <m/>
    <s v="SW"/>
    <s v="MIDDLE"/>
    <s v="LAKE B-2"/>
    <s v="FORTH"/>
    <s v="D"/>
    <n v="0.06"/>
    <n v="2.5000000000000001E-2"/>
    <n v="0.53"/>
    <n v="0.06"/>
    <n v="2.5000000000000001E-2"/>
    <n v="0.70000000000000007"/>
    <x v="1"/>
    <s v="R 9"/>
    <n v="53550"/>
    <n v="59850"/>
    <n v="6300"/>
    <n v="4410"/>
    <n v="57960"/>
    <n v="19126.8"/>
    <n v="62460"/>
    <n v="65460"/>
    <n v="10027080"/>
    <n v="10805580"/>
    <n v="11324580"/>
    <n v="0"/>
    <n v="852301.8"/>
    <n v="2"/>
    <n v="252000"/>
    <n v="252000"/>
    <n v="10279080"/>
  </r>
  <r>
    <m/>
    <s v="B"/>
    <x v="17"/>
    <x v="0"/>
    <n v="4"/>
    <n v="4"/>
    <x v="369"/>
    <s v="3 BEDROOM"/>
    <x v="1"/>
    <n v="139.31659999999999"/>
    <n v="156.22901960989958"/>
    <n v="170"/>
    <m/>
    <m/>
    <s v="NE"/>
    <s v="MIDDLE"/>
    <s v="LAKE F"/>
    <s v="FORTH"/>
    <s v="D"/>
    <n v="0.15"/>
    <n v="2.5000000000000001E-2"/>
    <n v="0.3"/>
    <n v="0.06"/>
    <n v="2.5000000000000001E-2"/>
    <n v="0.55999999999999994"/>
    <x v="1"/>
    <s v="R 1"/>
    <n v="42500"/>
    <n v="47500"/>
    <n v="5000"/>
    <n v="2799.9999999999995"/>
    <n v="45300"/>
    <n v="14949"/>
    <n v="49800"/>
    <n v="52800"/>
    <n v="7701000"/>
    <n v="8466000"/>
    <n v="8976000"/>
    <n v="0"/>
    <n v="654585"/>
    <n v="2"/>
    <n v="200000"/>
    <n v="200000"/>
    <n v="7901000"/>
  </r>
  <r>
    <s v="B3"/>
    <s v="B"/>
    <x v="18"/>
    <x v="0"/>
    <n v="0"/>
    <n v="1"/>
    <x v="370"/>
    <s v="3 BEDROOM"/>
    <x v="1"/>
    <n v="144.66300000000001"/>
    <n v="160.29970969584483"/>
    <n v="176"/>
    <n v="50.369199999999999"/>
    <m/>
    <s v="NE"/>
    <s v="CORNER "/>
    <s v="LAKE E"/>
    <s v="GROUND"/>
    <s v="D"/>
    <n v="0.15"/>
    <n v="0.05"/>
    <n v="0.43"/>
    <n v="0.05"/>
    <n v="2.5000000000000001E-2"/>
    <n v="0.70500000000000007"/>
    <x v="1"/>
    <s v="R 10"/>
    <n v="56100"/>
    <n v="62700"/>
    <n v="6600"/>
    <n v="4653.0000000000009"/>
    <n v="60753"/>
    <n v="20048.490000000002"/>
    <n v="65253"/>
    <n v="68253"/>
    <n v="10692528"/>
    <n v="11484528"/>
    <n v="12012528"/>
    <n v="1009826.402508"/>
    <n v="994700.12421318004"/>
    <n v="2"/>
    <n v="264000"/>
    <n v="264000"/>
    <n v="11966354.402508"/>
  </r>
  <r>
    <m/>
    <s v="B"/>
    <x v="18"/>
    <x v="0"/>
    <n v="0"/>
    <n v="2"/>
    <x v="371"/>
    <s v="3 BEDROOM + LIVING"/>
    <x v="1"/>
    <n v="183.887"/>
    <n v="203.76345518093646"/>
    <n v="224"/>
    <n v="61.522199999999998"/>
    <m/>
    <s v="SW"/>
    <s v="CORNER "/>
    <s v="LAKE B-2"/>
    <s v="GROUND"/>
    <s v="E"/>
    <n v="0.06"/>
    <n v="0.05"/>
    <n v="0.53"/>
    <n v="0.05"/>
    <n v="1.4999999999999999E-2"/>
    <n v="0.70500000000000007"/>
    <x v="1"/>
    <s v="R 10"/>
    <n v="56100"/>
    <n v="62700"/>
    <n v="6600"/>
    <n v="4653.0000000000009"/>
    <n v="60753"/>
    <n v="20048.490000000002"/>
    <n v="65253"/>
    <n v="68253"/>
    <n v="13608672"/>
    <n v="14616672"/>
    <n v="15288672"/>
    <n v="1233427.211478"/>
    <n v="1261578.43297563"/>
    <n v="2"/>
    <n v="264000"/>
    <n v="264000"/>
    <n v="15106099.211478001"/>
  </r>
  <r>
    <m/>
    <s v="B"/>
    <x v="18"/>
    <x v="0"/>
    <n v="0"/>
    <n v="3"/>
    <x v="372"/>
    <s v="3 BEDROOM"/>
    <x v="1"/>
    <n v="162.78100000000001"/>
    <n v="180.37609508996297"/>
    <n v="199"/>
    <n v="77.576999999999998"/>
    <m/>
    <s v="SW"/>
    <s v="MIDDLE"/>
    <s v="LAKE B-2"/>
    <s v="GROUND"/>
    <s v="E"/>
    <n v="0.06"/>
    <n v="2.5000000000000001E-2"/>
    <n v="0.53"/>
    <n v="0.05"/>
    <n v="1.4999999999999999E-2"/>
    <n v="0.68"/>
    <x v="1"/>
    <s v="R 7"/>
    <n v="50150"/>
    <n v="56050"/>
    <n v="5900"/>
    <n v="4012.0000000000005"/>
    <n v="54162"/>
    <n v="17873.46"/>
    <n v="58662"/>
    <n v="61662"/>
    <n v="10778238"/>
    <n v="11673738"/>
    <n v="12270738"/>
    <n v="1386569.4064199999"/>
    <n v="1034008.6295457"/>
    <n v="2"/>
    <n v="236000"/>
    <n v="236000"/>
    <n v="12400807.40642"/>
  </r>
  <r>
    <m/>
    <s v="B"/>
    <x v="18"/>
    <x v="0"/>
    <n v="0"/>
    <n v="4"/>
    <x v="373"/>
    <s v="2 BEDROOM"/>
    <x v="1"/>
    <n v="95.213999999999999"/>
    <n v="105.50573788031609"/>
    <n v="116"/>
    <n v="41.666899999999998"/>
    <m/>
    <s v="NE"/>
    <s v="MIDDLE"/>
    <s v="SEMI LAKE E"/>
    <s v="GROUND"/>
    <s v="B"/>
    <n v="0.15"/>
    <n v="2.5000000000000001E-2"/>
    <n v="0.32250000000000001"/>
    <n v="0.05"/>
    <n v="0.04"/>
    <n v="0.58750000000000002"/>
    <x v="1"/>
    <s v="R 2"/>
    <n v="43562.499999999993"/>
    <n v="48687.499999999993"/>
    <n v="5125"/>
    <n v="3010.9375"/>
    <n v="46573.437499999993"/>
    <n v="15369.234374999998"/>
    <n v="51073.437499999993"/>
    <n v="54073.437499999993"/>
    <n v="5402518.7499999991"/>
    <n v="5924518.7499999991"/>
    <n v="6272518.7499999991"/>
    <n v="640388.35177968745"/>
    <n v="513647.10365127336"/>
    <n v="1"/>
    <n v="204999.99999999997"/>
    <n v="204999.99999999997"/>
    <n v="6247907.1017796863"/>
  </r>
  <r>
    <m/>
    <s v="B"/>
    <x v="18"/>
    <x v="0"/>
    <n v="1"/>
    <n v="1"/>
    <x v="374"/>
    <s v="3 BEDROOM"/>
    <x v="1"/>
    <n v="141.66300000000001"/>
    <n v="156.9754379118535"/>
    <n v="173"/>
    <m/>
    <m/>
    <s v="NE"/>
    <s v="CORNER "/>
    <s v="LAKE E"/>
    <s v="FIRST"/>
    <s v="D"/>
    <n v="0.15"/>
    <n v="0.05"/>
    <n v="0.43"/>
    <n v="7.0000000000000007E-2"/>
    <n v="2.5000000000000001E-2"/>
    <n v="0.72499999999999998"/>
    <x v="1"/>
    <s v="R 12"/>
    <n v="61625"/>
    <n v="68875"/>
    <n v="7250"/>
    <n v="5256.25"/>
    <n v="66881.25"/>
    <n v="22070.8125"/>
    <n v="71381.25"/>
    <n v="74381.25"/>
    <n v="11570456.25"/>
    <n v="12348956.25"/>
    <n v="12867956.25"/>
    <n v="0"/>
    <n v="983488.78125000012"/>
    <n v="2"/>
    <n v="290000"/>
    <n v="290000"/>
    <n v="11860456.25"/>
  </r>
  <r>
    <m/>
    <s v="B"/>
    <x v="18"/>
    <x v="0"/>
    <n v="1"/>
    <n v="2"/>
    <x v="375"/>
    <s v="3 BEDROOM + LIVING"/>
    <x v="1"/>
    <n v="183.637"/>
    <n v="203.48643253227053"/>
    <n v="224"/>
    <m/>
    <m/>
    <s v="SW"/>
    <s v="CORNER "/>
    <s v="LAKE B-2"/>
    <s v="FIRST"/>
    <s v="E"/>
    <n v="0.06"/>
    <n v="0.05"/>
    <n v="0.53"/>
    <n v="7.0000000000000007E-2"/>
    <n v="1.4999999999999999E-2"/>
    <n v="0.72499999999999998"/>
    <x v="1"/>
    <s v="R 12"/>
    <n v="61625"/>
    <n v="68875"/>
    <n v="7250"/>
    <n v="5256.25"/>
    <n v="66881.25"/>
    <n v="22070.8125"/>
    <n v="71381.25"/>
    <n v="74381.25"/>
    <n v="14981400"/>
    <n v="15989400"/>
    <n v="16661400"/>
    <n v="0"/>
    <n v="1273419"/>
    <n v="2"/>
    <n v="290000"/>
    <n v="290000"/>
    <n v="15271400"/>
  </r>
  <r>
    <m/>
    <s v="B"/>
    <x v="18"/>
    <x v="0"/>
    <n v="1"/>
    <n v="3"/>
    <x v="376"/>
    <s v="3 BEDROOM"/>
    <x v="1"/>
    <n v="162.53100000000001"/>
    <n v="180.09907244129704"/>
    <n v="198"/>
    <m/>
    <m/>
    <s v="SW"/>
    <s v="MIDDLE"/>
    <s v="LAKE B-2"/>
    <s v="FIRST"/>
    <s v="E"/>
    <n v="0.06"/>
    <n v="2.5000000000000001E-2"/>
    <n v="0.53"/>
    <n v="7.0000000000000007E-2"/>
    <n v="1.4999999999999999E-2"/>
    <n v="0.70000000000000007"/>
    <x v="1"/>
    <s v="R 9"/>
    <n v="53550"/>
    <n v="59850"/>
    <n v="6300"/>
    <n v="4410"/>
    <n v="57960"/>
    <n v="19126.8"/>
    <n v="62460"/>
    <n v="65460"/>
    <n v="11476080"/>
    <n v="12367080"/>
    <n v="12961080"/>
    <n v="0"/>
    <n v="975466.8"/>
    <n v="2"/>
    <n v="252000"/>
    <n v="252000"/>
    <n v="11728080"/>
  </r>
  <r>
    <m/>
    <s v="B"/>
    <x v="18"/>
    <x v="0"/>
    <n v="1"/>
    <n v="4"/>
    <x v="377"/>
    <s v="2 BEDROOM"/>
    <x v="1"/>
    <n v="96.271000000000001"/>
    <n v="106.6769896388757"/>
    <n v="117"/>
    <m/>
    <m/>
    <s v="NE"/>
    <s v="MIDDLE"/>
    <s v="SEMI LAKE E"/>
    <s v="FIRST"/>
    <s v="B"/>
    <n v="0.15"/>
    <n v="2.5000000000000001E-2"/>
    <n v="0.32250000000000001"/>
    <n v="7.0000000000000007E-2"/>
    <n v="0.04"/>
    <n v="0.60750000000000004"/>
    <x v="1"/>
    <s v="R 2"/>
    <n v="43562.499999999993"/>
    <n v="48687.499999999993"/>
    <n v="5125"/>
    <n v="3113.4375"/>
    <n v="46675.937499999993"/>
    <n v="15403.059374999999"/>
    <n v="51175.937499999993"/>
    <n v="54175.937499999993"/>
    <n v="5461084.6874999991"/>
    <n v="5987584.6874999991"/>
    <n v="6338584.6874999991"/>
    <n v="0"/>
    <n v="464192.19843749993"/>
    <n v="1"/>
    <n v="204999.99999999997"/>
    <n v="204999.99999999997"/>
    <n v="5666084.6874999991"/>
  </r>
  <r>
    <m/>
    <s v="B"/>
    <x v="18"/>
    <x v="0"/>
    <n v="2"/>
    <n v="1"/>
    <x v="378"/>
    <s v="3 BEDROOM"/>
    <x v="1"/>
    <n v="143.989"/>
    <n v="159.55285663504142"/>
    <n v="176"/>
    <m/>
    <m/>
    <s v="NE"/>
    <s v="CORNER "/>
    <s v="LAKE E"/>
    <s v="SECOND"/>
    <s v="D"/>
    <n v="0.15"/>
    <n v="0.05"/>
    <n v="0.43"/>
    <n v="0.11"/>
    <n v="2.5000000000000001E-2"/>
    <n v="0.76500000000000001"/>
    <x v="2"/>
    <s v="R 3"/>
    <n v="44625"/>
    <n v="49875"/>
    <n v="5250"/>
    <n v="4016.25"/>
    <n v="48641.25"/>
    <n v="16051.612500000001"/>
    <n v="53141.25"/>
    <n v="56141.25"/>
    <n v="8560860"/>
    <n v="9352860"/>
    <n v="9880860"/>
    <n v="0"/>
    <n v="727673.10000000009"/>
    <n v="2"/>
    <n v="210000"/>
    <n v="210000"/>
    <n v="8770860"/>
  </r>
  <r>
    <m/>
    <s v="B"/>
    <x v="18"/>
    <x v="0"/>
    <n v="2"/>
    <n v="2"/>
    <x v="379"/>
    <s v="3 BEDROOM + LIVING"/>
    <x v="1"/>
    <n v="187.1"/>
    <n v="207.32375026159116"/>
    <n v="228"/>
    <m/>
    <m/>
    <s v="SW"/>
    <s v="CORNER "/>
    <s v="LAKE B-2"/>
    <s v="SECOND"/>
    <s v="E"/>
    <n v="0.06"/>
    <n v="0.05"/>
    <n v="0.53"/>
    <n v="0.11"/>
    <n v="1.4999999999999999E-2"/>
    <n v="0.76500000000000001"/>
    <x v="2"/>
    <s v="R 3"/>
    <n v="44625"/>
    <n v="49875"/>
    <n v="5250"/>
    <n v="4016.25"/>
    <n v="48641.25"/>
    <n v="16051.612500000001"/>
    <n v="53141.25"/>
    <n v="56141.25"/>
    <n v="11090205"/>
    <n v="12116205"/>
    <n v="12800205"/>
    <n v="0"/>
    <n v="942667.42500000005"/>
    <n v="2"/>
    <n v="210000"/>
    <n v="210000"/>
    <n v="11300205"/>
  </r>
  <r>
    <m/>
    <s v="B"/>
    <x v="18"/>
    <x v="0"/>
    <n v="2"/>
    <n v="3"/>
    <x v="380"/>
    <s v="3 BEDROOM"/>
    <x v="1"/>
    <n v="167.16900000000001"/>
    <n v="185.23839661934761"/>
    <n v="204"/>
    <m/>
    <m/>
    <s v="SW"/>
    <s v="MIDDLE"/>
    <s v="LAKE B-2"/>
    <s v="SECOND"/>
    <s v="E"/>
    <n v="0.06"/>
    <n v="2.5000000000000001E-2"/>
    <n v="0.53"/>
    <n v="0.11"/>
    <n v="1.4999999999999999E-2"/>
    <n v="0.74"/>
    <x v="2"/>
    <s v="R 1"/>
    <n v="42500"/>
    <n v="47500"/>
    <n v="5000"/>
    <n v="3700"/>
    <n v="46200"/>
    <n v="15246"/>
    <n v="50700"/>
    <n v="53700"/>
    <n v="9424800"/>
    <n v="10342800"/>
    <n v="10954800"/>
    <n v="0"/>
    <n v="801108"/>
    <n v="2"/>
    <n v="200000"/>
    <n v="200000"/>
    <n v="9624800"/>
  </r>
  <r>
    <m/>
    <s v="B"/>
    <x v="18"/>
    <x v="0"/>
    <n v="2"/>
    <n v="4"/>
    <x v="381"/>
    <s v="3 BEDROOM"/>
    <x v="1"/>
    <n v="141.18700000000001"/>
    <n v="156.44798678879354"/>
    <n v="172"/>
    <m/>
    <m/>
    <s v="NE"/>
    <s v="MIDDLE"/>
    <s v="SEMI LAKE E"/>
    <s v="SECOND"/>
    <s v="D"/>
    <n v="0.15"/>
    <n v="2.5000000000000001E-2"/>
    <n v="0.32250000000000001"/>
    <n v="0.11"/>
    <n v="2.5000000000000001E-2"/>
    <n v="0.63250000000000006"/>
    <x v="1"/>
    <s v="R 4"/>
    <n v="45687.5"/>
    <n v="51062.5"/>
    <n v="5375"/>
    <n v="3399.6875000000005"/>
    <n v="49087.1875"/>
    <n v="16198.771875"/>
    <n v="53587.1875"/>
    <n v="56587.1875"/>
    <n v="8442996.25"/>
    <n v="9216996.25"/>
    <n v="9732996.25"/>
    <n v="0"/>
    <n v="717654.68125000002"/>
    <n v="2"/>
    <n v="215000"/>
    <n v="215000"/>
    <n v="8657996.25"/>
  </r>
  <r>
    <m/>
    <s v="B"/>
    <x v="18"/>
    <x v="0"/>
    <n v="3"/>
    <n v="1"/>
    <x v="382"/>
    <s v="3 BEDROOM"/>
    <x v="1"/>
    <n v="143.89599999999999"/>
    <n v="159.44980420973766"/>
    <n v="176"/>
    <m/>
    <m/>
    <s v="NE"/>
    <s v="CORNER "/>
    <s v="LAKE E"/>
    <s v="THIRD"/>
    <s v="D"/>
    <n v="0.15"/>
    <n v="0.05"/>
    <n v="0.43"/>
    <n v="0.15"/>
    <n v="2.5000000000000001E-2"/>
    <n v="0.80500000000000005"/>
    <x v="2"/>
    <s v="R 6"/>
    <n v="48450.000000000007"/>
    <n v="54150.000000000007"/>
    <n v="5700"/>
    <n v="4588.5"/>
    <n v="53038.500000000007"/>
    <n v="17502.705000000002"/>
    <n v="57538.500000000007"/>
    <n v="60538.500000000007"/>
    <n v="9334776.0000000019"/>
    <n v="10126776.000000002"/>
    <n v="10654776.000000002"/>
    <n v="0"/>
    <n v="793455.9600000002"/>
    <n v="2"/>
    <n v="228000.00000000003"/>
    <n v="228000.00000000003"/>
    <n v="9562776.0000000019"/>
  </r>
  <r>
    <m/>
    <s v="B"/>
    <x v="18"/>
    <x v="0"/>
    <n v="3"/>
    <n v="2"/>
    <x v="383"/>
    <s v="3 BEDROOM + LIVING"/>
    <x v="1"/>
    <n v="187.20400000000001"/>
    <n v="207.4389916834362"/>
    <n v="228"/>
    <m/>
    <m/>
    <s v="SW"/>
    <s v="CORNER "/>
    <s v="LAKE B-2"/>
    <s v="THIRD"/>
    <s v="E"/>
    <n v="0.06"/>
    <n v="0.05"/>
    <n v="0.53"/>
    <n v="0.15"/>
    <n v="1.4999999999999999E-2"/>
    <n v="0.80500000000000005"/>
    <x v="2"/>
    <s v="R 6"/>
    <n v="48450.000000000007"/>
    <n v="54150.000000000007"/>
    <n v="5700"/>
    <n v="4588.5"/>
    <n v="53038.500000000007"/>
    <n v="17502.705000000002"/>
    <n v="57538.500000000007"/>
    <n v="60538.500000000007"/>
    <n v="12092778.000000002"/>
    <n v="13118778.000000002"/>
    <n v="13802778.000000002"/>
    <n v="0"/>
    <n v="1027886.1300000002"/>
    <n v="2"/>
    <n v="228000.00000000003"/>
    <n v="228000.00000000003"/>
    <n v="12320778.000000002"/>
  </r>
  <r>
    <m/>
    <s v="B"/>
    <x v="18"/>
    <x v="0"/>
    <n v="3"/>
    <n v="3"/>
    <x v="384"/>
    <s v="3 BEDROOM"/>
    <x v="1"/>
    <n v="164.417"/>
    <n v="182.18893130283288"/>
    <n v="201"/>
    <m/>
    <m/>
    <s v="SW"/>
    <s v="MIDDLE"/>
    <s v="LAKE B-2"/>
    <s v="THIRD"/>
    <s v="E"/>
    <n v="0.06"/>
    <n v="2.5000000000000001E-2"/>
    <n v="0.53"/>
    <n v="0.15"/>
    <n v="1.4999999999999999E-2"/>
    <n v="0.78"/>
    <x v="2"/>
    <s v="R 4"/>
    <n v="45687.5"/>
    <n v="51062.5"/>
    <n v="5375"/>
    <n v="4192.5"/>
    <n v="49880"/>
    <n v="16460.400000000001"/>
    <n v="54380"/>
    <n v="57380"/>
    <n v="10025880"/>
    <n v="10930380"/>
    <n v="11533380"/>
    <n v="0"/>
    <n v="852199.8"/>
    <n v="2"/>
    <n v="215000"/>
    <n v="215000"/>
    <n v="10240880"/>
  </r>
  <r>
    <m/>
    <s v="B"/>
    <x v="18"/>
    <x v="0"/>
    <n v="3"/>
    <n v="4"/>
    <x v="385"/>
    <s v="3 BEDROOM"/>
    <x v="1"/>
    <n v="141.07300000000001"/>
    <n v="156.32166446100189"/>
    <n v="172"/>
    <m/>
    <m/>
    <s v="NE"/>
    <s v="MIDDLE"/>
    <s v="SEMI LAKE E"/>
    <s v="THIRD"/>
    <s v="D"/>
    <n v="0.15"/>
    <n v="2.5000000000000001E-2"/>
    <n v="0.32250000000000001"/>
    <n v="0.15"/>
    <n v="2.5000000000000001E-2"/>
    <n v="0.67249999999999999"/>
    <x v="1"/>
    <s v="R 6"/>
    <n v="48450.000000000007"/>
    <n v="54150.000000000007"/>
    <n v="5700"/>
    <n v="3833.25"/>
    <n v="52283.250000000007"/>
    <n v="17253.472500000003"/>
    <n v="56783.250000000007"/>
    <n v="59783.250000000007"/>
    <n v="8992719.0000000019"/>
    <n v="9766719.0000000019"/>
    <n v="10282719.000000002"/>
    <n v="0"/>
    <n v="764381.11500000022"/>
    <n v="2"/>
    <n v="228000.00000000003"/>
    <n v="228000.00000000003"/>
    <n v="9220719.0000000019"/>
  </r>
  <r>
    <m/>
    <s v="B"/>
    <x v="18"/>
    <x v="0"/>
    <n v="4"/>
    <n v="1"/>
    <x v="386"/>
    <s v="3 BEDROOM"/>
    <x v="1"/>
    <n v="141.929"/>
    <n v="157.27019001003407"/>
    <n v="173"/>
    <m/>
    <m/>
    <s v="NE"/>
    <s v="CORNER "/>
    <s v="LAKE E"/>
    <s v="FORTH"/>
    <s v="D"/>
    <n v="0.15"/>
    <n v="0.05"/>
    <n v="0.43"/>
    <n v="0.06"/>
    <n v="2.5000000000000001E-2"/>
    <n v="0.71499999999999997"/>
    <x v="1"/>
    <s v="R 11"/>
    <n v="58649.999999999993"/>
    <n v="65550"/>
    <n v="6900.0000000000073"/>
    <n v="4933.5000000000045"/>
    <n v="63583.5"/>
    <n v="20982.555"/>
    <n v="68083.5"/>
    <n v="71083.5"/>
    <n v="10999945.5"/>
    <n v="11778445.5"/>
    <n v="12297445.5"/>
    <n v="0"/>
    <n v="934995.36750000005"/>
    <n v="2"/>
    <n v="276000"/>
    <n v="276000"/>
    <n v="11275945.5"/>
  </r>
  <r>
    <m/>
    <s v="B"/>
    <x v="18"/>
    <x v="0"/>
    <n v="4"/>
    <n v="2"/>
    <x v="387"/>
    <s v="3 BEDROOM + LIVING"/>
    <x v="1"/>
    <n v="182.36099999999999"/>
    <n v="202.07250893347955"/>
    <n v="222"/>
    <m/>
    <m/>
    <s v="SW"/>
    <s v="CORNER "/>
    <s v="LAKE B-2"/>
    <s v="FORTH"/>
    <s v="E"/>
    <n v="0.06"/>
    <n v="0.05"/>
    <n v="0.53"/>
    <n v="0.06"/>
    <n v="1.4999999999999999E-2"/>
    <n v="0.71499999999999997"/>
    <x v="1"/>
    <s v="R 11"/>
    <n v="58649.999999999993"/>
    <n v="65550"/>
    <n v="6900.0000000000073"/>
    <n v="4933.5000000000045"/>
    <n v="63583.5"/>
    <n v="20982.555"/>
    <n v="68083.5"/>
    <n v="71083.5"/>
    <n v="14115537"/>
    <n v="15114537"/>
    <n v="15780537"/>
    <n v="0"/>
    <n v="1199820.645"/>
    <n v="2"/>
    <n v="276000"/>
    <n v="276000"/>
    <n v="14391537"/>
  </r>
  <r>
    <m/>
    <s v="B"/>
    <x v="18"/>
    <x v="0"/>
    <n v="4"/>
    <n v="3"/>
    <x v="388"/>
    <s v="3 BEDROOM"/>
    <x v="1"/>
    <n v="162.44399999999999"/>
    <n v="180.00266855956127"/>
    <n v="198"/>
    <m/>
    <m/>
    <s v="SW"/>
    <s v="MIDDLE"/>
    <s v="LAKE B-2"/>
    <s v="FORTH"/>
    <s v="E"/>
    <n v="0.06"/>
    <n v="2.5000000000000001E-2"/>
    <n v="0.53"/>
    <n v="0.06"/>
    <n v="1.4999999999999999E-2"/>
    <n v="0.69000000000000006"/>
    <x v="1"/>
    <s v="R 8"/>
    <n v="51850"/>
    <n v="57950"/>
    <n v="6100"/>
    <n v="4209"/>
    <n v="56059"/>
    <n v="18499.47"/>
    <n v="60559"/>
    <n v="63559"/>
    <n v="11099682"/>
    <n v="11990682"/>
    <n v="12584682"/>
    <n v="0"/>
    <n v="943472.97000000009"/>
    <n v="2"/>
    <n v="244000"/>
    <n v="244000"/>
    <n v="11343682"/>
  </r>
  <r>
    <m/>
    <s v="B"/>
    <x v="18"/>
    <x v="0"/>
    <n v="4"/>
    <n v="4"/>
    <x v="389"/>
    <s v="3 BEDROOM"/>
    <x v="1"/>
    <n v="139.12700000000001"/>
    <n v="154.16532016378619"/>
    <n v="170"/>
    <m/>
    <m/>
    <s v="NE"/>
    <s v="MIDDLE"/>
    <s v="SEMI LAKE E"/>
    <s v="FORTH"/>
    <s v="D"/>
    <n v="0.15"/>
    <n v="2.5000000000000001E-2"/>
    <n v="0.32250000000000001"/>
    <n v="0.06"/>
    <n v="2.5000000000000001E-2"/>
    <n v="0.58250000000000002"/>
    <x v="1"/>
    <s v="R 1"/>
    <n v="42500"/>
    <n v="47500"/>
    <n v="5000"/>
    <n v="2912.5"/>
    <n v="45412.5"/>
    <n v="14986.125"/>
    <n v="49912.5"/>
    <n v="52912.5"/>
    <n v="7720125"/>
    <n v="8485125"/>
    <n v="8995125"/>
    <n v="0"/>
    <n v="656210.625"/>
    <n v="2"/>
    <n v="200000"/>
    <n v="200000"/>
    <n v="7920125"/>
  </r>
  <r>
    <s v="B3"/>
    <s v="B"/>
    <x v="19"/>
    <x v="0"/>
    <n v="0"/>
    <n v="1"/>
    <x v="390"/>
    <s v="2 BEDROOM"/>
    <x v="1"/>
    <n v="95.254000000000005"/>
    <n v="105.53950812408786"/>
    <n v="116"/>
    <n v="63.930199999999999"/>
    <m/>
    <s v="NW"/>
    <s v="MIDDLE"/>
    <s v="ROAD 18M (BUILDINGS)"/>
    <s v="GROUND"/>
    <s v="B"/>
    <n v="0.13"/>
    <n v="2.5000000000000001E-2"/>
    <n v="0.15"/>
    <n v="0.05"/>
    <n v="0.04"/>
    <n v="0.39499999999999996"/>
    <x v="0"/>
    <s v="R 4"/>
    <n v="45687.5"/>
    <n v="51062.5"/>
    <n v="5375"/>
    <n v="2123.125"/>
    <n v="47810.625"/>
    <n v="15777.50625"/>
    <n v="52310.625"/>
    <n v="55310.625"/>
    <n v="5546032.5"/>
    <n v="6068032.5"/>
    <n v="6416032.5"/>
    <n v="1008659.13006375"/>
    <n v="557148.78855541872"/>
    <n v="1"/>
    <n v="215000"/>
    <n v="215000"/>
    <n v="6769691.6300637498"/>
  </r>
  <r>
    <m/>
    <s v="B"/>
    <x v="19"/>
    <x v="0"/>
    <n v="0"/>
    <n v="2"/>
    <x v="391"/>
    <s v="3 BEDROOM"/>
    <x v="1"/>
    <n v="162.82599999999999"/>
    <n v="180.40791935050211"/>
    <n v="199"/>
    <n v="77.610299999999995"/>
    <m/>
    <s v="SE"/>
    <s v="MIDDLE"/>
    <s v="LAKE B-2"/>
    <s v="GROUND"/>
    <s v="E"/>
    <n v="0.08"/>
    <n v="2.5000000000000001E-2"/>
    <n v="0.53"/>
    <n v="0.05"/>
    <n v="1.4999999999999999E-2"/>
    <n v="0.70000000000000007"/>
    <x v="1"/>
    <s v="R 9"/>
    <n v="53550"/>
    <n v="59850"/>
    <n v="6300"/>
    <n v="4410"/>
    <n v="57960"/>
    <n v="19126.8"/>
    <n v="62460"/>
    <n v="65460"/>
    <n v="11534040"/>
    <n v="12429540"/>
    <n v="13026540"/>
    <n v="1484436.6860399998"/>
    <n v="1106570.5183134"/>
    <n v="2"/>
    <n v="252000"/>
    <n v="252000"/>
    <n v="13270476.686039999"/>
  </r>
  <r>
    <m/>
    <s v="B"/>
    <x v="19"/>
    <x v="0"/>
    <n v="0"/>
    <n v="3"/>
    <x v="392"/>
    <s v="3 BEDROOM + LIVING"/>
    <x v="1"/>
    <n v="183.887"/>
    <n v="203.74308197465874"/>
    <n v="224"/>
    <n v="61.527700000000003"/>
    <m/>
    <s v="SE"/>
    <s v="CORNER "/>
    <s v="LAKE B-2"/>
    <s v="GROUND"/>
    <s v="E"/>
    <n v="0.08"/>
    <n v="0.05"/>
    <n v="0.53"/>
    <n v="0.05"/>
    <n v="1.4999999999999999E-2"/>
    <n v="0.72500000000000009"/>
    <x v="1"/>
    <s v="R 12"/>
    <n v="61625"/>
    <n v="68875"/>
    <n v="7250"/>
    <n v="5256.2500000000009"/>
    <n v="66881.25"/>
    <n v="22070.8125"/>
    <n v="71381.25"/>
    <n v="74381.25"/>
    <n v="14981400"/>
    <n v="15989400"/>
    <n v="16661400"/>
    <n v="1357966.33025625"/>
    <n v="1388846.1380717813"/>
    <n v="2"/>
    <n v="290000"/>
    <n v="290000"/>
    <n v="16629366.33025625"/>
  </r>
  <r>
    <m/>
    <s v="B"/>
    <x v="19"/>
    <x v="0"/>
    <n v="0"/>
    <n v="4"/>
    <x v="393"/>
    <s v="3 BEDROOM"/>
    <x v="1"/>
    <n v="147.54499999999999"/>
    <n v="163.47687998581205"/>
    <n v="180"/>
    <n v="86.260099999999994"/>
    <m/>
    <s v="NW"/>
    <s v="CORNER "/>
    <s v="ROAD 18M (BUILDINGS)"/>
    <s v="GROUND"/>
    <s v="D"/>
    <n v="0.13"/>
    <n v="0.05"/>
    <n v="0.15"/>
    <n v="0.05"/>
    <n v="2.5000000000000001E-2"/>
    <n v="0.40499999999999997"/>
    <x v="0"/>
    <s v="R 6"/>
    <n v="48450.000000000007"/>
    <n v="54150.000000000007"/>
    <n v="5700"/>
    <n v="2308.5"/>
    <n v="50758.500000000007"/>
    <n v="16750.305000000004"/>
    <n v="55258.500000000007"/>
    <n v="58258.500000000007"/>
    <n v="9136530.0000000019"/>
    <n v="9946530.0000000019"/>
    <n v="10486530.000000002"/>
    <n v="1444882.9843305002"/>
    <n v="899420.10366809263"/>
    <n v="2"/>
    <n v="228000.00000000003"/>
    <n v="228000.00000000003"/>
    <n v="10809412.984330501"/>
  </r>
  <r>
    <m/>
    <s v="B"/>
    <x v="19"/>
    <x v="0"/>
    <n v="1"/>
    <n v="1"/>
    <x v="394"/>
    <s v="2 BEDROOM"/>
    <x v="1"/>
    <n v="96.311000000000007"/>
    <n v="106.71064277551626"/>
    <n v="117"/>
    <m/>
    <m/>
    <s v="NW"/>
    <s v="MIDDLE"/>
    <s v="ROAD 18M (BUILDINGS)"/>
    <s v="FIRST"/>
    <s v="B"/>
    <n v="0.13"/>
    <n v="2.5000000000000001E-2"/>
    <n v="0.15"/>
    <n v="7.0000000000000007E-2"/>
    <n v="0.04"/>
    <n v="0.41499999999999998"/>
    <x v="0"/>
    <s v="R 7"/>
    <n v="50150"/>
    <n v="56050"/>
    <n v="5900"/>
    <n v="2448.5"/>
    <n v="52598.5"/>
    <n v="17357.505000000001"/>
    <n v="57098.5"/>
    <n v="60098.5"/>
    <n v="6154024.5"/>
    <n v="6680524.5"/>
    <n v="7031524.5"/>
    <n v="0"/>
    <n v="523092.08250000002"/>
    <n v="1"/>
    <n v="236000"/>
    <n v="236000"/>
    <n v="6390024.5"/>
  </r>
  <r>
    <m/>
    <s v="B"/>
    <x v="19"/>
    <x v="0"/>
    <n v="1"/>
    <n v="2"/>
    <x v="395"/>
    <s v="3 BEDROOM"/>
    <x v="1"/>
    <n v="162.57599999999999"/>
    <n v="180.13092439983313"/>
    <n v="198"/>
    <m/>
    <m/>
    <s v="SE"/>
    <s v="MIDDLE"/>
    <s v="LAKE B-2"/>
    <s v="FIRST"/>
    <s v="E"/>
    <n v="0.08"/>
    <n v="2.5000000000000001E-2"/>
    <n v="0.53"/>
    <n v="7.0000000000000007E-2"/>
    <n v="1.4999999999999999E-2"/>
    <n v="0.72000000000000008"/>
    <x v="1"/>
    <s v="R 12"/>
    <n v="61625"/>
    <n v="68875"/>
    <n v="7250"/>
    <n v="5220.0000000000009"/>
    <n v="66845"/>
    <n v="22058.850000000002"/>
    <n v="71345"/>
    <n v="74345"/>
    <n v="13235310"/>
    <n v="14126310"/>
    <n v="14720310"/>
    <n v="0"/>
    <n v="1125001.3500000001"/>
    <n v="2"/>
    <n v="290000"/>
    <n v="290000"/>
    <n v="13525310"/>
  </r>
  <r>
    <m/>
    <s v="B"/>
    <x v="19"/>
    <x v="0"/>
    <n v="1"/>
    <n v="3"/>
    <x v="396"/>
    <s v="3 BEDROOM + LIVING"/>
    <x v="1"/>
    <n v="183.637"/>
    <n v="203.46608702398976"/>
    <n v="224"/>
    <m/>
    <m/>
    <s v="SE"/>
    <s v="CORNER "/>
    <s v="LAKE B-2"/>
    <s v="FIRST"/>
    <s v="E"/>
    <n v="0.08"/>
    <n v="0.05"/>
    <n v="0.53"/>
    <n v="7.0000000000000007E-2"/>
    <n v="1.4999999999999999E-2"/>
    <n v="0.745"/>
    <x v="2"/>
    <s v="R 1"/>
    <n v="42500"/>
    <n v="47500"/>
    <n v="5000"/>
    <n v="3725"/>
    <n v="46225"/>
    <n v="15254.25"/>
    <n v="50725"/>
    <n v="53725"/>
    <n v="10354400"/>
    <n v="11362400"/>
    <n v="12034400"/>
    <n v="0"/>
    <n v="880124.00000000012"/>
    <n v="2"/>
    <n v="200000"/>
    <n v="200000"/>
    <n v="10554400"/>
  </r>
  <r>
    <m/>
    <s v="B"/>
    <x v="19"/>
    <x v="0"/>
    <n v="1"/>
    <n v="4"/>
    <x v="397"/>
    <s v="3 BEDROOM"/>
    <x v="1"/>
    <n v="141.66300000000001"/>
    <n v="156.95974278647259"/>
    <n v="173"/>
    <m/>
    <m/>
    <s v="NW"/>
    <s v="CORNER "/>
    <s v="ROAD 18M (BUILDINGS)"/>
    <s v="FIRST"/>
    <s v="D"/>
    <n v="0.13"/>
    <n v="0.05"/>
    <n v="0.15"/>
    <n v="7.0000000000000007E-2"/>
    <n v="2.5000000000000001E-2"/>
    <n v="0.42499999999999999"/>
    <x v="0"/>
    <s v="R 8"/>
    <n v="51850"/>
    <n v="57950"/>
    <n v="6100"/>
    <n v="2592.5"/>
    <n v="54442.5"/>
    <n v="17966.025000000001"/>
    <n v="58942.5"/>
    <n v="61942.5"/>
    <n v="9418552.5"/>
    <n v="10197052.5"/>
    <n v="10716052.5"/>
    <n v="0"/>
    <n v="800576.96250000002"/>
    <n v="2"/>
    <n v="244000"/>
    <n v="244000"/>
    <n v="9662552.5"/>
  </r>
  <r>
    <m/>
    <s v="B"/>
    <x v="19"/>
    <x v="0"/>
    <n v="2"/>
    <n v="1"/>
    <x v="398"/>
    <s v="3 BEDROOM"/>
    <x v="1"/>
    <n v="141.22499999999999"/>
    <n v="156.47444763290054"/>
    <n v="172"/>
    <m/>
    <m/>
    <s v="NW"/>
    <s v="MIDDLE"/>
    <s v="ROAD 18M (BUILDINGS)"/>
    <s v="SECOND"/>
    <s v="D"/>
    <n v="0.13"/>
    <n v="2.5000000000000001E-2"/>
    <n v="0.15"/>
    <n v="0.11"/>
    <n v="2.5000000000000001E-2"/>
    <n v="0.44"/>
    <x v="0"/>
    <s v="R 8"/>
    <n v="51850"/>
    <n v="57950"/>
    <n v="6100"/>
    <n v="2684"/>
    <n v="54534"/>
    <n v="17996.22"/>
    <n v="59034"/>
    <n v="62034"/>
    <n v="9379848"/>
    <n v="10153848"/>
    <n v="10669848"/>
    <n v="0"/>
    <n v="797287.08000000007"/>
    <n v="2"/>
    <n v="244000"/>
    <n v="244000"/>
    <n v="9623848"/>
  </r>
  <r>
    <m/>
    <s v="B"/>
    <x v="19"/>
    <x v="0"/>
    <n v="2"/>
    <n v="2"/>
    <x v="399"/>
    <s v="3 BEDROOM"/>
    <x v="1"/>
    <n v="167.214"/>
    <n v="185.26973472464385"/>
    <n v="204"/>
    <m/>
    <m/>
    <s v="SE"/>
    <s v="MIDDLE"/>
    <s v="LAKE B-2"/>
    <s v="SECOND"/>
    <s v="E"/>
    <n v="0.08"/>
    <n v="2.5000000000000001E-2"/>
    <n v="0.53"/>
    <n v="0.11"/>
    <n v="1.4999999999999999E-2"/>
    <n v="0.76"/>
    <x v="2"/>
    <s v="R 2"/>
    <n v="43562.499999999993"/>
    <n v="48687.499999999993"/>
    <n v="5125"/>
    <n v="3895"/>
    <n v="47457.499999999993"/>
    <n v="15660.974999999999"/>
    <n v="51957.499999999993"/>
    <n v="54957.499999999993"/>
    <n v="9681329.9999999981"/>
    <n v="10599329.999999998"/>
    <n v="11211329.999999998"/>
    <n v="0"/>
    <n v="822913.04999999993"/>
    <n v="2"/>
    <n v="204999.99999999997"/>
    <n v="204999.99999999997"/>
    <n v="9886329.9999999981"/>
  </r>
  <r>
    <m/>
    <s v="B"/>
    <x v="19"/>
    <x v="0"/>
    <n v="2"/>
    <n v="3"/>
    <x v="400"/>
    <s v="3 BEDROOM + LIVING"/>
    <x v="1"/>
    <n v="187.10300000000001"/>
    <n v="207.30634502006436"/>
    <n v="228"/>
    <m/>
    <m/>
    <s v="SE"/>
    <s v="CORNER "/>
    <s v="LAKE B-2"/>
    <s v="SECOND"/>
    <s v="E"/>
    <n v="0.08"/>
    <n v="0.05"/>
    <n v="0.53"/>
    <n v="0.11"/>
    <n v="1.4999999999999999E-2"/>
    <n v="0.78500000000000003"/>
    <x v="2"/>
    <s v="R 4"/>
    <n v="45687.5"/>
    <n v="51062.5"/>
    <n v="5375"/>
    <n v="4219.375"/>
    <n v="49906.875"/>
    <n v="16469.268749999999"/>
    <n v="54406.875"/>
    <n v="57406.875"/>
    <n v="11378767.5"/>
    <n v="12404767.5"/>
    <n v="13088767.5"/>
    <n v="0"/>
    <n v="967195.23750000005"/>
    <n v="2"/>
    <n v="215000"/>
    <n v="215000"/>
    <n v="11593767.5"/>
  </r>
  <r>
    <m/>
    <s v="B"/>
    <x v="19"/>
    <x v="0"/>
    <n v="2"/>
    <n v="4"/>
    <x v="401"/>
    <s v="3 BEDROOM"/>
    <x v="1"/>
    <n v="143.989"/>
    <n v="159.53690380749666"/>
    <n v="176"/>
    <m/>
    <m/>
    <s v="NW"/>
    <s v="CORNER "/>
    <s v="ROAD 18M (BUILDINGS)"/>
    <s v="SECOND"/>
    <s v="D"/>
    <n v="0.13"/>
    <n v="0.05"/>
    <n v="0.15"/>
    <n v="0.11"/>
    <n v="2.5000000000000001E-2"/>
    <n v="0.46499999999999997"/>
    <x v="0"/>
    <s v="R 10"/>
    <n v="56100"/>
    <n v="62700"/>
    <n v="6600"/>
    <n v="3069"/>
    <n v="59169"/>
    <n v="19525.77"/>
    <n v="63669"/>
    <n v="66669"/>
    <n v="10413744"/>
    <n v="11205744"/>
    <n v="11733744"/>
    <n v="0"/>
    <n v="885168.24000000011"/>
    <n v="2"/>
    <n v="264000"/>
    <n v="264000"/>
    <n v="10677744"/>
  </r>
  <r>
    <m/>
    <s v="B"/>
    <x v="19"/>
    <x v="0"/>
    <n v="3"/>
    <n v="1"/>
    <x v="402"/>
    <s v="3 BEDROOM"/>
    <x v="1"/>
    <n v="141.131"/>
    <n v="156.37029753144901"/>
    <n v="172"/>
    <m/>
    <m/>
    <s v="NW"/>
    <s v="MIDDLE"/>
    <s v="ROAD 18M (BUILDINGS)"/>
    <s v="THIRD"/>
    <s v="D"/>
    <n v="0.13"/>
    <n v="2.5000000000000001E-2"/>
    <n v="0.15"/>
    <n v="0.15"/>
    <n v="2.5000000000000001E-2"/>
    <n v="0.48"/>
    <x v="0"/>
    <s v="R 12"/>
    <n v="61625"/>
    <n v="68875"/>
    <n v="7250"/>
    <n v="3480"/>
    <n v="65105"/>
    <n v="21484.65"/>
    <n v="69605"/>
    <n v="72605"/>
    <n v="11198060"/>
    <n v="11972060"/>
    <n v="12488060"/>
    <n v="0"/>
    <n v="951835.10000000009"/>
    <n v="2"/>
    <n v="290000"/>
    <n v="290000"/>
    <n v="11488060"/>
  </r>
  <r>
    <m/>
    <s v="B"/>
    <x v="19"/>
    <x v="0"/>
    <n v="3"/>
    <n v="2"/>
    <x v="403"/>
    <s v="3 BEDROOM"/>
    <x v="1"/>
    <n v="164.43600000000001"/>
    <n v="182.19176683281029"/>
    <n v="201"/>
    <m/>
    <m/>
    <s v="SE"/>
    <s v="MIDDLE"/>
    <s v="LAKE B-2"/>
    <s v="THIRD"/>
    <s v="E"/>
    <n v="0.08"/>
    <n v="2.5000000000000001E-2"/>
    <n v="0.53"/>
    <n v="0.15"/>
    <n v="1.4999999999999999E-2"/>
    <n v="0.8"/>
    <x v="2"/>
    <s v="R 6"/>
    <n v="48450.000000000007"/>
    <n v="54150.000000000007"/>
    <n v="5700"/>
    <n v="4560"/>
    <n v="53010.000000000007"/>
    <n v="17493.300000000003"/>
    <n v="57510.000000000007"/>
    <n v="60510.000000000007"/>
    <n v="10655010.000000002"/>
    <n v="11559510.000000002"/>
    <n v="12162510.000000002"/>
    <n v="0"/>
    <n v="905675.85000000021"/>
    <n v="2"/>
    <n v="228000.00000000003"/>
    <n v="228000.00000000003"/>
    <n v="10883010.000000002"/>
  </r>
  <r>
    <m/>
    <s v="B"/>
    <x v="19"/>
    <x v="0"/>
    <n v="3"/>
    <n v="3"/>
    <x v="404"/>
    <s v="3 BEDROOM + LIVING"/>
    <x v="1"/>
    <n v="187.20400000000001"/>
    <n v="207.41825098013462"/>
    <n v="228"/>
    <m/>
    <m/>
    <s v="SE"/>
    <s v="CORNER "/>
    <s v="LAKE B-2"/>
    <s v="THIRD"/>
    <s v="E"/>
    <n v="0.08"/>
    <n v="0.05"/>
    <n v="0.53"/>
    <n v="0.15"/>
    <n v="1.4999999999999999E-2"/>
    <n v="0.82500000000000007"/>
    <x v="2"/>
    <s v="R 7"/>
    <n v="50150"/>
    <n v="56050"/>
    <n v="5900"/>
    <n v="4867.5"/>
    <n v="55017.5"/>
    <n v="18155.775000000001"/>
    <n v="59517.5"/>
    <n v="62517.5"/>
    <n v="12543990"/>
    <n v="13569990"/>
    <n v="14253990"/>
    <n v="0"/>
    <n v="1066239.1500000001"/>
    <n v="2"/>
    <n v="236000"/>
    <n v="236000"/>
    <n v="12779990"/>
  </r>
  <r>
    <m/>
    <s v="B"/>
    <x v="19"/>
    <x v="0"/>
    <n v="3"/>
    <n v="4"/>
    <x v="405"/>
    <s v="3 BEDROOM"/>
    <x v="1"/>
    <n v="143.911"/>
    <n v="159.45048138288794"/>
    <n v="176"/>
    <m/>
    <m/>
    <s v="NW"/>
    <s v="CORNER "/>
    <s v="ROAD 18M (BUILDINGS)"/>
    <s v="THIRD"/>
    <s v="D"/>
    <n v="0.13"/>
    <n v="0.05"/>
    <n v="0.15"/>
    <n v="0.15"/>
    <n v="2.5000000000000001E-2"/>
    <n v="0.505"/>
    <x v="1"/>
    <s v="R 1"/>
    <n v="42500"/>
    <n v="47500"/>
    <n v="5000"/>
    <n v="2525"/>
    <n v="45025"/>
    <n v="14858.25"/>
    <n v="49525"/>
    <n v="52525"/>
    <n v="7924400"/>
    <n v="8716400"/>
    <n v="9244400"/>
    <n v="0"/>
    <n v="673574"/>
    <n v="2"/>
    <n v="200000"/>
    <n v="200000"/>
    <n v="8124400"/>
  </r>
  <r>
    <m/>
    <s v="B"/>
    <x v="19"/>
    <x v="0"/>
    <n v="4"/>
    <n v="1"/>
    <x v="406"/>
    <s v="3 BEDROOM"/>
    <x v="1"/>
    <n v="139.16499999999999"/>
    <n v="154.19200923938823"/>
    <n v="170"/>
    <m/>
    <m/>
    <s v="NW"/>
    <s v="MIDDLE"/>
    <s v="ROAD 18M (BUILDINGS)"/>
    <s v="FORTH"/>
    <s v="D"/>
    <n v="0.13"/>
    <n v="2.5000000000000001E-2"/>
    <n v="0.15"/>
    <n v="0.06"/>
    <n v="2.5000000000000001E-2"/>
    <n v="0.39"/>
    <x v="0"/>
    <s v="R 4"/>
    <n v="45687.5"/>
    <n v="51062.5"/>
    <n v="5375"/>
    <n v="2096.25"/>
    <n v="47783.75"/>
    <n v="15768.637500000001"/>
    <n v="52283.75"/>
    <n v="55283.75"/>
    <n v="8123237.5"/>
    <n v="8888237.5"/>
    <n v="9398237.5"/>
    <n v="0"/>
    <n v="690475.1875"/>
    <n v="2"/>
    <n v="215000"/>
    <n v="215000"/>
    <n v="8338237.5"/>
  </r>
  <r>
    <m/>
    <s v="B"/>
    <x v="19"/>
    <x v="0"/>
    <n v="4"/>
    <n v="2"/>
    <x v="407"/>
    <s v="3 BEDROOM"/>
    <x v="1"/>
    <n v="162.49"/>
    <n v="180.03563813680304"/>
    <n v="198"/>
    <m/>
    <m/>
    <s v="SE"/>
    <s v="MIDDLE"/>
    <s v="LAKE B-2"/>
    <s v="FORTH"/>
    <s v="E"/>
    <n v="0.08"/>
    <n v="2.5000000000000001E-2"/>
    <n v="0.53"/>
    <n v="0.06"/>
    <n v="1.4999999999999999E-2"/>
    <n v="0.71000000000000008"/>
    <x v="1"/>
    <s v="R 11"/>
    <n v="58649.999999999993"/>
    <n v="65550"/>
    <n v="6900.0000000000073"/>
    <n v="4899.0000000000055"/>
    <n v="63549"/>
    <n v="20971.170000000002"/>
    <n v="68049"/>
    <n v="71049"/>
    <n v="12582702"/>
    <n v="13473702"/>
    <n v="14067702"/>
    <n v="0"/>
    <n v="1069529.6700000002"/>
    <n v="2"/>
    <n v="276000"/>
    <n v="276000"/>
    <n v="12858702"/>
  </r>
  <r>
    <m/>
    <s v="B"/>
    <x v="19"/>
    <x v="0"/>
    <n v="4"/>
    <n v="3"/>
    <x v="408"/>
    <s v="3 BEDROOM + LIVING"/>
    <x v="1"/>
    <n v="182.357"/>
    <n v="202.04787287656464"/>
    <n v="222"/>
    <m/>
    <m/>
    <s v="SE"/>
    <s v="CORNER "/>
    <s v="LAKE B-2"/>
    <s v="FORTH"/>
    <s v="E"/>
    <n v="0.08"/>
    <n v="0.05"/>
    <n v="0.53"/>
    <n v="0.06"/>
    <n v="1.4999999999999999E-2"/>
    <n v="0.73499999999999999"/>
    <x v="2"/>
    <s v="R 1"/>
    <n v="42500"/>
    <n v="47500"/>
    <n v="5000"/>
    <n v="3675"/>
    <n v="46175"/>
    <n v="15237.75"/>
    <n v="50675"/>
    <n v="53675"/>
    <n v="10250850"/>
    <n v="11249850"/>
    <n v="11915850"/>
    <n v="0"/>
    <n v="871322.25000000012"/>
    <n v="2"/>
    <n v="200000"/>
    <n v="200000"/>
    <n v="10450850"/>
  </r>
  <r>
    <m/>
    <s v="B"/>
    <x v="19"/>
    <x v="0"/>
    <n v="4"/>
    <n v="4"/>
    <x v="409"/>
    <s v="3 BEDROOM"/>
    <x v="1"/>
    <n v="141.929"/>
    <n v="157.25446541398435"/>
    <n v="173"/>
    <m/>
    <m/>
    <s v="NW"/>
    <s v="CORNER "/>
    <s v="ROAD 18M (BUILDINGS)"/>
    <s v="FORTH"/>
    <s v="D"/>
    <n v="0.13"/>
    <n v="0.05"/>
    <n v="0.15"/>
    <n v="0.06"/>
    <n v="2.5000000000000001E-2"/>
    <n v="0.41499999999999998"/>
    <x v="0"/>
    <s v="R 7"/>
    <n v="50150"/>
    <n v="56050"/>
    <n v="5900"/>
    <n v="2448.5"/>
    <n v="52598.5"/>
    <n v="17357.505000000001"/>
    <n v="57098.5"/>
    <n v="60098.5"/>
    <n v="9099540.5"/>
    <n v="9878040.5"/>
    <n v="10397040.5"/>
    <n v="0"/>
    <n v="773460.9425"/>
    <n v="2"/>
    <n v="236000"/>
    <n v="236000"/>
    <n v="9335540.5"/>
  </r>
  <r>
    <s v="B3"/>
    <s v="B"/>
    <x v="20"/>
    <x v="0"/>
    <n v="0"/>
    <n v="1"/>
    <x v="410"/>
    <s v="3 BEDROOM"/>
    <x v="1"/>
    <n v="141.82499999999999"/>
    <n v="159.04192828545919"/>
    <n v="173"/>
    <n v="78.601100000000002"/>
    <m/>
    <s v="NW"/>
    <s v="MIDDLE"/>
    <s v="ROAD 18M (BUILDINGS)"/>
    <s v="GROUND"/>
    <s v="D"/>
    <n v="0.13"/>
    <n v="2.5000000000000001E-2"/>
    <n v="0.15"/>
    <n v="0.05"/>
    <n v="2.5000000000000001E-2"/>
    <n v="0.38"/>
    <x v="0"/>
    <s v="R 3"/>
    <n v="44625"/>
    <n v="49875"/>
    <n v="5250"/>
    <n v="1995"/>
    <n v="46620"/>
    <n v="15384.6"/>
    <n v="51120"/>
    <n v="54120"/>
    <n v="8065260"/>
    <n v="8843760"/>
    <n v="9362760"/>
    <n v="1209246.48306"/>
    <n v="788333.05106010009"/>
    <n v="2"/>
    <n v="210000"/>
    <n v="210000"/>
    <n v="9484506.4830600005"/>
  </r>
  <r>
    <m/>
    <s v="B"/>
    <x v="20"/>
    <x v="0"/>
    <n v="0"/>
    <n v="2"/>
    <x v="411"/>
    <s v="3 BEDROOM + LIVING (DUPLEX)"/>
    <x v="1"/>
    <n v="142.05600000000001"/>
    <n v="159.30097066468673"/>
    <n v="344"/>
    <n v="97.868200000000002"/>
    <m/>
    <s v="SE"/>
    <s v="MIDDLE"/>
    <s v="LAKE B-2"/>
    <s v="GROUND"/>
    <s v="F"/>
    <n v="0.08"/>
    <n v="2.5000000000000001E-2"/>
    <n v="0.53"/>
    <n v="0.05"/>
    <n v="0"/>
    <n v="0.68500000000000005"/>
    <x v="1"/>
    <s v="R 1"/>
    <n v="42500"/>
    <n v="47500"/>
    <n v="5000"/>
    <n v="3425.0000000000005"/>
    <n v="45925"/>
    <n v="15155.25"/>
    <n v="50425"/>
    <n v="53425"/>
    <n v="15798200"/>
    <n v="17346200"/>
    <n v="18378200"/>
    <n v="1483217.0380500001"/>
    <n v="1468920.4482342501"/>
    <n v="2"/>
    <n v="200000"/>
    <n v="200000"/>
    <n v="17481417.03805"/>
  </r>
  <r>
    <m/>
    <s v="B"/>
    <x v="20"/>
    <x v="0"/>
    <n v="0"/>
    <n v="3"/>
    <x v="412"/>
    <s v="3 BEDROOM + LIVING (DUPLEX)"/>
    <x v="1"/>
    <n v="142.197"/>
    <n v="159.45908744161781"/>
    <n v="344"/>
    <n v="97.259299999999996"/>
    <m/>
    <s v="SE"/>
    <s v="MIDDLE"/>
    <s v="LAKE B-2"/>
    <s v="GROUND"/>
    <s v="F"/>
    <n v="0.08"/>
    <n v="2.5000000000000001E-2"/>
    <n v="0.53"/>
    <n v="0.05"/>
    <n v="0"/>
    <n v="0.68500000000000005"/>
    <x v="1"/>
    <s v="R 8"/>
    <n v="51850"/>
    <n v="57950"/>
    <n v="6100"/>
    <n v="4178.5"/>
    <n v="56028.5"/>
    <n v="18489.405000000002"/>
    <n v="60528.5"/>
    <n v="63528.5"/>
    <n v="19273804"/>
    <n v="20821804"/>
    <n v="21853804"/>
    <n v="1798266.5877165003"/>
    <n v="1791125.9999559028"/>
    <n v="2"/>
    <n v="244000"/>
    <n v="244000"/>
    <n v="21316070.587716501"/>
  </r>
  <r>
    <m/>
    <s v="B"/>
    <x v="20"/>
    <x v="0"/>
    <n v="0"/>
    <n v="4"/>
    <x v="413"/>
    <s v="2 BEDROOM"/>
    <x v="1"/>
    <n v="95.254000000000005"/>
    <n v="106.81741467938045"/>
    <n v="116"/>
    <n v="63.399000000000001"/>
    <m/>
    <s v="NW"/>
    <s v="MIDDLE"/>
    <s v="ROAD 18M (BUILDINGS)"/>
    <s v="GROUND"/>
    <s v="B"/>
    <n v="0.13"/>
    <n v="2.5000000000000001E-2"/>
    <n v="0.15"/>
    <n v="0.05"/>
    <n v="0.04"/>
    <n v="0.39499999999999996"/>
    <x v="0"/>
    <s v="R 4"/>
    <n v="45687.5"/>
    <n v="51062.5"/>
    <n v="5375"/>
    <n v="2123.125"/>
    <n v="47810.625"/>
    <n v="15777.50625"/>
    <n v="52310.625"/>
    <n v="55310.625"/>
    <n v="5546032.5"/>
    <n v="6068032.5"/>
    <n v="6416032.5"/>
    <n v="1000278.11874375"/>
    <n v="556436.40259321884"/>
    <n v="1"/>
    <n v="215000"/>
    <n v="215000"/>
    <n v="6761310.6187437503"/>
  </r>
  <r>
    <m/>
    <s v="B"/>
    <x v="20"/>
    <x v="0"/>
    <n v="1"/>
    <n v="1"/>
    <x v="414"/>
    <s v="3 BEDROOM"/>
    <x v="1"/>
    <n v="142.977"/>
    <n v="160.33377599485354"/>
    <n v="174"/>
    <m/>
    <m/>
    <s v="NW"/>
    <s v="MIDDLE"/>
    <s v="ROAD 18M (BUILDINGS)"/>
    <s v="FIRST"/>
    <s v="D"/>
    <n v="0.13"/>
    <n v="2.5000000000000001E-2"/>
    <n v="0.15"/>
    <n v="7.0000000000000007E-2"/>
    <n v="2.5000000000000001E-2"/>
    <n v="0.4"/>
    <x v="0"/>
    <s v="R 5"/>
    <n v="46750.000000000007"/>
    <n v="52250.000000000007"/>
    <n v="5500"/>
    <n v="2200"/>
    <n v="48950.000000000007"/>
    <n v="16153.500000000004"/>
    <n v="53450.000000000007"/>
    <n v="56450.000000000007"/>
    <n v="8517300.0000000019"/>
    <n v="9300300.0000000019"/>
    <n v="9822300.0000000019"/>
    <n v="0"/>
    <n v="723970.50000000023"/>
    <n v="2"/>
    <n v="220000.00000000003"/>
    <n v="220000.00000000003"/>
    <n v="8737300.0000000019"/>
  </r>
  <r>
    <m/>
    <s v="B"/>
    <x v="20"/>
    <x v="0"/>
    <n v="1"/>
    <n v="4"/>
    <x v="415"/>
    <s v="2 BEDROOM"/>
    <x v="1"/>
    <n v="96.311000000000007"/>
    <n v="108.00272980857298"/>
    <n v="117"/>
    <m/>
    <m/>
    <s v="NW"/>
    <s v="MIDDLE"/>
    <s v="ROAD 18M (BUILDINGS)"/>
    <s v="FIRST"/>
    <s v="B"/>
    <n v="0.13"/>
    <n v="2.5000000000000001E-2"/>
    <n v="0.15"/>
    <n v="7.0000000000000007E-2"/>
    <n v="0.04"/>
    <n v="0.41499999999999998"/>
    <x v="0"/>
    <s v="R 7"/>
    <n v="50150"/>
    <n v="56050"/>
    <n v="5900"/>
    <n v="2448.5"/>
    <n v="52598.5"/>
    <n v="17357.505000000001"/>
    <n v="57098.5"/>
    <n v="60098.5"/>
    <n v="6154024.5"/>
    <n v="6680524.5"/>
    <n v="7031524.5"/>
    <n v="0"/>
    <n v="523092.08250000002"/>
    <n v="1"/>
    <n v="236000"/>
    <n v="236000"/>
    <n v="6390024.5"/>
  </r>
  <r>
    <m/>
    <s v="B"/>
    <x v="20"/>
    <x v="0"/>
    <n v="2"/>
    <n v="1"/>
    <x v="416"/>
    <s v="3 BEDROOM"/>
    <x v="1"/>
    <n v="141.18700000000001"/>
    <n v="158.32647790473564"/>
    <n v="172"/>
    <m/>
    <m/>
    <s v="NW"/>
    <s v="MIDDLE"/>
    <s v="ROAD 18M (BUILDINGS)"/>
    <s v="SECOND"/>
    <s v="D"/>
    <n v="0.13"/>
    <n v="2.5000000000000001E-2"/>
    <n v="0.15"/>
    <n v="0.11"/>
    <n v="2.5000000000000001E-2"/>
    <n v="0.44"/>
    <x v="0"/>
    <s v="R 8"/>
    <n v="51850"/>
    <n v="57950"/>
    <n v="6100"/>
    <n v="2684"/>
    <n v="54534"/>
    <n v="17996.22"/>
    <n v="59034"/>
    <n v="62034"/>
    <n v="9379848"/>
    <n v="10153848"/>
    <n v="10669848"/>
    <n v="0"/>
    <n v="797287.08000000007"/>
    <n v="2"/>
    <n v="244000"/>
    <n v="244000"/>
    <n v="9623848"/>
  </r>
  <r>
    <m/>
    <s v="B"/>
    <x v="20"/>
    <x v="0"/>
    <n v="2"/>
    <n v="2"/>
    <x v="417"/>
    <s v="3 BEDROOM"/>
    <x v="1"/>
    <n v="141.446"/>
    <n v="158.61691936023314"/>
    <n v="173"/>
    <m/>
    <m/>
    <s v="SE"/>
    <s v="MIDDLE"/>
    <s v="LAKE B-2"/>
    <s v="SECOND"/>
    <s v="D"/>
    <n v="0.08"/>
    <n v="2.5000000000000001E-2"/>
    <n v="0.53"/>
    <n v="0.11"/>
    <n v="2.5000000000000001E-2"/>
    <n v="0.77"/>
    <x v="2"/>
    <s v="R 3"/>
    <n v="44625"/>
    <n v="49875"/>
    <n v="5250"/>
    <n v="4042.5"/>
    <n v="48667.5"/>
    <n v="16060.275000000001"/>
    <n v="53167.5"/>
    <n v="56167.5"/>
    <n v="8419477.5"/>
    <n v="9197977.5"/>
    <n v="9716977.5"/>
    <n v="0"/>
    <n v="715655.58750000002"/>
    <n v="2"/>
    <n v="210000"/>
    <n v="210000"/>
    <n v="8629477.5"/>
  </r>
  <r>
    <m/>
    <s v="B"/>
    <x v="20"/>
    <x v="0"/>
    <n v="2"/>
    <n v="3"/>
    <x v="418"/>
    <s v="3 BEDROOM"/>
    <x v="1"/>
    <n v="141.572"/>
    <n v="158.75821520344815"/>
    <n v="173"/>
    <m/>
    <m/>
    <s v="SE"/>
    <s v="MIDDLE"/>
    <s v="LAKE B-2"/>
    <s v="SECOND"/>
    <s v="D"/>
    <n v="0.08"/>
    <n v="2.5000000000000001E-2"/>
    <n v="0.53"/>
    <n v="0.11"/>
    <n v="2.5000000000000001E-2"/>
    <n v="0.77"/>
    <x v="2"/>
    <s v="R 3"/>
    <n v="44625"/>
    <n v="49875"/>
    <n v="5250"/>
    <n v="4042.5"/>
    <n v="48667.5"/>
    <n v="16060.275000000001"/>
    <n v="53167.5"/>
    <n v="56167.5"/>
    <n v="8419477.5"/>
    <n v="9197977.5"/>
    <n v="9716977.5"/>
    <n v="0"/>
    <n v="715655.58750000002"/>
    <n v="2"/>
    <n v="210000"/>
    <n v="210000"/>
    <n v="8629477.5"/>
  </r>
  <r>
    <m/>
    <s v="B"/>
    <x v="20"/>
    <x v="0"/>
    <n v="2"/>
    <n v="4"/>
    <x v="419"/>
    <s v="3 BEDROOM"/>
    <x v="1"/>
    <n v="141.226"/>
    <n v="158.37021233239741"/>
    <n v="172"/>
    <m/>
    <m/>
    <s v="NW"/>
    <s v="MIDDLE"/>
    <s v="ROAD 18M (BUILDINGS)"/>
    <s v="SECOND"/>
    <s v="D"/>
    <n v="0.13"/>
    <n v="2.5000000000000001E-2"/>
    <n v="0.15"/>
    <n v="0.11"/>
    <n v="2.5000000000000001E-2"/>
    <n v="0.44"/>
    <x v="0"/>
    <s v="R 8"/>
    <n v="51850"/>
    <n v="57950"/>
    <n v="6100"/>
    <n v="2684"/>
    <n v="54534"/>
    <n v="17996.22"/>
    <n v="59034"/>
    <n v="62034"/>
    <n v="9379848"/>
    <n v="10153848"/>
    <n v="10669848"/>
    <n v="0"/>
    <n v="797287.08000000007"/>
    <n v="2"/>
    <n v="244000"/>
    <n v="244000"/>
    <n v="9623848"/>
  </r>
  <r>
    <m/>
    <s v="B"/>
    <x v="20"/>
    <x v="0"/>
    <n v="3"/>
    <n v="1"/>
    <x v="420"/>
    <s v="3 BEDROOM"/>
    <x v="1"/>
    <n v="141.48599999999999"/>
    <n v="158.66177518347598"/>
    <n v="173"/>
    <m/>
    <m/>
    <s v="NW"/>
    <s v="MIDDLE"/>
    <s v="ROAD 18M (BUILDINGS)"/>
    <s v="THIRD"/>
    <s v="D"/>
    <n v="0.13"/>
    <n v="2.5000000000000001E-2"/>
    <n v="0.15"/>
    <n v="0.15"/>
    <n v="2.5000000000000001E-2"/>
    <n v="0.48"/>
    <x v="0"/>
    <s v="R 12"/>
    <n v="61625"/>
    <n v="68875"/>
    <n v="7250"/>
    <n v="3480"/>
    <n v="65105"/>
    <n v="21484.65"/>
    <n v="69605"/>
    <n v="72605"/>
    <n v="11263165"/>
    <n v="12041665"/>
    <n v="12560665"/>
    <n v="0"/>
    <n v="957369.02500000002"/>
    <n v="2"/>
    <n v="290000"/>
    <n v="290000"/>
    <n v="11553165"/>
  </r>
  <r>
    <m/>
    <s v="B"/>
    <x v="20"/>
    <x v="0"/>
    <n v="3"/>
    <n v="2"/>
    <x v="421"/>
    <s v="3 BEDROOM"/>
    <x v="1"/>
    <n v="142.25399999999999"/>
    <n v="159.52300698973886"/>
    <n v="174"/>
    <m/>
    <m/>
    <s v="SE"/>
    <s v="MIDDLE"/>
    <s v="LAKE B-2"/>
    <s v="THIRD"/>
    <s v="D"/>
    <n v="0.08"/>
    <n v="2.5000000000000001E-2"/>
    <n v="0.53"/>
    <n v="0.15"/>
    <n v="2.5000000000000001E-2"/>
    <n v="0.81"/>
    <x v="2"/>
    <s v="R 7"/>
    <n v="50150"/>
    <n v="56050"/>
    <n v="5900"/>
    <n v="4779"/>
    <n v="54929"/>
    <n v="18126.57"/>
    <n v="59429"/>
    <n v="62429"/>
    <n v="9557646"/>
    <n v="10340646"/>
    <n v="10862646"/>
    <n v="0"/>
    <n v="812399.91"/>
    <n v="2"/>
    <n v="236000"/>
    <n v="236000"/>
    <n v="9793646"/>
  </r>
  <r>
    <m/>
    <s v="B"/>
    <x v="20"/>
    <x v="0"/>
    <n v="3"/>
    <n v="3"/>
    <x v="422"/>
    <s v="3 BEDROOM"/>
    <x v="1"/>
    <n v="142.37799999999999"/>
    <n v="159.6620600417917"/>
    <n v="174"/>
    <m/>
    <m/>
    <s v="SE"/>
    <s v="MIDDLE"/>
    <s v="LAKE B-2"/>
    <s v="THIRD"/>
    <s v="D"/>
    <n v="0.08"/>
    <n v="2.5000000000000001E-2"/>
    <n v="0.53"/>
    <n v="0.15"/>
    <n v="2.5000000000000001E-2"/>
    <n v="0.81"/>
    <x v="2"/>
    <s v="R 7"/>
    <n v="50150"/>
    <n v="56050"/>
    <n v="5900"/>
    <n v="4779"/>
    <n v="54929"/>
    <n v="18126.57"/>
    <n v="59429"/>
    <n v="62429"/>
    <n v="9557646"/>
    <n v="10340646"/>
    <n v="10862646"/>
    <n v="0"/>
    <n v="812399.91"/>
    <n v="2"/>
    <n v="236000"/>
    <n v="236000"/>
    <n v="9793646"/>
  </r>
  <r>
    <m/>
    <s v="B"/>
    <x v="20"/>
    <x v="0"/>
    <n v="3"/>
    <n v="4"/>
    <x v="423"/>
    <s v="3 BEDROOM"/>
    <x v="1"/>
    <n v="141.52600000000001"/>
    <n v="158.70663100671885"/>
    <n v="173"/>
    <m/>
    <m/>
    <s v="NW"/>
    <s v="MIDDLE"/>
    <s v="ROAD 18M (BUILDINGS)"/>
    <s v="THIRD"/>
    <s v="D"/>
    <n v="0.13"/>
    <n v="2.5000000000000001E-2"/>
    <n v="0.15"/>
    <n v="0.15"/>
    <n v="2.5000000000000001E-2"/>
    <n v="0.48"/>
    <x v="0"/>
    <s v="R 12"/>
    <n v="61625"/>
    <n v="68875"/>
    <n v="7250"/>
    <n v="3480"/>
    <n v="65105"/>
    <n v="21484.65"/>
    <n v="69605"/>
    <n v="72605"/>
    <n v="11263165"/>
    <n v="12041665"/>
    <n v="12560665"/>
    <n v="0"/>
    <n v="957369.02500000002"/>
    <n v="2"/>
    <n v="290000"/>
    <n v="290000"/>
    <n v="11553165"/>
  </r>
  <r>
    <m/>
    <s v="B"/>
    <x v="20"/>
    <x v="0"/>
    <n v="4"/>
    <n v="1"/>
    <x v="424"/>
    <s v="3 BEDROOM"/>
    <x v="1"/>
    <n v="139.12"/>
    <n v="156.00855323866094"/>
    <n v="170"/>
    <m/>
    <m/>
    <s v="NW"/>
    <s v="MIDDLE"/>
    <s v="ROAD 18M (BUILDINGS)"/>
    <s v="FORTH"/>
    <s v="D"/>
    <n v="0.13"/>
    <n v="2.5000000000000001E-2"/>
    <n v="0.15"/>
    <n v="0.06"/>
    <n v="2.5000000000000001E-2"/>
    <n v="0.39"/>
    <x v="0"/>
    <s v="R 4"/>
    <n v="45687.5"/>
    <n v="51062.5"/>
    <n v="5375"/>
    <n v="2096.25"/>
    <n v="47783.75"/>
    <n v="15768.637500000001"/>
    <n v="52283.75"/>
    <n v="55283.75"/>
    <n v="8123237.5"/>
    <n v="8888237.5"/>
    <n v="9398237.5"/>
    <n v="0"/>
    <n v="690475.1875"/>
    <n v="2"/>
    <n v="215000"/>
    <n v="215000"/>
    <n v="8338237.5"/>
  </r>
  <r>
    <m/>
    <s v="B"/>
    <x v="20"/>
    <x v="0"/>
    <n v="4"/>
    <n v="2"/>
    <x v="425"/>
    <s v="3 BEDROOM"/>
    <x v="1"/>
    <n v="141.53399999999999"/>
    <n v="158.71560217136741"/>
    <n v="173"/>
    <m/>
    <m/>
    <s v="SE"/>
    <s v="MIDDLE"/>
    <s v="LAKE B-2"/>
    <s v="FORTH"/>
    <s v="D"/>
    <n v="0.08"/>
    <n v="2.5000000000000001E-2"/>
    <n v="0.53"/>
    <n v="0.06"/>
    <n v="2.5000000000000001E-2"/>
    <n v="0.72000000000000008"/>
    <x v="1"/>
    <s v="R 12"/>
    <n v="61625"/>
    <n v="68875"/>
    <n v="7250"/>
    <n v="5220.0000000000009"/>
    <n v="66845"/>
    <n v="22058.850000000002"/>
    <n v="71345"/>
    <n v="74345"/>
    <n v="11564185"/>
    <n v="12342685"/>
    <n v="12861685"/>
    <n v="0"/>
    <n v="982955.72500000009"/>
    <n v="2"/>
    <n v="290000"/>
    <n v="290000"/>
    <n v="11854185"/>
  </r>
  <r>
    <m/>
    <s v="B"/>
    <x v="20"/>
    <x v="0"/>
    <n v="4"/>
    <n v="3"/>
    <x v="426"/>
    <s v="3 BEDROOM"/>
    <x v="1"/>
    <n v="141.65899999999999"/>
    <n v="158.85577661900135"/>
    <n v="173"/>
    <m/>
    <m/>
    <s v="SE"/>
    <s v="MIDDLE"/>
    <s v="LAKE B-2"/>
    <s v="FORTH"/>
    <s v="D"/>
    <n v="0.08"/>
    <n v="2.5000000000000001E-2"/>
    <n v="0.53"/>
    <n v="0.06"/>
    <n v="2.5000000000000001E-2"/>
    <n v="0.72000000000000008"/>
    <x v="1"/>
    <s v="R 12"/>
    <n v="61625"/>
    <n v="68875"/>
    <n v="7250"/>
    <n v="5220.0000000000009"/>
    <n v="66845"/>
    <n v="22058.850000000002"/>
    <n v="71345"/>
    <n v="74345"/>
    <n v="11564185"/>
    <n v="12342685"/>
    <n v="12861685"/>
    <n v="0"/>
    <n v="982955.72500000009"/>
    <n v="2"/>
    <n v="290000"/>
    <n v="290000"/>
    <n v="11854185"/>
  </r>
  <r>
    <m/>
    <s v="B"/>
    <x v="20"/>
    <x v="0"/>
    <n v="4"/>
    <n v="4"/>
    <x v="427"/>
    <s v="3 BEDROOM"/>
    <x v="1"/>
    <n v="139.31659999999999"/>
    <n v="156.22901960989958"/>
    <n v="170"/>
    <m/>
    <m/>
    <s v="NW"/>
    <s v="MIDDLE"/>
    <s v="ROAD 18M (BUILDINGS)"/>
    <s v="FORTH"/>
    <s v="D"/>
    <n v="0.13"/>
    <n v="2.5000000000000001E-2"/>
    <n v="0.15"/>
    <n v="0.06"/>
    <n v="2.5000000000000001E-2"/>
    <n v="0.39"/>
    <x v="0"/>
    <s v="R 4"/>
    <n v="45687.5"/>
    <n v="51062.5"/>
    <n v="5375"/>
    <n v="2096.25"/>
    <n v="47783.75"/>
    <n v="15768.637500000001"/>
    <n v="52283.75"/>
    <n v="55283.75"/>
    <n v="8123237.5"/>
    <n v="8888237.5"/>
    <n v="9398237.5"/>
    <n v="0"/>
    <n v="690475.1875"/>
    <n v="2"/>
    <n v="215000"/>
    <n v="215000"/>
    <n v="8338237.5"/>
  </r>
  <r>
    <s v="B3"/>
    <s v="B"/>
    <x v="21"/>
    <x v="0"/>
    <n v="0"/>
    <n v="1"/>
    <x v="428"/>
    <s v="3 BEDROOM"/>
    <x v="1"/>
    <n v="144.66300000000001"/>
    <n v="160.29970969584483"/>
    <n v="176"/>
    <n v="77.696799999999996"/>
    <m/>
    <s v="NW"/>
    <s v="CORNER "/>
    <s v="ROAD 18M (BUILDINGS)"/>
    <s v="GROUND"/>
    <s v="D"/>
    <n v="0.13"/>
    <n v="0.05"/>
    <n v="0.15"/>
    <n v="0.05"/>
    <n v="2.5000000000000001E-2"/>
    <n v="0.40499999999999997"/>
    <x v="0"/>
    <s v="R 6"/>
    <n v="48450.000000000007"/>
    <n v="54150.000000000007"/>
    <n v="5700"/>
    <n v="2308.5"/>
    <n v="50758.500000000007"/>
    <n v="16750.305000000004"/>
    <n v="55258.500000000007"/>
    <n v="58258.500000000007"/>
    <n v="8933496.0000000019"/>
    <n v="9725496.0000000019"/>
    <n v="10253496.000000002"/>
    <n v="1301445.0975240003"/>
    <n v="869969.99328954029"/>
    <n v="2"/>
    <n v="228000.00000000003"/>
    <n v="228000.00000000003"/>
    <n v="10462941.097524002"/>
  </r>
  <r>
    <m/>
    <s v="B"/>
    <x v="21"/>
    <x v="0"/>
    <n v="0"/>
    <n v="2"/>
    <x v="429"/>
    <s v="3 BEDROOM + LIVING"/>
    <x v="1"/>
    <n v="183.887"/>
    <n v="203.76345518093646"/>
    <n v="224"/>
    <n v="56.4666"/>
    <m/>
    <s v="SE"/>
    <s v="CORNER "/>
    <s v="SEMI LAKE B-2"/>
    <s v="GROUND"/>
    <s v="E"/>
    <n v="0.08"/>
    <n v="0.05"/>
    <n v="0.42400000000000004"/>
    <n v="0.05"/>
    <n v="1.4999999999999999E-2"/>
    <n v="0.61900000000000011"/>
    <x v="1"/>
    <s v="R 3"/>
    <n v="44625"/>
    <n v="49875"/>
    <n v="5250"/>
    <n v="3249.7500000000005"/>
    <n v="47874.75"/>
    <n v="15798.667500000001"/>
    <n v="52374.75"/>
    <n v="55374.75"/>
    <n v="10723944"/>
    <n v="11731944"/>
    <n v="12403944"/>
    <n v="892097.03825550003"/>
    <n v="987363.48825171753"/>
    <n v="2"/>
    <n v="210000"/>
    <n v="210000"/>
    <n v="11826041.0382555"/>
  </r>
  <r>
    <m/>
    <s v="B"/>
    <x v="21"/>
    <x v="0"/>
    <n v="0"/>
    <n v="3"/>
    <x v="430"/>
    <s v="3 BEDROOM"/>
    <x v="1"/>
    <n v="162.78100000000001"/>
    <n v="180.37609508996297"/>
    <n v="199"/>
    <n v="77.576999999999998"/>
    <m/>
    <s v="SE"/>
    <s v="MIDDLE"/>
    <s v="LAKE B-2"/>
    <s v="GROUND"/>
    <s v="E"/>
    <n v="0.08"/>
    <n v="2.5000000000000001E-2"/>
    <n v="0.53"/>
    <n v="0.05"/>
    <n v="1.4999999999999999E-2"/>
    <n v="0.70000000000000007"/>
    <x v="1"/>
    <s v="R 9"/>
    <n v="53550"/>
    <n v="59850"/>
    <n v="6300"/>
    <n v="4410"/>
    <n v="57960"/>
    <n v="19126.8"/>
    <n v="62460"/>
    <n v="65460"/>
    <n v="11534040"/>
    <n v="12429540"/>
    <n v="13026540"/>
    <n v="1483799.7635999999"/>
    <n v="1106516.3799060001"/>
    <n v="2"/>
    <n v="252000"/>
    <n v="252000"/>
    <n v="13269839.763599999"/>
  </r>
  <r>
    <m/>
    <s v="B"/>
    <x v="21"/>
    <x v="0"/>
    <n v="0"/>
    <n v="4"/>
    <x v="431"/>
    <s v="2 BEDROOM"/>
    <x v="1"/>
    <n v="95.213999999999999"/>
    <n v="105.50573788031609"/>
    <n v="116"/>
    <n v="61.981200000000001"/>
    <m/>
    <s v="NW"/>
    <s v="MIDDLE"/>
    <s v="ROAD 18M (BUILDINGS)"/>
    <s v="GROUND"/>
    <s v="B"/>
    <n v="0.13"/>
    <n v="2.5000000000000001E-2"/>
    <n v="0.15"/>
    <n v="0.05"/>
    <n v="0.04"/>
    <n v="0.39499999999999996"/>
    <x v="0"/>
    <s v="R 4"/>
    <n v="45687.5"/>
    <n v="51062.5"/>
    <n v="5375"/>
    <n v="2123.125"/>
    <n v="47810.625"/>
    <n v="15777.50625"/>
    <n v="52310.625"/>
    <n v="55310.625"/>
    <n v="5546032.5"/>
    <n v="6068032.5"/>
    <n v="6416032.5"/>
    <n v="977908.77038250002"/>
    <n v="554535.00798251259"/>
    <n v="1"/>
    <n v="215000"/>
    <n v="215000"/>
    <n v="6738941.2703825003"/>
  </r>
  <r>
    <m/>
    <s v="B"/>
    <x v="21"/>
    <x v="0"/>
    <n v="1"/>
    <n v="1"/>
    <x v="432"/>
    <s v="3 BEDROOM"/>
    <x v="1"/>
    <n v="141.66300000000001"/>
    <n v="156.9754379118535"/>
    <n v="173"/>
    <m/>
    <m/>
    <s v="NW"/>
    <s v="CORNER "/>
    <s v="ROAD 18M (BUILDINGS)"/>
    <s v="FIRST"/>
    <s v="D"/>
    <n v="0.13"/>
    <n v="0.05"/>
    <n v="0.15"/>
    <n v="7.0000000000000007E-2"/>
    <n v="2.5000000000000001E-2"/>
    <n v="0.42499999999999999"/>
    <x v="0"/>
    <s v="R 8"/>
    <n v="51850"/>
    <n v="57950"/>
    <n v="6100"/>
    <n v="2592.5"/>
    <n v="54442.5"/>
    <n v="17966.025000000001"/>
    <n v="58942.5"/>
    <n v="61942.5"/>
    <n v="9418552.5"/>
    <n v="10197052.5"/>
    <n v="10716052.5"/>
    <n v="0"/>
    <n v="800576.96250000002"/>
    <n v="2"/>
    <n v="244000"/>
    <n v="244000"/>
    <n v="9662552.5"/>
  </r>
  <r>
    <m/>
    <s v="B"/>
    <x v="21"/>
    <x v="0"/>
    <n v="1"/>
    <n v="2"/>
    <x v="433"/>
    <s v="3 BEDROOM + LIVING"/>
    <x v="1"/>
    <n v="183.637"/>
    <n v="203.48643253227053"/>
    <n v="224"/>
    <m/>
    <m/>
    <s v="SE"/>
    <s v="CORNER "/>
    <s v="SEMI LAKE B-2"/>
    <s v="FIRST"/>
    <s v="E"/>
    <n v="0.08"/>
    <n v="0.05"/>
    <n v="0.42400000000000004"/>
    <n v="7.0000000000000007E-2"/>
    <n v="1.4999999999999999E-2"/>
    <n v="0.63900000000000012"/>
    <x v="1"/>
    <s v="R 4"/>
    <n v="45687.5"/>
    <n v="51062.5"/>
    <n v="5375"/>
    <n v="3434.6250000000005"/>
    <n v="49122.125"/>
    <n v="16210.30125"/>
    <n v="53622.125"/>
    <n v="56622.125"/>
    <n v="11003356"/>
    <n v="12011356"/>
    <n v="12683356"/>
    <n v="0"/>
    <n v="935285.26"/>
    <n v="2"/>
    <n v="215000"/>
    <n v="215000"/>
    <n v="11218356"/>
  </r>
  <r>
    <m/>
    <s v="B"/>
    <x v="21"/>
    <x v="0"/>
    <n v="1"/>
    <n v="3"/>
    <x v="434"/>
    <s v="3 BEDROOM"/>
    <x v="1"/>
    <n v="162.53100000000001"/>
    <n v="180.09907244129704"/>
    <n v="198"/>
    <m/>
    <m/>
    <s v="SE"/>
    <s v="MIDDLE"/>
    <s v="LAKE B-2"/>
    <s v="FIRST"/>
    <s v="E"/>
    <n v="0.08"/>
    <n v="2.5000000000000001E-2"/>
    <n v="0.53"/>
    <n v="7.0000000000000007E-2"/>
    <n v="1.4999999999999999E-2"/>
    <n v="0.72000000000000008"/>
    <x v="1"/>
    <s v="R 12"/>
    <n v="61625"/>
    <n v="68875"/>
    <n v="7250"/>
    <n v="5220.0000000000009"/>
    <n v="66845"/>
    <n v="22058.850000000002"/>
    <n v="71345"/>
    <n v="74345"/>
    <n v="13235310"/>
    <n v="14126310"/>
    <n v="14720310"/>
    <n v="0"/>
    <n v="1125001.3500000001"/>
    <n v="2"/>
    <n v="290000"/>
    <n v="290000"/>
    <n v="13525310"/>
  </r>
  <r>
    <m/>
    <s v="B"/>
    <x v="21"/>
    <x v="0"/>
    <n v="1"/>
    <n v="4"/>
    <x v="435"/>
    <s v="2 BEDROOM"/>
    <x v="1"/>
    <n v="96.271000000000001"/>
    <n v="106.6769896388757"/>
    <n v="117"/>
    <m/>
    <m/>
    <s v="NW"/>
    <s v="MIDDLE"/>
    <s v="ROAD 18M (BUILDINGS)"/>
    <s v="FIRST"/>
    <s v="B"/>
    <n v="0.13"/>
    <n v="2.5000000000000001E-2"/>
    <n v="0.15"/>
    <n v="7.0000000000000007E-2"/>
    <n v="0.04"/>
    <n v="0.41499999999999998"/>
    <x v="0"/>
    <s v="R 7"/>
    <n v="50150"/>
    <n v="56050"/>
    <n v="5900"/>
    <n v="2448.5"/>
    <n v="52598.5"/>
    <n v="17357.505000000001"/>
    <n v="57098.5"/>
    <n v="60098.5"/>
    <n v="6154024.5"/>
    <n v="6680524.5"/>
    <n v="7031524.5"/>
    <n v="0"/>
    <n v="523092.08250000002"/>
    <n v="1"/>
    <n v="236000"/>
    <n v="236000"/>
    <n v="6390024.5"/>
  </r>
  <r>
    <m/>
    <s v="B"/>
    <x v="21"/>
    <x v="0"/>
    <n v="2"/>
    <n v="1"/>
    <x v="436"/>
    <s v="3 BEDROOM"/>
    <x v="1"/>
    <n v="143.989"/>
    <n v="159.55285663504142"/>
    <n v="176"/>
    <m/>
    <m/>
    <s v="NW"/>
    <s v="CORNER "/>
    <s v="ROAD 18M (BUILDINGS)"/>
    <s v="SECOND"/>
    <s v="D"/>
    <n v="0.13"/>
    <n v="0.05"/>
    <n v="0.15"/>
    <n v="0.11"/>
    <n v="2.5000000000000001E-2"/>
    <n v="0.46499999999999997"/>
    <x v="0"/>
    <s v="R 11"/>
    <n v="58649.999999999993"/>
    <n v="65550"/>
    <n v="6900.0000000000073"/>
    <n v="3208.5000000000032"/>
    <n v="61858.499999999993"/>
    <n v="20413.305"/>
    <n v="66358.5"/>
    <n v="69358.5"/>
    <n v="10887095.999999998"/>
    <n v="11679096"/>
    <n v="12207096"/>
    <n v="0"/>
    <n v="925403.15999999992"/>
    <n v="2"/>
    <n v="276000"/>
    <n v="276000"/>
    <n v="11163095.999999998"/>
  </r>
  <r>
    <m/>
    <s v="B"/>
    <x v="21"/>
    <x v="0"/>
    <n v="2"/>
    <n v="2"/>
    <x v="437"/>
    <s v="3 BEDROOM + LIVING"/>
    <x v="1"/>
    <n v="187.1"/>
    <n v="207.32375026159116"/>
    <n v="228"/>
    <m/>
    <m/>
    <s v="SE"/>
    <s v="CORNER "/>
    <s v="SEMI LAKE B-2"/>
    <s v="SECOND"/>
    <s v="E"/>
    <n v="0.08"/>
    <n v="0.05"/>
    <n v="0.42400000000000004"/>
    <n v="0.11"/>
    <n v="1.4999999999999999E-2"/>
    <n v="0.67900000000000005"/>
    <x v="1"/>
    <s v="R 7"/>
    <n v="50150"/>
    <n v="56050"/>
    <n v="5900"/>
    <n v="4006.1000000000004"/>
    <n v="54156.1"/>
    <n v="17871.512999999999"/>
    <n v="58656.1"/>
    <n v="61656.1"/>
    <n v="12347590.799999999"/>
    <n v="13373590.799999999"/>
    <n v="14057590.799999999"/>
    <n v="0"/>
    <n v="1049545.2179999999"/>
    <n v="2"/>
    <n v="236000"/>
    <n v="236000"/>
    <n v="12583590.799999999"/>
  </r>
  <r>
    <m/>
    <s v="B"/>
    <x v="21"/>
    <x v="0"/>
    <n v="2"/>
    <n v="3"/>
    <x v="438"/>
    <s v="3 BEDROOM"/>
    <x v="1"/>
    <n v="167.16900000000001"/>
    <n v="185.23839661934761"/>
    <n v="204"/>
    <m/>
    <m/>
    <s v="SE"/>
    <s v="MIDDLE"/>
    <s v="LAKE B-2"/>
    <s v="SECOND"/>
    <s v="E"/>
    <n v="0.08"/>
    <n v="2.5000000000000001E-2"/>
    <n v="0.53"/>
    <n v="0.11"/>
    <n v="1.4999999999999999E-2"/>
    <n v="0.76"/>
    <x v="2"/>
    <s v="R 2"/>
    <n v="43562.499999999993"/>
    <n v="48687.499999999993"/>
    <n v="5125"/>
    <n v="3895"/>
    <n v="47457.499999999993"/>
    <n v="15660.974999999999"/>
    <n v="51957.499999999993"/>
    <n v="54957.499999999993"/>
    <n v="9681329.9999999981"/>
    <n v="10599329.999999998"/>
    <n v="11211329.999999998"/>
    <n v="0"/>
    <n v="822913.04999999993"/>
    <n v="2"/>
    <n v="204999.99999999997"/>
    <n v="204999.99999999997"/>
    <n v="9886329.9999999981"/>
  </r>
  <r>
    <m/>
    <s v="B"/>
    <x v="21"/>
    <x v="0"/>
    <n v="2"/>
    <n v="4"/>
    <x v="439"/>
    <s v="3 BEDROOM"/>
    <x v="1"/>
    <n v="141.18700000000001"/>
    <n v="156.44798678879354"/>
    <n v="172"/>
    <m/>
    <m/>
    <s v="NW"/>
    <s v="MIDDLE"/>
    <s v="ROAD 18M (BUILDINGS)"/>
    <s v="SECOND"/>
    <s v="D"/>
    <n v="0.13"/>
    <n v="2.5000000000000001E-2"/>
    <n v="0.15"/>
    <n v="0.11"/>
    <n v="2.5000000000000001E-2"/>
    <n v="0.44"/>
    <x v="0"/>
    <s v="R 8"/>
    <n v="51850"/>
    <n v="57950"/>
    <n v="6100"/>
    <n v="2684"/>
    <n v="54534"/>
    <n v="17996.22"/>
    <n v="59034"/>
    <n v="62034"/>
    <n v="9379848"/>
    <n v="10153848"/>
    <n v="10669848"/>
    <n v="0"/>
    <n v="797287.08000000007"/>
    <n v="2"/>
    <n v="244000"/>
    <n v="244000"/>
    <n v="9623848"/>
  </r>
  <r>
    <m/>
    <s v="B"/>
    <x v="21"/>
    <x v="0"/>
    <n v="3"/>
    <n v="1"/>
    <x v="440"/>
    <s v="3 BEDROOM"/>
    <x v="1"/>
    <n v="143.89599999999999"/>
    <n v="159.44980420973766"/>
    <n v="176"/>
    <m/>
    <m/>
    <s v="NW"/>
    <s v="CORNER "/>
    <s v="ROAD 18M (BUILDINGS)"/>
    <s v="THIRD"/>
    <s v="D"/>
    <n v="0.13"/>
    <n v="0.05"/>
    <n v="0.15"/>
    <n v="0.15"/>
    <n v="2.5000000000000001E-2"/>
    <n v="0.505"/>
    <x v="1"/>
    <s v="R 1"/>
    <n v="42500"/>
    <n v="47500"/>
    <n v="5000"/>
    <n v="2525"/>
    <n v="45025"/>
    <n v="14858.25"/>
    <n v="49525"/>
    <n v="52525"/>
    <n v="7924400"/>
    <n v="8716400"/>
    <n v="9244400"/>
    <n v="0"/>
    <n v="673574"/>
    <n v="2"/>
    <n v="200000"/>
    <n v="200000"/>
    <n v="8124400"/>
  </r>
  <r>
    <m/>
    <s v="B"/>
    <x v="21"/>
    <x v="0"/>
    <n v="3"/>
    <n v="2"/>
    <x v="441"/>
    <s v="3 BEDROOM + LIVING"/>
    <x v="1"/>
    <n v="187.20400000000001"/>
    <n v="207.4389916834362"/>
    <n v="228"/>
    <m/>
    <m/>
    <s v="SE"/>
    <s v="CORNER "/>
    <s v="SEMI LAKE B-2"/>
    <s v="THIRD"/>
    <s v="E"/>
    <n v="0.08"/>
    <n v="0.05"/>
    <n v="0.42400000000000004"/>
    <n v="0.15"/>
    <n v="1.4999999999999999E-2"/>
    <n v="0.71900000000000008"/>
    <x v="1"/>
    <s v="R 12"/>
    <n v="61625"/>
    <n v="68875"/>
    <n v="7250"/>
    <n v="5212.7500000000009"/>
    <n v="66837.75"/>
    <n v="22056.4575"/>
    <n v="71337.75"/>
    <n v="74337.75"/>
    <n v="15239007"/>
    <n v="16265007"/>
    <n v="16949007"/>
    <n v="0"/>
    <n v="1295315.5950000002"/>
    <n v="2"/>
    <n v="290000"/>
    <n v="290000"/>
    <n v="15529007"/>
  </r>
  <r>
    <m/>
    <s v="B"/>
    <x v="21"/>
    <x v="0"/>
    <n v="3"/>
    <n v="3"/>
    <x v="442"/>
    <s v="3 BEDROOM"/>
    <x v="1"/>
    <n v="164.417"/>
    <n v="182.18893130283288"/>
    <n v="201"/>
    <m/>
    <m/>
    <s v="SE"/>
    <s v="MIDDLE"/>
    <s v="LAKE B-2"/>
    <s v="THIRD"/>
    <s v="E"/>
    <n v="0.08"/>
    <n v="2.5000000000000001E-2"/>
    <n v="0.53"/>
    <n v="0.15"/>
    <n v="1.4999999999999999E-2"/>
    <n v="0.8"/>
    <x v="2"/>
    <s v="R 6"/>
    <n v="48450.000000000007"/>
    <n v="54150.000000000007"/>
    <n v="5700"/>
    <n v="4560"/>
    <n v="53010.000000000007"/>
    <n v="17493.300000000003"/>
    <n v="57510.000000000007"/>
    <n v="60510.000000000007"/>
    <n v="10655010.000000002"/>
    <n v="11559510.000000002"/>
    <n v="12162510.000000002"/>
    <n v="0"/>
    <n v="905675.85000000021"/>
    <n v="2"/>
    <n v="228000.00000000003"/>
    <n v="228000.00000000003"/>
    <n v="10883010.000000002"/>
  </r>
  <r>
    <m/>
    <s v="B"/>
    <x v="21"/>
    <x v="0"/>
    <n v="3"/>
    <n v="4"/>
    <x v="443"/>
    <s v="3 BEDROOM"/>
    <x v="1"/>
    <n v="141.07300000000001"/>
    <n v="156.32166446100189"/>
    <n v="172"/>
    <m/>
    <m/>
    <s v="NW"/>
    <s v="MIDDLE"/>
    <s v="ROAD 18M (BUILDINGS)"/>
    <s v="THIRD"/>
    <s v="D"/>
    <n v="0.13"/>
    <n v="2.5000000000000001E-2"/>
    <n v="0.15"/>
    <n v="0.15"/>
    <n v="2.5000000000000001E-2"/>
    <n v="0.48"/>
    <x v="0"/>
    <s v="R 12"/>
    <n v="61625"/>
    <n v="68875"/>
    <n v="7250"/>
    <n v="3480"/>
    <n v="65105"/>
    <n v="21484.65"/>
    <n v="69605"/>
    <n v="72605"/>
    <n v="11198060"/>
    <n v="11972060"/>
    <n v="12488060"/>
    <n v="0"/>
    <n v="951835.10000000009"/>
    <n v="2"/>
    <n v="290000"/>
    <n v="290000"/>
    <n v="11488060"/>
  </r>
  <r>
    <m/>
    <s v="B"/>
    <x v="21"/>
    <x v="0"/>
    <n v="4"/>
    <n v="1"/>
    <x v="444"/>
    <s v="3 BEDROOM"/>
    <x v="1"/>
    <n v="141.929"/>
    <n v="157.27019001003407"/>
    <n v="173"/>
    <m/>
    <m/>
    <s v="NW"/>
    <s v="CORNER "/>
    <s v="ROAD 18M (BUILDINGS)"/>
    <s v="FORTH"/>
    <s v="D"/>
    <n v="0.13"/>
    <n v="0.05"/>
    <n v="0.15"/>
    <n v="0.06"/>
    <n v="2.5000000000000001E-2"/>
    <n v="0.41499999999999998"/>
    <x v="0"/>
    <s v="R 7"/>
    <n v="50150"/>
    <n v="56050"/>
    <n v="5900"/>
    <n v="2448.5"/>
    <n v="52598.5"/>
    <n v="17357.505000000001"/>
    <n v="57098.5"/>
    <n v="60098.5"/>
    <n v="9099540.5"/>
    <n v="9878040.5"/>
    <n v="10397040.5"/>
    <n v="0"/>
    <n v="773460.9425"/>
    <n v="2"/>
    <n v="236000"/>
    <n v="236000"/>
    <n v="9335540.5"/>
  </r>
  <r>
    <m/>
    <s v="B"/>
    <x v="21"/>
    <x v="0"/>
    <n v="4"/>
    <n v="2"/>
    <x v="445"/>
    <s v="3 BEDROOM + LIVING"/>
    <x v="1"/>
    <n v="182.36099999999999"/>
    <n v="202.07250893347955"/>
    <n v="222"/>
    <m/>
    <m/>
    <s v="SE"/>
    <s v="CORNER "/>
    <s v="SEMI LAKE B-2"/>
    <s v="FORTH"/>
    <s v="E"/>
    <n v="0.08"/>
    <n v="0.05"/>
    <n v="0.42400000000000004"/>
    <n v="0.06"/>
    <n v="1.4999999999999999E-2"/>
    <n v="0.62900000000000011"/>
    <x v="1"/>
    <s v="R 3"/>
    <n v="44625"/>
    <n v="49875"/>
    <n v="5250"/>
    <n v="3302.2500000000005"/>
    <n v="47927.25"/>
    <n v="15815.9925"/>
    <n v="52427.25"/>
    <n v="55427.25"/>
    <n v="10639849.5"/>
    <n v="11638849.5"/>
    <n v="12304849.5"/>
    <n v="0"/>
    <n v="904387.20750000002"/>
    <n v="2"/>
    <n v="210000"/>
    <n v="210000"/>
    <n v="10849849.5"/>
  </r>
  <r>
    <m/>
    <s v="B"/>
    <x v="21"/>
    <x v="0"/>
    <n v="4"/>
    <n v="3"/>
    <x v="446"/>
    <s v="3 BEDROOM"/>
    <x v="1"/>
    <n v="162.44399999999999"/>
    <n v="180.00266855956127"/>
    <n v="198"/>
    <m/>
    <m/>
    <s v="SE"/>
    <s v="MIDDLE"/>
    <s v="LAKE B-2"/>
    <s v="FORTH"/>
    <s v="E"/>
    <n v="0.08"/>
    <n v="2.5000000000000001E-2"/>
    <n v="0.53"/>
    <n v="0.06"/>
    <n v="1.4999999999999999E-2"/>
    <n v="0.71000000000000008"/>
    <x v="1"/>
    <s v="R 11"/>
    <n v="58649.999999999993"/>
    <n v="65550"/>
    <n v="6900.0000000000073"/>
    <n v="4899.0000000000055"/>
    <n v="63549"/>
    <n v="20971.170000000002"/>
    <n v="68049"/>
    <n v="71049"/>
    <n v="12582702"/>
    <n v="13473702"/>
    <n v="14067702"/>
    <n v="0"/>
    <n v="1069529.6700000002"/>
    <n v="2"/>
    <n v="276000"/>
    <n v="276000"/>
    <n v="12858702"/>
  </r>
  <r>
    <m/>
    <s v="B"/>
    <x v="21"/>
    <x v="0"/>
    <n v="4"/>
    <n v="4"/>
    <x v="447"/>
    <s v="3 BEDROOM"/>
    <x v="1"/>
    <n v="139.12700000000001"/>
    <n v="154.16532016378619"/>
    <n v="170"/>
    <m/>
    <m/>
    <s v="NW"/>
    <s v="MIDDLE"/>
    <s v="ROAD 18M (BUILDINGS)"/>
    <s v="FORTH"/>
    <s v="D"/>
    <n v="0.13"/>
    <n v="2.5000000000000001E-2"/>
    <n v="0.15"/>
    <n v="0.06"/>
    <n v="2.5000000000000001E-2"/>
    <n v="0.39"/>
    <x v="0"/>
    <s v="R 4"/>
    <n v="45687.5"/>
    <n v="51062.5"/>
    <n v="5375"/>
    <n v="2096.25"/>
    <n v="47783.75"/>
    <n v="15768.637500000001"/>
    <n v="52283.75"/>
    <n v="55283.75"/>
    <n v="8123237.5"/>
    <n v="8888237.5"/>
    <n v="9398237.5"/>
    <n v="0"/>
    <n v="690475.1875"/>
    <n v="2"/>
    <n v="215000"/>
    <n v="215000"/>
    <n v="8338237.5"/>
  </r>
  <r>
    <s v="C3"/>
    <s v="B"/>
    <x v="22"/>
    <x v="0"/>
    <n v="0"/>
    <n v="1"/>
    <x v="448"/>
    <s v="2 BEDROOM"/>
    <x v="0"/>
    <n v="87.23"/>
    <n v="94.72160516317075"/>
    <n v="106"/>
    <n v="64.4328"/>
    <m/>
    <s v="NW"/>
    <s v="MIDDLE"/>
    <s v="ROAD 18M (BUILDINGS)"/>
    <s v="GROUND"/>
    <s v="B"/>
    <n v="0.13"/>
    <n v="2.5000000000000001E-2"/>
    <n v="0.15"/>
    <n v="0.05"/>
    <n v="0.04"/>
    <n v="0.39499999999999996"/>
    <x v="0"/>
    <s v="R 4"/>
    <n v="45687.5"/>
    <n v="51062.5"/>
    <n v="5375"/>
    <n v="2123.125"/>
    <n v="47810.625"/>
    <n v="15777.50625"/>
    <n v="52310.625"/>
    <n v="55310.625"/>
    <n v="5067926.25"/>
    <n v="5544926.25"/>
    <n v="5862926.25"/>
    <n v="1016588.904705"/>
    <n v="517183.78814992507"/>
    <n v="1"/>
    <n v="215000"/>
    <n v="215000"/>
    <n v="6299515.1547050001"/>
  </r>
  <r>
    <m/>
    <s v="B"/>
    <x v="22"/>
    <x v="0"/>
    <n v="0"/>
    <n v="2"/>
    <x v="449"/>
    <s v="3 BEDROOM"/>
    <x v="0"/>
    <n v="125.09"/>
    <n v="135.83314902970341"/>
    <n v="153"/>
    <n v="85.619500000000002"/>
    <m/>
    <s v="SE"/>
    <s v="MIDDLE"/>
    <s v="LAKE B-1"/>
    <s v="GROUND"/>
    <s v="C"/>
    <n v="0.08"/>
    <n v="2.5000000000000001E-2"/>
    <n v="0.6"/>
    <n v="0.05"/>
    <n v="3.5000000000000003E-2"/>
    <n v="0.79"/>
    <x v="2"/>
    <s v="R 5"/>
    <n v="46750.000000000007"/>
    <n v="52250.000000000007"/>
    <n v="5500"/>
    <n v="4345"/>
    <n v="51095.000000000007"/>
    <n v="16861.350000000002"/>
    <n v="55595.000000000007"/>
    <n v="58595.000000000007"/>
    <n v="7817535.0000000009"/>
    <n v="8506035.0000000019"/>
    <n v="8965035.0000000019"/>
    <n v="1443660.3563250003"/>
    <n v="787201.60528762511"/>
    <n v="2"/>
    <n v="220000.00000000003"/>
    <n v="220000.00000000003"/>
    <n v="9481195.3563250005"/>
  </r>
  <r>
    <m/>
    <s v="B"/>
    <x v="22"/>
    <x v="0"/>
    <n v="0"/>
    <n v="3"/>
    <x v="450"/>
    <s v="3 BEDROOM"/>
    <x v="0"/>
    <n v="129.57"/>
    <n v="140.69790646557414"/>
    <n v="158"/>
    <n v="84.075199999999995"/>
    <m/>
    <s v="SE"/>
    <s v="CORNER "/>
    <s v="SEMI LAKE B-1"/>
    <s v="GROUND"/>
    <s v="C"/>
    <n v="0.08"/>
    <n v="0.05"/>
    <n v="0.48"/>
    <n v="0.05"/>
    <n v="3.5000000000000003E-2"/>
    <n v="0.69500000000000006"/>
    <x v="1"/>
    <s v="R 9"/>
    <n v="53550"/>
    <n v="59850"/>
    <n v="6300"/>
    <n v="4378.5"/>
    <n v="57928.5"/>
    <n v="19116.405000000002"/>
    <n v="62428.5"/>
    <n v="65428.5"/>
    <n v="9152703"/>
    <n v="9863703"/>
    <n v="10337703"/>
    <n v="1607215.5736560002"/>
    <n v="914593.07876076014"/>
    <n v="2"/>
    <n v="252000"/>
    <n v="252000"/>
    <n v="11011918.573656"/>
  </r>
  <r>
    <m/>
    <s v="B"/>
    <x v="22"/>
    <x v="0"/>
    <n v="0"/>
    <n v="4"/>
    <x v="451"/>
    <s v="3 BEDROOM"/>
    <x v="0"/>
    <n v="131.34"/>
    <n v="142.61992000608558"/>
    <n v="160"/>
    <n v="72.604399999999998"/>
    <m/>
    <s v="NW"/>
    <s v="CORNER "/>
    <s v="ROAD 18M (BUILDINGS)"/>
    <s v="GROUND"/>
    <s v="D"/>
    <n v="0.13"/>
    <n v="0.05"/>
    <n v="0.15"/>
    <n v="0.05"/>
    <n v="2.5000000000000001E-2"/>
    <n v="0.40499999999999997"/>
    <x v="0"/>
    <s v="R 5"/>
    <n v="46750.000000000007"/>
    <n v="52250.000000000007"/>
    <n v="5500"/>
    <n v="2227.5"/>
    <n v="48977.500000000007"/>
    <n v="16162.575000000003"/>
    <n v="53477.500000000007"/>
    <n v="56477.500000000007"/>
    <n v="7836400.0000000009"/>
    <n v="8556400.0000000019"/>
    <n v="9036400.0000000019"/>
    <n v="1173474.0603300002"/>
    <n v="765839.29512805014"/>
    <n v="2"/>
    <n v="220000.00000000003"/>
    <n v="220000.00000000003"/>
    <n v="9229874.0603300016"/>
  </r>
  <r>
    <m/>
    <s v="B"/>
    <x v="22"/>
    <x v="0"/>
    <n v="1"/>
    <n v="1"/>
    <x v="452"/>
    <s v="2 BEDROOM"/>
    <x v="0"/>
    <n v="88.87"/>
    <n v="96.502453867373433"/>
    <n v="108"/>
    <m/>
    <m/>
    <s v="NW"/>
    <s v="MIDDLE"/>
    <s v="ROAD 18M (BUILDINGS)"/>
    <s v="FIRST"/>
    <s v="B"/>
    <n v="0.13"/>
    <n v="2.5000000000000001E-2"/>
    <n v="0.15"/>
    <n v="7.0000000000000007E-2"/>
    <n v="0.04"/>
    <n v="0.41499999999999998"/>
    <x v="0"/>
    <s v="R 7"/>
    <n v="50150"/>
    <n v="56050"/>
    <n v="5900"/>
    <n v="2448.5"/>
    <n v="52598.5"/>
    <n v="17357.505000000001"/>
    <n v="57098.5"/>
    <n v="60098.5"/>
    <n v="5680638"/>
    <n v="6166638"/>
    <n v="6490638"/>
    <n v="0"/>
    <n v="482854.23000000004"/>
    <n v="1"/>
    <n v="236000"/>
    <n v="236000"/>
    <n v="5916638"/>
  </r>
  <r>
    <m/>
    <s v="B"/>
    <x v="22"/>
    <x v="0"/>
    <n v="1"/>
    <n v="2"/>
    <x v="453"/>
    <s v="3 BEDROOM"/>
    <x v="0"/>
    <n v="127.14"/>
    <n v="138.05920990995676"/>
    <n v="155"/>
    <m/>
    <m/>
    <s v="SE"/>
    <s v="MIDDLE"/>
    <s v="LAKE B-1"/>
    <s v="FIRST"/>
    <s v="C"/>
    <n v="0.08"/>
    <n v="2.5000000000000001E-2"/>
    <n v="0.6"/>
    <n v="7.0000000000000007E-2"/>
    <n v="3.5000000000000003E-2"/>
    <n v="0.80999999999999994"/>
    <x v="2"/>
    <s v="R 7"/>
    <n v="50150"/>
    <n v="56050"/>
    <n v="5900"/>
    <n v="4779"/>
    <n v="54929"/>
    <n v="18126.57"/>
    <n v="59429"/>
    <n v="62429"/>
    <n v="8513995"/>
    <n v="9211495"/>
    <n v="9676495"/>
    <n v="0"/>
    <n v="723689.57500000007"/>
    <n v="2"/>
    <n v="236000"/>
    <n v="236000"/>
    <n v="8749995"/>
  </r>
  <r>
    <m/>
    <s v="B"/>
    <x v="22"/>
    <x v="0"/>
    <n v="1"/>
    <n v="3"/>
    <x v="454"/>
    <s v="3 BEDROOM"/>
    <x v="0"/>
    <n v="131.43"/>
    <n v="142.71764950814548"/>
    <n v="160"/>
    <m/>
    <m/>
    <s v="SE"/>
    <s v="CORNER "/>
    <s v="SEMI LAKE B-1"/>
    <s v="FIRST"/>
    <s v="D"/>
    <n v="0.08"/>
    <n v="0.05"/>
    <n v="0.48"/>
    <n v="7.0000000000000007E-2"/>
    <n v="2.5000000000000001E-2"/>
    <n v="0.70499999999999996"/>
    <x v="1"/>
    <s v="R 9"/>
    <n v="53550"/>
    <n v="59850"/>
    <n v="6300"/>
    <n v="4441.5"/>
    <n v="57991.5"/>
    <n v="19137.195"/>
    <n v="62491.5"/>
    <n v="65491.5"/>
    <n v="9278640"/>
    <n v="9998640"/>
    <n v="10478640"/>
    <n v="0"/>
    <n v="788684.4"/>
    <n v="2"/>
    <n v="252000"/>
    <n v="252000"/>
    <n v="9530640"/>
  </r>
  <r>
    <m/>
    <s v="B"/>
    <x v="22"/>
    <x v="0"/>
    <n v="1"/>
    <n v="4"/>
    <x v="455"/>
    <s v="3 BEDROOM"/>
    <x v="0"/>
    <n v="129.04"/>
    <n v="140.12238828677692"/>
    <n v="157"/>
    <m/>
    <m/>
    <s v="NW"/>
    <s v="CORNER "/>
    <s v="ROAD 18M (BUILDINGS)"/>
    <s v="FIRST"/>
    <s v="C"/>
    <n v="0.13"/>
    <n v="0.05"/>
    <n v="0.15"/>
    <n v="7.0000000000000007E-2"/>
    <n v="3.5000000000000003E-2"/>
    <n v="0.43499999999999994"/>
    <x v="0"/>
    <s v="R 8"/>
    <n v="51850"/>
    <n v="57950"/>
    <n v="6100"/>
    <n v="2653.4999999999995"/>
    <n v="54503.5"/>
    <n v="17986.155000000002"/>
    <n v="59003.5"/>
    <n v="62003.5"/>
    <n v="8557049.5"/>
    <n v="9263549.5"/>
    <n v="9734549.5"/>
    <n v="0"/>
    <n v="727349.20750000002"/>
    <n v="2"/>
    <n v="244000"/>
    <n v="244000"/>
    <n v="8801049.5"/>
  </r>
  <r>
    <m/>
    <s v="B"/>
    <x v="22"/>
    <x v="0"/>
    <n v="2"/>
    <n v="1"/>
    <x v="456"/>
    <s v="3 BEDROOM"/>
    <x v="0"/>
    <n v="127.15"/>
    <n v="138.07006874351899"/>
    <n v="155"/>
    <m/>
    <m/>
    <s v="NW"/>
    <s v="MIDDLE"/>
    <s v="ROAD 18M (BUILDINGS)"/>
    <s v="SECOND"/>
    <s v="C"/>
    <n v="0.13"/>
    <n v="2.5000000000000001E-2"/>
    <n v="0.15"/>
    <n v="0.11"/>
    <n v="3.5000000000000003E-2"/>
    <n v="0.44999999999999996"/>
    <x v="0"/>
    <s v="R 9"/>
    <n v="53550"/>
    <n v="59850"/>
    <n v="6300"/>
    <n v="2834.9999999999995"/>
    <n v="56385"/>
    <n v="18607.05"/>
    <n v="60885"/>
    <n v="63885"/>
    <n v="8739675"/>
    <n v="9437175"/>
    <n v="9902175"/>
    <n v="0"/>
    <n v="742872.375"/>
    <n v="2"/>
    <n v="252000"/>
    <n v="252000"/>
    <n v="8991675"/>
  </r>
  <r>
    <m/>
    <s v="B"/>
    <x v="22"/>
    <x v="0"/>
    <n v="2"/>
    <n v="2"/>
    <x v="457"/>
    <s v="3 BEDROOM"/>
    <x v="0"/>
    <n v="126.95"/>
    <n v="137.85289207227476"/>
    <n v="155"/>
    <m/>
    <m/>
    <s v="SE"/>
    <s v="MIDDLE"/>
    <s v="LAKE B-1"/>
    <s v="SECOND"/>
    <s v="C"/>
    <n v="0.08"/>
    <n v="2.5000000000000001E-2"/>
    <n v="0.6"/>
    <n v="0.11"/>
    <n v="3.5000000000000003E-2"/>
    <n v="0.85"/>
    <x v="2"/>
    <s v="R 8"/>
    <n v="51850"/>
    <n v="57950"/>
    <n v="6100"/>
    <n v="5185"/>
    <n v="57035"/>
    <n v="18821.55"/>
    <n v="61535"/>
    <n v="64535"/>
    <n v="8840425"/>
    <n v="9537925"/>
    <n v="10002925"/>
    <n v="0"/>
    <n v="751436.125"/>
    <n v="2"/>
    <n v="244000"/>
    <n v="244000"/>
    <n v="9084425"/>
  </r>
  <r>
    <m/>
    <s v="B"/>
    <x v="22"/>
    <x v="0"/>
    <n v="2"/>
    <n v="3"/>
    <x v="458"/>
    <s v="3 BEDROOM"/>
    <x v="0"/>
    <n v="131.44"/>
    <n v="142.72850834170771"/>
    <n v="160"/>
    <m/>
    <m/>
    <s v="SE"/>
    <s v="CORNER "/>
    <s v="SEMI LAKE B-1"/>
    <s v="SECOND"/>
    <s v="D"/>
    <n v="0.08"/>
    <n v="0.05"/>
    <n v="0.48"/>
    <n v="0.11"/>
    <n v="2.5000000000000001E-2"/>
    <n v="0.745"/>
    <x v="2"/>
    <s v="R 1"/>
    <n v="42500"/>
    <n v="47500"/>
    <n v="5000"/>
    <n v="3725"/>
    <n v="46225"/>
    <n v="15254.25"/>
    <n v="50725"/>
    <n v="53725"/>
    <n v="7396000"/>
    <n v="8116000"/>
    <n v="8596000"/>
    <n v="0"/>
    <n v="628660"/>
    <n v="2"/>
    <n v="200000"/>
    <n v="200000"/>
    <n v="7596000"/>
  </r>
  <r>
    <m/>
    <s v="B"/>
    <x v="22"/>
    <x v="0"/>
    <n v="2"/>
    <n v="4"/>
    <x v="459"/>
    <s v="3 BEDROOM"/>
    <x v="0"/>
    <n v="131.43"/>
    <n v="142.71764950814548"/>
    <n v="160"/>
    <m/>
    <m/>
    <s v="NW"/>
    <s v="CORNER "/>
    <s v="ROAD 18M (BUILDINGS)"/>
    <s v="SECOND"/>
    <s v="D"/>
    <n v="0.13"/>
    <n v="0.05"/>
    <n v="0.15"/>
    <n v="0.11"/>
    <n v="2.5000000000000001E-2"/>
    <n v="0.46499999999999997"/>
    <x v="0"/>
    <s v="R 11"/>
    <n v="58649.999999999993"/>
    <n v="65550"/>
    <n v="6900.0000000000073"/>
    <n v="3208.5000000000032"/>
    <n v="61858.499999999993"/>
    <n v="20413.305"/>
    <n v="66358.5"/>
    <n v="69358.5"/>
    <n v="9897359.9999999981"/>
    <n v="10617360"/>
    <n v="11097360"/>
    <n v="0"/>
    <n v="841275.59999999986"/>
    <n v="2"/>
    <n v="276000"/>
    <n v="276000"/>
    <n v="10173359.999999998"/>
  </r>
  <r>
    <m/>
    <s v="B"/>
    <x v="22"/>
    <x v="0"/>
    <n v="3"/>
    <n v="1"/>
    <x v="460"/>
    <s v="3 BEDROOM"/>
    <x v="0"/>
    <n v="127.45"/>
    <n v="138.39583375038532"/>
    <n v="155"/>
    <m/>
    <m/>
    <s v="NW"/>
    <s v="MIDDLE"/>
    <s v="ROAD 18M (BUILDINGS)"/>
    <s v="THIRD"/>
    <s v="C"/>
    <n v="0.13"/>
    <n v="2.5000000000000001E-2"/>
    <n v="0.15"/>
    <n v="0.15"/>
    <n v="3.5000000000000003E-2"/>
    <n v="0.49"/>
    <x v="0"/>
    <s v="R 12"/>
    <n v="61625"/>
    <n v="68875"/>
    <n v="7250"/>
    <n v="3552.5"/>
    <n v="65177.5"/>
    <n v="21508.575000000001"/>
    <n v="69677.5"/>
    <n v="72677.5"/>
    <n v="10102512.5"/>
    <n v="10800012.5"/>
    <n v="11265012.5"/>
    <n v="0"/>
    <n v="858713.56250000012"/>
    <n v="2"/>
    <n v="290000"/>
    <n v="290000"/>
    <n v="10392512.5"/>
  </r>
  <r>
    <m/>
    <s v="B"/>
    <x v="22"/>
    <x v="0"/>
    <n v="3"/>
    <n v="2"/>
    <x v="461"/>
    <s v="3 BEDROOM"/>
    <x v="0"/>
    <n v="126.97"/>
    <n v="137.87460973939918"/>
    <n v="155"/>
    <m/>
    <m/>
    <s v="SE"/>
    <s v="MIDDLE"/>
    <s v="LAKE B-1"/>
    <s v="THIRD"/>
    <s v="C"/>
    <n v="0.08"/>
    <n v="2.5000000000000001E-2"/>
    <n v="0.6"/>
    <n v="0.15"/>
    <n v="3.5000000000000003E-2"/>
    <n v="0.89"/>
    <x v="2"/>
    <s v="R 11"/>
    <n v="58649.999999999993"/>
    <n v="65550"/>
    <n v="6900.0000000000073"/>
    <n v="6141.0000000000064"/>
    <n v="64791"/>
    <n v="21381.030000000002"/>
    <n v="69291"/>
    <n v="72291"/>
    <n v="10042605"/>
    <n v="10740105"/>
    <n v="11205105"/>
    <n v="0"/>
    <n v="853621.42500000005"/>
    <n v="2"/>
    <n v="276000"/>
    <n v="276000"/>
    <n v="10318605"/>
  </r>
  <r>
    <m/>
    <s v="B"/>
    <x v="22"/>
    <x v="0"/>
    <n v="3"/>
    <n v="3"/>
    <x v="462"/>
    <s v="3 BEDROOM"/>
    <x v="0"/>
    <n v="131.43"/>
    <n v="142.71764950814548"/>
    <n v="160"/>
    <m/>
    <m/>
    <s v="SE"/>
    <s v="CORNER "/>
    <s v="SEMI LAKE B-1"/>
    <s v="THIRD"/>
    <s v="D"/>
    <n v="0.08"/>
    <n v="0.05"/>
    <n v="0.48"/>
    <n v="0.15"/>
    <n v="2.5000000000000001E-2"/>
    <n v="0.78500000000000003"/>
    <x v="2"/>
    <s v="R 4"/>
    <n v="45687.5"/>
    <n v="51062.5"/>
    <n v="5375"/>
    <n v="4219.375"/>
    <n v="49906.875"/>
    <n v="16469.268749999999"/>
    <n v="54406.875"/>
    <n v="57406.875"/>
    <n v="7985100"/>
    <n v="8705100"/>
    <n v="9185100"/>
    <n v="0"/>
    <n v="678733.5"/>
    <n v="2"/>
    <n v="215000"/>
    <n v="215000"/>
    <n v="8200100"/>
  </r>
  <r>
    <m/>
    <s v="B"/>
    <x v="22"/>
    <x v="0"/>
    <n v="3"/>
    <n v="4"/>
    <x v="463"/>
    <s v="3 BEDROOM"/>
    <x v="0"/>
    <n v="131.88"/>
    <n v="143.20629701844501"/>
    <n v="161"/>
    <m/>
    <m/>
    <s v="NW"/>
    <s v="CORNER "/>
    <s v="ROAD 18M (BUILDINGS)"/>
    <s v="THIRD"/>
    <s v="D"/>
    <n v="0.13"/>
    <n v="0.05"/>
    <n v="0.15"/>
    <n v="0.15"/>
    <n v="2.5000000000000001E-2"/>
    <n v="0.505"/>
    <x v="1"/>
    <s v="R 1"/>
    <n v="42500"/>
    <n v="47500"/>
    <n v="5000"/>
    <n v="2525"/>
    <n v="45025"/>
    <n v="14858.25"/>
    <n v="49525"/>
    <n v="52525"/>
    <n v="7249025"/>
    <n v="7973525"/>
    <n v="8456525"/>
    <n v="0"/>
    <n v="616167.125"/>
    <n v="2"/>
    <n v="200000"/>
    <n v="200000"/>
    <n v="7449025"/>
  </r>
  <r>
    <m/>
    <s v="B"/>
    <x v="22"/>
    <x v="0"/>
    <n v="4"/>
    <n v="1"/>
    <x v="464"/>
    <s v="3 BEDROOM"/>
    <x v="0"/>
    <n v="125.13"/>
    <n v="135.87658436395225"/>
    <n v="153"/>
    <m/>
    <m/>
    <s v="NW"/>
    <s v="MIDDLE"/>
    <s v="ROAD 18M (BUILDINGS)"/>
    <s v="FORTH"/>
    <s v="C"/>
    <n v="0.13"/>
    <n v="2.5000000000000001E-2"/>
    <n v="0.15"/>
    <n v="0.06"/>
    <n v="3.5000000000000003E-2"/>
    <n v="0.4"/>
    <x v="0"/>
    <s v="R 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r>
  <r>
    <m/>
    <s v="B"/>
    <x v="22"/>
    <x v="0"/>
    <n v="4"/>
    <n v="2"/>
    <x v="465"/>
    <s v="3 BEDROOM"/>
    <x v="0"/>
    <n v="127.19"/>
    <n v="138.11350407776783"/>
    <n v="155"/>
    <m/>
    <m/>
    <s v="SE"/>
    <s v="MIDDLE"/>
    <s v="LAKE B-1"/>
    <s v="FORTH"/>
    <s v="C"/>
    <n v="0.08"/>
    <n v="2.5000000000000001E-2"/>
    <n v="0.6"/>
    <n v="0.06"/>
    <n v="3.5000000000000003E-2"/>
    <n v="0.79999999999999993"/>
    <x v="2"/>
    <s v="R 6"/>
    <n v="48450.000000000007"/>
    <n v="54150.000000000007"/>
    <n v="5700"/>
    <n v="4560"/>
    <n v="53010.000000000007"/>
    <n v="17493.300000000003"/>
    <n v="57510.000000000007"/>
    <n v="60510.000000000007"/>
    <n v="8216550.0000000009"/>
    <n v="8914050.0000000019"/>
    <n v="9379050.0000000019"/>
    <n v="0"/>
    <n v="698406.75000000012"/>
    <n v="2"/>
    <n v="228000.00000000003"/>
    <n v="228000.00000000003"/>
    <n v="8444550.0000000019"/>
  </r>
  <r>
    <m/>
    <s v="B"/>
    <x v="22"/>
    <x v="0"/>
    <n v="4"/>
    <n v="3"/>
    <x v="466"/>
    <s v="3 BEDROOM"/>
    <x v="0"/>
    <n v="131.38"/>
    <n v="142.66335534033442"/>
    <n v="160"/>
    <m/>
    <m/>
    <s v="SE"/>
    <s v="CORNER "/>
    <s v="SEMI LAKE B-1"/>
    <s v="FORTH"/>
    <s v="D"/>
    <n v="0.08"/>
    <n v="0.05"/>
    <n v="0.48"/>
    <n v="0.06"/>
    <n v="2.5000000000000001E-2"/>
    <n v="0.69499999999999995"/>
    <x v="1"/>
    <s v="R 8"/>
    <n v="51850"/>
    <n v="57950"/>
    <n v="6100"/>
    <n v="4239.5"/>
    <n v="56089.5"/>
    <n v="18509.535"/>
    <n v="60589.5"/>
    <n v="63589.5"/>
    <n v="8974320"/>
    <n v="9694320"/>
    <n v="10174320"/>
    <n v="0"/>
    <n v="762817.20000000007"/>
    <n v="2"/>
    <n v="244000"/>
    <n v="244000"/>
    <n v="9218320"/>
  </r>
  <r>
    <m/>
    <s v="B"/>
    <x v="22"/>
    <x v="0"/>
    <n v="4"/>
    <n v="4"/>
    <x v="467"/>
    <s v="3 BEDROOM"/>
    <x v="0"/>
    <n v="129.58000000000001"/>
    <n v="140.70876529913639"/>
    <n v="158"/>
    <m/>
    <m/>
    <s v="NW"/>
    <s v="CORNER "/>
    <s v="ROAD 18M (BUILDINGS)"/>
    <s v="FORTH"/>
    <s v="C"/>
    <n v="0.13"/>
    <n v="0.05"/>
    <n v="0.15"/>
    <n v="0.06"/>
    <n v="3.5000000000000003E-2"/>
    <n v="0.42499999999999993"/>
    <x v="0"/>
    <s v="R 7"/>
    <n v="50150"/>
    <n v="56050"/>
    <n v="5900"/>
    <n v="2507.4999999999995"/>
    <n v="52657.5"/>
    <n v="17376.975000000002"/>
    <n v="57157.5"/>
    <n v="60157.5"/>
    <n v="8319885"/>
    <n v="9030885"/>
    <n v="9504885"/>
    <n v="0"/>
    <n v="707190.22500000009"/>
    <n v="2"/>
    <n v="236000"/>
    <n v="236000"/>
    <n v="8555885"/>
  </r>
  <r>
    <s v="C3"/>
    <s v="B"/>
    <x v="23"/>
    <x v="0"/>
    <n v="0"/>
    <n v="1"/>
    <x v="468"/>
    <s v="3 BEDROOM"/>
    <x v="0"/>
    <n v="131.32"/>
    <n v="142.66718842094684"/>
    <n v="160"/>
    <n v="76.728700000000003"/>
    <m/>
    <s v="NW"/>
    <s v="MIDDLE"/>
    <s v="ROAD 18M (BUILDINGS)"/>
    <s v="GROUND"/>
    <s v="D"/>
    <n v="0.13"/>
    <n v="2.5000000000000001E-2"/>
    <n v="0.15"/>
    <n v="0.05"/>
    <n v="2.5000000000000001E-2"/>
    <n v="0.38"/>
    <x v="0"/>
    <s v="R 3"/>
    <n v="44625"/>
    <n v="49875"/>
    <n v="5250"/>
    <n v="1995"/>
    <n v="46620"/>
    <n v="15384.6"/>
    <n v="51120"/>
    <n v="54120"/>
    <n v="7459200"/>
    <n v="8179200"/>
    <n v="8659200"/>
    <n v="1180440.3580200002"/>
    <n v="734369.43043170008"/>
    <n v="2"/>
    <n v="210000"/>
    <n v="210000"/>
    <n v="8849640.3580200002"/>
  </r>
  <r>
    <m/>
    <s v="B"/>
    <x v="23"/>
    <x v="0"/>
    <n v="0"/>
    <n v="2"/>
    <x v="469"/>
    <s v="3 BEDROOM + LIVING (DUPLEX)"/>
    <x v="0"/>
    <n v="128.28"/>
    <n v="139.36450602070562"/>
    <n v="309"/>
    <n v="86.075999999999993"/>
    <m/>
    <s v="SE"/>
    <s v="MIDDLE"/>
    <s v="LAKE B-1"/>
    <s v="GROUND"/>
    <s v="F"/>
    <n v="0.08"/>
    <n v="2.5000000000000001E-2"/>
    <n v="0.6"/>
    <n v="0.05"/>
    <n v="0"/>
    <n v="0.755"/>
    <x v="2"/>
    <s v="R 2"/>
    <n v="43562.499999999993"/>
    <n v="48687.499999999993"/>
    <n v="5125"/>
    <n v="3869.375"/>
    <n v="47431.874999999993"/>
    <n v="15652.518749999997"/>
    <n v="51931.874999999993"/>
    <n v="54931.874999999993"/>
    <n v="14656449.374999998"/>
    <n v="16046949.374999998"/>
    <n v="16973949.374999996"/>
    <n v="1347306.2039249996"/>
    <n v="1360319.224208625"/>
    <n v="2"/>
    <n v="204999.99999999997"/>
    <n v="204999.99999999997"/>
    <n v="16208755.578924999"/>
  </r>
  <r>
    <m/>
    <s v="B"/>
    <x v="23"/>
    <x v="0"/>
    <n v="0"/>
    <n v="3"/>
    <x v="470"/>
    <s v="3 BEDROOM + LIVING (DUPLEX)"/>
    <x v="0"/>
    <n v="125.03"/>
    <n v="135.83367779676351"/>
    <n v="301"/>
    <n v="85.509600000000006"/>
    <m/>
    <s v="SE"/>
    <s v="MIDDLE"/>
    <s v="LAKE B-1"/>
    <s v="GROUND"/>
    <s v="F"/>
    <n v="0.08"/>
    <n v="2.5000000000000001E-2"/>
    <n v="0.6"/>
    <n v="0.05"/>
    <n v="0"/>
    <n v="0.755"/>
    <x v="2"/>
    <s v="R 2"/>
    <n v="43562.499999999993"/>
    <n v="48687.499999999993"/>
    <n v="5125"/>
    <n v="3869.375"/>
    <n v="47431.874999999993"/>
    <n v="15652.518749999997"/>
    <n v="51931.874999999993"/>
    <n v="54931.874999999993"/>
    <n v="14276994.374999998"/>
    <n v="15631494.374999998"/>
    <n v="16534494.374999998"/>
    <n v="1338440.6173049998"/>
    <n v="1327311.9743459248"/>
    <n v="2"/>
    <n v="204999.99999999997"/>
    <n v="204999.99999999997"/>
    <n v="15820434.992304998"/>
  </r>
  <r>
    <m/>
    <s v="B"/>
    <x v="23"/>
    <x v="0"/>
    <n v="0"/>
    <n v="4"/>
    <x v="471"/>
    <s v="2 BEDROOM"/>
    <x v="0"/>
    <n v="87.23"/>
    <n v="94.767429530606108"/>
    <n v="106"/>
    <n v="64.038600000000002"/>
    <m/>
    <s v="NW"/>
    <s v="MIDDLE"/>
    <s v="ROAD 18M (BUILDINGS)"/>
    <s v="GROUND"/>
    <s v="B"/>
    <n v="0.13"/>
    <n v="2.5000000000000001E-2"/>
    <n v="0.15"/>
    <n v="0.05"/>
    <n v="0.04"/>
    <n v="0.39499999999999996"/>
    <x v="0"/>
    <s v="R 4"/>
    <n v="45687.5"/>
    <n v="51062.5"/>
    <n v="5375"/>
    <n v="2123.125"/>
    <n v="47810.625"/>
    <n v="15777.50625"/>
    <n v="52310.625"/>
    <n v="55310.625"/>
    <n v="5067926.25"/>
    <n v="5544926.25"/>
    <n v="5862926.25"/>
    <n v="1010369.4117412501"/>
    <n v="516655.13124800631"/>
    <n v="1"/>
    <n v="215000"/>
    <n v="215000"/>
    <n v="6293295.6617412502"/>
  </r>
  <r>
    <m/>
    <s v="B"/>
    <x v="23"/>
    <x v="0"/>
    <n v="1"/>
    <n v="1"/>
    <x v="472"/>
    <s v="3 BEDROOM"/>
    <x v="0"/>
    <n v="132.94"/>
    <n v="144.42717048949646"/>
    <n v="162"/>
    <m/>
    <m/>
    <s v="NW"/>
    <s v="MIDDLE"/>
    <s v="ROAD 18M (BUILDINGS)"/>
    <s v="FIRST"/>
    <s v="D"/>
    <n v="0.13"/>
    <n v="2.5000000000000001E-2"/>
    <n v="0.15"/>
    <n v="7.0000000000000007E-2"/>
    <n v="2.5000000000000001E-2"/>
    <n v="0.4"/>
    <x v="0"/>
    <s v="R 5"/>
    <n v="46750.000000000007"/>
    <n v="52250.000000000007"/>
    <n v="5500"/>
    <n v="2200"/>
    <n v="48950.000000000007"/>
    <n v="16153.500000000004"/>
    <n v="53450.000000000007"/>
    <n v="56450.000000000007"/>
    <n v="7929900.0000000009"/>
    <n v="8658900.0000000019"/>
    <n v="9144900.0000000019"/>
    <n v="0"/>
    <n v="674041.50000000012"/>
    <n v="2"/>
    <n v="220000.00000000003"/>
    <n v="220000.00000000003"/>
    <n v="8149900.0000000009"/>
  </r>
  <r>
    <m/>
    <s v="B"/>
    <x v="23"/>
    <x v="0"/>
    <n v="1"/>
    <n v="4"/>
    <x v="473"/>
    <s v="2 BEDROOM"/>
    <x v="0"/>
    <n v="88.87"/>
    <n v="96.549139772841514"/>
    <n v="108"/>
    <m/>
    <m/>
    <s v="NW"/>
    <s v="MIDDLE"/>
    <s v="ROAD 18M (BUILDINGS)"/>
    <s v="FIRST"/>
    <s v="B"/>
    <n v="0.13"/>
    <n v="2.5000000000000001E-2"/>
    <n v="0.15"/>
    <n v="7.0000000000000007E-2"/>
    <n v="0.04"/>
    <n v="0.41499999999999998"/>
    <x v="0"/>
    <s v="R 7"/>
    <n v="50150"/>
    <n v="56050"/>
    <n v="5900"/>
    <n v="2448.5"/>
    <n v="52598.5"/>
    <n v="17357.505000000001"/>
    <n v="57098.5"/>
    <n v="60098.5"/>
    <n v="5680638"/>
    <n v="6166638"/>
    <n v="6490638"/>
    <n v="0"/>
    <n v="482854.23000000004"/>
    <n v="1"/>
    <n v="236000"/>
    <n v="236000"/>
    <n v="5916638"/>
  </r>
  <r>
    <m/>
    <s v="B"/>
    <x v="23"/>
    <x v="0"/>
    <n v="2"/>
    <n v="1"/>
    <x v="474"/>
    <s v="3 BEDROOM"/>
    <x v="0"/>
    <n v="131.41999999999999"/>
    <n v="142.77582928937582"/>
    <n v="160"/>
    <m/>
    <m/>
    <s v="NW"/>
    <s v="MIDDLE"/>
    <s v="ROAD 18M (BUILDINGS)"/>
    <s v="SECOND"/>
    <s v="D"/>
    <n v="0.13"/>
    <n v="2.5000000000000001E-2"/>
    <n v="0.15"/>
    <n v="0.11"/>
    <n v="2.5000000000000001E-2"/>
    <n v="0.44"/>
    <x v="0"/>
    <s v="R 8"/>
    <n v="51850"/>
    <n v="57950"/>
    <n v="6100"/>
    <n v="2684"/>
    <n v="54534"/>
    <n v="17996.22"/>
    <n v="59034"/>
    <n v="62034"/>
    <n v="8725440"/>
    <n v="9445440"/>
    <n v="9925440"/>
    <n v="0"/>
    <n v="741662.4"/>
    <n v="2"/>
    <n v="244000"/>
    <n v="244000"/>
    <n v="8969440"/>
  </r>
  <r>
    <m/>
    <s v="B"/>
    <x v="23"/>
    <x v="0"/>
    <n v="2"/>
    <n v="2"/>
    <x v="475"/>
    <s v="3 BEDROOM"/>
    <x v="0"/>
    <n v="131.03"/>
    <n v="142.35212990250278"/>
    <n v="160"/>
    <m/>
    <m/>
    <s v="SE"/>
    <s v="MIDDLE"/>
    <s v="LAKE B-1"/>
    <s v="SECOND"/>
    <s v="D"/>
    <n v="0.08"/>
    <n v="2.5000000000000001E-2"/>
    <n v="0.6"/>
    <n v="0.11"/>
    <n v="2.5000000000000001E-2"/>
    <n v="0.84"/>
    <x v="2"/>
    <s v="R 8"/>
    <n v="51850"/>
    <n v="57950"/>
    <n v="6100"/>
    <n v="5124"/>
    <n v="56974"/>
    <n v="18801.420000000002"/>
    <n v="61474"/>
    <n v="64474"/>
    <n v="9115840"/>
    <n v="9835840"/>
    <n v="10315840"/>
    <n v="0"/>
    <n v="774846.4"/>
    <n v="2"/>
    <n v="244000"/>
    <n v="244000"/>
    <n v="9359840"/>
  </r>
  <r>
    <m/>
    <s v="B"/>
    <x v="23"/>
    <x v="0"/>
    <n v="2"/>
    <n v="3"/>
    <x v="476"/>
    <s v="3 BEDROOM"/>
    <x v="0"/>
    <n v="126.89"/>
    <n v="137.85439794954269"/>
    <n v="155"/>
    <m/>
    <m/>
    <s v="SE"/>
    <s v="MIDDLE"/>
    <s v="LAKE B-1"/>
    <s v="SECOND"/>
    <s v="C"/>
    <n v="0.08"/>
    <n v="2.5000000000000001E-2"/>
    <n v="0.6"/>
    <n v="0.11"/>
    <n v="3.5000000000000003E-2"/>
    <n v="0.85"/>
    <x v="2"/>
    <s v="R 8"/>
    <n v="51850"/>
    <n v="57950"/>
    <n v="6100"/>
    <n v="5185"/>
    <n v="57035"/>
    <n v="18821.55"/>
    <n v="61535"/>
    <n v="64535"/>
    <n v="8840425"/>
    <n v="9537925"/>
    <n v="10002925"/>
    <n v="0"/>
    <n v="751436.125"/>
    <n v="2"/>
    <n v="244000"/>
    <n v="244000"/>
    <n v="9084425"/>
  </r>
  <r>
    <m/>
    <s v="B"/>
    <x v="23"/>
    <x v="0"/>
    <n v="2"/>
    <n v="4"/>
    <x v="477"/>
    <s v="3 BEDROOM"/>
    <x v="0"/>
    <n v="126.99"/>
    <n v="137.96303881797166"/>
    <n v="155"/>
    <m/>
    <m/>
    <s v="NW"/>
    <s v="MIDDLE"/>
    <s v="ROAD 18M (BUILDINGS)"/>
    <s v="SECOND"/>
    <s v="C"/>
    <n v="0.13"/>
    <n v="2.5000000000000001E-2"/>
    <n v="0.15"/>
    <n v="0.11"/>
    <n v="3.5000000000000003E-2"/>
    <n v="0.44999999999999996"/>
    <x v="0"/>
    <s v="R 9"/>
    <n v="53550"/>
    <n v="59850"/>
    <n v="6300"/>
    <n v="2834.9999999999995"/>
    <n v="56385"/>
    <n v="18607.05"/>
    <n v="60885"/>
    <n v="63885"/>
    <n v="8739675"/>
    <n v="9437175"/>
    <n v="9902175"/>
    <n v="0"/>
    <n v="742872.375"/>
    <n v="2"/>
    <n v="252000"/>
    <n v="252000"/>
    <n v="8991675"/>
  </r>
  <r>
    <m/>
    <s v="B"/>
    <x v="23"/>
    <x v="0"/>
    <n v="3"/>
    <n v="1"/>
    <x v="478"/>
    <s v="3 BEDROOM"/>
    <x v="0"/>
    <n v="131.88"/>
    <n v="143.27557728414919"/>
    <n v="161"/>
    <m/>
    <m/>
    <s v="NW"/>
    <s v="MIDDLE"/>
    <s v="ROAD 18M (BUILDINGS)"/>
    <s v="THIRD"/>
    <s v="D"/>
    <n v="0.13"/>
    <n v="2.5000000000000001E-2"/>
    <n v="0.15"/>
    <n v="0.15"/>
    <n v="2.5000000000000001E-2"/>
    <n v="0.48"/>
    <x v="0"/>
    <s v="R 12"/>
    <n v="61625"/>
    <n v="68875"/>
    <n v="7250"/>
    <n v="3480"/>
    <n v="65105"/>
    <n v="21484.65"/>
    <n v="69605"/>
    <n v="72605"/>
    <n v="10481905"/>
    <n v="11206405"/>
    <n v="11689405"/>
    <n v="0"/>
    <n v="890961.92500000005"/>
    <n v="2"/>
    <n v="290000"/>
    <n v="290000"/>
    <n v="10771905"/>
  </r>
  <r>
    <m/>
    <s v="B"/>
    <x v="23"/>
    <x v="0"/>
    <n v="3"/>
    <n v="2"/>
    <x v="479"/>
    <s v="3 BEDROOM"/>
    <x v="0"/>
    <n v="131.02000000000001"/>
    <n v="142.34126581565991"/>
    <n v="160"/>
    <m/>
    <m/>
    <s v="SE"/>
    <s v="MIDDLE"/>
    <s v="LAKE B-1"/>
    <s v="THIRD"/>
    <s v="D"/>
    <n v="0.08"/>
    <n v="2.5000000000000001E-2"/>
    <n v="0.6"/>
    <n v="0.15"/>
    <n v="2.5000000000000001E-2"/>
    <n v="0.88"/>
    <x v="2"/>
    <s v="R 10"/>
    <n v="56100"/>
    <n v="62700"/>
    <n v="6600"/>
    <n v="5808"/>
    <n v="61908"/>
    <n v="20429.64"/>
    <n v="66408"/>
    <n v="69408"/>
    <n v="9905280"/>
    <n v="10625280"/>
    <n v="11105280"/>
    <n v="0"/>
    <n v="841948.8"/>
    <n v="2"/>
    <n v="264000"/>
    <n v="264000"/>
    <n v="10169280"/>
  </r>
  <r>
    <m/>
    <s v="B"/>
    <x v="23"/>
    <x v="0"/>
    <n v="3"/>
    <n v="3"/>
    <x v="480"/>
    <s v="3 BEDROOM"/>
    <x v="0"/>
    <n v="126.87"/>
    <n v="137.83266977585691"/>
    <n v="155"/>
    <m/>
    <m/>
    <s v="SE"/>
    <s v="MIDDLE"/>
    <s v="LAKE B-1"/>
    <s v="THIRD"/>
    <s v="C"/>
    <n v="0.08"/>
    <n v="2.5000000000000001E-2"/>
    <n v="0.6"/>
    <n v="0.15"/>
    <n v="3.5000000000000003E-2"/>
    <n v="0.89"/>
    <x v="2"/>
    <s v="R 10"/>
    <n v="56100"/>
    <n v="62700"/>
    <n v="6600"/>
    <n v="5874"/>
    <n v="61974"/>
    <n v="20451.420000000002"/>
    <n v="66474"/>
    <n v="69474"/>
    <n v="9605970"/>
    <n v="10303470"/>
    <n v="10768470"/>
    <n v="0"/>
    <n v="816507.45000000007"/>
    <n v="2"/>
    <n v="264000"/>
    <n v="264000"/>
    <n v="9869970"/>
  </r>
  <r>
    <m/>
    <s v="B"/>
    <x v="23"/>
    <x v="0"/>
    <n v="3"/>
    <n v="4"/>
    <x v="481"/>
    <s v="3 BEDROOM"/>
    <x v="0"/>
    <n v="127.41"/>
    <n v="138.41933046537343"/>
    <n v="155"/>
    <m/>
    <m/>
    <s v="NW"/>
    <s v="MIDDLE"/>
    <s v="ROAD 18M (BUILDINGS)"/>
    <s v="THIRD"/>
    <s v="C"/>
    <n v="0.13"/>
    <n v="2.5000000000000001E-2"/>
    <n v="0.15"/>
    <n v="0.15"/>
    <n v="3.5000000000000003E-2"/>
    <n v="0.49"/>
    <x v="0"/>
    <s v="R 12"/>
    <n v="61625"/>
    <n v="68875"/>
    <n v="7250"/>
    <n v="3552.5"/>
    <n v="65177.5"/>
    <n v="21508.575000000001"/>
    <n v="69677.5"/>
    <n v="72677.5"/>
    <n v="10102512.5"/>
    <n v="10800012.5"/>
    <n v="11265012.5"/>
    <n v="0"/>
    <n v="858713.56250000012"/>
    <n v="2"/>
    <n v="290000"/>
    <n v="290000"/>
    <n v="10392512.5"/>
  </r>
  <r>
    <m/>
    <s v="B"/>
    <x v="23"/>
    <x v="0"/>
    <n v="4"/>
    <n v="1"/>
    <x v="482"/>
    <s v="3 BEDROOM"/>
    <x v="0"/>
    <n v="129.59"/>
    <n v="140.78770139712537"/>
    <n v="158"/>
    <m/>
    <m/>
    <s v="NW"/>
    <s v="MIDDLE"/>
    <s v="ROAD 18M (BUILDINGS)"/>
    <s v="FORTH"/>
    <s v="C"/>
    <n v="0.13"/>
    <n v="2.5000000000000001E-2"/>
    <n v="0.15"/>
    <n v="0.06"/>
    <n v="3.5000000000000003E-2"/>
    <n v="0.4"/>
    <x v="0"/>
    <s v="R 5"/>
    <n v="46750.000000000007"/>
    <n v="52250.000000000007"/>
    <n v="5500"/>
    <n v="2200"/>
    <n v="48950.000000000007"/>
    <n v="16153.500000000004"/>
    <n v="53450.000000000007"/>
    <n v="56450.000000000007"/>
    <n v="7734100.0000000009"/>
    <n v="8445100.0000000019"/>
    <n v="8919100.0000000019"/>
    <n v="0"/>
    <n v="657398.50000000012"/>
    <n v="2"/>
    <n v="220000.00000000003"/>
    <n v="220000.00000000003"/>
    <n v="7954100.0000000009"/>
  </r>
  <r>
    <m/>
    <s v="B"/>
    <x v="23"/>
    <x v="0"/>
    <n v="4"/>
    <n v="2"/>
    <x v="483"/>
    <s v="3 BEDROOM"/>
    <x v="0"/>
    <n v="131.72"/>
    <n v="143.10175189466281"/>
    <n v="161"/>
    <m/>
    <m/>
    <s v="SE"/>
    <s v="MIDDLE"/>
    <s v="LAKE B-1"/>
    <s v="FORTH"/>
    <s v="D"/>
    <n v="0.08"/>
    <n v="2.5000000000000001E-2"/>
    <n v="0.6"/>
    <n v="0.06"/>
    <n v="2.5000000000000001E-2"/>
    <n v="0.78999999999999992"/>
    <x v="2"/>
    <s v="R 5"/>
    <n v="46750.000000000007"/>
    <n v="52250.000000000007"/>
    <n v="5500"/>
    <n v="4345"/>
    <n v="51095.000000000007"/>
    <n v="16861.350000000002"/>
    <n v="55595.000000000007"/>
    <n v="58595.000000000007"/>
    <n v="8226295.0000000009"/>
    <n v="8950795.0000000019"/>
    <n v="9433795.0000000019"/>
    <n v="0"/>
    <n v="699235.07500000019"/>
    <n v="2"/>
    <n v="220000.00000000003"/>
    <n v="220000.00000000003"/>
    <n v="8446295.0000000019"/>
  </r>
  <r>
    <m/>
    <s v="B"/>
    <x v="23"/>
    <x v="0"/>
    <n v="4"/>
    <n v="3"/>
    <x v="484"/>
    <s v="3 BEDROOM"/>
    <x v="0"/>
    <n v="127.12"/>
    <n v="138.10427194692937"/>
    <n v="155"/>
    <m/>
    <m/>
    <s v="SE"/>
    <s v="MIDDLE"/>
    <s v="LAKE B-1"/>
    <s v="FORTH"/>
    <s v="C"/>
    <n v="0.08"/>
    <n v="2.5000000000000001E-2"/>
    <n v="0.6"/>
    <n v="0.06"/>
    <n v="3.5000000000000003E-2"/>
    <n v="0.79999999999999993"/>
    <x v="2"/>
    <s v="R 6"/>
    <n v="48450.000000000007"/>
    <n v="54150.000000000007"/>
    <n v="5700"/>
    <n v="4560"/>
    <n v="53010.000000000007"/>
    <n v="17493.300000000003"/>
    <n v="57510.000000000007"/>
    <n v="60510.000000000007"/>
    <n v="8216550.0000000009"/>
    <n v="8914050.0000000019"/>
    <n v="9379050.0000000019"/>
    <n v="0"/>
    <n v="698406.75000000012"/>
    <n v="2"/>
    <n v="228000.00000000003"/>
    <n v="228000.00000000003"/>
    <n v="8444550.0000000019"/>
  </r>
  <r>
    <m/>
    <s v="B"/>
    <x v="23"/>
    <x v="0"/>
    <n v="4"/>
    <n v="4"/>
    <x v="485"/>
    <s v="3 BEDROOM"/>
    <x v="0"/>
    <n v="125.12"/>
    <n v="135.93145457834962"/>
    <n v="153"/>
    <m/>
    <m/>
    <s v="NW"/>
    <s v="MIDDLE"/>
    <s v="ROAD 18M (BUILDINGS)"/>
    <s v="FORTH"/>
    <s v="C"/>
    <n v="0.13"/>
    <n v="2.5000000000000001E-2"/>
    <n v="0.15"/>
    <n v="0.06"/>
    <n v="3.5000000000000003E-2"/>
    <n v="0.4"/>
    <x v="0"/>
    <s v="R 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r>
  <r>
    <s v="C3"/>
    <s v="B"/>
    <x v="24"/>
    <x v="0"/>
    <n v="0"/>
    <n v="1"/>
    <x v="486"/>
    <s v="3 BEDROOM"/>
    <x v="0"/>
    <n v="131.34"/>
    <n v="142.61992000608555"/>
    <n v="160"/>
    <n v="75.3416"/>
    <m/>
    <s v="NW"/>
    <s v="CORNER "/>
    <s v="ROAD 18M (BUILDINGS)"/>
    <s v="GROUND"/>
    <s v="D"/>
    <n v="0.13"/>
    <n v="0.05"/>
    <n v="0.15"/>
    <n v="0.05"/>
    <n v="2.5000000000000001E-2"/>
    <n v="0.40499999999999997"/>
    <x v="0"/>
    <s v="R 6"/>
    <n v="48450.000000000007"/>
    <n v="54150.000000000007"/>
    <n v="5700"/>
    <n v="2308.5"/>
    <n v="50758.500000000007"/>
    <n v="16750.305000000004"/>
    <n v="55258.500000000007"/>
    <n v="58258.500000000007"/>
    <n v="8121360.0000000009"/>
    <n v="8841360.0000000019"/>
    <n v="9321360.0000000019"/>
    <n v="1261994.7791880004"/>
    <n v="797585.15623098018"/>
    <n v="2"/>
    <n v="228000.00000000003"/>
    <n v="228000.00000000003"/>
    <n v="9611354.7791880015"/>
  </r>
  <r>
    <m/>
    <s v="B"/>
    <x v="24"/>
    <x v="0"/>
    <n v="0"/>
    <n v="2"/>
    <x v="487"/>
    <s v="3 BEDROOM"/>
    <x v="0"/>
    <n v="129.57"/>
    <n v="140.69790646557411"/>
    <n v="158"/>
    <n v="84.036199999999994"/>
    <m/>
    <s v="SE"/>
    <s v="CORNER "/>
    <s v="LAKE B-1"/>
    <s v="GROUND"/>
    <s v="C"/>
    <n v="0.08"/>
    <n v="0.05"/>
    <n v="0.6"/>
    <n v="0.05"/>
    <n v="3.5000000000000003E-2"/>
    <n v="0.81500000000000006"/>
    <x v="2"/>
    <s v="R 7"/>
    <n v="50150"/>
    <n v="56050"/>
    <n v="5900"/>
    <n v="4808.5"/>
    <n v="54958.5"/>
    <n v="18136.305"/>
    <n v="59458.5"/>
    <n v="62458.5"/>
    <n v="8683443"/>
    <n v="9394443"/>
    <n v="9868443"/>
    <n v="1524106.1542409998"/>
    <n v="867641.67811048497"/>
    <n v="2"/>
    <n v="236000"/>
    <n v="236000"/>
    <n v="10443549.154240999"/>
  </r>
  <r>
    <m/>
    <s v="B"/>
    <x v="24"/>
    <x v="0"/>
    <n v="0"/>
    <n v="3"/>
    <x v="488"/>
    <s v="3 BEDROOM"/>
    <x v="0"/>
    <n v="125.09"/>
    <n v="135.83314902970338"/>
    <n v="153"/>
    <n v="85.562899999999999"/>
    <m/>
    <s v="SE"/>
    <s v="MIDDLE"/>
    <s v="LAKE B-1"/>
    <s v="GROUND"/>
    <s v="C"/>
    <n v="0.08"/>
    <n v="2.5000000000000001E-2"/>
    <n v="0.6"/>
    <n v="0.05"/>
    <n v="3.5000000000000003E-2"/>
    <n v="0.79"/>
    <x v="2"/>
    <s v="R 5"/>
    <n v="46750.000000000007"/>
    <n v="52250.000000000007"/>
    <n v="5500"/>
    <n v="4345"/>
    <n v="51095.000000000007"/>
    <n v="16861.350000000002"/>
    <n v="55595.000000000007"/>
    <n v="58595.000000000007"/>
    <n v="7817535.0000000009"/>
    <n v="8506035.0000000019"/>
    <n v="8965035.0000000019"/>
    <n v="1442706.0039150002"/>
    <n v="787120.48533277516"/>
    <n v="2"/>
    <n v="220000.00000000003"/>
    <n v="220000.00000000003"/>
    <n v="9480241.0039150007"/>
  </r>
  <r>
    <m/>
    <s v="B"/>
    <x v="24"/>
    <x v="0"/>
    <n v="0"/>
    <n v="4"/>
    <x v="489"/>
    <s v="2 BEDROOM"/>
    <x v="0"/>
    <n v="87.23"/>
    <n v="94.721605163170736"/>
    <n v="106"/>
    <n v="63.087899999999998"/>
    <m/>
    <s v="NW"/>
    <s v="MIDDLE"/>
    <s v="ROAD 18M (BUILDINGS)"/>
    <s v="GROUND"/>
    <s v="B"/>
    <n v="0.13"/>
    <n v="2.5000000000000001E-2"/>
    <n v="0.15"/>
    <n v="0.05"/>
    <n v="0.04"/>
    <n v="0.39499999999999996"/>
    <x v="0"/>
    <s v="R 4"/>
    <n v="45687.5"/>
    <n v="51062.5"/>
    <n v="5375"/>
    <n v="2123.125"/>
    <n v="47810.625"/>
    <n v="15777.50625"/>
    <n v="52310.625"/>
    <n v="55310.625"/>
    <n v="5067926.25"/>
    <n v="5544926.25"/>
    <n v="5862926.25"/>
    <n v="995369.736549375"/>
    <n v="515380.15885669686"/>
    <n v="1"/>
    <n v="215000"/>
    <n v="215000"/>
    <n v="6278295.9865493756"/>
  </r>
  <r>
    <m/>
    <s v="B"/>
    <x v="24"/>
    <x v="0"/>
    <n v="1"/>
    <n v="1"/>
    <x v="490"/>
    <s v="3 BEDROOM"/>
    <x v="0"/>
    <n v="129.04"/>
    <n v="140.1223882867769"/>
    <n v="157"/>
    <m/>
    <m/>
    <s v="NW"/>
    <s v="CORNER "/>
    <s v="ROAD 18M (BUILDINGS)"/>
    <s v="FIRST"/>
    <s v="C"/>
    <n v="0.13"/>
    <n v="0.05"/>
    <n v="0.15"/>
    <n v="7.0000000000000007E-2"/>
    <n v="3.5000000000000003E-2"/>
    <n v="0.43499999999999994"/>
    <x v="0"/>
    <s v="R 8"/>
    <n v="51850"/>
    <n v="57950"/>
    <n v="6100"/>
    <n v="2653.4999999999995"/>
    <n v="54503.5"/>
    <n v="17986.155000000002"/>
    <n v="59003.5"/>
    <n v="62003.5"/>
    <n v="8557049.5"/>
    <n v="9263549.5"/>
    <n v="9734549.5"/>
    <n v="0"/>
    <n v="727349.20750000002"/>
    <n v="2"/>
    <n v="244000"/>
    <n v="244000"/>
    <n v="8801049.5"/>
  </r>
  <r>
    <m/>
    <s v="B"/>
    <x v="24"/>
    <x v="0"/>
    <n v="1"/>
    <n v="2"/>
    <x v="491"/>
    <s v="3 BEDROOM"/>
    <x v="0"/>
    <n v="131.43"/>
    <n v="142.71764950814546"/>
    <n v="160"/>
    <m/>
    <m/>
    <s v="SE"/>
    <s v="CORNER "/>
    <s v="LAKE B-1"/>
    <s v="FIRST"/>
    <s v="D"/>
    <n v="0.08"/>
    <n v="0.05"/>
    <n v="0.6"/>
    <n v="7.0000000000000007E-2"/>
    <n v="2.5000000000000001E-2"/>
    <n v="0.82500000000000007"/>
    <x v="2"/>
    <s v="R 7"/>
    <n v="50150"/>
    <n v="56050"/>
    <n v="5900"/>
    <n v="4867.5"/>
    <n v="55017.5"/>
    <n v="18155.775000000001"/>
    <n v="59517.5"/>
    <n v="62517.5"/>
    <n v="8802800"/>
    <n v="9522800"/>
    <n v="10002800"/>
    <n v="0"/>
    <n v="748238"/>
    <n v="2"/>
    <n v="236000"/>
    <n v="236000"/>
    <n v="9038800"/>
  </r>
  <r>
    <m/>
    <s v="B"/>
    <x v="24"/>
    <x v="0"/>
    <n v="1"/>
    <n v="3"/>
    <x v="492"/>
    <s v="3 BEDROOM"/>
    <x v="0"/>
    <n v="127.14"/>
    <n v="138.05920990995673"/>
    <n v="155"/>
    <m/>
    <m/>
    <s v="SE"/>
    <s v="MIDDLE"/>
    <s v="LAKE B-1"/>
    <s v="FIRST"/>
    <s v="C"/>
    <n v="0.08"/>
    <n v="2.5000000000000001E-2"/>
    <n v="0.6"/>
    <n v="7.0000000000000007E-2"/>
    <n v="3.5000000000000003E-2"/>
    <n v="0.80999999999999994"/>
    <x v="2"/>
    <s v="R 7"/>
    <n v="50150"/>
    <n v="56050"/>
    <n v="5900"/>
    <n v="4779"/>
    <n v="54929"/>
    <n v="18126.57"/>
    <n v="59429"/>
    <n v="62429"/>
    <n v="8513995"/>
    <n v="9211495"/>
    <n v="9676495"/>
    <n v="0"/>
    <n v="723689.57500000007"/>
    <n v="2"/>
    <n v="236000"/>
    <n v="236000"/>
    <n v="8749995"/>
  </r>
  <r>
    <m/>
    <s v="B"/>
    <x v="24"/>
    <x v="0"/>
    <n v="1"/>
    <n v="4"/>
    <x v="493"/>
    <s v="2 BEDROOM"/>
    <x v="0"/>
    <n v="88.87"/>
    <n v="96.502453867373418"/>
    <n v="108"/>
    <m/>
    <m/>
    <s v="NW"/>
    <s v="MIDDLE"/>
    <s v="ROAD 18M (BUILDINGS)"/>
    <s v="FIRST"/>
    <s v="B"/>
    <n v="0.13"/>
    <n v="2.5000000000000001E-2"/>
    <n v="0.15"/>
    <n v="7.0000000000000007E-2"/>
    <n v="0.04"/>
    <n v="0.41499999999999998"/>
    <x v="0"/>
    <s v="R 7"/>
    <n v="50150"/>
    <n v="56050"/>
    <n v="5900"/>
    <n v="2448.5"/>
    <n v="52598.5"/>
    <n v="17357.505000000001"/>
    <n v="57098.5"/>
    <n v="60098.5"/>
    <n v="5680638"/>
    <n v="6166638"/>
    <n v="6490638"/>
    <n v="0"/>
    <n v="482854.23000000004"/>
    <n v="1"/>
    <n v="236000"/>
    <n v="236000"/>
    <n v="5916638"/>
  </r>
  <r>
    <m/>
    <s v="B"/>
    <x v="24"/>
    <x v="0"/>
    <n v="2"/>
    <n v="1"/>
    <x v="494"/>
    <s v="3 BEDROOM"/>
    <x v="0"/>
    <n v="131.43"/>
    <n v="142.71764950814546"/>
    <n v="160"/>
    <m/>
    <m/>
    <s v="NW"/>
    <s v="CORNER "/>
    <s v="ROAD 18M (BUILDINGS)"/>
    <s v="SECOND"/>
    <s v="D"/>
    <n v="0.13"/>
    <n v="0.05"/>
    <n v="0.15"/>
    <n v="0.11"/>
    <n v="2.5000000000000001E-2"/>
    <n v="0.46499999999999997"/>
    <x v="0"/>
    <s v="R 10"/>
    <n v="56100"/>
    <n v="62700"/>
    <n v="6600"/>
    <n v="3069"/>
    <n v="59169"/>
    <n v="19525.77"/>
    <n v="63669"/>
    <n v="66669"/>
    <n v="9467040"/>
    <n v="10187040"/>
    <n v="10667040"/>
    <n v="0"/>
    <n v="804698.4"/>
    <n v="2"/>
    <n v="264000"/>
    <n v="264000"/>
    <n v="9731040"/>
  </r>
  <r>
    <m/>
    <s v="B"/>
    <x v="24"/>
    <x v="0"/>
    <n v="2"/>
    <n v="2"/>
    <x v="495"/>
    <s v="3 BEDROOM"/>
    <x v="0"/>
    <n v="131.44"/>
    <n v="142.72850834170768"/>
    <n v="160"/>
    <m/>
    <m/>
    <s v="SE"/>
    <s v="CORNER "/>
    <s v="LAKE B-1"/>
    <s v="SECOND"/>
    <s v="D"/>
    <n v="0.08"/>
    <n v="0.05"/>
    <n v="0.6"/>
    <n v="0.11"/>
    <n v="2.5000000000000001E-2"/>
    <n v="0.86499999999999999"/>
    <x v="2"/>
    <s v="R 9"/>
    <n v="53550"/>
    <n v="59850"/>
    <n v="6300"/>
    <n v="5449.5"/>
    <n v="58999.5"/>
    <n v="19469.834999999999"/>
    <n v="63499.5"/>
    <n v="66499.5"/>
    <n v="9439920"/>
    <n v="10159920"/>
    <n v="10639920"/>
    <n v="0"/>
    <n v="802393.20000000007"/>
    <n v="2"/>
    <n v="252000"/>
    <n v="252000"/>
    <n v="9691920"/>
  </r>
  <r>
    <m/>
    <s v="B"/>
    <x v="24"/>
    <x v="0"/>
    <n v="2"/>
    <n v="3"/>
    <x v="496"/>
    <s v="3 BEDROOM"/>
    <x v="0"/>
    <n v="126.95"/>
    <n v="137.85289207227473"/>
    <n v="155"/>
    <m/>
    <m/>
    <s v="SE"/>
    <s v="MIDDLE"/>
    <s v="LAKE B-1"/>
    <s v="SECOND"/>
    <s v="C"/>
    <n v="0.08"/>
    <n v="2.5000000000000001E-2"/>
    <n v="0.6"/>
    <n v="0.11"/>
    <n v="3.5000000000000003E-2"/>
    <n v="0.85"/>
    <x v="2"/>
    <s v="R 8"/>
    <n v="51850"/>
    <n v="57950"/>
    <n v="6100"/>
    <n v="5185"/>
    <n v="57035"/>
    <n v="18821.55"/>
    <n v="61535"/>
    <n v="64535"/>
    <n v="8840425"/>
    <n v="9537925"/>
    <n v="10002925"/>
    <n v="0"/>
    <n v="751436.125"/>
    <n v="2"/>
    <n v="244000"/>
    <n v="244000"/>
    <n v="9084425"/>
  </r>
  <r>
    <m/>
    <s v="B"/>
    <x v="24"/>
    <x v="0"/>
    <n v="2"/>
    <n v="4"/>
    <x v="497"/>
    <s v="3 BEDROOM"/>
    <x v="0"/>
    <n v="127.15"/>
    <n v="138.07006874351896"/>
    <n v="155"/>
    <m/>
    <m/>
    <s v="NW"/>
    <s v="MIDDLE"/>
    <s v="ROAD 18M (BUILDINGS)"/>
    <s v="SECOND"/>
    <s v="C"/>
    <n v="0.13"/>
    <n v="2.5000000000000001E-2"/>
    <n v="0.15"/>
    <n v="0.11"/>
    <n v="3.5000000000000003E-2"/>
    <n v="0.44999999999999996"/>
    <x v="0"/>
    <s v="R 9"/>
    <n v="53550"/>
    <n v="59850"/>
    <n v="6300"/>
    <n v="2834.9999999999995"/>
    <n v="56385"/>
    <n v="18607.05"/>
    <n v="60885"/>
    <n v="63885"/>
    <n v="8739675"/>
    <n v="9437175"/>
    <n v="9902175"/>
    <n v="0"/>
    <n v="742872.375"/>
    <n v="2"/>
    <n v="252000"/>
    <n v="252000"/>
    <n v="8991675"/>
  </r>
  <r>
    <m/>
    <s v="B"/>
    <x v="24"/>
    <x v="0"/>
    <n v="3"/>
    <n v="1"/>
    <x v="498"/>
    <s v="3 BEDROOM"/>
    <x v="0"/>
    <n v="131.88"/>
    <n v="143.20629701844499"/>
    <n v="161"/>
    <m/>
    <m/>
    <s v="NW"/>
    <s v="CORNER "/>
    <s v="ROAD 18M (BUILDINGS)"/>
    <s v="THIRD"/>
    <s v="D"/>
    <n v="0.13"/>
    <n v="0.05"/>
    <n v="0.15"/>
    <n v="0.15"/>
    <n v="2.5000000000000001E-2"/>
    <n v="0.505"/>
    <x v="1"/>
    <s v="R 1"/>
    <n v="42500"/>
    <n v="47500"/>
    <n v="5000"/>
    <n v="2525"/>
    <n v="45025"/>
    <n v="14858.25"/>
    <n v="49525"/>
    <n v="52525"/>
    <n v="7249025"/>
    <n v="7973525"/>
    <n v="8456525"/>
    <n v="0"/>
    <n v="616167.125"/>
    <n v="2"/>
    <n v="200000"/>
    <n v="200000"/>
    <n v="7449025"/>
  </r>
  <r>
    <m/>
    <s v="B"/>
    <x v="24"/>
    <x v="0"/>
    <n v="3"/>
    <n v="2"/>
    <x v="499"/>
    <s v="3 BEDROOM"/>
    <x v="0"/>
    <n v="131.43"/>
    <n v="142.71764950814546"/>
    <n v="160"/>
    <m/>
    <m/>
    <s v="SE"/>
    <s v="CORNER "/>
    <s v="LAKE B-1"/>
    <s v="THIRD"/>
    <s v="D"/>
    <n v="0.08"/>
    <n v="0.05"/>
    <n v="0.6"/>
    <n v="0.15"/>
    <n v="2.5000000000000001E-2"/>
    <n v="0.90500000000000003"/>
    <x v="2"/>
    <s v="R 12"/>
    <n v="61625"/>
    <n v="68875"/>
    <n v="7250"/>
    <n v="6561.25"/>
    <n v="68186.25"/>
    <n v="22501.462500000001"/>
    <n v="72686.25"/>
    <n v="75686.25"/>
    <n v="10909800"/>
    <n v="11629800"/>
    <n v="12109800"/>
    <n v="0"/>
    <n v="927333.00000000012"/>
    <n v="2"/>
    <n v="290000"/>
    <n v="290000"/>
    <n v="11199800"/>
  </r>
  <r>
    <m/>
    <s v="B"/>
    <x v="24"/>
    <x v="0"/>
    <n v="3"/>
    <n v="3"/>
    <x v="500"/>
    <s v="3 BEDROOM"/>
    <x v="0"/>
    <n v="126.97"/>
    <n v="137.87460973939915"/>
    <n v="155"/>
    <m/>
    <m/>
    <s v="SE"/>
    <s v="MIDDLE"/>
    <s v="LAKE B-1"/>
    <s v="THIRD"/>
    <s v="C"/>
    <n v="0.08"/>
    <n v="2.5000000000000001E-2"/>
    <n v="0.6"/>
    <n v="0.15"/>
    <n v="3.5000000000000003E-2"/>
    <n v="0.89"/>
    <x v="2"/>
    <s v="R 11"/>
    <n v="58649.999999999993"/>
    <n v="65550"/>
    <n v="6900.0000000000073"/>
    <n v="6141.0000000000064"/>
    <n v="64791"/>
    <n v="21381.030000000002"/>
    <n v="69291"/>
    <n v="72291"/>
    <n v="10042605"/>
    <n v="10740105"/>
    <n v="11205105"/>
    <n v="0"/>
    <n v="853621.42500000005"/>
    <n v="2"/>
    <n v="276000"/>
    <n v="276000"/>
    <n v="10318605"/>
  </r>
  <r>
    <m/>
    <s v="B"/>
    <x v="24"/>
    <x v="0"/>
    <n v="3"/>
    <n v="4"/>
    <x v="501"/>
    <s v="3 BEDROOM"/>
    <x v="0"/>
    <n v="127.45"/>
    <n v="138.39583375038529"/>
    <n v="155"/>
    <m/>
    <m/>
    <s v="NW"/>
    <s v="MIDDLE"/>
    <s v="ROAD 18M (BUILDINGS)"/>
    <s v="THIRD"/>
    <s v="C"/>
    <n v="0.13"/>
    <n v="2.5000000000000001E-2"/>
    <n v="0.15"/>
    <n v="0.15"/>
    <n v="3.5000000000000003E-2"/>
    <n v="0.49"/>
    <x v="0"/>
    <s v="R 12"/>
    <n v="61625"/>
    <n v="68875"/>
    <n v="7250"/>
    <n v="3552.5"/>
    <n v="65177.5"/>
    <n v="21508.575000000001"/>
    <n v="69677.5"/>
    <n v="72677.5"/>
    <n v="10102512.5"/>
    <n v="10800012.5"/>
    <n v="11265012.5"/>
    <n v="0"/>
    <n v="858713.56250000012"/>
    <n v="2"/>
    <n v="290000"/>
    <n v="290000"/>
    <n v="10392512.5"/>
  </r>
  <r>
    <m/>
    <s v="B"/>
    <x v="24"/>
    <x v="0"/>
    <n v="4"/>
    <n v="1"/>
    <x v="502"/>
    <s v="3 BEDROOM"/>
    <x v="0"/>
    <n v="129.58000000000001"/>
    <n v="140.70876529913636"/>
    <n v="158"/>
    <m/>
    <m/>
    <s v="NW"/>
    <s v="CORNER "/>
    <s v="ROAD 18M (BUILDINGS)"/>
    <s v="FORTH"/>
    <s v="C"/>
    <n v="0.13"/>
    <n v="0.05"/>
    <n v="0.15"/>
    <n v="0.06"/>
    <n v="3.5000000000000003E-2"/>
    <n v="0.42499999999999993"/>
    <x v="0"/>
    <s v="R 7"/>
    <n v="50150"/>
    <n v="56050"/>
    <n v="5900"/>
    <n v="2507.4999999999995"/>
    <n v="52657.5"/>
    <n v="17376.975000000002"/>
    <n v="57157.5"/>
    <n v="60157.5"/>
    <n v="8319885"/>
    <n v="9030885"/>
    <n v="9504885"/>
    <n v="0"/>
    <n v="707190.22500000009"/>
    <n v="2"/>
    <n v="236000"/>
    <n v="236000"/>
    <n v="8555885"/>
  </r>
  <r>
    <m/>
    <s v="B"/>
    <x v="24"/>
    <x v="0"/>
    <n v="4"/>
    <n v="2"/>
    <x v="503"/>
    <s v="3 BEDROOM"/>
    <x v="0"/>
    <n v="131.38"/>
    <n v="142.66335534033439"/>
    <n v="160"/>
    <m/>
    <m/>
    <s v="SE"/>
    <s v="CORNER "/>
    <s v="LAKE B-1"/>
    <s v="FORTH"/>
    <s v="D"/>
    <n v="0.08"/>
    <n v="0.05"/>
    <n v="0.6"/>
    <n v="0.06"/>
    <n v="2.5000000000000001E-2"/>
    <n v="0.81500000000000006"/>
    <x v="2"/>
    <s v="R 7"/>
    <n v="50150"/>
    <n v="56050"/>
    <n v="5900"/>
    <n v="4808.5"/>
    <n v="54958.5"/>
    <n v="18136.305"/>
    <n v="59458.5"/>
    <n v="62458.5"/>
    <n v="8793360"/>
    <n v="9513360"/>
    <n v="9993360"/>
    <n v="0"/>
    <n v="747435.60000000009"/>
    <n v="2"/>
    <n v="236000"/>
    <n v="236000"/>
    <n v="9029360"/>
  </r>
  <r>
    <m/>
    <s v="B"/>
    <x v="24"/>
    <x v="0"/>
    <n v="4"/>
    <n v="3"/>
    <x v="504"/>
    <s v="3 BEDROOM"/>
    <x v="0"/>
    <n v="127.19"/>
    <n v="138.1135040777678"/>
    <n v="155"/>
    <m/>
    <m/>
    <s v="SE"/>
    <s v="MIDDLE"/>
    <s v="LAKE B-1"/>
    <s v="FORTH"/>
    <s v="C"/>
    <n v="0.08"/>
    <n v="2.5000000000000001E-2"/>
    <n v="0.6"/>
    <n v="0.06"/>
    <n v="3.5000000000000003E-2"/>
    <n v="0.79999999999999993"/>
    <x v="2"/>
    <s v="R 6"/>
    <n v="48450.000000000007"/>
    <n v="54150.000000000007"/>
    <n v="5700"/>
    <n v="4560"/>
    <n v="53010.000000000007"/>
    <n v="17493.300000000003"/>
    <n v="57510.000000000007"/>
    <n v="60510.000000000007"/>
    <n v="8216550.0000000009"/>
    <n v="8914050.0000000019"/>
    <n v="9379050.0000000019"/>
    <n v="0"/>
    <n v="698406.75000000012"/>
    <n v="2"/>
    <n v="228000.00000000003"/>
    <n v="228000.00000000003"/>
    <n v="8444550.0000000019"/>
  </r>
  <r>
    <m/>
    <s v="B"/>
    <x v="24"/>
    <x v="0"/>
    <n v="4"/>
    <n v="4"/>
    <x v="505"/>
    <s v="3 BEDROOM"/>
    <x v="0"/>
    <n v="125.13"/>
    <n v="135.87658436395222"/>
    <n v="153"/>
    <m/>
    <m/>
    <s v="NW"/>
    <s v="MIDDLE"/>
    <s v="ROAD 18M (BUILDINGS)"/>
    <s v="FORTH"/>
    <s v="C"/>
    <n v="0.13"/>
    <n v="2.5000000000000001E-2"/>
    <n v="0.15"/>
    <n v="0.06"/>
    <n v="3.5000000000000003E-2"/>
    <n v="0.4"/>
    <x v="0"/>
    <s v="R 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r>
  <r>
    <s v="B2"/>
    <s v="B"/>
    <x v="25"/>
    <x v="0"/>
    <n v="0"/>
    <n v="1"/>
    <x v="506"/>
    <s v="2 BEDROOM"/>
    <x v="0"/>
    <n v="94.92"/>
    <n v="105.12823941945527"/>
    <n v="116"/>
    <n v="62.982999999999997"/>
    <m/>
    <s v="NW"/>
    <s v="MIDDLE"/>
    <s v="ROAD 18M (BUILDINGS)"/>
    <s v="GROUND"/>
    <s v="B"/>
    <n v="0.13"/>
    <n v="2.5000000000000001E-2"/>
    <n v="0.15"/>
    <n v="0.05"/>
    <n v="0.04"/>
    <n v="0.39499999999999996"/>
    <x v="0"/>
    <s v="R 4"/>
    <n v="45687.5"/>
    <n v="51062.5"/>
    <n v="5375"/>
    <n v="2123.125"/>
    <n v="47810.625"/>
    <n v="15777.50625"/>
    <n v="52310.625"/>
    <n v="55310.625"/>
    <n v="5546032.5"/>
    <n v="6068032.5"/>
    <n v="6416032.5"/>
    <n v="993714.67614374997"/>
    <n v="555878.50997221877"/>
    <n v="1"/>
    <n v="215000"/>
    <n v="215000"/>
    <n v="6754747.1761437505"/>
  </r>
  <r>
    <m/>
    <s v="B"/>
    <x v="25"/>
    <x v="0"/>
    <n v="0"/>
    <n v="2"/>
    <x v="507"/>
    <s v="3 BEDROOM"/>
    <x v="0"/>
    <n v="163.35"/>
    <n v="180.91759280623702"/>
    <n v="199"/>
    <n v="76.321799999999996"/>
    <m/>
    <s v="SE"/>
    <s v="MIDDLE"/>
    <s v="LAKE B-1"/>
    <s v="GROUND"/>
    <s v="E"/>
    <n v="0.08"/>
    <n v="2.5000000000000001E-2"/>
    <n v="0.6"/>
    <n v="0.05"/>
    <n v="1.4999999999999999E-2"/>
    <n v="0.77"/>
    <x v="2"/>
    <s v="R 3"/>
    <n v="44625"/>
    <n v="49875"/>
    <n v="5250"/>
    <n v="4042.5"/>
    <n v="48667.5"/>
    <n v="16060.275000000001"/>
    <n v="53167.5"/>
    <n v="56167.5"/>
    <n v="9684832.5"/>
    <n v="10580332.5"/>
    <n v="11177332.5"/>
    <n v="1225749.0964949999"/>
    <n v="927399.43570207513"/>
    <n v="2"/>
    <n v="210000"/>
    <n v="210000"/>
    <n v="11120581.596495001"/>
  </r>
  <r>
    <m/>
    <s v="B"/>
    <x v="25"/>
    <x v="0"/>
    <n v="0"/>
    <n v="3"/>
    <x v="508"/>
    <s v="3 BEDROOM + LIVING"/>
    <x v="0"/>
    <n v="183.89"/>
    <n v="203.66658182515411"/>
    <n v="224"/>
    <n v="61.571399999999997"/>
    <m/>
    <s v="SE"/>
    <s v="CORNER "/>
    <s v="LAKE B-1"/>
    <s v="GROUND"/>
    <s v="E"/>
    <n v="0.08"/>
    <n v="0.05"/>
    <n v="0.6"/>
    <n v="0.05"/>
    <n v="1.4999999999999999E-2"/>
    <n v="0.79500000000000004"/>
    <x v="2"/>
    <s v="R 5"/>
    <n v="46750.000000000007"/>
    <n v="52250.000000000007"/>
    <n v="5500"/>
    <n v="4372.5"/>
    <n v="51122.500000000007"/>
    <n v="16870.425000000003"/>
    <n v="55622.500000000007"/>
    <n v="58622.500000000007"/>
    <n v="11451440.000000002"/>
    <n v="12459440.000000002"/>
    <n v="13131440.000000002"/>
    <n v="1038735.6858450001"/>
    <n v="1061664.9332968253"/>
    <n v="2"/>
    <n v="220000.00000000003"/>
    <n v="220000.00000000003"/>
    <n v="12710175.685845003"/>
  </r>
  <r>
    <m/>
    <s v="B"/>
    <x v="25"/>
    <x v="0"/>
    <n v="0"/>
    <n v="4"/>
    <x v="509"/>
    <s v="3 BEDROOM"/>
    <x v="0"/>
    <n v="144.21"/>
    <n v="159.71916779055672"/>
    <n v="176"/>
    <n v="85.360500000000002"/>
    <m/>
    <s v="NW"/>
    <s v="CORNER "/>
    <s v="ROAD 18M (BUILDINGS)"/>
    <s v="GROUND"/>
    <s v="D"/>
    <n v="0.13"/>
    <n v="0.05"/>
    <n v="0.15"/>
    <n v="0.05"/>
    <n v="2.5000000000000001E-2"/>
    <n v="0.40499999999999997"/>
    <x v="0"/>
    <s v="R 6"/>
    <n v="48450.000000000007"/>
    <n v="54150.000000000007"/>
    <n v="5700"/>
    <n v="2308.5"/>
    <n v="50758.500000000007"/>
    <n v="16750.305000000004"/>
    <n v="55258.500000000007"/>
    <n v="58258.500000000007"/>
    <n v="8933496.0000000019"/>
    <n v="9725496.0000000019"/>
    <n v="10253496.000000002"/>
    <n v="1429814.4099525004"/>
    <n v="880881.38484596275"/>
    <n v="2"/>
    <n v="228000.00000000003"/>
    <n v="228000.00000000003"/>
    <n v="10591310.409952503"/>
  </r>
  <r>
    <m/>
    <s v="B"/>
    <x v="25"/>
    <x v="0"/>
    <n v="1"/>
    <n v="1"/>
    <x v="510"/>
    <s v="2 BEDROOM"/>
    <x v="0"/>
    <n v="96.29"/>
    <n v="106.64557705119415"/>
    <n v="117"/>
    <m/>
    <m/>
    <s v="NW"/>
    <s v="MIDDLE"/>
    <s v="ROAD 18M (BUILDINGS)"/>
    <s v="FIRST"/>
    <s v="B"/>
    <n v="0.13"/>
    <n v="2.5000000000000001E-2"/>
    <n v="0.15"/>
    <n v="7.0000000000000007E-2"/>
    <n v="0.04"/>
    <n v="0.41499999999999998"/>
    <x v="0"/>
    <s v="R 7"/>
    <n v="50150"/>
    <n v="56050"/>
    <n v="5900"/>
    <n v="2448.5"/>
    <n v="52598.5"/>
    <n v="17357.505000000001"/>
    <n v="57098.5"/>
    <n v="60098.5"/>
    <n v="6154024.5"/>
    <n v="6680524.5"/>
    <n v="7031524.5"/>
    <n v="0"/>
    <n v="523092.08250000002"/>
    <n v="1"/>
    <n v="236000"/>
    <n v="236000"/>
    <n v="6390024.5"/>
  </r>
  <r>
    <m/>
    <s v="B"/>
    <x v="25"/>
    <x v="0"/>
    <n v="1"/>
    <n v="2"/>
    <x v="511"/>
    <s v="3 BEDROOM"/>
    <x v="0"/>
    <n v="163.05000000000001"/>
    <n v="180.58532909125773"/>
    <n v="199"/>
    <m/>
    <m/>
    <s v="SE"/>
    <s v="MIDDLE"/>
    <s v="LAKE B-1"/>
    <s v="FIRST"/>
    <s v="E"/>
    <n v="0.08"/>
    <n v="2.5000000000000001E-2"/>
    <n v="0.6"/>
    <n v="7.0000000000000007E-2"/>
    <n v="1.4999999999999999E-2"/>
    <n v="0.78999999999999992"/>
    <x v="2"/>
    <s v="R 5"/>
    <n v="46750.000000000007"/>
    <n v="52250.000000000007"/>
    <n v="5500"/>
    <n v="4345"/>
    <n v="51095.000000000007"/>
    <n v="16861.350000000002"/>
    <n v="55595.000000000007"/>
    <n v="58595.000000000007"/>
    <n v="10167905.000000002"/>
    <n v="11063405.000000002"/>
    <n v="11660405.000000002"/>
    <n v="0"/>
    <n v="864271.92500000016"/>
    <n v="2"/>
    <n v="220000.00000000003"/>
    <n v="220000.00000000003"/>
    <n v="10387905.000000002"/>
  </r>
  <r>
    <m/>
    <s v="B"/>
    <x v="25"/>
    <x v="0"/>
    <n v="1"/>
    <n v="3"/>
    <x v="512"/>
    <s v="3 BEDROOM + LIVING"/>
    <x v="0"/>
    <n v="183.59"/>
    <n v="203.33431811017482"/>
    <n v="224"/>
    <m/>
    <m/>
    <s v="SE"/>
    <s v="CORNER "/>
    <s v="LAKE B-1"/>
    <s v="FIRST"/>
    <s v="E"/>
    <n v="0.08"/>
    <n v="0.05"/>
    <n v="0.6"/>
    <n v="7.0000000000000007E-2"/>
    <n v="1.4999999999999999E-2"/>
    <n v="0.81500000000000006"/>
    <x v="2"/>
    <s v="R 7"/>
    <n v="50150"/>
    <n v="56050"/>
    <n v="5900"/>
    <n v="4808.5"/>
    <n v="54958.5"/>
    <n v="18136.305"/>
    <n v="59458.5"/>
    <n v="62458.5"/>
    <n v="12310704"/>
    <n v="13318704"/>
    <n v="13990704"/>
    <n v="0"/>
    <n v="1046409.8400000001"/>
    <n v="2"/>
    <n v="236000"/>
    <n v="236000"/>
    <n v="12546704"/>
  </r>
  <r>
    <m/>
    <s v="B"/>
    <x v="25"/>
    <x v="0"/>
    <n v="1"/>
    <n v="4"/>
    <x v="513"/>
    <s v="3 BEDROOM"/>
    <x v="0"/>
    <n v="141.59"/>
    <n v="156.81739801307072"/>
    <n v="173"/>
    <m/>
    <m/>
    <s v="NW"/>
    <s v="CORNER "/>
    <s v="ROAD 18M (BUILDINGS)"/>
    <s v="FIRST"/>
    <s v="D"/>
    <n v="0.13"/>
    <n v="0.05"/>
    <n v="0.15"/>
    <n v="7.0000000000000007E-2"/>
    <n v="2.5000000000000001E-2"/>
    <n v="0.42499999999999999"/>
    <x v="0"/>
    <s v="R 8"/>
    <n v="51850"/>
    <n v="57950"/>
    <n v="6100"/>
    <n v="2592.5"/>
    <n v="54442.5"/>
    <n v="17966.025000000001"/>
    <n v="58942.5"/>
    <n v="61942.5"/>
    <n v="9418552.5"/>
    <n v="10197052.5"/>
    <n v="10716052.5"/>
    <n v="0"/>
    <n v="800576.96250000002"/>
    <n v="2"/>
    <n v="244000"/>
    <n v="244000"/>
    <n v="9662552.5"/>
  </r>
  <r>
    <m/>
    <s v="B"/>
    <x v="25"/>
    <x v="0"/>
    <n v="2"/>
    <n v="1"/>
    <x v="514"/>
    <s v="3 BEDROOM"/>
    <x v="0"/>
    <n v="141.15"/>
    <n v="156.33007789776772"/>
    <n v="172"/>
    <m/>
    <m/>
    <s v="NW"/>
    <s v="MIDDLE"/>
    <s v="ROAD 18M (BUILDINGS)"/>
    <s v="SECOND"/>
    <s v="D"/>
    <n v="0.13"/>
    <n v="2.5000000000000001E-2"/>
    <n v="0.15"/>
    <n v="0.11"/>
    <n v="2.5000000000000001E-2"/>
    <n v="0.44"/>
    <x v="0"/>
    <s v="R 8"/>
    <n v="51850"/>
    <n v="57950"/>
    <n v="6100"/>
    <n v="2684"/>
    <n v="54534"/>
    <n v="17996.22"/>
    <n v="59034"/>
    <n v="62034"/>
    <n v="9379848"/>
    <n v="10153848"/>
    <n v="10669848"/>
    <n v="0"/>
    <n v="797287.08000000007"/>
    <n v="2"/>
    <n v="244000"/>
    <n v="244000"/>
    <n v="9623848"/>
  </r>
  <r>
    <m/>
    <s v="B"/>
    <x v="25"/>
    <x v="0"/>
    <n v="2"/>
    <n v="2"/>
    <x v="515"/>
    <s v="3 BEDROOM"/>
    <x v="0"/>
    <n v="167.88"/>
    <n v="185.93477490242469"/>
    <n v="205"/>
    <m/>
    <m/>
    <s v="SE"/>
    <s v="MIDDLE"/>
    <s v="LAKE B-1"/>
    <s v="SECOND"/>
    <s v="E"/>
    <n v="0.08"/>
    <n v="2.5000000000000001E-2"/>
    <n v="0.6"/>
    <n v="0.11"/>
    <n v="1.4999999999999999E-2"/>
    <n v="0.83"/>
    <x v="2"/>
    <s v="R 7"/>
    <n v="50150"/>
    <n v="56050"/>
    <n v="5900"/>
    <n v="4897"/>
    <n v="55047"/>
    <n v="18165.510000000002"/>
    <n v="59547"/>
    <n v="62547"/>
    <n v="11284635"/>
    <n v="12207135"/>
    <n v="12822135"/>
    <n v="0"/>
    <n v="959193.97500000009"/>
    <n v="2"/>
    <n v="236000"/>
    <n v="236000"/>
    <n v="11520635"/>
  </r>
  <r>
    <m/>
    <s v="B"/>
    <x v="25"/>
    <x v="0"/>
    <n v="2"/>
    <n v="3"/>
    <x v="516"/>
    <s v="3 BEDROOM + LIVING"/>
    <x v="0"/>
    <n v="187.09"/>
    <n v="207.21072811826681"/>
    <n v="228"/>
    <m/>
    <m/>
    <s v="SE"/>
    <s v="CORNER "/>
    <s v="LAKE B-1"/>
    <s v="SECOND"/>
    <s v="E"/>
    <n v="0.08"/>
    <n v="0.05"/>
    <n v="0.6"/>
    <n v="0.11"/>
    <n v="1.4999999999999999E-2"/>
    <n v="0.85499999999999998"/>
    <x v="2"/>
    <s v="R 8"/>
    <n v="51850"/>
    <n v="57950"/>
    <n v="6100"/>
    <n v="5215.5"/>
    <n v="57065.5"/>
    <n v="18831.615000000002"/>
    <n v="61565.5"/>
    <n v="64565.5"/>
    <n v="13010934"/>
    <n v="14036934"/>
    <n v="14720934"/>
    <n v="0"/>
    <n v="1105929.3900000001"/>
    <n v="2"/>
    <n v="244000"/>
    <n v="244000"/>
    <n v="13254934"/>
  </r>
  <r>
    <m/>
    <s v="B"/>
    <x v="25"/>
    <x v="0"/>
    <n v="2"/>
    <n v="4"/>
    <x v="517"/>
    <s v="3 BEDROOM"/>
    <x v="0"/>
    <n v="143.97"/>
    <n v="159.45335681857327"/>
    <n v="176"/>
    <m/>
    <m/>
    <s v="NW"/>
    <s v="CORNER "/>
    <s v="ROAD 18M (BUILDINGS)"/>
    <s v="SECOND"/>
    <s v="D"/>
    <n v="0.13"/>
    <n v="0.05"/>
    <n v="0.15"/>
    <n v="0.11"/>
    <n v="2.5000000000000001E-2"/>
    <n v="0.46499999999999997"/>
    <x v="0"/>
    <s v="R 11"/>
    <n v="58649.999999999993"/>
    <n v="65550"/>
    <n v="6900.0000000000073"/>
    <n v="3208.5000000000032"/>
    <n v="61858.499999999993"/>
    <n v="20413.305"/>
    <n v="66358.5"/>
    <n v="69358.5"/>
    <n v="10887095.999999998"/>
    <n v="11679096"/>
    <n v="12207096"/>
    <n v="0"/>
    <n v="925403.15999999992"/>
    <n v="2"/>
    <n v="276000"/>
    <n v="276000"/>
    <n v="11163095.999999998"/>
  </r>
  <r>
    <m/>
    <s v="B"/>
    <x v="25"/>
    <x v="0"/>
    <n v="3"/>
    <n v="1"/>
    <x v="518"/>
    <s v="3 BEDROOM"/>
    <x v="0"/>
    <n v="141.38999999999999"/>
    <n v="156.59588886975115"/>
    <n v="172"/>
    <m/>
    <m/>
    <s v="NW"/>
    <s v="MIDDLE"/>
    <s v="ROAD 18M (BUILDINGS)"/>
    <s v="THIRD"/>
    <s v="D"/>
    <n v="0.13"/>
    <n v="2.5000000000000001E-2"/>
    <n v="0.15"/>
    <n v="0.15"/>
    <n v="2.5000000000000001E-2"/>
    <n v="0.48"/>
    <x v="0"/>
    <s v="R 12"/>
    <n v="61625"/>
    <n v="68875"/>
    <n v="7250"/>
    <n v="3480"/>
    <n v="65105"/>
    <n v="21484.65"/>
    <n v="69605"/>
    <n v="72605"/>
    <n v="11198060"/>
    <n v="11972060"/>
    <n v="12488060"/>
    <n v="0"/>
    <n v="951835.10000000009"/>
    <n v="2"/>
    <n v="290000"/>
    <n v="290000"/>
    <n v="11488060"/>
  </r>
  <r>
    <m/>
    <s v="B"/>
    <x v="25"/>
    <x v="0"/>
    <n v="3"/>
    <n v="2"/>
    <x v="519"/>
    <s v="3 BEDROOM"/>
    <x v="0"/>
    <n v="165.71"/>
    <n v="183.53140069740763"/>
    <n v="202"/>
    <m/>
    <m/>
    <s v="SE"/>
    <s v="MIDDLE"/>
    <s v="LAKE B-1"/>
    <s v="THIRD"/>
    <s v="E"/>
    <n v="0.08"/>
    <n v="2.5000000000000001E-2"/>
    <n v="0.6"/>
    <n v="0.15"/>
    <n v="1.4999999999999999E-2"/>
    <n v="0.87"/>
    <x v="2"/>
    <s v="R 9"/>
    <n v="53550"/>
    <n v="59850"/>
    <n v="6300"/>
    <n v="5481"/>
    <n v="59031"/>
    <n v="19480.23"/>
    <n v="63531"/>
    <n v="66531"/>
    <n v="11924262"/>
    <n v="12833262"/>
    <n v="13439262"/>
    <n v="0"/>
    <n v="1013562.27"/>
    <n v="2"/>
    <n v="252000"/>
    <n v="252000"/>
    <n v="12176262"/>
  </r>
  <r>
    <m/>
    <s v="B"/>
    <x v="25"/>
    <x v="0"/>
    <n v="3"/>
    <n v="3"/>
    <x v="520"/>
    <s v="3 BEDROOM + LIVING"/>
    <x v="0"/>
    <n v="187.91"/>
    <n v="208.11891560587694"/>
    <n v="229"/>
    <m/>
    <m/>
    <s v="SE"/>
    <s v="CORNER "/>
    <s v="LAKE B-1"/>
    <s v="THIRD"/>
    <s v="E"/>
    <n v="0.08"/>
    <n v="0.05"/>
    <n v="0.6"/>
    <n v="0.15"/>
    <n v="1.4999999999999999E-2"/>
    <n v="0.89500000000000002"/>
    <x v="2"/>
    <s v="R 11"/>
    <n v="58649.999999999993"/>
    <n v="65550"/>
    <n v="6900.0000000000073"/>
    <n v="6175.5000000000064"/>
    <n v="64825.5"/>
    <n v="21392.415000000001"/>
    <n v="69325.5"/>
    <n v="72325.5"/>
    <n v="14845039.5"/>
    <n v="15875539.5"/>
    <n v="16562539.5"/>
    <n v="0"/>
    <n v="1261828.3575000002"/>
    <n v="2"/>
    <n v="276000"/>
    <n v="276000"/>
    <n v="15121039.5"/>
  </r>
  <r>
    <m/>
    <s v="B"/>
    <x v="25"/>
    <x v="0"/>
    <n v="3"/>
    <n v="4"/>
    <x v="521"/>
    <s v="3 BEDROOM"/>
    <x v="0"/>
    <n v="144.21"/>
    <n v="159.71916779055672"/>
    <n v="176"/>
    <m/>
    <m/>
    <s v="NW"/>
    <s v="CORNER "/>
    <s v="ROAD 18M (BUILDINGS)"/>
    <s v="THIRD"/>
    <s v="D"/>
    <n v="0.13"/>
    <n v="0.05"/>
    <n v="0.15"/>
    <n v="0.15"/>
    <n v="2.5000000000000001E-2"/>
    <n v="0.505"/>
    <x v="1"/>
    <s v="R 1"/>
    <n v="42500"/>
    <n v="47500"/>
    <n v="5000"/>
    <n v="2525"/>
    <n v="45025"/>
    <n v="14858.25"/>
    <n v="49525"/>
    <n v="52525"/>
    <n v="7924400"/>
    <n v="8716400"/>
    <n v="9244400"/>
    <n v="0"/>
    <n v="673574"/>
    <n v="2"/>
    <n v="200000"/>
    <n v="200000"/>
    <n v="8124400"/>
  </r>
  <r>
    <m/>
    <s v="B"/>
    <x v="25"/>
    <x v="0"/>
    <n v="4"/>
    <n v="1"/>
    <x v="522"/>
    <s v="3 BEDROOM"/>
    <x v="0"/>
    <n v="139.09"/>
    <n v="154.04853372157643"/>
    <n v="170"/>
    <m/>
    <m/>
    <s v="NW"/>
    <s v="MIDDLE"/>
    <s v="ROAD 18M (BUILDINGS)"/>
    <s v="FORTH"/>
    <s v="D"/>
    <n v="0.13"/>
    <n v="2.5000000000000001E-2"/>
    <n v="0.15"/>
    <n v="0.06"/>
    <n v="2.5000000000000001E-2"/>
    <n v="0.39"/>
    <x v="0"/>
    <s v="R 4"/>
    <n v="45687.5"/>
    <n v="51062.5"/>
    <n v="5375"/>
    <n v="2096.25"/>
    <n v="47783.75"/>
    <n v="15768.637500000001"/>
    <n v="52283.75"/>
    <n v="55283.75"/>
    <n v="8123237.5"/>
    <n v="8888237.5"/>
    <n v="9398237.5"/>
    <n v="0"/>
    <n v="690475.1875"/>
    <n v="2"/>
    <n v="215000"/>
    <n v="215000"/>
    <n v="8338237.5"/>
  </r>
  <r>
    <m/>
    <s v="B"/>
    <x v="25"/>
    <x v="0"/>
    <n v="4"/>
    <n v="2"/>
    <x v="523"/>
    <s v="3 BEDROOM"/>
    <x v="0"/>
    <n v="163.35"/>
    <n v="180.91759280623702"/>
    <n v="199"/>
    <m/>
    <m/>
    <s v="SE"/>
    <s v="MIDDLE"/>
    <s v="LAKE B-1"/>
    <s v="FORTH"/>
    <s v="E"/>
    <n v="0.08"/>
    <n v="2.5000000000000001E-2"/>
    <n v="0.6"/>
    <n v="0.06"/>
    <n v="1.4999999999999999E-2"/>
    <n v="0.77999999999999992"/>
    <x v="2"/>
    <s v="R 4"/>
    <n v="45687.5"/>
    <n v="51062.5"/>
    <n v="5375"/>
    <n v="4192.5"/>
    <n v="49880"/>
    <n v="16460.400000000001"/>
    <n v="54380"/>
    <n v="57380"/>
    <n v="9926120"/>
    <n v="10821620"/>
    <n v="11418620"/>
    <n v="0"/>
    <n v="843720.20000000007"/>
    <n v="2"/>
    <n v="215000"/>
    <n v="215000"/>
    <n v="10141120"/>
  </r>
  <r>
    <m/>
    <s v="B"/>
    <x v="25"/>
    <x v="0"/>
    <n v="4"/>
    <n v="3"/>
    <x v="524"/>
    <s v="3 BEDROOM + LIVING"/>
    <x v="0"/>
    <n v="182.56"/>
    <n v="202.19354602207918"/>
    <n v="223"/>
    <m/>
    <m/>
    <s v="SE"/>
    <s v="CORNER "/>
    <s v="LAKE B-1"/>
    <s v="FORTH"/>
    <s v="E"/>
    <n v="0.08"/>
    <n v="0.05"/>
    <n v="0.6"/>
    <n v="0.06"/>
    <n v="1.4999999999999999E-2"/>
    <n v="0.80500000000000005"/>
    <x v="2"/>
    <s v="R 6"/>
    <n v="48450.000000000007"/>
    <n v="54150.000000000007"/>
    <n v="5700"/>
    <n v="4588.5"/>
    <n v="53038.500000000007"/>
    <n v="17502.705000000002"/>
    <n v="57538.500000000007"/>
    <n v="60538.500000000007"/>
    <n v="11827585.500000002"/>
    <n v="12831085.500000002"/>
    <n v="13500085.500000002"/>
    <n v="0"/>
    <n v="1005344.7675000002"/>
    <n v="2"/>
    <n v="228000.00000000003"/>
    <n v="228000.00000000003"/>
    <n v="12055585.500000002"/>
  </r>
  <r>
    <m/>
    <s v="B"/>
    <x v="25"/>
    <x v="0"/>
    <n v="4"/>
    <n v="4"/>
    <x v="525"/>
    <s v="3 BEDROOM"/>
    <x v="0"/>
    <n v="141.91"/>
    <n v="157.17181264238198"/>
    <n v="173"/>
    <m/>
    <m/>
    <s v="NW"/>
    <s v="CORNER "/>
    <s v="ROAD 18M (BUILDINGS)"/>
    <s v="FORTH"/>
    <s v="D"/>
    <n v="0.13"/>
    <n v="0.05"/>
    <n v="0.15"/>
    <n v="0.06"/>
    <n v="2.5000000000000001E-2"/>
    <n v="0.41499999999999998"/>
    <x v="0"/>
    <s v="R 7"/>
    <n v="50150"/>
    <n v="56050"/>
    <n v="5900"/>
    <n v="2448.5"/>
    <n v="52598.5"/>
    <n v="17357.505000000001"/>
    <n v="57098.5"/>
    <n v="60098.5"/>
    <n v="9099540.5"/>
    <n v="9878040.5"/>
    <n v="10397040.5"/>
    <n v="0"/>
    <n v="773460.9425"/>
    <n v="2"/>
    <n v="236000"/>
    <n v="236000"/>
    <n v="9335540.5"/>
  </r>
  <r>
    <s v="B2"/>
    <s v="B"/>
    <x v="26"/>
    <x v="0"/>
    <n v="0"/>
    <n v="1"/>
    <x v="526"/>
    <s v="3 BEDROOM"/>
    <x v="0"/>
    <n v="144.21"/>
    <n v="159.71916779055672"/>
    <n v="176"/>
    <n v="80.513400000000004"/>
    <m/>
    <s v="NW"/>
    <s v="CORNER "/>
    <s v="MAIN GATE &amp; LAKE ENTRANCE"/>
    <s v="GROUND"/>
    <s v="D"/>
    <n v="0.13"/>
    <n v="0.05"/>
    <n v="0.25"/>
    <n v="0.05"/>
    <n v="2.5000000000000001E-2"/>
    <n v="0.505"/>
    <x v="1"/>
    <s v="R 1"/>
    <n v="42500"/>
    <n v="47500"/>
    <n v="5000"/>
    <n v="2525"/>
    <n v="45025"/>
    <n v="14858.25"/>
    <n v="49525"/>
    <n v="52525"/>
    <n v="7924400"/>
    <n v="8716400"/>
    <n v="9244400"/>
    <n v="1196288.2255500001"/>
    <n v="775258.49917175004"/>
    <n v="2"/>
    <n v="200000"/>
    <n v="200000"/>
    <n v="9320688.2255499996"/>
  </r>
  <r>
    <m/>
    <s v="B"/>
    <x v="26"/>
    <x v="0"/>
    <n v="0"/>
    <n v="2"/>
    <x v="527"/>
    <s v="3 BEDROOM + LIVING"/>
    <x v="0"/>
    <n v="183.89"/>
    <n v="203.66658182515411"/>
    <n v="224"/>
    <n v="61.571399999999997"/>
    <m/>
    <s v="SE"/>
    <s v="CORNER "/>
    <s v="LAKE B-1"/>
    <s v="GROUND"/>
    <s v="E"/>
    <n v="0.08"/>
    <n v="0.05"/>
    <n v="0.6"/>
    <n v="0.05"/>
    <n v="1.4999999999999999E-2"/>
    <n v="0.79500000000000004"/>
    <x v="2"/>
    <s v="R 5"/>
    <n v="46750.000000000007"/>
    <n v="52250.000000000007"/>
    <n v="5500"/>
    <n v="4372.5"/>
    <n v="51122.500000000007"/>
    <n v="16870.425000000003"/>
    <n v="55622.500000000007"/>
    <n v="58622.500000000007"/>
    <n v="11451440.000000002"/>
    <n v="12459440.000000002"/>
    <n v="13131440.000000002"/>
    <n v="1038735.6858450001"/>
    <n v="1061664.9332968253"/>
    <n v="2"/>
    <n v="220000.00000000003"/>
    <n v="220000.00000000003"/>
    <n v="12710175.685845003"/>
  </r>
  <r>
    <m/>
    <s v="B"/>
    <x v="26"/>
    <x v="0"/>
    <n v="0"/>
    <n v="3"/>
    <x v="528"/>
    <s v="3 BEDROOM"/>
    <x v="0"/>
    <n v="163.35"/>
    <n v="180.91759280623702"/>
    <n v="199"/>
    <n v="76.321799999999996"/>
    <m/>
    <s v="SE"/>
    <s v="MIDDLE"/>
    <s v="LAKE B-1"/>
    <s v="GROUND"/>
    <s v="E"/>
    <n v="0.08"/>
    <n v="2.5000000000000001E-2"/>
    <n v="0.6"/>
    <n v="0.05"/>
    <n v="1.4999999999999999E-2"/>
    <n v="0.77"/>
    <x v="2"/>
    <s v="R 4"/>
    <n v="45687.5"/>
    <n v="51062.5"/>
    <n v="5375"/>
    <n v="4138.75"/>
    <n v="49826.25"/>
    <n v="16442.662500000002"/>
    <n v="54326.25"/>
    <n v="57326.25"/>
    <n v="9915423.75"/>
    <n v="10810923.75"/>
    <n v="11407923.75"/>
    <n v="1254933.5987925001"/>
    <n v="949480.37464736262"/>
    <n v="2"/>
    <n v="215000"/>
    <n v="215000"/>
    <n v="11385357.348792501"/>
  </r>
  <r>
    <m/>
    <s v="B"/>
    <x v="26"/>
    <x v="0"/>
    <n v="0"/>
    <n v="4"/>
    <x v="529"/>
    <s v="3 BEDROOM"/>
    <x v="0"/>
    <n v="94.92"/>
    <n v="105.12823941945527"/>
    <n v="116"/>
    <n v="62.141199999999998"/>
    <m/>
    <s v="NW"/>
    <s v="MIDDLE"/>
    <s v="MAIN GATE &amp; LAKE ENTRANCE"/>
    <s v="GROUND"/>
    <s v="B"/>
    <n v="0.13"/>
    <n v="2.5000000000000001E-2"/>
    <n v="0.25"/>
    <n v="0.05"/>
    <n v="0.04"/>
    <n v="0.495"/>
    <x v="0"/>
    <s v="R 12"/>
    <n v="61625"/>
    <n v="68875"/>
    <n v="7250"/>
    <n v="3588.75"/>
    <n v="65213.75"/>
    <n v="21520.537500000002"/>
    <n v="69713.75"/>
    <n v="72713.75"/>
    <n v="7564795"/>
    <n v="8086795"/>
    <n v="8434795"/>
    <n v="1337312.024895"/>
    <n v="756679.09711607499"/>
    <n v="1"/>
    <n v="290000"/>
    <n v="290000"/>
    <n v="9192107.0248949993"/>
  </r>
  <r>
    <m/>
    <s v="B"/>
    <x v="26"/>
    <x v="0"/>
    <n v="1"/>
    <n v="1"/>
    <x v="530"/>
    <s v="3 BEDROOM"/>
    <x v="0"/>
    <n v="141.59"/>
    <n v="156.81739801307072"/>
    <n v="173"/>
    <m/>
    <m/>
    <s v="NW"/>
    <s v="CORNER "/>
    <s v="MAIN GATE &amp; LAKE ENTRANCE"/>
    <s v="FIRST"/>
    <s v="D"/>
    <n v="0.13"/>
    <n v="0.05"/>
    <n v="0.25"/>
    <n v="7.0000000000000007E-2"/>
    <n v="2.5000000000000001E-2"/>
    <n v="0.52500000000000002"/>
    <x v="1"/>
    <s v="R 1"/>
    <n v="42500"/>
    <n v="47500"/>
    <n v="5000"/>
    <n v="2625"/>
    <n v="45125"/>
    <n v="14891.25"/>
    <n v="49625"/>
    <n v="52625"/>
    <n v="7806625"/>
    <n v="8585125"/>
    <n v="9104125"/>
    <n v="0"/>
    <n v="663563.125"/>
    <n v="2"/>
    <n v="200000"/>
    <n v="200000"/>
    <n v="8006625"/>
  </r>
  <r>
    <m/>
    <s v="B"/>
    <x v="26"/>
    <x v="0"/>
    <n v="1"/>
    <n v="2"/>
    <x v="531"/>
    <s v="3 BEDROOM + LIVING"/>
    <x v="0"/>
    <n v="183.59"/>
    <n v="203.33431811017482"/>
    <n v="224"/>
    <m/>
    <m/>
    <s v="SE"/>
    <s v="CORNER "/>
    <s v="LAKE B-1"/>
    <s v="FIRST"/>
    <s v="E"/>
    <n v="0.08"/>
    <n v="0.05"/>
    <n v="0.6"/>
    <n v="7.0000000000000007E-2"/>
    <n v="1.4999999999999999E-2"/>
    <n v="0.81500000000000006"/>
    <x v="2"/>
    <s v="R 7"/>
    <n v="50150"/>
    <n v="56050"/>
    <n v="5900"/>
    <n v="4808.5"/>
    <n v="54958.5"/>
    <n v="18136.305"/>
    <n v="59458.5"/>
    <n v="62458.5"/>
    <n v="12310704"/>
    <n v="13318704"/>
    <n v="13990704"/>
    <n v="0"/>
    <n v="1046409.8400000001"/>
    <n v="2"/>
    <n v="236000"/>
    <n v="236000"/>
    <n v="12546704"/>
  </r>
  <r>
    <m/>
    <s v="B"/>
    <x v="26"/>
    <x v="0"/>
    <n v="1"/>
    <n v="3"/>
    <x v="532"/>
    <s v="3 BEDROOM"/>
    <x v="0"/>
    <n v="163.05000000000001"/>
    <n v="180.58532909125773"/>
    <n v="199"/>
    <m/>
    <m/>
    <s v="SE"/>
    <s v="MIDDLE"/>
    <s v="LAKE B-1"/>
    <s v="FIRST"/>
    <s v="E"/>
    <n v="0.08"/>
    <n v="2.5000000000000001E-2"/>
    <n v="0.6"/>
    <n v="7.0000000000000007E-2"/>
    <n v="1.4999999999999999E-2"/>
    <n v="0.78999999999999992"/>
    <x v="2"/>
    <s v="R 5"/>
    <n v="46750.000000000007"/>
    <n v="52250.000000000007"/>
    <n v="5500"/>
    <n v="4345"/>
    <n v="51095.000000000007"/>
    <n v="16861.350000000002"/>
    <n v="55595.000000000007"/>
    <n v="58595.000000000007"/>
    <n v="10167905.000000002"/>
    <n v="11063405.000000002"/>
    <n v="11660405.000000002"/>
    <n v="0"/>
    <n v="864271.92500000016"/>
    <n v="2"/>
    <n v="220000.00000000003"/>
    <n v="220000.00000000003"/>
    <n v="10387905.000000002"/>
  </r>
  <r>
    <m/>
    <s v="B"/>
    <x v="26"/>
    <x v="0"/>
    <n v="1"/>
    <n v="4"/>
    <x v="533"/>
    <s v="2 BEDROOM"/>
    <x v="0"/>
    <n v="96.29"/>
    <n v="106.64557705119415"/>
    <n v="117"/>
    <m/>
    <m/>
    <s v="NW"/>
    <s v="MIDDLE"/>
    <s v="MAIN GATE &amp; LAKE ENTRANCE"/>
    <s v="FIRST"/>
    <s v="B"/>
    <n v="0.13"/>
    <n v="2.5000000000000001E-2"/>
    <n v="0.25"/>
    <n v="7.0000000000000007E-2"/>
    <n v="0.04"/>
    <n v="0.51500000000000001"/>
    <x v="1"/>
    <s v="R 1"/>
    <n v="42500"/>
    <n v="47500"/>
    <n v="5000"/>
    <n v="2575"/>
    <n v="45075"/>
    <n v="14874.75"/>
    <n v="49575"/>
    <n v="52575"/>
    <n v="5273775"/>
    <n v="5800275"/>
    <n v="6151275"/>
    <n v="0"/>
    <n v="448270.87500000006"/>
    <n v="1"/>
    <n v="200000"/>
    <n v="200000"/>
    <n v="5473775"/>
  </r>
  <r>
    <m/>
    <s v="B"/>
    <x v="26"/>
    <x v="0"/>
    <n v="2"/>
    <n v="1"/>
    <x v="534"/>
    <s v="3 BEDROOM"/>
    <x v="0"/>
    <n v="143.97"/>
    <n v="159.45335681857327"/>
    <n v="176"/>
    <m/>
    <m/>
    <s v="NW"/>
    <s v="CORNER "/>
    <s v="MAIN GATE &amp; LAKE ENTRANCE"/>
    <s v="SECOND"/>
    <s v="D"/>
    <n v="0.13"/>
    <n v="0.05"/>
    <n v="0.25"/>
    <n v="0.11"/>
    <n v="2.5000000000000001E-2"/>
    <n v="0.56500000000000006"/>
    <x v="1"/>
    <s v="R 1"/>
    <n v="42500"/>
    <n v="47500"/>
    <n v="5000"/>
    <n v="2825.0000000000005"/>
    <n v="45325"/>
    <n v="14957.25"/>
    <n v="49825"/>
    <n v="52825"/>
    <n v="7977200"/>
    <n v="8769200"/>
    <n v="9297200"/>
    <n v="0"/>
    <n v="678062"/>
    <n v="2"/>
    <n v="200000"/>
    <n v="200000"/>
    <n v="8177200"/>
  </r>
  <r>
    <m/>
    <s v="B"/>
    <x v="26"/>
    <x v="0"/>
    <n v="2"/>
    <n v="2"/>
    <x v="535"/>
    <s v="3 BEDROOM + LIVING"/>
    <x v="0"/>
    <n v="187.09"/>
    <n v="207.21072811826681"/>
    <n v="228"/>
    <m/>
    <m/>
    <s v="SE"/>
    <s v="CORNER "/>
    <s v="LAKE B-1"/>
    <s v="SECOND"/>
    <s v="E"/>
    <n v="0.08"/>
    <n v="0.05"/>
    <n v="0.6"/>
    <n v="0.11"/>
    <n v="1.4999999999999999E-2"/>
    <n v="0.85499999999999998"/>
    <x v="2"/>
    <s v="R 8"/>
    <n v="51850"/>
    <n v="57950"/>
    <n v="6100"/>
    <n v="5215.5"/>
    <n v="57065.5"/>
    <n v="18831.615000000002"/>
    <n v="61565.5"/>
    <n v="64565.5"/>
    <n v="13010934"/>
    <n v="14036934"/>
    <n v="14720934"/>
    <n v="0"/>
    <n v="1105929.3900000001"/>
    <n v="2"/>
    <n v="244000"/>
    <n v="244000"/>
    <n v="13254934"/>
  </r>
  <r>
    <m/>
    <s v="B"/>
    <x v="26"/>
    <x v="0"/>
    <n v="2"/>
    <n v="3"/>
    <x v="536"/>
    <s v="3 BEDROOM"/>
    <x v="0"/>
    <n v="167.88"/>
    <n v="185.93477490242469"/>
    <n v="205"/>
    <m/>
    <m/>
    <s v="SE"/>
    <s v="MIDDLE"/>
    <s v="LAKE B-1"/>
    <s v="SECOND"/>
    <s v="E"/>
    <n v="0.08"/>
    <n v="2.5000000000000001E-2"/>
    <n v="0.6"/>
    <n v="0.11"/>
    <n v="1.4999999999999999E-2"/>
    <n v="0.83"/>
    <x v="2"/>
    <s v="R 8"/>
    <n v="51850"/>
    <n v="57950"/>
    <n v="6100"/>
    <n v="5063"/>
    <n v="56913"/>
    <n v="18781.29"/>
    <n v="61413"/>
    <n v="64413"/>
    <n v="11667165"/>
    <n v="12589665"/>
    <n v="13204665"/>
    <n v="0"/>
    <n v="991709.02500000002"/>
    <n v="2"/>
    <n v="244000"/>
    <n v="244000"/>
    <n v="11911165"/>
  </r>
  <r>
    <m/>
    <s v="B"/>
    <x v="26"/>
    <x v="0"/>
    <n v="2"/>
    <n v="4"/>
    <x v="537"/>
    <s v="3 BEDROOM"/>
    <x v="0"/>
    <n v="141.15"/>
    <n v="156.33007789776772"/>
    <n v="172"/>
    <m/>
    <m/>
    <s v="NW"/>
    <s v="MIDDLE"/>
    <s v="MAIN GATE &amp; LAKE ENTRANCE"/>
    <s v="SECOND"/>
    <s v="D"/>
    <n v="0.13"/>
    <n v="2.5000000000000001E-2"/>
    <n v="0.25"/>
    <n v="0.11"/>
    <n v="2.5000000000000001E-2"/>
    <n v="0.54"/>
    <x v="1"/>
    <s v="R 1"/>
    <n v="42500"/>
    <n v="47500"/>
    <n v="5000"/>
    <n v="2700"/>
    <n v="45200"/>
    <n v="14916"/>
    <n v="49700"/>
    <n v="52700"/>
    <n v="7774400"/>
    <n v="8548400"/>
    <n v="9064400"/>
    <n v="0"/>
    <n v="660824"/>
    <n v="2"/>
    <n v="200000"/>
    <n v="200000"/>
    <n v="7974400"/>
  </r>
  <r>
    <m/>
    <s v="B"/>
    <x v="26"/>
    <x v="0"/>
    <n v="3"/>
    <n v="1"/>
    <x v="538"/>
    <s v="3 BEDROOM"/>
    <x v="0"/>
    <n v="144.21"/>
    <n v="159.71916779055672"/>
    <n v="176"/>
    <m/>
    <m/>
    <s v="NW"/>
    <s v="CORNER "/>
    <s v="MAIN GATE &amp; LAKE ENTRANCE"/>
    <s v="THIRD"/>
    <s v="D"/>
    <n v="0.13"/>
    <n v="0.05"/>
    <n v="0.25"/>
    <n v="0.15"/>
    <n v="2.5000000000000001E-2"/>
    <n v="0.60499999999999998"/>
    <x v="1"/>
    <s v="R 2"/>
    <n v="43562.499999999993"/>
    <n v="48687.499999999993"/>
    <n v="5125"/>
    <n v="3100.625"/>
    <n v="46663.124999999993"/>
    <n v="15398.831249999997"/>
    <n v="51163.124999999993"/>
    <n v="54163.124999999993"/>
    <n v="8212709.9999999991"/>
    <n v="9004709.9999999981"/>
    <n v="9532709.9999999981"/>
    <n v="0"/>
    <n v="698080.35"/>
    <n v="2"/>
    <n v="204999.99999999997"/>
    <n v="204999.99999999997"/>
    <n v="8417709.9999999981"/>
  </r>
  <r>
    <m/>
    <s v="B"/>
    <x v="26"/>
    <x v="0"/>
    <n v="3"/>
    <n v="2"/>
    <x v="539"/>
    <s v="3 BEDROOM + LIVING"/>
    <x v="0"/>
    <n v="187.91"/>
    <n v="208.11891560587694"/>
    <n v="229"/>
    <m/>
    <m/>
    <s v="SE"/>
    <s v="CORNER "/>
    <s v="LAKE B-1"/>
    <s v="THIRD"/>
    <s v="E"/>
    <n v="0.08"/>
    <n v="0.05"/>
    <n v="0.6"/>
    <n v="0.15"/>
    <n v="1.4999999999999999E-2"/>
    <n v="0.89500000000000002"/>
    <x v="2"/>
    <s v="R 11"/>
    <n v="58649.999999999993"/>
    <n v="65550"/>
    <n v="6900.0000000000073"/>
    <n v="6175.5000000000064"/>
    <n v="64825.5"/>
    <n v="21392.415000000001"/>
    <n v="69325.5"/>
    <n v="72325.5"/>
    <n v="14845039.5"/>
    <n v="15875539.5"/>
    <n v="16562539.5"/>
    <n v="0"/>
    <n v="1261828.3575000002"/>
    <n v="2"/>
    <n v="276000"/>
    <n v="276000"/>
    <n v="15121039.5"/>
  </r>
  <r>
    <m/>
    <s v="B"/>
    <x v="26"/>
    <x v="0"/>
    <n v="3"/>
    <n v="3"/>
    <x v="540"/>
    <s v="3 BEDROOM"/>
    <x v="0"/>
    <n v="165.71"/>
    <n v="183.53140069740763"/>
    <n v="202"/>
    <m/>
    <m/>
    <s v="SE"/>
    <s v="MIDDLE"/>
    <s v="LAKE B-1"/>
    <s v="THIRD"/>
    <s v="E"/>
    <n v="0.08"/>
    <n v="2.5000000000000001E-2"/>
    <n v="0.6"/>
    <n v="0.15"/>
    <n v="1.4999999999999999E-2"/>
    <n v="0.87"/>
    <x v="2"/>
    <s v="R 9"/>
    <n v="53550"/>
    <n v="59850"/>
    <n v="6300"/>
    <n v="5481"/>
    <n v="59031"/>
    <n v="19480.23"/>
    <n v="63531"/>
    <n v="66531"/>
    <n v="11924262"/>
    <n v="12833262"/>
    <n v="13439262"/>
    <n v="0"/>
    <n v="1013562.27"/>
    <n v="2"/>
    <n v="252000"/>
    <n v="252000"/>
    <n v="12176262"/>
  </r>
  <r>
    <m/>
    <s v="B"/>
    <x v="26"/>
    <x v="0"/>
    <n v="3"/>
    <n v="4"/>
    <x v="541"/>
    <s v="3 BEDROOM"/>
    <x v="0"/>
    <n v="141.38999999999999"/>
    <n v="156.59588886975115"/>
    <n v="172"/>
    <m/>
    <m/>
    <s v="NW"/>
    <s v="MIDDLE"/>
    <s v="MAIN GATE &amp; LAKE ENTRANCE"/>
    <s v="THIRD"/>
    <s v="D"/>
    <n v="0.13"/>
    <n v="2.5000000000000001E-2"/>
    <n v="0.25"/>
    <n v="0.15"/>
    <n v="2.5000000000000001E-2"/>
    <n v="0.58000000000000007"/>
    <x v="1"/>
    <s v="R 1"/>
    <n v="42500"/>
    <n v="47500"/>
    <n v="5000"/>
    <n v="2900.0000000000005"/>
    <n v="45400"/>
    <n v="14982"/>
    <n v="49900"/>
    <n v="52900"/>
    <n v="7808800"/>
    <n v="8582800"/>
    <n v="9098800"/>
    <n v="0"/>
    <n v="663748"/>
    <n v="2"/>
    <n v="200000"/>
    <n v="200000"/>
    <n v="8008800"/>
  </r>
  <r>
    <m/>
    <s v="B"/>
    <x v="26"/>
    <x v="0"/>
    <n v="4"/>
    <n v="1"/>
    <x v="542"/>
    <s v="3 BEDROOM"/>
    <x v="0"/>
    <n v="141.91"/>
    <n v="157.17181264238198"/>
    <n v="173"/>
    <m/>
    <m/>
    <s v="NW"/>
    <s v="CORNER "/>
    <s v="MAIN GATE &amp; LAKE ENTRANCE"/>
    <s v="FORTH"/>
    <s v="D"/>
    <n v="0.13"/>
    <n v="0.05"/>
    <n v="0.25"/>
    <n v="0.06"/>
    <n v="2.5000000000000001E-2"/>
    <n v="0.51500000000000001"/>
    <x v="1"/>
    <s v="R 1"/>
    <n v="42500"/>
    <n v="47500"/>
    <n v="5000"/>
    <n v="2575"/>
    <n v="45075"/>
    <n v="14874.75"/>
    <n v="49575"/>
    <n v="52575"/>
    <n v="7797975"/>
    <n v="8576475"/>
    <n v="9095475"/>
    <n v="0"/>
    <n v="662827.875"/>
    <n v="2"/>
    <n v="200000"/>
    <n v="200000"/>
    <n v="7997975"/>
  </r>
  <r>
    <m/>
    <s v="B"/>
    <x v="26"/>
    <x v="0"/>
    <n v="4"/>
    <n v="2"/>
    <x v="543"/>
    <s v="3 BEDROOM + LIVING"/>
    <x v="0"/>
    <n v="182.56"/>
    <n v="202.19354602207918"/>
    <n v="223"/>
    <m/>
    <m/>
    <s v="SE"/>
    <s v="CORNER "/>
    <s v="LAKE B-1"/>
    <s v="FORTH"/>
    <s v="E"/>
    <n v="0.08"/>
    <n v="0.05"/>
    <n v="0.6"/>
    <n v="0.06"/>
    <n v="1.4999999999999999E-2"/>
    <n v="0.80500000000000005"/>
    <x v="2"/>
    <s v="R 6"/>
    <n v="48450.000000000007"/>
    <n v="54150.000000000007"/>
    <n v="5700"/>
    <n v="4588.5"/>
    <n v="53038.500000000007"/>
    <n v="17502.705000000002"/>
    <n v="57538.500000000007"/>
    <n v="60538.500000000007"/>
    <n v="11827585.500000002"/>
    <n v="12831085.500000002"/>
    <n v="13500085.500000002"/>
    <n v="0"/>
    <n v="1005344.7675000002"/>
    <n v="2"/>
    <n v="228000.00000000003"/>
    <n v="228000.00000000003"/>
    <n v="12055585.500000002"/>
  </r>
  <r>
    <m/>
    <s v="B"/>
    <x v="26"/>
    <x v="0"/>
    <n v="4"/>
    <n v="3"/>
    <x v="544"/>
    <s v="3 BEDROOM"/>
    <x v="0"/>
    <n v="163.35"/>
    <n v="180.91759280623702"/>
    <n v="199"/>
    <m/>
    <m/>
    <s v="SE"/>
    <s v="MIDDLE"/>
    <s v="LAKE B-1"/>
    <s v="FORTH"/>
    <s v="E"/>
    <n v="0.08"/>
    <n v="2.5000000000000001E-2"/>
    <n v="0.6"/>
    <n v="0.06"/>
    <n v="1.4999999999999999E-2"/>
    <n v="0.77999999999999992"/>
    <x v="2"/>
    <s v="R 4"/>
    <n v="45687.5"/>
    <n v="51062.5"/>
    <n v="5375"/>
    <n v="4192.5"/>
    <n v="49880"/>
    <n v="16460.400000000001"/>
    <n v="54380"/>
    <n v="57380"/>
    <n v="9926120"/>
    <n v="10821620"/>
    <n v="11418620"/>
    <n v="0"/>
    <n v="843720.20000000007"/>
    <n v="2"/>
    <n v="215000"/>
    <n v="215000"/>
    <n v="10141120"/>
  </r>
  <r>
    <m/>
    <s v="B"/>
    <x v="26"/>
    <x v="0"/>
    <n v="4"/>
    <n v="4"/>
    <x v="545"/>
    <s v="3 BEDROOM"/>
    <x v="0"/>
    <n v="139.09"/>
    <n v="154.04853372157643"/>
    <n v="170"/>
    <m/>
    <m/>
    <s v="NW"/>
    <s v="MIDDLE"/>
    <s v="MAIN GATE &amp; LAKE ENTRANCE"/>
    <s v="FORTH"/>
    <s v="D"/>
    <n v="0.13"/>
    <n v="2.5000000000000001E-2"/>
    <n v="0.25"/>
    <n v="0.06"/>
    <n v="2.5000000000000001E-2"/>
    <n v="0.49000000000000005"/>
    <x v="0"/>
    <s v="R 12"/>
    <n v="61625"/>
    <n v="68875"/>
    <n v="7250"/>
    <n v="3552.5000000000005"/>
    <n v="65177.5"/>
    <n v="21508.575000000001"/>
    <n v="69677.5"/>
    <n v="72677.5"/>
    <n v="11080175"/>
    <n v="11845175"/>
    <n v="12355175"/>
    <n v="0"/>
    <n v="941814.87500000012"/>
    <n v="2"/>
    <n v="290000"/>
    <n v="290000"/>
    <n v="11370175"/>
  </r>
  <r>
    <s v="B3"/>
    <s v="C"/>
    <x v="27"/>
    <x v="0"/>
    <n v="0"/>
    <n v="1"/>
    <x v="546"/>
    <s v="2 BEDROOM"/>
    <x v="1"/>
    <n v="95.254000000000005"/>
    <n v="105.53950812408786"/>
    <n v="116"/>
    <n v="61.845599999999997"/>
    <m/>
    <s v="SE"/>
    <s v="MIDDLE"/>
    <s v="ROAD 12M"/>
    <s v="GROUND"/>
    <s v="B"/>
    <n v="0.08"/>
    <n v="2.5000000000000001E-2"/>
    <n v="0.13"/>
    <n v="0.05"/>
    <n v="0.04"/>
    <n v="0.32500000000000001"/>
    <x v="0"/>
    <s v="R 1"/>
    <n v="42500"/>
    <n v="47500"/>
    <n v="5000"/>
    <n v="1625"/>
    <n v="44125"/>
    <n v="14561.25"/>
    <n v="48625"/>
    <n v="51625"/>
    <n v="5118500"/>
    <n v="5640500"/>
    <n v="5988500"/>
    <n v="900549.24300000002"/>
    <n v="511619.18565500004"/>
    <n v="1"/>
    <n v="200000"/>
    <n v="200000"/>
    <n v="6219049.2429999998"/>
  </r>
  <r>
    <m/>
    <s v="C"/>
    <x v="27"/>
    <x v="0"/>
    <n v="0"/>
    <n v="2"/>
    <x v="547"/>
    <s v="3 BEDROOM"/>
    <x v="1"/>
    <n v="162.82599999999999"/>
    <n v="180.40791935050211"/>
    <n v="199"/>
    <n v="77.610299999999995"/>
    <m/>
    <s v="NW"/>
    <s v="MIDDLE"/>
    <s v="LAKE C"/>
    <s v="GROUND"/>
    <s v="E"/>
    <n v="0.13"/>
    <n v="2.5000000000000001E-2"/>
    <n v="0.46"/>
    <n v="0.05"/>
    <n v="1.4999999999999999E-2"/>
    <n v="0.68"/>
    <x v="1"/>
    <s v="R 7"/>
    <n v="50150"/>
    <n v="56050"/>
    <n v="5900"/>
    <n v="4012.0000000000005"/>
    <n v="54162"/>
    <n v="17873.46"/>
    <n v="58662"/>
    <n v="61662"/>
    <n v="10778238"/>
    <n v="11673738"/>
    <n v="12270738"/>
    <n v="1387164.5926379999"/>
    <n v="1034059.2203742302"/>
    <n v="2"/>
    <n v="236000"/>
    <n v="236000"/>
    <n v="12401402.592638001"/>
  </r>
  <r>
    <m/>
    <s v="C"/>
    <x v="27"/>
    <x v="0"/>
    <n v="0"/>
    <n v="3"/>
    <x v="548"/>
    <s v="3 BEDROOM + LIVING"/>
    <x v="1"/>
    <n v="183.887"/>
    <n v="203.74308197465874"/>
    <n v="224"/>
    <n v="61.527700000000003"/>
    <m/>
    <s v="NW"/>
    <s v="CORNER "/>
    <s v="LAKE B-1"/>
    <s v="GROUND"/>
    <s v="E"/>
    <n v="0.13"/>
    <n v="0.05"/>
    <n v="0.6"/>
    <n v="0.05"/>
    <n v="1.4999999999999999E-2"/>
    <n v="0.84500000000000008"/>
    <x v="2"/>
    <s v="R 8"/>
    <n v="51850"/>
    <n v="57950"/>
    <n v="6100"/>
    <n v="5154.5000000000009"/>
    <n v="57004.5"/>
    <n v="18811.485000000001"/>
    <n v="61504.5"/>
    <n v="64504.5"/>
    <n v="12769008"/>
    <n v="13777008"/>
    <n v="14449008"/>
    <n v="1157427.4056345001"/>
    <n v="1183747.0094789325"/>
    <n v="2"/>
    <n v="244000"/>
    <n v="244000"/>
    <n v="14170435.4056345"/>
  </r>
  <r>
    <m/>
    <s v="C"/>
    <x v="27"/>
    <x v="0"/>
    <n v="0"/>
    <n v="4"/>
    <x v="549"/>
    <s v="3 BEDROOM"/>
    <x v="1"/>
    <n v="147.54499999999999"/>
    <n v="163.47687998581205"/>
    <n v="180"/>
    <n v="79.64"/>
    <m/>
    <s v="SE"/>
    <s v="CORNER "/>
    <s v="SEMI LAKE B-1"/>
    <s v="GROUND"/>
    <s v="D"/>
    <n v="0.08"/>
    <n v="0.05"/>
    <n v="0.48"/>
    <n v="0.05"/>
    <n v="2.5000000000000001E-2"/>
    <n v="0.68500000000000005"/>
    <x v="1"/>
    <s v="R 8"/>
    <n v="51850"/>
    <n v="57950"/>
    <n v="6100"/>
    <n v="4178.5"/>
    <n v="56028.5"/>
    <n v="18489.405000000002"/>
    <n v="60528.5"/>
    <n v="63528.5"/>
    <n v="10085130"/>
    <n v="10895130"/>
    <n v="11435130"/>
    <n v="1472496.2142000003"/>
    <n v="982398.22820700018"/>
    <n v="2"/>
    <n v="244000"/>
    <n v="244000"/>
    <n v="11801626.214200001"/>
  </r>
  <r>
    <m/>
    <s v="C"/>
    <x v="27"/>
    <x v="0"/>
    <n v="1"/>
    <n v="1"/>
    <x v="550"/>
    <s v="2 BEDROOM"/>
    <x v="1"/>
    <n v="96.311000000000007"/>
    <n v="106.71064277551626"/>
    <n v="117"/>
    <m/>
    <m/>
    <s v="SE"/>
    <s v="MIDDLE"/>
    <s v="ROAD 12M"/>
    <s v="FIRST"/>
    <s v="B"/>
    <n v="0.08"/>
    <n v="2.5000000000000001E-2"/>
    <n v="0.13"/>
    <n v="7.0000000000000007E-2"/>
    <n v="0.04"/>
    <n v="0.34500000000000003"/>
    <x v="0"/>
    <s v="R 1"/>
    <n v="42500"/>
    <n v="47500"/>
    <n v="5000"/>
    <n v="1725.0000000000002"/>
    <n v="44225"/>
    <n v="14594.25"/>
    <n v="48725"/>
    <n v="51725"/>
    <n v="5174325"/>
    <n v="5700825"/>
    <n v="6051825"/>
    <n v="0"/>
    <n v="439817.62500000006"/>
    <n v="1"/>
    <n v="200000"/>
    <n v="200000"/>
    <n v="5374325"/>
  </r>
  <r>
    <m/>
    <s v="C"/>
    <x v="27"/>
    <x v="0"/>
    <n v="1"/>
    <n v="2"/>
    <x v="551"/>
    <s v="3 BEDROOM"/>
    <x v="1"/>
    <n v="162.57599999999999"/>
    <n v="180.13092439983313"/>
    <n v="198"/>
    <m/>
    <m/>
    <s v="NW"/>
    <s v="MIDDLE"/>
    <s v="LAKE C"/>
    <s v="FIRST"/>
    <s v="E"/>
    <n v="0.13"/>
    <n v="2.5000000000000001E-2"/>
    <n v="0.46"/>
    <n v="7.0000000000000007E-2"/>
    <n v="1.4999999999999999E-2"/>
    <n v="0.70000000000000007"/>
    <x v="1"/>
    <s v="R 9"/>
    <n v="53550"/>
    <n v="59850"/>
    <n v="6300"/>
    <n v="4410"/>
    <n v="57960"/>
    <n v="19126.8"/>
    <n v="62460"/>
    <n v="65460"/>
    <n v="11476080"/>
    <n v="12367080"/>
    <n v="12961080"/>
    <n v="0"/>
    <n v="975466.8"/>
    <n v="2"/>
    <n v="252000"/>
    <n v="252000"/>
    <n v="11728080"/>
  </r>
  <r>
    <m/>
    <s v="C"/>
    <x v="27"/>
    <x v="0"/>
    <n v="1"/>
    <n v="3"/>
    <x v="552"/>
    <s v="3 BEDROOM + LIVING"/>
    <x v="1"/>
    <n v="183.637"/>
    <n v="203.46608702398976"/>
    <n v="224"/>
    <m/>
    <m/>
    <s v="NW"/>
    <s v="CORNER "/>
    <s v="LAKE B-1"/>
    <s v="FIRST"/>
    <s v="E"/>
    <n v="0.13"/>
    <n v="0.05"/>
    <n v="0.6"/>
    <n v="7.0000000000000007E-2"/>
    <n v="1.4999999999999999E-2"/>
    <n v="0.8650000000000001"/>
    <x v="2"/>
    <s v="R 9"/>
    <n v="53550"/>
    <n v="59850"/>
    <n v="6300"/>
    <n v="5449.5000000000009"/>
    <n v="58999.5"/>
    <n v="19469.834999999999"/>
    <n v="63499.5"/>
    <n v="66499.5"/>
    <n v="13215888"/>
    <n v="14223888"/>
    <n v="14895888"/>
    <n v="0"/>
    <n v="1123350.48"/>
    <n v="2"/>
    <n v="252000"/>
    <n v="252000"/>
    <n v="13467888"/>
  </r>
  <r>
    <m/>
    <s v="C"/>
    <x v="27"/>
    <x v="0"/>
    <n v="1"/>
    <n v="4"/>
    <x v="553"/>
    <s v="3 BEDROOM"/>
    <x v="1"/>
    <n v="141.66300000000001"/>
    <n v="156.95974278647259"/>
    <n v="173"/>
    <m/>
    <m/>
    <s v="SE"/>
    <s v="CORNER "/>
    <s v="SEMI LAKE B-1"/>
    <s v="FIRST"/>
    <s v="D"/>
    <n v="0.08"/>
    <n v="0.05"/>
    <n v="0.48"/>
    <n v="7.0000000000000007E-2"/>
    <n v="2.5000000000000001E-2"/>
    <n v="0.70499999999999996"/>
    <x v="1"/>
    <s v="R 10"/>
    <n v="56100"/>
    <n v="62700"/>
    <n v="6600"/>
    <n v="4653"/>
    <n v="60753"/>
    <n v="20048.490000000002"/>
    <n v="65253"/>
    <n v="68253"/>
    <n v="10510269"/>
    <n v="11288769"/>
    <n v="11807769"/>
    <n v="0"/>
    <n v="893372.86500000011"/>
    <n v="2"/>
    <n v="264000"/>
    <n v="264000"/>
    <n v="10774269"/>
  </r>
  <r>
    <m/>
    <s v="C"/>
    <x v="27"/>
    <x v="0"/>
    <n v="2"/>
    <n v="1"/>
    <x v="554"/>
    <s v="3 BEDROOM"/>
    <x v="1"/>
    <n v="141.22499999999999"/>
    <n v="156.47444763290054"/>
    <n v="172"/>
    <m/>
    <m/>
    <s v="SE"/>
    <s v="MIDDLE"/>
    <s v="ROAD 12M"/>
    <s v="SECOND"/>
    <s v="D"/>
    <n v="0.08"/>
    <n v="2.5000000000000001E-2"/>
    <n v="0.13"/>
    <n v="0.11"/>
    <n v="2.5000000000000001E-2"/>
    <n v="0.37000000000000005"/>
    <x v="0"/>
    <s v="R 2"/>
    <n v="43562.499999999993"/>
    <n v="48687.499999999993"/>
    <n v="5125"/>
    <n v="1896.2500000000002"/>
    <n v="45458.749999999993"/>
    <n v="15001.387499999999"/>
    <n v="49958.749999999993"/>
    <n v="52958.749999999993"/>
    <n v="7818904.9999999991"/>
    <n v="8592904.9999999981"/>
    <n v="9108904.9999999981"/>
    <n v="0"/>
    <n v="664606.92499999993"/>
    <n v="2"/>
    <n v="204999.99999999997"/>
    <n v="204999.99999999997"/>
    <n v="8023904.9999999991"/>
  </r>
  <r>
    <m/>
    <s v="C"/>
    <x v="27"/>
    <x v="0"/>
    <n v="2"/>
    <n v="2"/>
    <x v="555"/>
    <s v="3 BEDROOM"/>
    <x v="1"/>
    <n v="167.214"/>
    <n v="185.26973472464385"/>
    <n v="204"/>
    <m/>
    <m/>
    <s v="NW"/>
    <s v="MIDDLE"/>
    <s v="LAKE C"/>
    <s v="SECOND"/>
    <s v="E"/>
    <n v="0.13"/>
    <n v="2.5000000000000001E-2"/>
    <n v="0.46"/>
    <n v="0.11"/>
    <n v="1.4999999999999999E-2"/>
    <n v="0.74"/>
    <x v="2"/>
    <s v="R 1"/>
    <n v="42500"/>
    <n v="47500"/>
    <n v="5000"/>
    <n v="3700"/>
    <n v="46200"/>
    <n v="15246"/>
    <n v="50700"/>
    <n v="53700"/>
    <n v="9424800"/>
    <n v="10342800"/>
    <n v="10954800"/>
    <n v="0"/>
    <n v="801108"/>
    <n v="2"/>
    <n v="200000"/>
    <n v="200000"/>
    <n v="9624800"/>
  </r>
  <r>
    <m/>
    <s v="C"/>
    <x v="27"/>
    <x v="0"/>
    <n v="2"/>
    <n v="3"/>
    <x v="556"/>
    <s v="3 BEDROOM + LIVING"/>
    <x v="1"/>
    <n v="187.10300000000001"/>
    <n v="207.30634502006436"/>
    <n v="228"/>
    <m/>
    <m/>
    <s v="NW"/>
    <s v="CORNER "/>
    <s v="LAKE B-1"/>
    <s v="SECOND"/>
    <s v="E"/>
    <n v="0.13"/>
    <n v="0.05"/>
    <n v="0.6"/>
    <n v="0.11"/>
    <n v="1.4999999999999999E-2"/>
    <n v="0.90500000000000003"/>
    <x v="2"/>
    <s v="R 12"/>
    <n v="61625"/>
    <n v="68875"/>
    <n v="7250"/>
    <n v="6561.25"/>
    <n v="68186.25"/>
    <n v="22501.462500000001"/>
    <n v="72686.25"/>
    <n v="75686.25"/>
    <n v="15546465"/>
    <n v="16572465"/>
    <n v="17256465"/>
    <n v="0"/>
    <n v="1321449.5250000001"/>
    <n v="2"/>
    <n v="290000"/>
    <n v="290000"/>
    <n v="15836465"/>
  </r>
  <r>
    <m/>
    <s v="C"/>
    <x v="27"/>
    <x v="0"/>
    <n v="2"/>
    <n v="4"/>
    <x v="557"/>
    <s v="3 BEDROOM"/>
    <x v="1"/>
    <n v="143.989"/>
    <n v="159.53690380749666"/>
    <n v="176"/>
    <m/>
    <m/>
    <s v="SE"/>
    <s v="CORNER "/>
    <s v="SEMI LAKE B-1"/>
    <s v="SECOND"/>
    <s v="D"/>
    <n v="0.08"/>
    <n v="0.05"/>
    <n v="0.48"/>
    <n v="0.11"/>
    <n v="2.5000000000000001E-2"/>
    <n v="0.745"/>
    <x v="2"/>
    <s v="R 1"/>
    <n v="42500"/>
    <n v="47500"/>
    <n v="5000"/>
    <n v="3725"/>
    <n v="46225"/>
    <n v="15254.25"/>
    <n v="50725"/>
    <n v="53725"/>
    <n v="8135600"/>
    <n v="8927600"/>
    <n v="9455600"/>
    <n v="0"/>
    <n v="691526"/>
    <n v="2"/>
    <n v="200000"/>
    <n v="200000"/>
    <n v="8335600"/>
  </r>
  <r>
    <m/>
    <s v="C"/>
    <x v="27"/>
    <x v="0"/>
    <n v="3"/>
    <n v="1"/>
    <x v="558"/>
    <s v="3 BEDROOM"/>
    <x v="1"/>
    <n v="141.131"/>
    <n v="156.37029753144901"/>
    <n v="172"/>
    <m/>
    <m/>
    <s v="SE"/>
    <s v="MIDDLE"/>
    <s v="ROAD 12M"/>
    <s v="THIRD"/>
    <s v="D"/>
    <n v="0.08"/>
    <n v="2.5000000000000001E-2"/>
    <n v="0.13"/>
    <n v="0.15"/>
    <n v="2.5000000000000001E-2"/>
    <n v="0.41000000000000003"/>
    <x v="0"/>
    <s v="R 6"/>
    <n v="48450.000000000007"/>
    <n v="54150.000000000007"/>
    <n v="5700"/>
    <n v="2337"/>
    <n v="50787.000000000007"/>
    <n v="16759.710000000003"/>
    <n v="55287.000000000007"/>
    <n v="58287.000000000007"/>
    <n v="8735364.0000000019"/>
    <n v="9509364.0000000019"/>
    <n v="10025364.000000002"/>
    <n v="0"/>
    <n v="742505.94000000018"/>
    <n v="2"/>
    <n v="228000.00000000003"/>
    <n v="228000.00000000003"/>
    <n v="8963364.0000000019"/>
  </r>
  <r>
    <m/>
    <s v="C"/>
    <x v="27"/>
    <x v="0"/>
    <n v="3"/>
    <n v="2"/>
    <x v="559"/>
    <s v="3 BEDROOM"/>
    <x v="1"/>
    <n v="164.43600000000001"/>
    <n v="182.19176683281029"/>
    <n v="201"/>
    <m/>
    <m/>
    <s v="NW"/>
    <s v="MIDDLE"/>
    <s v="LAKE C"/>
    <s v="THIRD"/>
    <s v="E"/>
    <n v="0.13"/>
    <n v="2.5000000000000001E-2"/>
    <n v="0.46"/>
    <n v="0.15"/>
    <n v="1.4999999999999999E-2"/>
    <n v="0.78"/>
    <x v="2"/>
    <s v="R 4"/>
    <n v="45687.5"/>
    <n v="51062.5"/>
    <n v="5375"/>
    <n v="4192.5"/>
    <n v="49880"/>
    <n v="16460.400000000001"/>
    <n v="54380"/>
    <n v="57380"/>
    <n v="10025880"/>
    <n v="10930380"/>
    <n v="11533380"/>
    <n v="0"/>
    <n v="852199.8"/>
    <n v="2"/>
    <n v="215000"/>
    <n v="215000"/>
    <n v="10240880"/>
  </r>
  <r>
    <m/>
    <s v="C"/>
    <x v="27"/>
    <x v="0"/>
    <n v="3"/>
    <n v="3"/>
    <x v="560"/>
    <s v="3 BEDROOM + LIVING"/>
    <x v="1"/>
    <n v="187.20400000000001"/>
    <n v="207.41825098013462"/>
    <n v="228"/>
    <m/>
    <m/>
    <s v="NW"/>
    <s v="CORNER "/>
    <s v="LAKE B-1"/>
    <s v="THIRD"/>
    <s v="E"/>
    <n v="0.13"/>
    <n v="0.05"/>
    <n v="0.6"/>
    <n v="0.15"/>
    <n v="1.4999999999999999E-2"/>
    <n v="0.94500000000000006"/>
    <x v="2"/>
    <s v="R 12"/>
    <n v="61625"/>
    <n v="68875"/>
    <n v="7250"/>
    <n v="6851.25"/>
    <n v="68476.25"/>
    <n v="22597.162500000002"/>
    <n v="72976.25"/>
    <n v="75976.25"/>
    <n v="15612585"/>
    <n v="16638585"/>
    <n v="17322585"/>
    <n v="0"/>
    <n v="1327069.7250000001"/>
    <n v="2"/>
    <n v="290000"/>
    <n v="290000"/>
    <n v="15902585"/>
  </r>
  <r>
    <m/>
    <s v="C"/>
    <x v="27"/>
    <x v="0"/>
    <n v="3"/>
    <n v="4"/>
    <x v="561"/>
    <s v="3 BEDROOM"/>
    <x v="1"/>
    <n v="143.911"/>
    <n v="159.45048138288794"/>
    <n v="176"/>
    <m/>
    <m/>
    <s v="SE"/>
    <s v="CORNER "/>
    <s v="SEMI LAKE B-1"/>
    <s v="THIRD"/>
    <s v="D"/>
    <n v="0.08"/>
    <n v="0.05"/>
    <n v="0.48"/>
    <n v="0.15"/>
    <n v="2.5000000000000001E-2"/>
    <n v="0.78500000000000003"/>
    <x v="2"/>
    <s v="R 4"/>
    <n v="45687.5"/>
    <n v="51062.5"/>
    <n v="5375"/>
    <n v="4219.375"/>
    <n v="49906.875"/>
    <n v="16469.268749999999"/>
    <n v="54406.875"/>
    <n v="57406.875"/>
    <n v="8783610"/>
    <n v="9575610"/>
    <n v="10103610"/>
    <n v="0"/>
    <n v="746606.85000000009"/>
    <n v="2"/>
    <n v="215000"/>
    <n v="215000"/>
    <n v="8998610"/>
  </r>
  <r>
    <m/>
    <s v="C"/>
    <x v="27"/>
    <x v="0"/>
    <n v="4"/>
    <n v="1"/>
    <x v="562"/>
    <s v="3 BEDROOM"/>
    <x v="1"/>
    <n v="139.16499999999999"/>
    <n v="154.19200923938823"/>
    <n v="170"/>
    <m/>
    <m/>
    <s v="SE"/>
    <s v="MIDDLE"/>
    <s v="ROAD 12M"/>
    <s v="FORTH"/>
    <s v="D"/>
    <n v="0.08"/>
    <n v="2.5000000000000001E-2"/>
    <n v="0.13"/>
    <n v="0.06"/>
    <n v="2.5000000000000001E-2"/>
    <n v="0.32000000000000006"/>
    <x v="0"/>
    <s v="R 1"/>
    <n v="42500"/>
    <n v="47500"/>
    <n v="5000"/>
    <n v="1600.0000000000002"/>
    <n v="44100"/>
    <n v="14553"/>
    <n v="48600"/>
    <n v="51600"/>
    <n v="7497000"/>
    <n v="8262000"/>
    <n v="8772000"/>
    <n v="0"/>
    <n v="637245"/>
    <n v="2"/>
    <n v="200000"/>
    <n v="200000"/>
    <n v="7697000"/>
  </r>
  <r>
    <m/>
    <s v="C"/>
    <x v="27"/>
    <x v="0"/>
    <n v="4"/>
    <n v="2"/>
    <x v="563"/>
    <s v="3 BEDROOM"/>
    <x v="1"/>
    <n v="162.49"/>
    <n v="180.03563813680304"/>
    <n v="198"/>
    <m/>
    <m/>
    <s v="NW"/>
    <s v="MIDDLE"/>
    <s v="LAKE C"/>
    <s v="FORTH"/>
    <s v="E"/>
    <n v="0.13"/>
    <n v="2.5000000000000001E-2"/>
    <n v="0.46"/>
    <n v="0.06"/>
    <n v="1.4999999999999999E-2"/>
    <n v="0.69000000000000006"/>
    <x v="1"/>
    <s v="R 8"/>
    <n v="51850"/>
    <n v="57950"/>
    <n v="6100"/>
    <n v="4209"/>
    <n v="56059"/>
    <n v="18499.47"/>
    <n v="60559"/>
    <n v="63559"/>
    <n v="11099682"/>
    <n v="11990682"/>
    <n v="12584682"/>
    <n v="0"/>
    <n v="943472.97000000009"/>
    <n v="2"/>
    <n v="244000"/>
    <n v="244000"/>
    <n v="11343682"/>
  </r>
  <r>
    <m/>
    <s v="C"/>
    <x v="27"/>
    <x v="0"/>
    <n v="4"/>
    <n v="3"/>
    <x v="564"/>
    <s v="3 BEDROOM + LIVING"/>
    <x v="1"/>
    <n v="182.357"/>
    <n v="202.04787287656464"/>
    <n v="222"/>
    <m/>
    <m/>
    <s v="NW"/>
    <s v="CORNER "/>
    <s v="LAKE B-1"/>
    <s v="FORTH"/>
    <s v="E"/>
    <n v="0.13"/>
    <n v="0.05"/>
    <n v="0.6"/>
    <n v="0.06"/>
    <n v="1.4999999999999999E-2"/>
    <n v="0.85500000000000009"/>
    <x v="2"/>
    <s v="R 8"/>
    <n v="51850"/>
    <n v="57950"/>
    <n v="6100"/>
    <n v="5215.5000000000009"/>
    <n v="57065.5"/>
    <n v="18831.615000000002"/>
    <n v="61565.5"/>
    <n v="64565.5"/>
    <n v="12668541"/>
    <n v="13667541"/>
    <n v="14333541"/>
    <n v="0"/>
    <n v="1076825.9850000001"/>
    <n v="2"/>
    <n v="244000"/>
    <n v="244000"/>
    <n v="12912541"/>
  </r>
  <r>
    <m/>
    <s v="C"/>
    <x v="27"/>
    <x v="0"/>
    <n v="4"/>
    <n v="4"/>
    <x v="565"/>
    <s v="3 BEDROOM"/>
    <x v="1"/>
    <n v="141.929"/>
    <n v="157.25446541398435"/>
    <n v="173"/>
    <m/>
    <m/>
    <s v="SE"/>
    <s v="CORNER "/>
    <s v="SEMI LAKE B-1"/>
    <s v="FORTH"/>
    <s v="D"/>
    <n v="0.08"/>
    <n v="0.05"/>
    <n v="0.48"/>
    <n v="0.06"/>
    <n v="2.5000000000000001E-2"/>
    <n v="0.69499999999999995"/>
    <x v="1"/>
    <s v="R 8"/>
    <n v="51850"/>
    <n v="57950"/>
    <n v="6100"/>
    <n v="4239.5"/>
    <n v="56089.5"/>
    <n v="18509.535"/>
    <n v="60589.5"/>
    <n v="63589.5"/>
    <n v="9703483.5"/>
    <n v="10481983.5"/>
    <n v="11000983.5"/>
    <n v="0"/>
    <n v="824796.09750000003"/>
    <n v="2"/>
    <n v="244000"/>
    <n v="244000"/>
    <n v="9947483.5"/>
  </r>
  <r>
    <s v="B3"/>
    <s v="C"/>
    <x v="28"/>
    <x v="0"/>
    <n v="0"/>
    <n v="1"/>
    <x v="566"/>
    <s v="3 BEDROOM"/>
    <x v="1"/>
    <n v="141.82499999999999"/>
    <n v="159.04192828545919"/>
    <n v="173"/>
    <n v="77.2149"/>
    <m/>
    <s v="SE"/>
    <s v="MIDDLE"/>
    <s v="ROAD 18M (BUILDINGS)"/>
    <s v="GROUND"/>
    <s v="D"/>
    <n v="0.08"/>
    <n v="2.5000000000000001E-2"/>
    <n v="0.15"/>
    <n v="0.05"/>
    <n v="2.5000000000000001E-2"/>
    <n v="0.33"/>
    <x v="0"/>
    <s v="R 1"/>
    <n v="42500"/>
    <n v="47500"/>
    <n v="5000"/>
    <n v="1650"/>
    <n v="44150"/>
    <n v="14569.5"/>
    <n v="48650"/>
    <n v="51650"/>
    <n v="7637950"/>
    <n v="8416450"/>
    <n v="8935450"/>
    <n v="1124982.4855500001"/>
    <n v="744849.26127174997"/>
    <n v="2"/>
    <n v="200000"/>
    <n v="200000"/>
    <n v="8962932.4855499994"/>
  </r>
  <r>
    <m/>
    <s v="C"/>
    <x v="28"/>
    <x v="0"/>
    <n v="0"/>
    <n v="2"/>
    <x v="567"/>
    <s v="3 BEDROOM + LIVING (DUPLEX)"/>
    <x v="1"/>
    <n v="142.05600000000001"/>
    <n v="159.30097066468673"/>
    <n v="344"/>
    <n v="97.868200000000002"/>
    <m/>
    <s v="NW"/>
    <s v="MIDDLE"/>
    <s v="LAKE C"/>
    <s v="GROUND"/>
    <s v="F"/>
    <n v="0.13"/>
    <n v="2.5000000000000001E-2"/>
    <n v="0.46"/>
    <n v="0.05"/>
    <n v="0"/>
    <n v="0.66500000000000004"/>
    <x v="1"/>
    <s v="R 6"/>
    <n v="48450.000000000007"/>
    <n v="54150.000000000007"/>
    <n v="5700"/>
    <n v="3790.5"/>
    <n v="52240.500000000007"/>
    <n v="17239.365000000002"/>
    <n v="56740.500000000007"/>
    <n v="59740.500000000007"/>
    <n v="17970732.000000004"/>
    <n v="19518732.000000004"/>
    <n v="20550732.000000004"/>
    <n v="1687185.6216930002"/>
    <n v="1670922.9978439054"/>
    <n v="2"/>
    <n v="228000.00000000003"/>
    <n v="228000.00000000003"/>
    <n v="19885917.621693004"/>
  </r>
  <r>
    <m/>
    <s v="C"/>
    <x v="28"/>
    <x v="0"/>
    <n v="0"/>
    <n v="3"/>
    <x v="568"/>
    <s v="3 BEDROOM + LIVING (DUPLEX)"/>
    <x v="1"/>
    <n v="142.197"/>
    <n v="159.45908744161781"/>
    <n v="344"/>
    <n v="97.259299999999996"/>
    <m/>
    <s v="NW"/>
    <s v="MIDDLE"/>
    <s v="LAKE C"/>
    <s v="GROUND"/>
    <s v="F"/>
    <n v="0.13"/>
    <n v="2.5000000000000001E-2"/>
    <n v="0.46"/>
    <n v="0.05"/>
    <n v="0"/>
    <n v="0.66500000000000004"/>
    <x v="1"/>
    <s v="R 5"/>
    <n v="46750.000000000007"/>
    <n v="52250.000000000007"/>
    <n v="5500"/>
    <n v="3657.5"/>
    <n v="50407.500000000007"/>
    <n v="16634.475000000002"/>
    <n v="54907.500000000007"/>
    <n v="57907.500000000007"/>
    <n v="17340180.000000004"/>
    <n v="18888180.000000004"/>
    <n v="19920180.000000004"/>
    <n v="1617857.3943675002"/>
    <n v="1611433.178521238"/>
    <n v="2"/>
    <n v="220000.00000000003"/>
    <n v="220000.00000000003"/>
    <n v="19178037.394367505"/>
  </r>
  <r>
    <m/>
    <s v="C"/>
    <x v="28"/>
    <x v="0"/>
    <n v="0"/>
    <n v="4"/>
    <x v="569"/>
    <s v="2 BEDROOM"/>
    <x v="1"/>
    <n v="95.254000000000005"/>
    <n v="106.81741467938045"/>
    <n v="116"/>
    <n v="61.752000000000002"/>
    <m/>
    <s v="SE"/>
    <s v="MIDDLE"/>
    <s v="ROAD 18M (BUILDINGS)"/>
    <s v="GROUND"/>
    <s v="B"/>
    <n v="0.08"/>
    <n v="2.5000000000000001E-2"/>
    <n v="0.15"/>
    <n v="0.05"/>
    <n v="0.04"/>
    <n v="0.34499999999999997"/>
    <x v="0"/>
    <s v="R 1"/>
    <n v="42500"/>
    <n v="47500"/>
    <n v="5000"/>
    <n v="1724.9999999999998"/>
    <n v="44225"/>
    <n v="14594.25"/>
    <n v="48725"/>
    <n v="51725"/>
    <n v="5130100"/>
    <n v="5652100"/>
    <n v="6000100"/>
    <n v="901224.12600000005"/>
    <n v="512662.55071000004"/>
    <n v="1"/>
    <n v="200000"/>
    <n v="200000"/>
    <n v="6231324.1260000002"/>
  </r>
  <r>
    <m/>
    <s v="C"/>
    <x v="28"/>
    <x v="0"/>
    <n v="1"/>
    <n v="1"/>
    <x v="570"/>
    <s v="3 BEDROOM"/>
    <x v="1"/>
    <n v="142.977"/>
    <n v="160.33377599485354"/>
    <n v="174"/>
    <m/>
    <m/>
    <s v="SE"/>
    <s v="MIDDLE"/>
    <s v="ROAD 18M (BUILDINGS)"/>
    <s v="FIRST"/>
    <s v="D"/>
    <n v="0.08"/>
    <n v="2.5000000000000001E-2"/>
    <n v="0.15"/>
    <n v="7.0000000000000007E-2"/>
    <n v="2.5000000000000001E-2"/>
    <n v="0.35000000000000003"/>
    <x v="0"/>
    <s v="R 1"/>
    <n v="42500"/>
    <n v="47500"/>
    <n v="5000"/>
    <n v="1750.0000000000002"/>
    <n v="44250"/>
    <n v="14602.5"/>
    <n v="48750"/>
    <n v="51750"/>
    <n v="7699500"/>
    <n v="8482500"/>
    <n v="9004500"/>
    <n v="0"/>
    <n v="654457.5"/>
    <n v="2"/>
    <n v="200000"/>
    <n v="200000"/>
    <n v="7899500"/>
  </r>
  <r>
    <m/>
    <s v="C"/>
    <x v="28"/>
    <x v="0"/>
    <n v="1"/>
    <n v="4"/>
    <x v="571"/>
    <s v="2 BEDROOM"/>
    <x v="1"/>
    <n v="96.311000000000007"/>
    <n v="108.00272980857298"/>
    <n v="117"/>
    <m/>
    <m/>
    <s v="SE"/>
    <s v="MIDDLE"/>
    <s v="ROAD 18M (BUILDINGS)"/>
    <s v="FIRST"/>
    <s v="B"/>
    <n v="0.08"/>
    <n v="2.5000000000000001E-2"/>
    <n v="0.15"/>
    <n v="7.0000000000000007E-2"/>
    <n v="0.04"/>
    <n v="0.36499999999999999"/>
    <x v="0"/>
    <s v="R 2"/>
    <n v="43562.499999999993"/>
    <n v="48687.499999999993"/>
    <n v="5125"/>
    <n v="1870.625"/>
    <n v="45433.124999999993"/>
    <n v="14992.931249999998"/>
    <n v="49933.124999999993"/>
    <n v="52933.124999999993"/>
    <n v="5315675.6249999991"/>
    <n v="5842175.6249999991"/>
    <n v="6193175.6249999991"/>
    <n v="0"/>
    <n v="451832.42812499998"/>
    <n v="1"/>
    <n v="204999.99999999997"/>
    <n v="204999.99999999997"/>
    <n v="5520675.6249999991"/>
  </r>
  <r>
    <m/>
    <s v="C"/>
    <x v="28"/>
    <x v="0"/>
    <n v="2"/>
    <n v="1"/>
    <x v="572"/>
    <s v="3 BEDROOM"/>
    <x v="1"/>
    <n v="141.18700000000001"/>
    <n v="158.32647790473564"/>
    <n v="172"/>
    <m/>
    <m/>
    <s v="SE"/>
    <s v="MIDDLE"/>
    <s v="ROAD 18M (BUILDINGS)"/>
    <s v="SECOND"/>
    <s v="D"/>
    <n v="0.08"/>
    <n v="2.5000000000000001E-2"/>
    <n v="0.15"/>
    <n v="0.11"/>
    <n v="2.5000000000000001E-2"/>
    <n v="0.39"/>
    <x v="0"/>
    <s v="R 4"/>
    <n v="45687.5"/>
    <n v="51062.5"/>
    <n v="5375"/>
    <n v="2096.25"/>
    <n v="47783.75"/>
    <n v="15768.637500000001"/>
    <n v="52283.75"/>
    <n v="55283.75"/>
    <n v="8218805"/>
    <n v="8992805"/>
    <n v="9508805"/>
    <n v="0"/>
    <n v="698598.42500000005"/>
    <n v="2"/>
    <n v="215000"/>
    <n v="215000"/>
    <n v="8433805"/>
  </r>
  <r>
    <m/>
    <s v="C"/>
    <x v="28"/>
    <x v="0"/>
    <n v="2"/>
    <n v="2"/>
    <x v="573"/>
    <s v="3 BEDROOM"/>
    <x v="1"/>
    <n v="141.446"/>
    <n v="158.61691936023314"/>
    <n v="173"/>
    <m/>
    <m/>
    <s v="NW"/>
    <s v="MIDDLE"/>
    <s v="LAKE C"/>
    <s v="SECOND"/>
    <s v="D"/>
    <n v="0.13"/>
    <n v="2.5000000000000001E-2"/>
    <n v="0.46"/>
    <n v="0.11"/>
    <n v="2.5000000000000001E-2"/>
    <n v="0.75"/>
    <x v="2"/>
    <s v="R 2"/>
    <n v="43562.499999999993"/>
    <n v="48687.499999999993"/>
    <n v="5125"/>
    <n v="3843.75"/>
    <n v="47406.249999999993"/>
    <n v="15644.062499999998"/>
    <n v="51906.249999999993"/>
    <n v="54906.249999999993"/>
    <n v="8201281.2499999991"/>
    <n v="8979781.2499999981"/>
    <n v="9498781.2499999981"/>
    <n v="0"/>
    <n v="697108.90625"/>
    <n v="2"/>
    <n v="204999.99999999997"/>
    <n v="204999.99999999997"/>
    <n v="8406281.2499999981"/>
  </r>
  <r>
    <m/>
    <s v="C"/>
    <x v="28"/>
    <x v="0"/>
    <n v="2"/>
    <n v="3"/>
    <x v="574"/>
    <s v="3 BEDROOM"/>
    <x v="1"/>
    <n v="141.572"/>
    <n v="158.75821520344815"/>
    <n v="173"/>
    <m/>
    <m/>
    <s v="NW"/>
    <s v="MIDDLE"/>
    <s v="LAKE C"/>
    <s v="SECOND"/>
    <s v="D"/>
    <n v="0.13"/>
    <n v="2.5000000000000001E-2"/>
    <n v="0.46"/>
    <n v="0.11"/>
    <n v="2.5000000000000001E-2"/>
    <n v="0.75"/>
    <x v="2"/>
    <s v="R 2"/>
    <n v="43562.499999999993"/>
    <n v="48687.499999999993"/>
    <n v="5125"/>
    <n v="3843.75"/>
    <n v="47406.249999999993"/>
    <n v="15644.062499999998"/>
    <n v="51906.249999999993"/>
    <n v="54906.249999999993"/>
    <n v="8201281.2499999991"/>
    <n v="8979781.2499999981"/>
    <n v="9498781.2499999981"/>
    <n v="0"/>
    <n v="697108.90625"/>
    <n v="2"/>
    <n v="204999.99999999997"/>
    <n v="204999.99999999997"/>
    <n v="8406281.2499999981"/>
  </r>
  <r>
    <m/>
    <s v="C"/>
    <x v="28"/>
    <x v="0"/>
    <n v="2"/>
    <n v="4"/>
    <x v="575"/>
    <s v="3 BEDROOM"/>
    <x v="1"/>
    <n v="141.226"/>
    <n v="158.37021233239741"/>
    <n v="172"/>
    <m/>
    <m/>
    <s v="SE"/>
    <s v="MIDDLE"/>
    <s v="ROAD 18M (BUILDINGS)"/>
    <s v="SECOND"/>
    <s v="D"/>
    <n v="0.08"/>
    <n v="2.5000000000000001E-2"/>
    <n v="0.15"/>
    <n v="0.11"/>
    <n v="2.5000000000000001E-2"/>
    <n v="0.39"/>
    <x v="0"/>
    <s v="R 4"/>
    <n v="45687.5"/>
    <n v="51062.5"/>
    <n v="5375"/>
    <n v="2096.25"/>
    <n v="47783.75"/>
    <n v="15768.637500000001"/>
    <n v="52283.75"/>
    <n v="55283.75"/>
    <n v="8218805"/>
    <n v="8992805"/>
    <n v="9508805"/>
    <n v="0"/>
    <n v="698598.42500000005"/>
    <n v="2"/>
    <n v="215000"/>
    <n v="215000"/>
    <n v="8433805"/>
  </r>
  <r>
    <m/>
    <s v="C"/>
    <x v="28"/>
    <x v="0"/>
    <n v="3"/>
    <n v="1"/>
    <x v="576"/>
    <s v="3 BEDROOM"/>
    <x v="1"/>
    <n v="141.48599999999999"/>
    <n v="158.66177518347598"/>
    <n v="173"/>
    <m/>
    <m/>
    <s v="SE"/>
    <s v="MIDDLE"/>
    <s v="ROAD 18M (BUILDINGS)"/>
    <s v="THIRD"/>
    <s v="D"/>
    <n v="0.08"/>
    <n v="2.5000000000000001E-2"/>
    <n v="0.15"/>
    <n v="0.15"/>
    <n v="2.5000000000000001E-2"/>
    <n v="0.43000000000000005"/>
    <x v="0"/>
    <s v="R 8"/>
    <n v="51850"/>
    <n v="57950"/>
    <n v="6100"/>
    <n v="2623.0000000000005"/>
    <n v="54473"/>
    <n v="17976.09"/>
    <n v="58973"/>
    <n v="61973"/>
    <n v="9423829"/>
    <n v="10202329"/>
    <n v="10721329"/>
    <n v="0"/>
    <n v="801025.46500000008"/>
    <n v="2"/>
    <n v="244000"/>
    <n v="244000"/>
    <n v="9667829"/>
  </r>
  <r>
    <m/>
    <s v="C"/>
    <x v="28"/>
    <x v="0"/>
    <n v="3"/>
    <n v="2"/>
    <x v="577"/>
    <s v="3 BEDROOM"/>
    <x v="1"/>
    <n v="142.25399999999999"/>
    <n v="159.52300698973886"/>
    <n v="174"/>
    <m/>
    <m/>
    <s v="NW"/>
    <s v="MIDDLE"/>
    <s v="LAKE C"/>
    <s v="THIRD"/>
    <s v="D"/>
    <n v="0.13"/>
    <n v="2.5000000000000001E-2"/>
    <n v="0.46"/>
    <n v="0.15"/>
    <n v="2.5000000000000001E-2"/>
    <n v="0.79"/>
    <x v="2"/>
    <s v="R 5"/>
    <n v="46750.000000000007"/>
    <n v="52250.000000000007"/>
    <n v="5500"/>
    <n v="4345"/>
    <n v="51095.000000000007"/>
    <n v="16861.350000000002"/>
    <n v="55595.000000000007"/>
    <n v="58595.000000000007"/>
    <n v="8890530.0000000019"/>
    <n v="9673530.0000000019"/>
    <n v="10195530.000000002"/>
    <n v="0"/>
    <n v="755695.05000000016"/>
    <n v="2"/>
    <n v="220000.00000000003"/>
    <n v="220000.00000000003"/>
    <n v="9110530.0000000019"/>
  </r>
  <r>
    <m/>
    <s v="C"/>
    <x v="28"/>
    <x v="0"/>
    <n v="3"/>
    <n v="3"/>
    <x v="578"/>
    <s v="3 BEDROOM"/>
    <x v="1"/>
    <n v="142.37799999999999"/>
    <n v="159.6620600417917"/>
    <n v="174"/>
    <m/>
    <m/>
    <s v="NW"/>
    <s v="MIDDLE"/>
    <s v="LAKE C"/>
    <s v="THIRD"/>
    <s v="D"/>
    <n v="0.13"/>
    <n v="2.5000000000000001E-2"/>
    <n v="0.46"/>
    <n v="0.15"/>
    <n v="2.5000000000000001E-2"/>
    <n v="0.79"/>
    <x v="2"/>
    <s v="R 5"/>
    <n v="46750.000000000007"/>
    <n v="52250.000000000007"/>
    <n v="5500"/>
    <n v="4345"/>
    <n v="51095.000000000007"/>
    <n v="16861.350000000002"/>
    <n v="55595.000000000007"/>
    <n v="58595.000000000007"/>
    <n v="8890530.0000000019"/>
    <n v="9673530.0000000019"/>
    <n v="10195530.000000002"/>
    <n v="0"/>
    <n v="755695.05000000016"/>
    <n v="2"/>
    <n v="220000.00000000003"/>
    <n v="220000.00000000003"/>
    <n v="9110530.0000000019"/>
  </r>
  <r>
    <m/>
    <s v="C"/>
    <x v="28"/>
    <x v="0"/>
    <n v="3"/>
    <n v="4"/>
    <x v="579"/>
    <s v="3 BEDROOM"/>
    <x v="1"/>
    <n v="141.52600000000001"/>
    <n v="158.70663100671885"/>
    <n v="173"/>
    <m/>
    <m/>
    <s v="SE"/>
    <s v="MIDDLE"/>
    <s v="ROAD 18M (BUILDINGS)"/>
    <s v="THIRD"/>
    <s v="D"/>
    <n v="0.08"/>
    <n v="2.5000000000000001E-2"/>
    <n v="0.15"/>
    <n v="0.15"/>
    <n v="2.5000000000000001E-2"/>
    <n v="0.43000000000000005"/>
    <x v="0"/>
    <s v="R 8"/>
    <n v="51850"/>
    <n v="57950"/>
    <n v="6100"/>
    <n v="2623.0000000000005"/>
    <n v="54473"/>
    <n v="17976.09"/>
    <n v="58973"/>
    <n v="61973"/>
    <n v="9423829"/>
    <n v="10202329"/>
    <n v="10721329"/>
    <n v="0"/>
    <n v="801025.46500000008"/>
    <n v="2"/>
    <n v="244000"/>
    <n v="244000"/>
    <n v="9667829"/>
  </r>
  <r>
    <m/>
    <s v="C"/>
    <x v="28"/>
    <x v="0"/>
    <n v="4"/>
    <n v="1"/>
    <x v="580"/>
    <s v="3 BEDROOM"/>
    <x v="1"/>
    <n v="139.12"/>
    <n v="156.00855323866094"/>
    <n v="170"/>
    <m/>
    <m/>
    <s v="SE"/>
    <s v="MIDDLE"/>
    <s v="ROAD 18M (BUILDINGS)"/>
    <s v="FORTH"/>
    <s v="D"/>
    <n v="0.08"/>
    <n v="2.5000000000000001E-2"/>
    <n v="0.15"/>
    <n v="0.06"/>
    <n v="2.5000000000000001E-2"/>
    <n v="0.34"/>
    <x v="0"/>
    <s v="R 1"/>
    <n v="42500"/>
    <n v="47500"/>
    <n v="5000"/>
    <n v="1700.0000000000002"/>
    <n v="44200"/>
    <n v="14586"/>
    <n v="48700"/>
    <n v="51700"/>
    <n v="7514000"/>
    <n v="8279000"/>
    <n v="8789000"/>
    <n v="0"/>
    <n v="638690"/>
    <n v="2"/>
    <n v="200000"/>
    <n v="200000"/>
    <n v="7714000"/>
  </r>
  <r>
    <m/>
    <s v="C"/>
    <x v="28"/>
    <x v="0"/>
    <n v="4"/>
    <n v="2"/>
    <x v="581"/>
    <s v="3 BEDROOM"/>
    <x v="1"/>
    <n v="141.53399999999999"/>
    <n v="158.71560217136741"/>
    <n v="173"/>
    <m/>
    <m/>
    <s v="NW"/>
    <s v="MIDDLE"/>
    <s v="LAKE C"/>
    <s v="FORTH"/>
    <s v="D"/>
    <n v="0.13"/>
    <n v="2.5000000000000001E-2"/>
    <n v="0.46"/>
    <n v="0.06"/>
    <n v="2.5000000000000001E-2"/>
    <n v="0.70000000000000007"/>
    <x v="1"/>
    <s v="R 9"/>
    <n v="53550"/>
    <n v="59850"/>
    <n v="6300"/>
    <n v="4410"/>
    <n v="57960"/>
    <n v="19126.8"/>
    <n v="62460"/>
    <n v="65460"/>
    <n v="10027080"/>
    <n v="10805580"/>
    <n v="11324580"/>
    <n v="0"/>
    <n v="852301.8"/>
    <n v="2"/>
    <n v="252000"/>
    <n v="252000"/>
    <n v="10279080"/>
  </r>
  <r>
    <m/>
    <s v="C"/>
    <x v="28"/>
    <x v="0"/>
    <n v="4"/>
    <n v="3"/>
    <x v="582"/>
    <s v="3 BEDROOM"/>
    <x v="1"/>
    <n v="141.65899999999999"/>
    <n v="158.85577661900135"/>
    <n v="173"/>
    <m/>
    <m/>
    <s v="NW"/>
    <s v="MIDDLE"/>
    <s v="LAKE C"/>
    <s v="FORTH"/>
    <s v="D"/>
    <n v="0.13"/>
    <n v="2.5000000000000001E-2"/>
    <n v="0.46"/>
    <n v="0.06"/>
    <n v="2.5000000000000001E-2"/>
    <n v="0.70000000000000007"/>
    <x v="1"/>
    <s v="R 9"/>
    <n v="53550"/>
    <n v="59850"/>
    <n v="6300"/>
    <n v="4410"/>
    <n v="57960"/>
    <n v="19126.8"/>
    <n v="62460"/>
    <n v="65460"/>
    <n v="10027080"/>
    <n v="10805580"/>
    <n v="11324580"/>
    <n v="0"/>
    <n v="852301.8"/>
    <n v="2"/>
    <n v="252000"/>
    <n v="252000"/>
    <n v="10279080"/>
  </r>
  <r>
    <m/>
    <s v="C"/>
    <x v="28"/>
    <x v="0"/>
    <n v="4"/>
    <n v="4"/>
    <x v="583"/>
    <s v="3 BEDROOM"/>
    <x v="1"/>
    <n v="139.31659999999999"/>
    <n v="156.22901960989958"/>
    <n v="170"/>
    <m/>
    <m/>
    <s v="SE"/>
    <s v="MIDDLE"/>
    <s v="ROAD 18M (BUILDINGS)"/>
    <s v="FORTH"/>
    <s v="D"/>
    <n v="0.08"/>
    <n v="2.5000000000000001E-2"/>
    <n v="0.15"/>
    <n v="0.06"/>
    <n v="2.5000000000000001E-2"/>
    <n v="0.34"/>
    <x v="0"/>
    <s v="R 1"/>
    <n v="42500"/>
    <n v="47500"/>
    <n v="5000"/>
    <n v="1700.0000000000002"/>
    <n v="44200"/>
    <n v="14586"/>
    <n v="48700"/>
    <n v="51700"/>
    <n v="7514000"/>
    <n v="8279000"/>
    <n v="8789000"/>
    <n v="0"/>
    <n v="638690"/>
    <n v="2"/>
    <n v="200000"/>
    <n v="200000"/>
    <n v="7714000"/>
  </r>
  <r>
    <s v="B3"/>
    <s v="C"/>
    <x v="29"/>
    <x v="0"/>
    <n v="0"/>
    <n v="1"/>
    <x v="584"/>
    <s v="3 BEDROOM"/>
    <x v="1"/>
    <n v="144.66300000000001"/>
    <n v="160.29970969584483"/>
    <n v="176"/>
    <n v="78.760000000000005"/>
    <m/>
    <s v="SE"/>
    <s v="CORNER "/>
    <s v="SEMI LAKE B-2"/>
    <s v="GROUND"/>
    <s v="D"/>
    <n v="0.08"/>
    <n v="0.05"/>
    <n v="0.42400000000000004"/>
    <n v="0.05"/>
    <n v="2.5000000000000001E-2"/>
    <n v="0.62900000000000011"/>
    <x v="1"/>
    <s v="R 3"/>
    <n v="44625"/>
    <n v="49875"/>
    <n v="5250"/>
    <n v="3302.2500000000005"/>
    <n v="47927.25"/>
    <n v="15815.9925"/>
    <n v="52427.25"/>
    <n v="55427.25"/>
    <n v="8435196"/>
    <n v="9227196"/>
    <n v="9755196"/>
    <n v="1245667.5693000001"/>
    <n v="822873.4033905"/>
    <n v="2"/>
    <n v="210000"/>
    <n v="210000"/>
    <n v="9890863.5692999996"/>
  </r>
  <r>
    <m/>
    <s v="C"/>
    <x v="29"/>
    <x v="0"/>
    <n v="0"/>
    <n v="2"/>
    <x v="585"/>
    <s v="3 BEDROOM + LIVING"/>
    <x v="1"/>
    <n v="183.887"/>
    <n v="203.76345518093646"/>
    <n v="224"/>
    <n v="61.522199999999998"/>
    <m/>
    <s v="NW"/>
    <s v="CORNER "/>
    <s v="LAKE B-2"/>
    <s v="GROUND"/>
    <s v="E"/>
    <n v="0.13"/>
    <n v="0.05"/>
    <n v="0.53"/>
    <n v="0.05"/>
    <n v="1.4999999999999999E-2"/>
    <n v="0.77500000000000002"/>
    <x v="2"/>
    <s v="R 4"/>
    <n v="45687.5"/>
    <n v="51062.5"/>
    <n v="5375"/>
    <n v="4165.625"/>
    <n v="49853.125"/>
    <n v="16451.53125"/>
    <n v="54353.125"/>
    <n v="57353.125"/>
    <n v="11167100"/>
    <n v="12175100"/>
    <n v="12847100"/>
    <n v="1012134.3958687499"/>
    <n v="1035234.9236488439"/>
    <n v="2"/>
    <n v="215000"/>
    <n v="215000"/>
    <n v="12394234.39586875"/>
  </r>
  <r>
    <m/>
    <s v="C"/>
    <x v="29"/>
    <x v="0"/>
    <n v="0"/>
    <n v="3"/>
    <x v="586"/>
    <s v="3 BEDROOM"/>
    <x v="1"/>
    <n v="162.78100000000001"/>
    <n v="180.37609508996297"/>
    <n v="199"/>
    <n v="77.576999999999998"/>
    <m/>
    <s v="NW"/>
    <s v="MIDDLE"/>
    <s v="LAKE C"/>
    <s v="GROUND"/>
    <s v="E"/>
    <n v="0.13"/>
    <n v="2.5000000000000001E-2"/>
    <n v="0.46"/>
    <n v="0.05"/>
    <n v="1.4999999999999999E-2"/>
    <n v="0.68"/>
    <x v="1"/>
    <s v="R 7"/>
    <n v="50150"/>
    <n v="56050"/>
    <n v="5900"/>
    <n v="4012.0000000000005"/>
    <n v="54162"/>
    <n v="17873.46"/>
    <n v="58662"/>
    <n v="61662"/>
    <n v="10778238"/>
    <n v="11673738"/>
    <n v="12270738"/>
    <n v="1386569.4064199999"/>
    <n v="1034008.6295457"/>
    <n v="2"/>
    <n v="236000"/>
    <n v="236000"/>
    <n v="12400807.40642"/>
  </r>
  <r>
    <m/>
    <s v="C"/>
    <x v="29"/>
    <x v="0"/>
    <n v="0"/>
    <n v="4"/>
    <x v="587"/>
    <s v="2 BEDROOM"/>
    <x v="1"/>
    <n v="95.213999999999999"/>
    <n v="105.50573788031609"/>
    <n v="116"/>
    <n v="61.500599999999999"/>
    <m/>
    <s v="SE"/>
    <s v="MIDDLE"/>
    <s v="ROAD 12M"/>
    <s v="GROUND"/>
    <s v="B"/>
    <n v="0.08"/>
    <n v="2.5000000000000001E-2"/>
    <n v="0.13"/>
    <n v="0.05"/>
    <n v="0.04"/>
    <n v="0.32500000000000001"/>
    <x v="0"/>
    <s v="R 1"/>
    <n v="42500"/>
    <n v="47500"/>
    <n v="5000"/>
    <n v="1625"/>
    <n v="44125"/>
    <n v="14561.25"/>
    <n v="48625"/>
    <n v="51625"/>
    <n v="5118500"/>
    <n v="5640500"/>
    <n v="5988500"/>
    <n v="895525.61174999992"/>
    <n v="511192.17699875007"/>
    <n v="1"/>
    <n v="200000"/>
    <n v="200000"/>
    <n v="6214025.6117500002"/>
  </r>
  <r>
    <m/>
    <s v="C"/>
    <x v="29"/>
    <x v="0"/>
    <n v="1"/>
    <n v="1"/>
    <x v="588"/>
    <s v="3 BEDROOM"/>
    <x v="1"/>
    <n v="141.66300000000001"/>
    <n v="156.9754379118535"/>
    <n v="173"/>
    <m/>
    <m/>
    <s v="SE"/>
    <s v="CORNER "/>
    <s v="SEMI LAKE B-2"/>
    <s v="FIRST"/>
    <s v="D"/>
    <n v="0.08"/>
    <n v="0.05"/>
    <n v="0.42400000000000004"/>
    <n v="7.0000000000000007E-2"/>
    <n v="2.5000000000000001E-2"/>
    <n v="0.64900000000000013"/>
    <x v="1"/>
    <s v="R 4"/>
    <n v="45687.5"/>
    <n v="51062.5"/>
    <n v="5375"/>
    <n v="3488.3750000000009"/>
    <n v="49175.875"/>
    <n v="16228.038750000002"/>
    <n v="53675.875"/>
    <n v="56675.875"/>
    <n v="8507426.375"/>
    <n v="9285926.375"/>
    <n v="9804926.375"/>
    <n v="0"/>
    <n v="723131.24187500007"/>
    <n v="2"/>
    <n v="215000"/>
    <n v="215000"/>
    <n v="8722426.375"/>
  </r>
  <r>
    <m/>
    <s v="C"/>
    <x v="29"/>
    <x v="0"/>
    <n v="1"/>
    <n v="2"/>
    <x v="589"/>
    <s v="3 BEDROOM + LIVING"/>
    <x v="1"/>
    <n v="183.637"/>
    <n v="203.48643253227053"/>
    <n v="224"/>
    <m/>
    <m/>
    <s v="NW"/>
    <s v="CORNER "/>
    <s v="LAKE B-2"/>
    <s v="FIRST"/>
    <s v="E"/>
    <n v="0.13"/>
    <n v="0.05"/>
    <n v="0.53"/>
    <n v="7.0000000000000007E-2"/>
    <n v="1.4999999999999999E-2"/>
    <n v="0.79500000000000004"/>
    <x v="2"/>
    <s v="R 5"/>
    <n v="46750.000000000007"/>
    <n v="52250.000000000007"/>
    <n v="5500"/>
    <n v="4372.5"/>
    <n v="51122.500000000007"/>
    <n v="16870.425000000003"/>
    <n v="55622.500000000007"/>
    <n v="58622.500000000007"/>
    <n v="11451440.000000002"/>
    <n v="12459440.000000002"/>
    <n v="13131440.000000002"/>
    <n v="0"/>
    <n v="973372.40000000026"/>
    <n v="2"/>
    <n v="220000.00000000003"/>
    <n v="220000.00000000003"/>
    <n v="11671440.000000002"/>
  </r>
  <r>
    <m/>
    <s v="C"/>
    <x v="29"/>
    <x v="0"/>
    <n v="1"/>
    <n v="3"/>
    <x v="590"/>
    <s v="3 BEDROOM"/>
    <x v="1"/>
    <n v="162.53100000000001"/>
    <n v="180.09907244129704"/>
    <n v="198"/>
    <m/>
    <m/>
    <s v="NW"/>
    <s v="MIDDLE"/>
    <s v="LAKE C"/>
    <s v="FIRST"/>
    <s v="E"/>
    <n v="0.13"/>
    <n v="2.5000000000000001E-2"/>
    <n v="0.46"/>
    <n v="7.0000000000000007E-2"/>
    <n v="1.4999999999999999E-2"/>
    <n v="0.70000000000000007"/>
    <x v="1"/>
    <s v="R 9"/>
    <n v="53550"/>
    <n v="59850"/>
    <n v="6300"/>
    <n v="4410"/>
    <n v="57960"/>
    <n v="19126.8"/>
    <n v="62460"/>
    <n v="65460"/>
    <n v="11476080"/>
    <n v="12367080"/>
    <n v="12961080"/>
    <n v="0"/>
    <n v="975466.8"/>
    <n v="2"/>
    <n v="252000"/>
    <n v="252000"/>
    <n v="11728080"/>
  </r>
  <r>
    <m/>
    <s v="C"/>
    <x v="29"/>
    <x v="0"/>
    <n v="1"/>
    <n v="4"/>
    <x v="591"/>
    <s v="2 BEDROOM"/>
    <x v="1"/>
    <n v="96.271000000000001"/>
    <n v="106.6769896388757"/>
    <n v="117"/>
    <m/>
    <m/>
    <s v="SE"/>
    <s v="MIDDLE"/>
    <s v="ROAD 12M"/>
    <s v="FIRST"/>
    <s v="B"/>
    <n v="0.08"/>
    <n v="2.5000000000000001E-2"/>
    <n v="0.13"/>
    <n v="7.0000000000000007E-2"/>
    <n v="0.04"/>
    <n v="0.34500000000000003"/>
    <x v="0"/>
    <s v="R 1"/>
    <n v="42500"/>
    <n v="47500"/>
    <n v="5000"/>
    <n v="1725.0000000000002"/>
    <n v="44225"/>
    <n v="14594.25"/>
    <n v="48725"/>
    <n v="51725"/>
    <n v="5174325"/>
    <n v="5700825"/>
    <n v="6051825"/>
    <n v="0"/>
    <n v="439817.62500000006"/>
    <n v="1"/>
    <n v="200000"/>
    <n v="200000"/>
    <n v="5374325"/>
  </r>
  <r>
    <m/>
    <s v="C"/>
    <x v="29"/>
    <x v="0"/>
    <n v="2"/>
    <n v="1"/>
    <x v="592"/>
    <s v="3 BEDROOM"/>
    <x v="1"/>
    <n v="143.989"/>
    <n v="159.55285663504142"/>
    <n v="176"/>
    <m/>
    <m/>
    <s v="SE"/>
    <s v="CORNER "/>
    <s v="SEMI LAKE B-2"/>
    <s v="SECOND"/>
    <s v="D"/>
    <n v="0.08"/>
    <n v="0.05"/>
    <n v="0.42400000000000004"/>
    <n v="0.11"/>
    <n v="2.5000000000000001E-2"/>
    <n v="0.68900000000000006"/>
    <x v="1"/>
    <s v="R 8"/>
    <n v="51850"/>
    <n v="57950"/>
    <n v="6100"/>
    <n v="4202.9000000000005"/>
    <n v="56052.9"/>
    <n v="18497.457000000002"/>
    <n v="60552.9"/>
    <n v="63552.9"/>
    <n v="9865310.4000000004"/>
    <n v="10657310.4"/>
    <n v="11185310.4"/>
    <n v="0"/>
    <n v="838551.38400000008"/>
    <n v="2"/>
    <n v="244000"/>
    <n v="244000"/>
    <n v="10109310.4"/>
  </r>
  <r>
    <m/>
    <s v="C"/>
    <x v="29"/>
    <x v="0"/>
    <n v="2"/>
    <n v="2"/>
    <x v="593"/>
    <s v="3 BEDROOM + LIVING"/>
    <x v="1"/>
    <n v="187.1"/>
    <n v="207.32375026159116"/>
    <n v="228"/>
    <m/>
    <m/>
    <s v="NW"/>
    <s v="CORNER "/>
    <s v="LAKE B-2"/>
    <s v="SECOND"/>
    <s v="E"/>
    <n v="0.13"/>
    <n v="0.05"/>
    <n v="0.53"/>
    <n v="0.11"/>
    <n v="1.4999999999999999E-2"/>
    <n v="0.83499999999999996"/>
    <x v="2"/>
    <s v="R 8"/>
    <n v="51850"/>
    <n v="57950"/>
    <n v="6100"/>
    <n v="5093.5"/>
    <n v="56943.5"/>
    <n v="18791.355"/>
    <n v="61443.5"/>
    <n v="64443.5"/>
    <n v="12983118"/>
    <n v="14009118"/>
    <n v="14693118"/>
    <n v="0"/>
    <n v="1103565.03"/>
    <n v="2"/>
    <n v="244000"/>
    <n v="244000"/>
    <n v="13227118"/>
  </r>
  <r>
    <m/>
    <s v="C"/>
    <x v="29"/>
    <x v="0"/>
    <n v="2"/>
    <n v="3"/>
    <x v="594"/>
    <s v="3 BEDROOM"/>
    <x v="1"/>
    <n v="167.16900000000001"/>
    <n v="185.23839661934761"/>
    <n v="204"/>
    <m/>
    <m/>
    <s v="NW"/>
    <s v="MIDDLE"/>
    <s v="LAKE C"/>
    <s v="SECOND"/>
    <s v="E"/>
    <n v="0.13"/>
    <n v="2.5000000000000001E-2"/>
    <n v="0.46"/>
    <n v="0.11"/>
    <n v="1.4999999999999999E-2"/>
    <n v="0.74"/>
    <x v="2"/>
    <s v="R 1"/>
    <n v="42500"/>
    <n v="47500"/>
    <n v="5000"/>
    <n v="3700"/>
    <n v="46200"/>
    <n v="15246"/>
    <n v="50700"/>
    <n v="53700"/>
    <n v="9424800"/>
    <n v="10342800"/>
    <n v="10954800"/>
    <n v="0"/>
    <n v="801108"/>
    <n v="2"/>
    <n v="200000"/>
    <n v="200000"/>
    <n v="9624800"/>
  </r>
  <r>
    <m/>
    <s v="C"/>
    <x v="29"/>
    <x v="0"/>
    <n v="2"/>
    <n v="4"/>
    <x v="595"/>
    <s v="3 BEDROOM"/>
    <x v="1"/>
    <n v="141.18700000000001"/>
    <n v="156.44798678879354"/>
    <n v="172"/>
    <m/>
    <m/>
    <s v="SE"/>
    <s v="MIDDLE"/>
    <s v="ROAD 12M"/>
    <s v="SECOND"/>
    <s v="D"/>
    <n v="0.08"/>
    <n v="2.5000000000000001E-2"/>
    <n v="0.13"/>
    <n v="0.11"/>
    <n v="2.5000000000000001E-2"/>
    <n v="0.37000000000000005"/>
    <x v="0"/>
    <s v="R 2"/>
    <n v="43562.499999999993"/>
    <n v="48687.499999999993"/>
    <n v="5125"/>
    <n v="1896.2500000000002"/>
    <n v="45458.749999999993"/>
    <n v="15001.387499999999"/>
    <n v="49958.749999999993"/>
    <n v="52958.749999999993"/>
    <n v="7818904.9999999991"/>
    <n v="8592904.9999999981"/>
    <n v="9108904.9999999981"/>
    <n v="0"/>
    <n v="664606.92499999993"/>
    <n v="2"/>
    <n v="204999.99999999997"/>
    <n v="204999.99999999997"/>
    <n v="8023904.9999999991"/>
  </r>
  <r>
    <m/>
    <s v="C"/>
    <x v="29"/>
    <x v="0"/>
    <n v="3"/>
    <n v="1"/>
    <x v="596"/>
    <s v="3 BEDROOM"/>
    <x v="1"/>
    <n v="143.89599999999999"/>
    <n v="159.44980420973766"/>
    <n v="176"/>
    <m/>
    <m/>
    <s v="SE"/>
    <s v="CORNER "/>
    <s v="SEMI LAKE B-2"/>
    <s v="THIRD"/>
    <s v="D"/>
    <n v="0.08"/>
    <n v="0.05"/>
    <n v="0.42400000000000004"/>
    <n v="0.15"/>
    <n v="2.5000000000000001E-2"/>
    <n v="0.72900000000000009"/>
    <x v="1"/>
    <s v="R 12"/>
    <n v="61625"/>
    <n v="68875"/>
    <n v="7250"/>
    <n v="5285.2500000000009"/>
    <n v="66910.25"/>
    <n v="22080.3825"/>
    <n v="71410.25"/>
    <n v="74410.25"/>
    <n v="11776204"/>
    <n v="12568204"/>
    <n v="13096204"/>
    <n v="0"/>
    <n v="1000977.3400000001"/>
    <n v="2"/>
    <n v="290000"/>
    <n v="290000"/>
    <n v="12066204"/>
  </r>
  <r>
    <m/>
    <s v="C"/>
    <x v="29"/>
    <x v="0"/>
    <n v="3"/>
    <n v="2"/>
    <x v="597"/>
    <s v="3 BEDROOM + LIVING"/>
    <x v="1"/>
    <n v="187.20400000000001"/>
    <n v="207.4389916834362"/>
    <n v="228"/>
    <m/>
    <m/>
    <s v="NW"/>
    <s v="CORNER "/>
    <s v="LAKE B-2"/>
    <s v="THIRD"/>
    <s v="E"/>
    <n v="0.13"/>
    <n v="0.05"/>
    <n v="0.53"/>
    <n v="0.15"/>
    <n v="1.4999999999999999E-2"/>
    <n v="0.875"/>
    <x v="2"/>
    <s v="R 9"/>
    <n v="53550"/>
    <n v="59850"/>
    <n v="6300"/>
    <n v="5512.5"/>
    <n v="59062.5"/>
    <n v="19490.625"/>
    <n v="63562.5"/>
    <n v="66562.5"/>
    <n v="13466250"/>
    <n v="14492250"/>
    <n v="15176250"/>
    <n v="0"/>
    <n v="1144631.25"/>
    <n v="2"/>
    <n v="252000"/>
    <n v="252000"/>
    <n v="13718250"/>
  </r>
  <r>
    <m/>
    <s v="C"/>
    <x v="29"/>
    <x v="0"/>
    <n v="3"/>
    <n v="3"/>
    <x v="598"/>
    <s v="3 BEDROOM"/>
    <x v="1"/>
    <n v="164.417"/>
    <n v="182.18893130283288"/>
    <n v="201"/>
    <m/>
    <m/>
    <s v="NW"/>
    <s v="MIDDLE"/>
    <s v="LAKE C"/>
    <s v="THIRD"/>
    <s v="E"/>
    <n v="0.13"/>
    <n v="2.5000000000000001E-2"/>
    <n v="0.46"/>
    <n v="0.15"/>
    <n v="1.4999999999999999E-2"/>
    <n v="0.78"/>
    <x v="2"/>
    <s v="R 4"/>
    <n v="45687.5"/>
    <n v="51062.5"/>
    <n v="5375"/>
    <n v="4192.5"/>
    <n v="49880"/>
    <n v="16460.400000000001"/>
    <n v="54380"/>
    <n v="57380"/>
    <n v="10025880"/>
    <n v="10930380"/>
    <n v="11533380"/>
    <n v="0"/>
    <n v="852199.8"/>
    <n v="2"/>
    <n v="215000"/>
    <n v="215000"/>
    <n v="10240880"/>
  </r>
  <r>
    <m/>
    <s v="C"/>
    <x v="29"/>
    <x v="0"/>
    <n v="3"/>
    <n v="4"/>
    <x v="599"/>
    <s v="3 BEDROOM"/>
    <x v="1"/>
    <n v="141.07300000000001"/>
    <n v="156.32166446100189"/>
    <n v="172"/>
    <m/>
    <m/>
    <s v="SE"/>
    <s v="MIDDLE"/>
    <s v="ROAD 12M"/>
    <s v="THIRD"/>
    <s v="D"/>
    <n v="0.08"/>
    <n v="2.5000000000000001E-2"/>
    <n v="0.13"/>
    <n v="0.15"/>
    <n v="2.5000000000000001E-2"/>
    <n v="0.41000000000000003"/>
    <x v="0"/>
    <s v="R 6"/>
    <n v="48450.000000000007"/>
    <n v="54150.000000000007"/>
    <n v="5700"/>
    <n v="2337"/>
    <n v="50787.000000000007"/>
    <n v="16759.710000000003"/>
    <n v="55287.000000000007"/>
    <n v="58287.000000000007"/>
    <n v="8735364.0000000019"/>
    <n v="9509364.0000000019"/>
    <n v="10025364.000000002"/>
    <n v="0"/>
    <n v="742505.94000000018"/>
    <n v="2"/>
    <n v="228000.00000000003"/>
    <n v="228000.00000000003"/>
    <n v="8963364.0000000019"/>
  </r>
  <r>
    <m/>
    <s v="C"/>
    <x v="29"/>
    <x v="0"/>
    <n v="4"/>
    <n v="1"/>
    <x v="600"/>
    <s v="3 BEDROOM"/>
    <x v="1"/>
    <n v="141.929"/>
    <n v="157.27019001003407"/>
    <n v="173"/>
    <m/>
    <m/>
    <s v="SE"/>
    <s v="CORNER "/>
    <s v="SEMI LAKE B-2"/>
    <s v="FORTH"/>
    <s v="D"/>
    <n v="0.08"/>
    <n v="0.05"/>
    <n v="0.42400000000000004"/>
    <n v="0.06"/>
    <n v="2.5000000000000001E-2"/>
    <n v="0.63900000000000012"/>
    <x v="1"/>
    <s v="R 4"/>
    <n v="45687.5"/>
    <n v="51062.5"/>
    <n v="5375"/>
    <n v="3434.6250000000005"/>
    <n v="49122.125"/>
    <n v="16210.30125"/>
    <n v="53622.125"/>
    <n v="56622.125"/>
    <n v="8498127.625"/>
    <n v="9276627.625"/>
    <n v="9795627.625"/>
    <n v="0"/>
    <n v="722340.84812500002"/>
    <n v="2"/>
    <n v="215000"/>
    <n v="215000"/>
    <n v="8713127.625"/>
  </r>
  <r>
    <m/>
    <s v="C"/>
    <x v="29"/>
    <x v="0"/>
    <n v="4"/>
    <n v="2"/>
    <x v="601"/>
    <s v="3 BEDROOM + LIVING"/>
    <x v="1"/>
    <n v="182.36099999999999"/>
    <n v="202.07250893347955"/>
    <n v="222"/>
    <m/>
    <m/>
    <s v="NW"/>
    <s v="CORNER "/>
    <s v="LAKE B-2"/>
    <s v="FORTH"/>
    <s v="E"/>
    <n v="0.13"/>
    <n v="0.05"/>
    <n v="0.53"/>
    <n v="0.06"/>
    <n v="1.4999999999999999E-2"/>
    <n v="0.78500000000000003"/>
    <x v="2"/>
    <s v="R 4"/>
    <n v="45687.5"/>
    <n v="51062.5"/>
    <n v="5375"/>
    <n v="4219.375"/>
    <n v="49906.875"/>
    <n v="16469.268749999999"/>
    <n v="54406.875"/>
    <n v="57406.875"/>
    <n v="11079326.25"/>
    <n v="12078326.25"/>
    <n v="12744326.25"/>
    <n v="0"/>
    <n v="941742.73125000007"/>
    <n v="2"/>
    <n v="215000"/>
    <n v="215000"/>
    <n v="11294326.25"/>
  </r>
  <r>
    <m/>
    <s v="C"/>
    <x v="29"/>
    <x v="0"/>
    <n v="4"/>
    <n v="3"/>
    <x v="602"/>
    <s v="3 BEDROOM"/>
    <x v="1"/>
    <n v="162.44399999999999"/>
    <n v="180.00266855956127"/>
    <n v="198"/>
    <m/>
    <m/>
    <s v="NW"/>
    <s v="MIDDLE"/>
    <s v="LAKE C"/>
    <s v="FORTH"/>
    <s v="E"/>
    <n v="0.13"/>
    <n v="2.5000000000000001E-2"/>
    <n v="0.46"/>
    <n v="0.06"/>
    <n v="1.4999999999999999E-2"/>
    <n v="0.69000000000000006"/>
    <x v="1"/>
    <s v="R 8"/>
    <n v="51850"/>
    <n v="57950"/>
    <n v="6100"/>
    <n v="4209"/>
    <n v="56059"/>
    <n v="18499.47"/>
    <n v="60559"/>
    <n v="63559"/>
    <n v="11099682"/>
    <n v="11990682"/>
    <n v="12584682"/>
    <n v="0"/>
    <n v="943472.97000000009"/>
    <n v="2"/>
    <n v="244000"/>
    <n v="244000"/>
    <n v="11343682"/>
  </r>
  <r>
    <m/>
    <s v="C"/>
    <x v="29"/>
    <x v="0"/>
    <n v="4"/>
    <n v="4"/>
    <x v="603"/>
    <s v="3 BEDROOM"/>
    <x v="1"/>
    <n v="139.12700000000001"/>
    <n v="154.16532016378619"/>
    <n v="170"/>
    <m/>
    <m/>
    <s v="SE"/>
    <s v="MIDDLE"/>
    <s v="ROAD 12M"/>
    <s v="FORTH"/>
    <s v="D"/>
    <n v="0.08"/>
    <n v="2.5000000000000001E-2"/>
    <n v="0.13"/>
    <n v="0.06"/>
    <n v="2.5000000000000001E-2"/>
    <n v="0.32000000000000006"/>
    <x v="0"/>
    <s v="R 1"/>
    <n v="42500"/>
    <n v="47500"/>
    <n v="5000"/>
    <n v="1600.0000000000002"/>
    <n v="44100"/>
    <n v="14553"/>
    <n v="48600"/>
    <n v="51600"/>
    <n v="7497000"/>
    <n v="8262000"/>
    <n v="8772000"/>
    <n v="0"/>
    <n v="637245"/>
    <n v="2"/>
    <n v="200000"/>
    <n v="200000"/>
    <n v="7697000"/>
  </r>
  <r>
    <s v="B3"/>
    <s v="C"/>
    <x v="30"/>
    <x v="0"/>
    <n v="0"/>
    <n v="1"/>
    <x v="604"/>
    <s v="2 BEDROOM"/>
    <x v="1"/>
    <n v="95.254000000000005"/>
    <n v="105.53950812408786"/>
    <n v="116"/>
    <n v="63.1755"/>
    <m/>
    <s v="NW"/>
    <s v="MIDDLE"/>
    <s v="ROAD 12M"/>
    <s v="GROUND"/>
    <s v="B"/>
    <n v="0.13"/>
    <n v="2.5000000000000001E-2"/>
    <n v="0.13"/>
    <n v="0.05"/>
    <n v="0.04"/>
    <n v="0.375"/>
    <x v="0"/>
    <s v="R 3"/>
    <n v="44625"/>
    <n v="49875"/>
    <n v="5250"/>
    <n v="1968.75"/>
    <n v="46593.75"/>
    <n v="15375.9375"/>
    <n v="51093.75"/>
    <n v="54093.75"/>
    <n v="5404875"/>
    <n v="5926875"/>
    <n v="6274875"/>
    <n v="971382.53953125002"/>
    <n v="541981.89086015627"/>
    <n v="1"/>
    <n v="210000"/>
    <n v="210000"/>
    <n v="6586257.5395312496"/>
  </r>
  <r>
    <m/>
    <s v="C"/>
    <x v="30"/>
    <x v="0"/>
    <n v="0"/>
    <n v="2"/>
    <x v="605"/>
    <s v="3 BEDROOM"/>
    <x v="1"/>
    <n v="162.82599999999999"/>
    <n v="180.40791935050211"/>
    <n v="199"/>
    <n v="77.610299999999995"/>
    <m/>
    <s v="SE"/>
    <s v="MIDDLE"/>
    <s v="LAKE C"/>
    <s v="GROUND"/>
    <s v="E"/>
    <n v="0.08"/>
    <n v="2.5000000000000001E-2"/>
    <n v="0.46"/>
    <n v="0.05"/>
    <n v="1.4999999999999999E-2"/>
    <n v="0.63000000000000012"/>
    <x v="1"/>
    <s v="R 3"/>
    <n v="44625"/>
    <n v="49875"/>
    <n v="5250"/>
    <n v="3307.5000000000005"/>
    <n v="47932.5"/>
    <n v="15817.725"/>
    <n v="52432.5"/>
    <n v="55432.5"/>
    <n v="9538567.5"/>
    <n v="10434067.5"/>
    <n v="11031067.5"/>
    <n v="1227618.3825675"/>
    <n v="915125.80001823767"/>
    <n v="2"/>
    <n v="210000"/>
    <n v="210000"/>
    <n v="10976185.882567501"/>
  </r>
  <r>
    <m/>
    <s v="C"/>
    <x v="30"/>
    <x v="0"/>
    <n v="0"/>
    <n v="3"/>
    <x v="606"/>
    <s v="3 BEDROOM + LIVING"/>
    <x v="1"/>
    <n v="183.887"/>
    <n v="203.74308197465874"/>
    <n v="224"/>
    <n v="61.527700000000003"/>
    <m/>
    <s v="SE"/>
    <s v="CORNER "/>
    <s v="LAKE B-2"/>
    <s v="GROUND"/>
    <s v="E"/>
    <n v="0.08"/>
    <n v="0.05"/>
    <n v="0.53"/>
    <n v="0.05"/>
    <n v="1.4999999999999999E-2"/>
    <n v="0.72500000000000009"/>
    <x v="1"/>
    <s v="R 12"/>
    <n v="61625"/>
    <n v="68875"/>
    <n v="7250"/>
    <n v="5256.2500000000009"/>
    <n v="66881.25"/>
    <n v="22070.8125"/>
    <n v="71381.25"/>
    <n v="74381.25"/>
    <n v="14981400"/>
    <n v="15989400"/>
    <n v="16661400"/>
    <n v="1357966.33025625"/>
    <n v="1388846.1380717813"/>
    <n v="2"/>
    <n v="290000"/>
    <n v="290000"/>
    <n v="16629366.33025625"/>
  </r>
  <r>
    <m/>
    <s v="C"/>
    <x v="30"/>
    <x v="0"/>
    <n v="0"/>
    <n v="4"/>
    <x v="607"/>
    <s v="3 BEDROOM"/>
    <x v="1"/>
    <n v="147.54499999999999"/>
    <n v="163.47687998581205"/>
    <n v="180"/>
    <n v="81.552400000000006"/>
    <m/>
    <s v="NW"/>
    <s v="CORNER "/>
    <s v="SEMI LAKE B-2"/>
    <s v="GROUND"/>
    <s v="D"/>
    <n v="0.13"/>
    <n v="0.05"/>
    <n v="0.42400000000000004"/>
    <n v="0.05"/>
    <n v="2.5000000000000001E-2"/>
    <n v="0.67900000000000016"/>
    <x v="1"/>
    <s v="R 7"/>
    <n v="50150"/>
    <n v="56050"/>
    <n v="5900"/>
    <n v="4006.1000000000008"/>
    <n v="54156.1"/>
    <n v="17871.512999999999"/>
    <n v="58656.1"/>
    <n v="61656.1"/>
    <n v="9748098"/>
    <n v="10558098"/>
    <n v="11098098"/>
    <n v="1457464.7767812"/>
    <n v="952472.83602640207"/>
    <n v="2"/>
    <n v="236000"/>
    <n v="236000"/>
    <n v="11441562.776781199"/>
  </r>
  <r>
    <m/>
    <s v="C"/>
    <x v="30"/>
    <x v="0"/>
    <n v="1"/>
    <n v="1"/>
    <x v="608"/>
    <s v="2 BEDROOM"/>
    <x v="1"/>
    <n v="96.311000000000007"/>
    <n v="106.71064277551626"/>
    <n v="117"/>
    <m/>
    <m/>
    <s v="NW"/>
    <s v="MIDDLE"/>
    <s v="ROAD 12M"/>
    <s v="FIRST"/>
    <s v="B"/>
    <n v="0.13"/>
    <n v="2.5000000000000001E-2"/>
    <n v="0.13"/>
    <n v="7.0000000000000007E-2"/>
    <n v="0.04"/>
    <n v="0.39500000000000002"/>
    <x v="0"/>
    <s v="R 4"/>
    <n v="45687.5"/>
    <n v="51062.5"/>
    <n v="5375"/>
    <n v="2123.125"/>
    <n v="47810.625"/>
    <n v="15777.50625"/>
    <n v="52310.625"/>
    <n v="55310.625"/>
    <n v="5593843.125"/>
    <n v="6120343.125"/>
    <n v="6471343.125"/>
    <n v="0"/>
    <n v="475476.66562500002"/>
    <n v="1"/>
    <n v="215000"/>
    <n v="215000"/>
    <n v="5808843.125"/>
  </r>
  <r>
    <m/>
    <s v="C"/>
    <x v="30"/>
    <x v="0"/>
    <n v="1"/>
    <n v="2"/>
    <x v="609"/>
    <s v="3 BEDROOM"/>
    <x v="1"/>
    <n v="162.57599999999999"/>
    <n v="180.13092439983313"/>
    <n v="198"/>
    <m/>
    <m/>
    <s v="SE"/>
    <s v="MIDDLE"/>
    <s v="LAKE C"/>
    <s v="FIRST"/>
    <s v="E"/>
    <n v="0.08"/>
    <n v="2.5000000000000001E-2"/>
    <n v="0.46"/>
    <n v="7.0000000000000007E-2"/>
    <n v="1.4999999999999999E-2"/>
    <n v="0.65"/>
    <x v="1"/>
    <s v="R 5"/>
    <n v="46750.000000000007"/>
    <n v="52250.000000000007"/>
    <n v="5500"/>
    <n v="3575"/>
    <n v="50325.000000000007"/>
    <n v="16607.250000000004"/>
    <n v="54825.000000000007"/>
    <n v="57825.000000000007"/>
    <n v="9964350.0000000019"/>
    <n v="10855350.000000002"/>
    <n v="11449350.000000002"/>
    <n v="0"/>
    <n v="846969.75000000023"/>
    <n v="2"/>
    <n v="220000.00000000003"/>
    <n v="220000.00000000003"/>
    <n v="10184350.000000002"/>
  </r>
  <r>
    <m/>
    <s v="C"/>
    <x v="30"/>
    <x v="0"/>
    <n v="1"/>
    <n v="3"/>
    <x v="610"/>
    <s v="3 BEDROOM + LIVING"/>
    <x v="1"/>
    <n v="183.637"/>
    <n v="203.46608702398976"/>
    <n v="224"/>
    <m/>
    <m/>
    <s v="SE"/>
    <s v="CORNER "/>
    <s v="LAKE B-2"/>
    <s v="FIRST"/>
    <s v="E"/>
    <n v="0.08"/>
    <n v="0.05"/>
    <n v="0.53"/>
    <n v="7.0000000000000007E-2"/>
    <n v="1.4999999999999999E-2"/>
    <n v="0.745"/>
    <x v="2"/>
    <s v="R 1"/>
    <n v="42500"/>
    <n v="47500"/>
    <n v="5000"/>
    <n v="3725"/>
    <n v="46225"/>
    <n v="15254.25"/>
    <n v="50725"/>
    <n v="53725"/>
    <n v="10354400"/>
    <n v="11362400"/>
    <n v="12034400"/>
    <n v="0"/>
    <n v="880124.00000000012"/>
    <n v="2"/>
    <n v="200000"/>
    <n v="200000"/>
    <n v="10554400"/>
  </r>
  <r>
    <m/>
    <s v="C"/>
    <x v="30"/>
    <x v="0"/>
    <n v="1"/>
    <n v="4"/>
    <x v="611"/>
    <s v="3 BEDROOM"/>
    <x v="1"/>
    <n v="141.66300000000001"/>
    <n v="156.95974278647259"/>
    <n v="173"/>
    <m/>
    <m/>
    <s v="NW"/>
    <s v="CORNER "/>
    <s v="SEMI LAKE B-2"/>
    <s v="FIRST"/>
    <s v="D"/>
    <n v="0.13"/>
    <n v="0.05"/>
    <n v="0.42400000000000004"/>
    <n v="7.0000000000000007E-2"/>
    <n v="2.5000000000000001E-2"/>
    <n v="0.69900000000000018"/>
    <x v="1"/>
    <s v="R 9"/>
    <n v="53550"/>
    <n v="59850"/>
    <n v="6300"/>
    <n v="4403.7000000000007"/>
    <n v="57953.7"/>
    <n v="19124.721000000001"/>
    <n v="62453.7"/>
    <n v="65453.7"/>
    <n v="10025990.1"/>
    <n v="10804490.1"/>
    <n v="11323490.1"/>
    <n v="0"/>
    <n v="852209.15850000002"/>
    <n v="2"/>
    <n v="252000"/>
    <n v="252000"/>
    <n v="10277990.1"/>
  </r>
  <r>
    <m/>
    <s v="C"/>
    <x v="30"/>
    <x v="0"/>
    <n v="2"/>
    <n v="1"/>
    <x v="612"/>
    <s v="3 BEDROOM"/>
    <x v="1"/>
    <n v="141.22499999999999"/>
    <n v="156.47444763290054"/>
    <n v="172"/>
    <m/>
    <m/>
    <s v="NW"/>
    <s v="MIDDLE"/>
    <s v="ROAD 12M"/>
    <s v="SECOND"/>
    <s v="D"/>
    <n v="0.13"/>
    <n v="2.5000000000000001E-2"/>
    <n v="0.13"/>
    <n v="0.11"/>
    <n v="2.5000000000000001E-2"/>
    <n v="0.42000000000000004"/>
    <x v="0"/>
    <s v="R 7"/>
    <n v="50150"/>
    <n v="56050"/>
    <n v="5900"/>
    <n v="2478.0000000000005"/>
    <n v="52628"/>
    <n v="17367.240000000002"/>
    <n v="57128"/>
    <n v="60128"/>
    <n v="9052016"/>
    <n v="9826016"/>
    <n v="10342016"/>
    <n v="0"/>
    <n v="769421.3600000001"/>
    <n v="2"/>
    <n v="236000"/>
    <n v="236000"/>
    <n v="9288016"/>
  </r>
  <r>
    <m/>
    <s v="C"/>
    <x v="30"/>
    <x v="0"/>
    <n v="2"/>
    <n v="2"/>
    <x v="613"/>
    <s v="3 BEDROOM"/>
    <x v="1"/>
    <n v="167.214"/>
    <n v="185.26973472464385"/>
    <n v="204"/>
    <m/>
    <m/>
    <s v="SE"/>
    <s v="MIDDLE"/>
    <s v="LAKE C"/>
    <s v="SECOND"/>
    <s v="E"/>
    <n v="0.08"/>
    <n v="2.5000000000000001E-2"/>
    <n v="0.46"/>
    <n v="0.11"/>
    <n v="1.4999999999999999E-2"/>
    <n v="0.69000000000000006"/>
    <x v="1"/>
    <s v="R 8"/>
    <n v="51850"/>
    <n v="57950"/>
    <n v="6100"/>
    <n v="4209"/>
    <n v="56059"/>
    <n v="18499.47"/>
    <n v="60559"/>
    <n v="63559"/>
    <n v="11436036"/>
    <n v="12354036"/>
    <n v="12966036"/>
    <n v="0"/>
    <n v="972063.06"/>
    <n v="2"/>
    <n v="244000"/>
    <n v="244000"/>
    <n v="11680036"/>
  </r>
  <r>
    <m/>
    <s v="C"/>
    <x v="30"/>
    <x v="0"/>
    <n v="2"/>
    <n v="3"/>
    <x v="614"/>
    <s v="3 BEDROOM + LIVING"/>
    <x v="1"/>
    <n v="187.10300000000001"/>
    <n v="207.30634502006436"/>
    <n v="228"/>
    <m/>
    <m/>
    <s v="SE"/>
    <s v="CORNER "/>
    <s v="LAKE B-2"/>
    <s v="SECOND"/>
    <s v="E"/>
    <n v="0.08"/>
    <n v="0.05"/>
    <n v="0.53"/>
    <n v="0.11"/>
    <n v="1.4999999999999999E-2"/>
    <n v="0.78500000000000003"/>
    <x v="2"/>
    <s v="R 4"/>
    <n v="45687.5"/>
    <n v="51062.5"/>
    <n v="5375"/>
    <n v="4219.375"/>
    <n v="49906.875"/>
    <n v="16469.268749999999"/>
    <n v="54406.875"/>
    <n v="57406.875"/>
    <n v="11378767.5"/>
    <n v="12404767.5"/>
    <n v="13088767.5"/>
    <n v="0"/>
    <n v="967195.23750000005"/>
    <n v="2"/>
    <n v="215000"/>
    <n v="215000"/>
    <n v="11593767.5"/>
  </r>
  <r>
    <m/>
    <s v="C"/>
    <x v="30"/>
    <x v="0"/>
    <n v="2"/>
    <n v="4"/>
    <x v="615"/>
    <s v="3 BEDROOM"/>
    <x v="1"/>
    <n v="143.989"/>
    <n v="159.53690380749666"/>
    <n v="176"/>
    <m/>
    <m/>
    <s v="NW"/>
    <s v="CORNER "/>
    <s v="SEMI LAKE B-2"/>
    <s v="SECOND"/>
    <s v="D"/>
    <n v="0.13"/>
    <n v="0.05"/>
    <n v="0.42400000000000004"/>
    <n v="0.11"/>
    <n v="2.5000000000000001E-2"/>
    <n v="0.7390000000000001"/>
    <x v="2"/>
    <s v="R 1"/>
    <n v="42500"/>
    <n v="47500"/>
    <n v="5000"/>
    <n v="3695.0000000000005"/>
    <n v="46195"/>
    <n v="15244.35"/>
    <n v="50695"/>
    <n v="53695"/>
    <n v="8130320"/>
    <n v="8922320"/>
    <n v="9450320"/>
    <n v="0"/>
    <n v="691077.20000000007"/>
    <n v="2"/>
    <n v="200000"/>
    <n v="200000"/>
    <n v="8330320"/>
  </r>
  <r>
    <m/>
    <s v="C"/>
    <x v="30"/>
    <x v="0"/>
    <n v="3"/>
    <n v="1"/>
    <x v="616"/>
    <s v="3 BEDROOM"/>
    <x v="1"/>
    <n v="141.131"/>
    <n v="156.37029753144901"/>
    <n v="172"/>
    <m/>
    <m/>
    <s v="NW"/>
    <s v="MIDDLE"/>
    <s v="ROAD 12M"/>
    <s v="THIRD"/>
    <s v="D"/>
    <n v="0.13"/>
    <n v="2.5000000000000001E-2"/>
    <n v="0.13"/>
    <n v="0.15"/>
    <n v="2.5000000000000001E-2"/>
    <n v="0.46000000000000008"/>
    <x v="0"/>
    <s v="R 10"/>
    <n v="56100"/>
    <n v="62700"/>
    <n v="6600"/>
    <n v="3036.0000000000005"/>
    <n v="59136"/>
    <n v="19514.88"/>
    <n v="63636"/>
    <n v="66636"/>
    <n v="10171392"/>
    <n v="10945392"/>
    <n v="11461392"/>
    <n v="0"/>
    <n v="864568.32000000007"/>
    <n v="2"/>
    <n v="264000"/>
    <n v="264000"/>
    <n v="10435392"/>
  </r>
  <r>
    <m/>
    <s v="C"/>
    <x v="30"/>
    <x v="0"/>
    <n v="3"/>
    <n v="2"/>
    <x v="617"/>
    <s v="3 BEDROOM"/>
    <x v="1"/>
    <n v="164.43600000000001"/>
    <n v="182.19176683281029"/>
    <n v="201"/>
    <m/>
    <m/>
    <s v="SE"/>
    <s v="MIDDLE"/>
    <s v="LAKE C"/>
    <s v="THIRD"/>
    <s v="E"/>
    <n v="0.08"/>
    <n v="2.5000000000000001E-2"/>
    <n v="0.46"/>
    <n v="0.15"/>
    <n v="1.4999999999999999E-2"/>
    <n v="0.73000000000000009"/>
    <x v="2"/>
    <s v="R 1"/>
    <n v="42500"/>
    <n v="47500"/>
    <n v="5000"/>
    <n v="3650.0000000000005"/>
    <n v="46150"/>
    <n v="15229.5"/>
    <n v="50650"/>
    <n v="53650"/>
    <n v="9276150"/>
    <n v="10180650"/>
    <n v="10783650"/>
    <n v="0"/>
    <n v="788472.75"/>
    <n v="2"/>
    <n v="200000"/>
    <n v="200000"/>
    <n v="9476150"/>
  </r>
  <r>
    <m/>
    <s v="C"/>
    <x v="30"/>
    <x v="0"/>
    <n v="3"/>
    <n v="3"/>
    <x v="618"/>
    <s v="3 BEDROOM + LIVING"/>
    <x v="1"/>
    <n v="187.20400000000001"/>
    <n v="207.41825098013462"/>
    <n v="228"/>
    <m/>
    <m/>
    <s v="SE"/>
    <s v="CORNER "/>
    <s v="LAKE B-2"/>
    <s v="THIRD"/>
    <s v="E"/>
    <n v="0.08"/>
    <n v="0.05"/>
    <n v="0.53"/>
    <n v="0.15"/>
    <n v="1.4999999999999999E-2"/>
    <n v="0.82500000000000007"/>
    <x v="2"/>
    <s v="R 7"/>
    <n v="50150"/>
    <n v="56050"/>
    <n v="5900"/>
    <n v="4867.5"/>
    <n v="55017.5"/>
    <n v="18155.775000000001"/>
    <n v="59517.5"/>
    <n v="62517.5"/>
    <n v="12543990"/>
    <n v="13569990"/>
    <n v="14253990"/>
    <n v="0"/>
    <n v="1066239.1500000001"/>
    <n v="2"/>
    <n v="236000"/>
    <n v="236000"/>
    <n v="12779990"/>
  </r>
  <r>
    <m/>
    <s v="C"/>
    <x v="30"/>
    <x v="0"/>
    <n v="3"/>
    <n v="4"/>
    <x v="619"/>
    <s v="3 BEDROOM"/>
    <x v="1"/>
    <n v="143.911"/>
    <n v="159.45048138288794"/>
    <n v="176"/>
    <m/>
    <m/>
    <s v="NW"/>
    <s v="CORNER "/>
    <s v="SEMI LAKE B-2"/>
    <s v="THIRD"/>
    <s v="D"/>
    <n v="0.13"/>
    <n v="0.05"/>
    <n v="0.42400000000000004"/>
    <n v="0.15"/>
    <n v="2.5000000000000001E-2"/>
    <n v="0.77900000000000014"/>
    <x v="2"/>
    <s v="R 4"/>
    <n v="45687.5"/>
    <n v="51062.5"/>
    <n v="5375"/>
    <n v="4187.1250000000009"/>
    <n v="49874.625"/>
    <n v="16458.626250000001"/>
    <n v="54374.625"/>
    <n v="57374.625"/>
    <n v="8777934"/>
    <n v="9569934"/>
    <n v="10097934"/>
    <n v="0"/>
    <n v="746124.39"/>
    <n v="2"/>
    <n v="215000"/>
    <n v="215000"/>
    <n v="8992934"/>
  </r>
  <r>
    <m/>
    <s v="C"/>
    <x v="30"/>
    <x v="0"/>
    <n v="4"/>
    <n v="1"/>
    <x v="620"/>
    <s v="3 BEDROOM"/>
    <x v="1"/>
    <n v="139.16499999999999"/>
    <n v="154.19200923938823"/>
    <n v="170"/>
    <m/>
    <m/>
    <s v="NW"/>
    <s v="MIDDLE"/>
    <s v="ROAD 12M"/>
    <s v="FORTH"/>
    <s v="D"/>
    <n v="0.13"/>
    <n v="2.5000000000000001E-2"/>
    <n v="0.13"/>
    <n v="0.06"/>
    <n v="2.5000000000000001E-2"/>
    <n v="0.37000000000000005"/>
    <x v="0"/>
    <s v="R 2"/>
    <n v="43562.499999999993"/>
    <n v="48687.499999999993"/>
    <n v="5125"/>
    <n v="1896.2500000000002"/>
    <n v="45458.749999999993"/>
    <n v="15001.387499999999"/>
    <n v="49958.749999999993"/>
    <n v="52958.749999999993"/>
    <n v="7727987.4999999991"/>
    <n v="8492987.4999999981"/>
    <n v="9002987.4999999981"/>
    <n v="0"/>
    <n v="656878.9375"/>
    <n v="2"/>
    <n v="204999.99999999997"/>
    <n v="204999.99999999997"/>
    <n v="7932987.4999999991"/>
  </r>
  <r>
    <m/>
    <s v="C"/>
    <x v="30"/>
    <x v="0"/>
    <n v="4"/>
    <n v="2"/>
    <x v="621"/>
    <s v="3 BEDROOM"/>
    <x v="1"/>
    <n v="162.49"/>
    <n v="180.03563813680304"/>
    <n v="198"/>
    <m/>
    <m/>
    <s v="SE"/>
    <s v="MIDDLE"/>
    <s v="LAKE C"/>
    <s v="FORTH"/>
    <s v="E"/>
    <n v="0.08"/>
    <n v="2.5000000000000001E-2"/>
    <n v="0.46"/>
    <n v="0.06"/>
    <n v="1.4999999999999999E-2"/>
    <n v="0.64"/>
    <x v="1"/>
    <s v="R 4"/>
    <n v="45687.5"/>
    <n v="51062.5"/>
    <n v="5375"/>
    <n v="3440"/>
    <n v="49127.5"/>
    <n v="16212.075000000001"/>
    <n v="53627.5"/>
    <n v="56627.5"/>
    <n v="9727245"/>
    <n v="10618245"/>
    <n v="11212245"/>
    <n v="0"/>
    <n v="826815.82500000007"/>
    <n v="2"/>
    <n v="215000"/>
    <n v="215000"/>
    <n v="9942245"/>
  </r>
  <r>
    <m/>
    <s v="C"/>
    <x v="30"/>
    <x v="0"/>
    <n v="4"/>
    <n v="3"/>
    <x v="622"/>
    <s v="3 BEDROOM + LIVING"/>
    <x v="1"/>
    <n v="182.357"/>
    <n v="202.04787287656464"/>
    <n v="222"/>
    <m/>
    <m/>
    <s v="SE"/>
    <s v="CORNER "/>
    <s v="LAKE B-2"/>
    <s v="FORTH"/>
    <s v="E"/>
    <n v="0.08"/>
    <n v="0.05"/>
    <n v="0.53"/>
    <n v="0.06"/>
    <n v="1.4999999999999999E-2"/>
    <n v="0.73499999999999999"/>
    <x v="2"/>
    <s v="R 1"/>
    <n v="42500"/>
    <n v="47500"/>
    <n v="5000"/>
    <n v="3675"/>
    <n v="46175"/>
    <n v="15237.75"/>
    <n v="50675"/>
    <n v="53675"/>
    <n v="10250850"/>
    <n v="11249850"/>
    <n v="11915850"/>
    <n v="0"/>
    <n v="871322.25000000012"/>
    <n v="2"/>
    <n v="200000"/>
    <n v="200000"/>
    <n v="10450850"/>
  </r>
  <r>
    <m/>
    <s v="C"/>
    <x v="30"/>
    <x v="0"/>
    <n v="4"/>
    <n v="4"/>
    <x v="623"/>
    <s v="3 BEDROOM"/>
    <x v="1"/>
    <n v="141.929"/>
    <n v="157.25446541398435"/>
    <n v="173"/>
    <m/>
    <m/>
    <s v="NW"/>
    <s v="CORNER "/>
    <s v="SEMI LAKE B-2"/>
    <s v="FORTH"/>
    <s v="D"/>
    <n v="0.13"/>
    <n v="0.05"/>
    <n v="0.42400000000000004"/>
    <n v="0.06"/>
    <n v="2.5000000000000001E-2"/>
    <n v="0.68900000000000017"/>
    <x v="1"/>
    <s v="R 8"/>
    <n v="51850"/>
    <n v="57950"/>
    <n v="6100"/>
    <n v="4202.9000000000015"/>
    <n v="56052.9"/>
    <n v="18497.457000000002"/>
    <n v="60552.9"/>
    <n v="63552.9"/>
    <n v="9697151.7000000011"/>
    <n v="10475651.700000001"/>
    <n v="10994651.700000001"/>
    <n v="0"/>
    <n v="824257.89450000017"/>
    <n v="2"/>
    <n v="244000"/>
    <n v="244000"/>
    <n v="9941151.7000000011"/>
  </r>
  <r>
    <s v="B3"/>
    <s v="C"/>
    <x v="31"/>
    <x v="0"/>
    <n v="0"/>
    <n v="1"/>
    <x v="624"/>
    <s v="3 BEDROOM"/>
    <x v="1"/>
    <n v="141.82499999999999"/>
    <n v="159.04192828545919"/>
    <n v="173"/>
    <n v="79.386099999999999"/>
    <m/>
    <s v="NW"/>
    <s v="MIDDLE"/>
    <s v="ROAD 18M (BUILDINGS)"/>
    <s v="GROUND"/>
    <s v="D"/>
    <n v="0.13"/>
    <n v="2.5000000000000001E-2"/>
    <n v="0.15"/>
    <n v="0.05"/>
    <n v="2.5000000000000001E-2"/>
    <n v="0.38"/>
    <x v="0"/>
    <s v="R 3"/>
    <n v="44625"/>
    <n v="49875"/>
    <n v="5250"/>
    <n v="1995"/>
    <n v="46620"/>
    <n v="15384.6"/>
    <n v="51120"/>
    <n v="54120"/>
    <n v="8065260"/>
    <n v="8843760"/>
    <n v="9362760"/>
    <n v="1221323.3940600001"/>
    <n v="789359.58849510015"/>
    <n v="2"/>
    <n v="210000"/>
    <n v="210000"/>
    <n v="9496583.3940600008"/>
  </r>
  <r>
    <m/>
    <s v="C"/>
    <x v="31"/>
    <x v="0"/>
    <n v="0"/>
    <n v="2"/>
    <x v="625"/>
    <s v="3 BEDROOM + LIVING (DUPLEX)"/>
    <x v="1"/>
    <n v="142.05600000000001"/>
    <n v="159.30097066468673"/>
    <n v="344"/>
    <n v="97.868200000000002"/>
    <m/>
    <s v="SE"/>
    <s v="MIDDLE"/>
    <s v="LAKE C"/>
    <s v="GROUND"/>
    <s v="F"/>
    <n v="0.08"/>
    <n v="2.5000000000000001E-2"/>
    <n v="0.46"/>
    <n v="0.05"/>
    <n v="0"/>
    <n v="0.6150000000000001"/>
    <x v="1"/>
    <s v="R 2"/>
    <n v="43562.499999999993"/>
    <n v="48687.499999999993"/>
    <n v="5125"/>
    <n v="3151.8750000000005"/>
    <n v="46714.374999999993"/>
    <n v="15415.743749999998"/>
    <n v="51214.374999999993"/>
    <n v="54214.374999999993"/>
    <n v="16069744.999999998"/>
    <n v="17617744.999999996"/>
    <n v="18649744.999999996"/>
    <n v="1508711.0924737498"/>
    <n v="1494168.7678602687"/>
    <n v="2"/>
    <n v="204999.99999999997"/>
    <n v="204999.99999999997"/>
    <n v="17783456.092473749"/>
  </r>
  <r>
    <m/>
    <s v="C"/>
    <x v="31"/>
    <x v="0"/>
    <n v="0"/>
    <n v="3"/>
    <x v="626"/>
    <s v="3 BEDROOM + LIVING (DUPLEX)"/>
    <x v="1"/>
    <n v="142.197"/>
    <n v="159.45908744161781"/>
    <n v="344"/>
    <n v="97.259299999999996"/>
    <m/>
    <s v="SE"/>
    <s v="MIDDLE"/>
    <s v="LAKE C"/>
    <s v="GROUND"/>
    <s v="F"/>
    <n v="0.08"/>
    <n v="2.5000000000000001E-2"/>
    <n v="0.46"/>
    <n v="0.05"/>
    <n v="0"/>
    <n v="0.6150000000000001"/>
    <x v="1"/>
    <s v="R 2"/>
    <n v="43562.499999999993"/>
    <n v="48687.499999999993"/>
    <n v="5125"/>
    <n v="3151.8750000000005"/>
    <n v="46714.374999999993"/>
    <n v="15415.743749999998"/>
    <n v="51214.374999999993"/>
    <n v="54214.374999999993"/>
    <n v="16069744.999999998"/>
    <n v="17617744.999999996"/>
    <n v="18649744.999999996"/>
    <n v="1499324.4461043747"/>
    <n v="1493370.902918872"/>
    <n v="2"/>
    <n v="204999.99999999997"/>
    <n v="204999.99999999997"/>
    <n v="17774069.446104374"/>
  </r>
  <r>
    <m/>
    <s v="C"/>
    <x v="31"/>
    <x v="0"/>
    <n v="0"/>
    <n v="4"/>
    <x v="627"/>
    <s v="2 BEDROOM"/>
    <x v="1"/>
    <n v="95.254000000000005"/>
    <n v="106.81741467938045"/>
    <n v="116"/>
    <n v="63.177900000000001"/>
    <m/>
    <s v="NW"/>
    <s v="MIDDLE"/>
    <s v="ROAD 18M (BUILDINGS)"/>
    <s v="GROUND"/>
    <s v="B"/>
    <n v="0.13"/>
    <n v="2.5000000000000001E-2"/>
    <n v="0.15"/>
    <n v="0.05"/>
    <n v="0.04"/>
    <n v="0.39499999999999996"/>
    <x v="0"/>
    <s v="R 4"/>
    <n v="45687.5"/>
    <n v="51062.5"/>
    <n v="5375"/>
    <n v="2123.125"/>
    <n v="47810.625"/>
    <n v="15777.50625"/>
    <n v="52310.625"/>
    <n v="55310.625"/>
    <n v="5546032.5"/>
    <n v="6068032.5"/>
    <n v="6416032.5"/>
    <n v="996789.71211187507"/>
    <n v="556139.88802950946"/>
    <n v="1"/>
    <n v="215000"/>
    <n v="215000"/>
    <n v="6757822.2121118754"/>
  </r>
  <r>
    <m/>
    <s v="C"/>
    <x v="31"/>
    <x v="0"/>
    <n v="1"/>
    <n v="1"/>
    <x v="628"/>
    <s v="3 BEDROOM"/>
    <x v="1"/>
    <n v="142.977"/>
    <n v="160.33377599485354"/>
    <n v="174"/>
    <m/>
    <m/>
    <s v="NW"/>
    <s v="MIDDLE"/>
    <s v="ROAD 18M (BUILDINGS)"/>
    <s v="FIRST"/>
    <s v="D"/>
    <n v="0.13"/>
    <n v="2.5000000000000001E-2"/>
    <n v="0.15"/>
    <n v="7.0000000000000007E-2"/>
    <n v="2.5000000000000001E-2"/>
    <n v="0.4"/>
    <x v="0"/>
    <s v="R 5"/>
    <n v="46750.000000000007"/>
    <n v="52250.000000000007"/>
    <n v="5500"/>
    <n v="2200"/>
    <n v="48950.000000000007"/>
    <n v="16153.500000000004"/>
    <n v="53450.000000000007"/>
    <n v="56450.000000000007"/>
    <n v="8517300.0000000019"/>
    <n v="9300300.0000000019"/>
    <n v="9822300.0000000019"/>
    <n v="0"/>
    <n v="723970.50000000023"/>
    <n v="2"/>
    <n v="220000.00000000003"/>
    <n v="220000.00000000003"/>
    <n v="8737300.0000000019"/>
  </r>
  <r>
    <m/>
    <s v="C"/>
    <x v="31"/>
    <x v="0"/>
    <n v="1"/>
    <n v="4"/>
    <x v="629"/>
    <s v="2 BEDROOM"/>
    <x v="1"/>
    <n v="96.311000000000007"/>
    <n v="108.00272980857298"/>
    <n v="117"/>
    <m/>
    <m/>
    <s v="NW"/>
    <s v="MIDDLE"/>
    <s v="ROAD 18M (BUILDINGS)"/>
    <s v="FIRST"/>
    <s v="B"/>
    <n v="0.13"/>
    <n v="2.5000000000000001E-2"/>
    <n v="0.15"/>
    <n v="7.0000000000000007E-2"/>
    <n v="0.04"/>
    <n v="0.41499999999999998"/>
    <x v="0"/>
    <s v="R 7"/>
    <n v="50150"/>
    <n v="56050"/>
    <n v="5900"/>
    <n v="2448.5"/>
    <n v="52598.5"/>
    <n v="17357.505000000001"/>
    <n v="57098.5"/>
    <n v="60098.5"/>
    <n v="6154024.5"/>
    <n v="6680524.5"/>
    <n v="7031524.5"/>
    <n v="0"/>
    <n v="523092.08250000002"/>
    <n v="1"/>
    <n v="236000"/>
    <n v="236000"/>
    <n v="6390024.5"/>
  </r>
  <r>
    <m/>
    <s v="C"/>
    <x v="31"/>
    <x v="0"/>
    <n v="2"/>
    <n v="1"/>
    <x v="630"/>
    <s v="3 BEDROOM"/>
    <x v="1"/>
    <n v="141.18700000000001"/>
    <n v="158.32647790473564"/>
    <n v="172"/>
    <m/>
    <m/>
    <s v="NW"/>
    <s v="MIDDLE"/>
    <s v="ROAD 18M (BUILDINGS)"/>
    <s v="SECOND"/>
    <s v="D"/>
    <n v="0.13"/>
    <n v="2.5000000000000001E-2"/>
    <n v="0.15"/>
    <n v="0.11"/>
    <n v="2.5000000000000001E-2"/>
    <n v="0.44"/>
    <x v="0"/>
    <s v="R 8"/>
    <n v="51850"/>
    <n v="57950"/>
    <n v="6100"/>
    <n v="2684"/>
    <n v="54534"/>
    <n v="17996.22"/>
    <n v="59034"/>
    <n v="62034"/>
    <n v="9379848"/>
    <n v="10153848"/>
    <n v="10669848"/>
    <n v="0"/>
    <n v="797287.08000000007"/>
    <n v="2"/>
    <n v="244000"/>
    <n v="244000"/>
    <n v="9623848"/>
  </r>
  <r>
    <m/>
    <s v="C"/>
    <x v="31"/>
    <x v="0"/>
    <n v="2"/>
    <n v="2"/>
    <x v="631"/>
    <s v="3 BEDROOM"/>
    <x v="1"/>
    <n v="141.446"/>
    <n v="158.61691936023314"/>
    <n v="173"/>
    <m/>
    <m/>
    <s v="SE"/>
    <s v="MIDDLE"/>
    <s v="LAKE C"/>
    <s v="SECOND"/>
    <s v="D"/>
    <n v="0.08"/>
    <n v="2.5000000000000001E-2"/>
    <n v="0.46"/>
    <n v="0.11"/>
    <n v="2.5000000000000001E-2"/>
    <n v="0.70000000000000007"/>
    <x v="1"/>
    <s v="R 9"/>
    <n v="53550"/>
    <n v="59850"/>
    <n v="6300"/>
    <n v="4410"/>
    <n v="57960"/>
    <n v="19126.8"/>
    <n v="62460"/>
    <n v="65460"/>
    <n v="10027080"/>
    <n v="10805580"/>
    <n v="11324580"/>
    <n v="0"/>
    <n v="852301.8"/>
    <n v="2"/>
    <n v="252000"/>
    <n v="252000"/>
    <n v="10279080"/>
  </r>
  <r>
    <m/>
    <s v="C"/>
    <x v="31"/>
    <x v="0"/>
    <n v="2"/>
    <n v="3"/>
    <x v="632"/>
    <s v="3 BEDROOM"/>
    <x v="1"/>
    <n v="141.572"/>
    <n v="158.75821520344815"/>
    <n v="173"/>
    <m/>
    <m/>
    <s v="SE"/>
    <s v="MIDDLE"/>
    <s v="LAKE C"/>
    <s v="SECOND"/>
    <s v="D"/>
    <n v="0.08"/>
    <n v="2.5000000000000001E-2"/>
    <n v="0.46"/>
    <n v="0.11"/>
    <n v="2.5000000000000001E-2"/>
    <n v="0.70000000000000007"/>
    <x v="1"/>
    <s v="R 9"/>
    <n v="53550"/>
    <n v="59850"/>
    <n v="6300"/>
    <n v="4410"/>
    <n v="57960"/>
    <n v="19126.8"/>
    <n v="62460"/>
    <n v="65460"/>
    <n v="10027080"/>
    <n v="10805580"/>
    <n v="11324580"/>
    <n v="0"/>
    <n v="852301.8"/>
    <n v="2"/>
    <n v="252000"/>
    <n v="252000"/>
    <n v="10279080"/>
  </r>
  <r>
    <m/>
    <s v="C"/>
    <x v="31"/>
    <x v="0"/>
    <n v="2"/>
    <n v="4"/>
    <x v="633"/>
    <s v="3 BEDROOM"/>
    <x v="1"/>
    <n v="141.226"/>
    <n v="158.37021233239741"/>
    <n v="172"/>
    <m/>
    <m/>
    <s v="NW"/>
    <s v="MIDDLE"/>
    <s v="ROAD 18M (BUILDINGS)"/>
    <s v="SECOND"/>
    <s v="D"/>
    <n v="0.13"/>
    <n v="2.5000000000000001E-2"/>
    <n v="0.15"/>
    <n v="0.11"/>
    <n v="2.5000000000000001E-2"/>
    <n v="0.44"/>
    <x v="0"/>
    <s v="R 8"/>
    <n v="51850"/>
    <n v="57950"/>
    <n v="6100"/>
    <n v="2684"/>
    <n v="54534"/>
    <n v="17996.22"/>
    <n v="59034"/>
    <n v="62034"/>
    <n v="9379848"/>
    <n v="10153848"/>
    <n v="10669848"/>
    <n v="0"/>
    <n v="797287.08000000007"/>
    <n v="2"/>
    <n v="244000"/>
    <n v="244000"/>
    <n v="9623848"/>
  </r>
  <r>
    <m/>
    <s v="C"/>
    <x v="31"/>
    <x v="0"/>
    <n v="3"/>
    <n v="1"/>
    <x v="634"/>
    <s v="3 BEDROOM"/>
    <x v="1"/>
    <n v="141.48599999999999"/>
    <n v="158.66177518347598"/>
    <n v="173"/>
    <m/>
    <m/>
    <s v="NW"/>
    <s v="MIDDLE"/>
    <s v="ROAD 18M (BUILDINGS)"/>
    <s v="THIRD"/>
    <s v="D"/>
    <n v="0.13"/>
    <n v="2.5000000000000001E-2"/>
    <n v="0.15"/>
    <n v="0.15"/>
    <n v="2.5000000000000001E-2"/>
    <n v="0.48"/>
    <x v="0"/>
    <s v="R 12"/>
    <n v="61625"/>
    <n v="68875"/>
    <n v="7250"/>
    <n v="3480"/>
    <n v="65105"/>
    <n v="21484.65"/>
    <n v="69605"/>
    <n v="72605"/>
    <n v="11263165"/>
    <n v="12041665"/>
    <n v="12560665"/>
    <n v="0"/>
    <n v="957369.02500000002"/>
    <n v="2"/>
    <n v="290000"/>
    <n v="290000"/>
    <n v="11553165"/>
  </r>
  <r>
    <m/>
    <s v="C"/>
    <x v="31"/>
    <x v="0"/>
    <n v="3"/>
    <n v="2"/>
    <x v="635"/>
    <s v="3 BEDROOM"/>
    <x v="1"/>
    <n v="142.25399999999999"/>
    <n v="159.52300698973886"/>
    <n v="174"/>
    <m/>
    <m/>
    <s v="SE"/>
    <s v="MIDDLE"/>
    <s v="LAKE C"/>
    <s v="THIRD"/>
    <s v="D"/>
    <n v="0.08"/>
    <n v="2.5000000000000001E-2"/>
    <n v="0.46"/>
    <n v="0.15"/>
    <n v="2.5000000000000001E-2"/>
    <n v="0.7400000000000001"/>
    <x v="2"/>
    <s v="R 1"/>
    <n v="42500"/>
    <n v="47500"/>
    <n v="5000"/>
    <n v="3700.0000000000005"/>
    <n v="46200"/>
    <n v="15246"/>
    <n v="50700"/>
    <n v="53700"/>
    <n v="8038800"/>
    <n v="8821800"/>
    <n v="9343800"/>
    <n v="0"/>
    <n v="683298"/>
    <n v="2"/>
    <n v="200000"/>
    <n v="200000"/>
    <n v="8238800"/>
  </r>
  <r>
    <m/>
    <s v="C"/>
    <x v="31"/>
    <x v="0"/>
    <n v="3"/>
    <n v="3"/>
    <x v="636"/>
    <s v="3 BEDROOM"/>
    <x v="1"/>
    <n v="142.37799999999999"/>
    <n v="159.6620600417917"/>
    <n v="174"/>
    <m/>
    <m/>
    <s v="SE"/>
    <s v="MIDDLE"/>
    <s v="LAKE C"/>
    <s v="THIRD"/>
    <s v="D"/>
    <n v="0.08"/>
    <n v="2.5000000000000001E-2"/>
    <n v="0.46"/>
    <n v="0.15"/>
    <n v="2.5000000000000001E-2"/>
    <n v="0.7400000000000001"/>
    <x v="2"/>
    <s v="R 1"/>
    <n v="42500"/>
    <n v="47500"/>
    <n v="5000"/>
    <n v="3700.0000000000005"/>
    <n v="46200"/>
    <n v="15246"/>
    <n v="50700"/>
    <n v="53700"/>
    <n v="8038800"/>
    <n v="8821800"/>
    <n v="9343800"/>
    <n v="0"/>
    <n v="683298"/>
    <n v="2"/>
    <n v="200000"/>
    <n v="200000"/>
    <n v="8238800"/>
  </r>
  <r>
    <m/>
    <s v="C"/>
    <x v="31"/>
    <x v="0"/>
    <n v="3"/>
    <n v="4"/>
    <x v="637"/>
    <s v="3 BEDROOM"/>
    <x v="1"/>
    <n v="141.52600000000001"/>
    <n v="158.70663100671885"/>
    <n v="173"/>
    <m/>
    <m/>
    <s v="NW"/>
    <s v="MIDDLE"/>
    <s v="ROAD 18M (BUILDINGS)"/>
    <s v="THIRD"/>
    <s v="D"/>
    <n v="0.13"/>
    <n v="2.5000000000000001E-2"/>
    <n v="0.15"/>
    <n v="0.15"/>
    <n v="2.5000000000000001E-2"/>
    <n v="0.48"/>
    <x v="0"/>
    <s v="R 12"/>
    <n v="61625"/>
    <n v="68875"/>
    <n v="7250"/>
    <n v="3480"/>
    <n v="65105"/>
    <n v="21484.65"/>
    <n v="69605"/>
    <n v="72605"/>
    <n v="11263165"/>
    <n v="12041665"/>
    <n v="12560665"/>
    <n v="0"/>
    <n v="957369.02500000002"/>
    <n v="2"/>
    <n v="290000"/>
    <n v="290000"/>
    <n v="11553165"/>
  </r>
  <r>
    <m/>
    <s v="C"/>
    <x v="31"/>
    <x v="0"/>
    <n v="4"/>
    <n v="1"/>
    <x v="638"/>
    <s v="3 BEDROOM"/>
    <x v="1"/>
    <n v="139.12"/>
    <n v="156.00855323866094"/>
    <n v="170"/>
    <m/>
    <m/>
    <s v="NW"/>
    <s v="MIDDLE"/>
    <s v="ROAD 18M (BUILDINGS)"/>
    <s v="FORTH"/>
    <s v="D"/>
    <n v="0.13"/>
    <n v="2.5000000000000001E-2"/>
    <n v="0.15"/>
    <n v="0.06"/>
    <n v="2.5000000000000001E-2"/>
    <n v="0.39"/>
    <x v="0"/>
    <s v="R 4"/>
    <n v="45687.5"/>
    <n v="51062.5"/>
    <n v="5375"/>
    <n v="2096.25"/>
    <n v="47783.75"/>
    <n v="15768.637500000001"/>
    <n v="52283.75"/>
    <n v="55283.75"/>
    <n v="8123237.5"/>
    <n v="8888237.5"/>
    <n v="9398237.5"/>
    <n v="0"/>
    <n v="690475.1875"/>
    <n v="2"/>
    <n v="215000"/>
    <n v="215000"/>
    <n v="8338237.5"/>
  </r>
  <r>
    <m/>
    <s v="C"/>
    <x v="31"/>
    <x v="0"/>
    <n v="4"/>
    <n v="2"/>
    <x v="639"/>
    <s v="3 BEDROOM"/>
    <x v="1"/>
    <n v="141.53399999999999"/>
    <n v="158.71560217136741"/>
    <n v="173"/>
    <m/>
    <m/>
    <s v="SE"/>
    <s v="MIDDLE"/>
    <s v="LAKE C"/>
    <s v="FORTH"/>
    <s v="D"/>
    <n v="0.08"/>
    <n v="2.5000000000000001E-2"/>
    <n v="0.46"/>
    <n v="0.06"/>
    <n v="2.5000000000000001E-2"/>
    <n v="0.65"/>
    <x v="1"/>
    <s v="R 5"/>
    <n v="46750.000000000007"/>
    <n v="52250.000000000007"/>
    <n v="5500"/>
    <n v="3575"/>
    <n v="50325.000000000007"/>
    <n v="16607.250000000004"/>
    <n v="54825.000000000007"/>
    <n v="57825.000000000007"/>
    <n v="8706225.0000000019"/>
    <n v="9484725.0000000019"/>
    <n v="10003725.000000002"/>
    <n v="0"/>
    <n v="740029.12500000023"/>
    <n v="2"/>
    <n v="220000.00000000003"/>
    <n v="220000.00000000003"/>
    <n v="8926225.0000000019"/>
  </r>
  <r>
    <m/>
    <s v="C"/>
    <x v="31"/>
    <x v="0"/>
    <n v="4"/>
    <n v="3"/>
    <x v="640"/>
    <s v="3 BEDROOM"/>
    <x v="1"/>
    <n v="141.65899999999999"/>
    <n v="158.85577661900135"/>
    <n v="173"/>
    <m/>
    <m/>
    <s v="SE"/>
    <s v="MIDDLE"/>
    <s v="LAKE C"/>
    <s v="FORTH"/>
    <s v="D"/>
    <n v="0.08"/>
    <n v="2.5000000000000001E-2"/>
    <n v="0.46"/>
    <n v="0.06"/>
    <n v="2.5000000000000001E-2"/>
    <n v="0.65"/>
    <x v="1"/>
    <s v="R 5"/>
    <n v="46750.000000000007"/>
    <n v="52250.000000000007"/>
    <n v="5500"/>
    <n v="3575"/>
    <n v="50325.000000000007"/>
    <n v="16607.250000000004"/>
    <n v="54825.000000000007"/>
    <n v="57825.000000000007"/>
    <n v="8706225.0000000019"/>
    <n v="9484725.0000000019"/>
    <n v="10003725.000000002"/>
    <n v="0"/>
    <n v="740029.12500000023"/>
    <n v="2"/>
    <n v="220000.00000000003"/>
    <n v="220000.00000000003"/>
    <n v="8926225.0000000019"/>
  </r>
  <r>
    <m/>
    <s v="C"/>
    <x v="31"/>
    <x v="0"/>
    <n v="4"/>
    <n v="4"/>
    <x v="641"/>
    <s v="3 BEDROOM"/>
    <x v="1"/>
    <n v="139.31659999999999"/>
    <n v="156.22901960989958"/>
    <n v="170"/>
    <m/>
    <m/>
    <s v="NW"/>
    <s v="MIDDLE"/>
    <s v="ROAD 18M (BUILDINGS)"/>
    <s v="FORTH"/>
    <s v="D"/>
    <n v="0.13"/>
    <n v="2.5000000000000001E-2"/>
    <n v="0.15"/>
    <n v="0.06"/>
    <n v="2.5000000000000001E-2"/>
    <n v="0.39"/>
    <x v="0"/>
    <s v="R 4"/>
    <n v="45687.5"/>
    <n v="51062.5"/>
    <n v="5375"/>
    <n v="2096.25"/>
    <n v="47783.75"/>
    <n v="15768.637500000001"/>
    <n v="52283.75"/>
    <n v="55283.75"/>
    <n v="8123237.5"/>
    <n v="8888237.5"/>
    <n v="9398237.5"/>
    <n v="0"/>
    <n v="690475.1875"/>
    <n v="2"/>
    <n v="215000"/>
    <n v="215000"/>
    <n v="8338237.5"/>
  </r>
  <r>
    <s v="B3"/>
    <s v="C"/>
    <x v="32"/>
    <x v="0"/>
    <n v="0"/>
    <n v="1"/>
    <x v="642"/>
    <s v="3 BEDROOM"/>
    <x v="1"/>
    <n v="144.66300000000001"/>
    <n v="160.29970969584483"/>
    <n v="176"/>
    <n v="81.358699999999999"/>
    <m/>
    <s v="NW"/>
    <s v="CORNER "/>
    <s v="SEMI LAKE E"/>
    <s v="GROUND"/>
    <s v="D"/>
    <n v="0.13"/>
    <n v="0.05"/>
    <n v="0.32250000000000001"/>
    <n v="0.05"/>
    <n v="2.5000000000000001E-2"/>
    <n v="0.57750000000000001"/>
    <x v="1"/>
    <s v="R 1"/>
    <n v="42500"/>
    <n v="47500"/>
    <n v="5000"/>
    <n v="2887.5"/>
    <n v="45387.5"/>
    <n v="14977.875"/>
    <n v="49887.5"/>
    <n v="52887.5"/>
    <n v="7988200"/>
    <n v="8780200"/>
    <n v="9308200"/>
    <n v="1218580.4387625"/>
    <n v="782576.33729481266"/>
    <n v="2"/>
    <n v="200000"/>
    <n v="200000"/>
    <n v="9406780.4387625009"/>
  </r>
  <r>
    <m/>
    <s v="C"/>
    <x v="32"/>
    <x v="0"/>
    <n v="0"/>
    <n v="2"/>
    <x v="643"/>
    <s v="3 BEDROOM + LIVING"/>
    <x v="1"/>
    <n v="183.887"/>
    <n v="203.76345518093646"/>
    <n v="224"/>
    <n v="61.522199999999998"/>
    <m/>
    <s v="SE"/>
    <s v="CORNER "/>
    <s v="SEMI LAKE B-1"/>
    <s v="GROUND"/>
    <s v="E"/>
    <n v="0.08"/>
    <n v="0.05"/>
    <n v="0.48"/>
    <n v="0.05"/>
    <n v="1.4999999999999999E-2"/>
    <n v="0.67500000000000004"/>
    <x v="1"/>
    <s v="R 6"/>
    <n v="48450.000000000007"/>
    <n v="54150.000000000007"/>
    <n v="5700"/>
    <n v="3847.5000000000005"/>
    <n v="52297.500000000007"/>
    <n v="17258.175000000003"/>
    <n v="56797.500000000007"/>
    <n v="59797.500000000007"/>
    <n v="11714640.000000002"/>
    <n v="12722640.000000002"/>
    <n v="13394640.000000002"/>
    <n v="1061760.8939850002"/>
    <n v="1085994.0759887253"/>
    <n v="2"/>
    <n v="228000.00000000003"/>
    <n v="228000.00000000003"/>
    <n v="13004400.893985001"/>
  </r>
  <r>
    <m/>
    <s v="C"/>
    <x v="32"/>
    <x v="0"/>
    <n v="0"/>
    <n v="3"/>
    <x v="644"/>
    <s v="3 BEDROOM"/>
    <x v="1"/>
    <n v="162.78100000000001"/>
    <n v="180.37609508996297"/>
    <n v="199"/>
    <n v="77.576999999999998"/>
    <m/>
    <s v="SE"/>
    <s v="MIDDLE"/>
    <s v="LAKE C"/>
    <s v="GROUND"/>
    <s v="E"/>
    <n v="0.08"/>
    <n v="2.5000000000000001E-2"/>
    <n v="0.46"/>
    <n v="0.05"/>
    <n v="1.4999999999999999E-2"/>
    <n v="0.63000000000000012"/>
    <x v="1"/>
    <s v="R 3"/>
    <n v="44625"/>
    <n v="49875"/>
    <n v="5250"/>
    <n v="3307.5000000000005"/>
    <n v="47932.5"/>
    <n v="15817.725"/>
    <n v="52432.5"/>
    <n v="55432.5"/>
    <n v="9538567.5"/>
    <n v="10434067.5"/>
    <n v="11031067.5"/>
    <n v="1227091.6523249999"/>
    <n v="915081.02794762515"/>
    <n v="2"/>
    <n v="210000"/>
    <n v="210000"/>
    <n v="10975659.152325001"/>
  </r>
  <r>
    <m/>
    <s v="C"/>
    <x v="32"/>
    <x v="0"/>
    <n v="0"/>
    <n v="4"/>
    <x v="645"/>
    <s v="2 BEDROOM"/>
    <x v="1"/>
    <n v="95.213999999999999"/>
    <n v="105.50573788031609"/>
    <n v="116"/>
    <n v="63.183500000000002"/>
    <m/>
    <s v="NW"/>
    <s v="MIDDLE"/>
    <s v="ROAD 12M"/>
    <s v="GROUND"/>
    <s v="B"/>
    <n v="0.13"/>
    <n v="2.5000000000000001E-2"/>
    <n v="0.13"/>
    <n v="0.05"/>
    <n v="0.04"/>
    <n v="0.375"/>
    <x v="0"/>
    <s v="R 3"/>
    <n v="44625"/>
    <n v="49875"/>
    <n v="5250"/>
    <n v="1968.75"/>
    <n v="46593.75"/>
    <n v="15375.9375"/>
    <n v="51093.75"/>
    <n v="54093.75"/>
    <n v="5404875"/>
    <n v="5926875"/>
    <n v="6274875"/>
    <n v="971505.54703125008"/>
    <n v="541992.34649765631"/>
    <n v="1"/>
    <n v="210000"/>
    <n v="210000"/>
    <n v="6586380.5470312499"/>
  </r>
  <r>
    <m/>
    <s v="C"/>
    <x v="32"/>
    <x v="0"/>
    <n v="1"/>
    <n v="1"/>
    <x v="646"/>
    <s v="3 BEDROOM"/>
    <x v="1"/>
    <n v="141.66300000000001"/>
    <n v="156.9754379118535"/>
    <n v="173"/>
    <m/>
    <m/>
    <s v="NW"/>
    <s v="CORNER "/>
    <s v="SEMI LAKE E"/>
    <s v="FIRST"/>
    <s v="D"/>
    <n v="0.13"/>
    <n v="0.05"/>
    <n v="0.32250000000000001"/>
    <n v="7.0000000000000007E-2"/>
    <n v="2.5000000000000001E-2"/>
    <n v="0.59750000000000003"/>
    <x v="1"/>
    <s v="R 2"/>
    <n v="43562.499999999993"/>
    <n v="48687.499999999993"/>
    <n v="5125"/>
    <n v="3062.1875"/>
    <n v="46624.687499999993"/>
    <n v="15386.146874999999"/>
    <n v="51124.687499999993"/>
    <n v="54124.687499999993"/>
    <n v="8066070.9374999991"/>
    <n v="8844570.9374999981"/>
    <n v="9363570.9374999981"/>
    <n v="0"/>
    <n v="685616.02968749998"/>
    <n v="2"/>
    <n v="204999.99999999997"/>
    <n v="204999.99999999997"/>
    <n v="8271070.9374999991"/>
  </r>
  <r>
    <m/>
    <s v="C"/>
    <x v="32"/>
    <x v="0"/>
    <n v="1"/>
    <n v="2"/>
    <x v="647"/>
    <s v="3 BEDROOM + LIVING"/>
    <x v="1"/>
    <n v="183.637"/>
    <n v="203.48643253227053"/>
    <n v="224"/>
    <m/>
    <m/>
    <s v="SE"/>
    <s v="CORNER "/>
    <s v="SEMI LAKE B-1"/>
    <s v="FIRST"/>
    <s v="E"/>
    <n v="0.08"/>
    <n v="0.05"/>
    <n v="0.48"/>
    <n v="7.0000000000000007E-2"/>
    <n v="1.4999999999999999E-2"/>
    <n v="0.69499999999999995"/>
    <x v="1"/>
    <s v="R 8"/>
    <n v="51850"/>
    <n v="57950"/>
    <n v="6100"/>
    <n v="4239.5"/>
    <n v="56089.5"/>
    <n v="18509.535"/>
    <n v="60589.5"/>
    <n v="63589.5"/>
    <n v="12564048"/>
    <n v="13572048"/>
    <n v="14244048"/>
    <n v="0"/>
    <n v="1067944.08"/>
    <n v="2"/>
    <n v="244000"/>
    <n v="244000"/>
    <n v="12808048"/>
  </r>
  <r>
    <m/>
    <s v="C"/>
    <x v="32"/>
    <x v="0"/>
    <n v="1"/>
    <n v="3"/>
    <x v="648"/>
    <s v="3 BEDROOM"/>
    <x v="1"/>
    <n v="162.53100000000001"/>
    <n v="180.09907244129704"/>
    <n v="198"/>
    <m/>
    <m/>
    <s v="SE"/>
    <s v="MIDDLE"/>
    <s v="LAKE C"/>
    <s v="FIRST"/>
    <s v="E"/>
    <n v="0.08"/>
    <n v="2.5000000000000001E-2"/>
    <n v="0.46"/>
    <n v="7.0000000000000007E-2"/>
    <n v="1.4999999999999999E-2"/>
    <n v="0.65"/>
    <x v="1"/>
    <s v="R 5"/>
    <n v="46750.000000000007"/>
    <n v="52250.000000000007"/>
    <n v="5500"/>
    <n v="3575"/>
    <n v="50325.000000000007"/>
    <n v="16607.250000000004"/>
    <n v="54825.000000000007"/>
    <n v="57825.000000000007"/>
    <n v="9964350.0000000019"/>
    <n v="10855350.000000002"/>
    <n v="11449350.000000002"/>
    <n v="0"/>
    <n v="846969.75000000023"/>
    <n v="2"/>
    <n v="220000.00000000003"/>
    <n v="220000.00000000003"/>
    <n v="10184350.000000002"/>
  </r>
  <r>
    <m/>
    <s v="C"/>
    <x v="32"/>
    <x v="0"/>
    <n v="1"/>
    <n v="4"/>
    <x v="649"/>
    <s v="2 BEDROOM"/>
    <x v="1"/>
    <n v="96.271000000000001"/>
    <n v="106.6769896388757"/>
    <n v="117"/>
    <m/>
    <m/>
    <s v="NW"/>
    <s v="MIDDLE"/>
    <s v="ROAD 12M"/>
    <s v="FIRST"/>
    <s v="B"/>
    <n v="0.13"/>
    <n v="2.5000000000000001E-2"/>
    <n v="0.13"/>
    <n v="7.0000000000000007E-2"/>
    <n v="0.04"/>
    <n v="0.39500000000000002"/>
    <x v="0"/>
    <s v="R 4"/>
    <n v="45687.5"/>
    <n v="51062.5"/>
    <n v="5375"/>
    <n v="2123.125"/>
    <n v="47810.625"/>
    <n v="15777.50625"/>
    <n v="52310.625"/>
    <n v="55310.625"/>
    <n v="5593843.125"/>
    <n v="6120343.125"/>
    <n v="6471343.125"/>
    <n v="0"/>
    <n v="475476.66562500002"/>
    <n v="1"/>
    <n v="215000"/>
    <n v="215000"/>
    <n v="5808843.125"/>
  </r>
  <r>
    <m/>
    <s v="C"/>
    <x v="32"/>
    <x v="0"/>
    <n v="2"/>
    <n v="1"/>
    <x v="650"/>
    <s v="3 BEDROOM"/>
    <x v="1"/>
    <n v="143.989"/>
    <n v="159.55285663504142"/>
    <n v="176"/>
    <m/>
    <m/>
    <s v="NW"/>
    <s v="CORNER "/>
    <s v="SEMI LAKE E"/>
    <s v="SECOND"/>
    <s v="D"/>
    <n v="0.13"/>
    <n v="0.05"/>
    <n v="0.32250000000000001"/>
    <n v="0.11"/>
    <n v="2.5000000000000001E-2"/>
    <n v="0.63749999999999996"/>
    <x v="1"/>
    <s v="R 4"/>
    <n v="45687.5"/>
    <n v="51062.5"/>
    <n v="5375"/>
    <n v="3426.5624999999995"/>
    <n v="49114.0625"/>
    <n v="16207.640625"/>
    <n v="53614.0625"/>
    <n v="56614.0625"/>
    <n v="8644075"/>
    <n v="9436075"/>
    <n v="9964075"/>
    <n v="0"/>
    <n v="734746.375"/>
    <n v="2"/>
    <n v="215000"/>
    <n v="215000"/>
    <n v="8859075"/>
  </r>
  <r>
    <m/>
    <s v="C"/>
    <x v="32"/>
    <x v="0"/>
    <n v="2"/>
    <n v="2"/>
    <x v="651"/>
    <s v="3 BEDROOM + LIVING"/>
    <x v="1"/>
    <n v="187.1"/>
    <n v="207.32375026159116"/>
    <n v="228"/>
    <m/>
    <m/>
    <s v="SE"/>
    <s v="CORNER "/>
    <s v="SEMI LAKE B-1"/>
    <s v="SECOND"/>
    <s v="E"/>
    <n v="0.08"/>
    <n v="0.05"/>
    <n v="0.48"/>
    <n v="0.11"/>
    <n v="1.4999999999999999E-2"/>
    <n v="0.73499999999999999"/>
    <x v="2"/>
    <s v="R 1"/>
    <n v="42500"/>
    <n v="47500"/>
    <n v="5000"/>
    <n v="3675"/>
    <n v="46175"/>
    <n v="15237.75"/>
    <n v="50675"/>
    <n v="53675"/>
    <n v="10527900"/>
    <n v="11553900"/>
    <n v="12237900"/>
    <n v="0"/>
    <n v="894871.50000000012"/>
    <n v="2"/>
    <n v="200000"/>
    <n v="200000"/>
    <n v="10727900"/>
  </r>
  <r>
    <m/>
    <s v="C"/>
    <x v="32"/>
    <x v="0"/>
    <n v="2"/>
    <n v="3"/>
    <x v="652"/>
    <s v="3 BEDROOM"/>
    <x v="1"/>
    <n v="167.16900000000001"/>
    <n v="185.23839661934761"/>
    <n v="204"/>
    <m/>
    <m/>
    <s v="SE"/>
    <s v="MIDDLE"/>
    <s v="LAKE C"/>
    <s v="SECOND"/>
    <s v="E"/>
    <n v="0.08"/>
    <n v="2.5000000000000001E-2"/>
    <n v="0.46"/>
    <n v="0.11"/>
    <n v="1.4999999999999999E-2"/>
    <n v="0.69000000000000006"/>
    <x v="1"/>
    <s v="R 8"/>
    <n v="51850"/>
    <n v="57950"/>
    <n v="6100"/>
    <n v="4209"/>
    <n v="56059"/>
    <n v="18499.47"/>
    <n v="60559"/>
    <n v="63559"/>
    <n v="11436036"/>
    <n v="12354036"/>
    <n v="12966036"/>
    <n v="0"/>
    <n v="972063.06"/>
    <n v="2"/>
    <n v="244000"/>
    <n v="244000"/>
    <n v="11680036"/>
  </r>
  <r>
    <m/>
    <s v="C"/>
    <x v="32"/>
    <x v="0"/>
    <n v="2"/>
    <n v="4"/>
    <x v="653"/>
    <s v="3 BEDROOM"/>
    <x v="1"/>
    <n v="141.18700000000001"/>
    <n v="156.44798678879354"/>
    <n v="172"/>
    <m/>
    <m/>
    <s v="NW"/>
    <s v="MIDDLE"/>
    <s v="ROAD 12M"/>
    <s v="SECOND"/>
    <s v="D"/>
    <n v="0.13"/>
    <n v="2.5000000000000001E-2"/>
    <n v="0.13"/>
    <n v="0.11"/>
    <n v="2.5000000000000001E-2"/>
    <n v="0.42000000000000004"/>
    <x v="0"/>
    <s v="R 7"/>
    <n v="50150"/>
    <n v="56050"/>
    <n v="5900"/>
    <n v="2478.0000000000005"/>
    <n v="52628"/>
    <n v="17367.240000000002"/>
    <n v="57128"/>
    <n v="60128"/>
    <n v="9052016"/>
    <n v="9826016"/>
    <n v="10342016"/>
    <n v="0"/>
    <n v="769421.3600000001"/>
    <n v="2"/>
    <n v="236000"/>
    <n v="236000"/>
    <n v="9288016"/>
  </r>
  <r>
    <m/>
    <s v="C"/>
    <x v="32"/>
    <x v="0"/>
    <n v="3"/>
    <n v="1"/>
    <x v="654"/>
    <s v="3 BEDROOM"/>
    <x v="1"/>
    <n v="143.89599999999999"/>
    <n v="159.44980420973766"/>
    <n v="176"/>
    <m/>
    <m/>
    <s v="NW"/>
    <s v="CORNER "/>
    <s v="SEMI LAKE E"/>
    <s v="THIRD"/>
    <s v="D"/>
    <n v="0.13"/>
    <n v="0.05"/>
    <n v="0.32250000000000001"/>
    <n v="0.15"/>
    <n v="2.5000000000000001E-2"/>
    <n v="0.67749999999999999"/>
    <x v="1"/>
    <s v="R 6"/>
    <n v="48450.000000000007"/>
    <n v="54150.000000000007"/>
    <n v="5700"/>
    <n v="3861.75"/>
    <n v="52311.750000000007"/>
    <n v="17262.877500000002"/>
    <n v="56811.750000000007"/>
    <n v="59811.750000000007"/>
    <n v="9206868.0000000019"/>
    <n v="9998868.0000000019"/>
    <n v="10526868.000000002"/>
    <n v="0"/>
    <n v="782583.78000000026"/>
    <n v="2"/>
    <n v="228000.00000000003"/>
    <n v="228000.00000000003"/>
    <n v="9434868.0000000019"/>
  </r>
  <r>
    <m/>
    <s v="C"/>
    <x v="32"/>
    <x v="0"/>
    <n v="3"/>
    <n v="2"/>
    <x v="655"/>
    <s v="3 BEDROOM + LIVING"/>
    <x v="1"/>
    <n v="187.20400000000001"/>
    <n v="207.4389916834362"/>
    <n v="228"/>
    <m/>
    <m/>
    <s v="SE"/>
    <s v="CORNER "/>
    <s v="SEMI LAKE B-1"/>
    <s v="THIRD"/>
    <s v="E"/>
    <n v="0.08"/>
    <n v="0.05"/>
    <n v="0.48"/>
    <n v="0.15"/>
    <n v="1.4999999999999999E-2"/>
    <n v="0.77500000000000002"/>
    <x v="2"/>
    <s v="R 4"/>
    <n v="45687.5"/>
    <n v="51062.5"/>
    <n v="5375"/>
    <n v="4165.625"/>
    <n v="49853.125"/>
    <n v="16451.53125"/>
    <n v="54353.125"/>
    <n v="57353.125"/>
    <n v="11366512.5"/>
    <n v="12392512.5"/>
    <n v="13076512.5"/>
    <n v="0"/>
    <n v="966153.56250000012"/>
    <n v="2"/>
    <n v="215000"/>
    <n v="215000"/>
    <n v="11581512.5"/>
  </r>
  <r>
    <m/>
    <s v="C"/>
    <x v="32"/>
    <x v="0"/>
    <n v="3"/>
    <n v="3"/>
    <x v="656"/>
    <s v="3 BEDROOM"/>
    <x v="1"/>
    <n v="164.417"/>
    <n v="182.18893130283288"/>
    <n v="201"/>
    <m/>
    <m/>
    <s v="SE"/>
    <s v="MIDDLE"/>
    <s v="LAKE C"/>
    <s v="THIRD"/>
    <s v="E"/>
    <n v="0.08"/>
    <n v="2.5000000000000001E-2"/>
    <n v="0.46"/>
    <n v="0.15"/>
    <n v="1.4999999999999999E-2"/>
    <n v="0.73000000000000009"/>
    <x v="2"/>
    <s v="R 1"/>
    <n v="42500"/>
    <n v="47500"/>
    <n v="5000"/>
    <n v="3650.0000000000005"/>
    <n v="46150"/>
    <n v="15229.5"/>
    <n v="50650"/>
    <n v="53650"/>
    <n v="9276150"/>
    <n v="10180650"/>
    <n v="10783650"/>
    <n v="0"/>
    <n v="788472.75"/>
    <n v="2"/>
    <n v="200000"/>
    <n v="200000"/>
    <n v="9476150"/>
  </r>
  <r>
    <m/>
    <s v="C"/>
    <x v="32"/>
    <x v="0"/>
    <n v="3"/>
    <n v="4"/>
    <x v="657"/>
    <s v="3 BEDROOM"/>
    <x v="1"/>
    <n v="141.07300000000001"/>
    <n v="156.32166446100189"/>
    <n v="172"/>
    <m/>
    <m/>
    <s v="NW"/>
    <s v="MIDDLE"/>
    <s v="ROAD 12M"/>
    <s v="THIRD"/>
    <s v="D"/>
    <n v="0.13"/>
    <n v="2.5000000000000001E-2"/>
    <n v="0.13"/>
    <n v="0.15"/>
    <n v="2.5000000000000001E-2"/>
    <n v="0.46000000000000008"/>
    <x v="0"/>
    <s v="R 10"/>
    <n v="56100"/>
    <n v="62700"/>
    <n v="6600"/>
    <n v="3036.0000000000005"/>
    <n v="59136"/>
    <n v="19514.88"/>
    <n v="63636"/>
    <n v="66636"/>
    <n v="10171392"/>
    <n v="10945392"/>
    <n v="11461392"/>
    <n v="0"/>
    <n v="864568.32000000007"/>
    <n v="2"/>
    <n v="264000"/>
    <n v="264000"/>
    <n v="10435392"/>
  </r>
  <r>
    <m/>
    <s v="C"/>
    <x v="32"/>
    <x v="0"/>
    <n v="4"/>
    <n v="1"/>
    <x v="658"/>
    <s v="3 BEDROOM"/>
    <x v="1"/>
    <n v="141.929"/>
    <n v="157.27019001003407"/>
    <n v="173"/>
    <m/>
    <m/>
    <s v="NW"/>
    <s v="CORNER "/>
    <s v="SEMI LAKE E"/>
    <s v="FORTH"/>
    <s v="D"/>
    <n v="0.13"/>
    <n v="0.05"/>
    <n v="0.32250000000000001"/>
    <n v="0.06"/>
    <n v="2.5000000000000001E-2"/>
    <n v="0.58750000000000002"/>
    <x v="1"/>
    <s v="R 2"/>
    <n v="43562.499999999993"/>
    <n v="48687.499999999993"/>
    <n v="5125"/>
    <n v="3010.9375"/>
    <n v="46573.437499999993"/>
    <n v="15369.234374999998"/>
    <n v="51073.437499999993"/>
    <n v="54073.437499999993"/>
    <n v="8057204.6874999991"/>
    <n v="8835704.6874999981"/>
    <n v="9354704.6874999981"/>
    <n v="0"/>
    <n v="684862.3984375"/>
    <n v="2"/>
    <n v="204999.99999999997"/>
    <n v="204999.99999999997"/>
    <n v="8262204.6874999991"/>
  </r>
  <r>
    <m/>
    <s v="C"/>
    <x v="32"/>
    <x v="0"/>
    <n v="4"/>
    <n v="2"/>
    <x v="659"/>
    <s v="3 BEDROOM + LIVING"/>
    <x v="1"/>
    <n v="182.36099999999999"/>
    <n v="202.07250893347955"/>
    <n v="222"/>
    <m/>
    <m/>
    <s v="SE"/>
    <s v="CORNER "/>
    <s v="SEMI LAKE B-1"/>
    <s v="FORTH"/>
    <s v="E"/>
    <n v="0.08"/>
    <n v="0.05"/>
    <n v="0.48"/>
    <n v="0.06"/>
    <n v="1.4999999999999999E-2"/>
    <n v="0.68499999999999994"/>
    <x v="1"/>
    <s v="R 7"/>
    <n v="50150"/>
    <n v="56050"/>
    <n v="5900"/>
    <n v="4041.4999999999995"/>
    <n v="54191.5"/>
    <n v="17883.195"/>
    <n v="58691.5"/>
    <n v="61691.5"/>
    <n v="12030513"/>
    <n v="13029513"/>
    <n v="13695513"/>
    <n v="0"/>
    <n v="1022593.6050000001"/>
    <n v="2"/>
    <n v="236000"/>
    <n v="236000"/>
    <n v="12266513"/>
  </r>
  <r>
    <m/>
    <s v="C"/>
    <x v="32"/>
    <x v="0"/>
    <n v="4"/>
    <n v="3"/>
    <x v="660"/>
    <s v="3 BEDROOM"/>
    <x v="1"/>
    <n v="162.44399999999999"/>
    <n v="180.00266855956127"/>
    <n v="198"/>
    <m/>
    <m/>
    <s v="SE"/>
    <s v="MIDDLE"/>
    <s v="LAKE C"/>
    <s v="FORTH"/>
    <s v="E"/>
    <n v="0.08"/>
    <n v="2.5000000000000001E-2"/>
    <n v="0.46"/>
    <n v="0.06"/>
    <n v="1.4999999999999999E-2"/>
    <n v="0.64"/>
    <x v="1"/>
    <s v="R 4"/>
    <n v="45687.5"/>
    <n v="51062.5"/>
    <n v="5375"/>
    <n v="3440"/>
    <n v="49127.5"/>
    <n v="16212.075000000001"/>
    <n v="53627.5"/>
    <n v="56627.5"/>
    <n v="9727245"/>
    <n v="10618245"/>
    <n v="11212245"/>
    <n v="0"/>
    <n v="826815.82500000007"/>
    <n v="2"/>
    <n v="215000"/>
    <n v="215000"/>
    <n v="9942245"/>
  </r>
  <r>
    <m/>
    <s v="C"/>
    <x v="32"/>
    <x v="0"/>
    <n v="4"/>
    <n v="4"/>
    <x v="661"/>
    <s v="3 BEDROOM"/>
    <x v="1"/>
    <n v="139.12700000000001"/>
    <n v="154.16532016378619"/>
    <n v="170"/>
    <m/>
    <m/>
    <s v="NW"/>
    <s v="MIDDLE"/>
    <s v="ROAD 12M"/>
    <s v="FORTH"/>
    <s v="D"/>
    <n v="0.13"/>
    <n v="2.5000000000000001E-2"/>
    <n v="0.13"/>
    <n v="0.06"/>
    <n v="2.5000000000000001E-2"/>
    <n v="0.37000000000000005"/>
    <x v="0"/>
    <s v="R 3"/>
    <n v="44625"/>
    <n v="49875"/>
    <n v="5250"/>
    <n v="1942.5000000000002"/>
    <n v="46567.5"/>
    <n v="15367.275000000001"/>
    <n v="51067.5"/>
    <n v="54067.5"/>
    <n v="7916475"/>
    <n v="8681475"/>
    <n v="9191475"/>
    <n v="0"/>
    <n v="672900.375"/>
    <n v="2"/>
    <n v="210000"/>
    <n v="210000"/>
    <n v="8126475"/>
  </r>
  <r>
    <s v="C3"/>
    <s v="D"/>
    <x v="33"/>
    <x v="0"/>
    <n v="0"/>
    <n v="1"/>
    <x v="662"/>
    <s v="2 BEDROOM"/>
    <x v="2"/>
    <n v="87.23"/>
    <n v="94.72160516317075"/>
    <n v="106"/>
    <n v="66.414400000000001"/>
    <m/>
    <s v="SE"/>
    <s v="MIDDLE"/>
    <s v="ROAD 18M (VILLAS)"/>
    <s v="GROUND"/>
    <s v="B"/>
    <n v="0.08"/>
    <n v="2.5000000000000001E-2"/>
    <n v="0.16"/>
    <n v="0.05"/>
    <n v="0.04"/>
    <n v="0.35499999999999998"/>
    <x v="0"/>
    <s v="R 1"/>
    <n v="42500"/>
    <n v="47500"/>
    <n v="5000"/>
    <n v="1775"/>
    <n v="44275"/>
    <n v="14610.75"/>
    <n v="48775"/>
    <n v="51775"/>
    <n v="4693150"/>
    <n v="5170150"/>
    <n v="5488150"/>
    <n v="970364.19480000006"/>
    <n v="481398.70655800001"/>
    <n v="1"/>
    <n v="200000"/>
    <n v="200000"/>
    <n v="5863514.1948000006"/>
  </r>
  <r>
    <m/>
    <s v="D"/>
    <x v="33"/>
    <x v="0"/>
    <n v="0"/>
    <n v="2"/>
    <x v="663"/>
    <s v="3 BEDROOM"/>
    <x v="2"/>
    <n v="125.09"/>
    <n v="135.83314902970341"/>
    <n v="153"/>
    <n v="85.619500000000002"/>
    <m/>
    <s v="NW"/>
    <s v="MIDDLE"/>
    <s v="LAKE D"/>
    <s v="GROUND"/>
    <s v="C"/>
    <n v="0.13"/>
    <n v="2.5000000000000001E-2"/>
    <n v="0.43"/>
    <n v="0.05"/>
    <n v="3.5000000000000003E-2"/>
    <n v="0.67"/>
    <x v="1"/>
    <s v="R 6"/>
    <n v="48450.000000000007"/>
    <n v="54150.000000000007"/>
    <n v="5700"/>
    <n v="3819.0000000000005"/>
    <n v="52269.000000000007"/>
    <n v="17248.770000000004"/>
    <n v="56769.000000000007"/>
    <n v="59769.000000000007"/>
    <n v="7997157.0000000009"/>
    <n v="8685657.0000000019"/>
    <n v="9144657.0000000019"/>
    <n v="1476831.0630150004"/>
    <n v="805288.98535627511"/>
    <n v="2"/>
    <n v="228000.00000000003"/>
    <n v="228000.00000000003"/>
    <n v="9701988.0630150009"/>
  </r>
  <r>
    <m/>
    <s v="D"/>
    <x v="33"/>
    <x v="0"/>
    <n v="0"/>
    <n v="3"/>
    <x v="664"/>
    <s v="3 BEDROOM"/>
    <x v="2"/>
    <n v="129.57"/>
    <n v="140.69790646557414"/>
    <n v="158"/>
    <n v="84.075199999999995"/>
    <m/>
    <s v="NW"/>
    <s v="CORNER "/>
    <s v="LAKE D"/>
    <s v="GROUND"/>
    <s v="C"/>
    <n v="0.13"/>
    <n v="0.05"/>
    <n v="0.43"/>
    <n v="0.05"/>
    <n v="3.5000000000000003E-2"/>
    <n v="0.69500000000000006"/>
    <x v="1"/>
    <s v="R 8"/>
    <n v="51850"/>
    <n v="57950"/>
    <n v="6100"/>
    <n v="4239.5"/>
    <n v="56089.5"/>
    <n v="18509.535"/>
    <n v="60589.5"/>
    <n v="63589.5"/>
    <n v="8862141"/>
    <n v="9573141"/>
    <n v="10047141"/>
    <n v="1556192.8570319999"/>
    <n v="885558.37784771994"/>
    <n v="2"/>
    <n v="244000"/>
    <n v="244000"/>
    <n v="10662333.857031999"/>
  </r>
  <r>
    <m/>
    <s v="D"/>
    <x v="33"/>
    <x v="0"/>
    <n v="0"/>
    <n v="4"/>
    <x v="665"/>
    <s v="3 BEDROOM"/>
    <x v="2"/>
    <n v="131.34"/>
    <n v="142.61992000608558"/>
    <n v="160"/>
    <n v="81.358599999999996"/>
    <m/>
    <s v="SE"/>
    <s v="CORNER "/>
    <s v="ROAD 18M (VILLAS)"/>
    <s v="GROUND"/>
    <s v="D"/>
    <n v="0.08"/>
    <n v="0.05"/>
    <n v="0.16"/>
    <n v="0.05"/>
    <n v="2.5000000000000001E-2"/>
    <n v="0.36500000000000005"/>
    <x v="0"/>
    <s v="R 2"/>
    <n v="43562.499999999993"/>
    <n v="48687.499999999993"/>
    <n v="5125"/>
    <n v="1870.6250000000002"/>
    <n v="45433.124999999993"/>
    <n v="14992.931249999998"/>
    <n v="49933.124999999993"/>
    <n v="52933.124999999993"/>
    <n v="7269299.9999999991"/>
    <n v="7989299.9999999991"/>
    <n v="8469299.9999999981"/>
    <n v="1219803.8963962498"/>
    <n v="721573.83119368122"/>
    <n v="2"/>
    <n v="204999.99999999997"/>
    <n v="204999.99999999997"/>
    <n v="8694103.8963962495"/>
  </r>
  <r>
    <m/>
    <s v="D"/>
    <x v="33"/>
    <x v="0"/>
    <n v="1"/>
    <n v="1"/>
    <x v="666"/>
    <s v="2 BEDROOM"/>
    <x v="2"/>
    <n v="88.87"/>
    <n v="96.502453867373433"/>
    <n v="108"/>
    <m/>
    <m/>
    <s v="SE"/>
    <s v="MIDDLE"/>
    <s v="ROAD 18M (VILLAS)"/>
    <s v="FIRST"/>
    <s v="B"/>
    <n v="0.08"/>
    <n v="2.5000000000000001E-2"/>
    <n v="0.16"/>
    <n v="7.0000000000000007E-2"/>
    <n v="0.04"/>
    <n v="0.375"/>
    <x v="0"/>
    <s v="R 3"/>
    <n v="44625"/>
    <n v="49875"/>
    <n v="5250"/>
    <n v="1968.75"/>
    <n v="46593.75"/>
    <n v="15375.9375"/>
    <n v="51093.75"/>
    <n v="54093.75"/>
    <n v="5032125"/>
    <n v="5518125"/>
    <n v="5842125"/>
    <n v="0"/>
    <n v="427730.62500000006"/>
    <n v="1"/>
    <n v="210000"/>
    <n v="210000"/>
    <n v="5242125"/>
  </r>
  <r>
    <m/>
    <s v="D"/>
    <x v="33"/>
    <x v="0"/>
    <n v="1"/>
    <n v="2"/>
    <x v="667"/>
    <s v="3 BEDROOM"/>
    <x v="2"/>
    <n v="127.14"/>
    <n v="138.05920990995676"/>
    <n v="155"/>
    <m/>
    <m/>
    <s v="NW"/>
    <s v="MIDDLE"/>
    <s v="LAKE D"/>
    <s v="FIRST"/>
    <s v="C"/>
    <n v="0.13"/>
    <n v="2.5000000000000001E-2"/>
    <n v="0.43"/>
    <n v="7.0000000000000007E-2"/>
    <n v="3.5000000000000003E-2"/>
    <n v="0.69000000000000006"/>
    <x v="1"/>
    <s v="R 8"/>
    <n v="51850"/>
    <n v="57950"/>
    <n v="6100"/>
    <n v="4209"/>
    <n v="56059"/>
    <n v="18499.47"/>
    <n v="60559"/>
    <n v="63559"/>
    <n v="8689145"/>
    <n v="9386645"/>
    <n v="9851645"/>
    <n v="0"/>
    <n v="738577.32500000007"/>
    <n v="2"/>
    <n v="244000"/>
    <n v="244000"/>
    <n v="8933145"/>
  </r>
  <r>
    <m/>
    <s v="D"/>
    <x v="33"/>
    <x v="0"/>
    <n v="1"/>
    <n v="3"/>
    <x v="668"/>
    <s v="3 BEDROOM"/>
    <x v="2"/>
    <n v="131.43"/>
    <n v="142.71764950814548"/>
    <n v="160"/>
    <m/>
    <m/>
    <s v="NW"/>
    <s v="CORNER "/>
    <s v="LAKE D"/>
    <s v="FIRST"/>
    <s v="D"/>
    <n v="0.13"/>
    <n v="0.05"/>
    <n v="0.43"/>
    <n v="7.0000000000000007E-2"/>
    <n v="2.5000000000000001E-2"/>
    <n v="0.70499999999999996"/>
    <x v="1"/>
    <s v="R 9"/>
    <n v="53550"/>
    <n v="59850"/>
    <n v="6300"/>
    <n v="4441.5"/>
    <n v="57991.5"/>
    <n v="19137.195"/>
    <n v="62491.5"/>
    <n v="65491.5"/>
    <n v="9278640"/>
    <n v="9998640"/>
    <n v="10478640"/>
    <n v="0"/>
    <n v="788684.4"/>
    <n v="2"/>
    <n v="252000"/>
    <n v="252000"/>
    <n v="9530640"/>
  </r>
  <r>
    <m/>
    <s v="D"/>
    <x v="33"/>
    <x v="0"/>
    <n v="1"/>
    <n v="4"/>
    <x v="669"/>
    <s v="3 BEDROOM"/>
    <x v="2"/>
    <n v="129.04"/>
    <n v="140.12238828677692"/>
    <n v="157"/>
    <m/>
    <m/>
    <s v="SE"/>
    <s v="CORNER "/>
    <s v="ROAD 18M (VILLAS)"/>
    <s v="FIRST"/>
    <s v="C"/>
    <n v="0.08"/>
    <n v="0.05"/>
    <n v="0.16"/>
    <n v="7.0000000000000007E-2"/>
    <n v="3.5000000000000003E-2"/>
    <n v="0.39500000000000002"/>
    <x v="0"/>
    <s v="R 4"/>
    <n v="45687.5"/>
    <n v="51062.5"/>
    <n v="5375"/>
    <n v="2123.125"/>
    <n v="47810.625"/>
    <n v="15777.50625"/>
    <n v="52310.625"/>
    <n v="55310.625"/>
    <n v="7506268.125"/>
    <n v="8212768.125"/>
    <n v="8683768.125"/>
    <n v="0"/>
    <n v="638032.79062500002"/>
    <n v="2"/>
    <n v="215000"/>
    <n v="215000"/>
    <n v="7721268.125"/>
  </r>
  <r>
    <m/>
    <s v="D"/>
    <x v="33"/>
    <x v="0"/>
    <n v="2"/>
    <n v="1"/>
    <x v="670"/>
    <s v="3 BEDROOM"/>
    <x v="2"/>
    <n v="127.15"/>
    <n v="138.07006874351899"/>
    <n v="155"/>
    <m/>
    <m/>
    <s v="SE"/>
    <s v="MIDDLE"/>
    <s v="ROAD 18M (VILLAS)"/>
    <s v="SECOND"/>
    <s v="C"/>
    <n v="0.08"/>
    <n v="2.5000000000000001E-2"/>
    <n v="0.16"/>
    <n v="0.11"/>
    <n v="3.5000000000000003E-2"/>
    <n v="0.41000000000000003"/>
    <x v="0"/>
    <s v="R 6"/>
    <n v="48450.000000000007"/>
    <n v="54150.000000000007"/>
    <n v="5700"/>
    <n v="2337"/>
    <n v="50787.000000000007"/>
    <n v="16759.710000000003"/>
    <n v="55287.000000000007"/>
    <n v="58287.000000000007"/>
    <n v="7871985.0000000009"/>
    <n v="8569485.0000000019"/>
    <n v="9034485.0000000019"/>
    <n v="0"/>
    <n v="669118.72500000009"/>
    <n v="2"/>
    <n v="228000.00000000003"/>
    <n v="228000.00000000003"/>
    <n v="8099985.0000000009"/>
  </r>
  <r>
    <m/>
    <s v="D"/>
    <x v="33"/>
    <x v="0"/>
    <n v="2"/>
    <n v="2"/>
    <x v="671"/>
    <s v="3 BEDROOM"/>
    <x v="2"/>
    <n v="126.95"/>
    <n v="137.85289207227476"/>
    <n v="155"/>
    <m/>
    <m/>
    <s v="NW"/>
    <s v="MIDDLE"/>
    <s v="LAKE D"/>
    <s v="SECOND"/>
    <s v="C"/>
    <n v="0.13"/>
    <n v="2.5000000000000001E-2"/>
    <n v="0.43"/>
    <n v="0.11"/>
    <n v="3.5000000000000003E-2"/>
    <n v="0.73"/>
    <x v="2"/>
    <s v="R 1"/>
    <n v="42500"/>
    <n v="47500"/>
    <n v="5000"/>
    <n v="3650"/>
    <n v="46150"/>
    <n v="15229.5"/>
    <n v="50650"/>
    <n v="53650"/>
    <n v="7153250"/>
    <n v="7850750"/>
    <n v="8315750"/>
    <n v="0"/>
    <n v="608026.25"/>
    <n v="2"/>
    <n v="200000"/>
    <n v="200000"/>
    <n v="7353250"/>
  </r>
  <r>
    <m/>
    <s v="D"/>
    <x v="33"/>
    <x v="0"/>
    <n v="2"/>
    <n v="3"/>
    <x v="672"/>
    <s v="3 BEDROOM"/>
    <x v="2"/>
    <n v="131.44"/>
    <n v="142.72850834170771"/>
    <n v="160"/>
    <m/>
    <m/>
    <s v="NW"/>
    <s v="CORNER "/>
    <s v="LAKE D"/>
    <s v="SECOND"/>
    <s v="D"/>
    <n v="0.13"/>
    <n v="0.05"/>
    <n v="0.43"/>
    <n v="0.11"/>
    <n v="2.5000000000000001E-2"/>
    <n v="0.745"/>
    <x v="2"/>
    <s v="R 1"/>
    <n v="42500"/>
    <n v="47500"/>
    <n v="5000"/>
    <n v="3725"/>
    <n v="46225"/>
    <n v="15254.25"/>
    <n v="50725"/>
    <n v="53725"/>
    <n v="7396000"/>
    <n v="8116000"/>
    <n v="8596000"/>
    <n v="0"/>
    <n v="628660"/>
    <n v="2"/>
    <n v="200000"/>
    <n v="200000"/>
    <n v="7596000"/>
  </r>
  <r>
    <m/>
    <s v="D"/>
    <x v="33"/>
    <x v="0"/>
    <n v="2"/>
    <n v="4"/>
    <x v="673"/>
    <s v="3 BEDROOM"/>
    <x v="2"/>
    <n v="131.43"/>
    <n v="142.71764950814548"/>
    <n v="160"/>
    <m/>
    <m/>
    <s v="SE"/>
    <s v="CORNER "/>
    <s v="ROAD 18M (VILLAS)"/>
    <s v="SECOND"/>
    <s v="D"/>
    <n v="0.08"/>
    <n v="0.05"/>
    <n v="0.16"/>
    <n v="0.11"/>
    <n v="2.5000000000000001E-2"/>
    <n v="0.42500000000000004"/>
    <x v="0"/>
    <s v="R 8"/>
    <n v="51850"/>
    <n v="57950"/>
    <n v="6100"/>
    <n v="2592.5000000000005"/>
    <n v="54442.5"/>
    <n v="17966.025000000001"/>
    <n v="58942.5"/>
    <n v="61942.5"/>
    <n v="8710800"/>
    <n v="9430800"/>
    <n v="9910800"/>
    <n v="0"/>
    <n v="740418"/>
    <n v="2"/>
    <n v="244000"/>
    <n v="244000"/>
    <n v="8954800"/>
  </r>
  <r>
    <m/>
    <s v="D"/>
    <x v="33"/>
    <x v="0"/>
    <n v="3"/>
    <n v="1"/>
    <x v="674"/>
    <s v="3 BEDROOM"/>
    <x v="2"/>
    <n v="127.45"/>
    <n v="138.39583375038532"/>
    <n v="155"/>
    <m/>
    <m/>
    <s v="SE"/>
    <s v="MIDDLE"/>
    <s v="ROAD 18M (VILLAS)"/>
    <s v="THIRD"/>
    <s v="C"/>
    <n v="0.08"/>
    <n v="2.5000000000000001E-2"/>
    <n v="0.16"/>
    <n v="0.15"/>
    <n v="3.5000000000000003E-2"/>
    <n v="0.45000000000000007"/>
    <x v="0"/>
    <s v="R 9"/>
    <n v="53550"/>
    <n v="59850"/>
    <n v="6300"/>
    <n v="2835.0000000000005"/>
    <n v="56385"/>
    <n v="18607.05"/>
    <n v="60885"/>
    <n v="63885"/>
    <n v="8739675"/>
    <n v="9437175"/>
    <n v="9902175"/>
    <n v="0"/>
    <n v="742872.375"/>
    <n v="2"/>
    <n v="252000"/>
    <n v="252000"/>
    <n v="8991675"/>
  </r>
  <r>
    <m/>
    <s v="D"/>
    <x v="33"/>
    <x v="0"/>
    <n v="3"/>
    <n v="2"/>
    <x v="675"/>
    <s v="3 BEDROOM"/>
    <x v="2"/>
    <n v="126.97"/>
    <n v="137.87460973939918"/>
    <n v="155"/>
    <m/>
    <m/>
    <s v="NW"/>
    <s v="MIDDLE"/>
    <s v="LAKE D"/>
    <s v="THIRD"/>
    <s v="C"/>
    <n v="0.13"/>
    <n v="2.5000000000000001E-2"/>
    <n v="0.43"/>
    <n v="0.15"/>
    <n v="3.5000000000000003E-2"/>
    <n v="0.77"/>
    <x v="2"/>
    <s v="R 3"/>
    <n v="44625"/>
    <n v="49875"/>
    <n v="5250"/>
    <n v="4042.5"/>
    <n v="48667.5"/>
    <n v="16060.275000000001"/>
    <n v="53167.5"/>
    <n v="56167.5"/>
    <n v="7543462.5"/>
    <n v="8240962.5"/>
    <n v="8705962.5"/>
    <n v="0"/>
    <n v="641194.3125"/>
    <n v="2"/>
    <n v="210000"/>
    <n v="210000"/>
    <n v="7753462.5"/>
  </r>
  <r>
    <m/>
    <s v="D"/>
    <x v="33"/>
    <x v="0"/>
    <n v="3"/>
    <n v="3"/>
    <x v="676"/>
    <s v="3 BEDROOM"/>
    <x v="2"/>
    <n v="131.43"/>
    <n v="142.71764950814548"/>
    <n v="160"/>
    <m/>
    <m/>
    <s v="NW"/>
    <s v="CORNER "/>
    <s v="LAKE D"/>
    <s v="THIRD"/>
    <s v="D"/>
    <n v="0.13"/>
    <n v="0.05"/>
    <n v="0.43"/>
    <n v="0.15"/>
    <n v="2.5000000000000001E-2"/>
    <n v="0.78500000000000003"/>
    <x v="2"/>
    <s v="R 5"/>
    <n v="46750.000000000007"/>
    <n v="52250.000000000007"/>
    <n v="5500"/>
    <n v="4317.5"/>
    <n v="51067.500000000007"/>
    <n v="16852.275000000001"/>
    <n v="55567.500000000007"/>
    <n v="58567.500000000007"/>
    <n v="8170800.0000000009"/>
    <n v="8890800.0000000019"/>
    <n v="9370800.0000000019"/>
    <n v="0"/>
    <n v="694518.00000000012"/>
    <n v="2"/>
    <n v="220000.00000000003"/>
    <n v="220000.00000000003"/>
    <n v="8390800.0000000019"/>
  </r>
  <r>
    <m/>
    <s v="D"/>
    <x v="33"/>
    <x v="0"/>
    <n v="3"/>
    <n v="4"/>
    <x v="677"/>
    <s v="3 BEDROOM"/>
    <x v="2"/>
    <n v="131.88"/>
    <n v="143.20629701844501"/>
    <n v="161"/>
    <m/>
    <m/>
    <s v="SE"/>
    <s v="CORNER "/>
    <s v="ROAD 18M (VILLAS)"/>
    <s v="THIRD"/>
    <s v="D"/>
    <n v="0.08"/>
    <n v="0.05"/>
    <n v="0.16"/>
    <n v="0.15"/>
    <n v="2.5000000000000001E-2"/>
    <n v="0.46500000000000008"/>
    <x v="0"/>
    <s v="R 11"/>
    <n v="58649.999999999993"/>
    <n v="65550"/>
    <n v="6900.0000000000073"/>
    <n v="3208.5000000000041"/>
    <n v="61858.5"/>
    <n v="20413.305"/>
    <n v="66358.5"/>
    <n v="69358.5"/>
    <n v="9959218.5"/>
    <n v="10683718.5"/>
    <n v="11166718.5"/>
    <n v="0"/>
    <n v="846533.57250000001"/>
    <n v="2"/>
    <n v="276000"/>
    <n v="276000"/>
    <n v="10235218.5"/>
  </r>
  <r>
    <m/>
    <s v="D"/>
    <x v="33"/>
    <x v="0"/>
    <n v="4"/>
    <n v="1"/>
    <x v="678"/>
    <s v="3 BEDROOM"/>
    <x v="2"/>
    <n v="125.13"/>
    <n v="135.87658436395225"/>
    <n v="153"/>
    <m/>
    <m/>
    <s v="SE"/>
    <s v="MIDDLE"/>
    <s v="ROAD 18M (VILLAS)"/>
    <s v="FORTH"/>
    <s v="C"/>
    <n v="0.08"/>
    <n v="2.5000000000000001E-2"/>
    <n v="0.16"/>
    <n v="0.06"/>
    <n v="3.5000000000000003E-2"/>
    <n v="0.36"/>
    <x v="0"/>
    <s v="R 1"/>
    <n v="42500"/>
    <n v="47500"/>
    <n v="5000"/>
    <n v="1800"/>
    <n v="44300"/>
    <n v="14619"/>
    <n v="48800"/>
    <n v="51800"/>
    <n v="6777900"/>
    <n v="7466400"/>
    <n v="7925400"/>
    <n v="0"/>
    <n v="576121.5"/>
    <n v="2"/>
    <n v="200000"/>
    <n v="200000"/>
    <n v="6977900"/>
  </r>
  <r>
    <m/>
    <s v="D"/>
    <x v="33"/>
    <x v="0"/>
    <n v="4"/>
    <n v="2"/>
    <x v="679"/>
    <s v="3 BEDROOM"/>
    <x v="2"/>
    <n v="127.19"/>
    <n v="138.11350407776783"/>
    <n v="155"/>
    <m/>
    <m/>
    <s v="NW"/>
    <s v="MIDDLE"/>
    <s v="LAKE D"/>
    <s v="FORTH"/>
    <s v="C"/>
    <n v="0.13"/>
    <n v="2.5000000000000001E-2"/>
    <n v="0.43"/>
    <n v="0.06"/>
    <n v="3.5000000000000003E-2"/>
    <n v="0.68"/>
    <x v="1"/>
    <s v="R 7"/>
    <n v="50150"/>
    <n v="56050"/>
    <n v="5900"/>
    <n v="4012.0000000000005"/>
    <n v="54162"/>
    <n v="17873.46"/>
    <n v="58662"/>
    <n v="61662"/>
    <n v="8395110"/>
    <n v="9092610"/>
    <n v="9557610"/>
    <n v="0"/>
    <n v="713584.35000000009"/>
    <n v="2"/>
    <n v="236000"/>
    <n v="236000"/>
    <n v="8631110"/>
  </r>
  <r>
    <m/>
    <s v="D"/>
    <x v="33"/>
    <x v="0"/>
    <n v="4"/>
    <n v="3"/>
    <x v="680"/>
    <s v="3 BEDROOM"/>
    <x v="2"/>
    <n v="131.38"/>
    <n v="142.66335534033442"/>
    <n v="160"/>
    <m/>
    <m/>
    <s v="NW"/>
    <s v="CORNER "/>
    <s v="LAKE D"/>
    <s v="FORTH"/>
    <s v="D"/>
    <n v="0.13"/>
    <n v="0.05"/>
    <n v="0.43"/>
    <n v="0.06"/>
    <n v="2.5000000000000001E-2"/>
    <n v="0.69499999999999995"/>
    <x v="1"/>
    <s v="R 8"/>
    <n v="51850"/>
    <n v="57950"/>
    <n v="6100"/>
    <n v="4239.5"/>
    <n v="56089.5"/>
    <n v="18509.535"/>
    <n v="60589.5"/>
    <n v="63589.5"/>
    <n v="8974320"/>
    <n v="9694320"/>
    <n v="10174320"/>
    <n v="0"/>
    <n v="762817.20000000007"/>
    <n v="2"/>
    <n v="244000"/>
    <n v="244000"/>
    <n v="9218320"/>
  </r>
  <r>
    <m/>
    <s v="D"/>
    <x v="33"/>
    <x v="0"/>
    <n v="4"/>
    <n v="4"/>
    <x v="681"/>
    <s v="3 BEDROOM"/>
    <x v="2"/>
    <n v="129.58000000000001"/>
    <n v="140.70876529913639"/>
    <n v="158"/>
    <m/>
    <m/>
    <s v="SE"/>
    <s v="CORNER "/>
    <s v="ROAD 18M (VILLAS)"/>
    <s v="FORTH"/>
    <s v="C"/>
    <n v="0.08"/>
    <n v="0.05"/>
    <n v="0.16"/>
    <n v="0.06"/>
    <n v="3.5000000000000003E-2"/>
    <n v="0.38500000000000001"/>
    <x v="0"/>
    <s v="R 4"/>
    <n v="45687.5"/>
    <n v="51062.5"/>
    <n v="5375"/>
    <n v="2069.375"/>
    <n v="47756.875"/>
    <n v="15759.768750000001"/>
    <n v="52256.875"/>
    <n v="55256.875"/>
    <n v="7545586.25"/>
    <n v="8256586.25"/>
    <n v="8730586.25"/>
    <n v="0"/>
    <n v="641374.83125000005"/>
    <n v="2"/>
    <n v="215000"/>
    <n v="215000"/>
    <n v="7760586.25"/>
  </r>
  <r>
    <s v="C3"/>
    <s v="D"/>
    <x v="34"/>
    <x v="0"/>
    <n v="0"/>
    <n v="1"/>
    <x v="682"/>
    <s v="3 BEDROOM"/>
    <x v="2"/>
    <n v="131.32"/>
    <n v="142.66718842094684"/>
    <n v="160"/>
    <n v="81.665000000000006"/>
    <m/>
    <s v="SE"/>
    <s v="MIDDLE"/>
    <s v="ROAD 18M (VILLAS)"/>
    <s v="GROUND"/>
    <s v="D"/>
    <n v="0.08"/>
    <n v="2.5000000000000001E-2"/>
    <n v="0.16"/>
    <n v="0.05"/>
    <n v="2.5000000000000001E-2"/>
    <n v="0.34"/>
    <x v="0"/>
    <s v="R 1"/>
    <n v="42500"/>
    <n v="47500"/>
    <n v="5000"/>
    <n v="1700.0000000000002"/>
    <n v="44200"/>
    <n v="14586"/>
    <n v="48700"/>
    <n v="51700"/>
    <n v="7072000"/>
    <n v="7792000"/>
    <n v="8272000"/>
    <n v="1191165.6900000002"/>
    <n v="702369.08365000004"/>
    <n v="2"/>
    <n v="200000"/>
    <n v="200000"/>
    <n v="8463165.6899999995"/>
  </r>
  <r>
    <m/>
    <s v="D"/>
    <x v="34"/>
    <x v="0"/>
    <n v="0"/>
    <n v="2"/>
    <x v="683"/>
    <s v="3 BEDROOM + LIVING (DUPLEX)"/>
    <x v="2"/>
    <n v="128.28"/>
    <n v="139.36450602070562"/>
    <n v="309"/>
    <n v="86.075999999999993"/>
    <m/>
    <s v="NW"/>
    <s v="MIDDLE"/>
    <s v="LAKE D"/>
    <s v="GROUND"/>
    <s v="F"/>
    <n v="0.13"/>
    <n v="2.5000000000000001E-2"/>
    <n v="0.43"/>
    <n v="0.05"/>
    <n v="0"/>
    <n v="0.63500000000000001"/>
    <x v="1"/>
    <s v="R 4"/>
    <n v="45687.5"/>
    <n v="51062.5"/>
    <n v="5375"/>
    <n v="3413.125"/>
    <n v="49100.625"/>
    <n v="16203.206250000001"/>
    <n v="53600.625"/>
    <n v="56600.625"/>
    <n v="15172093.125"/>
    <n v="16562593.125"/>
    <n v="17489593.125"/>
    <n v="1394707.181175"/>
    <n v="1408178.0260248752"/>
    <n v="2"/>
    <n v="215000"/>
    <n v="215000"/>
    <n v="16781800.306175001"/>
  </r>
  <r>
    <m/>
    <s v="D"/>
    <x v="34"/>
    <x v="0"/>
    <n v="0"/>
    <n v="3"/>
    <x v="684"/>
    <s v="3 BEDROOM + LIVING (DUPLEX)"/>
    <x v="2"/>
    <n v="125.03"/>
    <n v="135.83367779676351"/>
    <n v="301"/>
    <n v="85.509600000000006"/>
    <m/>
    <s v="NW"/>
    <s v="MIDDLE"/>
    <s v="LAKE D"/>
    <s v="GROUND"/>
    <s v="F"/>
    <n v="0.13"/>
    <n v="2.5000000000000001E-2"/>
    <n v="0.43"/>
    <n v="0.05"/>
    <n v="0"/>
    <n v="0.63500000000000001"/>
    <x v="1"/>
    <s v="R 4"/>
    <n v="45687.5"/>
    <n v="51062.5"/>
    <n v="5375"/>
    <n v="3413.125"/>
    <n v="49100.625"/>
    <n v="16203.206250000001"/>
    <n v="53600.625"/>
    <n v="56600.625"/>
    <n v="14779288.125"/>
    <n v="16133788.125"/>
    <n v="17036788.125"/>
    <n v="1385529.6851550003"/>
    <n v="1374009.5138631752"/>
    <n v="2"/>
    <n v="215000"/>
    <n v="215000"/>
    <n v="16379817.810155001"/>
  </r>
  <r>
    <m/>
    <s v="D"/>
    <x v="34"/>
    <x v="0"/>
    <n v="0"/>
    <n v="4"/>
    <x v="685"/>
    <s v="2 BEDROOM"/>
    <x v="2"/>
    <n v="87.23"/>
    <n v="94.767429530606108"/>
    <n v="106"/>
    <n v="66.653899999999993"/>
    <m/>
    <s v="SE"/>
    <s v="MIDDLE"/>
    <s v="ROAD 18M (VILLAS)"/>
    <s v="GROUND"/>
    <s v="B"/>
    <n v="0.08"/>
    <n v="2.5000000000000001E-2"/>
    <n v="0.16"/>
    <n v="0.05"/>
    <n v="0.04"/>
    <n v="0.35499999999999998"/>
    <x v="0"/>
    <s v="R 1"/>
    <n v="42500"/>
    <n v="47500"/>
    <n v="5000"/>
    <n v="1775"/>
    <n v="44275"/>
    <n v="14610.75"/>
    <n v="48775"/>
    <n v="51775"/>
    <n v="4693150"/>
    <n v="5170150"/>
    <n v="5488150"/>
    <n v="973863.4694249999"/>
    <n v="481696.14490112505"/>
    <n v="1"/>
    <n v="200000"/>
    <n v="200000"/>
    <n v="5867013.4694250003"/>
  </r>
  <r>
    <m/>
    <s v="D"/>
    <x v="34"/>
    <x v="0"/>
    <n v="1"/>
    <n v="1"/>
    <x v="686"/>
    <s v="3 BEDROOM"/>
    <x v="2"/>
    <n v="132.94"/>
    <n v="144.42717048949646"/>
    <n v="162"/>
    <m/>
    <m/>
    <s v="SE"/>
    <s v="MIDDLE"/>
    <s v="ROAD 18M (VILLAS)"/>
    <s v="FIRST"/>
    <s v="D"/>
    <n v="0.08"/>
    <n v="2.5000000000000001E-2"/>
    <n v="0.16"/>
    <n v="7.0000000000000007E-2"/>
    <n v="2.5000000000000001E-2"/>
    <n v="0.36000000000000004"/>
    <x v="0"/>
    <s v="R 2"/>
    <n v="43562.499999999993"/>
    <n v="48687.499999999993"/>
    <n v="5125"/>
    <n v="1845.0000000000002"/>
    <n v="45407.499999999993"/>
    <n v="14984.474999999999"/>
    <n v="49907.499999999993"/>
    <n v="52907.499999999993"/>
    <n v="7356014.9999999991"/>
    <n v="8085014.9999999991"/>
    <n v="8571014.9999999981"/>
    <n v="0"/>
    <n v="625261.27500000002"/>
    <n v="2"/>
    <n v="204999.99999999997"/>
    <n v="204999.99999999997"/>
    <n v="7561014.9999999991"/>
  </r>
  <r>
    <m/>
    <s v="D"/>
    <x v="34"/>
    <x v="0"/>
    <n v="1"/>
    <n v="4"/>
    <x v="687"/>
    <s v="2 BEDROOM"/>
    <x v="2"/>
    <n v="88.87"/>
    <n v="96.549139772841514"/>
    <n v="108"/>
    <m/>
    <m/>
    <s v="SE"/>
    <s v="MIDDLE"/>
    <s v="ROAD 18M (VILLAS)"/>
    <s v="FIRST"/>
    <s v="B"/>
    <n v="0.08"/>
    <n v="2.5000000000000001E-2"/>
    <n v="0.16"/>
    <n v="7.0000000000000007E-2"/>
    <n v="0.04"/>
    <n v="0.375"/>
    <x v="0"/>
    <s v="R 3"/>
    <n v="44625"/>
    <n v="49875"/>
    <n v="5250"/>
    <n v="1968.75"/>
    <n v="46593.75"/>
    <n v="15375.9375"/>
    <n v="51093.75"/>
    <n v="54093.75"/>
    <n v="5032125"/>
    <n v="5518125"/>
    <n v="5842125"/>
    <n v="0"/>
    <n v="427730.62500000006"/>
    <n v="1"/>
    <n v="210000"/>
    <n v="210000"/>
    <n v="5242125"/>
  </r>
  <r>
    <m/>
    <s v="D"/>
    <x v="34"/>
    <x v="0"/>
    <n v="2"/>
    <n v="1"/>
    <x v="688"/>
    <s v="3 BEDROOM"/>
    <x v="2"/>
    <n v="131.41999999999999"/>
    <n v="142.77582928937582"/>
    <n v="160"/>
    <m/>
    <m/>
    <s v="SE"/>
    <s v="MIDDLE"/>
    <s v="ROAD 18M (VILLAS)"/>
    <s v="SECOND"/>
    <s v="D"/>
    <n v="0.08"/>
    <n v="2.5000000000000001E-2"/>
    <n v="0.16"/>
    <n v="0.11"/>
    <n v="2.5000000000000001E-2"/>
    <n v="0.4"/>
    <x v="0"/>
    <s v="R 5"/>
    <n v="46750.000000000007"/>
    <n v="52250.000000000007"/>
    <n v="5500"/>
    <n v="2200"/>
    <n v="48950.000000000007"/>
    <n v="16153.500000000004"/>
    <n v="53450.000000000007"/>
    <n v="56450.000000000007"/>
    <n v="7832000.0000000009"/>
    <n v="8552000.0000000019"/>
    <n v="9032000.0000000019"/>
    <n v="0"/>
    <n v="665720.00000000012"/>
    <n v="2"/>
    <n v="220000.00000000003"/>
    <n v="220000.00000000003"/>
    <n v="8052000.0000000009"/>
  </r>
  <r>
    <m/>
    <s v="D"/>
    <x v="34"/>
    <x v="0"/>
    <n v="2"/>
    <n v="2"/>
    <x v="689"/>
    <s v="3 BEDROOM"/>
    <x v="2"/>
    <n v="131.03"/>
    <n v="142.35212990250278"/>
    <n v="160"/>
    <m/>
    <m/>
    <s v="NW"/>
    <s v="MIDDLE"/>
    <s v="LAKE D"/>
    <s v="SECOND"/>
    <s v="D"/>
    <n v="0.13"/>
    <n v="2.5000000000000001E-2"/>
    <n v="0.43"/>
    <n v="0.11"/>
    <n v="2.5000000000000001E-2"/>
    <n v="0.72"/>
    <x v="1"/>
    <s v="R 1"/>
    <n v="42500"/>
    <n v="47500"/>
    <n v="5000"/>
    <n v="3600"/>
    <n v="46100"/>
    <n v="15213"/>
    <n v="50600"/>
    <n v="53600"/>
    <n v="7376000"/>
    <n v="8096000"/>
    <n v="8576000"/>
    <n v="0"/>
    <n v="626960"/>
    <n v="2"/>
    <n v="200000"/>
    <n v="200000"/>
    <n v="7576000"/>
  </r>
  <r>
    <m/>
    <s v="D"/>
    <x v="34"/>
    <x v="0"/>
    <n v="2"/>
    <n v="3"/>
    <x v="690"/>
    <s v="3 BEDROOM"/>
    <x v="2"/>
    <n v="126.89"/>
    <n v="137.85439794954269"/>
    <n v="155"/>
    <m/>
    <m/>
    <s v="NW"/>
    <s v="MIDDLE"/>
    <s v="LAKE D"/>
    <s v="SECOND"/>
    <s v="C"/>
    <n v="0.13"/>
    <n v="2.5000000000000001E-2"/>
    <n v="0.43"/>
    <n v="0.11"/>
    <n v="3.5000000000000003E-2"/>
    <n v="0.73"/>
    <x v="2"/>
    <s v="R 1"/>
    <n v="42500"/>
    <n v="47500"/>
    <n v="5000"/>
    <n v="3650"/>
    <n v="46150"/>
    <n v="15229.5"/>
    <n v="50650"/>
    <n v="53650"/>
    <n v="7153250"/>
    <n v="7850750"/>
    <n v="8315750"/>
    <n v="0"/>
    <n v="608026.25"/>
    <n v="2"/>
    <n v="200000"/>
    <n v="200000"/>
    <n v="7353250"/>
  </r>
  <r>
    <m/>
    <s v="D"/>
    <x v="34"/>
    <x v="0"/>
    <n v="2"/>
    <n v="4"/>
    <x v="691"/>
    <s v="3 BEDROOM"/>
    <x v="2"/>
    <n v="126.99"/>
    <n v="137.96303881797166"/>
    <n v="155"/>
    <m/>
    <m/>
    <s v="SE"/>
    <s v="MIDDLE"/>
    <s v="ROAD 18M (VILLAS)"/>
    <s v="SECOND"/>
    <s v="C"/>
    <n v="0.08"/>
    <n v="2.5000000000000001E-2"/>
    <n v="0.16"/>
    <n v="0.11"/>
    <n v="3.5000000000000003E-2"/>
    <n v="0.41000000000000003"/>
    <x v="0"/>
    <s v="R 6"/>
    <n v="48450.000000000007"/>
    <n v="54150.000000000007"/>
    <n v="5700"/>
    <n v="2337"/>
    <n v="50787.000000000007"/>
    <n v="16759.710000000003"/>
    <n v="55287.000000000007"/>
    <n v="58287.000000000007"/>
    <n v="7871985.0000000009"/>
    <n v="8569485.0000000019"/>
    <n v="9034485.0000000019"/>
    <n v="0"/>
    <n v="669118.72500000009"/>
    <n v="2"/>
    <n v="228000.00000000003"/>
    <n v="228000.00000000003"/>
    <n v="8099985.0000000009"/>
  </r>
  <r>
    <m/>
    <s v="D"/>
    <x v="34"/>
    <x v="0"/>
    <n v="3"/>
    <n v="1"/>
    <x v="692"/>
    <s v="3 BEDROOM"/>
    <x v="2"/>
    <n v="131.88"/>
    <n v="143.27557728414919"/>
    <n v="161"/>
    <m/>
    <m/>
    <s v="SE"/>
    <s v="MIDDLE"/>
    <s v="ROAD 18M (VILLAS)"/>
    <s v="THIRD"/>
    <s v="D"/>
    <n v="0.08"/>
    <n v="2.5000000000000001E-2"/>
    <n v="0.16"/>
    <n v="0.15"/>
    <n v="2.5000000000000001E-2"/>
    <n v="0.44000000000000006"/>
    <x v="0"/>
    <s v="R 9"/>
    <n v="53550"/>
    <n v="59850"/>
    <n v="6300"/>
    <n v="2772.0000000000005"/>
    <n v="56322"/>
    <n v="18586.260000000002"/>
    <n v="60822"/>
    <n v="63822"/>
    <n v="9067842"/>
    <n v="9792342"/>
    <n v="10275342"/>
    <n v="0"/>
    <n v="770766.57000000007"/>
    <n v="2"/>
    <n v="252000"/>
    <n v="252000"/>
    <n v="9319842"/>
  </r>
  <r>
    <m/>
    <s v="D"/>
    <x v="34"/>
    <x v="0"/>
    <n v="3"/>
    <n v="2"/>
    <x v="693"/>
    <s v="3 BEDROOM"/>
    <x v="2"/>
    <n v="131.02000000000001"/>
    <n v="142.34126581565991"/>
    <n v="160"/>
    <m/>
    <m/>
    <s v="NW"/>
    <s v="MIDDLE"/>
    <s v="LAKE D"/>
    <s v="THIRD"/>
    <s v="D"/>
    <n v="0.13"/>
    <n v="2.5000000000000001E-2"/>
    <n v="0.43"/>
    <n v="0.15"/>
    <n v="2.5000000000000001E-2"/>
    <n v="0.76"/>
    <x v="2"/>
    <s v="R 3"/>
    <n v="44625"/>
    <n v="49875"/>
    <n v="5250"/>
    <n v="3990"/>
    <n v="48615"/>
    <n v="16042.95"/>
    <n v="53115"/>
    <n v="56115"/>
    <n v="7778400"/>
    <n v="8498400"/>
    <n v="8978400"/>
    <n v="0"/>
    <n v="661164"/>
    <n v="2"/>
    <n v="210000"/>
    <n v="210000"/>
    <n v="7988400"/>
  </r>
  <r>
    <m/>
    <s v="D"/>
    <x v="34"/>
    <x v="0"/>
    <n v="3"/>
    <n v="3"/>
    <x v="694"/>
    <s v="3 BEDROOM"/>
    <x v="2"/>
    <n v="126.87"/>
    <n v="137.83266977585691"/>
    <n v="155"/>
    <m/>
    <m/>
    <s v="NW"/>
    <s v="MIDDLE"/>
    <s v="LAKE D"/>
    <s v="THIRD"/>
    <s v="C"/>
    <n v="0.13"/>
    <n v="2.5000000000000001E-2"/>
    <n v="0.43"/>
    <n v="0.15"/>
    <n v="3.5000000000000003E-2"/>
    <n v="0.77"/>
    <x v="2"/>
    <s v="R 3"/>
    <n v="44625"/>
    <n v="49875"/>
    <n v="5250"/>
    <n v="4042.5"/>
    <n v="48667.5"/>
    <n v="16060.275000000001"/>
    <n v="53167.5"/>
    <n v="56167.5"/>
    <n v="7543462.5"/>
    <n v="8240962.5"/>
    <n v="8705962.5"/>
    <n v="0"/>
    <n v="641194.3125"/>
    <n v="2"/>
    <n v="210000"/>
    <n v="210000"/>
    <n v="7753462.5"/>
  </r>
  <r>
    <m/>
    <s v="D"/>
    <x v="34"/>
    <x v="0"/>
    <n v="3"/>
    <n v="4"/>
    <x v="695"/>
    <s v="3 BEDROOM"/>
    <x v="2"/>
    <n v="127.41"/>
    <n v="138.41933046537343"/>
    <n v="155"/>
    <m/>
    <m/>
    <s v="SE"/>
    <s v="MIDDLE"/>
    <s v="ROAD 18M (VILLAS)"/>
    <s v="THIRD"/>
    <s v="C"/>
    <n v="0.08"/>
    <n v="2.5000000000000001E-2"/>
    <n v="0.16"/>
    <n v="0.15"/>
    <n v="3.5000000000000003E-2"/>
    <n v="0.45000000000000007"/>
    <x v="0"/>
    <s v="R 9"/>
    <n v="53550"/>
    <n v="59850"/>
    <n v="6300"/>
    <n v="2835.0000000000005"/>
    <n v="56385"/>
    <n v="18607.05"/>
    <n v="60885"/>
    <n v="63885"/>
    <n v="8739675"/>
    <n v="9437175"/>
    <n v="9902175"/>
    <n v="0"/>
    <n v="742872.375"/>
    <n v="2"/>
    <n v="252000"/>
    <n v="252000"/>
    <n v="8991675"/>
  </r>
  <r>
    <m/>
    <s v="D"/>
    <x v="34"/>
    <x v="0"/>
    <n v="4"/>
    <n v="1"/>
    <x v="696"/>
    <s v="3 BEDROOM"/>
    <x v="2"/>
    <n v="129.59"/>
    <n v="140.78770139712537"/>
    <n v="158"/>
    <m/>
    <m/>
    <s v="SE"/>
    <s v="MIDDLE"/>
    <s v="ROAD 18M (VILLAS)"/>
    <s v="FORTH"/>
    <s v="C"/>
    <n v="0.08"/>
    <n v="2.5000000000000001E-2"/>
    <n v="0.16"/>
    <n v="0.06"/>
    <n v="3.5000000000000003E-2"/>
    <n v="0.36"/>
    <x v="0"/>
    <s v="R 2"/>
    <n v="43562.499999999993"/>
    <n v="48687.499999999993"/>
    <n v="5125"/>
    <n v="1845"/>
    <n v="45407.499999999993"/>
    <n v="14984.474999999999"/>
    <n v="49907.499999999993"/>
    <n v="52907.499999999993"/>
    <n v="7174384.9999999991"/>
    <n v="7885384.9999999991"/>
    <n v="8359384.9999999991"/>
    <n v="0"/>
    <n v="609822.72499999998"/>
    <n v="2"/>
    <n v="204999.99999999997"/>
    <n v="204999.99999999997"/>
    <n v="7379384.9999999991"/>
  </r>
  <r>
    <m/>
    <s v="D"/>
    <x v="34"/>
    <x v="0"/>
    <n v="4"/>
    <n v="2"/>
    <x v="697"/>
    <s v="3 BEDROOM"/>
    <x v="2"/>
    <n v="131.72"/>
    <n v="143.10175189466281"/>
    <n v="161"/>
    <m/>
    <m/>
    <s v="NW"/>
    <s v="MIDDLE"/>
    <s v="LAKE D"/>
    <s v="FORTH"/>
    <s v="D"/>
    <n v="0.13"/>
    <n v="2.5000000000000001E-2"/>
    <n v="0.43"/>
    <n v="0.06"/>
    <n v="2.5000000000000001E-2"/>
    <n v="0.67"/>
    <x v="1"/>
    <s v="R 6"/>
    <n v="48450.000000000007"/>
    <n v="54150.000000000007"/>
    <n v="5700"/>
    <n v="3819.0000000000005"/>
    <n v="52269.000000000007"/>
    <n v="17248.770000000004"/>
    <n v="56769.000000000007"/>
    <n v="59769.000000000007"/>
    <n v="8415309.0000000019"/>
    <n v="9139809.0000000019"/>
    <n v="9622809.0000000019"/>
    <n v="0"/>
    <n v="715301.26500000025"/>
    <n v="2"/>
    <n v="228000.00000000003"/>
    <n v="228000.00000000003"/>
    <n v="8643309.0000000019"/>
  </r>
  <r>
    <m/>
    <s v="D"/>
    <x v="34"/>
    <x v="0"/>
    <n v="4"/>
    <n v="3"/>
    <x v="698"/>
    <s v="3 BEDROOM"/>
    <x v="2"/>
    <n v="127.12"/>
    <n v="138.10427194692937"/>
    <n v="155"/>
    <m/>
    <m/>
    <s v="NW"/>
    <s v="MIDDLE"/>
    <s v="LAKE D"/>
    <s v="FORTH"/>
    <s v="C"/>
    <n v="0.13"/>
    <n v="2.5000000000000001E-2"/>
    <n v="0.43"/>
    <n v="0.06"/>
    <n v="3.5000000000000003E-2"/>
    <n v="0.68"/>
    <x v="1"/>
    <s v="R 7"/>
    <n v="50150"/>
    <n v="56050"/>
    <n v="5900"/>
    <n v="4012.0000000000005"/>
    <n v="54162"/>
    <n v="17873.46"/>
    <n v="58662"/>
    <n v="61662"/>
    <n v="8395110"/>
    <n v="9092610"/>
    <n v="9557610"/>
    <n v="0"/>
    <n v="713584.35000000009"/>
    <n v="2"/>
    <n v="236000"/>
    <n v="236000"/>
    <n v="8631110"/>
  </r>
  <r>
    <m/>
    <s v="D"/>
    <x v="34"/>
    <x v="0"/>
    <n v="4"/>
    <n v="4"/>
    <x v="699"/>
    <s v="3 BEDROOM"/>
    <x v="2"/>
    <n v="125.12"/>
    <n v="135.93145457834962"/>
    <n v="153"/>
    <m/>
    <m/>
    <s v="SE"/>
    <s v="MIDDLE"/>
    <s v="ROAD 18M (VILLAS)"/>
    <s v="FORTH"/>
    <s v="C"/>
    <n v="0.08"/>
    <n v="2.5000000000000001E-2"/>
    <n v="0.16"/>
    <n v="0.06"/>
    <n v="3.5000000000000003E-2"/>
    <n v="0.36"/>
    <x v="0"/>
    <s v="R 2"/>
    <n v="43562.499999999993"/>
    <n v="48687.499999999993"/>
    <n v="5125"/>
    <n v="1845"/>
    <n v="45407.499999999993"/>
    <n v="14984.474999999999"/>
    <n v="49907.499999999993"/>
    <n v="52907.499999999993"/>
    <n v="6947347.4999999991"/>
    <n v="7635847.4999999991"/>
    <n v="8094847.4999999991"/>
    <n v="0"/>
    <n v="590524.53749999998"/>
    <n v="2"/>
    <n v="204999.99999999997"/>
    <n v="204999.99999999997"/>
    <n v="7152347.4999999991"/>
  </r>
  <r>
    <s v="C3"/>
    <s v="D"/>
    <x v="35"/>
    <x v="0"/>
    <n v="0"/>
    <n v="1"/>
    <x v="700"/>
    <s v="3 BEDROOM"/>
    <x v="2"/>
    <n v="131.34"/>
    <n v="142.61992000608555"/>
    <n v="160"/>
    <n v="66.235699999999994"/>
    <m/>
    <s v="SE"/>
    <s v="CORNER "/>
    <s v="ROAD 18M (VILLAS)"/>
    <s v="GROUND"/>
    <s v="D"/>
    <n v="0.08"/>
    <n v="0.05"/>
    <n v="0.16"/>
    <n v="0.05"/>
    <n v="2.5000000000000001E-2"/>
    <n v="0.36500000000000005"/>
    <x v="0"/>
    <s v="R 2"/>
    <n v="43562.499999999993"/>
    <n v="48687.499999999993"/>
    <n v="5125"/>
    <n v="1870.6250000000002"/>
    <n v="45433.124999999993"/>
    <n v="14992.931249999998"/>
    <n v="49933.124999999993"/>
    <n v="52933.124999999993"/>
    <n v="7269299.9999999991"/>
    <n v="7989299.9999999991"/>
    <n v="8469299.9999999981"/>
    <n v="993067.29639562475"/>
    <n v="702301.22019362811"/>
    <n v="2"/>
    <n v="204999.99999999997"/>
    <n v="204999.99999999997"/>
    <n v="8467367.2963956241"/>
  </r>
  <r>
    <m/>
    <s v="D"/>
    <x v="35"/>
    <x v="0"/>
    <n v="0"/>
    <n v="2"/>
    <x v="701"/>
    <s v="3 BEDROOM"/>
    <x v="2"/>
    <n v="129.57"/>
    <n v="140.69790646557411"/>
    <n v="158"/>
    <n v="84.036199999999994"/>
    <m/>
    <s v="NW"/>
    <s v="CORNER "/>
    <s v="LAKE D"/>
    <s v="GROUND"/>
    <s v="C"/>
    <n v="0.13"/>
    <n v="0.05"/>
    <n v="0.43"/>
    <n v="0.05"/>
    <n v="3.5000000000000003E-2"/>
    <n v="0.69500000000000006"/>
    <x v="1"/>
    <s v="R 8"/>
    <n v="51850"/>
    <n v="57950"/>
    <n v="6100"/>
    <n v="4239.5"/>
    <n v="56089.5"/>
    <n v="18509.535"/>
    <n v="60589.5"/>
    <n v="63589.5"/>
    <n v="8862141"/>
    <n v="9573141"/>
    <n v="10047141"/>
    <n v="1555470.985167"/>
    <n v="885497.01873919507"/>
    <n v="2"/>
    <n v="244000"/>
    <n v="244000"/>
    <n v="10661611.985167"/>
  </r>
  <r>
    <m/>
    <s v="D"/>
    <x v="35"/>
    <x v="0"/>
    <n v="0"/>
    <n v="3"/>
    <x v="702"/>
    <s v="3 BEDROOM"/>
    <x v="2"/>
    <n v="125.09"/>
    <n v="135.83314902970338"/>
    <n v="153"/>
    <n v="85.562899999999999"/>
    <m/>
    <s v="NW"/>
    <s v="MIDDLE"/>
    <s v="LAKE D"/>
    <s v="GROUND"/>
    <s v="C"/>
    <n v="0.13"/>
    <n v="2.5000000000000001E-2"/>
    <n v="0.43"/>
    <n v="0.05"/>
    <n v="3.5000000000000003E-2"/>
    <n v="0.67"/>
    <x v="1"/>
    <s v="R 6"/>
    <n v="48450.000000000007"/>
    <n v="54150.000000000007"/>
    <n v="5700"/>
    <n v="3819.0000000000005"/>
    <n v="52269.000000000007"/>
    <n v="17248.770000000004"/>
    <n v="56769.000000000007"/>
    <n v="59769.000000000007"/>
    <n v="7997157.0000000009"/>
    <n v="8685657.0000000019"/>
    <n v="9144657.0000000019"/>
    <n v="1475854.7826330003"/>
    <n v="805206.00152380508"/>
    <n v="2"/>
    <n v="228000.00000000003"/>
    <n v="228000.00000000003"/>
    <n v="9701011.782633001"/>
  </r>
  <r>
    <m/>
    <s v="D"/>
    <x v="35"/>
    <x v="0"/>
    <n v="0"/>
    <n v="4"/>
    <x v="703"/>
    <s v="2 BEDROOM"/>
    <x v="2"/>
    <n v="87.23"/>
    <n v="94.721605163170736"/>
    <n v="106"/>
    <n v="67.414699999999996"/>
    <m/>
    <s v="SE"/>
    <s v="MIDDLE"/>
    <s v="ROAD 18M (VILLAS)"/>
    <s v="GROUND"/>
    <s v="B"/>
    <n v="0.08"/>
    <n v="2.5000000000000001E-2"/>
    <n v="0.16"/>
    <n v="0.05"/>
    <n v="0.04"/>
    <n v="0.35499999999999998"/>
    <x v="0"/>
    <s v="R 1"/>
    <n v="42500"/>
    <n v="47500"/>
    <n v="5000"/>
    <n v="1775"/>
    <n v="44275"/>
    <n v="14610.75"/>
    <n v="48775"/>
    <n v="51775"/>
    <n v="4693150"/>
    <n v="5170150"/>
    <n v="5488150"/>
    <n v="984979.32802499994"/>
    <n v="482640.99288212502"/>
    <n v="1"/>
    <n v="200000"/>
    <n v="200000"/>
    <n v="5878129.3280250002"/>
  </r>
  <r>
    <m/>
    <s v="D"/>
    <x v="35"/>
    <x v="0"/>
    <n v="1"/>
    <n v="1"/>
    <x v="704"/>
    <s v="3 BEDROOM"/>
    <x v="2"/>
    <n v="129.04"/>
    <n v="140.1223882867769"/>
    <n v="157"/>
    <m/>
    <m/>
    <s v="SE"/>
    <s v="CORNER "/>
    <s v="ROAD 18M (VILLAS)"/>
    <s v="FIRST"/>
    <s v="C"/>
    <n v="0.08"/>
    <n v="0.05"/>
    <n v="0.16"/>
    <n v="7.0000000000000007E-2"/>
    <n v="3.5000000000000003E-2"/>
    <n v="0.39500000000000002"/>
    <x v="0"/>
    <s v="R 4"/>
    <n v="45687.5"/>
    <n v="51062.5"/>
    <n v="5375"/>
    <n v="2123.125"/>
    <n v="47810.625"/>
    <n v="15777.50625"/>
    <n v="52310.625"/>
    <n v="55310.625"/>
    <n v="7506268.125"/>
    <n v="8212768.125"/>
    <n v="8683768.125"/>
    <n v="0"/>
    <n v="638032.79062500002"/>
    <n v="2"/>
    <n v="215000"/>
    <n v="215000"/>
    <n v="7721268.125"/>
  </r>
  <r>
    <m/>
    <s v="D"/>
    <x v="35"/>
    <x v="0"/>
    <n v="1"/>
    <n v="2"/>
    <x v="705"/>
    <s v="3 BEDROOM"/>
    <x v="2"/>
    <n v="131.43"/>
    <n v="142.71764950814546"/>
    <n v="160"/>
    <m/>
    <m/>
    <s v="NW"/>
    <s v="CORNER "/>
    <s v="LAKE D"/>
    <s v="FIRST"/>
    <s v="D"/>
    <n v="0.13"/>
    <n v="0.05"/>
    <n v="0.43"/>
    <n v="7.0000000000000007E-2"/>
    <n v="2.5000000000000001E-2"/>
    <n v="0.70499999999999996"/>
    <x v="1"/>
    <s v="R 9"/>
    <n v="53550"/>
    <n v="59850"/>
    <n v="6300"/>
    <n v="4441.5"/>
    <n v="57991.5"/>
    <n v="19137.195"/>
    <n v="62491.5"/>
    <n v="65491.5"/>
    <n v="9278640"/>
    <n v="9998640"/>
    <n v="10478640"/>
    <n v="0"/>
    <n v="788684.4"/>
    <n v="2"/>
    <n v="252000"/>
    <n v="252000"/>
    <n v="9530640"/>
  </r>
  <r>
    <m/>
    <s v="D"/>
    <x v="35"/>
    <x v="0"/>
    <n v="1"/>
    <n v="3"/>
    <x v="706"/>
    <s v="3 BEDROOM"/>
    <x v="2"/>
    <n v="127.14"/>
    <n v="138.05920990995673"/>
    <n v="155"/>
    <m/>
    <m/>
    <s v="NW"/>
    <s v="MIDDLE"/>
    <s v="LAKE D"/>
    <s v="FIRST"/>
    <s v="C"/>
    <n v="0.13"/>
    <n v="2.5000000000000001E-2"/>
    <n v="0.43"/>
    <n v="7.0000000000000007E-2"/>
    <n v="3.5000000000000003E-2"/>
    <n v="0.69000000000000006"/>
    <x v="1"/>
    <s v="R 8"/>
    <n v="51850"/>
    <n v="57950"/>
    <n v="6100"/>
    <n v="4209"/>
    <n v="56059"/>
    <n v="18499.47"/>
    <n v="60559"/>
    <n v="63559"/>
    <n v="8689145"/>
    <n v="9386645"/>
    <n v="9851645"/>
    <n v="0"/>
    <n v="738577.32500000007"/>
    <n v="2"/>
    <n v="244000"/>
    <n v="244000"/>
    <n v="8933145"/>
  </r>
  <r>
    <m/>
    <s v="D"/>
    <x v="35"/>
    <x v="0"/>
    <n v="1"/>
    <n v="4"/>
    <x v="707"/>
    <s v="2 BEDROOM"/>
    <x v="2"/>
    <n v="88.87"/>
    <n v="96.502453867373418"/>
    <n v="108"/>
    <m/>
    <m/>
    <s v="SE"/>
    <s v="MIDDLE"/>
    <s v="ROAD 18M (VILLAS)"/>
    <s v="FIRST"/>
    <s v="B"/>
    <n v="0.08"/>
    <n v="2.5000000000000001E-2"/>
    <n v="0.16"/>
    <n v="7.0000000000000007E-2"/>
    <n v="0.04"/>
    <n v="0.375"/>
    <x v="0"/>
    <s v="R 3"/>
    <n v="44625"/>
    <n v="49875"/>
    <n v="5250"/>
    <n v="1968.75"/>
    <n v="46593.75"/>
    <n v="15375.9375"/>
    <n v="51093.75"/>
    <n v="54093.75"/>
    <n v="5032125"/>
    <n v="5518125"/>
    <n v="5842125"/>
    <n v="0"/>
    <n v="427730.62500000006"/>
    <n v="1"/>
    <n v="210000"/>
    <n v="210000"/>
    <n v="5242125"/>
  </r>
  <r>
    <m/>
    <s v="D"/>
    <x v="35"/>
    <x v="0"/>
    <n v="2"/>
    <n v="1"/>
    <x v="708"/>
    <s v="3 BEDROOM"/>
    <x v="2"/>
    <n v="131.43"/>
    <n v="142.71764950814546"/>
    <n v="160"/>
    <m/>
    <m/>
    <s v="SE"/>
    <s v="CORNER "/>
    <s v="ROAD 18M (VILLAS)"/>
    <s v="SECOND"/>
    <s v="D"/>
    <n v="0.08"/>
    <n v="0.05"/>
    <n v="0.16"/>
    <n v="0.11"/>
    <n v="2.5000000000000001E-2"/>
    <n v="0.42500000000000004"/>
    <x v="0"/>
    <s v="R 8"/>
    <n v="51850"/>
    <n v="57950"/>
    <n v="6100"/>
    <n v="2592.5000000000005"/>
    <n v="54442.5"/>
    <n v="17966.025000000001"/>
    <n v="58942.5"/>
    <n v="61942.5"/>
    <n v="8710800"/>
    <n v="9430800"/>
    <n v="9910800"/>
    <n v="0"/>
    <n v="740418"/>
    <n v="2"/>
    <n v="244000"/>
    <n v="244000"/>
    <n v="8954800"/>
  </r>
  <r>
    <m/>
    <s v="D"/>
    <x v="35"/>
    <x v="0"/>
    <n v="2"/>
    <n v="2"/>
    <x v="709"/>
    <s v="3 BEDROOM"/>
    <x v="2"/>
    <n v="131.44"/>
    <n v="142.72850834170768"/>
    <n v="160"/>
    <m/>
    <m/>
    <s v="NW"/>
    <s v="CORNER "/>
    <s v="LAKE D"/>
    <s v="SECOND"/>
    <s v="D"/>
    <n v="0.13"/>
    <n v="0.05"/>
    <n v="0.43"/>
    <n v="0.11"/>
    <n v="2.5000000000000001E-2"/>
    <n v="0.745"/>
    <x v="2"/>
    <s v="R 1"/>
    <n v="42500"/>
    <n v="47500"/>
    <n v="5000"/>
    <n v="3725"/>
    <n v="46225"/>
    <n v="15254.25"/>
    <n v="50725"/>
    <n v="53725"/>
    <n v="7396000"/>
    <n v="8116000"/>
    <n v="8596000"/>
    <n v="0"/>
    <n v="628660"/>
    <n v="2"/>
    <n v="200000"/>
    <n v="200000"/>
    <n v="7596000"/>
  </r>
  <r>
    <m/>
    <s v="D"/>
    <x v="35"/>
    <x v="0"/>
    <n v="2"/>
    <n v="3"/>
    <x v="710"/>
    <s v="3 BEDROOM"/>
    <x v="2"/>
    <n v="126.95"/>
    <n v="137.85289207227473"/>
    <n v="155"/>
    <m/>
    <m/>
    <s v="NW"/>
    <s v="MIDDLE"/>
    <s v="LAKE D"/>
    <s v="SECOND"/>
    <s v="C"/>
    <n v="0.13"/>
    <n v="2.5000000000000001E-2"/>
    <n v="0.43"/>
    <n v="0.11"/>
    <n v="3.5000000000000003E-2"/>
    <n v="0.73"/>
    <x v="2"/>
    <s v="R 1"/>
    <n v="42500"/>
    <n v="47500"/>
    <n v="5000"/>
    <n v="3650"/>
    <n v="46150"/>
    <n v="15229.5"/>
    <n v="50650"/>
    <n v="53650"/>
    <n v="7153250"/>
    <n v="7850750"/>
    <n v="8315750"/>
    <n v="0"/>
    <n v="608026.25"/>
    <n v="2"/>
    <n v="200000"/>
    <n v="200000"/>
    <n v="7353250"/>
  </r>
  <r>
    <m/>
    <s v="D"/>
    <x v="35"/>
    <x v="0"/>
    <n v="2"/>
    <n v="4"/>
    <x v="711"/>
    <s v="3 BEDROOM"/>
    <x v="2"/>
    <n v="127.15"/>
    <n v="138.07006874351896"/>
    <n v="155"/>
    <m/>
    <m/>
    <s v="SE"/>
    <s v="MIDDLE"/>
    <s v="ROAD 18M (VILLAS)"/>
    <s v="SECOND"/>
    <s v="C"/>
    <n v="0.08"/>
    <n v="2.5000000000000001E-2"/>
    <n v="0.16"/>
    <n v="0.11"/>
    <n v="3.5000000000000003E-2"/>
    <n v="0.41000000000000003"/>
    <x v="0"/>
    <s v="R 6"/>
    <n v="48450.000000000007"/>
    <n v="54150.000000000007"/>
    <n v="5700"/>
    <n v="2337"/>
    <n v="50787.000000000007"/>
    <n v="16759.710000000003"/>
    <n v="55287.000000000007"/>
    <n v="58287.000000000007"/>
    <n v="7871985.0000000009"/>
    <n v="8569485.0000000019"/>
    <n v="9034485.0000000019"/>
    <n v="0"/>
    <n v="669118.72500000009"/>
    <n v="2"/>
    <n v="228000.00000000003"/>
    <n v="228000.00000000003"/>
    <n v="8099985.0000000009"/>
  </r>
  <r>
    <m/>
    <s v="D"/>
    <x v="35"/>
    <x v="0"/>
    <n v="3"/>
    <n v="1"/>
    <x v="712"/>
    <s v="3 BEDROOM"/>
    <x v="2"/>
    <n v="131.88"/>
    <n v="143.20629701844499"/>
    <n v="161"/>
    <m/>
    <m/>
    <s v="SE"/>
    <s v="CORNER "/>
    <s v="ROAD 18M (VILLAS)"/>
    <s v="THIRD"/>
    <s v="D"/>
    <n v="0.08"/>
    <n v="0.05"/>
    <n v="0.16"/>
    <n v="0.15"/>
    <n v="2.5000000000000001E-2"/>
    <n v="0.46500000000000008"/>
    <x v="0"/>
    <s v="R 11"/>
    <n v="58649.999999999993"/>
    <n v="65550"/>
    <n v="6900.0000000000073"/>
    <n v="3208.5000000000041"/>
    <n v="61858.5"/>
    <n v="20413.305"/>
    <n v="66358.5"/>
    <n v="69358.5"/>
    <n v="9959218.5"/>
    <n v="10683718.5"/>
    <n v="11166718.5"/>
    <n v="0"/>
    <n v="846533.57250000001"/>
    <n v="2"/>
    <n v="276000"/>
    <n v="276000"/>
    <n v="10235218.5"/>
  </r>
  <r>
    <m/>
    <s v="D"/>
    <x v="35"/>
    <x v="0"/>
    <n v="3"/>
    <n v="2"/>
    <x v="713"/>
    <s v="3 BEDROOM"/>
    <x v="2"/>
    <n v="131.43"/>
    <n v="142.71764950814546"/>
    <n v="160"/>
    <m/>
    <m/>
    <s v="NW"/>
    <s v="CORNER "/>
    <s v="LAKE D"/>
    <s v="THIRD"/>
    <s v="D"/>
    <n v="0.13"/>
    <n v="0.05"/>
    <n v="0.43"/>
    <n v="0.15"/>
    <n v="2.5000000000000001E-2"/>
    <n v="0.78500000000000003"/>
    <x v="2"/>
    <s v="R 5"/>
    <n v="46750.000000000007"/>
    <n v="52250.000000000007"/>
    <n v="5500"/>
    <n v="4317.5"/>
    <n v="51067.500000000007"/>
    <n v="16852.275000000001"/>
    <n v="55567.500000000007"/>
    <n v="58567.500000000007"/>
    <n v="8170800.0000000009"/>
    <n v="8890800.0000000019"/>
    <n v="9370800.0000000019"/>
    <n v="0"/>
    <n v="694518.00000000012"/>
    <n v="2"/>
    <n v="220000.00000000003"/>
    <n v="220000.00000000003"/>
    <n v="8390800.0000000019"/>
  </r>
  <r>
    <m/>
    <s v="D"/>
    <x v="35"/>
    <x v="0"/>
    <n v="3"/>
    <n v="3"/>
    <x v="714"/>
    <s v="3 BEDROOM"/>
    <x v="2"/>
    <n v="126.97"/>
    <n v="137.87460973939915"/>
    <n v="155"/>
    <m/>
    <m/>
    <s v="NW"/>
    <s v="MIDDLE"/>
    <s v="LAKE D"/>
    <s v="THIRD"/>
    <s v="C"/>
    <n v="0.13"/>
    <n v="2.5000000000000001E-2"/>
    <n v="0.43"/>
    <n v="0.15"/>
    <n v="3.5000000000000003E-2"/>
    <n v="0.77"/>
    <x v="2"/>
    <s v="R 3"/>
    <n v="44625"/>
    <n v="49875"/>
    <n v="5250"/>
    <n v="4042.5"/>
    <n v="48667.5"/>
    <n v="16060.275000000001"/>
    <n v="53167.5"/>
    <n v="56167.5"/>
    <n v="7543462.5"/>
    <n v="8240962.5"/>
    <n v="8705962.5"/>
    <n v="0"/>
    <n v="641194.3125"/>
    <n v="2"/>
    <n v="210000"/>
    <n v="210000"/>
    <n v="7753462.5"/>
  </r>
  <r>
    <m/>
    <s v="D"/>
    <x v="35"/>
    <x v="0"/>
    <n v="3"/>
    <n v="4"/>
    <x v="715"/>
    <s v="3 BEDROOM"/>
    <x v="2"/>
    <n v="127.45"/>
    <n v="138.39583375038529"/>
    <n v="155"/>
    <m/>
    <m/>
    <s v="SE"/>
    <s v="MIDDLE"/>
    <s v="ROAD 18M (VILLAS)"/>
    <s v="THIRD"/>
    <s v="C"/>
    <n v="0.08"/>
    <n v="2.5000000000000001E-2"/>
    <n v="0.16"/>
    <n v="0.15"/>
    <n v="3.5000000000000003E-2"/>
    <n v="0.45000000000000007"/>
    <x v="0"/>
    <s v="R 9"/>
    <n v="53550"/>
    <n v="59850"/>
    <n v="6300"/>
    <n v="2835.0000000000005"/>
    <n v="56385"/>
    <n v="18607.05"/>
    <n v="60885"/>
    <n v="63885"/>
    <n v="8739675"/>
    <n v="9437175"/>
    <n v="9902175"/>
    <n v="0"/>
    <n v="742872.375"/>
    <n v="2"/>
    <n v="252000"/>
    <n v="252000"/>
    <n v="8991675"/>
  </r>
  <r>
    <m/>
    <s v="D"/>
    <x v="35"/>
    <x v="0"/>
    <n v="4"/>
    <n v="1"/>
    <x v="716"/>
    <s v="3 BEDROOM"/>
    <x v="2"/>
    <n v="129.58000000000001"/>
    <n v="140.70876529913636"/>
    <n v="158"/>
    <m/>
    <m/>
    <s v="SE"/>
    <s v="CORNER "/>
    <s v="ROAD 18M (VILLAS)"/>
    <s v="FORTH"/>
    <s v="C"/>
    <n v="0.08"/>
    <n v="0.05"/>
    <n v="0.16"/>
    <n v="0.06"/>
    <n v="3.5000000000000003E-2"/>
    <n v="0.38500000000000001"/>
    <x v="0"/>
    <s v="R 4"/>
    <n v="45687.5"/>
    <n v="51062.5"/>
    <n v="5375"/>
    <n v="2069.375"/>
    <n v="47756.875"/>
    <n v="15759.768750000001"/>
    <n v="52256.875"/>
    <n v="55256.875"/>
    <n v="7545586.25"/>
    <n v="8256586.25"/>
    <n v="8730586.25"/>
    <n v="0"/>
    <n v="641374.83125000005"/>
    <n v="2"/>
    <n v="215000"/>
    <n v="215000"/>
    <n v="7760586.25"/>
  </r>
  <r>
    <m/>
    <s v="D"/>
    <x v="35"/>
    <x v="0"/>
    <n v="4"/>
    <n v="2"/>
    <x v="717"/>
    <s v="3 BEDROOM"/>
    <x v="2"/>
    <n v="131.38"/>
    <n v="142.66335534033439"/>
    <n v="160"/>
    <m/>
    <m/>
    <s v="NW"/>
    <s v="CORNER "/>
    <s v="LAKE D"/>
    <s v="FORTH"/>
    <s v="D"/>
    <n v="0.13"/>
    <n v="0.05"/>
    <n v="0.43"/>
    <n v="0.06"/>
    <n v="2.5000000000000001E-2"/>
    <n v="0.69499999999999995"/>
    <x v="1"/>
    <s v="R 8"/>
    <n v="51850"/>
    <n v="57950"/>
    <n v="6100"/>
    <n v="4239.5"/>
    <n v="56089.5"/>
    <n v="18509.535"/>
    <n v="60589.5"/>
    <n v="63589.5"/>
    <n v="8974320"/>
    <n v="9694320"/>
    <n v="10174320"/>
    <n v="0"/>
    <n v="762817.20000000007"/>
    <n v="2"/>
    <n v="244000"/>
    <n v="244000"/>
    <n v="9218320"/>
  </r>
  <r>
    <m/>
    <s v="D"/>
    <x v="35"/>
    <x v="0"/>
    <n v="4"/>
    <n v="3"/>
    <x v="718"/>
    <s v="3 BEDROOM"/>
    <x v="2"/>
    <n v="127.19"/>
    <n v="138.1135040777678"/>
    <n v="155"/>
    <m/>
    <m/>
    <s v="NW"/>
    <s v="MIDDLE"/>
    <s v="LAKE D"/>
    <s v="FORTH"/>
    <s v="C"/>
    <n v="0.13"/>
    <n v="2.5000000000000001E-2"/>
    <n v="0.43"/>
    <n v="0.06"/>
    <n v="3.5000000000000003E-2"/>
    <n v="0.68"/>
    <x v="1"/>
    <s v="R 7"/>
    <n v="50150"/>
    <n v="56050"/>
    <n v="5900"/>
    <n v="4012.0000000000005"/>
    <n v="54162"/>
    <n v="17873.46"/>
    <n v="58662"/>
    <n v="61662"/>
    <n v="8395110"/>
    <n v="9092610"/>
    <n v="9557610"/>
    <n v="0"/>
    <n v="713584.35000000009"/>
    <n v="2"/>
    <n v="236000"/>
    <n v="236000"/>
    <n v="8631110"/>
  </r>
  <r>
    <m/>
    <s v="D"/>
    <x v="35"/>
    <x v="0"/>
    <n v="4"/>
    <n v="4"/>
    <x v="719"/>
    <s v="3 BEDROOM"/>
    <x v="2"/>
    <n v="125.13"/>
    <n v="135.87658436395222"/>
    <n v="153"/>
    <m/>
    <m/>
    <s v="SE"/>
    <s v="MIDDLE"/>
    <s v="ROAD 18M (VILLAS)"/>
    <s v="FORTH"/>
    <s v="C"/>
    <n v="0.08"/>
    <n v="2.5000000000000001E-2"/>
    <n v="0.16"/>
    <n v="0.06"/>
    <n v="3.5000000000000003E-2"/>
    <n v="0.36"/>
    <x v="0"/>
    <s v="R 1"/>
    <n v="42500"/>
    <n v="47500"/>
    <n v="5000"/>
    <n v="1800"/>
    <n v="44300"/>
    <n v="14619"/>
    <n v="48800"/>
    <n v="51800"/>
    <n v="6777900"/>
    <n v="7466400"/>
    <n v="7925400"/>
    <n v="0"/>
    <n v="576121.5"/>
    <n v="2"/>
    <n v="200000"/>
    <n v="200000"/>
    <n v="6977900"/>
  </r>
  <r>
    <s v="C3"/>
    <s v="D"/>
    <x v="36"/>
    <x v="0"/>
    <n v="0"/>
    <n v="1"/>
    <x v="720"/>
    <s v="2 BEDROOM"/>
    <x v="2"/>
    <n v="88.49"/>
    <n v="96.199295659590803"/>
    <n v="108"/>
    <n v="67.5261"/>
    <m/>
    <s v="NW"/>
    <s v="MIDDLE"/>
    <s v="ROAD 18M (BUILDINGS)"/>
    <s v="GROUND"/>
    <s v="B"/>
    <n v="0.13"/>
    <n v="2.5000000000000001E-2"/>
    <n v="0.15"/>
    <n v="0.05"/>
    <n v="0.04"/>
    <n v="0.39499999999999996"/>
    <x v="0"/>
    <s v="R 4"/>
    <n v="45687.5"/>
    <n v="51062.5"/>
    <n v="5375"/>
    <n v="2123.125"/>
    <n v="47810.625"/>
    <n v="15777.50625"/>
    <n v="52310.625"/>
    <n v="55310.625"/>
    <n v="5163547.5"/>
    <n v="5649547.5"/>
    <n v="5973547.5"/>
    <n v="1065393.4647881251"/>
    <n v="529459.9820069907"/>
    <n v="1"/>
    <n v="215000"/>
    <n v="215000"/>
    <n v="6443940.9647881249"/>
  </r>
  <r>
    <m/>
    <s v="D"/>
    <x v="36"/>
    <x v="0"/>
    <n v="0"/>
    <n v="2"/>
    <x v="721"/>
    <s v="3 BEDROOM"/>
    <x v="2"/>
    <n v="124.72"/>
    <n v="135.58567244506912"/>
    <n v="152"/>
    <n v="85.417599999999993"/>
    <m/>
    <s v="SE"/>
    <s v="MIDDLE"/>
    <s v="LAKE D"/>
    <s v="GROUND"/>
    <s v="C"/>
    <n v="0.08"/>
    <n v="2.5000000000000001E-2"/>
    <n v="0.43"/>
    <n v="0.05"/>
    <n v="3.5000000000000003E-2"/>
    <n v="0.62000000000000011"/>
    <x v="1"/>
    <s v="R 3"/>
    <n v="44625"/>
    <n v="49875"/>
    <n v="5250"/>
    <n v="3255.0000000000005"/>
    <n v="47880"/>
    <n v="15800.400000000001"/>
    <n v="52380"/>
    <n v="55380"/>
    <n v="7277760"/>
    <n v="7961760"/>
    <n v="8417760"/>
    <n v="1349632.24704"/>
    <n v="733328.3409984"/>
    <n v="2"/>
    <n v="210000"/>
    <n v="210000"/>
    <n v="8837392.2470399998"/>
  </r>
  <r>
    <m/>
    <s v="D"/>
    <x v="36"/>
    <x v="0"/>
    <n v="0"/>
    <n v="3"/>
    <x v="722"/>
    <s v="3 BEDROOM"/>
    <x v="2"/>
    <n v="129.5"/>
    <n v="140.78210857630253"/>
    <n v="158"/>
    <n v="84.0732"/>
    <m/>
    <s v="SE"/>
    <s v="CORNER "/>
    <s v="LAKE D"/>
    <s v="GROUND"/>
    <s v="C"/>
    <n v="0.08"/>
    <n v="0.05"/>
    <n v="0.43"/>
    <n v="0.05"/>
    <n v="3.5000000000000003E-2"/>
    <n v="0.64500000000000013"/>
    <x v="1"/>
    <s v="R 4"/>
    <n v="45687.5"/>
    <n v="51062.5"/>
    <n v="5375"/>
    <n v="3466.8750000000009"/>
    <n v="49154.375"/>
    <n v="16220.94375"/>
    <n v="53654.375"/>
    <n v="56654.375"/>
    <n v="7766391.25"/>
    <n v="8477391.25"/>
    <n v="8951391.25"/>
    <n v="1363746.6480825001"/>
    <n v="776061.7213370126"/>
    <n v="2"/>
    <n v="215000"/>
    <n v="215000"/>
    <n v="9345137.8980825003"/>
  </r>
  <r>
    <m/>
    <s v="D"/>
    <x v="36"/>
    <x v="0"/>
    <n v="0"/>
    <n v="4"/>
    <x v="723"/>
    <s v="3 BEDROOM"/>
    <x v="2"/>
    <n v="131.68"/>
    <n v="143.15203133071444"/>
    <n v="161"/>
    <n v="83.961500000000001"/>
    <m/>
    <s v="NW"/>
    <s v="CORNER "/>
    <s v="LAKE F"/>
    <s v="GROUND"/>
    <s v="D"/>
    <n v="0.13"/>
    <n v="0.05"/>
    <n v="0.3"/>
    <n v="0.05"/>
    <n v="2.5000000000000001E-2"/>
    <n v="0.55500000000000005"/>
    <x v="1"/>
    <s v="R 1"/>
    <n v="42500"/>
    <n v="47500"/>
    <n v="5000"/>
    <n v="2775.0000000000005"/>
    <n v="45275"/>
    <n v="14940.75"/>
    <n v="49775"/>
    <n v="52775"/>
    <n v="7289275"/>
    <n v="8013775"/>
    <n v="8496775"/>
    <n v="1254447.781125"/>
    <n v="726216.436395625"/>
    <n v="2"/>
    <n v="200000"/>
    <n v="200000"/>
    <n v="8743722.7811249997"/>
  </r>
  <r>
    <m/>
    <s v="D"/>
    <x v="36"/>
    <x v="0"/>
    <n v="1"/>
    <n v="1"/>
    <x v="724"/>
    <s v="2 BEDROOM"/>
    <x v="2"/>
    <n v="88.79"/>
    <n v="96.525431818454848"/>
    <n v="108"/>
    <m/>
    <m/>
    <s v="NW"/>
    <s v="MIDDLE"/>
    <s v="ROAD 18M (BUILDINGS)"/>
    <s v="FIRST"/>
    <s v="B"/>
    <n v="0.13"/>
    <n v="2.5000000000000001E-2"/>
    <n v="0.15"/>
    <n v="7.0000000000000007E-2"/>
    <n v="0.04"/>
    <n v="0.41499999999999998"/>
    <x v="0"/>
    <s v="R 7"/>
    <n v="50150"/>
    <n v="56050"/>
    <n v="5900"/>
    <n v="2448.5"/>
    <n v="52598.5"/>
    <n v="17357.505000000001"/>
    <n v="57098.5"/>
    <n v="60098.5"/>
    <n v="5680638"/>
    <n v="6166638"/>
    <n v="6490638"/>
    <n v="0"/>
    <n v="482854.23000000004"/>
    <n v="1"/>
    <n v="236000"/>
    <n v="236000"/>
    <n v="5916638"/>
  </r>
  <r>
    <m/>
    <s v="D"/>
    <x v="36"/>
    <x v="0"/>
    <n v="1"/>
    <n v="2"/>
    <x v="725"/>
    <s v="3 BEDROOM"/>
    <x v="2"/>
    <n v="126.34"/>
    <n v="137.34680770293485"/>
    <n v="154"/>
    <m/>
    <m/>
    <s v="SE"/>
    <s v="MIDDLE"/>
    <s v="LAKE D"/>
    <s v="FIRST"/>
    <s v="C"/>
    <n v="0.08"/>
    <n v="2.5000000000000001E-2"/>
    <n v="0.43"/>
    <n v="7.0000000000000007E-2"/>
    <n v="3.5000000000000003E-2"/>
    <n v="0.64"/>
    <x v="1"/>
    <s v="R 4"/>
    <n v="45687.5"/>
    <n v="51062.5"/>
    <n v="5375"/>
    <n v="3440"/>
    <n v="49127.5"/>
    <n v="16212.075000000001"/>
    <n v="53627.5"/>
    <n v="56627.5"/>
    <n v="7565635"/>
    <n v="8258635"/>
    <n v="8720635"/>
    <n v="0"/>
    <n v="643078.97500000009"/>
    <n v="2"/>
    <n v="215000"/>
    <n v="215000"/>
    <n v="7780635"/>
  </r>
  <r>
    <m/>
    <s v="D"/>
    <x v="36"/>
    <x v="0"/>
    <n v="1"/>
    <n v="3"/>
    <x v="726"/>
    <s v="3 BEDROOM"/>
    <x v="2"/>
    <n v="131.12"/>
    <n v="142.54324383416824"/>
    <n v="160"/>
    <m/>
    <m/>
    <s v="SE"/>
    <s v="CORNER "/>
    <s v="LAKE D"/>
    <s v="FIRST"/>
    <s v="D"/>
    <n v="0.08"/>
    <n v="0.05"/>
    <n v="0.43"/>
    <n v="7.0000000000000007E-2"/>
    <n v="2.5000000000000001E-2"/>
    <n v="0.65500000000000014"/>
    <x v="1"/>
    <s v="R 6"/>
    <n v="48450.000000000007"/>
    <n v="54150.000000000007"/>
    <n v="5700"/>
    <n v="3733.5000000000009"/>
    <n v="52183.500000000007"/>
    <n v="17220.555000000004"/>
    <n v="56683.500000000007"/>
    <n v="59683.500000000007"/>
    <n v="8349360.0000000009"/>
    <n v="9069360.0000000019"/>
    <n v="9549360.0000000019"/>
    <n v="0"/>
    <n v="709695.60000000009"/>
    <n v="2"/>
    <n v="228000.00000000003"/>
    <n v="228000.00000000003"/>
    <n v="8577360.0000000019"/>
  </r>
  <r>
    <m/>
    <s v="D"/>
    <x v="36"/>
    <x v="0"/>
    <n v="1"/>
    <n v="4"/>
    <x v="727"/>
    <s v="3 BEDROOM"/>
    <x v="2"/>
    <n v="128.56"/>
    <n v="139.76021527852859"/>
    <n v="157"/>
    <m/>
    <m/>
    <s v="NW"/>
    <s v="CORNER "/>
    <s v="LAKE F"/>
    <s v="FIRST"/>
    <s v="C"/>
    <n v="0.13"/>
    <n v="0.05"/>
    <n v="0.3"/>
    <n v="7.0000000000000007E-2"/>
    <n v="3.5000000000000003E-2"/>
    <n v="0.58500000000000008"/>
    <x v="1"/>
    <s v="R 1"/>
    <n v="42500"/>
    <n v="47500"/>
    <n v="5000"/>
    <n v="2925.0000000000005"/>
    <n v="45425"/>
    <n v="14990.25"/>
    <n v="49925"/>
    <n v="52925"/>
    <n v="7131725"/>
    <n v="7838225"/>
    <n v="8309225"/>
    <n v="0"/>
    <n v="606196.625"/>
    <n v="2"/>
    <n v="200000"/>
    <n v="200000"/>
    <n v="7331725"/>
  </r>
  <r>
    <m/>
    <s v="D"/>
    <x v="36"/>
    <x v="0"/>
    <n v="2"/>
    <n v="1"/>
    <x v="728"/>
    <s v="3 BEDROOM"/>
    <x v="2"/>
    <n v="127.15"/>
    <n v="138.22737533186771"/>
    <n v="155"/>
    <m/>
    <m/>
    <s v="NW"/>
    <s v="MIDDLE"/>
    <s v="ROAD 18M (BUILDINGS)"/>
    <s v="SECOND"/>
    <s v="C"/>
    <n v="0.13"/>
    <n v="2.5000000000000001E-2"/>
    <n v="0.15"/>
    <n v="0.11"/>
    <n v="3.5000000000000003E-2"/>
    <n v="0.44999999999999996"/>
    <x v="0"/>
    <s v="R 9"/>
    <n v="53550"/>
    <n v="59850"/>
    <n v="6300"/>
    <n v="2834.9999999999995"/>
    <n v="56385"/>
    <n v="18607.05"/>
    <n v="60885"/>
    <n v="63885"/>
    <n v="8739675"/>
    <n v="9437175"/>
    <n v="9902175"/>
    <n v="0"/>
    <n v="742872.375"/>
    <n v="2"/>
    <n v="252000"/>
    <n v="252000"/>
    <n v="8991675"/>
  </r>
  <r>
    <m/>
    <s v="D"/>
    <x v="36"/>
    <x v="0"/>
    <n v="2"/>
    <n v="2"/>
    <x v="729"/>
    <s v="3 BEDROOM"/>
    <x v="2"/>
    <n v="126.78"/>
    <n v="137.82514073593541"/>
    <n v="155"/>
    <m/>
    <m/>
    <s v="SE"/>
    <s v="MIDDLE"/>
    <s v="LAKE D"/>
    <s v="SECOND"/>
    <s v="C"/>
    <n v="0.08"/>
    <n v="2.5000000000000001E-2"/>
    <n v="0.43"/>
    <n v="0.11"/>
    <n v="3.5000000000000003E-2"/>
    <n v="0.68"/>
    <x v="1"/>
    <s v="R 7"/>
    <n v="50150"/>
    <n v="56050"/>
    <n v="5900"/>
    <n v="4012.0000000000005"/>
    <n v="54162"/>
    <n v="17873.46"/>
    <n v="58662"/>
    <n v="61662"/>
    <n v="8395110"/>
    <n v="9092610"/>
    <n v="9557610"/>
    <n v="0"/>
    <n v="713584.35000000009"/>
    <n v="2"/>
    <n v="236000"/>
    <n v="236000"/>
    <n v="8631110"/>
  </r>
  <r>
    <m/>
    <s v="D"/>
    <x v="36"/>
    <x v="0"/>
    <n v="2"/>
    <n v="3"/>
    <x v="730"/>
    <s v="3 BEDROOM"/>
    <x v="2"/>
    <n v="131.56"/>
    <n v="143.02157686716882"/>
    <n v="161"/>
    <m/>
    <m/>
    <s v="SE"/>
    <s v="CORNER "/>
    <s v="LAKE D"/>
    <s v="SECOND"/>
    <s v="D"/>
    <n v="0.08"/>
    <n v="0.05"/>
    <n v="0.43"/>
    <n v="0.11"/>
    <n v="2.5000000000000001E-2"/>
    <n v="0.69500000000000006"/>
    <x v="1"/>
    <s v="R 8"/>
    <n v="51850"/>
    <n v="57950"/>
    <n v="6100"/>
    <n v="4239.5"/>
    <n v="56089.5"/>
    <n v="18509.535"/>
    <n v="60589.5"/>
    <n v="63589.5"/>
    <n v="9030409.5"/>
    <n v="9754909.5"/>
    <n v="10237909.5"/>
    <n v="0"/>
    <n v="767584.80750000011"/>
    <n v="2"/>
    <n v="244000"/>
    <n v="244000"/>
    <n v="9274409.5"/>
  </r>
  <r>
    <m/>
    <s v="D"/>
    <x v="36"/>
    <x v="0"/>
    <n v="2"/>
    <n v="4"/>
    <x v="731"/>
    <s v="3 BEDROOM"/>
    <x v="2"/>
    <n v="131.56"/>
    <n v="143.02157686716882"/>
    <n v="161"/>
    <m/>
    <m/>
    <s v="NW"/>
    <s v="CORNER "/>
    <s v="LAKE F"/>
    <s v="SECOND"/>
    <s v="D"/>
    <n v="0.13"/>
    <n v="0.05"/>
    <n v="0.3"/>
    <n v="0.11"/>
    <n v="2.5000000000000001E-2"/>
    <n v="0.61499999999999999"/>
    <x v="1"/>
    <s v="R 2"/>
    <n v="43562.499999999993"/>
    <n v="48687.499999999993"/>
    <n v="5125"/>
    <n v="3151.875"/>
    <n v="46714.374999999993"/>
    <n v="15415.743749999998"/>
    <n v="51214.374999999993"/>
    <n v="54214.374999999993"/>
    <n v="7521014.3749999991"/>
    <n v="8245514.3749999991"/>
    <n v="8728514.3749999981"/>
    <n v="0"/>
    <n v="639286.22187499993"/>
    <n v="2"/>
    <n v="204999.99999999997"/>
    <n v="204999.99999999997"/>
    <n v="7726014.3749999991"/>
  </r>
  <r>
    <m/>
    <s v="D"/>
    <x v="36"/>
    <x v="0"/>
    <n v="3"/>
    <n v="1"/>
    <x v="732"/>
    <s v="3 BEDROOM"/>
    <x v="2"/>
    <n v="127.45"/>
    <n v="138.55351149073172"/>
    <n v="155"/>
    <m/>
    <m/>
    <s v="NW"/>
    <s v="MIDDLE"/>
    <s v="ROAD 18M (BUILDINGS)"/>
    <s v="THIRD"/>
    <s v="C"/>
    <n v="0.13"/>
    <n v="2.5000000000000001E-2"/>
    <n v="0.15"/>
    <n v="0.15"/>
    <n v="3.5000000000000003E-2"/>
    <n v="0.49"/>
    <x v="0"/>
    <s v="R 12"/>
    <n v="61625"/>
    <n v="68875"/>
    <n v="7250"/>
    <n v="3552.5"/>
    <n v="65177.5"/>
    <n v="21508.575000000001"/>
    <n v="69677.5"/>
    <n v="72677.5"/>
    <n v="10102512.5"/>
    <n v="10800012.5"/>
    <n v="11265012.5"/>
    <n v="0"/>
    <n v="858713.56250000012"/>
    <n v="2"/>
    <n v="290000"/>
    <n v="290000"/>
    <n v="10392512.5"/>
  </r>
  <r>
    <m/>
    <s v="D"/>
    <x v="36"/>
    <x v="0"/>
    <n v="3"/>
    <n v="2"/>
    <x v="733"/>
    <s v="3 BEDROOM"/>
    <x v="2"/>
    <n v="126.88"/>
    <n v="137.93385278889008"/>
    <n v="155"/>
    <m/>
    <m/>
    <s v="SE"/>
    <s v="MIDDLE"/>
    <s v="LAKE D"/>
    <s v="THIRD"/>
    <s v="C"/>
    <n v="0.08"/>
    <n v="2.5000000000000001E-2"/>
    <n v="0.43"/>
    <n v="0.15"/>
    <n v="3.5000000000000003E-2"/>
    <n v="0.72000000000000008"/>
    <x v="1"/>
    <s v="R 12"/>
    <n v="61625"/>
    <n v="68875"/>
    <n v="7250"/>
    <n v="5220.0000000000009"/>
    <n v="66845"/>
    <n v="22058.850000000002"/>
    <n v="71345"/>
    <n v="74345"/>
    <n v="10360975"/>
    <n v="11058475"/>
    <n v="11523475"/>
    <n v="0"/>
    <n v="880682.87500000012"/>
    <n v="2"/>
    <n v="290000"/>
    <n v="290000"/>
    <n v="10650975"/>
  </r>
  <r>
    <m/>
    <s v="D"/>
    <x v="36"/>
    <x v="0"/>
    <n v="3"/>
    <n v="3"/>
    <x v="734"/>
    <s v="3 BEDROOM"/>
    <x v="2"/>
    <n v="131.66"/>
    <n v="143.13028892012346"/>
    <n v="161"/>
    <m/>
    <m/>
    <s v="SE"/>
    <s v="CORNER "/>
    <s v="LAKE D"/>
    <s v="THIRD"/>
    <s v="D"/>
    <n v="0.08"/>
    <n v="0.05"/>
    <n v="0.43"/>
    <n v="0.15"/>
    <n v="2.5000000000000001E-2"/>
    <n v="0.7350000000000001"/>
    <x v="2"/>
    <s v="R 1"/>
    <n v="42500"/>
    <n v="47500"/>
    <n v="5000"/>
    <n v="3675.0000000000005"/>
    <n v="46175"/>
    <n v="15237.75"/>
    <n v="50675"/>
    <n v="53675"/>
    <n v="7434175"/>
    <n v="8158675"/>
    <n v="8641675"/>
    <n v="0"/>
    <n v="631904.875"/>
    <n v="2"/>
    <n v="200000"/>
    <n v="200000"/>
    <n v="7634175"/>
  </r>
  <r>
    <m/>
    <s v="D"/>
    <x v="36"/>
    <x v="0"/>
    <n v="3"/>
    <n v="4"/>
    <x v="735"/>
    <s v="3 BEDROOM"/>
    <x v="2"/>
    <n v="131.86000000000001"/>
    <n v="143.34771302603284"/>
    <n v="161"/>
    <m/>
    <m/>
    <s v="NW"/>
    <s v="CORNER "/>
    <s v="LAKE F"/>
    <s v="THIRD"/>
    <s v="D"/>
    <n v="0.13"/>
    <n v="0.05"/>
    <n v="0.3"/>
    <n v="0.15"/>
    <n v="2.5000000000000001E-2"/>
    <n v="0.65500000000000003"/>
    <x v="1"/>
    <s v="R 5"/>
    <n v="46750.000000000007"/>
    <n v="52250.000000000007"/>
    <n v="5500"/>
    <n v="3602.5"/>
    <n v="50352.500000000007"/>
    <n v="16616.325000000004"/>
    <n v="54852.500000000007"/>
    <n v="57852.500000000007"/>
    <n v="8106752.5000000009"/>
    <n v="8831252.5000000019"/>
    <n v="9314252.5000000019"/>
    <n v="0"/>
    <n v="689073.96250000014"/>
    <n v="2"/>
    <n v="220000.00000000003"/>
    <n v="220000.00000000003"/>
    <n v="8326752.5000000009"/>
  </r>
  <r>
    <m/>
    <s v="D"/>
    <x v="36"/>
    <x v="0"/>
    <n v="4"/>
    <n v="1"/>
    <x v="736"/>
    <s v="3 BEDROOM"/>
    <x v="2"/>
    <n v="125.09"/>
    <n v="135.98790704100142"/>
    <n v="153"/>
    <m/>
    <m/>
    <s v="NW"/>
    <s v="MIDDLE"/>
    <s v="ROAD 18M (BUILDINGS)"/>
    <s v="FORTH"/>
    <s v="C"/>
    <n v="0.13"/>
    <n v="2.5000000000000001E-2"/>
    <n v="0.15"/>
    <n v="0.06"/>
    <n v="3.5000000000000003E-2"/>
    <n v="0.4"/>
    <x v="0"/>
    <s v="R 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r>
  <r>
    <m/>
    <s v="D"/>
    <x v="36"/>
    <x v="0"/>
    <n v="4"/>
    <n v="2"/>
    <x v="737"/>
    <s v="3 BEDROOM"/>
    <x v="2"/>
    <n v="126.88"/>
    <n v="137.93385278889008"/>
    <n v="155"/>
    <m/>
    <m/>
    <s v="SE"/>
    <s v="MIDDLE"/>
    <s v="LAKE D"/>
    <s v="FORTH"/>
    <s v="C"/>
    <n v="0.08"/>
    <n v="2.5000000000000001E-2"/>
    <n v="0.43"/>
    <n v="0.06"/>
    <n v="3.5000000000000003E-2"/>
    <n v="0.63"/>
    <x v="1"/>
    <s v="R 3"/>
    <n v="44625"/>
    <n v="49875"/>
    <n v="5250"/>
    <n v="3307.5"/>
    <n v="47932.5"/>
    <n v="15817.725"/>
    <n v="52432.5"/>
    <n v="55432.5"/>
    <n v="7429537.5"/>
    <n v="8127037.5"/>
    <n v="8592037.5"/>
    <n v="0"/>
    <n v="631510.6875"/>
    <n v="2"/>
    <n v="210000"/>
    <n v="210000"/>
    <n v="7639537.5"/>
  </r>
  <r>
    <m/>
    <s v="D"/>
    <x v="36"/>
    <x v="0"/>
    <n v="4"/>
    <n v="3"/>
    <x v="738"/>
    <s v="3 BEDROOM"/>
    <x v="2"/>
    <n v="131.66"/>
    <n v="143.13028892012346"/>
    <n v="161"/>
    <m/>
    <m/>
    <s v="SE"/>
    <s v="CORNER "/>
    <s v="LAKE D"/>
    <s v="FORTH"/>
    <s v="D"/>
    <n v="0.08"/>
    <n v="0.05"/>
    <n v="0.43"/>
    <n v="0.06"/>
    <n v="2.5000000000000001E-2"/>
    <n v="0.64500000000000013"/>
    <x v="1"/>
    <s v="R 4"/>
    <n v="45687.5"/>
    <n v="51062.5"/>
    <n v="5375"/>
    <n v="3466.8750000000009"/>
    <n v="49154.375"/>
    <n v="16220.94375"/>
    <n v="53654.375"/>
    <n v="56654.375"/>
    <n v="7913854.375"/>
    <n v="8638354.375"/>
    <n v="9121354.375"/>
    <n v="0"/>
    <n v="672677.62187500007"/>
    <n v="2"/>
    <n v="215000"/>
    <n v="215000"/>
    <n v="8128854.375"/>
  </r>
  <r>
    <m/>
    <s v="D"/>
    <x v="36"/>
    <x v="0"/>
    <n v="4"/>
    <n v="4"/>
    <x v="739"/>
    <s v="3 BEDROOM"/>
    <x v="2"/>
    <n v="129.5"/>
    <n v="140.78210857630253"/>
    <n v="158"/>
    <m/>
    <m/>
    <s v="NW"/>
    <s v="CORNER "/>
    <s v="LAKE F"/>
    <s v="FORTH"/>
    <s v="C"/>
    <n v="0.13"/>
    <n v="0.05"/>
    <n v="0.3"/>
    <n v="0.06"/>
    <n v="3.5000000000000003E-2"/>
    <n v="0.57500000000000007"/>
    <x v="1"/>
    <s v="R 1"/>
    <n v="42500"/>
    <n v="47500"/>
    <n v="5000"/>
    <n v="2875.0000000000005"/>
    <n v="45375"/>
    <n v="14973.75"/>
    <n v="49875"/>
    <n v="52875"/>
    <n v="7169250"/>
    <n v="7880250"/>
    <n v="8354250"/>
    <n v="0"/>
    <n v="609386.25"/>
    <n v="2"/>
    <n v="200000"/>
    <n v="200000"/>
    <n v="7369250"/>
  </r>
  <r>
    <s v="C3"/>
    <s v="D"/>
    <x v="37"/>
    <x v="0"/>
    <n v="0"/>
    <n v="1"/>
    <x v="740"/>
    <s v="3 BEDROOM"/>
    <x v="2"/>
    <n v="131.68"/>
    <n v="143.16923069529381"/>
    <n v="161"/>
    <n v="84.359399999999994"/>
    <m/>
    <s v="NW"/>
    <s v="CORNER "/>
    <s v="ROAD 12M"/>
    <s v="GROUND"/>
    <s v="D"/>
    <n v="0.13"/>
    <n v="0.05"/>
    <n v="0.13"/>
    <n v="0.05"/>
    <n v="2.5000000000000001E-2"/>
    <n v="0.38500000000000001"/>
    <x v="0"/>
    <s v="R 3"/>
    <n v="44625"/>
    <n v="49875"/>
    <n v="5250"/>
    <n v="2021.25"/>
    <n v="46646.25"/>
    <n v="15393.262500000001"/>
    <n v="51146.25"/>
    <n v="54146.25"/>
    <n v="7510046.25"/>
    <n v="8234546.25"/>
    <n v="8717546.25"/>
    <n v="1298566.3885424999"/>
    <n v="748732.07427611249"/>
    <n v="2"/>
    <n v="210000"/>
    <n v="210000"/>
    <n v="9018612.6385424994"/>
  </r>
  <r>
    <m/>
    <s v="D"/>
    <x v="37"/>
    <x v="0"/>
    <n v="0"/>
    <n v="2"/>
    <x v="741"/>
    <s v="3 BEDROOM"/>
    <x v="2"/>
    <n v="129.5"/>
    <n v="140.79902320049018"/>
    <n v="158"/>
    <n v="84.0732"/>
    <m/>
    <s v="SE"/>
    <s v="CORNER "/>
    <s v="LAKE D"/>
    <s v="GROUND"/>
    <s v="C"/>
    <n v="0.08"/>
    <n v="0.05"/>
    <n v="0.43"/>
    <n v="0.05"/>
    <n v="3.5000000000000003E-2"/>
    <n v="0.64500000000000013"/>
    <x v="1"/>
    <s v="R 4"/>
    <n v="45687.5"/>
    <n v="51062.5"/>
    <n v="5375"/>
    <n v="3466.8750000000009"/>
    <n v="49154.375"/>
    <n v="16220.94375"/>
    <n v="53654.375"/>
    <n v="56654.375"/>
    <n v="7766391.25"/>
    <n v="8477391.25"/>
    <n v="8951391.25"/>
    <n v="1363746.6480825001"/>
    <n v="776061.7213370126"/>
    <n v="2"/>
    <n v="215000"/>
    <n v="215000"/>
    <n v="9345137.8980825003"/>
  </r>
  <r>
    <m/>
    <s v="D"/>
    <x v="37"/>
    <x v="0"/>
    <n v="0"/>
    <n v="3"/>
    <x v="742"/>
    <s v="3 BEDROOM"/>
    <x v="2"/>
    <n v="124.72"/>
    <n v="135.60196273023271"/>
    <n v="152"/>
    <n v="85.417599999999993"/>
    <m/>
    <s v="SE"/>
    <s v="MIDDLE"/>
    <s v="LAKE D"/>
    <s v="GROUND"/>
    <s v="C"/>
    <n v="0.08"/>
    <n v="2.5000000000000001E-2"/>
    <n v="0.43"/>
    <n v="0.05"/>
    <n v="3.5000000000000003E-2"/>
    <n v="0.62000000000000011"/>
    <x v="1"/>
    <s v="R 3"/>
    <n v="44625"/>
    <n v="49875"/>
    <n v="5250"/>
    <n v="3255.0000000000005"/>
    <n v="47880"/>
    <n v="15800.400000000001"/>
    <n v="52380"/>
    <n v="55380"/>
    <n v="7277760"/>
    <n v="7961760"/>
    <n v="8417760"/>
    <n v="1349632.24704"/>
    <n v="733328.3409984"/>
    <n v="2"/>
    <n v="210000"/>
    <n v="210000"/>
    <n v="8837392.2470399998"/>
  </r>
  <r>
    <m/>
    <s v="D"/>
    <x v="37"/>
    <x v="0"/>
    <n v="0"/>
    <n v="4"/>
    <x v="743"/>
    <s v="2 BEDROOM"/>
    <x v="2"/>
    <n v="88.49"/>
    <n v="96.210853768427611"/>
    <n v="108"/>
    <n v="67.558899999999994"/>
    <m/>
    <s v="NW"/>
    <s v="MIDDLE"/>
    <s v="ROAD 12M"/>
    <s v="GROUND"/>
    <s v="B"/>
    <n v="0.13"/>
    <n v="2.5000000000000001E-2"/>
    <n v="0.13"/>
    <n v="0.05"/>
    <n v="0.04"/>
    <n v="0.375"/>
    <x v="0"/>
    <s v="R 3"/>
    <n v="44625"/>
    <n v="49875"/>
    <n v="5250"/>
    <n v="1968.75"/>
    <n v="46593.75"/>
    <n v="15375.9375"/>
    <n v="51093.75"/>
    <n v="54093.75"/>
    <n v="5032125"/>
    <n v="5518125"/>
    <n v="5842125"/>
    <n v="1038781.4239687499"/>
    <n v="516027.0460373438"/>
    <n v="1"/>
    <n v="210000"/>
    <n v="210000"/>
    <n v="6280906.4239687501"/>
  </r>
  <r>
    <m/>
    <s v="D"/>
    <x v="37"/>
    <x v="0"/>
    <n v="1"/>
    <n v="1"/>
    <x v="744"/>
    <s v="3 BEDROOM"/>
    <x v="2"/>
    <n v="128.56"/>
    <n v="139.77700712474919"/>
    <n v="157"/>
    <m/>
    <m/>
    <s v="NW"/>
    <s v="CORNER "/>
    <s v="ROAD 12M"/>
    <s v="FIRST"/>
    <s v="C"/>
    <n v="0.13"/>
    <n v="0.05"/>
    <n v="0.13"/>
    <n v="7.0000000000000007E-2"/>
    <n v="3.5000000000000003E-2"/>
    <n v="0.41500000000000004"/>
    <x v="0"/>
    <s v="R 7"/>
    <n v="50150"/>
    <n v="56050"/>
    <n v="5900"/>
    <n v="2448.5"/>
    <n v="52598.5"/>
    <n v="17357.505000000001"/>
    <n v="57098.5"/>
    <n v="60098.5"/>
    <n v="8257964.5"/>
    <n v="8964464.5"/>
    <n v="9435464.5"/>
    <n v="0"/>
    <n v="701926.98250000004"/>
    <n v="2"/>
    <n v="236000"/>
    <n v="236000"/>
    <n v="8493964.5"/>
  </r>
  <r>
    <m/>
    <s v="D"/>
    <x v="37"/>
    <x v="0"/>
    <n v="1"/>
    <n v="2"/>
    <x v="745"/>
    <s v="3 BEDROOM"/>
    <x v="2"/>
    <n v="131.12"/>
    <n v="142.56037005442684"/>
    <n v="160"/>
    <m/>
    <m/>
    <s v="SE"/>
    <s v="CORNER "/>
    <s v="LAKE D"/>
    <s v="FIRST"/>
    <s v="D"/>
    <n v="0.08"/>
    <n v="0.05"/>
    <n v="0.43"/>
    <n v="7.0000000000000007E-2"/>
    <n v="2.5000000000000001E-2"/>
    <n v="0.65500000000000014"/>
    <x v="1"/>
    <s v="R 6"/>
    <n v="48450.000000000007"/>
    <n v="54150.000000000007"/>
    <n v="5700"/>
    <n v="3733.5000000000009"/>
    <n v="52183.500000000007"/>
    <n v="17220.555000000004"/>
    <n v="56683.500000000007"/>
    <n v="59683.500000000007"/>
    <n v="8349360.0000000009"/>
    <n v="9069360.0000000019"/>
    <n v="9549360.0000000019"/>
    <n v="0"/>
    <n v="709695.60000000009"/>
    <n v="2"/>
    <n v="228000.00000000003"/>
    <n v="228000.00000000003"/>
    <n v="8577360.0000000019"/>
  </r>
  <r>
    <m/>
    <s v="D"/>
    <x v="37"/>
    <x v="0"/>
    <n v="1"/>
    <n v="3"/>
    <x v="746"/>
    <s v="3 BEDROOM"/>
    <x v="2"/>
    <n v="126.34"/>
    <n v="137.36330958416934"/>
    <n v="154"/>
    <m/>
    <m/>
    <s v="SE"/>
    <s v="MIDDLE"/>
    <s v="LAKE D"/>
    <s v="FIRST"/>
    <s v="C"/>
    <n v="0.08"/>
    <n v="2.5000000000000001E-2"/>
    <n v="0.43"/>
    <n v="7.0000000000000007E-2"/>
    <n v="3.5000000000000003E-2"/>
    <n v="0.64"/>
    <x v="1"/>
    <s v="R 4"/>
    <n v="45687.5"/>
    <n v="51062.5"/>
    <n v="5375"/>
    <n v="3440"/>
    <n v="49127.5"/>
    <n v="16212.075000000001"/>
    <n v="53627.5"/>
    <n v="56627.5"/>
    <n v="7565635"/>
    <n v="8258635"/>
    <n v="8720635"/>
    <n v="0"/>
    <n v="643078.97500000009"/>
    <n v="2"/>
    <n v="215000"/>
    <n v="215000"/>
    <n v="7780635"/>
  </r>
  <r>
    <m/>
    <s v="D"/>
    <x v="37"/>
    <x v="0"/>
    <n v="1"/>
    <n v="4"/>
    <x v="747"/>
    <s v="2 BEDROOM"/>
    <x v="2"/>
    <n v="88.79"/>
    <n v="96.537029111749234"/>
    <n v="108"/>
    <m/>
    <m/>
    <s v="NW"/>
    <s v="MIDDLE"/>
    <s v="ROAD 12M"/>
    <s v="FIRST"/>
    <s v="B"/>
    <n v="0.13"/>
    <n v="2.5000000000000001E-2"/>
    <n v="0.13"/>
    <n v="7.0000000000000007E-2"/>
    <n v="0.04"/>
    <n v="0.39500000000000002"/>
    <x v="0"/>
    <s v="R 4"/>
    <n v="45687.5"/>
    <n v="51062.5"/>
    <n v="5375"/>
    <n v="2123.125"/>
    <n v="47810.625"/>
    <n v="15777.50625"/>
    <n v="52310.625"/>
    <n v="55310.625"/>
    <n v="5163547.5"/>
    <n v="5649547.5"/>
    <n v="5973547.5"/>
    <n v="0"/>
    <n v="438901.53750000003"/>
    <n v="1"/>
    <n v="215000"/>
    <n v="215000"/>
    <n v="5378547.5"/>
  </r>
  <r>
    <m/>
    <s v="D"/>
    <x v="37"/>
    <x v="0"/>
    <n v="2"/>
    <n v="1"/>
    <x v="748"/>
    <s v="3 BEDROOM"/>
    <x v="2"/>
    <n v="131.56"/>
    <n v="143.03876055796516"/>
    <n v="161"/>
    <m/>
    <m/>
    <s v="NW"/>
    <s v="CORNER "/>
    <s v="ROAD 12M"/>
    <s v="SECOND"/>
    <s v="D"/>
    <n v="0.13"/>
    <n v="0.05"/>
    <n v="0.13"/>
    <n v="0.11"/>
    <n v="2.5000000000000001E-2"/>
    <n v="0.44500000000000001"/>
    <x v="0"/>
    <s v="R 9"/>
    <n v="53550"/>
    <n v="59850"/>
    <n v="6300"/>
    <n v="2803.5"/>
    <n v="56353.5"/>
    <n v="18596.655000000002"/>
    <n v="60853.5"/>
    <n v="63853.5"/>
    <n v="9072913.5"/>
    <n v="9797413.5"/>
    <n v="10280413.5"/>
    <n v="0"/>
    <n v="771197.64750000008"/>
    <n v="2"/>
    <n v="252000"/>
    <n v="252000"/>
    <n v="9324913.5"/>
  </r>
  <r>
    <m/>
    <s v="D"/>
    <x v="37"/>
    <x v="0"/>
    <n v="2"/>
    <n v="2"/>
    <x v="749"/>
    <s v="3 BEDROOM"/>
    <x v="2"/>
    <n v="131.56"/>
    <n v="143.03876055796516"/>
    <n v="161"/>
    <m/>
    <m/>
    <s v="SE"/>
    <s v="CORNER "/>
    <s v="LAKE D"/>
    <s v="SECOND"/>
    <s v="D"/>
    <n v="0.08"/>
    <n v="0.05"/>
    <n v="0.43"/>
    <n v="0.11"/>
    <n v="2.5000000000000001E-2"/>
    <n v="0.69500000000000006"/>
    <x v="1"/>
    <s v="R 9"/>
    <n v="53550"/>
    <n v="59850"/>
    <n v="6300"/>
    <n v="4378.5"/>
    <n v="57928.5"/>
    <n v="19116.405000000002"/>
    <n v="62428.5"/>
    <n v="65428.5"/>
    <n v="9326488.5"/>
    <n v="10050988.5"/>
    <n v="10533988.5"/>
    <n v="0"/>
    <n v="792751.52250000008"/>
    <n v="2"/>
    <n v="252000"/>
    <n v="252000"/>
    <n v="9578488.5"/>
  </r>
  <r>
    <m/>
    <s v="D"/>
    <x v="37"/>
    <x v="0"/>
    <n v="2"/>
    <n v="3"/>
    <x v="750"/>
    <s v="3 BEDROOM"/>
    <x v="2"/>
    <n v="126.78"/>
    <n v="137.84170008770769"/>
    <n v="155"/>
    <m/>
    <m/>
    <s v="SE"/>
    <s v="MIDDLE"/>
    <s v="LAKE D"/>
    <s v="SECOND"/>
    <s v="C"/>
    <n v="0.08"/>
    <n v="2.5000000000000001E-2"/>
    <n v="0.43"/>
    <n v="0.11"/>
    <n v="3.5000000000000003E-2"/>
    <n v="0.68"/>
    <x v="1"/>
    <s v="R 7"/>
    <n v="50150"/>
    <n v="56050"/>
    <n v="5900"/>
    <n v="4012.0000000000005"/>
    <n v="54162"/>
    <n v="17873.46"/>
    <n v="58662"/>
    <n v="61662"/>
    <n v="8395110"/>
    <n v="9092610"/>
    <n v="9557610"/>
    <n v="0"/>
    <n v="713584.35000000009"/>
    <n v="2"/>
    <n v="236000"/>
    <n v="236000"/>
    <n v="8631110"/>
  </r>
  <r>
    <m/>
    <s v="D"/>
    <x v="37"/>
    <x v="0"/>
    <n v="2"/>
    <n v="4"/>
    <x v="751"/>
    <s v="3 BEDROOM"/>
    <x v="2"/>
    <n v="127.15"/>
    <n v="138.24398301113769"/>
    <n v="155"/>
    <m/>
    <m/>
    <s v="NW"/>
    <s v="MIDDLE"/>
    <s v="ROAD 12M"/>
    <s v="SECOND"/>
    <s v="C"/>
    <n v="0.13"/>
    <n v="2.5000000000000001E-2"/>
    <n v="0.13"/>
    <n v="0.11"/>
    <n v="3.5000000000000003E-2"/>
    <n v="0.43000000000000005"/>
    <x v="0"/>
    <s v="R 8"/>
    <n v="51850"/>
    <n v="57950"/>
    <n v="6100"/>
    <n v="2623.0000000000005"/>
    <n v="54473"/>
    <n v="17976.09"/>
    <n v="58973"/>
    <n v="61973"/>
    <n v="8443315"/>
    <n v="9140815"/>
    <n v="9605815"/>
    <n v="0"/>
    <n v="717681.77500000002"/>
    <n v="2"/>
    <n v="244000"/>
    <n v="244000"/>
    <n v="8687315"/>
  </r>
  <r>
    <m/>
    <s v="D"/>
    <x v="37"/>
    <x v="0"/>
    <n v="3"/>
    <n v="1"/>
    <x v="752"/>
    <s v="3 BEDROOM"/>
    <x v="2"/>
    <n v="131.86000000000001"/>
    <n v="143.36493590128677"/>
    <n v="161"/>
    <m/>
    <m/>
    <s v="NW"/>
    <s v="CORNER "/>
    <s v="ROAD 12M"/>
    <s v="THIRD"/>
    <s v="D"/>
    <n v="0.13"/>
    <n v="0.05"/>
    <n v="0.13"/>
    <n v="0.15"/>
    <n v="2.5000000000000001E-2"/>
    <n v="0.48499999999999999"/>
    <x v="0"/>
    <s v="R 12"/>
    <n v="61625"/>
    <n v="68875"/>
    <n v="7250"/>
    <n v="3516.25"/>
    <n v="65141.25"/>
    <n v="21496.612499999999"/>
    <n v="69641.25"/>
    <n v="72641.25"/>
    <n v="10487741.25"/>
    <n v="11212241.25"/>
    <n v="11695241.25"/>
    <n v="0"/>
    <n v="891458.00625000009"/>
    <n v="2"/>
    <n v="290000"/>
    <n v="290000"/>
    <n v="10777741.25"/>
  </r>
  <r>
    <m/>
    <s v="D"/>
    <x v="37"/>
    <x v="0"/>
    <n v="3"/>
    <n v="2"/>
    <x v="753"/>
    <s v="3 BEDROOM"/>
    <x v="2"/>
    <n v="131.66"/>
    <n v="143.14748567240571"/>
    <n v="161"/>
    <m/>
    <m/>
    <s v="SE"/>
    <s v="CORNER "/>
    <s v="LAKE D"/>
    <s v="THIRD"/>
    <s v="D"/>
    <n v="0.08"/>
    <n v="0.05"/>
    <n v="0.43"/>
    <n v="0.15"/>
    <n v="2.5000000000000001E-2"/>
    <n v="0.7350000000000001"/>
    <x v="2"/>
    <s v="R 1"/>
    <n v="42500"/>
    <n v="47500"/>
    <n v="5000"/>
    <n v="3675.0000000000005"/>
    <n v="46175"/>
    <n v="15237.75"/>
    <n v="50675"/>
    <n v="53675"/>
    <n v="7434175"/>
    <n v="8158675"/>
    <n v="8641675"/>
    <n v="0"/>
    <n v="631904.875"/>
    <n v="2"/>
    <n v="200000"/>
    <n v="200000"/>
    <n v="7634175"/>
  </r>
  <r>
    <m/>
    <s v="D"/>
    <x v="37"/>
    <x v="0"/>
    <n v="3"/>
    <n v="3"/>
    <x v="754"/>
    <s v="3 BEDROOM"/>
    <x v="2"/>
    <n v="126.88"/>
    <n v="137.95042520214821"/>
    <n v="155"/>
    <m/>
    <m/>
    <s v="SE"/>
    <s v="MIDDLE"/>
    <s v="LAKE D"/>
    <s v="THIRD"/>
    <s v="C"/>
    <n v="0.08"/>
    <n v="2.5000000000000001E-2"/>
    <n v="0.43"/>
    <n v="0.15"/>
    <n v="3.5000000000000003E-2"/>
    <n v="0.72000000000000008"/>
    <x v="1"/>
    <s v="R 12"/>
    <n v="61625"/>
    <n v="68875"/>
    <n v="7250"/>
    <n v="5220.0000000000009"/>
    <n v="66845"/>
    <n v="22058.850000000002"/>
    <n v="71345"/>
    <n v="74345"/>
    <n v="10360975"/>
    <n v="11058475"/>
    <n v="11523475"/>
    <n v="0"/>
    <n v="880682.87500000012"/>
    <n v="2"/>
    <n v="290000"/>
    <n v="290000"/>
    <n v="10650975"/>
  </r>
  <r>
    <m/>
    <s v="D"/>
    <x v="37"/>
    <x v="0"/>
    <n v="3"/>
    <n v="4"/>
    <x v="755"/>
    <s v="3 BEDROOM"/>
    <x v="2"/>
    <n v="127.15"/>
    <n v="138.24398301113769"/>
    <n v="155"/>
    <m/>
    <m/>
    <s v="NW"/>
    <s v="MIDDLE"/>
    <s v="ROAD 12M"/>
    <s v="THIRD"/>
    <s v="C"/>
    <n v="0.13"/>
    <n v="2.5000000000000001E-2"/>
    <n v="0.13"/>
    <n v="0.15"/>
    <n v="3.5000000000000003E-2"/>
    <n v="0.47000000000000008"/>
    <x v="0"/>
    <s v="R 12"/>
    <n v="61625"/>
    <n v="68875"/>
    <n v="7250"/>
    <n v="3407.5000000000005"/>
    <n v="65032.5"/>
    <n v="21460.725000000002"/>
    <n v="69532.5"/>
    <n v="72532.5"/>
    <n v="10080037.5"/>
    <n v="10777537.5"/>
    <n v="11242537.5"/>
    <n v="0"/>
    <n v="856803.18750000012"/>
    <n v="2"/>
    <n v="290000"/>
    <n v="290000"/>
    <n v="10370037.5"/>
  </r>
  <r>
    <m/>
    <s v="D"/>
    <x v="37"/>
    <x v="0"/>
    <n v="4"/>
    <n v="1"/>
    <x v="756"/>
    <s v="3 BEDROOM"/>
    <x v="2"/>
    <n v="129.5"/>
    <n v="140.79902320049018"/>
    <n v="158"/>
    <m/>
    <m/>
    <s v="NW"/>
    <s v="CORNER "/>
    <s v="ROAD 12M"/>
    <s v="FORTH"/>
    <s v="C"/>
    <n v="0.13"/>
    <n v="0.05"/>
    <n v="0.13"/>
    <n v="0.06"/>
    <n v="3.5000000000000003E-2"/>
    <n v="0.40500000000000003"/>
    <x v="0"/>
    <s v="R 6"/>
    <n v="48450.000000000007"/>
    <n v="54150.000000000007"/>
    <n v="5700"/>
    <n v="2308.5"/>
    <n v="50758.500000000007"/>
    <n v="16750.305000000004"/>
    <n v="55258.500000000007"/>
    <n v="58258.500000000007"/>
    <n v="8019843.0000000009"/>
    <n v="8730843.0000000019"/>
    <n v="9204843.0000000019"/>
    <n v="0"/>
    <n v="681686.65500000014"/>
    <n v="2"/>
    <n v="228000.00000000003"/>
    <n v="228000.00000000003"/>
    <n v="8247843.0000000009"/>
  </r>
  <r>
    <m/>
    <s v="D"/>
    <x v="37"/>
    <x v="0"/>
    <n v="4"/>
    <n v="2"/>
    <x v="757"/>
    <s v="3 BEDROOM"/>
    <x v="2"/>
    <n v="131.66"/>
    <n v="143.14748567240571"/>
    <n v="161"/>
    <m/>
    <m/>
    <s v="SE"/>
    <s v="CORNER "/>
    <s v="LAKE D"/>
    <s v="FORTH"/>
    <s v="D"/>
    <n v="0.08"/>
    <n v="0.05"/>
    <n v="0.43"/>
    <n v="0.06"/>
    <n v="2.5000000000000001E-2"/>
    <n v="0.64500000000000013"/>
    <x v="1"/>
    <s v="R 4"/>
    <n v="45687.5"/>
    <n v="51062.5"/>
    <n v="5375"/>
    <n v="3466.8750000000009"/>
    <n v="49154.375"/>
    <n v="16220.94375"/>
    <n v="53654.375"/>
    <n v="56654.375"/>
    <n v="7913854.375"/>
    <n v="8638354.375"/>
    <n v="9121354.375"/>
    <n v="0"/>
    <n v="672677.62187500007"/>
    <n v="2"/>
    <n v="215000"/>
    <n v="215000"/>
    <n v="8128854.375"/>
  </r>
  <r>
    <m/>
    <s v="D"/>
    <x v="37"/>
    <x v="0"/>
    <n v="4"/>
    <n v="3"/>
    <x v="758"/>
    <s v="3 BEDROOM"/>
    <x v="2"/>
    <n v="126.88"/>
    <n v="137.95042520214821"/>
    <n v="155"/>
    <m/>
    <m/>
    <s v="SE"/>
    <s v="MIDDLE"/>
    <s v="LAKE D"/>
    <s v="FORTH"/>
    <s v="C"/>
    <n v="0.08"/>
    <n v="2.5000000000000001E-2"/>
    <n v="0.43"/>
    <n v="0.06"/>
    <n v="3.5000000000000003E-2"/>
    <n v="0.63"/>
    <x v="1"/>
    <s v="R 3"/>
    <n v="44625"/>
    <n v="49875"/>
    <n v="5250"/>
    <n v="3307.5"/>
    <n v="47932.5"/>
    <n v="15817.725"/>
    <n v="52432.5"/>
    <n v="55432.5"/>
    <n v="7429537.5"/>
    <n v="8127037.5"/>
    <n v="8592037.5"/>
    <n v="0"/>
    <n v="631510.6875"/>
    <n v="2"/>
    <n v="210000"/>
    <n v="210000"/>
    <n v="7639537.5"/>
  </r>
  <r>
    <m/>
    <s v="D"/>
    <x v="37"/>
    <x v="0"/>
    <n v="4"/>
    <n v="4"/>
    <x v="759"/>
    <s v="3 BEDROOM"/>
    <x v="2"/>
    <n v="125.09"/>
    <n v="136.00424565366268"/>
    <n v="153"/>
    <m/>
    <m/>
    <s v="NW"/>
    <s v="MIDDLE"/>
    <s v="ROAD 12M"/>
    <s v="FORTH"/>
    <s v="C"/>
    <n v="0.13"/>
    <n v="2.5000000000000001E-2"/>
    <n v="0.13"/>
    <n v="0.06"/>
    <n v="3.5000000000000003E-2"/>
    <n v="0.38"/>
    <x v="0"/>
    <s v="R 3"/>
    <n v="44625"/>
    <n v="49875"/>
    <n v="5250"/>
    <n v="1995"/>
    <n v="46620"/>
    <n v="15384.6"/>
    <n v="51120"/>
    <n v="54120"/>
    <n v="7132860"/>
    <n v="7821360"/>
    <n v="8280360"/>
    <n v="0"/>
    <n v="606293.10000000009"/>
    <n v="2"/>
    <n v="210000"/>
    <n v="210000"/>
    <n v="7342860"/>
  </r>
  <r>
    <s v="C3"/>
    <s v="E"/>
    <x v="38"/>
    <x v="0"/>
    <n v="0"/>
    <n v="1"/>
    <x v="760"/>
    <s v="2 BEDROOM"/>
    <x v="2"/>
    <n v="88.49"/>
    <n v="96.199295659590803"/>
    <n v="108"/>
    <n v="67.980199999999996"/>
    <m/>
    <s v="SE"/>
    <s v="MIDDLE"/>
    <s v="ROAD 12M"/>
    <s v="GROUND"/>
    <s v="B"/>
    <n v="0.08"/>
    <n v="2.5000000000000001E-2"/>
    <n v="0.13"/>
    <n v="0.05"/>
    <n v="0.04"/>
    <n v="0.32500000000000001"/>
    <x v="0"/>
    <s v="R 1"/>
    <n v="42500"/>
    <n v="47500"/>
    <n v="5000"/>
    <n v="1625"/>
    <n v="44125"/>
    <n v="14561.25"/>
    <n v="48625"/>
    <n v="51625"/>
    <n v="4765500"/>
    <n v="5251500"/>
    <n v="5575500"/>
    <n v="989876.68724999996"/>
    <n v="489207.01841625001"/>
    <n v="1"/>
    <n v="200000"/>
    <n v="200000"/>
    <n v="5955376.6872499995"/>
  </r>
  <r>
    <m/>
    <s v="E"/>
    <x v="38"/>
    <x v="0"/>
    <n v="0"/>
    <n v="2"/>
    <x v="761"/>
    <s v="3 BEDROOM"/>
    <x v="2"/>
    <n v="124.72"/>
    <n v="135.58567244506912"/>
    <n v="152"/>
    <n v="85.417599999999993"/>
    <m/>
    <s v="NW"/>
    <s v="MIDDLE"/>
    <s v="LAKE E"/>
    <s v="GROUND"/>
    <s v="C"/>
    <n v="0.13"/>
    <n v="2.5000000000000001E-2"/>
    <n v="0.43"/>
    <n v="0.05"/>
    <n v="3.5000000000000003E-2"/>
    <n v="0.67"/>
    <x v="1"/>
    <s v="R 6"/>
    <n v="48450.000000000007"/>
    <n v="54150.000000000007"/>
    <n v="5700"/>
    <n v="3819.0000000000005"/>
    <n v="52269.000000000007"/>
    <n v="17248.770000000004"/>
    <n v="56769.000000000007"/>
    <n v="59769.000000000007"/>
    <n v="7944888.0000000009"/>
    <n v="8628888.0000000019"/>
    <n v="9084888.0000000019"/>
    <n v="1473348.5363520002"/>
    <n v="800550.10558992019"/>
    <n v="2"/>
    <n v="228000.00000000003"/>
    <n v="228000.00000000003"/>
    <n v="9646236.5363520011"/>
  </r>
  <r>
    <m/>
    <s v="E"/>
    <x v="38"/>
    <x v="0"/>
    <n v="0"/>
    <n v="3"/>
    <x v="762"/>
    <s v="3 BEDROOM"/>
    <x v="2"/>
    <n v="129.5"/>
    <n v="140.78210857630253"/>
    <n v="158"/>
    <n v="84.0732"/>
    <m/>
    <s v="NW"/>
    <s v="CORNER "/>
    <s v="LAKE E"/>
    <s v="GROUND"/>
    <s v="C"/>
    <n v="0.13"/>
    <n v="0.05"/>
    <n v="0.43"/>
    <n v="0.05"/>
    <n v="3.5000000000000003E-2"/>
    <n v="0.69500000000000006"/>
    <x v="1"/>
    <s v="R 9"/>
    <n v="53550"/>
    <n v="59850"/>
    <n v="6300"/>
    <n v="4378.5"/>
    <n v="57928.5"/>
    <n v="19116.405000000002"/>
    <n v="62428.5"/>
    <n v="65428.5"/>
    <n v="9152703"/>
    <n v="9863703"/>
    <n v="10337703"/>
    <n v="1607177.3408460002"/>
    <n v="914589.82897191006"/>
    <n v="2"/>
    <n v="252000"/>
    <n v="252000"/>
    <n v="11011880.340846"/>
  </r>
  <r>
    <m/>
    <s v="E"/>
    <x v="38"/>
    <x v="0"/>
    <n v="0"/>
    <n v="4"/>
    <x v="763"/>
    <s v="3 BEDROOM"/>
    <x v="2"/>
    <n v="131.68"/>
    <n v="143.15203133071444"/>
    <n v="161"/>
    <n v="84.652000000000001"/>
    <m/>
    <s v="SE"/>
    <s v="CORNER "/>
    <s v="ROAD 12M"/>
    <s v="GROUND"/>
    <s v="D"/>
    <n v="0.08"/>
    <n v="0.05"/>
    <n v="0.13"/>
    <n v="0.05"/>
    <n v="2.5000000000000001E-2"/>
    <n v="0.33500000000000002"/>
    <x v="0"/>
    <s v="R 1"/>
    <n v="42500"/>
    <n v="47500"/>
    <n v="5000"/>
    <n v="1675"/>
    <n v="44175"/>
    <n v="14577.75"/>
    <n v="48675"/>
    <n v="51675"/>
    <n v="7112175"/>
    <n v="7836675"/>
    <n v="8319675"/>
    <n v="1234035.693"/>
    <n v="709427.90890500008"/>
    <n v="2"/>
    <n v="200000"/>
    <n v="200000"/>
    <n v="8546210.693"/>
  </r>
  <r>
    <m/>
    <s v="E"/>
    <x v="38"/>
    <x v="0"/>
    <n v="1"/>
    <n v="1"/>
    <x v="764"/>
    <s v="2 BEDROOM"/>
    <x v="2"/>
    <n v="88.79"/>
    <n v="96.525431818454848"/>
    <n v="108"/>
    <m/>
    <m/>
    <s v="SE"/>
    <s v="MIDDLE"/>
    <s v="ROAD 12M"/>
    <s v="FIRST"/>
    <s v="B"/>
    <n v="0.08"/>
    <n v="2.5000000000000001E-2"/>
    <n v="0.13"/>
    <n v="7.0000000000000007E-2"/>
    <n v="0.04"/>
    <n v="0.34500000000000003"/>
    <x v="0"/>
    <s v="R 1"/>
    <n v="42500"/>
    <n v="47500"/>
    <n v="5000"/>
    <n v="1725.0000000000002"/>
    <n v="44225"/>
    <n v="14594.25"/>
    <n v="48725"/>
    <n v="51725"/>
    <n v="4776300"/>
    <n v="5262300"/>
    <n v="5586300"/>
    <n v="0"/>
    <n v="405985.50000000006"/>
    <n v="1"/>
    <n v="200000"/>
    <n v="200000"/>
    <n v="4976300"/>
  </r>
  <r>
    <m/>
    <s v="E"/>
    <x v="38"/>
    <x v="0"/>
    <n v="1"/>
    <n v="2"/>
    <x v="765"/>
    <s v="3 BEDROOM"/>
    <x v="2"/>
    <n v="126.34"/>
    <n v="137.34680770293485"/>
    <n v="154"/>
    <m/>
    <m/>
    <s v="NW"/>
    <s v="MIDDLE"/>
    <s v="LAKE E"/>
    <s v="FIRST"/>
    <s v="C"/>
    <n v="0.13"/>
    <n v="2.5000000000000001E-2"/>
    <n v="0.43"/>
    <n v="7.0000000000000007E-2"/>
    <n v="3.5000000000000003E-2"/>
    <n v="0.69000000000000006"/>
    <x v="1"/>
    <s v="R 8"/>
    <n v="51850"/>
    <n v="57950"/>
    <n v="6100"/>
    <n v="4209"/>
    <n v="56059"/>
    <n v="18499.47"/>
    <n v="60559"/>
    <n v="63559"/>
    <n v="8633086"/>
    <n v="9326086"/>
    <n v="9788086"/>
    <n v="0"/>
    <n v="733812.31"/>
    <n v="2"/>
    <n v="244000"/>
    <n v="244000"/>
    <n v="8877086"/>
  </r>
  <r>
    <m/>
    <s v="E"/>
    <x v="38"/>
    <x v="0"/>
    <n v="1"/>
    <n v="3"/>
    <x v="766"/>
    <s v="3 BEDROOM"/>
    <x v="2"/>
    <n v="131.12"/>
    <n v="142.54324383416824"/>
    <n v="160"/>
    <m/>
    <m/>
    <s v="NW"/>
    <s v="CORNER "/>
    <s v="LAKE E"/>
    <s v="FIRST"/>
    <s v="D"/>
    <n v="0.13"/>
    <n v="0.05"/>
    <n v="0.43"/>
    <n v="7.0000000000000007E-2"/>
    <n v="2.5000000000000001E-2"/>
    <n v="0.70499999999999996"/>
    <x v="1"/>
    <s v="R 12"/>
    <n v="61625"/>
    <n v="68875"/>
    <n v="7250"/>
    <n v="5111.25"/>
    <n v="66736.25"/>
    <n v="22022.962500000001"/>
    <n v="71236.25"/>
    <n v="74236.25"/>
    <n v="10677800"/>
    <n v="11397800"/>
    <n v="11877800"/>
    <n v="0"/>
    <n v="907613.00000000012"/>
    <n v="2"/>
    <n v="290000"/>
    <n v="290000"/>
    <n v="10967800"/>
  </r>
  <r>
    <m/>
    <s v="E"/>
    <x v="38"/>
    <x v="0"/>
    <n v="1"/>
    <n v="4"/>
    <x v="767"/>
    <s v="3 BEDROOM"/>
    <x v="2"/>
    <n v="128.56"/>
    <n v="139.76021527852859"/>
    <n v="157"/>
    <m/>
    <m/>
    <s v="SE"/>
    <s v="CORNER "/>
    <s v="ROAD 12M"/>
    <s v="FIRST"/>
    <s v="C"/>
    <n v="0.08"/>
    <n v="0.05"/>
    <n v="0.13"/>
    <n v="7.0000000000000007E-2"/>
    <n v="3.5000000000000003E-2"/>
    <n v="0.36499999999999999"/>
    <x v="0"/>
    <s v="R 2"/>
    <n v="43562.499999999993"/>
    <n v="48687.499999999993"/>
    <n v="5125"/>
    <n v="1870.625"/>
    <n v="45433.124999999993"/>
    <n v="14992.931249999998"/>
    <n v="49933.124999999993"/>
    <n v="52933.124999999993"/>
    <n v="7133000.6249999991"/>
    <n v="7839500.6249999991"/>
    <n v="8310500.6249999991"/>
    <n v="0"/>
    <n v="606305.05312499998"/>
    <n v="2"/>
    <n v="204999.99999999997"/>
    <n v="204999.99999999997"/>
    <n v="7338000.6249999991"/>
  </r>
  <r>
    <m/>
    <s v="E"/>
    <x v="38"/>
    <x v="0"/>
    <n v="2"/>
    <n v="1"/>
    <x v="768"/>
    <s v="3 BEDROOM"/>
    <x v="2"/>
    <n v="127.15"/>
    <n v="138.22737533186771"/>
    <n v="155"/>
    <m/>
    <m/>
    <s v="SE"/>
    <s v="MIDDLE"/>
    <s v="ROAD 12M"/>
    <s v="SECOND"/>
    <s v="C"/>
    <n v="0.08"/>
    <n v="2.5000000000000001E-2"/>
    <n v="0.13"/>
    <n v="0.11"/>
    <n v="3.5000000000000003E-2"/>
    <n v="0.38"/>
    <x v="0"/>
    <s v="R 3"/>
    <n v="44625"/>
    <n v="49875"/>
    <n v="5250"/>
    <n v="1995"/>
    <n v="46620"/>
    <n v="15384.6"/>
    <n v="51120"/>
    <n v="54120"/>
    <n v="7226100"/>
    <n v="7923600"/>
    <n v="8388600"/>
    <n v="0"/>
    <n v="614218.5"/>
    <n v="2"/>
    <n v="210000"/>
    <n v="210000"/>
    <n v="7436100"/>
  </r>
  <r>
    <m/>
    <s v="E"/>
    <x v="38"/>
    <x v="0"/>
    <n v="2"/>
    <n v="2"/>
    <x v="769"/>
    <s v="3 BEDROOM"/>
    <x v="2"/>
    <n v="126.78"/>
    <n v="137.82514073593541"/>
    <n v="155"/>
    <m/>
    <m/>
    <s v="NW"/>
    <s v="MIDDLE"/>
    <s v="LAKE E"/>
    <s v="SECOND"/>
    <s v="C"/>
    <n v="0.13"/>
    <n v="2.5000000000000001E-2"/>
    <n v="0.43"/>
    <n v="0.11"/>
    <n v="3.5000000000000003E-2"/>
    <n v="0.73"/>
    <x v="2"/>
    <s v="R 1"/>
    <n v="42500"/>
    <n v="47500"/>
    <n v="5000"/>
    <n v="3650"/>
    <n v="46150"/>
    <n v="15229.5"/>
    <n v="50650"/>
    <n v="53650"/>
    <n v="7153250"/>
    <n v="7850750"/>
    <n v="8315750"/>
    <n v="0"/>
    <n v="608026.25"/>
    <n v="2"/>
    <n v="200000"/>
    <n v="200000"/>
    <n v="7353250"/>
  </r>
  <r>
    <m/>
    <s v="E"/>
    <x v="38"/>
    <x v="0"/>
    <n v="2"/>
    <n v="3"/>
    <x v="770"/>
    <s v="3 BEDROOM"/>
    <x v="2"/>
    <n v="131.56"/>
    <n v="143.02157686716882"/>
    <n v="161"/>
    <m/>
    <m/>
    <s v="NW"/>
    <s v="CORNER "/>
    <s v="LAKE E"/>
    <s v="SECOND"/>
    <s v="D"/>
    <n v="0.13"/>
    <n v="0.05"/>
    <n v="0.43"/>
    <n v="0.11"/>
    <n v="2.5000000000000001E-2"/>
    <n v="0.745"/>
    <x v="2"/>
    <s v="R 1"/>
    <n v="42500"/>
    <n v="47500"/>
    <n v="5000"/>
    <n v="3725"/>
    <n v="46225"/>
    <n v="15254.25"/>
    <n v="50725"/>
    <n v="53725"/>
    <n v="7442225"/>
    <n v="8166725"/>
    <n v="8649725"/>
    <n v="0"/>
    <n v="632589.125"/>
    <n v="2"/>
    <n v="200000"/>
    <n v="200000"/>
    <n v="7642225"/>
  </r>
  <r>
    <m/>
    <s v="E"/>
    <x v="38"/>
    <x v="0"/>
    <n v="2"/>
    <n v="4"/>
    <x v="771"/>
    <s v="3 BEDROOM"/>
    <x v="2"/>
    <n v="131.56"/>
    <n v="143.02157686716882"/>
    <n v="161"/>
    <m/>
    <m/>
    <s v="SE"/>
    <s v="CORNER "/>
    <s v="ROAD 12M"/>
    <s v="SECOND"/>
    <s v="D"/>
    <n v="0.08"/>
    <n v="0.05"/>
    <n v="0.13"/>
    <n v="0.11"/>
    <n v="2.5000000000000001E-2"/>
    <n v="0.39500000000000002"/>
    <x v="0"/>
    <s v="R 4"/>
    <n v="45687.5"/>
    <n v="51062.5"/>
    <n v="5375"/>
    <n v="2123.125"/>
    <n v="47810.625"/>
    <n v="15777.50625"/>
    <n v="52310.625"/>
    <n v="55310.625"/>
    <n v="7697510.625"/>
    <n v="8422010.625"/>
    <n v="8905010.625"/>
    <n v="0"/>
    <n v="654288.40312500007"/>
    <n v="2"/>
    <n v="215000"/>
    <n v="215000"/>
    <n v="7912510.625"/>
  </r>
  <r>
    <m/>
    <s v="E"/>
    <x v="38"/>
    <x v="0"/>
    <n v="3"/>
    <n v="1"/>
    <x v="772"/>
    <s v="3 BEDROOM"/>
    <x v="2"/>
    <n v="127.45"/>
    <n v="138.55351149073172"/>
    <n v="155"/>
    <m/>
    <m/>
    <s v="SE"/>
    <s v="MIDDLE"/>
    <s v="ROAD 12M"/>
    <s v="THIRD"/>
    <s v="C"/>
    <n v="0.08"/>
    <n v="2.5000000000000001E-2"/>
    <n v="0.13"/>
    <n v="0.15"/>
    <n v="3.5000000000000003E-2"/>
    <n v="0.42000000000000004"/>
    <x v="0"/>
    <s v="R 7"/>
    <n v="50150"/>
    <n v="56050"/>
    <n v="5900"/>
    <n v="2478.0000000000005"/>
    <n v="52628"/>
    <n v="17367.240000000002"/>
    <n v="57128"/>
    <n v="60128"/>
    <n v="8157340"/>
    <n v="8854840"/>
    <n v="9319840"/>
    <n v="0"/>
    <n v="693373.9"/>
    <n v="2"/>
    <n v="236000"/>
    <n v="236000"/>
    <n v="8393340"/>
  </r>
  <r>
    <m/>
    <s v="E"/>
    <x v="38"/>
    <x v="0"/>
    <n v="3"/>
    <n v="2"/>
    <x v="773"/>
    <s v="3 BEDROOM"/>
    <x v="2"/>
    <n v="126.88"/>
    <n v="137.93385278889008"/>
    <n v="155"/>
    <m/>
    <m/>
    <s v="NW"/>
    <s v="MIDDLE"/>
    <s v="LAKE E"/>
    <s v="THIRD"/>
    <s v="C"/>
    <n v="0.13"/>
    <n v="2.5000000000000001E-2"/>
    <n v="0.43"/>
    <n v="0.15"/>
    <n v="3.5000000000000003E-2"/>
    <n v="0.77"/>
    <x v="2"/>
    <s v="R 3"/>
    <n v="44625"/>
    <n v="49875"/>
    <n v="5250"/>
    <n v="4042.5"/>
    <n v="48667.5"/>
    <n v="16060.275000000001"/>
    <n v="53167.5"/>
    <n v="56167.5"/>
    <n v="7543462.5"/>
    <n v="8240962.5"/>
    <n v="8705962.5"/>
    <n v="0"/>
    <n v="641194.3125"/>
    <n v="2"/>
    <n v="210000"/>
    <n v="210000"/>
    <n v="7753462.5"/>
  </r>
  <r>
    <m/>
    <s v="E"/>
    <x v="38"/>
    <x v="0"/>
    <n v="3"/>
    <n v="3"/>
    <x v="774"/>
    <s v="3 BEDROOM"/>
    <x v="2"/>
    <n v="131.66"/>
    <n v="143.13028892012346"/>
    <n v="161"/>
    <m/>
    <m/>
    <s v="NW"/>
    <s v="CORNER "/>
    <s v="LAKE E"/>
    <s v="THIRD"/>
    <s v="D"/>
    <n v="0.13"/>
    <n v="0.05"/>
    <n v="0.43"/>
    <n v="0.15"/>
    <n v="2.5000000000000001E-2"/>
    <n v="0.78500000000000003"/>
    <x v="2"/>
    <s v="R 5"/>
    <n v="46750.000000000007"/>
    <n v="52250.000000000007"/>
    <n v="5500"/>
    <n v="4317.5"/>
    <n v="51067.500000000007"/>
    <n v="16852.275000000001"/>
    <n v="55567.500000000007"/>
    <n v="58567.500000000007"/>
    <n v="8221867.5000000009"/>
    <n v="8946367.5000000019"/>
    <n v="9429367.5000000019"/>
    <n v="0"/>
    <n v="698858.73750000016"/>
    <n v="2"/>
    <n v="220000.00000000003"/>
    <n v="220000.00000000003"/>
    <n v="8441867.5000000019"/>
  </r>
  <r>
    <m/>
    <s v="E"/>
    <x v="38"/>
    <x v="0"/>
    <n v="3"/>
    <n v="4"/>
    <x v="775"/>
    <s v="3 BEDROOM"/>
    <x v="2"/>
    <n v="131.86000000000001"/>
    <n v="143.34771302603284"/>
    <n v="161"/>
    <m/>
    <m/>
    <s v="SE"/>
    <s v="CORNER "/>
    <s v="ROAD 12M"/>
    <s v="THIRD"/>
    <s v="D"/>
    <n v="0.08"/>
    <n v="0.05"/>
    <n v="0.13"/>
    <n v="0.15"/>
    <n v="2.5000000000000001E-2"/>
    <n v="0.43500000000000005"/>
    <x v="0"/>
    <s v="R 8"/>
    <n v="51850"/>
    <n v="57950"/>
    <n v="6100"/>
    <n v="2653.5000000000005"/>
    <n v="54503.5"/>
    <n v="17986.155000000002"/>
    <n v="59003.5"/>
    <n v="62003.5"/>
    <n v="8775063.5"/>
    <n v="9499563.5"/>
    <n v="9982563.5"/>
    <n v="0"/>
    <n v="745880.39750000008"/>
    <n v="2"/>
    <n v="244000"/>
    <n v="244000"/>
    <n v="9019063.5"/>
  </r>
  <r>
    <m/>
    <s v="E"/>
    <x v="38"/>
    <x v="0"/>
    <n v="4"/>
    <n v="1"/>
    <x v="776"/>
    <s v="3 BEDROOM"/>
    <x v="2"/>
    <n v="125.09"/>
    <n v="135.98790704100142"/>
    <n v="153"/>
    <m/>
    <m/>
    <s v="SE"/>
    <s v="MIDDLE"/>
    <s v="ROAD 12M"/>
    <s v="FORTH"/>
    <s v="C"/>
    <n v="0.08"/>
    <n v="2.5000000000000001E-2"/>
    <n v="0.13"/>
    <n v="0.06"/>
    <n v="3.5000000000000003E-2"/>
    <n v="0.33000000000000007"/>
    <x v="0"/>
    <s v="R 1"/>
    <n v="42500"/>
    <n v="47500"/>
    <n v="5000"/>
    <n v="1650.0000000000005"/>
    <n v="44150"/>
    <n v="14569.5"/>
    <n v="48650"/>
    <n v="51650"/>
    <n v="6754950"/>
    <n v="7443450"/>
    <n v="7902450"/>
    <n v="0"/>
    <n v="574170.75"/>
    <n v="2"/>
    <n v="200000"/>
    <n v="200000"/>
    <n v="6954950"/>
  </r>
  <r>
    <m/>
    <s v="E"/>
    <x v="38"/>
    <x v="0"/>
    <n v="4"/>
    <n v="2"/>
    <x v="777"/>
    <s v="3 BEDROOM"/>
    <x v="2"/>
    <n v="126.88"/>
    <n v="137.93385278889008"/>
    <n v="155"/>
    <m/>
    <m/>
    <s v="NW"/>
    <s v="MIDDLE"/>
    <s v="LAKE E"/>
    <s v="FORTH"/>
    <s v="C"/>
    <n v="0.13"/>
    <n v="2.5000000000000001E-2"/>
    <n v="0.43"/>
    <n v="0.06"/>
    <n v="3.5000000000000003E-2"/>
    <n v="0.68"/>
    <x v="1"/>
    <s v="R 7"/>
    <n v="50150"/>
    <n v="56050"/>
    <n v="5900"/>
    <n v="4012.0000000000005"/>
    <n v="54162"/>
    <n v="17873.46"/>
    <n v="58662"/>
    <n v="61662"/>
    <n v="8395110"/>
    <n v="9092610"/>
    <n v="9557610"/>
    <n v="0"/>
    <n v="713584.35000000009"/>
    <n v="2"/>
    <n v="236000"/>
    <n v="236000"/>
    <n v="8631110"/>
  </r>
  <r>
    <m/>
    <s v="E"/>
    <x v="38"/>
    <x v="0"/>
    <n v="4"/>
    <n v="3"/>
    <x v="778"/>
    <s v="3 BEDROOM"/>
    <x v="2"/>
    <n v="131.66"/>
    <n v="143.13028892012346"/>
    <n v="161"/>
    <m/>
    <m/>
    <s v="NW"/>
    <s v="CORNER "/>
    <s v="LAKE E"/>
    <s v="FORTH"/>
    <s v="D"/>
    <n v="0.13"/>
    <n v="0.05"/>
    <n v="0.43"/>
    <n v="0.06"/>
    <n v="2.5000000000000001E-2"/>
    <n v="0.69499999999999995"/>
    <x v="1"/>
    <s v="R 8"/>
    <n v="51850"/>
    <n v="57950"/>
    <n v="6100"/>
    <n v="4239.5"/>
    <n v="56089.5"/>
    <n v="18509.535"/>
    <n v="60589.5"/>
    <n v="63589.5"/>
    <n v="9030409.5"/>
    <n v="9754909.5"/>
    <n v="10237909.5"/>
    <n v="0"/>
    <n v="767584.80750000011"/>
    <n v="2"/>
    <n v="244000"/>
    <n v="244000"/>
    <n v="9274409.5"/>
  </r>
  <r>
    <m/>
    <s v="E"/>
    <x v="38"/>
    <x v="0"/>
    <n v="4"/>
    <n v="4"/>
    <x v="779"/>
    <s v="3 BEDROOM"/>
    <x v="2"/>
    <n v="129.5"/>
    <n v="140.78210857630253"/>
    <n v="158"/>
    <m/>
    <m/>
    <s v="SE"/>
    <s v="CORNER "/>
    <s v="ROAD 12M"/>
    <s v="FORTH"/>
    <s v="C"/>
    <n v="0.08"/>
    <n v="0.05"/>
    <n v="0.13"/>
    <n v="0.06"/>
    <n v="3.5000000000000003E-2"/>
    <n v="0.35499999999999998"/>
    <x v="0"/>
    <s v="R 1"/>
    <n v="42500"/>
    <n v="47500"/>
    <n v="5000"/>
    <n v="1775"/>
    <n v="44275"/>
    <n v="14610.75"/>
    <n v="48775"/>
    <n v="51775"/>
    <n v="6995450"/>
    <n v="7706450"/>
    <n v="8180450"/>
    <n v="0"/>
    <n v="594613.25"/>
    <n v="2"/>
    <n v="200000"/>
    <n v="200000"/>
    <n v="7195450"/>
  </r>
  <r>
    <s v="C3"/>
    <s v="E"/>
    <x v="39"/>
    <x v="0"/>
    <n v="0"/>
    <n v="1"/>
    <x v="780"/>
    <s v="3 BEDROOM"/>
    <x v="2"/>
    <n v="131.68"/>
    <n v="143.16923069529381"/>
    <n v="161"/>
    <n v="85.031800000000004"/>
    <m/>
    <s v="SE"/>
    <s v="CORNER "/>
    <s v="ROAD 18M (VILLAS)"/>
    <s v="GROUND"/>
    <s v="D"/>
    <n v="0.08"/>
    <n v="0.05"/>
    <n v="0.16"/>
    <n v="0.05"/>
    <n v="2.5000000000000001E-2"/>
    <n v="0.36500000000000005"/>
    <x v="0"/>
    <s v="R 1"/>
    <n v="42500"/>
    <n v="47500"/>
    <n v="5000"/>
    <n v="1825.0000000000002"/>
    <n v="44325"/>
    <n v="14627.25"/>
    <n v="48825"/>
    <n v="51825"/>
    <n v="7136325"/>
    <n v="7860825"/>
    <n v="8343825"/>
    <n v="1243781.3965499999"/>
    <n v="712309.04370675003"/>
    <n v="2"/>
    <n v="200000"/>
    <n v="200000"/>
    <n v="8580106.3965499997"/>
  </r>
  <r>
    <m/>
    <s v="E"/>
    <x v="39"/>
    <x v="0"/>
    <n v="0"/>
    <n v="2"/>
    <x v="781"/>
    <s v="3 BEDROOM"/>
    <x v="2"/>
    <n v="129.5"/>
    <n v="140.79902320049018"/>
    <n v="158"/>
    <n v="84.0732"/>
    <m/>
    <s v="NW"/>
    <s v="CORNER "/>
    <s v="LAKE E"/>
    <s v="GROUND"/>
    <s v="C"/>
    <n v="0.13"/>
    <n v="0.05"/>
    <n v="0.43"/>
    <n v="0.05"/>
    <n v="3.5000000000000003E-2"/>
    <n v="0.69500000000000006"/>
    <x v="1"/>
    <s v="R 4"/>
    <n v="45687.5"/>
    <n v="51062.5"/>
    <n v="5375"/>
    <n v="3735.6250000000005"/>
    <n v="49423.125"/>
    <n v="16309.63125"/>
    <n v="53923.125"/>
    <n v="56923.125"/>
    <n v="7808853.75"/>
    <n v="8519853.75"/>
    <n v="8993853.75"/>
    <n v="1371202.8900075001"/>
    <n v="780304.81440063752"/>
    <n v="2"/>
    <n v="215000"/>
    <n v="215000"/>
    <n v="9395056.6400074996"/>
  </r>
  <r>
    <m/>
    <s v="E"/>
    <x v="39"/>
    <x v="0"/>
    <n v="0"/>
    <n v="3"/>
    <x v="782"/>
    <s v="3 BEDROOM"/>
    <x v="2"/>
    <n v="124.72"/>
    <n v="135.60196273023271"/>
    <n v="152"/>
    <n v="85.417599999999993"/>
    <m/>
    <s v="NW"/>
    <s v="MIDDLE"/>
    <s v="LAKE E"/>
    <s v="GROUND"/>
    <s v="C"/>
    <n v="0.13"/>
    <n v="2.5000000000000001E-2"/>
    <n v="0.43"/>
    <n v="0.05"/>
    <n v="3.5000000000000003E-2"/>
    <n v="0.67"/>
    <x v="1"/>
    <s v="R 6"/>
    <n v="48450.000000000007"/>
    <n v="54150.000000000007"/>
    <n v="5700"/>
    <n v="3819.0000000000005"/>
    <n v="52269.000000000007"/>
    <n v="17248.770000000004"/>
    <n v="56769.000000000007"/>
    <n v="59769.000000000007"/>
    <n v="7944888.0000000009"/>
    <n v="8628888.0000000019"/>
    <n v="9084888.0000000019"/>
    <n v="1473348.5363520002"/>
    <n v="800550.10558992019"/>
    <n v="2"/>
    <n v="228000.00000000003"/>
    <n v="228000.00000000003"/>
    <n v="9646236.5363520011"/>
  </r>
  <r>
    <m/>
    <s v="E"/>
    <x v="39"/>
    <x v="0"/>
    <n v="0"/>
    <n v="4"/>
    <x v="783"/>
    <s v="2 BEDROOM"/>
    <x v="2"/>
    <n v="88.49"/>
    <n v="96.210853768427611"/>
    <n v="108"/>
    <n v="68.089699999999993"/>
    <m/>
    <s v="SE"/>
    <s v="MIDDLE"/>
    <s v="ROAD 12M"/>
    <s v="GROUND"/>
    <s v="B"/>
    <n v="0.08"/>
    <n v="2.5000000000000001E-2"/>
    <n v="0.13"/>
    <n v="0.05"/>
    <n v="0.04"/>
    <n v="0.32500000000000001"/>
    <x v="0"/>
    <s v="R 3"/>
    <n v="44625"/>
    <n v="49875"/>
    <n v="5250"/>
    <n v="1706.25"/>
    <n v="46331.25"/>
    <n v="15289.3125"/>
    <n v="50831.25"/>
    <n v="53831.25"/>
    <n v="5003775"/>
    <n v="5489775"/>
    <n v="5813775"/>
    <n v="1041044.7013312499"/>
    <n v="513809.6746131563"/>
    <n v="1"/>
    <n v="210000"/>
    <n v="210000"/>
    <n v="6254819.7013312504"/>
  </r>
  <r>
    <m/>
    <s v="E"/>
    <x v="39"/>
    <x v="0"/>
    <n v="1"/>
    <n v="1"/>
    <x v="784"/>
    <s v="3 BEDROOM"/>
    <x v="2"/>
    <n v="128.56"/>
    <n v="139.77700712474919"/>
    <n v="157"/>
    <m/>
    <m/>
    <s v="SE"/>
    <s v="CORNER "/>
    <s v="LAKE F"/>
    <s v="FIRST"/>
    <s v="C"/>
    <n v="0.08"/>
    <n v="0.05"/>
    <n v="0.3"/>
    <n v="7.0000000000000007E-2"/>
    <n v="3.5000000000000003E-2"/>
    <n v="0.53500000000000003"/>
    <x v="1"/>
    <s v="R 1"/>
    <n v="42500"/>
    <n v="47500"/>
    <n v="5000"/>
    <n v="2675"/>
    <n v="45175"/>
    <n v="14907.75"/>
    <n v="49675"/>
    <n v="52675"/>
    <n v="7092475"/>
    <n v="7798975"/>
    <n v="8269975"/>
    <n v="0"/>
    <n v="602860.375"/>
    <n v="2"/>
    <n v="200000"/>
    <n v="200000"/>
    <n v="7292475"/>
  </r>
  <r>
    <m/>
    <s v="E"/>
    <x v="39"/>
    <x v="0"/>
    <n v="1"/>
    <n v="2"/>
    <x v="785"/>
    <s v="3 BEDROOM"/>
    <x v="2"/>
    <n v="131.12"/>
    <n v="142.56037005442684"/>
    <n v="160"/>
    <m/>
    <m/>
    <s v="NW"/>
    <s v="CORNER "/>
    <s v="LAKE E"/>
    <s v="FIRST"/>
    <s v="D"/>
    <n v="0.13"/>
    <n v="0.05"/>
    <n v="0.43"/>
    <n v="7.0000000000000007E-2"/>
    <n v="2.5000000000000001E-2"/>
    <n v="0.70499999999999996"/>
    <x v="1"/>
    <s v="R 7"/>
    <n v="50150"/>
    <n v="56050"/>
    <n v="5900"/>
    <n v="4159.5"/>
    <n v="54309.5"/>
    <n v="17922.135000000002"/>
    <n v="58809.5"/>
    <n v="61809.5"/>
    <n v="8689520"/>
    <n v="9409520"/>
    <n v="9889520"/>
    <n v="0"/>
    <n v="738609.20000000007"/>
    <n v="2"/>
    <n v="236000"/>
    <n v="236000"/>
    <n v="8925520"/>
  </r>
  <r>
    <m/>
    <s v="E"/>
    <x v="39"/>
    <x v="0"/>
    <n v="1"/>
    <n v="3"/>
    <x v="786"/>
    <s v="3 BEDROOM"/>
    <x v="2"/>
    <n v="126.34"/>
    <n v="137.36330958416934"/>
    <n v="154"/>
    <m/>
    <m/>
    <s v="NW"/>
    <s v="MIDDLE"/>
    <s v="LAKE E"/>
    <s v="FIRST"/>
    <s v="C"/>
    <n v="0.13"/>
    <n v="2.5000000000000001E-2"/>
    <n v="0.43"/>
    <n v="7.0000000000000007E-2"/>
    <n v="3.5000000000000003E-2"/>
    <n v="0.69000000000000006"/>
    <x v="1"/>
    <s v="R 8"/>
    <n v="51850"/>
    <n v="57950"/>
    <n v="6100"/>
    <n v="4209"/>
    <n v="56059"/>
    <n v="18499.47"/>
    <n v="60559"/>
    <n v="63559"/>
    <n v="8633086"/>
    <n v="9326086"/>
    <n v="9788086"/>
    <n v="0"/>
    <n v="733812.31"/>
    <n v="2"/>
    <n v="244000"/>
    <n v="244000"/>
    <n v="8877086"/>
  </r>
  <r>
    <m/>
    <s v="E"/>
    <x v="39"/>
    <x v="0"/>
    <n v="1"/>
    <n v="4"/>
    <x v="787"/>
    <s v="2 BEDROOM"/>
    <x v="2"/>
    <n v="88.79"/>
    <n v="96.537029111749234"/>
    <n v="108"/>
    <m/>
    <m/>
    <s v="SE"/>
    <s v="MIDDLE"/>
    <s v="ROAD 12M"/>
    <s v="FIRST"/>
    <s v="B"/>
    <n v="0.08"/>
    <n v="2.5000000000000001E-2"/>
    <n v="0.13"/>
    <n v="7.0000000000000007E-2"/>
    <n v="0.04"/>
    <n v="0.34500000000000003"/>
    <x v="0"/>
    <s v="R 4"/>
    <n v="45687.5"/>
    <n v="51062.5"/>
    <n v="5375"/>
    <n v="1854.3750000000002"/>
    <n v="47541.875"/>
    <n v="15688.81875"/>
    <n v="52041.875"/>
    <n v="55041.875"/>
    <n v="5134522.5"/>
    <n v="5620522.5"/>
    <n v="5944522.5"/>
    <n v="0"/>
    <n v="436434.41250000003"/>
    <n v="1"/>
    <n v="215000"/>
    <n v="215000"/>
    <n v="5349522.5"/>
  </r>
  <r>
    <m/>
    <s v="E"/>
    <x v="39"/>
    <x v="0"/>
    <n v="2"/>
    <n v="1"/>
    <x v="788"/>
    <s v="3 BEDROOM"/>
    <x v="2"/>
    <n v="131.56"/>
    <n v="143.03876055796516"/>
    <n v="161"/>
    <m/>
    <m/>
    <s v="SE"/>
    <s v="CORNER "/>
    <s v="LAKE F"/>
    <s v="SECOND"/>
    <s v="D"/>
    <n v="0.08"/>
    <n v="0.05"/>
    <n v="0.3"/>
    <n v="0.11"/>
    <n v="2.5000000000000001E-2"/>
    <n v="0.56500000000000006"/>
    <x v="1"/>
    <s v="R 1"/>
    <n v="42500"/>
    <n v="47500"/>
    <n v="5000"/>
    <n v="2825.0000000000005"/>
    <n v="45325"/>
    <n v="14957.25"/>
    <n v="49825"/>
    <n v="52825"/>
    <n v="7297325"/>
    <n v="8021825"/>
    <n v="8504825"/>
    <n v="0"/>
    <n v="620272.625"/>
    <n v="2"/>
    <n v="200000"/>
    <n v="200000"/>
    <n v="7497325"/>
  </r>
  <r>
    <m/>
    <s v="E"/>
    <x v="39"/>
    <x v="0"/>
    <n v="2"/>
    <n v="2"/>
    <x v="789"/>
    <s v="3 BEDROOM"/>
    <x v="2"/>
    <n v="131.56"/>
    <n v="143.03876055796516"/>
    <n v="161"/>
    <m/>
    <m/>
    <s v="NW"/>
    <s v="CORNER "/>
    <s v="LAKE E"/>
    <s v="SECOND"/>
    <s v="D"/>
    <n v="0.13"/>
    <n v="0.05"/>
    <n v="0.43"/>
    <n v="0.11"/>
    <n v="2.5000000000000001E-2"/>
    <n v="0.745"/>
    <x v="2"/>
    <s v="R 9"/>
    <n v="53550"/>
    <n v="59850"/>
    <n v="6300"/>
    <n v="4693.5"/>
    <n v="58243.5"/>
    <n v="19220.355"/>
    <n v="62743.5"/>
    <n v="65743.5"/>
    <n v="9377203.5"/>
    <n v="10101703.5"/>
    <n v="10584703.5"/>
    <n v="0"/>
    <n v="797062.2975000001"/>
    <n v="2"/>
    <n v="252000"/>
    <n v="252000"/>
    <n v="9629203.5"/>
  </r>
  <r>
    <m/>
    <s v="E"/>
    <x v="39"/>
    <x v="0"/>
    <n v="2"/>
    <n v="3"/>
    <x v="790"/>
    <s v="3 BEDROOM"/>
    <x v="2"/>
    <n v="126.78"/>
    <n v="137.84170008770769"/>
    <n v="155"/>
    <m/>
    <m/>
    <s v="NW"/>
    <s v="MIDDLE"/>
    <s v="LAKE E"/>
    <s v="SECOND"/>
    <s v="C"/>
    <n v="0.13"/>
    <n v="2.5000000000000001E-2"/>
    <n v="0.43"/>
    <n v="0.11"/>
    <n v="3.5000000000000003E-2"/>
    <n v="0.73"/>
    <x v="2"/>
    <s v="R 1"/>
    <n v="42500"/>
    <n v="47500"/>
    <n v="5000"/>
    <n v="3650"/>
    <n v="46150"/>
    <n v="15229.5"/>
    <n v="50650"/>
    <n v="53650"/>
    <n v="7153250"/>
    <n v="7850750"/>
    <n v="8315750"/>
    <n v="0"/>
    <n v="608026.25"/>
    <n v="2"/>
    <n v="200000"/>
    <n v="200000"/>
    <n v="7353250"/>
  </r>
  <r>
    <m/>
    <s v="E"/>
    <x v="39"/>
    <x v="0"/>
    <n v="2"/>
    <n v="4"/>
    <x v="791"/>
    <s v="3 BEDROOM"/>
    <x v="2"/>
    <n v="127.15"/>
    <n v="138.24398301113769"/>
    <n v="155"/>
    <m/>
    <m/>
    <s v="SE"/>
    <s v="MIDDLE"/>
    <s v="ROAD 12M"/>
    <s v="SECOND"/>
    <s v="C"/>
    <n v="0.08"/>
    <n v="2.5000000000000001E-2"/>
    <n v="0.13"/>
    <n v="0.11"/>
    <n v="3.5000000000000003E-2"/>
    <n v="0.38"/>
    <x v="0"/>
    <s v="R 7"/>
    <n v="50150"/>
    <n v="56050"/>
    <n v="5900"/>
    <n v="2242"/>
    <n v="52392"/>
    <n v="17289.36"/>
    <n v="56892"/>
    <n v="59892"/>
    <n v="8120760"/>
    <n v="8818260"/>
    <n v="9283260"/>
    <n v="0"/>
    <n v="690264.60000000009"/>
    <n v="2"/>
    <n v="236000"/>
    <n v="236000"/>
    <n v="8356760"/>
  </r>
  <r>
    <m/>
    <s v="E"/>
    <x v="39"/>
    <x v="0"/>
    <n v="3"/>
    <n v="1"/>
    <x v="792"/>
    <s v="3 BEDROOM"/>
    <x v="2"/>
    <n v="131.86000000000001"/>
    <n v="143.36493590128677"/>
    <n v="161"/>
    <m/>
    <m/>
    <s v="SE"/>
    <s v="CORNER "/>
    <s v="LAKE F"/>
    <s v="THIRD"/>
    <s v="D"/>
    <n v="0.08"/>
    <n v="0.05"/>
    <n v="0.3"/>
    <n v="0.15"/>
    <n v="2.5000000000000001E-2"/>
    <n v="0.60499999999999998"/>
    <x v="1"/>
    <s v="R 2"/>
    <n v="43562.499999999993"/>
    <n v="48687.499999999993"/>
    <n v="5125"/>
    <n v="3100.625"/>
    <n v="46663.124999999993"/>
    <n v="15398.831249999997"/>
    <n v="51163.124999999993"/>
    <n v="54163.124999999993"/>
    <n v="7512763.1249999991"/>
    <n v="8237263.1249999991"/>
    <n v="8720263.1249999981"/>
    <n v="0"/>
    <n v="638584.86562499998"/>
    <n v="2"/>
    <n v="204999.99999999997"/>
    <n v="204999.99999999997"/>
    <n v="7717763.1249999991"/>
  </r>
  <r>
    <m/>
    <s v="E"/>
    <x v="39"/>
    <x v="0"/>
    <n v="3"/>
    <n v="2"/>
    <x v="793"/>
    <s v="3 BEDROOM"/>
    <x v="2"/>
    <n v="131.66"/>
    <n v="143.14748567240571"/>
    <n v="161"/>
    <m/>
    <m/>
    <s v="NW"/>
    <s v="CORNER "/>
    <s v="LAKE E"/>
    <s v="THIRD"/>
    <s v="D"/>
    <n v="0.13"/>
    <n v="0.05"/>
    <n v="0.43"/>
    <n v="0.15"/>
    <n v="2.5000000000000001E-2"/>
    <n v="0.78500000000000003"/>
    <x v="2"/>
    <s v="R 12"/>
    <n v="61625"/>
    <n v="68875"/>
    <n v="7250"/>
    <n v="5691.25"/>
    <n v="67316.25"/>
    <n v="22214.362499999999"/>
    <n v="71816.25"/>
    <n v="74816.25"/>
    <n v="10837916.25"/>
    <n v="11562416.25"/>
    <n v="12045416.25"/>
    <n v="0"/>
    <n v="921222.88125000009"/>
    <n v="2"/>
    <n v="290000"/>
    <n v="290000"/>
    <n v="11127916.25"/>
  </r>
  <r>
    <m/>
    <s v="E"/>
    <x v="39"/>
    <x v="0"/>
    <n v="3"/>
    <n v="3"/>
    <x v="794"/>
    <s v="3 BEDROOM"/>
    <x v="2"/>
    <n v="126.88"/>
    <n v="137.95042520214821"/>
    <n v="155"/>
    <m/>
    <m/>
    <s v="NW"/>
    <s v="MIDDLE"/>
    <s v="LAKE E"/>
    <s v="THIRD"/>
    <s v="C"/>
    <n v="0.13"/>
    <n v="2.5000000000000001E-2"/>
    <n v="0.43"/>
    <n v="0.15"/>
    <n v="3.5000000000000003E-2"/>
    <n v="0.77"/>
    <x v="2"/>
    <s v="R 3"/>
    <n v="44625"/>
    <n v="49875"/>
    <n v="5250"/>
    <n v="4042.5"/>
    <n v="48667.5"/>
    <n v="16060.275000000001"/>
    <n v="53167.5"/>
    <n v="56167.5"/>
    <n v="7543462.5"/>
    <n v="8240962.5"/>
    <n v="8705962.5"/>
    <n v="0"/>
    <n v="641194.3125"/>
    <n v="2"/>
    <n v="210000"/>
    <n v="210000"/>
    <n v="7753462.5"/>
  </r>
  <r>
    <m/>
    <s v="E"/>
    <x v="39"/>
    <x v="0"/>
    <n v="3"/>
    <n v="4"/>
    <x v="795"/>
    <s v="3 BEDROOM"/>
    <x v="2"/>
    <n v="127.15"/>
    <n v="138.24398301113769"/>
    <n v="155"/>
    <m/>
    <m/>
    <s v="SE"/>
    <s v="MIDDLE"/>
    <s v="ROAD 12M"/>
    <s v="THIRD"/>
    <s v="C"/>
    <n v="0.08"/>
    <n v="2.5000000000000001E-2"/>
    <n v="0.13"/>
    <n v="0.15"/>
    <n v="3.5000000000000003E-2"/>
    <n v="0.42000000000000004"/>
    <x v="0"/>
    <s v="R 12"/>
    <n v="61625"/>
    <n v="68875"/>
    <n v="7250"/>
    <n v="3045.0000000000005"/>
    <n v="64670"/>
    <n v="21341.100000000002"/>
    <n v="69170"/>
    <n v="72170"/>
    <n v="10023850"/>
    <n v="10721350"/>
    <n v="11186350"/>
    <n v="0"/>
    <n v="852027.25000000012"/>
    <n v="2"/>
    <n v="290000"/>
    <n v="290000"/>
    <n v="10313850"/>
  </r>
  <r>
    <m/>
    <s v="E"/>
    <x v="39"/>
    <x v="0"/>
    <n v="4"/>
    <n v="1"/>
    <x v="796"/>
    <s v="3 BEDROOM"/>
    <x v="2"/>
    <n v="129.5"/>
    <n v="140.79902320049018"/>
    <n v="158"/>
    <m/>
    <m/>
    <s v="SE"/>
    <s v="CORNER "/>
    <s v="LAKE F"/>
    <s v="FORTH"/>
    <s v="C"/>
    <n v="0.08"/>
    <n v="0.05"/>
    <n v="0.3"/>
    <n v="0.06"/>
    <n v="3.5000000000000003E-2"/>
    <n v="0.52500000000000002"/>
    <x v="1"/>
    <s v="R 1"/>
    <n v="42500"/>
    <n v="47500"/>
    <n v="5000"/>
    <n v="2625"/>
    <n v="45125"/>
    <n v="14891.25"/>
    <n v="49625"/>
    <n v="52625"/>
    <n v="7129750"/>
    <n v="7840750"/>
    <n v="8314750"/>
    <n v="0"/>
    <n v="606028.75"/>
    <n v="2"/>
    <n v="200000"/>
    <n v="200000"/>
    <n v="7329750"/>
  </r>
  <r>
    <m/>
    <s v="E"/>
    <x v="39"/>
    <x v="0"/>
    <n v="4"/>
    <n v="2"/>
    <x v="797"/>
    <s v="3 BEDROOM"/>
    <x v="2"/>
    <n v="131.66"/>
    <n v="143.14748567240571"/>
    <n v="161"/>
    <m/>
    <m/>
    <s v="NW"/>
    <s v="CORNER "/>
    <s v="LAKE E"/>
    <s v="FORTH"/>
    <s v="D"/>
    <n v="0.13"/>
    <n v="0.05"/>
    <n v="0.43"/>
    <n v="0.06"/>
    <n v="2.5000000000000001E-2"/>
    <n v="0.69499999999999995"/>
    <x v="1"/>
    <s v="R 4"/>
    <n v="45687.5"/>
    <n v="51062.5"/>
    <n v="5375"/>
    <n v="3735.6249999999995"/>
    <n v="49423.125"/>
    <n v="16309.63125"/>
    <n v="53923.125"/>
    <n v="56923.125"/>
    <n v="7957123.125"/>
    <n v="8681623.125"/>
    <n v="9164623.125"/>
    <n v="0"/>
    <n v="676355.46562500007"/>
    <n v="2"/>
    <n v="215000"/>
    <n v="215000"/>
    <n v="8172123.125"/>
  </r>
  <r>
    <m/>
    <s v="E"/>
    <x v="39"/>
    <x v="0"/>
    <n v="4"/>
    <n v="3"/>
    <x v="798"/>
    <s v="3 BEDROOM"/>
    <x v="2"/>
    <n v="126.88"/>
    <n v="137.95042520214821"/>
    <n v="155"/>
    <m/>
    <m/>
    <s v="NW"/>
    <s v="MIDDLE"/>
    <s v="LAKE E"/>
    <s v="FORTH"/>
    <s v="C"/>
    <n v="0.13"/>
    <n v="2.5000000000000001E-2"/>
    <n v="0.43"/>
    <n v="0.06"/>
    <n v="3.5000000000000003E-2"/>
    <n v="0.68"/>
    <x v="1"/>
    <s v="R 7"/>
    <n v="50150"/>
    <n v="56050"/>
    <n v="5900"/>
    <n v="4012.0000000000005"/>
    <n v="54162"/>
    <n v="17873.46"/>
    <n v="58662"/>
    <n v="61662"/>
    <n v="8395110"/>
    <n v="9092610"/>
    <n v="9557610"/>
    <n v="0"/>
    <n v="713584.35000000009"/>
    <n v="2"/>
    <n v="236000"/>
    <n v="236000"/>
    <n v="8631110"/>
  </r>
  <r>
    <m/>
    <s v="E"/>
    <x v="39"/>
    <x v="0"/>
    <n v="4"/>
    <n v="4"/>
    <x v="799"/>
    <s v="3 BEDROOM"/>
    <x v="2"/>
    <n v="125.09"/>
    <n v="136.00424565366268"/>
    <n v="153"/>
    <m/>
    <m/>
    <s v="SE"/>
    <s v="MIDDLE"/>
    <s v="ROAD 12M"/>
    <s v="FORTH"/>
    <s v="C"/>
    <n v="0.08"/>
    <n v="2.5000000000000001E-2"/>
    <n v="0.13"/>
    <n v="0.06"/>
    <n v="3.5000000000000003E-2"/>
    <n v="0.33000000000000007"/>
    <x v="0"/>
    <s v="R 3"/>
    <n v="44625"/>
    <n v="49875"/>
    <n v="5250"/>
    <n v="1732.5000000000005"/>
    <n v="46357.5"/>
    <n v="15297.975"/>
    <n v="50857.5"/>
    <n v="53857.5"/>
    <n v="7092697.5"/>
    <n v="7781197.5"/>
    <n v="8240197.5"/>
    <n v="0"/>
    <n v="602879.28750000009"/>
    <n v="2"/>
    <n v="210000"/>
    <n v="210000"/>
    <n v="7302697.5"/>
  </r>
  <r>
    <s v="C3"/>
    <s v="E"/>
    <x v="40"/>
    <x v="0"/>
    <n v="0"/>
    <n v="1"/>
    <x v="800"/>
    <s v="2 BEDROOM"/>
    <x v="2"/>
    <n v="87.23"/>
    <n v="94.72160516317075"/>
    <n v="106"/>
    <n v="73.757099999999994"/>
    <m/>
    <s v="NW"/>
    <s v="MIDDLE"/>
    <s v="ROAD 18M (BUILDINGS)"/>
    <s v="GROUND"/>
    <s v="B"/>
    <n v="0.13"/>
    <n v="2.5000000000000001E-2"/>
    <n v="0.15"/>
    <n v="0.05"/>
    <n v="0.04"/>
    <n v="0.39499999999999996"/>
    <x v="0"/>
    <s v="R 4"/>
    <n v="45687.5"/>
    <n v="51062.5"/>
    <n v="5375"/>
    <n v="2123.125"/>
    <n v="47810.625"/>
    <n v="15777.50625"/>
    <n v="52310.625"/>
    <n v="55310.625"/>
    <n v="5067926.25"/>
    <n v="5544926.25"/>
    <n v="5862926.25"/>
    <n v="1163703.106231875"/>
    <n v="529688.49527970934"/>
    <n v="1"/>
    <n v="215000"/>
    <n v="215000"/>
    <n v="6446629.3562318748"/>
  </r>
  <r>
    <m/>
    <s v="E"/>
    <x v="40"/>
    <x v="0"/>
    <n v="0"/>
    <n v="2"/>
    <x v="801"/>
    <s v="3 BEDROOM"/>
    <x v="2"/>
    <n v="125.09"/>
    <n v="135.83314902970341"/>
    <n v="153"/>
    <n v="85.619500000000002"/>
    <m/>
    <s v="SE"/>
    <s v="MIDDLE"/>
    <s v="LAKE E"/>
    <s v="GROUND"/>
    <s v="C"/>
    <n v="0.08"/>
    <n v="2.5000000000000001E-2"/>
    <n v="0.43"/>
    <n v="0.05"/>
    <n v="3.5000000000000003E-2"/>
    <n v="0.62000000000000011"/>
    <x v="1"/>
    <s v="R 3"/>
    <n v="44625"/>
    <n v="49875"/>
    <n v="5250"/>
    <n v="3255.0000000000005"/>
    <n v="47880"/>
    <n v="15800.400000000001"/>
    <n v="52380"/>
    <n v="55380"/>
    <n v="7325640"/>
    <n v="8014140"/>
    <n v="8473140"/>
    <n v="1352822.3478000001"/>
    <n v="737669.29956299998"/>
    <n v="2"/>
    <n v="210000"/>
    <n v="210000"/>
    <n v="8888462.3477999996"/>
  </r>
  <r>
    <m/>
    <s v="E"/>
    <x v="40"/>
    <x v="0"/>
    <n v="0"/>
    <n v="3"/>
    <x v="802"/>
    <s v="3 BEDROOM"/>
    <x v="2"/>
    <n v="129.57"/>
    <n v="140.69790646557414"/>
    <n v="158"/>
    <n v="84.075199999999995"/>
    <m/>
    <s v="SE"/>
    <s v="CORNER "/>
    <s v="LAKE E"/>
    <s v="GROUND"/>
    <s v="C"/>
    <n v="0.08"/>
    <n v="0.05"/>
    <n v="0.43"/>
    <n v="0.05"/>
    <n v="3.5000000000000003E-2"/>
    <n v="0.64500000000000013"/>
    <x v="1"/>
    <s v="R 4"/>
    <n v="45687.5"/>
    <n v="51062.5"/>
    <n v="5375"/>
    <n v="3466.8750000000009"/>
    <n v="49154.375"/>
    <n v="16220.94375"/>
    <n v="53654.375"/>
    <n v="56654.375"/>
    <n v="7766391.25"/>
    <n v="8477391.25"/>
    <n v="8951391.25"/>
    <n v="1363779.0899699999"/>
    <n v="776064.47889745003"/>
    <n v="2"/>
    <n v="215000"/>
    <n v="215000"/>
    <n v="9345170.3399700001"/>
  </r>
  <r>
    <m/>
    <s v="E"/>
    <x v="40"/>
    <x v="0"/>
    <n v="0"/>
    <n v="4"/>
    <x v="803"/>
    <s v="3 BEDROOM"/>
    <x v="2"/>
    <n v="131.34"/>
    <n v="142.61992000608558"/>
    <n v="160"/>
    <n v="88.6297"/>
    <m/>
    <s v="NW"/>
    <s v="CORNER "/>
    <s v="ROAD 18M (BUILDINGS)"/>
    <s v="GROUND"/>
    <s v="D"/>
    <n v="0.13"/>
    <n v="0.05"/>
    <n v="0.15"/>
    <n v="0.05"/>
    <n v="2.5000000000000001E-2"/>
    <n v="0.40499999999999997"/>
    <x v="0"/>
    <s v="R 6"/>
    <n v="48450.000000000007"/>
    <n v="54150.000000000007"/>
    <n v="5700"/>
    <n v="2308.5"/>
    <n v="50758.500000000007"/>
    <n v="16750.305000000004"/>
    <n v="55258.500000000007"/>
    <n v="58258.500000000007"/>
    <n v="8121360.0000000009"/>
    <n v="8841360.0000000019"/>
    <n v="9321360.0000000019"/>
    <n v="1484574.5070585003"/>
    <n v="816504.43309997267"/>
    <n v="2"/>
    <n v="228000.00000000003"/>
    <n v="228000.00000000003"/>
    <n v="9833934.5070585012"/>
  </r>
  <r>
    <m/>
    <s v="E"/>
    <x v="40"/>
    <x v="0"/>
    <n v="1"/>
    <n v="1"/>
    <x v="804"/>
    <s v="2 BEDROOM"/>
    <x v="2"/>
    <n v="88.87"/>
    <n v="96.502453867373433"/>
    <n v="108"/>
    <m/>
    <m/>
    <s v="NW"/>
    <s v="MIDDLE"/>
    <s v="ROAD 18M (BUILDINGS)"/>
    <s v="FIRST"/>
    <s v="B"/>
    <n v="0.13"/>
    <n v="2.5000000000000001E-2"/>
    <n v="0.15"/>
    <n v="7.0000000000000007E-2"/>
    <n v="0.04"/>
    <n v="0.41499999999999998"/>
    <x v="0"/>
    <s v="R 7"/>
    <n v="50150"/>
    <n v="56050"/>
    <n v="5900"/>
    <n v="2448.5"/>
    <n v="52598.5"/>
    <n v="17357.505000000001"/>
    <n v="57098.5"/>
    <n v="60098.5"/>
    <n v="5680638"/>
    <n v="6166638"/>
    <n v="6490638"/>
    <n v="0"/>
    <n v="482854.23000000004"/>
    <n v="1"/>
    <n v="236000"/>
    <n v="236000"/>
    <n v="5916638"/>
  </r>
  <r>
    <m/>
    <s v="E"/>
    <x v="40"/>
    <x v="0"/>
    <n v="1"/>
    <n v="2"/>
    <x v="805"/>
    <s v="3 BEDROOM"/>
    <x v="2"/>
    <n v="127.14"/>
    <n v="138.05920990995676"/>
    <n v="155"/>
    <m/>
    <m/>
    <s v="SE"/>
    <s v="MIDDLE"/>
    <s v="LAKE E"/>
    <s v="FIRST"/>
    <s v="C"/>
    <n v="0.08"/>
    <n v="2.5000000000000001E-2"/>
    <n v="0.43"/>
    <n v="7.0000000000000007E-2"/>
    <n v="3.5000000000000003E-2"/>
    <n v="0.64"/>
    <x v="1"/>
    <s v="R 4"/>
    <n v="45687.5"/>
    <n v="51062.5"/>
    <n v="5375"/>
    <n v="3440"/>
    <n v="49127.5"/>
    <n v="16212.075000000001"/>
    <n v="53627.5"/>
    <n v="56627.5"/>
    <n v="7614762.5"/>
    <n v="8312262.5"/>
    <n v="8777262.5"/>
    <n v="0"/>
    <n v="647254.8125"/>
    <n v="2"/>
    <n v="215000"/>
    <n v="215000"/>
    <n v="7829762.5"/>
  </r>
  <r>
    <m/>
    <s v="E"/>
    <x v="40"/>
    <x v="0"/>
    <n v="1"/>
    <n v="3"/>
    <x v="806"/>
    <s v="3 BEDROOM"/>
    <x v="2"/>
    <n v="131.43"/>
    <n v="142.71764950814548"/>
    <n v="160"/>
    <m/>
    <m/>
    <s v="SE"/>
    <s v="CORNER "/>
    <s v="LAKE E"/>
    <s v="FIRST"/>
    <s v="D"/>
    <n v="0.08"/>
    <n v="0.05"/>
    <n v="0.43"/>
    <n v="7.0000000000000007E-2"/>
    <n v="2.5000000000000001E-2"/>
    <n v="0.65500000000000014"/>
    <x v="1"/>
    <s v="R 5"/>
    <n v="46750.000000000007"/>
    <n v="52250.000000000007"/>
    <n v="5500"/>
    <n v="3602.5000000000009"/>
    <n v="50352.500000000007"/>
    <n v="16616.325000000004"/>
    <n v="54852.500000000007"/>
    <n v="57852.500000000007"/>
    <n v="8056400.0000000009"/>
    <n v="8776400.0000000019"/>
    <n v="9256400.0000000019"/>
    <n v="0"/>
    <n v="684794.00000000012"/>
    <n v="2"/>
    <n v="220000.00000000003"/>
    <n v="220000.00000000003"/>
    <n v="8276400.0000000009"/>
  </r>
  <r>
    <m/>
    <s v="E"/>
    <x v="40"/>
    <x v="0"/>
    <n v="1"/>
    <n v="4"/>
    <x v="807"/>
    <s v="3 BEDROOM"/>
    <x v="2"/>
    <n v="129.04"/>
    <n v="140.12238828677692"/>
    <n v="157"/>
    <m/>
    <m/>
    <s v="NW"/>
    <s v="CORNER "/>
    <s v="ROAD 18M (BUILDINGS)"/>
    <s v="FIRST"/>
    <s v="C"/>
    <n v="0.13"/>
    <n v="0.05"/>
    <n v="0.15"/>
    <n v="7.0000000000000007E-2"/>
    <n v="3.5000000000000003E-2"/>
    <n v="0.43499999999999994"/>
    <x v="0"/>
    <s v="R 8"/>
    <n v="51850"/>
    <n v="57950"/>
    <n v="6100"/>
    <n v="2653.4999999999995"/>
    <n v="54503.5"/>
    <n v="17986.155000000002"/>
    <n v="59003.5"/>
    <n v="62003.5"/>
    <n v="8557049.5"/>
    <n v="9263549.5"/>
    <n v="9734549.5"/>
    <n v="0"/>
    <n v="727349.20750000002"/>
    <n v="2"/>
    <n v="244000"/>
    <n v="244000"/>
    <n v="8801049.5"/>
  </r>
  <r>
    <m/>
    <s v="E"/>
    <x v="40"/>
    <x v="0"/>
    <n v="2"/>
    <n v="1"/>
    <x v="808"/>
    <s v="3 BEDROOM"/>
    <x v="2"/>
    <n v="127.15"/>
    <n v="138.07006874351899"/>
    <n v="155"/>
    <m/>
    <m/>
    <s v="NW"/>
    <s v="MIDDLE"/>
    <s v="ROAD 18M (BUILDINGS)"/>
    <s v="SECOND"/>
    <s v="C"/>
    <n v="0.13"/>
    <n v="2.5000000000000001E-2"/>
    <n v="0.15"/>
    <n v="0.11"/>
    <n v="3.5000000000000003E-2"/>
    <n v="0.44999999999999996"/>
    <x v="0"/>
    <s v="R 9"/>
    <n v="53550"/>
    <n v="59850"/>
    <n v="6300"/>
    <n v="2834.9999999999995"/>
    <n v="56385"/>
    <n v="18607.05"/>
    <n v="60885"/>
    <n v="63885"/>
    <n v="8739675"/>
    <n v="9437175"/>
    <n v="9902175"/>
    <n v="0"/>
    <n v="742872.375"/>
    <n v="2"/>
    <n v="252000"/>
    <n v="252000"/>
    <n v="8991675"/>
  </r>
  <r>
    <m/>
    <s v="E"/>
    <x v="40"/>
    <x v="0"/>
    <n v="2"/>
    <n v="2"/>
    <x v="809"/>
    <s v="3 BEDROOM"/>
    <x v="2"/>
    <n v="126.95"/>
    <n v="137.85289207227476"/>
    <n v="155"/>
    <m/>
    <m/>
    <s v="SE"/>
    <s v="MIDDLE"/>
    <s v="LAKE E"/>
    <s v="SECOND"/>
    <s v="C"/>
    <n v="0.08"/>
    <n v="2.5000000000000001E-2"/>
    <n v="0.43"/>
    <n v="0.11"/>
    <n v="3.5000000000000003E-2"/>
    <n v="0.68"/>
    <x v="1"/>
    <s v="R 7"/>
    <n v="50150"/>
    <n v="56050"/>
    <n v="5900"/>
    <n v="4012.0000000000005"/>
    <n v="54162"/>
    <n v="17873.46"/>
    <n v="58662"/>
    <n v="61662"/>
    <n v="8395110"/>
    <n v="9092610"/>
    <n v="9557610"/>
    <n v="0"/>
    <n v="713584.35000000009"/>
    <n v="2"/>
    <n v="236000"/>
    <n v="236000"/>
    <n v="8631110"/>
  </r>
  <r>
    <m/>
    <s v="E"/>
    <x v="40"/>
    <x v="0"/>
    <n v="2"/>
    <n v="3"/>
    <x v="810"/>
    <s v="3 BEDROOM"/>
    <x v="2"/>
    <n v="131.44"/>
    <n v="142.72850834170771"/>
    <n v="160"/>
    <m/>
    <m/>
    <s v="SE"/>
    <s v="CORNER "/>
    <s v="LAKE E"/>
    <s v="SECOND"/>
    <s v="D"/>
    <n v="0.08"/>
    <n v="0.05"/>
    <n v="0.43"/>
    <n v="0.11"/>
    <n v="2.5000000000000001E-2"/>
    <n v="0.69500000000000006"/>
    <x v="1"/>
    <s v="R 9"/>
    <n v="53550"/>
    <n v="59850"/>
    <n v="6300"/>
    <n v="4378.5"/>
    <n v="57928.5"/>
    <n v="19116.405000000002"/>
    <n v="62428.5"/>
    <n v="65428.5"/>
    <n v="9268560"/>
    <n v="9988560"/>
    <n v="10468560"/>
    <n v="0"/>
    <n v="787827.60000000009"/>
    <n v="2"/>
    <n v="252000"/>
    <n v="252000"/>
    <n v="9520560"/>
  </r>
  <r>
    <m/>
    <s v="E"/>
    <x v="40"/>
    <x v="0"/>
    <n v="2"/>
    <n v="4"/>
    <x v="811"/>
    <s v="3 BEDROOM"/>
    <x v="2"/>
    <n v="131.43"/>
    <n v="142.71764950814548"/>
    <n v="160"/>
    <m/>
    <m/>
    <s v="NW"/>
    <s v="CORNER "/>
    <s v="ROAD 18M (BUILDINGS)"/>
    <s v="SECOND"/>
    <s v="D"/>
    <n v="0.13"/>
    <n v="0.05"/>
    <n v="0.15"/>
    <n v="0.11"/>
    <n v="2.5000000000000001E-2"/>
    <n v="0.46499999999999997"/>
    <x v="0"/>
    <s v="R 10"/>
    <n v="56100"/>
    <n v="62700"/>
    <n v="6600"/>
    <n v="3069"/>
    <n v="59169"/>
    <n v="19525.77"/>
    <n v="63669"/>
    <n v="66669"/>
    <n v="9467040"/>
    <n v="10187040"/>
    <n v="10667040"/>
    <n v="0"/>
    <n v="804698.4"/>
    <n v="2"/>
    <n v="264000"/>
    <n v="264000"/>
    <n v="9731040"/>
  </r>
  <r>
    <m/>
    <s v="E"/>
    <x v="40"/>
    <x v="0"/>
    <n v="3"/>
    <n v="1"/>
    <x v="812"/>
    <s v="3 BEDROOM"/>
    <x v="2"/>
    <n v="127.45"/>
    <n v="138.39583375038532"/>
    <n v="155"/>
    <m/>
    <m/>
    <s v="NW"/>
    <s v="MIDDLE"/>
    <s v="ROAD 18M (BUILDINGS)"/>
    <s v="THIRD"/>
    <s v="C"/>
    <n v="0.13"/>
    <n v="2.5000000000000001E-2"/>
    <n v="0.15"/>
    <n v="0.15"/>
    <n v="3.5000000000000003E-2"/>
    <n v="0.49"/>
    <x v="0"/>
    <s v="R 12"/>
    <n v="61625"/>
    <n v="68875"/>
    <n v="7250"/>
    <n v="3552.5"/>
    <n v="65177.5"/>
    <n v="21508.575000000001"/>
    <n v="69677.5"/>
    <n v="72677.5"/>
    <n v="10102512.5"/>
    <n v="10800012.5"/>
    <n v="11265012.5"/>
    <n v="0"/>
    <n v="858713.56250000012"/>
    <n v="2"/>
    <n v="290000"/>
    <n v="290000"/>
    <n v="10392512.5"/>
  </r>
  <r>
    <m/>
    <s v="E"/>
    <x v="40"/>
    <x v="0"/>
    <n v="3"/>
    <n v="2"/>
    <x v="813"/>
    <s v="3 BEDROOM"/>
    <x v="2"/>
    <n v="126.97"/>
    <n v="137.87460973939918"/>
    <n v="155"/>
    <m/>
    <m/>
    <s v="SE"/>
    <s v="MIDDLE"/>
    <s v="LAKE E"/>
    <s v="THIRD"/>
    <s v="C"/>
    <n v="0.08"/>
    <n v="2.5000000000000001E-2"/>
    <n v="0.43"/>
    <n v="0.15"/>
    <n v="3.5000000000000003E-2"/>
    <n v="0.72000000000000008"/>
    <x v="1"/>
    <s v="R 12"/>
    <n v="61625"/>
    <n v="68875"/>
    <n v="7250"/>
    <n v="5220.0000000000009"/>
    <n v="66845"/>
    <n v="22058.850000000002"/>
    <n v="71345"/>
    <n v="74345"/>
    <n v="10360975"/>
    <n v="11058475"/>
    <n v="11523475"/>
    <n v="0"/>
    <n v="880682.87500000012"/>
    <n v="2"/>
    <n v="290000"/>
    <n v="290000"/>
    <n v="10650975"/>
  </r>
  <r>
    <m/>
    <s v="E"/>
    <x v="40"/>
    <x v="0"/>
    <n v="3"/>
    <n v="3"/>
    <x v="814"/>
    <s v="3 BEDROOM"/>
    <x v="2"/>
    <n v="131.43"/>
    <n v="142.71764950814548"/>
    <n v="160"/>
    <m/>
    <m/>
    <s v="SE"/>
    <s v="CORNER "/>
    <s v="LAKE E"/>
    <s v="THIRD"/>
    <s v="D"/>
    <n v="0.08"/>
    <n v="0.05"/>
    <n v="0.43"/>
    <n v="0.15"/>
    <n v="2.5000000000000001E-2"/>
    <n v="0.7350000000000001"/>
    <x v="2"/>
    <s v="R 1"/>
    <n v="42500"/>
    <n v="47500"/>
    <n v="5000"/>
    <n v="3675.0000000000005"/>
    <n v="46175"/>
    <n v="15237.75"/>
    <n v="50675"/>
    <n v="53675"/>
    <n v="7388000"/>
    <n v="8108000"/>
    <n v="8588000"/>
    <n v="0"/>
    <n v="627980"/>
    <n v="2"/>
    <n v="200000"/>
    <n v="200000"/>
    <n v="7588000"/>
  </r>
  <r>
    <m/>
    <s v="E"/>
    <x v="40"/>
    <x v="0"/>
    <n v="3"/>
    <n v="4"/>
    <x v="815"/>
    <s v="3 BEDROOM"/>
    <x v="2"/>
    <n v="131.88"/>
    <n v="143.20629701844501"/>
    <n v="161"/>
    <m/>
    <m/>
    <s v="NW"/>
    <s v="CORNER "/>
    <s v="ROAD 18M (BUILDINGS)"/>
    <s v="THIRD"/>
    <s v="D"/>
    <n v="0.13"/>
    <n v="0.05"/>
    <n v="0.15"/>
    <n v="0.15"/>
    <n v="2.5000000000000001E-2"/>
    <n v="0.505"/>
    <x v="1"/>
    <s v="R 1"/>
    <n v="42500"/>
    <n v="47500"/>
    <n v="5000"/>
    <n v="2525"/>
    <n v="45025"/>
    <n v="14858.25"/>
    <n v="49525"/>
    <n v="52525"/>
    <n v="7249025"/>
    <n v="7973525"/>
    <n v="8456525"/>
    <n v="0"/>
    <n v="616167.125"/>
    <n v="2"/>
    <n v="200000"/>
    <n v="200000"/>
    <n v="7449025"/>
  </r>
  <r>
    <m/>
    <s v="E"/>
    <x v="40"/>
    <x v="0"/>
    <n v="4"/>
    <n v="1"/>
    <x v="816"/>
    <s v="3 BEDROOM"/>
    <x v="2"/>
    <n v="125.13"/>
    <n v="135.87658436395225"/>
    <n v="153"/>
    <m/>
    <m/>
    <s v="NW"/>
    <s v="MIDDLE"/>
    <s v="ROAD 18M (BUILDINGS)"/>
    <s v="FORTH"/>
    <s v="C"/>
    <n v="0.13"/>
    <n v="2.5000000000000001E-2"/>
    <n v="0.15"/>
    <n v="0.06"/>
    <n v="3.5000000000000003E-2"/>
    <n v="0.4"/>
    <x v="0"/>
    <s v="R 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r>
  <r>
    <m/>
    <s v="E"/>
    <x v="40"/>
    <x v="0"/>
    <n v="4"/>
    <n v="2"/>
    <x v="817"/>
    <s v="3 BEDROOM"/>
    <x v="2"/>
    <n v="127.19"/>
    <n v="138.11350407776783"/>
    <n v="155"/>
    <m/>
    <m/>
    <s v="SE"/>
    <s v="MIDDLE"/>
    <s v="LAKE E"/>
    <s v="FORTH"/>
    <s v="C"/>
    <n v="0.08"/>
    <n v="2.5000000000000001E-2"/>
    <n v="0.43"/>
    <n v="0.06"/>
    <n v="3.5000000000000003E-2"/>
    <n v="0.63"/>
    <x v="1"/>
    <s v="R 3"/>
    <n v="44625"/>
    <n v="49875"/>
    <n v="5250"/>
    <n v="3307.5"/>
    <n v="47932.5"/>
    <n v="15817.725"/>
    <n v="52432.5"/>
    <n v="55432.5"/>
    <n v="7429537.5"/>
    <n v="8127037.5"/>
    <n v="8592037.5"/>
    <n v="0"/>
    <n v="631510.6875"/>
    <n v="2"/>
    <n v="210000"/>
    <n v="210000"/>
    <n v="7639537.5"/>
  </r>
  <r>
    <m/>
    <s v="E"/>
    <x v="40"/>
    <x v="0"/>
    <n v="4"/>
    <n v="3"/>
    <x v="818"/>
    <s v="3 BEDROOM"/>
    <x v="2"/>
    <n v="131.38"/>
    <n v="142.66335534033442"/>
    <n v="160"/>
    <m/>
    <m/>
    <s v="SE"/>
    <s v="CORNER "/>
    <s v="LAKE E"/>
    <s v="FORTH"/>
    <s v="D"/>
    <n v="0.08"/>
    <n v="0.05"/>
    <n v="0.43"/>
    <n v="0.06"/>
    <n v="2.5000000000000001E-2"/>
    <n v="0.64500000000000013"/>
    <x v="1"/>
    <s v="R 4"/>
    <n v="45687.5"/>
    <n v="51062.5"/>
    <n v="5375"/>
    <n v="3466.8750000000009"/>
    <n v="49154.375"/>
    <n v="16220.94375"/>
    <n v="53654.375"/>
    <n v="56654.375"/>
    <n v="7864700"/>
    <n v="8584700"/>
    <n v="9064700"/>
    <n v="0"/>
    <n v="668499.5"/>
    <n v="2"/>
    <n v="215000"/>
    <n v="215000"/>
    <n v="8079700"/>
  </r>
  <r>
    <m/>
    <s v="E"/>
    <x v="40"/>
    <x v="0"/>
    <n v="4"/>
    <n v="4"/>
    <x v="819"/>
    <s v="3 BEDROOM"/>
    <x v="2"/>
    <n v="129.58000000000001"/>
    <n v="140.70876529913639"/>
    <n v="158"/>
    <m/>
    <m/>
    <s v="NW"/>
    <s v="CORNER "/>
    <s v="ROAD 18M (BUILDINGS)"/>
    <s v="FORTH"/>
    <s v="C"/>
    <n v="0.13"/>
    <n v="0.05"/>
    <n v="0.15"/>
    <n v="0.06"/>
    <n v="3.5000000000000003E-2"/>
    <n v="0.42499999999999993"/>
    <x v="0"/>
    <s v="R 7"/>
    <n v="50150"/>
    <n v="56050"/>
    <n v="5900"/>
    <n v="2507.4999999999995"/>
    <n v="52657.5"/>
    <n v="17376.975000000002"/>
    <n v="57157.5"/>
    <n v="60157.5"/>
    <n v="8319885"/>
    <n v="9030885"/>
    <n v="9504885"/>
    <n v="0"/>
    <n v="707190.22500000009"/>
    <n v="2"/>
    <n v="236000"/>
    <n v="236000"/>
    <n v="8555885"/>
  </r>
  <r>
    <s v="C3"/>
    <s v="E"/>
    <x v="41"/>
    <x v="0"/>
    <n v="0"/>
    <n v="1"/>
    <x v="820"/>
    <s v="3 BEDROOM"/>
    <x v="2"/>
    <n v="131.32"/>
    <n v="142.66718842094684"/>
    <n v="160"/>
    <n v="89.694999999999993"/>
    <m/>
    <s v="NW"/>
    <s v="MIDDLE"/>
    <s v="ROAD 18M (BUILDINGS)"/>
    <s v="GROUND"/>
    <s v="D"/>
    <n v="0.13"/>
    <n v="2.5000000000000001E-2"/>
    <n v="0.15"/>
    <n v="0.05"/>
    <n v="2.5000000000000001E-2"/>
    <n v="0.38"/>
    <x v="0"/>
    <s v="R 3"/>
    <n v="44625"/>
    <n v="49875"/>
    <n v="5250"/>
    <n v="1995"/>
    <n v="46620"/>
    <n v="15384.6"/>
    <n v="51120"/>
    <n v="54120"/>
    <n v="7459200"/>
    <n v="8179200"/>
    <n v="8659200"/>
    <n v="1379921.6969999999"/>
    <n v="751325.34424500016"/>
    <n v="2"/>
    <n v="210000"/>
    <n v="210000"/>
    <n v="9049121.6970000006"/>
  </r>
  <r>
    <m/>
    <s v="E"/>
    <x v="41"/>
    <x v="0"/>
    <n v="0"/>
    <n v="2"/>
    <x v="821"/>
    <s v="3 BEDROOM + LIVING (DUPLEX)"/>
    <x v="2"/>
    <n v="128.28"/>
    <n v="139.36450602070562"/>
    <n v="309"/>
    <n v="86.075999999999993"/>
    <m/>
    <s v="SE"/>
    <s v="MIDDLE"/>
    <s v="LAKE E"/>
    <s v="GROUND"/>
    <s v="F"/>
    <n v="0.08"/>
    <n v="2.5000000000000001E-2"/>
    <n v="0.43"/>
    <n v="0.05"/>
    <n v="0"/>
    <n v="0.58500000000000008"/>
    <x v="1"/>
    <s v="R 1"/>
    <n v="42500"/>
    <n v="47500"/>
    <n v="5000"/>
    <n v="2925.0000000000005"/>
    <n v="45425"/>
    <n v="14990.25"/>
    <n v="49925"/>
    <n v="52925"/>
    <n v="14036325"/>
    <n v="15426825"/>
    <n v="16353825"/>
    <n v="1290300.7589999998"/>
    <n v="1302763.189515"/>
    <n v="2"/>
    <n v="200000"/>
    <n v="200000"/>
    <n v="15526625.759"/>
  </r>
  <r>
    <m/>
    <s v="E"/>
    <x v="41"/>
    <x v="0"/>
    <n v="0"/>
    <n v="3"/>
    <x v="822"/>
    <s v="3 BEDROOM + LIVING (DUPLEX)"/>
    <x v="2"/>
    <n v="125.03"/>
    <n v="135.83367779676351"/>
    <n v="301"/>
    <n v="85.509600000000006"/>
    <m/>
    <s v="SE"/>
    <s v="MIDDLE"/>
    <s v="LAKE E"/>
    <s v="GROUND"/>
    <s v="F"/>
    <n v="0.08"/>
    <n v="2.5000000000000001E-2"/>
    <n v="0.43"/>
    <n v="0.05"/>
    <n v="0"/>
    <n v="0.58500000000000008"/>
    <x v="1"/>
    <s v="R 1"/>
    <n v="42500"/>
    <n v="47500"/>
    <n v="5000"/>
    <n v="2925.0000000000005"/>
    <n v="45425"/>
    <n v="14990.25"/>
    <n v="49925"/>
    <n v="52925"/>
    <n v="13672925"/>
    <n v="15027425"/>
    <n v="15930425"/>
    <n v="1281810.2814"/>
    <n v="1271152.4989190002"/>
    <n v="2"/>
    <n v="200000"/>
    <n v="200000"/>
    <n v="15154735.281400001"/>
  </r>
  <r>
    <m/>
    <s v="E"/>
    <x v="41"/>
    <x v="0"/>
    <n v="0"/>
    <n v="4"/>
    <x v="823"/>
    <s v="2 BEDROOM"/>
    <x v="2"/>
    <n v="87.23"/>
    <n v="94.767429530606108"/>
    <n v="106"/>
    <n v="73.371899999999997"/>
    <m/>
    <s v="NW"/>
    <s v="MIDDLE"/>
    <s v="ROAD 18M (BUILDINGS)"/>
    <s v="GROUND"/>
    <s v="B"/>
    <n v="0.13"/>
    <n v="2.5000000000000001E-2"/>
    <n v="0.15"/>
    <n v="0.05"/>
    <n v="0.04"/>
    <n v="0.39499999999999996"/>
    <x v="0"/>
    <s v="R 4"/>
    <n v="45687.5"/>
    <n v="51062.5"/>
    <n v="5375"/>
    <n v="2123.125"/>
    <n v="47810.625"/>
    <n v="15777.50625"/>
    <n v="52310.625"/>
    <n v="55310.625"/>
    <n v="5067926.25"/>
    <n v="5544926.25"/>
    <n v="5862926.25"/>
    <n v="1157625.6108243749"/>
    <n v="529171.9081700719"/>
    <n v="1"/>
    <n v="215000"/>
    <n v="215000"/>
    <n v="6440551.8608243745"/>
  </r>
  <r>
    <m/>
    <s v="E"/>
    <x v="41"/>
    <x v="0"/>
    <n v="1"/>
    <n v="1"/>
    <x v="824"/>
    <s v="3 BEDROOM"/>
    <x v="2"/>
    <n v="132.94"/>
    <n v="144.42717048949646"/>
    <n v="162"/>
    <m/>
    <m/>
    <s v="NW"/>
    <s v="MIDDLE"/>
    <s v="ROAD 18M (BUILDINGS)"/>
    <s v="FIRST"/>
    <s v="D"/>
    <n v="0.13"/>
    <n v="2.5000000000000001E-2"/>
    <n v="0.15"/>
    <n v="7.0000000000000007E-2"/>
    <n v="2.5000000000000001E-2"/>
    <n v="0.4"/>
    <x v="0"/>
    <s v="R 5"/>
    <n v="46750.000000000007"/>
    <n v="52250.000000000007"/>
    <n v="5500"/>
    <n v="2200"/>
    <n v="48950.000000000007"/>
    <n v="16153.500000000004"/>
    <n v="53450.000000000007"/>
    <n v="56450.000000000007"/>
    <n v="7929900.0000000009"/>
    <n v="8658900.0000000019"/>
    <n v="9144900.0000000019"/>
    <n v="0"/>
    <n v="674041.50000000012"/>
    <n v="2"/>
    <n v="220000.00000000003"/>
    <n v="220000.00000000003"/>
    <n v="8149900.0000000009"/>
  </r>
  <r>
    <m/>
    <s v="E"/>
    <x v="41"/>
    <x v="0"/>
    <n v="1"/>
    <n v="4"/>
    <x v="825"/>
    <s v="2 BEDROOM"/>
    <x v="2"/>
    <n v="88.87"/>
    <n v="96.549139772841514"/>
    <n v="108"/>
    <m/>
    <m/>
    <s v="NW"/>
    <s v="MIDDLE"/>
    <s v="ROAD 18M (BUILDINGS)"/>
    <s v="FIRST"/>
    <s v="B"/>
    <n v="0.13"/>
    <n v="2.5000000000000001E-2"/>
    <n v="0.15"/>
    <n v="7.0000000000000007E-2"/>
    <n v="0.04"/>
    <n v="0.41499999999999998"/>
    <x v="0"/>
    <s v="R 7"/>
    <n v="50150"/>
    <n v="56050"/>
    <n v="5900"/>
    <n v="2448.5"/>
    <n v="52598.5"/>
    <n v="17357.505000000001"/>
    <n v="57098.5"/>
    <n v="60098.5"/>
    <n v="5680638"/>
    <n v="6166638"/>
    <n v="6490638"/>
    <n v="0"/>
    <n v="482854.23000000004"/>
    <n v="1"/>
    <n v="236000"/>
    <n v="236000"/>
    <n v="5916638"/>
  </r>
  <r>
    <m/>
    <s v="E"/>
    <x v="41"/>
    <x v="0"/>
    <n v="2"/>
    <n v="1"/>
    <x v="826"/>
    <s v="3 BEDROOM"/>
    <x v="2"/>
    <n v="131.41999999999999"/>
    <n v="142.77582928937582"/>
    <n v="160"/>
    <m/>
    <m/>
    <s v="NW"/>
    <s v="MIDDLE"/>
    <s v="ROAD 18M (BUILDINGS)"/>
    <s v="SECOND"/>
    <s v="D"/>
    <n v="0.13"/>
    <n v="2.5000000000000001E-2"/>
    <n v="0.15"/>
    <n v="0.11"/>
    <n v="2.5000000000000001E-2"/>
    <n v="0.44"/>
    <x v="0"/>
    <s v="R 8"/>
    <n v="51850"/>
    <n v="57950"/>
    <n v="6100"/>
    <n v="2684"/>
    <n v="54534"/>
    <n v="17996.22"/>
    <n v="59034"/>
    <n v="62034"/>
    <n v="8725440"/>
    <n v="9445440"/>
    <n v="9925440"/>
    <n v="0"/>
    <n v="741662.4"/>
    <n v="2"/>
    <n v="244000"/>
    <n v="244000"/>
    <n v="8969440"/>
  </r>
  <r>
    <m/>
    <s v="E"/>
    <x v="41"/>
    <x v="0"/>
    <n v="2"/>
    <n v="2"/>
    <x v="827"/>
    <s v="3 BEDROOM"/>
    <x v="2"/>
    <n v="131.03"/>
    <n v="142.35212990250278"/>
    <n v="160"/>
    <m/>
    <m/>
    <s v="SE"/>
    <s v="MIDDLE"/>
    <s v="LAKE E"/>
    <s v="SECOND"/>
    <s v="D"/>
    <n v="0.08"/>
    <n v="2.5000000000000001E-2"/>
    <n v="0.43"/>
    <n v="0.11"/>
    <n v="2.5000000000000001E-2"/>
    <n v="0.67"/>
    <x v="1"/>
    <s v="R 7"/>
    <n v="50150"/>
    <n v="56050"/>
    <n v="5900"/>
    <n v="3953.0000000000005"/>
    <n v="54103"/>
    <n v="17853.990000000002"/>
    <n v="58603"/>
    <n v="61603"/>
    <n v="8656480"/>
    <n v="9376480"/>
    <n v="9856480"/>
    <n v="0"/>
    <n v="735800.8"/>
    <n v="2"/>
    <n v="236000"/>
    <n v="236000"/>
    <n v="8892480"/>
  </r>
  <r>
    <m/>
    <s v="E"/>
    <x v="41"/>
    <x v="0"/>
    <n v="2"/>
    <n v="3"/>
    <x v="828"/>
    <s v="3 BEDROOM"/>
    <x v="2"/>
    <n v="126.89"/>
    <n v="137.85439794954269"/>
    <n v="155"/>
    <m/>
    <m/>
    <s v="SE"/>
    <s v="MIDDLE"/>
    <s v="LAKE E"/>
    <s v="SECOND"/>
    <s v="C"/>
    <n v="0.08"/>
    <n v="2.5000000000000001E-2"/>
    <n v="0.43"/>
    <n v="0.11"/>
    <n v="3.5000000000000003E-2"/>
    <n v="0.68"/>
    <x v="1"/>
    <s v="R 7"/>
    <n v="50150"/>
    <n v="56050"/>
    <n v="5900"/>
    <n v="4012.0000000000005"/>
    <n v="54162"/>
    <n v="17873.46"/>
    <n v="58662"/>
    <n v="61662"/>
    <n v="8395110"/>
    <n v="9092610"/>
    <n v="9557610"/>
    <n v="0"/>
    <n v="713584.35000000009"/>
    <n v="2"/>
    <n v="236000"/>
    <n v="236000"/>
    <n v="8631110"/>
  </r>
  <r>
    <m/>
    <s v="E"/>
    <x v="41"/>
    <x v="0"/>
    <n v="2"/>
    <n v="4"/>
    <x v="829"/>
    <s v="3 BEDROOM"/>
    <x v="2"/>
    <n v="126.99"/>
    <n v="137.96303881797166"/>
    <n v="155"/>
    <m/>
    <m/>
    <s v="NW"/>
    <s v="MIDDLE"/>
    <s v="ROAD 18M (BUILDINGS)"/>
    <s v="SECOND"/>
    <s v="C"/>
    <n v="0.13"/>
    <n v="2.5000000000000001E-2"/>
    <n v="0.15"/>
    <n v="0.11"/>
    <n v="3.5000000000000003E-2"/>
    <n v="0.44999999999999996"/>
    <x v="0"/>
    <s v="R 9"/>
    <n v="53550"/>
    <n v="59850"/>
    <n v="6300"/>
    <n v="2834.9999999999995"/>
    <n v="56385"/>
    <n v="18607.05"/>
    <n v="60885"/>
    <n v="63885"/>
    <n v="8739675"/>
    <n v="9437175"/>
    <n v="9902175"/>
    <n v="0"/>
    <n v="742872.375"/>
    <n v="2"/>
    <n v="252000"/>
    <n v="252000"/>
    <n v="8991675"/>
  </r>
  <r>
    <m/>
    <s v="E"/>
    <x v="41"/>
    <x v="0"/>
    <n v="3"/>
    <n v="1"/>
    <x v="830"/>
    <s v="3 BEDROOM"/>
    <x v="2"/>
    <n v="131.88"/>
    <n v="143.27557728414919"/>
    <n v="161"/>
    <m/>
    <m/>
    <s v="NW"/>
    <s v="MIDDLE"/>
    <s v="ROAD 18M (BUILDINGS)"/>
    <s v="THIRD"/>
    <s v="D"/>
    <n v="0.13"/>
    <n v="2.5000000000000001E-2"/>
    <n v="0.15"/>
    <n v="0.15"/>
    <n v="2.5000000000000001E-2"/>
    <n v="0.48"/>
    <x v="0"/>
    <s v="R 12"/>
    <n v="61625"/>
    <n v="68875"/>
    <n v="7250"/>
    <n v="3480"/>
    <n v="65105"/>
    <n v="21484.65"/>
    <n v="69605"/>
    <n v="72605"/>
    <n v="10481905"/>
    <n v="11206405"/>
    <n v="11689405"/>
    <n v="0"/>
    <n v="890961.92500000005"/>
    <n v="2"/>
    <n v="290000"/>
    <n v="290000"/>
    <n v="10771905"/>
  </r>
  <r>
    <m/>
    <s v="E"/>
    <x v="41"/>
    <x v="0"/>
    <n v="3"/>
    <n v="2"/>
    <x v="831"/>
    <s v="3 BEDROOM"/>
    <x v="2"/>
    <n v="131.02000000000001"/>
    <n v="142.34126581565991"/>
    <n v="160"/>
    <m/>
    <m/>
    <s v="SE"/>
    <s v="MIDDLE"/>
    <s v="LAKE E"/>
    <s v="THIRD"/>
    <s v="D"/>
    <n v="0.08"/>
    <n v="2.5000000000000001E-2"/>
    <n v="0.43"/>
    <n v="0.15"/>
    <n v="2.5000000000000001E-2"/>
    <n v="0.71000000000000008"/>
    <x v="1"/>
    <s v="R 12"/>
    <n v="61625"/>
    <n v="68875"/>
    <n v="7250"/>
    <n v="5147.5000000000009"/>
    <n v="66772.5"/>
    <n v="22034.924999999999"/>
    <n v="71272.5"/>
    <n v="74272.5"/>
    <n v="10683600"/>
    <n v="11403600"/>
    <n v="11883600"/>
    <n v="0"/>
    <n v="908106.00000000012"/>
    <n v="2"/>
    <n v="290000"/>
    <n v="290000"/>
    <n v="10973600"/>
  </r>
  <r>
    <m/>
    <s v="E"/>
    <x v="41"/>
    <x v="0"/>
    <n v="3"/>
    <n v="3"/>
    <x v="832"/>
    <s v="3 BEDROOM"/>
    <x v="2"/>
    <n v="126.87"/>
    <n v="137.83266977585691"/>
    <n v="155"/>
    <m/>
    <m/>
    <s v="SE"/>
    <s v="MIDDLE"/>
    <s v="LAKE E"/>
    <s v="THIRD"/>
    <s v="C"/>
    <n v="0.08"/>
    <n v="2.5000000000000001E-2"/>
    <n v="0.43"/>
    <n v="0.15"/>
    <n v="3.5000000000000003E-2"/>
    <n v="0.72000000000000008"/>
    <x v="1"/>
    <s v="R 12"/>
    <n v="61625"/>
    <n v="68875"/>
    <n v="7250"/>
    <n v="5220.0000000000009"/>
    <n v="66845"/>
    <n v="22058.850000000002"/>
    <n v="71345"/>
    <n v="74345"/>
    <n v="10360975"/>
    <n v="11058475"/>
    <n v="11523475"/>
    <n v="0"/>
    <n v="880682.87500000012"/>
    <n v="2"/>
    <n v="290000"/>
    <n v="290000"/>
    <n v="10650975"/>
  </r>
  <r>
    <m/>
    <s v="E"/>
    <x v="41"/>
    <x v="0"/>
    <n v="3"/>
    <n v="4"/>
    <x v="833"/>
    <s v="3 BEDROOM"/>
    <x v="2"/>
    <n v="127.41"/>
    <n v="138.41933046537343"/>
    <n v="155"/>
    <m/>
    <m/>
    <s v="NW"/>
    <s v="MIDDLE"/>
    <s v="ROAD 18M (BUILDINGS)"/>
    <s v="THIRD"/>
    <s v="C"/>
    <n v="0.13"/>
    <n v="2.5000000000000001E-2"/>
    <n v="0.15"/>
    <n v="0.15"/>
    <n v="3.5000000000000003E-2"/>
    <n v="0.49"/>
    <x v="0"/>
    <s v="R 12"/>
    <n v="61625"/>
    <n v="68875"/>
    <n v="7250"/>
    <n v="3552.5"/>
    <n v="65177.5"/>
    <n v="21508.575000000001"/>
    <n v="69677.5"/>
    <n v="72677.5"/>
    <n v="10102512.5"/>
    <n v="10800012.5"/>
    <n v="11265012.5"/>
    <n v="0"/>
    <n v="858713.56250000012"/>
    <n v="2"/>
    <n v="290000"/>
    <n v="290000"/>
    <n v="10392512.5"/>
  </r>
  <r>
    <m/>
    <s v="E"/>
    <x v="41"/>
    <x v="0"/>
    <n v="4"/>
    <n v="1"/>
    <x v="834"/>
    <s v="3 BEDROOM"/>
    <x v="2"/>
    <n v="129.59"/>
    <n v="140.78770139712537"/>
    <n v="158"/>
    <m/>
    <m/>
    <s v="NW"/>
    <s v="MIDDLE"/>
    <s v="ROAD 18M (BUILDINGS)"/>
    <s v="FORTH"/>
    <s v="C"/>
    <n v="0.13"/>
    <n v="2.5000000000000001E-2"/>
    <n v="0.15"/>
    <n v="0.06"/>
    <n v="3.5000000000000003E-2"/>
    <n v="0.4"/>
    <x v="0"/>
    <s v="R 5"/>
    <n v="46750.000000000007"/>
    <n v="52250.000000000007"/>
    <n v="5500"/>
    <n v="2200"/>
    <n v="48950.000000000007"/>
    <n v="16153.500000000004"/>
    <n v="53450.000000000007"/>
    <n v="56450.000000000007"/>
    <n v="7734100.0000000009"/>
    <n v="8445100.0000000019"/>
    <n v="8919100.0000000019"/>
    <n v="0"/>
    <n v="657398.50000000012"/>
    <n v="2"/>
    <n v="220000.00000000003"/>
    <n v="220000.00000000003"/>
    <n v="7954100.0000000009"/>
  </r>
  <r>
    <m/>
    <s v="E"/>
    <x v="41"/>
    <x v="0"/>
    <n v="4"/>
    <n v="2"/>
    <x v="835"/>
    <s v="3 BEDROOM"/>
    <x v="2"/>
    <n v="131.72"/>
    <n v="143.10175189466281"/>
    <n v="161"/>
    <m/>
    <m/>
    <s v="SE"/>
    <s v="MIDDLE"/>
    <s v="LAKE E"/>
    <s v="FORTH"/>
    <s v="D"/>
    <n v="0.08"/>
    <n v="2.5000000000000001E-2"/>
    <n v="0.43"/>
    <n v="0.06"/>
    <n v="2.5000000000000001E-2"/>
    <n v="0.62"/>
    <x v="1"/>
    <s v="R 3"/>
    <n v="44625"/>
    <n v="49875"/>
    <n v="5250"/>
    <n v="3255"/>
    <n v="47880"/>
    <n v="15800.400000000001"/>
    <n v="52380"/>
    <n v="55380"/>
    <n v="7708680"/>
    <n v="8433180"/>
    <n v="8916180"/>
    <n v="0"/>
    <n v="655237.80000000005"/>
    <n v="2"/>
    <n v="210000"/>
    <n v="210000"/>
    <n v="7918680"/>
  </r>
  <r>
    <m/>
    <s v="E"/>
    <x v="41"/>
    <x v="0"/>
    <n v="4"/>
    <n v="3"/>
    <x v="836"/>
    <s v="3 BEDROOM"/>
    <x v="2"/>
    <n v="127.12"/>
    <n v="138.10427194692937"/>
    <n v="155"/>
    <m/>
    <m/>
    <s v="SE"/>
    <s v="MIDDLE"/>
    <s v="LAKE E"/>
    <s v="FORTH"/>
    <s v="C"/>
    <n v="0.08"/>
    <n v="2.5000000000000001E-2"/>
    <n v="0.43"/>
    <n v="0.06"/>
    <n v="3.5000000000000003E-2"/>
    <n v="0.63"/>
    <x v="1"/>
    <s v="R 3"/>
    <n v="44625"/>
    <n v="49875"/>
    <n v="5250"/>
    <n v="3307.5"/>
    <n v="47932.5"/>
    <n v="15817.725"/>
    <n v="52432.5"/>
    <n v="55432.5"/>
    <n v="7429537.5"/>
    <n v="8127037.5"/>
    <n v="8592037.5"/>
    <n v="0"/>
    <n v="631510.6875"/>
    <n v="2"/>
    <n v="210000"/>
    <n v="210000"/>
    <n v="7639537.5"/>
  </r>
  <r>
    <m/>
    <s v="E"/>
    <x v="41"/>
    <x v="0"/>
    <n v="4"/>
    <n v="4"/>
    <x v="837"/>
    <s v="3 BEDROOM"/>
    <x v="2"/>
    <n v="125.12"/>
    <n v="135.93145457834962"/>
    <n v="153"/>
    <m/>
    <m/>
    <s v="NW"/>
    <s v="MIDDLE"/>
    <s v="ROAD 18M (BUILDINGS)"/>
    <s v="FORTH"/>
    <s v="C"/>
    <n v="0.13"/>
    <n v="2.5000000000000001E-2"/>
    <n v="0.15"/>
    <n v="0.06"/>
    <n v="3.5000000000000003E-2"/>
    <n v="0.4"/>
    <x v="0"/>
    <s v="R 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r>
  <r>
    <s v="C3"/>
    <s v="E"/>
    <x v="42"/>
    <x v="0"/>
    <n v="0"/>
    <n v="1"/>
    <x v="838"/>
    <s v="3 BEDROOM"/>
    <x v="2"/>
    <n v="131.34"/>
    <n v="142.61992000608555"/>
    <n v="160"/>
    <n v="88.345699999999994"/>
    <m/>
    <s v="NW"/>
    <s v="CORNER "/>
    <s v="ROAD 18M (BUILDINGS)"/>
    <s v="GROUND"/>
    <s v="D"/>
    <n v="0.13"/>
    <n v="0.05"/>
    <n v="0.15"/>
    <n v="0.05"/>
    <n v="2.5000000000000001E-2"/>
    <n v="0.40499999999999997"/>
    <x v="0"/>
    <s v="R 6"/>
    <n v="48450.000000000007"/>
    <n v="54150.000000000007"/>
    <n v="5700"/>
    <n v="2308.5"/>
    <n v="50758.500000000007"/>
    <n v="16750.305000000004"/>
    <n v="55258.500000000007"/>
    <n v="58258.500000000007"/>
    <n v="8121360.0000000009"/>
    <n v="8841360.0000000019"/>
    <n v="9321360.0000000019"/>
    <n v="1479817.4204385004"/>
    <n v="816100.08073727274"/>
    <n v="2"/>
    <n v="228000.00000000003"/>
    <n v="228000.00000000003"/>
    <n v="9829177.420438502"/>
  </r>
  <r>
    <m/>
    <s v="E"/>
    <x v="42"/>
    <x v="0"/>
    <n v="0"/>
    <n v="2"/>
    <x v="839"/>
    <s v="3 BEDROOM"/>
    <x v="2"/>
    <n v="129.57"/>
    <n v="140.69790646557411"/>
    <n v="158"/>
    <n v="84.036199999999994"/>
    <m/>
    <s v="SE"/>
    <s v="CORNER "/>
    <s v="LAKE E"/>
    <s v="GROUND"/>
    <s v="C"/>
    <n v="0.08"/>
    <n v="0.05"/>
    <n v="0.43"/>
    <n v="0.05"/>
    <n v="3.5000000000000003E-2"/>
    <n v="0.64500000000000013"/>
    <x v="1"/>
    <s v="R 4"/>
    <n v="45687.5"/>
    <n v="51062.5"/>
    <n v="5375"/>
    <n v="3466.8750000000009"/>
    <n v="49154.375"/>
    <n v="16220.94375"/>
    <n v="53654.375"/>
    <n v="56654.375"/>
    <n v="7766391.25"/>
    <n v="8477391.25"/>
    <n v="8951391.25"/>
    <n v="1363146.47316375"/>
    <n v="776010.70646891883"/>
    <n v="2"/>
    <n v="215000"/>
    <n v="215000"/>
    <n v="9344537.72316375"/>
  </r>
  <r>
    <m/>
    <s v="E"/>
    <x v="42"/>
    <x v="0"/>
    <n v="0"/>
    <n v="3"/>
    <x v="840"/>
    <s v="3 BEDROOM"/>
    <x v="2"/>
    <n v="125.09"/>
    <n v="135.83314902970338"/>
    <n v="153"/>
    <n v="85.562899999999999"/>
    <m/>
    <s v="SE"/>
    <s v="MIDDLE"/>
    <s v="LAKE E"/>
    <s v="GROUND"/>
    <s v="C"/>
    <n v="0.08"/>
    <n v="2.5000000000000001E-2"/>
    <n v="0.43"/>
    <n v="0.05"/>
    <n v="3.5000000000000003E-2"/>
    <n v="0.62000000000000011"/>
    <x v="1"/>
    <s v="R 3"/>
    <n v="44625"/>
    <n v="49875"/>
    <n v="5250"/>
    <n v="3255.0000000000005"/>
    <n v="47880"/>
    <n v="15800.400000000001"/>
    <n v="52380"/>
    <n v="55380"/>
    <n v="7325640"/>
    <n v="8014140"/>
    <n v="8473140"/>
    <n v="1351928.0451600002"/>
    <n v="737593.28383860004"/>
    <n v="2"/>
    <n v="210000"/>
    <n v="210000"/>
    <n v="8887568.0451599993"/>
  </r>
  <r>
    <m/>
    <s v="E"/>
    <x v="42"/>
    <x v="0"/>
    <n v="0"/>
    <n v="4"/>
    <x v="841"/>
    <s v="2 BEDROOM"/>
    <x v="2"/>
    <n v="87.23"/>
    <n v="94.721605163170736"/>
    <n v="106"/>
    <n v="72.451099999999997"/>
    <m/>
    <s v="NW"/>
    <s v="MIDDLE"/>
    <s v="ROAD 18M (BUILDINGS)"/>
    <s v="GROUND"/>
    <s v="B"/>
    <n v="0.13"/>
    <n v="2.5000000000000001E-2"/>
    <n v="0.15"/>
    <n v="0.05"/>
    <n v="0.04"/>
    <n v="0.39499999999999996"/>
    <x v="0"/>
    <s v="R 4"/>
    <n v="45687.5"/>
    <n v="51062.5"/>
    <n v="5375"/>
    <n v="2123.125"/>
    <n v="47810.625"/>
    <n v="15777.50625"/>
    <n v="52310.625"/>
    <n v="55310.625"/>
    <n v="5067926.25"/>
    <n v="5544926.25"/>
    <n v="5862926.25"/>
    <n v="1143097.6830693749"/>
    <n v="527937.03431089688"/>
    <n v="1"/>
    <n v="215000"/>
    <n v="215000"/>
    <n v="6426023.9330693744"/>
  </r>
  <r>
    <m/>
    <s v="E"/>
    <x v="42"/>
    <x v="0"/>
    <n v="1"/>
    <n v="1"/>
    <x v="842"/>
    <s v="3 BEDROOM"/>
    <x v="2"/>
    <n v="129.04"/>
    <n v="140.1223882867769"/>
    <n v="157"/>
    <m/>
    <m/>
    <s v="NW"/>
    <s v="CORNER "/>
    <s v="ROAD 18M (BUILDINGS)"/>
    <s v="FIRST"/>
    <s v="C"/>
    <n v="0.13"/>
    <n v="0.05"/>
    <n v="0.15"/>
    <n v="7.0000000000000007E-2"/>
    <n v="3.5000000000000003E-2"/>
    <n v="0.43499999999999994"/>
    <x v="0"/>
    <s v="R 8"/>
    <n v="51850"/>
    <n v="57950"/>
    <n v="6100"/>
    <n v="2653.4999999999995"/>
    <n v="54503.5"/>
    <n v="17986.155000000002"/>
    <n v="59003.5"/>
    <n v="62003.5"/>
    <n v="8557049.5"/>
    <n v="9263549.5"/>
    <n v="9734549.5"/>
    <n v="0"/>
    <n v="727349.20750000002"/>
    <n v="2"/>
    <n v="244000"/>
    <n v="244000"/>
    <n v="8801049.5"/>
  </r>
  <r>
    <m/>
    <s v="E"/>
    <x v="42"/>
    <x v="0"/>
    <n v="1"/>
    <n v="2"/>
    <x v="843"/>
    <s v="3 BEDROOM"/>
    <x v="2"/>
    <n v="131.43"/>
    <n v="142.71764950814546"/>
    <n v="160"/>
    <m/>
    <m/>
    <s v="SE"/>
    <s v="CORNER "/>
    <s v="LAKE E"/>
    <s v="FIRST"/>
    <s v="D"/>
    <n v="0.08"/>
    <n v="0.05"/>
    <n v="0.43"/>
    <n v="7.0000000000000007E-2"/>
    <n v="2.5000000000000001E-2"/>
    <n v="0.65500000000000014"/>
    <x v="1"/>
    <s v="R 5"/>
    <n v="46750.000000000007"/>
    <n v="52250.000000000007"/>
    <n v="5500"/>
    <n v="3602.5000000000009"/>
    <n v="50352.500000000007"/>
    <n v="16616.325000000004"/>
    <n v="54852.500000000007"/>
    <n v="57852.500000000007"/>
    <n v="8056400.0000000009"/>
    <n v="8776400.0000000019"/>
    <n v="9256400.0000000019"/>
    <n v="0"/>
    <n v="684794.00000000012"/>
    <n v="2"/>
    <n v="220000.00000000003"/>
    <n v="220000.00000000003"/>
    <n v="8276400.0000000009"/>
  </r>
  <r>
    <m/>
    <s v="E"/>
    <x v="42"/>
    <x v="0"/>
    <n v="1"/>
    <n v="3"/>
    <x v="844"/>
    <s v="3 BEDROOM"/>
    <x v="2"/>
    <n v="127.14"/>
    <n v="138.05920990995673"/>
    <n v="155"/>
    <m/>
    <m/>
    <s v="SE"/>
    <s v="MIDDLE"/>
    <s v="LAKE E"/>
    <s v="FIRST"/>
    <s v="C"/>
    <n v="0.08"/>
    <n v="2.5000000000000001E-2"/>
    <n v="0.43"/>
    <n v="7.0000000000000007E-2"/>
    <n v="3.5000000000000003E-2"/>
    <n v="0.64"/>
    <x v="1"/>
    <s v="R 4"/>
    <n v="45687.5"/>
    <n v="51062.5"/>
    <n v="5375"/>
    <n v="3440"/>
    <n v="49127.5"/>
    <n v="16212.075000000001"/>
    <n v="53627.5"/>
    <n v="56627.5"/>
    <n v="7614762.5"/>
    <n v="8312262.5"/>
    <n v="8777262.5"/>
    <n v="0"/>
    <n v="647254.8125"/>
    <n v="2"/>
    <n v="215000"/>
    <n v="215000"/>
    <n v="7829762.5"/>
  </r>
  <r>
    <m/>
    <s v="E"/>
    <x v="42"/>
    <x v="0"/>
    <n v="1"/>
    <n v="4"/>
    <x v="845"/>
    <s v="2 BEDROOM"/>
    <x v="2"/>
    <n v="88.87"/>
    <n v="96.502453867373418"/>
    <n v="108"/>
    <m/>
    <m/>
    <s v="NW"/>
    <s v="MIDDLE"/>
    <s v="ROAD 18M (BUILDINGS)"/>
    <s v="FIRST"/>
    <s v="B"/>
    <n v="0.13"/>
    <n v="2.5000000000000001E-2"/>
    <n v="0.15"/>
    <n v="7.0000000000000007E-2"/>
    <n v="0.04"/>
    <n v="0.41499999999999998"/>
    <x v="0"/>
    <s v="R 7"/>
    <n v="50150"/>
    <n v="56050"/>
    <n v="5900"/>
    <n v="2448.5"/>
    <n v="52598.5"/>
    <n v="17357.505000000001"/>
    <n v="57098.5"/>
    <n v="60098.5"/>
    <n v="5680638"/>
    <n v="6166638"/>
    <n v="6490638"/>
    <n v="0"/>
    <n v="482854.23000000004"/>
    <n v="1"/>
    <n v="236000"/>
    <n v="236000"/>
    <n v="5916638"/>
  </r>
  <r>
    <m/>
    <s v="E"/>
    <x v="42"/>
    <x v="0"/>
    <n v="2"/>
    <n v="1"/>
    <x v="846"/>
    <s v="3 BEDROOM"/>
    <x v="2"/>
    <n v="131.43"/>
    <n v="142.71764950814546"/>
    <n v="160"/>
    <m/>
    <m/>
    <s v="NW"/>
    <s v="CORNER "/>
    <s v="ROAD 18M (BUILDINGS)"/>
    <s v="SECOND"/>
    <s v="D"/>
    <n v="0.13"/>
    <n v="0.05"/>
    <n v="0.15"/>
    <n v="0.11"/>
    <n v="2.5000000000000001E-2"/>
    <n v="0.46499999999999997"/>
    <x v="0"/>
    <s v="R 10"/>
    <n v="56100"/>
    <n v="62700"/>
    <n v="6600"/>
    <n v="3069"/>
    <n v="59169"/>
    <n v="19525.77"/>
    <n v="63669"/>
    <n v="66669"/>
    <n v="9467040"/>
    <n v="10187040"/>
    <n v="10667040"/>
    <n v="0"/>
    <n v="804698.4"/>
    <n v="2"/>
    <n v="264000"/>
    <n v="264000"/>
    <n v="9731040"/>
  </r>
  <r>
    <m/>
    <s v="E"/>
    <x v="42"/>
    <x v="0"/>
    <n v="2"/>
    <n v="2"/>
    <x v="847"/>
    <s v="3 BEDROOM"/>
    <x v="2"/>
    <n v="131.44"/>
    <n v="142.72850834170768"/>
    <n v="160"/>
    <m/>
    <m/>
    <s v="SE"/>
    <s v="CORNER "/>
    <s v="LAKE E"/>
    <s v="SECOND"/>
    <s v="D"/>
    <n v="0.08"/>
    <n v="0.05"/>
    <n v="0.43"/>
    <n v="0.11"/>
    <n v="2.5000000000000001E-2"/>
    <n v="0.69500000000000006"/>
    <x v="1"/>
    <s v="R 8"/>
    <n v="51850"/>
    <n v="57950"/>
    <n v="6100"/>
    <n v="4239.5"/>
    <n v="56089.5"/>
    <n v="18509.535"/>
    <n v="60589.5"/>
    <n v="63589.5"/>
    <n v="8974320"/>
    <n v="9694320"/>
    <n v="10174320"/>
    <n v="0"/>
    <n v="762817.20000000007"/>
    <n v="2"/>
    <n v="244000"/>
    <n v="244000"/>
    <n v="9218320"/>
  </r>
  <r>
    <m/>
    <s v="E"/>
    <x v="42"/>
    <x v="0"/>
    <n v="2"/>
    <n v="3"/>
    <x v="848"/>
    <s v="3 BEDROOM"/>
    <x v="2"/>
    <n v="126.95"/>
    <n v="137.85289207227473"/>
    <n v="155"/>
    <m/>
    <m/>
    <s v="SE"/>
    <s v="MIDDLE"/>
    <s v="LAKE E"/>
    <s v="SECOND"/>
    <s v="C"/>
    <n v="0.08"/>
    <n v="2.5000000000000001E-2"/>
    <n v="0.43"/>
    <n v="0.11"/>
    <n v="3.5000000000000003E-2"/>
    <n v="0.68"/>
    <x v="1"/>
    <s v="R 7"/>
    <n v="50150"/>
    <n v="56050"/>
    <n v="5900"/>
    <n v="4012.0000000000005"/>
    <n v="54162"/>
    <n v="17873.46"/>
    <n v="58662"/>
    <n v="61662"/>
    <n v="8395110"/>
    <n v="9092610"/>
    <n v="9557610"/>
    <n v="0"/>
    <n v="713584.35000000009"/>
    <n v="2"/>
    <n v="236000"/>
    <n v="236000"/>
    <n v="8631110"/>
  </r>
  <r>
    <m/>
    <s v="E"/>
    <x v="42"/>
    <x v="0"/>
    <n v="2"/>
    <n v="4"/>
    <x v="849"/>
    <s v="3 BEDROOM"/>
    <x v="2"/>
    <n v="127.15"/>
    <n v="138.07006874351896"/>
    <n v="155"/>
    <m/>
    <m/>
    <s v="NW"/>
    <s v="MIDDLE"/>
    <s v="ROAD 18M (BUILDINGS)"/>
    <s v="SECOND"/>
    <s v="C"/>
    <n v="0.13"/>
    <n v="2.5000000000000001E-2"/>
    <n v="0.15"/>
    <n v="0.11"/>
    <n v="3.5000000000000003E-2"/>
    <n v="0.44999999999999996"/>
    <x v="0"/>
    <s v="R 9"/>
    <n v="53550"/>
    <n v="59850"/>
    <n v="6300"/>
    <n v="2834.9999999999995"/>
    <n v="56385"/>
    <n v="18607.05"/>
    <n v="60885"/>
    <n v="63885"/>
    <n v="8739675"/>
    <n v="9437175"/>
    <n v="9902175"/>
    <n v="0"/>
    <n v="742872.375"/>
    <n v="2"/>
    <n v="252000"/>
    <n v="252000"/>
    <n v="8991675"/>
  </r>
  <r>
    <m/>
    <s v="E"/>
    <x v="42"/>
    <x v="0"/>
    <n v="3"/>
    <n v="1"/>
    <x v="850"/>
    <s v="3 BEDROOM"/>
    <x v="2"/>
    <n v="131.88"/>
    <n v="143.20629701844499"/>
    <n v="161"/>
    <m/>
    <m/>
    <s v="NW"/>
    <s v="CORNER "/>
    <s v="ROAD 18M (BUILDINGS)"/>
    <s v="THIRD"/>
    <s v="D"/>
    <n v="0.13"/>
    <n v="0.05"/>
    <n v="0.15"/>
    <n v="0.15"/>
    <n v="2.5000000000000001E-2"/>
    <n v="0.505"/>
    <x v="1"/>
    <s v="R 1"/>
    <n v="42500"/>
    <n v="47500"/>
    <n v="5000"/>
    <n v="2525"/>
    <n v="45025"/>
    <n v="14858.25"/>
    <n v="49525"/>
    <n v="52525"/>
    <n v="7249025"/>
    <n v="7973525"/>
    <n v="8456525"/>
    <n v="0"/>
    <n v="616167.125"/>
    <n v="2"/>
    <n v="200000"/>
    <n v="200000"/>
    <n v="7449025"/>
  </r>
  <r>
    <m/>
    <s v="E"/>
    <x v="42"/>
    <x v="0"/>
    <n v="3"/>
    <n v="2"/>
    <x v="851"/>
    <s v="3 BEDROOM"/>
    <x v="2"/>
    <n v="131.43"/>
    <n v="142.71764950814546"/>
    <n v="160"/>
    <m/>
    <m/>
    <s v="SE"/>
    <s v="CORNER "/>
    <s v="LAKE E"/>
    <s v="THIRD"/>
    <s v="D"/>
    <n v="0.08"/>
    <n v="0.05"/>
    <n v="0.43"/>
    <n v="0.15"/>
    <n v="2.5000000000000001E-2"/>
    <n v="0.7350000000000001"/>
    <x v="2"/>
    <s v="R 1"/>
    <n v="42500"/>
    <n v="47500"/>
    <n v="5000"/>
    <n v="3675.0000000000005"/>
    <n v="46175"/>
    <n v="15237.75"/>
    <n v="50675"/>
    <n v="53675"/>
    <n v="7388000"/>
    <n v="8108000"/>
    <n v="8588000"/>
    <n v="0"/>
    <n v="627980"/>
    <n v="2"/>
    <n v="200000"/>
    <n v="200000"/>
    <n v="7588000"/>
  </r>
  <r>
    <m/>
    <s v="E"/>
    <x v="42"/>
    <x v="0"/>
    <n v="3"/>
    <n v="3"/>
    <x v="852"/>
    <s v="3 BEDROOM"/>
    <x v="2"/>
    <n v="126.97"/>
    <n v="137.87460973939915"/>
    <n v="155"/>
    <m/>
    <m/>
    <s v="SE"/>
    <s v="MIDDLE"/>
    <s v="LAKE E"/>
    <s v="THIRD"/>
    <s v="C"/>
    <n v="0.08"/>
    <n v="2.5000000000000001E-2"/>
    <n v="0.43"/>
    <n v="0.15"/>
    <n v="3.5000000000000003E-2"/>
    <n v="0.72000000000000008"/>
    <x v="1"/>
    <s v="R 12"/>
    <n v="61625"/>
    <n v="68875"/>
    <n v="7250"/>
    <n v="5220.0000000000009"/>
    <n v="66845"/>
    <n v="22058.850000000002"/>
    <n v="71345"/>
    <n v="74345"/>
    <n v="10360975"/>
    <n v="11058475"/>
    <n v="11523475"/>
    <n v="0"/>
    <n v="880682.87500000012"/>
    <n v="2"/>
    <n v="290000"/>
    <n v="290000"/>
    <n v="10650975"/>
  </r>
  <r>
    <m/>
    <s v="E"/>
    <x v="42"/>
    <x v="0"/>
    <n v="3"/>
    <n v="4"/>
    <x v="853"/>
    <s v="3 BEDROOM"/>
    <x v="2"/>
    <n v="127.45"/>
    <n v="138.39583375038529"/>
    <n v="155"/>
    <m/>
    <m/>
    <s v="NW"/>
    <s v="MIDDLE"/>
    <s v="ROAD 18M (BUILDINGS)"/>
    <s v="THIRD"/>
    <s v="C"/>
    <n v="0.13"/>
    <n v="2.5000000000000001E-2"/>
    <n v="0.15"/>
    <n v="0.15"/>
    <n v="3.5000000000000003E-2"/>
    <n v="0.49"/>
    <x v="0"/>
    <s v="R 12"/>
    <n v="61625"/>
    <n v="68875"/>
    <n v="7250"/>
    <n v="3552.5"/>
    <n v="65177.5"/>
    <n v="21508.575000000001"/>
    <n v="69677.5"/>
    <n v="72677.5"/>
    <n v="10102512.5"/>
    <n v="10800012.5"/>
    <n v="11265012.5"/>
    <n v="0"/>
    <n v="858713.56250000012"/>
    <n v="2"/>
    <n v="290000"/>
    <n v="290000"/>
    <n v="10392512.5"/>
  </r>
  <r>
    <m/>
    <s v="E"/>
    <x v="42"/>
    <x v="0"/>
    <n v="4"/>
    <n v="1"/>
    <x v="854"/>
    <s v="3 BEDROOM"/>
    <x v="2"/>
    <n v="129.58000000000001"/>
    <n v="140.70876529913636"/>
    <n v="158"/>
    <m/>
    <m/>
    <s v="NW"/>
    <s v="CORNER "/>
    <s v="ROAD 18M (BUILDINGS)"/>
    <s v="FORTH"/>
    <s v="C"/>
    <n v="0.13"/>
    <n v="0.05"/>
    <n v="0.15"/>
    <n v="0.06"/>
    <n v="3.5000000000000003E-2"/>
    <n v="0.42499999999999993"/>
    <x v="0"/>
    <s v="R 7"/>
    <n v="50150"/>
    <n v="56050"/>
    <n v="5900"/>
    <n v="2507.4999999999995"/>
    <n v="52657.5"/>
    <n v="17376.975000000002"/>
    <n v="57157.5"/>
    <n v="60157.5"/>
    <n v="8319885"/>
    <n v="9030885"/>
    <n v="9504885"/>
    <n v="0"/>
    <n v="707190.22500000009"/>
    <n v="2"/>
    <n v="236000"/>
    <n v="236000"/>
    <n v="8555885"/>
  </r>
  <r>
    <m/>
    <s v="E"/>
    <x v="42"/>
    <x v="0"/>
    <n v="4"/>
    <n v="2"/>
    <x v="855"/>
    <s v="3 BEDROOM"/>
    <x v="2"/>
    <n v="131.38"/>
    <n v="142.66335534033439"/>
    <n v="160"/>
    <m/>
    <m/>
    <s v="SE"/>
    <s v="CORNER "/>
    <s v="LAKE E"/>
    <s v="FORTH"/>
    <s v="D"/>
    <n v="0.08"/>
    <n v="0.05"/>
    <n v="0.43"/>
    <n v="0.06"/>
    <n v="2.5000000000000001E-2"/>
    <n v="0.64500000000000013"/>
    <x v="1"/>
    <s v="R 4"/>
    <n v="45687.5"/>
    <n v="51062.5"/>
    <n v="5375"/>
    <n v="3466.8750000000009"/>
    <n v="49154.375"/>
    <n v="16220.94375"/>
    <n v="53654.375"/>
    <n v="56654.375"/>
    <n v="7864700"/>
    <n v="8584700"/>
    <n v="9064700"/>
    <n v="0"/>
    <n v="668499.5"/>
    <n v="2"/>
    <n v="215000"/>
    <n v="215000"/>
    <n v="8079700"/>
  </r>
  <r>
    <m/>
    <s v="E"/>
    <x v="42"/>
    <x v="0"/>
    <n v="4"/>
    <n v="3"/>
    <x v="856"/>
    <s v="3 BEDROOM"/>
    <x v="2"/>
    <n v="127.19"/>
    <n v="138.1135040777678"/>
    <n v="155"/>
    <m/>
    <m/>
    <s v="SE"/>
    <s v="MIDDLE"/>
    <s v="LAKE E"/>
    <s v="FORTH"/>
    <s v="C"/>
    <n v="0.08"/>
    <n v="2.5000000000000001E-2"/>
    <n v="0.43"/>
    <n v="0.06"/>
    <n v="3.5000000000000003E-2"/>
    <n v="0.63"/>
    <x v="1"/>
    <s v="R 3"/>
    <n v="44625"/>
    <n v="49875"/>
    <n v="5250"/>
    <n v="3307.5"/>
    <n v="47932.5"/>
    <n v="15817.725"/>
    <n v="52432.5"/>
    <n v="55432.5"/>
    <n v="7429537.5"/>
    <n v="8127037.5"/>
    <n v="8592037.5"/>
    <n v="0"/>
    <n v="631510.6875"/>
    <n v="2"/>
    <n v="210000"/>
    <n v="210000"/>
    <n v="7639537.5"/>
  </r>
  <r>
    <m/>
    <s v="E"/>
    <x v="42"/>
    <x v="0"/>
    <n v="4"/>
    <n v="4"/>
    <x v="857"/>
    <s v="3 BEDROOM"/>
    <x v="2"/>
    <n v="125.13"/>
    <n v="135.87658436395222"/>
    <n v="153"/>
    <m/>
    <m/>
    <s v="NW"/>
    <s v="MIDDLE"/>
    <s v="ROAD 18M (BUILDINGS)"/>
    <s v="FORTH"/>
    <s v="C"/>
    <n v="0.13"/>
    <n v="2.5000000000000001E-2"/>
    <n v="0.15"/>
    <n v="0.06"/>
    <n v="3.5000000000000003E-2"/>
    <n v="0.4"/>
    <x v="0"/>
    <s v="R 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r>
  <r>
    <m/>
    <m/>
    <x v="43"/>
    <x v="2"/>
    <m/>
    <m/>
    <x v="858"/>
    <m/>
    <x v="3"/>
    <m/>
    <m/>
    <m/>
    <m/>
    <m/>
    <m/>
    <m/>
    <m/>
    <m/>
    <m/>
    <m/>
    <m/>
    <m/>
    <m/>
    <m/>
    <m/>
    <x v="4"/>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8">
  <r>
    <s v="A"/>
    <s v="A"/>
    <x v="0"/>
    <s v="RESIDENTIAL"/>
    <x v="0"/>
    <n v="1"/>
    <x v="0"/>
    <x v="0"/>
    <s v="C1"/>
    <n v="110.32"/>
    <n v="120.40866089136887"/>
    <x v="0"/>
    <n v="42.779499999999999"/>
    <m/>
    <s v="SE"/>
    <s v="CORNER "/>
    <s v="ROAD 18M (BUILDINGS)"/>
    <s v="GROUND"/>
    <x v="0"/>
    <n v="0.08"/>
    <n v="0.05"/>
    <n v="0.15"/>
    <n v="0.05"/>
    <n v="3.5000000000000003E-2"/>
    <x v="0"/>
    <x v="0"/>
    <x v="0"/>
    <n v="43562.499999999993"/>
    <n v="48687.499999999993"/>
    <n v="5125"/>
    <n v="1870.625"/>
    <n v="45433.124999999993"/>
    <n v="14992.931249999998"/>
    <n v="49933.124999999993"/>
    <n v="52933.124999999993"/>
    <n v="6178904.9999999991"/>
    <n v="6790904.9999999991"/>
    <n v="7198904.9999999991"/>
    <n v="641390.1024093749"/>
    <n v="579725.08370479685"/>
    <n v="2"/>
    <n v="204999.99999999997"/>
    <n v="204999.99999999997"/>
    <n v="7025295.102409374"/>
  </r>
  <r>
    <m/>
    <s v="A"/>
    <x v="0"/>
    <s v="RESIDENTIAL"/>
    <x v="0"/>
    <n v="2"/>
    <x v="1"/>
    <x v="0"/>
    <s v="C1"/>
    <n v="110.14"/>
    <n v="120.21220005960269"/>
    <x v="1"/>
    <n v="59.482100000000003"/>
    <m/>
    <s v="NW"/>
    <s v="CORNER "/>
    <s v="LAKE A-1"/>
    <s v="GROUND"/>
    <x v="0"/>
    <n v="0.13"/>
    <n v="0.05"/>
    <n v="0.4"/>
    <n v="0.05"/>
    <n v="3.5000000000000003E-2"/>
    <x v="1"/>
    <x v="1"/>
    <x v="1"/>
    <n v="48450.000000000007"/>
    <n v="54150.000000000007"/>
    <n v="5700"/>
    <n v="3790.5000000000009"/>
    <n v="52240.500000000007"/>
    <n v="17239.365000000002"/>
    <n v="56740.500000000007"/>
    <n v="59740.500000000007"/>
    <n v="7052467.5000000009"/>
    <n v="7659967.5000000009"/>
    <n v="8064967.5000000009"/>
    <n v="1025433.6328665002"/>
    <n v="686621.59629365266"/>
    <n v="2"/>
    <n v="228000.00000000003"/>
    <n v="228000.00000000003"/>
    <n v="8305901.1328665009"/>
  </r>
  <r>
    <m/>
    <s v="A"/>
    <x v="0"/>
    <s v="RESIDENTIAL"/>
    <x v="0"/>
    <n v="3"/>
    <x v="2"/>
    <x v="0"/>
    <s v="C1"/>
    <n v="89.96"/>
    <n v="98.186757920481725"/>
    <x v="2"/>
    <n v="50.507800000000003"/>
    <m/>
    <s v="NW"/>
    <s v="MIDDLE"/>
    <s v="LAKE A-1"/>
    <s v="GROUND"/>
    <x v="1"/>
    <n v="0.13"/>
    <n v="2.5000000000000001E-2"/>
    <n v="0.4"/>
    <n v="0.05"/>
    <n v="0.04"/>
    <x v="2"/>
    <x v="1"/>
    <x v="2"/>
    <n v="45687.5"/>
    <n v="51062.5"/>
    <n v="5375"/>
    <n v="3466.8750000000009"/>
    <n v="49154.375"/>
    <n v="16220.94375"/>
    <n v="53654.375"/>
    <n v="56654.375"/>
    <n v="5456135.625"/>
    <n v="5955635.625"/>
    <n v="6288635.625"/>
    <n v="819284.18273625011"/>
    <n v="533410.68365758122"/>
    <n v="1"/>
    <n v="215000"/>
    <n v="215000"/>
    <n v="6490419.8077362496"/>
  </r>
  <r>
    <m/>
    <s v="A"/>
    <x v="0"/>
    <s v="RESIDENTIAL"/>
    <x v="0"/>
    <n v="4"/>
    <x v="3"/>
    <x v="1"/>
    <s v="C1"/>
    <n v="60.98"/>
    <n v="66.556564006124674"/>
    <x v="3"/>
    <n v="23.808399999999999"/>
    <m/>
    <s v="SE"/>
    <s v="MIDDLE"/>
    <s v="ROAD 18M (BUILDINGS)"/>
    <s v="GROUND"/>
    <x v="2"/>
    <n v="0.08"/>
    <n v="2.5000000000000001E-2"/>
    <n v="0.15"/>
    <n v="0.05"/>
    <n v="0.05"/>
    <x v="3"/>
    <x v="0"/>
    <x v="3"/>
    <n v="42500"/>
    <n v="47500"/>
    <n v="5000"/>
    <n v="1775"/>
    <n v="44275"/>
    <n v="14610.75"/>
    <n v="48775"/>
    <n v="51775"/>
    <n v="3320625"/>
    <n v="3658125"/>
    <n v="3883125"/>
    <n v="347858.58029999997"/>
    <n v="311821.10432550003"/>
    <n v="1"/>
    <n v="200000"/>
    <n v="200000"/>
    <n v="3868483.5803"/>
  </r>
  <r>
    <m/>
    <s v="A"/>
    <x v="0"/>
    <s v="RESIDENTIAL"/>
    <x v="1"/>
    <n v="1"/>
    <x v="4"/>
    <x v="0"/>
    <s v="C1"/>
    <n v="110.61"/>
    <n v="120.72518112032553"/>
    <x v="0"/>
    <m/>
    <m/>
    <s v="SE"/>
    <s v="CORNER "/>
    <s v="ROAD 18M (BUILDINGS)"/>
    <s v="FIRST"/>
    <x v="0"/>
    <n v="0.08"/>
    <n v="0.05"/>
    <n v="0.15"/>
    <n v="7.0000000000000007E-2"/>
    <n v="3.5000000000000003E-2"/>
    <x v="4"/>
    <x v="0"/>
    <x v="2"/>
    <n v="45687.5"/>
    <n v="51062.5"/>
    <n v="5375"/>
    <n v="2069.375"/>
    <n v="47756.875"/>
    <n v="15759.768750000001"/>
    <n v="52256.875"/>
    <n v="55256.875"/>
    <n v="6494935"/>
    <n v="7106935"/>
    <n v="7514935"/>
    <n v="0"/>
    <n v="552069.47500000009"/>
    <n v="2"/>
    <n v="215000"/>
    <n v="215000"/>
    <n v="6709935"/>
  </r>
  <r>
    <m/>
    <s v="A"/>
    <x v="0"/>
    <s v="RESIDENTIAL"/>
    <x v="1"/>
    <n v="2"/>
    <x v="5"/>
    <x v="0"/>
    <s v="C1"/>
    <n v="110.14"/>
    <n v="120.21220005960269"/>
    <x v="1"/>
    <m/>
    <m/>
    <s v="NW"/>
    <s v="CORNER "/>
    <s v="LAKE A-1"/>
    <s v="FIRST"/>
    <x v="0"/>
    <n v="0.13"/>
    <n v="0.05"/>
    <n v="0.4"/>
    <n v="7.0000000000000007E-2"/>
    <n v="3.5000000000000003E-2"/>
    <x v="5"/>
    <x v="1"/>
    <x v="4"/>
    <n v="51850"/>
    <n v="57950"/>
    <n v="6100"/>
    <n v="4178.5000000000009"/>
    <n v="56028.5"/>
    <n v="18489.405000000002"/>
    <n v="60528.5"/>
    <n v="63528.5"/>
    <n v="7563847.5"/>
    <n v="8171347.5"/>
    <n v="8576347.5"/>
    <n v="0"/>
    <n v="642927.03750000009"/>
    <n v="2"/>
    <n v="244000"/>
    <n v="244000"/>
    <n v="7807847.5"/>
  </r>
  <r>
    <m/>
    <s v="A"/>
    <x v="0"/>
    <s v="RESIDENTIAL"/>
    <x v="1"/>
    <n v="3"/>
    <x v="6"/>
    <x v="0"/>
    <s v="C1"/>
    <n v="89.05"/>
    <n v="97.193539270997093"/>
    <x v="4"/>
    <m/>
    <m/>
    <s v="NW"/>
    <s v="MIDDLE"/>
    <s v="LAKE A-1"/>
    <s v="FIRST"/>
    <x v="1"/>
    <n v="0.13"/>
    <n v="2.5000000000000001E-2"/>
    <n v="0.4"/>
    <n v="7.0000000000000007E-2"/>
    <n v="0.04"/>
    <x v="6"/>
    <x v="1"/>
    <x v="5"/>
    <n v="46750.000000000007"/>
    <n v="52250.000000000007"/>
    <n v="5500"/>
    <n v="3657.5"/>
    <n v="50407.500000000007"/>
    <n v="16634.475000000002"/>
    <n v="54907.500000000007"/>
    <n v="57907.500000000007"/>
    <n v="5544825.0000000009"/>
    <n v="6039825.0000000009"/>
    <n v="6369825.0000000009"/>
    <n v="0"/>
    <n v="471310.12500000012"/>
    <n v="1"/>
    <n v="220000.00000000003"/>
    <n v="220000.00000000003"/>
    <n v="5764825.0000000009"/>
  </r>
  <r>
    <m/>
    <s v="A"/>
    <x v="0"/>
    <s v="RESIDENTIAL"/>
    <x v="1"/>
    <n v="4"/>
    <x v="7"/>
    <x v="1"/>
    <s v="C1"/>
    <n v="61.82"/>
    <n v="67.473381221033577"/>
    <x v="5"/>
    <m/>
    <m/>
    <s v="SE"/>
    <s v="MIDDLE"/>
    <s v="ROAD 18M (BUILDINGS)"/>
    <s v="FIRST"/>
    <x v="2"/>
    <n v="0.08"/>
    <n v="2.5000000000000001E-2"/>
    <n v="0.15"/>
    <n v="7.0000000000000007E-2"/>
    <n v="0.05"/>
    <x v="7"/>
    <x v="0"/>
    <x v="6"/>
    <n v="44625"/>
    <n v="49875"/>
    <n v="5250"/>
    <n v="1968.75"/>
    <n v="46593.75"/>
    <n v="15375.9375"/>
    <n v="51093.75"/>
    <n v="54093.75"/>
    <n v="3541125"/>
    <n v="3883125"/>
    <n v="4111125"/>
    <n v="0"/>
    <n v="300995.625"/>
    <n v="1"/>
    <n v="210000"/>
    <n v="210000"/>
    <n v="3751125"/>
  </r>
  <r>
    <m/>
    <s v="A"/>
    <x v="0"/>
    <s v="RESIDENTIAL"/>
    <x v="2"/>
    <n v="1"/>
    <x v="8"/>
    <x v="0"/>
    <s v="C1"/>
    <n v="112.2"/>
    <n v="122.46058513426023"/>
    <x v="6"/>
    <m/>
    <m/>
    <s v="SE"/>
    <s v="CORNER "/>
    <s v="ROAD 18M (BUILDINGS)"/>
    <s v="SECOND"/>
    <x v="0"/>
    <n v="0.08"/>
    <n v="0.05"/>
    <n v="0.15"/>
    <n v="0.11"/>
    <n v="3.5000000000000003E-2"/>
    <x v="8"/>
    <x v="0"/>
    <x v="4"/>
    <n v="51850"/>
    <n v="57950"/>
    <n v="6100"/>
    <n v="2592.5000000000005"/>
    <n v="54442.5"/>
    <n v="17966.025000000001"/>
    <n v="58942.5"/>
    <n v="61942.5"/>
    <n v="7513065"/>
    <n v="8134065"/>
    <n v="8548065"/>
    <n v="0"/>
    <n v="638610.52500000002"/>
    <n v="2"/>
    <n v="244000"/>
    <n v="244000"/>
    <n v="7757065"/>
  </r>
  <r>
    <m/>
    <s v="A"/>
    <x v="0"/>
    <s v="RESIDENTIAL"/>
    <x v="2"/>
    <n v="2"/>
    <x v="9"/>
    <x v="0"/>
    <s v="C1"/>
    <n v="112.2"/>
    <n v="122.46058513426023"/>
    <x v="6"/>
    <m/>
    <m/>
    <s v="NW"/>
    <s v="CORNER "/>
    <s v="LAKE A-1"/>
    <s v="SECOND"/>
    <x v="0"/>
    <n v="0.13"/>
    <n v="0.05"/>
    <n v="0.4"/>
    <n v="0.11"/>
    <n v="3.5000000000000003E-2"/>
    <x v="9"/>
    <x v="1"/>
    <x v="7"/>
    <n v="61625"/>
    <n v="68875"/>
    <n v="7250"/>
    <n v="5256.2500000000009"/>
    <n v="66881.25"/>
    <n v="22070.8125"/>
    <n v="71381.25"/>
    <n v="74381.25"/>
    <n v="9229612.5"/>
    <n v="9850612.5"/>
    <n v="10264612.5"/>
    <n v="0"/>
    <n v="784517.0625"/>
    <n v="2"/>
    <n v="290000"/>
    <n v="290000"/>
    <n v="9519612.5"/>
  </r>
  <r>
    <m/>
    <s v="A"/>
    <x v="0"/>
    <s v="RESIDENTIAL"/>
    <x v="2"/>
    <n v="3"/>
    <x v="10"/>
    <x v="0"/>
    <s v="C1"/>
    <n v="90.91"/>
    <n v="99.223634532581073"/>
    <x v="7"/>
    <m/>
    <m/>
    <s v="NW"/>
    <s v="MIDDLE"/>
    <s v="LAKE A-1"/>
    <s v="SECOND"/>
    <x v="1"/>
    <n v="0.13"/>
    <n v="2.5000000000000001E-2"/>
    <n v="0.4"/>
    <n v="0.11"/>
    <n v="0.04"/>
    <x v="10"/>
    <x v="1"/>
    <x v="8"/>
    <n v="56100"/>
    <n v="62700"/>
    <n v="6600"/>
    <n v="4653.0000000000009"/>
    <n v="60753"/>
    <n v="20048.490000000002"/>
    <n v="65253"/>
    <n v="68253"/>
    <n v="6804336"/>
    <n v="7308336"/>
    <n v="7644336"/>
    <n v="0"/>
    <n v="578368.56000000006"/>
    <n v="1"/>
    <n v="264000"/>
    <n v="264000"/>
    <n v="7068336"/>
  </r>
  <r>
    <m/>
    <s v="A"/>
    <x v="0"/>
    <s v="RESIDENTIAL"/>
    <x v="2"/>
    <n v="4"/>
    <x v="11"/>
    <x v="0"/>
    <s v="C1"/>
    <n v="90.91"/>
    <n v="99.223634532581073"/>
    <x v="7"/>
    <m/>
    <m/>
    <s v="SE"/>
    <s v="MIDDLE"/>
    <s v="ROAD 18M (BUILDINGS)"/>
    <s v="SECOND"/>
    <x v="1"/>
    <n v="0.08"/>
    <n v="2.5000000000000001E-2"/>
    <n v="0.15"/>
    <n v="0.11"/>
    <n v="0.04"/>
    <x v="11"/>
    <x v="0"/>
    <x v="5"/>
    <n v="46750.000000000007"/>
    <n v="52250.000000000007"/>
    <n v="5500"/>
    <n v="2227.5"/>
    <n v="48977.500000000007"/>
    <n v="16162.575000000003"/>
    <n v="53477.500000000007"/>
    <n v="56477.500000000007"/>
    <n v="5485480.0000000009"/>
    <n v="5989480.0000000009"/>
    <n v="6325480.0000000009"/>
    <n v="0"/>
    <n v="466265.8000000001"/>
    <n v="1"/>
    <n v="220000.00000000003"/>
    <n v="220000.00000000003"/>
    <n v="5705480.0000000009"/>
  </r>
  <r>
    <m/>
    <s v="A"/>
    <x v="0"/>
    <s v="RESIDENTIAL"/>
    <x v="3"/>
    <n v="1"/>
    <x v="12"/>
    <x v="0"/>
    <s v="C1"/>
    <n v="110.14"/>
    <n v="120.21220005960269"/>
    <x v="1"/>
    <m/>
    <m/>
    <s v="SE"/>
    <s v="CORNER "/>
    <s v="ROAD 18M (BUILDINGS)"/>
    <s v="THIRD"/>
    <x v="0"/>
    <n v="0.08"/>
    <n v="0.05"/>
    <n v="0.15"/>
    <n v="0.15"/>
    <n v="3.5000000000000003E-2"/>
    <x v="12"/>
    <x v="0"/>
    <x v="9"/>
    <n v="58649.999999999993"/>
    <n v="65550"/>
    <n v="6900.0000000000073"/>
    <n v="3208.5000000000041"/>
    <n v="61858.5"/>
    <n v="20413.305"/>
    <n v="66358.5"/>
    <n v="69358.5"/>
    <n v="8350897.5"/>
    <n v="8958397.5"/>
    <n v="9363397.5"/>
    <n v="0"/>
    <n v="709826.28750000009"/>
    <n v="2"/>
    <n v="276000"/>
    <n v="276000"/>
    <n v="8626897.5"/>
  </r>
  <r>
    <m/>
    <s v="A"/>
    <x v="0"/>
    <s v="RESIDENTIAL"/>
    <x v="3"/>
    <n v="2"/>
    <x v="13"/>
    <x v="0"/>
    <s v="C1"/>
    <n v="110.14"/>
    <n v="120.21220005960269"/>
    <x v="1"/>
    <m/>
    <m/>
    <s v="NW"/>
    <s v="CORNER "/>
    <s v="LAKE A-1"/>
    <s v="THIRD"/>
    <x v="0"/>
    <n v="0.13"/>
    <n v="0.05"/>
    <n v="0.4"/>
    <n v="0.15"/>
    <n v="3.5000000000000003E-2"/>
    <x v="13"/>
    <x v="2"/>
    <x v="6"/>
    <n v="44625"/>
    <n v="49875"/>
    <n v="5250"/>
    <n v="4016.2500000000005"/>
    <n v="48641.25"/>
    <n v="16051.612500000001"/>
    <n v="53141.25"/>
    <n v="56141.25"/>
    <n v="6566568.75"/>
    <n v="7174068.75"/>
    <n v="7579068.75"/>
    <n v="0"/>
    <n v="558158.34375"/>
    <n v="2"/>
    <n v="210000"/>
    <n v="210000"/>
    <n v="6776568.75"/>
  </r>
  <r>
    <m/>
    <s v="A"/>
    <x v="0"/>
    <s v="RESIDENTIAL"/>
    <x v="3"/>
    <n v="3"/>
    <x v="14"/>
    <x v="0"/>
    <s v="C1"/>
    <n v="89.05"/>
    <n v="97.193539270997093"/>
    <x v="4"/>
    <m/>
    <m/>
    <s v="NW"/>
    <s v="MIDDLE"/>
    <s v="LAKE A-1"/>
    <s v="THIRD"/>
    <x v="1"/>
    <n v="0.13"/>
    <n v="2.5000000000000001E-2"/>
    <n v="0.4"/>
    <n v="0.15"/>
    <n v="0.04"/>
    <x v="14"/>
    <x v="2"/>
    <x v="0"/>
    <n v="43562.499999999993"/>
    <n v="48687.499999999993"/>
    <n v="5125"/>
    <n v="3818.1250000000005"/>
    <n v="47380.624999999993"/>
    <n v="15635.606249999999"/>
    <n v="51880.624999999993"/>
    <n v="54880.624999999993"/>
    <n v="5211868.7499999991"/>
    <n v="5706868.7499999991"/>
    <n v="6036868.7499999991"/>
    <n v="0"/>
    <n v="443008.84374999994"/>
    <n v="1"/>
    <n v="204999.99999999997"/>
    <n v="204999.99999999997"/>
    <n v="5416868.7499999991"/>
  </r>
  <r>
    <m/>
    <s v="A"/>
    <x v="0"/>
    <s v="RESIDENTIAL"/>
    <x v="3"/>
    <n v="4"/>
    <x v="15"/>
    <x v="0"/>
    <s v="C1"/>
    <n v="89.05"/>
    <n v="97.193539270997093"/>
    <x v="4"/>
    <m/>
    <m/>
    <s v="SE"/>
    <s v="MIDDLE"/>
    <s v="ROAD 18M (BUILDINGS)"/>
    <s v="THIRD"/>
    <x v="1"/>
    <n v="0.08"/>
    <n v="2.5000000000000001E-2"/>
    <n v="0.15"/>
    <n v="0.15"/>
    <n v="0.04"/>
    <x v="15"/>
    <x v="0"/>
    <x v="10"/>
    <n v="53550"/>
    <n v="59850"/>
    <n v="6300"/>
    <n v="2803.5"/>
    <n v="56353.5"/>
    <n v="18596.655000000002"/>
    <n v="60853.5"/>
    <n v="63853.5"/>
    <n v="6198885"/>
    <n v="6693885"/>
    <n v="7023885"/>
    <n v="0"/>
    <n v="526905.22500000009"/>
    <n v="1"/>
    <n v="252000"/>
    <n v="252000"/>
    <n v="6450885"/>
  </r>
  <r>
    <m/>
    <s v="A"/>
    <x v="0"/>
    <s v="RESIDENTIAL"/>
    <x v="4"/>
    <n v="1"/>
    <x v="16"/>
    <x v="0"/>
    <s v="C1"/>
    <n v="110.18"/>
    <n v="120.25585802221741"/>
    <x v="0"/>
    <m/>
    <m/>
    <s v="SE"/>
    <s v="CORNER "/>
    <s v="ROAD 18M (BUILDINGS)"/>
    <s v="FORTH"/>
    <x v="0"/>
    <n v="0.08"/>
    <n v="0.05"/>
    <n v="0.15"/>
    <n v="0.06"/>
    <n v="3.5000000000000003E-2"/>
    <x v="7"/>
    <x v="0"/>
    <x v="6"/>
    <n v="44625"/>
    <n v="49875"/>
    <n v="5250"/>
    <n v="1968.75"/>
    <n v="46593.75"/>
    <n v="15375.9375"/>
    <n v="51093.75"/>
    <n v="54093.75"/>
    <n v="6336750"/>
    <n v="6948750"/>
    <n v="7356750"/>
    <n v="0"/>
    <n v="538623.75"/>
    <n v="2"/>
    <n v="210000"/>
    <n v="210000"/>
    <n v="6546750"/>
  </r>
  <r>
    <m/>
    <s v="A"/>
    <x v="0"/>
    <s v="RESIDENTIAL"/>
    <x v="4"/>
    <n v="2"/>
    <x v="17"/>
    <x v="0"/>
    <s v="C1"/>
    <n v="110.18"/>
    <n v="120.25585802221741"/>
    <x v="0"/>
    <m/>
    <m/>
    <s v="NW"/>
    <s v="CORNER "/>
    <s v="LAKE A-1"/>
    <s v="FORTH"/>
    <x v="0"/>
    <n v="0.13"/>
    <n v="0.05"/>
    <n v="0.4"/>
    <n v="0.06"/>
    <n v="3.5000000000000003E-2"/>
    <x v="16"/>
    <x v="1"/>
    <x v="1"/>
    <n v="48450.000000000007"/>
    <n v="54150.000000000007"/>
    <n v="5700"/>
    <n v="3847.5000000000009"/>
    <n v="52297.500000000007"/>
    <n v="17258.175000000003"/>
    <n v="56797.500000000007"/>
    <n v="59797.500000000007"/>
    <n v="7112460.0000000009"/>
    <n v="7724460.0000000009"/>
    <n v="8132460.0000000009"/>
    <n v="0"/>
    <n v="604559.10000000009"/>
    <n v="2"/>
    <n v="228000.00000000003"/>
    <n v="228000.00000000003"/>
    <n v="7340460.0000000009"/>
  </r>
  <r>
    <m/>
    <s v="A"/>
    <x v="0"/>
    <s v="RESIDENTIAL"/>
    <x v="4"/>
    <n v="3"/>
    <x v="18"/>
    <x v="0"/>
    <s v="C1"/>
    <n v="89.12"/>
    <n v="97.269940705572836"/>
    <x v="4"/>
    <m/>
    <m/>
    <s v="NW"/>
    <s v="MIDDLE"/>
    <s v="LAKE A-1"/>
    <s v="FORTH"/>
    <x v="1"/>
    <n v="0.13"/>
    <n v="2.5000000000000001E-2"/>
    <n v="0.4"/>
    <n v="0.06"/>
    <n v="0.04"/>
    <x v="17"/>
    <x v="1"/>
    <x v="5"/>
    <n v="46750.000000000007"/>
    <n v="52250.000000000007"/>
    <n v="5500"/>
    <n v="3602.5"/>
    <n v="50352.500000000007"/>
    <n v="16616.325000000004"/>
    <n v="54852.500000000007"/>
    <n v="57852.500000000007"/>
    <n v="5538775.0000000009"/>
    <n v="6033775.0000000009"/>
    <n v="6363775.0000000009"/>
    <n v="0"/>
    <n v="470795.87500000012"/>
    <n v="1"/>
    <n v="220000.00000000003"/>
    <n v="220000.00000000003"/>
    <n v="5758775.0000000009"/>
  </r>
  <r>
    <m/>
    <s v="A"/>
    <x v="0"/>
    <s v="RESIDENTIAL"/>
    <x v="4"/>
    <n v="4"/>
    <x v="19"/>
    <x v="0"/>
    <s v="C1"/>
    <n v="89.12"/>
    <n v="97.269940705572836"/>
    <x v="4"/>
    <m/>
    <m/>
    <s v="SE"/>
    <s v="MIDDLE"/>
    <s v="ROAD 18M (BUILDINGS)"/>
    <s v="FORTH"/>
    <x v="1"/>
    <n v="0.08"/>
    <n v="2.5000000000000001E-2"/>
    <n v="0.15"/>
    <n v="0.06"/>
    <n v="0.04"/>
    <x v="3"/>
    <x v="0"/>
    <x v="3"/>
    <n v="42500"/>
    <n v="47500"/>
    <n v="5000"/>
    <n v="1775"/>
    <n v="44275"/>
    <n v="14610.75"/>
    <n v="48775"/>
    <n v="51775"/>
    <n v="4870250"/>
    <n v="5365250"/>
    <n v="5695250"/>
    <n v="0"/>
    <n v="413971.25000000006"/>
    <n v="1"/>
    <n v="200000"/>
    <n v="200000"/>
    <n v="5070250"/>
  </r>
  <r>
    <s v="A"/>
    <s v="A"/>
    <x v="1"/>
    <s v="RESIDENTIAL"/>
    <x v="0"/>
    <n v="1"/>
    <x v="20"/>
    <x v="1"/>
    <s v="C1"/>
    <n v="60.98"/>
    <n v="66.844099610330389"/>
    <x v="3"/>
    <n v="23.808399999999999"/>
    <m/>
    <s v="SE"/>
    <s v="MIDDLE"/>
    <s v="ROAD 18M (BUILDINGS)"/>
    <s v="GROUND"/>
    <x v="2"/>
    <n v="0.08"/>
    <n v="2.5000000000000001E-2"/>
    <n v="0.15"/>
    <n v="0.05"/>
    <n v="0.05"/>
    <x v="3"/>
    <x v="0"/>
    <x v="3"/>
    <n v="42500"/>
    <n v="47500"/>
    <n v="5000"/>
    <n v="1775"/>
    <n v="44275"/>
    <n v="14610.75"/>
    <n v="48775"/>
    <n v="51775"/>
    <n v="3320625"/>
    <n v="3658125"/>
    <n v="3883125"/>
    <n v="347858.58029999997"/>
    <n v="311821.10432550003"/>
    <n v="1"/>
    <n v="200000"/>
    <n v="200000"/>
    <n v="3868483.5803"/>
  </r>
  <r>
    <m/>
    <s v="A"/>
    <x v="1"/>
    <s v="RESIDENTIAL"/>
    <x v="0"/>
    <n v="2"/>
    <x v="21"/>
    <x v="0"/>
    <s v="C1"/>
    <n v="89.96"/>
    <n v="98.610941307729107"/>
    <x v="2"/>
    <n v="50.503900000000002"/>
    <m/>
    <s v="NW"/>
    <s v="MIDDLE"/>
    <s v="LAKE A-1"/>
    <s v="GROUND"/>
    <x v="1"/>
    <n v="0.13"/>
    <n v="2.5000000000000001E-2"/>
    <n v="0.4"/>
    <n v="0.05"/>
    <n v="0.04"/>
    <x v="2"/>
    <x v="1"/>
    <x v="2"/>
    <n v="45687.5"/>
    <n v="51062.5"/>
    <n v="5375"/>
    <n v="3466.8750000000009"/>
    <n v="49154.375"/>
    <n v="16220.94375"/>
    <n v="53654.375"/>
    <n v="56654.375"/>
    <n v="5456135.625"/>
    <n v="5955635.625"/>
    <n v="6288635.625"/>
    <n v="819220.92105562508"/>
    <n v="533405.30641472817"/>
    <n v="1"/>
    <n v="215000"/>
    <n v="215000"/>
    <n v="6490356.5460556252"/>
  </r>
  <r>
    <m/>
    <s v="A"/>
    <x v="1"/>
    <s v="RESIDENTIAL"/>
    <x v="0"/>
    <n v="3"/>
    <x v="22"/>
    <x v="0"/>
    <s v="C1"/>
    <n v="97.98"/>
    <n v="107.40217907215762"/>
    <x v="8"/>
    <n v="50.705300000000001"/>
    <m/>
    <s v="NW"/>
    <s v="MIDDLE"/>
    <s v="LAKE A-1"/>
    <s v="GROUND"/>
    <x v="1"/>
    <n v="0.13"/>
    <n v="2.5000000000000001E-2"/>
    <n v="0.4"/>
    <n v="0.05"/>
    <n v="0.04"/>
    <x v="2"/>
    <x v="1"/>
    <x v="2"/>
    <n v="45687.5"/>
    <n v="51062.5"/>
    <n v="5375"/>
    <n v="3466.8750000000009"/>
    <n v="49154.375"/>
    <n v="16220.94375"/>
    <n v="53654.375"/>
    <n v="56654.375"/>
    <n v="5947679.375"/>
    <n v="6492179.375"/>
    <n v="6855179.375"/>
    <n v="822487.81912687502"/>
    <n v="575464.21150078438"/>
    <n v="1"/>
    <n v="215000"/>
    <n v="215000"/>
    <n v="6985167.1941268751"/>
  </r>
  <r>
    <m/>
    <s v="A"/>
    <x v="1"/>
    <s v="RESIDENTIAL"/>
    <x v="0"/>
    <n v="4"/>
    <x v="23"/>
    <x v="0"/>
    <s v="C1"/>
    <n v="98.17"/>
    <n v="107.61045029101565"/>
    <x v="8"/>
    <n v="31.613900000000001"/>
    <m/>
    <s v="SE"/>
    <s v="MIDDLE"/>
    <s v="ROAD 18M (BUILDINGS)"/>
    <s v="GROUND"/>
    <x v="1"/>
    <n v="0.08"/>
    <n v="2.5000000000000001E-2"/>
    <n v="0.15"/>
    <n v="0.05"/>
    <n v="0.04"/>
    <x v="18"/>
    <x v="0"/>
    <x v="3"/>
    <n v="42500"/>
    <n v="47500"/>
    <n v="5000"/>
    <n v="1724.9999999999998"/>
    <n v="44225"/>
    <n v="14594.25"/>
    <n v="48725"/>
    <n v="51725"/>
    <n v="5351225"/>
    <n v="5895725"/>
    <n v="6258725"/>
    <n v="461381.16007500002"/>
    <n v="494071.52360637498"/>
    <n v="1"/>
    <n v="200000"/>
    <n v="200000"/>
    <n v="6012606.1600749996"/>
  </r>
  <r>
    <m/>
    <s v="A"/>
    <x v="1"/>
    <s v="RESIDENTIAL"/>
    <x v="1"/>
    <n v="1"/>
    <x v="24"/>
    <x v="1"/>
    <s v="C1"/>
    <n v="61.82"/>
    <n v="67.764877630544845"/>
    <x v="5"/>
    <m/>
    <m/>
    <s v="SE"/>
    <s v="MIDDLE"/>
    <s v="ROAD 18M (BUILDINGS)"/>
    <s v="FIRST"/>
    <x v="2"/>
    <n v="0.08"/>
    <n v="2.5000000000000001E-2"/>
    <n v="0.15"/>
    <n v="7.0000000000000007E-2"/>
    <n v="0.05"/>
    <x v="7"/>
    <x v="0"/>
    <x v="6"/>
    <n v="44625"/>
    <n v="49875"/>
    <n v="5250"/>
    <n v="1968.75"/>
    <n v="46593.75"/>
    <n v="15375.9375"/>
    <n v="51093.75"/>
    <n v="54093.75"/>
    <n v="3541125"/>
    <n v="3883125"/>
    <n v="4111125"/>
    <n v="0"/>
    <n v="300995.625"/>
    <n v="1"/>
    <n v="210000"/>
    <n v="210000"/>
    <n v="3751125"/>
  </r>
  <r>
    <m/>
    <s v="A"/>
    <x v="1"/>
    <s v="RESIDENTIAL"/>
    <x v="1"/>
    <n v="2"/>
    <x v="25"/>
    <x v="0"/>
    <s v="C1"/>
    <n v="89.05"/>
    <n v="97.61343178583013"/>
    <x v="4"/>
    <m/>
    <m/>
    <s v="NW"/>
    <s v="MIDDLE"/>
    <s v="LAKE A-1"/>
    <s v="FIRST"/>
    <x v="1"/>
    <n v="0.13"/>
    <n v="2.5000000000000001E-2"/>
    <n v="0.4"/>
    <n v="7.0000000000000007E-2"/>
    <n v="0.04"/>
    <x v="6"/>
    <x v="1"/>
    <x v="5"/>
    <n v="46750.000000000007"/>
    <n v="52250.000000000007"/>
    <n v="5500"/>
    <n v="3657.5"/>
    <n v="50407.500000000007"/>
    <n v="16634.475000000002"/>
    <n v="54907.500000000007"/>
    <n v="57907.500000000007"/>
    <n v="5544825.0000000009"/>
    <n v="6039825.0000000009"/>
    <n v="6369825.0000000009"/>
    <n v="0"/>
    <n v="471310.12500000012"/>
    <n v="1"/>
    <n v="220000.00000000003"/>
    <n v="220000.00000000003"/>
    <n v="5764825.0000000009"/>
  </r>
  <r>
    <m/>
    <s v="A"/>
    <x v="1"/>
    <s v="RESIDENTIAL"/>
    <x v="1"/>
    <n v="3"/>
    <x v="26"/>
    <x v="0"/>
    <s v="C1"/>
    <n v="97.06"/>
    <n v="106.39370790716083"/>
    <x v="9"/>
    <m/>
    <m/>
    <s v="NW"/>
    <s v="MIDDLE"/>
    <s v="LAKE A-1"/>
    <s v="FIRST"/>
    <x v="1"/>
    <n v="0.13"/>
    <n v="2.5000000000000001E-2"/>
    <n v="0.4"/>
    <n v="7.0000000000000007E-2"/>
    <n v="0.04"/>
    <x v="6"/>
    <x v="1"/>
    <x v="5"/>
    <n v="46750.000000000007"/>
    <n v="52250.000000000007"/>
    <n v="5500"/>
    <n v="3657.5"/>
    <n v="50407.500000000007"/>
    <n v="16634.475000000002"/>
    <n v="54907.500000000007"/>
    <n v="57907.500000000007"/>
    <n v="6048900.0000000009"/>
    <n v="6588900.0000000009"/>
    <n v="6948900.0000000009"/>
    <n v="0"/>
    <n v="514156.50000000012"/>
    <n v="1"/>
    <n v="220000.00000000003"/>
    <n v="220000.00000000003"/>
    <n v="6268900.0000000009"/>
  </r>
  <r>
    <m/>
    <s v="A"/>
    <x v="1"/>
    <s v="RESIDENTIAL"/>
    <x v="1"/>
    <n v="4"/>
    <x v="27"/>
    <x v="0"/>
    <s v="C1"/>
    <n v="97.09"/>
    <n v="106.4265928364542"/>
    <x v="10"/>
    <m/>
    <m/>
    <s v="SE"/>
    <s v="MIDDLE"/>
    <s v="ROAD 18M (BUILDINGS)"/>
    <s v="FIRST"/>
    <x v="1"/>
    <n v="0.08"/>
    <n v="2.5000000000000001E-2"/>
    <n v="0.15"/>
    <n v="7.0000000000000007E-2"/>
    <n v="0.04"/>
    <x v="0"/>
    <x v="0"/>
    <x v="0"/>
    <n v="43562.499999999993"/>
    <n v="48687.499999999993"/>
    <n v="5125"/>
    <n v="1870.625"/>
    <n v="45433.124999999993"/>
    <n v="14992.931249999998"/>
    <n v="49933.124999999993"/>
    <n v="52933.124999999993"/>
    <n v="5406541.8749999991"/>
    <n v="5942041.8749999991"/>
    <n v="6299041.8749999991"/>
    <n v="0"/>
    <n v="459556.05937499995"/>
    <n v="1"/>
    <n v="204999.99999999997"/>
    <n v="204999.99999999997"/>
    <n v="5611541.8749999991"/>
  </r>
  <r>
    <m/>
    <s v="A"/>
    <x v="1"/>
    <s v="RESIDENTIAL"/>
    <x v="2"/>
    <n v="1"/>
    <x v="28"/>
    <x v="0"/>
    <s v="C1"/>
    <n v="90.91"/>
    <n v="99.652297402019272"/>
    <x v="7"/>
    <m/>
    <m/>
    <s v="SE"/>
    <s v="MIDDLE"/>
    <s v="ROAD 18M (BUILDINGS)"/>
    <s v="SECOND"/>
    <x v="1"/>
    <n v="0.08"/>
    <n v="2.5000000000000001E-2"/>
    <n v="0.15"/>
    <n v="0.11"/>
    <n v="0.04"/>
    <x v="11"/>
    <x v="0"/>
    <x v="1"/>
    <n v="48450.000000000007"/>
    <n v="54150.000000000007"/>
    <n v="5700"/>
    <n v="2308.5"/>
    <n v="50758.500000000007"/>
    <n v="16750.305000000004"/>
    <n v="55258.500000000007"/>
    <n v="58258.500000000007"/>
    <n v="5684952.0000000009"/>
    <n v="6188952.0000000009"/>
    <n v="6524952.0000000009"/>
    <n v="0"/>
    <n v="483220.9200000001"/>
    <n v="1"/>
    <n v="228000.00000000003"/>
    <n v="228000.00000000003"/>
    <n v="5912952.0000000009"/>
  </r>
  <r>
    <m/>
    <s v="A"/>
    <x v="1"/>
    <s v="RESIDENTIAL"/>
    <x v="2"/>
    <n v="2"/>
    <x v="29"/>
    <x v="0"/>
    <s v="C1"/>
    <n v="90.91"/>
    <n v="99.652297402019272"/>
    <x v="7"/>
    <m/>
    <m/>
    <s v="NW"/>
    <s v="MIDDLE"/>
    <s v="LAKE A-1"/>
    <s v="SECOND"/>
    <x v="1"/>
    <n v="0.13"/>
    <n v="2.5000000000000001E-2"/>
    <n v="0.4"/>
    <n v="0.11"/>
    <n v="0.04"/>
    <x v="10"/>
    <x v="1"/>
    <x v="8"/>
    <n v="56100"/>
    <n v="62700"/>
    <n v="6600"/>
    <n v="4653.0000000000009"/>
    <n v="60753"/>
    <n v="20048.490000000002"/>
    <n v="65253"/>
    <n v="68253"/>
    <n v="6804336"/>
    <n v="7308336"/>
    <n v="7644336"/>
    <n v="0"/>
    <n v="578368.56000000006"/>
    <n v="1"/>
    <n v="264000"/>
    <n v="264000"/>
    <n v="7068336"/>
  </r>
  <r>
    <m/>
    <s v="A"/>
    <x v="1"/>
    <s v="RESIDENTIAL"/>
    <x v="2"/>
    <n v="3"/>
    <x v="30"/>
    <x v="0"/>
    <s v="C1"/>
    <n v="98.95"/>
    <n v="108.46545845264336"/>
    <x v="11"/>
    <m/>
    <m/>
    <s v="NW"/>
    <s v="MIDDLE"/>
    <s v="LAKE A-1"/>
    <s v="SECOND"/>
    <x v="1"/>
    <n v="0.13"/>
    <n v="2.5000000000000001E-2"/>
    <n v="0.4"/>
    <n v="0.11"/>
    <n v="0.04"/>
    <x v="10"/>
    <x v="1"/>
    <x v="8"/>
    <n v="56100"/>
    <n v="62700"/>
    <n v="6600"/>
    <n v="4653.0000000000009"/>
    <n v="60753"/>
    <n v="20048.490000000002"/>
    <n v="65253"/>
    <n v="68253"/>
    <n v="7411866"/>
    <n v="7960866"/>
    <n v="8326866"/>
    <n v="0"/>
    <n v="630008.6100000001"/>
    <n v="1"/>
    <n v="264000"/>
    <n v="264000"/>
    <n v="7675866"/>
  </r>
  <r>
    <m/>
    <s v="A"/>
    <x v="1"/>
    <s v="RESIDENTIAL"/>
    <x v="2"/>
    <n v="4"/>
    <x v="31"/>
    <x v="0"/>
    <s v="C1"/>
    <n v="98.95"/>
    <n v="108.46545845264336"/>
    <x v="11"/>
    <m/>
    <m/>
    <s v="SE"/>
    <s v="MIDDLE"/>
    <s v="ROAD 18M (BUILDINGS)"/>
    <s v="SECOND"/>
    <x v="1"/>
    <n v="0.08"/>
    <n v="2.5000000000000001E-2"/>
    <n v="0.15"/>
    <n v="0.11"/>
    <n v="0.04"/>
    <x v="11"/>
    <x v="0"/>
    <x v="1"/>
    <n v="48450.000000000007"/>
    <n v="54150.000000000007"/>
    <n v="5700"/>
    <n v="2308.5"/>
    <n v="50758.500000000007"/>
    <n v="16750.305000000004"/>
    <n v="55258.500000000007"/>
    <n v="58258.500000000007"/>
    <n v="6192537.0000000009"/>
    <n v="6741537.0000000009"/>
    <n v="7107537.0000000009"/>
    <n v="0"/>
    <n v="526365.64500000014"/>
    <n v="1"/>
    <n v="228000.00000000003"/>
    <n v="228000.00000000003"/>
    <n v="6420537.0000000009"/>
  </r>
  <r>
    <m/>
    <s v="A"/>
    <x v="1"/>
    <s v="RESIDENTIAL"/>
    <x v="3"/>
    <n v="1"/>
    <x v="32"/>
    <x v="0"/>
    <s v="C1"/>
    <n v="89.05"/>
    <n v="97.61343178583013"/>
    <x v="4"/>
    <m/>
    <m/>
    <s v="SE"/>
    <s v="MIDDLE"/>
    <s v="ROAD 18M (BUILDINGS)"/>
    <s v="THIRD"/>
    <x v="1"/>
    <n v="0.08"/>
    <n v="2.5000000000000001E-2"/>
    <n v="0.15"/>
    <n v="0.15"/>
    <n v="0.04"/>
    <x v="15"/>
    <x v="0"/>
    <x v="10"/>
    <n v="53550"/>
    <n v="59850"/>
    <n v="6300"/>
    <n v="2803.5"/>
    <n v="56353.5"/>
    <n v="18596.655000000002"/>
    <n v="60853.5"/>
    <n v="63853.5"/>
    <n v="6198885"/>
    <n v="6693885"/>
    <n v="7023885"/>
    <n v="0"/>
    <n v="526905.22500000009"/>
    <n v="1"/>
    <n v="252000"/>
    <n v="252000"/>
    <n v="6450885"/>
  </r>
  <r>
    <m/>
    <s v="A"/>
    <x v="1"/>
    <s v="RESIDENTIAL"/>
    <x v="3"/>
    <n v="2"/>
    <x v="33"/>
    <x v="0"/>
    <s v="C1"/>
    <n v="89.05"/>
    <n v="97.61343178583013"/>
    <x v="4"/>
    <m/>
    <m/>
    <s v="NW"/>
    <s v="MIDDLE"/>
    <s v="LAKE A-1"/>
    <s v="THIRD"/>
    <x v="1"/>
    <n v="0.13"/>
    <n v="2.5000000000000001E-2"/>
    <n v="0.4"/>
    <n v="0.15"/>
    <n v="0.04"/>
    <x v="14"/>
    <x v="2"/>
    <x v="3"/>
    <n v="42500"/>
    <n v="47500"/>
    <n v="5000"/>
    <n v="3725.0000000000005"/>
    <n v="46225"/>
    <n v="15254.25"/>
    <n v="50725"/>
    <n v="53725"/>
    <n v="5084750"/>
    <n v="5579750"/>
    <n v="5909750"/>
    <n v="0"/>
    <n v="432203.75000000006"/>
    <n v="1"/>
    <n v="200000"/>
    <n v="200000"/>
    <n v="5284750"/>
  </r>
  <r>
    <m/>
    <s v="A"/>
    <x v="1"/>
    <s v="RESIDENTIAL"/>
    <x v="3"/>
    <n v="3"/>
    <x v="34"/>
    <x v="0"/>
    <s v="C1"/>
    <n v="97.09"/>
    <n v="106.4265928364542"/>
    <x v="10"/>
    <m/>
    <m/>
    <s v="NW"/>
    <s v="MIDDLE"/>
    <s v="LAKE A-1"/>
    <s v="THIRD"/>
    <x v="1"/>
    <n v="0.13"/>
    <n v="2.5000000000000001E-2"/>
    <n v="0.4"/>
    <n v="0.15"/>
    <n v="0.04"/>
    <x v="14"/>
    <x v="2"/>
    <x v="3"/>
    <n v="42500"/>
    <n v="47500"/>
    <n v="5000"/>
    <n v="3725.0000000000005"/>
    <n v="46225"/>
    <n v="15254.25"/>
    <n v="50725"/>
    <n v="53725"/>
    <n v="5500775"/>
    <n v="6036275"/>
    <n v="6393275"/>
    <n v="0"/>
    <n v="467565.87500000006"/>
    <n v="1"/>
    <n v="200000"/>
    <n v="200000"/>
    <n v="5700775"/>
  </r>
  <r>
    <m/>
    <s v="A"/>
    <x v="1"/>
    <s v="RESIDENTIAL"/>
    <x v="3"/>
    <n v="4"/>
    <x v="35"/>
    <x v="0"/>
    <s v="C1"/>
    <n v="97.09"/>
    <n v="106.4265928364542"/>
    <x v="10"/>
    <m/>
    <m/>
    <s v="SE"/>
    <s v="MIDDLE"/>
    <s v="ROAD 18M (BUILDINGS)"/>
    <s v="THIRD"/>
    <x v="1"/>
    <n v="0.08"/>
    <n v="2.5000000000000001E-2"/>
    <n v="0.15"/>
    <n v="0.15"/>
    <n v="0.04"/>
    <x v="15"/>
    <x v="0"/>
    <x v="10"/>
    <n v="53550"/>
    <n v="59850"/>
    <n v="6300"/>
    <n v="2803.5"/>
    <n v="56353.5"/>
    <n v="18596.655000000002"/>
    <n v="60853.5"/>
    <n v="63853.5"/>
    <n v="6706066.5"/>
    <n v="7241566.5"/>
    <n v="7598566.5"/>
    <n v="0"/>
    <n v="570015.65250000008"/>
    <n v="1"/>
    <n v="252000"/>
    <n v="252000"/>
    <n v="6958066.5"/>
  </r>
  <r>
    <m/>
    <s v="A"/>
    <x v="1"/>
    <s v="RESIDENTIAL"/>
    <x v="4"/>
    <n v="1"/>
    <x v="36"/>
    <x v="0"/>
    <s v="C1"/>
    <n v="89.12"/>
    <n v="97.690163287514665"/>
    <x v="4"/>
    <m/>
    <m/>
    <s v="SE"/>
    <s v="MIDDLE"/>
    <s v="ROAD 18M (BUILDINGS)"/>
    <s v="FORTH"/>
    <x v="1"/>
    <n v="0.08"/>
    <n v="2.5000000000000001E-2"/>
    <n v="0.15"/>
    <n v="0.06"/>
    <n v="0.04"/>
    <x v="3"/>
    <x v="0"/>
    <x v="3"/>
    <n v="42500"/>
    <n v="47500"/>
    <n v="5000"/>
    <n v="1775"/>
    <n v="44275"/>
    <n v="14610.75"/>
    <n v="48775"/>
    <n v="51775"/>
    <n v="4870250"/>
    <n v="5365250"/>
    <n v="5695250"/>
    <n v="0"/>
    <n v="413971.25000000006"/>
    <n v="1"/>
    <n v="200000"/>
    <n v="200000"/>
    <n v="5070250"/>
  </r>
  <r>
    <m/>
    <s v="A"/>
    <x v="1"/>
    <s v="RESIDENTIAL"/>
    <x v="4"/>
    <n v="2"/>
    <x v="37"/>
    <x v="0"/>
    <s v="C1"/>
    <n v="90.52"/>
    <n v="99.224793321205425"/>
    <x v="2"/>
    <m/>
    <m/>
    <s v="NW"/>
    <s v="MIDDLE"/>
    <s v="LAKE A-1"/>
    <s v="FORTH"/>
    <x v="1"/>
    <n v="0.13"/>
    <n v="2.5000000000000001E-2"/>
    <n v="0.4"/>
    <n v="0.06"/>
    <n v="0.04"/>
    <x v="17"/>
    <x v="1"/>
    <x v="5"/>
    <n v="46750.000000000007"/>
    <n v="52250.000000000007"/>
    <n v="5500"/>
    <n v="3602.5"/>
    <n v="50352.500000000007"/>
    <n v="16616.325000000004"/>
    <n v="54852.500000000007"/>
    <n v="57852.500000000007"/>
    <n v="5589127.5000000009"/>
    <n v="6088627.5000000009"/>
    <n v="6421627.5000000009"/>
    <n v="0"/>
    <n v="475075.83750000014"/>
    <n v="1"/>
    <n v="220000.00000000003"/>
    <n v="220000.00000000003"/>
    <n v="5809127.5000000009"/>
  </r>
  <r>
    <m/>
    <s v="A"/>
    <x v="1"/>
    <s v="RESIDENTIAL"/>
    <x v="4"/>
    <n v="3"/>
    <x v="38"/>
    <x v="0"/>
    <s v="C1"/>
    <n v="98.57"/>
    <n v="108.04891601492729"/>
    <x v="8"/>
    <m/>
    <m/>
    <s v="NW"/>
    <s v="MIDDLE"/>
    <s v="LAKE A-1"/>
    <s v="FORTH"/>
    <x v="1"/>
    <n v="0.13"/>
    <n v="2.5000000000000001E-2"/>
    <n v="0.4"/>
    <n v="0.06"/>
    <n v="0.04"/>
    <x v="17"/>
    <x v="1"/>
    <x v="5"/>
    <n v="46750.000000000007"/>
    <n v="52250.000000000007"/>
    <n v="5500"/>
    <n v="3602.5"/>
    <n v="50352.500000000007"/>
    <n v="16616.325000000004"/>
    <n v="54852.500000000007"/>
    <n v="57852.500000000007"/>
    <n v="6092652.5000000009"/>
    <n v="6637152.5000000009"/>
    <n v="7000152.5000000009"/>
    <n v="0"/>
    <n v="517875.46250000014"/>
    <n v="1"/>
    <n v="220000.00000000003"/>
    <n v="220000.00000000003"/>
    <n v="6312652.5000000009"/>
  </r>
  <r>
    <m/>
    <s v="A"/>
    <x v="1"/>
    <s v="RESIDENTIAL"/>
    <x v="4"/>
    <n v="4"/>
    <x v="39"/>
    <x v="0"/>
    <s v="C1"/>
    <n v="97.17"/>
    <n v="106.51428598123654"/>
    <x v="9"/>
    <m/>
    <m/>
    <s v="SE"/>
    <s v="MIDDLE"/>
    <s v="ROAD 18M (BUILDINGS)"/>
    <s v="FORTH"/>
    <x v="1"/>
    <n v="0.08"/>
    <n v="2.5000000000000001E-2"/>
    <n v="0.15"/>
    <n v="0.06"/>
    <n v="0.04"/>
    <x v="3"/>
    <x v="0"/>
    <x v="3"/>
    <n v="42500"/>
    <n v="47500"/>
    <n v="5000"/>
    <n v="1775"/>
    <n v="44275"/>
    <n v="14610.75"/>
    <n v="48775"/>
    <n v="51775"/>
    <n v="5313000"/>
    <n v="5853000"/>
    <n v="6213000"/>
    <n v="0"/>
    <n v="451605.00000000006"/>
    <n v="1"/>
    <n v="200000"/>
    <n v="200000"/>
    <n v="5513000"/>
  </r>
  <r>
    <s v="A"/>
    <s v="A"/>
    <x v="2"/>
    <s v="RESIDENTIAL"/>
    <x v="0"/>
    <n v="1"/>
    <x v="40"/>
    <x v="0"/>
    <s v="C1"/>
    <n v="98.17"/>
    <n v="107.61222461609491"/>
    <x v="8"/>
    <n v="31.614699999999999"/>
    <m/>
    <s v="SE"/>
    <s v="MIDDLE"/>
    <s v="ROAD 18M (BUILDINGS)"/>
    <s v="GROUND"/>
    <x v="1"/>
    <n v="0.08"/>
    <n v="2.5000000000000001E-2"/>
    <n v="0.15"/>
    <n v="0.05"/>
    <n v="0.04"/>
    <x v="18"/>
    <x v="0"/>
    <x v="3"/>
    <n v="42500"/>
    <n v="47500"/>
    <n v="5000"/>
    <n v="1724.9999999999998"/>
    <n v="44225"/>
    <n v="14594.25"/>
    <n v="48725"/>
    <n v="51725"/>
    <n v="5351225"/>
    <n v="5895725"/>
    <n v="6258725"/>
    <n v="461392.83547499997"/>
    <n v="494072.51601537497"/>
    <n v="1"/>
    <n v="200000"/>
    <n v="200000"/>
    <n v="6012617.8354749996"/>
  </r>
  <r>
    <m/>
    <s v="A"/>
    <x v="2"/>
    <s v="RESIDENTIAL"/>
    <x v="0"/>
    <n v="2"/>
    <x v="41"/>
    <x v="0"/>
    <s v="C1"/>
    <n v="97.98"/>
    <n v="107.40394996317592"/>
    <x v="8"/>
    <n v="50.705300000000001"/>
    <m/>
    <s v="NW"/>
    <s v="MIDDLE"/>
    <s v="SEMI LAKE AND FENCE"/>
    <s v="GROUND"/>
    <x v="1"/>
    <n v="0.13"/>
    <n v="2.5000000000000001E-2"/>
    <n v="0.25"/>
    <n v="0.05"/>
    <n v="0.04"/>
    <x v="19"/>
    <x v="0"/>
    <x v="7"/>
    <n v="61625"/>
    <n v="68875"/>
    <n v="7250"/>
    <n v="3588.75"/>
    <n v="65213.75"/>
    <n v="21520.537500000002"/>
    <n v="69713.75"/>
    <n v="72713.75"/>
    <n v="7890863.75"/>
    <n v="8435363.75"/>
    <n v="8798363.75"/>
    <n v="1091205.3100987501"/>
    <n v="763475.87010839384"/>
    <n v="1"/>
    <n v="290000"/>
    <n v="290000"/>
    <n v="9272069.0600987505"/>
  </r>
  <r>
    <m/>
    <s v="A"/>
    <x v="2"/>
    <s v="RESIDENTIAL"/>
    <x v="0"/>
    <n v="3"/>
    <x v="42"/>
    <x v="0"/>
    <s v="C1"/>
    <n v="89.96"/>
    <n v="98.612567245226629"/>
    <x v="2"/>
    <n v="50.540100000000002"/>
    <m/>
    <s v="NW"/>
    <s v="MIDDLE"/>
    <s v="FENCE"/>
    <s v="GROUND"/>
    <x v="1"/>
    <n v="0.13"/>
    <n v="2.5000000000000001E-2"/>
    <n v="0.1"/>
    <n v="0.05"/>
    <n v="0.04"/>
    <x v="18"/>
    <x v="0"/>
    <x v="3"/>
    <n v="42500"/>
    <n v="47500"/>
    <n v="5000"/>
    <n v="1724.9999999999998"/>
    <n v="44225"/>
    <n v="14594.25"/>
    <n v="48725"/>
    <n v="51725"/>
    <n v="4908975"/>
    <n v="5408475"/>
    <n v="5741475"/>
    <n v="737594.85442500003"/>
    <n v="479958.43762612506"/>
    <n v="1"/>
    <n v="200000"/>
    <n v="200000"/>
    <n v="5846569.854425"/>
  </r>
  <r>
    <m/>
    <s v="A"/>
    <x v="2"/>
    <s v="RESIDENTIAL"/>
    <x v="0"/>
    <n v="4"/>
    <x v="43"/>
    <x v="1"/>
    <s v="C1"/>
    <n v="60.98"/>
    <n v="66.845201763160517"/>
    <x v="3"/>
    <n v="23.830100000000002"/>
    <m/>
    <s v="SE"/>
    <s v="MIDDLE"/>
    <s v="ROAD 18M (BUILDINGS)"/>
    <s v="GROUND"/>
    <x v="2"/>
    <n v="0.08"/>
    <n v="2.5000000000000001E-2"/>
    <n v="0.15"/>
    <n v="0.05"/>
    <n v="0.05"/>
    <x v="3"/>
    <x v="0"/>
    <x v="3"/>
    <n v="42500"/>
    <n v="47500"/>
    <n v="5000"/>
    <n v="1775"/>
    <n v="44275"/>
    <n v="14610.75"/>
    <n v="48775"/>
    <n v="51775"/>
    <n v="3320625"/>
    <n v="3658125"/>
    <n v="3883125"/>
    <n v="348175.63357500004"/>
    <n v="311848.05385387503"/>
    <n v="1"/>
    <n v="200000"/>
    <n v="200000"/>
    <n v="3868800.6335749999"/>
  </r>
  <r>
    <m/>
    <s v="A"/>
    <x v="2"/>
    <s v="RESIDENTIAL"/>
    <x v="1"/>
    <n v="1"/>
    <x v="44"/>
    <x v="0"/>
    <s v="C1"/>
    <n v="97.09"/>
    <n v="106.42834764160798"/>
    <x v="10"/>
    <m/>
    <m/>
    <s v="SE"/>
    <s v="MIDDLE"/>
    <s v="ROAD 18M (BUILDINGS)"/>
    <s v="FIRST"/>
    <x v="1"/>
    <n v="0.08"/>
    <n v="2.5000000000000001E-2"/>
    <n v="0.15"/>
    <n v="7.0000000000000007E-2"/>
    <n v="0.04"/>
    <x v="0"/>
    <x v="0"/>
    <x v="0"/>
    <n v="43562.499999999993"/>
    <n v="48687.499999999993"/>
    <n v="5125"/>
    <n v="1870.625"/>
    <n v="45433.124999999993"/>
    <n v="14992.931249999998"/>
    <n v="49933.124999999993"/>
    <n v="52933.124999999993"/>
    <n v="5406541.8749999991"/>
    <n v="5942041.8749999991"/>
    <n v="6299041.8749999991"/>
    <n v="0"/>
    <n v="459556.05937499995"/>
    <n v="1"/>
    <n v="204999.99999999997"/>
    <n v="204999.99999999997"/>
    <n v="5611541.8749999991"/>
  </r>
  <r>
    <m/>
    <s v="A"/>
    <x v="2"/>
    <s v="RESIDENTIAL"/>
    <x v="1"/>
    <n v="2"/>
    <x v="45"/>
    <x v="0"/>
    <s v="C1"/>
    <n v="97.06"/>
    <n v="106.39546217009445"/>
    <x v="10"/>
    <m/>
    <m/>
    <s v="NW"/>
    <s v="MIDDLE"/>
    <s v="SEMI LAKE AND FENCE"/>
    <s v="FIRST"/>
    <x v="1"/>
    <n v="0.13"/>
    <n v="2.5000000000000001E-2"/>
    <n v="0.25"/>
    <n v="7.0000000000000007E-2"/>
    <n v="0.04"/>
    <x v="20"/>
    <x v="1"/>
    <x v="3"/>
    <n v="42500"/>
    <n v="47500"/>
    <n v="5000"/>
    <n v="2575"/>
    <n v="45075"/>
    <n v="14874.75"/>
    <n v="49575"/>
    <n v="52575"/>
    <n v="5363925"/>
    <n v="5899425"/>
    <n v="6256425"/>
    <n v="0"/>
    <n v="455933.62500000006"/>
    <n v="1"/>
    <n v="200000"/>
    <n v="200000"/>
    <n v="5563925"/>
  </r>
  <r>
    <m/>
    <s v="A"/>
    <x v="2"/>
    <s v="RESIDENTIAL"/>
    <x v="1"/>
    <n v="3"/>
    <x v="46"/>
    <x v="0"/>
    <s v="C1"/>
    <n v="89.05"/>
    <n v="97.615041275983003"/>
    <x v="4"/>
    <m/>
    <m/>
    <s v="NW"/>
    <s v="MIDDLE"/>
    <s v="LAYAN VILLAS"/>
    <s v="FIRST"/>
    <x v="1"/>
    <n v="0.13"/>
    <n v="2.5000000000000001E-2"/>
    <n v="0.2"/>
    <n v="7.0000000000000007E-2"/>
    <n v="0.04"/>
    <x v="21"/>
    <x v="0"/>
    <x v="8"/>
    <n v="56100"/>
    <n v="62700"/>
    <n v="6600"/>
    <n v="3069"/>
    <n v="59169"/>
    <n v="19525.77"/>
    <n v="63669"/>
    <n v="66669"/>
    <n v="6508590"/>
    <n v="7003590"/>
    <n v="7333590"/>
    <n v="0"/>
    <n v="553230.15"/>
    <n v="1"/>
    <n v="264000"/>
    <n v="264000"/>
    <n v="6772590"/>
  </r>
  <r>
    <m/>
    <s v="A"/>
    <x v="2"/>
    <s v="RESIDENTIAL"/>
    <x v="1"/>
    <n v="4"/>
    <x v="47"/>
    <x v="1"/>
    <s v="C1"/>
    <n v="61.82"/>
    <n v="67.765994965539235"/>
    <x v="5"/>
    <m/>
    <m/>
    <s v="SE"/>
    <s v="MIDDLE"/>
    <s v="ROAD 18M (BUILDINGS)"/>
    <s v="FIRST"/>
    <x v="2"/>
    <n v="0.08"/>
    <n v="2.5000000000000001E-2"/>
    <n v="0.15"/>
    <n v="7.0000000000000007E-2"/>
    <n v="0.05"/>
    <x v="7"/>
    <x v="0"/>
    <x v="6"/>
    <n v="44625"/>
    <n v="49875"/>
    <n v="5250"/>
    <n v="1968.75"/>
    <n v="46593.75"/>
    <n v="15375.9375"/>
    <n v="51093.75"/>
    <n v="54093.75"/>
    <n v="3541125"/>
    <n v="3883125"/>
    <n v="4111125"/>
    <n v="0"/>
    <n v="300995.625"/>
    <n v="1"/>
    <n v="210000"/>
    <n v="210000"/>
    <n v="3751125"/>
  </r>
  <r>
    <m/>
    <s v="A"/>
    <x v="2"/>
    <s v="RESIDENTIAL"/>
    <x v="2"/>
    <n v="1"/>
    <x v="48"/>
    <x v="0"/>
    <s v="C1"/>
    <n v="98.95"/>
    <n v="108.46724687544659"/>
    <x v="11"/>
    <m/>
    <m/>
    <s v="SE"/>
    <s v="MIDDLE"/>
    <s v="ROAD 18M (BUILDINGS)"/>
    <s v="SECOND"/>
    <x v="1"/>
    <n v="0.08"/>
    <n v="2.5000000000000001E-2"/>
    <n v="0.15"/>
    <n v="0.11"/>
    <n v="0.04"/>
    <x v="11"/>
    <x v="0"/>
    <x v="1"/>
    <n v="48450.000000000007"/>
    <n v="54150.000000000007"/>
    <n v="5700"/>
    <n v="2308.5"/>
    <n v="50758.500000000007"/>
    <n v="16750.305000000004"/>
    <n v="55258.500000000007"/>
    <n v="58258.500000000007"/>
    <n v="6192537.0000000009"/>
    <n v="6741537.0000000009"/>
    <n v="7107537.0000000009"/>
    <n v="0"/>
    <n v="526365.64500000014"/>
    <n v="1"/>
    <n v="228000.00000000003"/>
    <n v="228000.00000000003"/>
    <n v="6420537.0000000009"/>
  </r>
  <r>
    <m/>
    <s v="A"/>
    <x v="2"/>
    <s v="RESIDENTIAL"/>
    <x v="2"/>
    <n v="2"/>
    <x v="49"/>
    <x v="0"/>
    <s v="C1"/>
    <n v="98.93"/>
    <n v="108.44532322777091"/>
    <x v="11"/>
    <m/>
    <m/>
    <s v="NW"/>
    <s v="MIDDLE"/>
    <s v="SEMI LAKE AND FENCE"/>
    <s v="SECOND"/>
    <x v="1"/>
    <n v="0.13"/>
    <n v="2.5000000000000001E-2"/>
    <n v="0.25"/>
    <n v="0.11"/>
    <n v="0.04"/>
    <x v="22"/>
    <x v="1"/>
    <x v="3"/>
    <n v="42500"/>
    <n v="47500"/>
    <n v="5000"/>
    <n v="2775.0000000000005"/>
    <n v="45275"/>
    <n v="14940.75"/>
    <n v="49775"/>
    <n v="52775"/>
    <n v="5523550"/>
    <n v="6072550"/>
    <n v="6438550"/>
    <n v="0"/>
    <n v="469501.75000000006"/>
    <n v="1"/>
    <n v="200000"/>
    <n v="200000"/>
    <n v="5723550"/>
  </r>
  <r>
    <m/>
    <s v="A"/>
    <x v="2"/>
    <s v="RESIDENTIAL"/>
    <x v="2"/>
    <n v="3"/>
    <x v="50"/>
    <x v="0"/>
    <s v="C1"/>
    <n v="90.91"/>
    <n v="99.653940509821609"/>
    <x v="7"/>
    <m/>
    <m/>
    <s v="NW"/>
    <s v="MIDDLE"/>
    <s v="LAYAN VILLAS"/>
    <s v="SECOND"/>
    <x v="1"/>
    <n v="0.13"/>
    <n v="2.5000000000000001E-2"/>
    <n v="0.2"/>
    <n v="0.11"/>
    <n v="0.04"/>
    <x v="23"/>
    <x v="1"/>
    <x v="3"/>
    <n v="42500"/>
    <n v="47500"/>
    <n v="5000"/>
    <n v="2525"/>
    <n v="45025"/>
    <n v="14858.25"/>
    <n v="49525"/>
    <n v="52525"/>
    <n v="5042800"/>
    <n v="5546800"/>
    <n v="5882800"/>
    <n v="0"/>
    <n v="428638.00000000006"/>
    <n v="1"/>
    <n v="200000"/>
    <n v="200000"/>
    <n v="5242800"/>
  </r>
  <r>
    <m/>
    <s v="A"/>
    <x v="2"/>
    <s v="RESIDENTIAL"/>
    <x v="2"/>
    <n v="4"/>
    <x v="51"/>
    <x v="0"/>
    <s v="C1"/>
    <n v="90.9"/>
    <n v="99.642978685983778"/>
    <x v="7"/>
    <m/>
    <m/>
    <s v="SE"/>
    <s v="MIDDLE"/>
    <s v="ROAD 18M (BUILDINGS)"/>
    <s v="SECOND"/>
    <x v="1"/>
    <n v="0.08"/>
    <n v="2.5000000000000001E-2"/>
    <n v="0.15"/>
    <n v="0.11"/>
    <n v="0.04"/>
    <x v="11"/>
    <x v="0"/>
    <x v="5"/>
    <n v="46750.000000000007"/>
    <n v="52250.000000000007"/>
    <n v="5500"/>
    <n v="2227.5"/>
    <n v="48977.500000000007"/>
    <n v="16162.575000000003"/>
    <n v="53477.500000000007"/>
    <n v="56477.500000000007"/>
    <n v="5485480.0000000009"/>
    <n v="5989480.0000000009"/>
    <n v="6325480.0000000009"/>
    <n v="0"/>
    <n v="466265.8000000001"/>
    <n v="1"/>
    <n v="220000.00000000003"/>
    <n v="220000.00000000003"/>
    <n v="5705480.0000000009"/>
  </r>
  <r>
    <m/>
    <s v="A"/>
    <x v="2"/>
    <s v="RESIDENTIAL"/>
    <x v="3"/>
    <n v="1"/>
    <x v="52"/>
    <x v="0"/>
    <s v="C1"/>
    <n v="97.09"/>
    <n v="106.42834764160798"/>
    <x v="10"/>
    <m/>
    <m/>
    <s v="SE"/>
    <s v="MIDDLE"/>
    <s v="ROAD 18M (BUILDINGS)"/>
    <s v="THIRD"/>
    <x v="1"/>
    <n v="0.08"/>
    <n v="2.5000000000000001E-2"/>
    <n v="0.15"/>
    <n v="0.15"/>
    <n v="0.04"/>
    <x v="15"/>
    <x v="0"/>
    <x v="10"/>
    <n v="53550"/>
    <n v="59850"/>
    <n v="6300"/>
    <n v="2803.5"/>
    <n v="56353.5"/>
    <n v="18596.655000000002"/>
    <n v="60853.5"/>
    <n v="63853.5"/>
    <n v="6706066.5"/>
    <n v="7241566.5"/>
    <n v="7598566.5"/>
    <n v="0"/>
    <n v="570015.65250000008"/>
    <n v="1"/>
    <n v="252000"/>
    <n v="252000"/>
    <n v="6958066.5"/>
  </r>
  <r>
    <m/>
    <s v="A"/>
    <x v="2"/>
    <s v="RESIDENTIAL"/>
    <x v="3"/>
    <n v="2"/>
    <x v="53"/>
    <x v="0"/>
    <s v="C1"/>
    <n v="97.09"/>
    <n v="106.42834764160798"/>
    <x v="10"/>
    <m/>
    <m/>
    <s v="NW"/>
    <s v="MIDDLE"/>
    <s v="SEMI LAKE AND FENCE"/>
    <s v="THIRD"/>
    <x v="1"/>
    <n v="0.13"/>
    <n v="2.5000000000000001E-2"/>
    <n v="0.25"/>
    <n v="0.15"/>
    <n v="0.04"/>
    <x v="24"/>
    <x v="1"/>
    <x v="0"/>
    <n v="43562.499999999993"/>
    <n v="48687.499999999993"/>
    <n v="5125"/>
    <n v="3049.3750000000005"/>
    <n v="46611.874999999993"/>
    <n v="15381.918749999999"/>
    <n v="51111.874999999993"/>
    <n v="54111.874999999993"/>
    <n v="5546813.1249999991"/>
    <n v="6082313.1249999991"/>
    <n v="6439313.1249999991"/>
    <n v="0"/>
    <n v="471479.11562499998"/>
    <n v="1"/>
    <n v="204999.99999999997"/>
    <n v="204999.99999999997"/>
    <n v="5751813.1249999991"/>
  </r>
  <r>
    <m/>
    <s v="A"/>
    <x v="2"/>
    <s v="RESIDENTIAL"/>
    <x v="3"/>
    <n v="3"/>
    <x v="54"/>
    <x v="0"/>
    <s v="C1"/>
    <n v="89.05"/>
    <n v="97.615041275983003"/>
    <x v="4"/>
    <m/>
    <m/>
    <s v="NW"/>
    <s v="MIDDLE"/>
    <s v="LAYAN VILLAS"/>
    <s v="THIRD"/>
    <x v="1"/>
    <n v="0.13"/>
    <n v="2.5000000000000001E-2"/>
    <n v="0.2"/>
    <n v="0.15"/>
    <n v="0.04"/>
    <x v="25"/>
    <x v="1"/>
    <x v="3"/>
    <n v="42500"/>
    <n v="47500"/>
    <n v="5000"/>
    <n v="2725"/>
    <n v="45225"/>
    <n v="14924.25"/>
    <n v="49725"/>
    <n v="52725"/>
    <n v="4974750"/>
    <n v="5469750"/>
    <n v="5799750"/>
    <n v="0"/>
    <n v="422853.75000000006"/>
    <n v="1"/>
    <n v="200000"/>
    <n v="200000"/>
    <n v="5174750"/>
  </r>
  <r>
    <m/>
    <s v="A"/>
    <x v="2"/>
    <s v="RESIDENTIAL"/>
    <x v="3"/>
    <n v="4"/>
    <x v="55"/>
    <x v="0"/>
    <s v="C1"/>
    <n v="89.05"/>
    <n v="97.615041275983003"/>
    <x v="4"/>
    <m/>
    <m/>
    <s v="SE"/>
    <s v="MIDDLE"/>
    <s v="ROAD 18M (BUILDINGS)"/>
    <s v="THIRD"/>
    <x v="1"/>
    <n v="0.08"/>
    <n v="2.5000000000000001E-2"/>
    <n v="0.15"/>
    <n v="0.15"/>
    <n v="0.04"/>
    <x v="15"/>
    <x v="0"/>
    <x v="10"/>
    <n v="53550"/>
    <n v="59850"/>
    <n v="6300"/>
    <n v="2803.5"/>
    <n v="56353.5"/>
    <n v="18596.655000000002"/>
    <n v="60853.5"/>
    <n v="63853.5"/>
    <n v="6198885"/>
    <n v="6693885"/>
    <n v="7023885"/>
    <n v="0"/>
    <n v="526905.22500000009"/>
    <n v="1"/>
    <n v="252000"/>
    <n v="252000"/>
    <n v="6450885"/>
  </r>
  <r>
    <m/>
    <s v="A"/>
    <x v="2"/>
    <s v="RESIDENTIAL"/>
    <x v="4"/>
    <n v="1"/>
    <x v="56"/>
    <x v="0"/>
    <s v="C1"/>
    <n v="97.17"/>
    <n v="106.51604223231071"/>
    <x v="9"/>
    <m/>
    <m/>
    <s v="SE"/>
    <s v="MIDDLE"/>
    <s v="ROAD 18M (BUILDINGS)"/>
    <s v="FORTH"/>
    <x v="1"/>
    <n v="0.08"/>
    <n v="2.5000000000000001E-2"/>
    <n v="0.15"/>
    <n v="0.06"/>
    <n v="0.04"/>
    <x v="3"/>
    <x v="0"/>
    <x v="3"/>
    <n v="42500"/>
    <n v="47500"/>
    <n v="5000"/>
    <n v="1775"/>
    <n v="44275"/>
    <n v="14610.75"/>
    <n v="48775"/>
    <n v="51775"/>
    <n v="5313000"/>
    <n v="5853000"/>
    <n v="6213000"/>
    <n v="0"/>
    <n v="451605.00000000006"/>
    <n v="1"/>
    <n v="200000"/>
    <n v="200000"/>
    <n v="5513000"/>
  </r>
  <r>
    <m/>
    <s v="A"/>
    <x v="2"/>
    <s v="RESIDENTIAL"/>
    <x v="4"/>
    <n v="2"/>
    <x v="57"/>
    <x v="0"/>
    <s v="C1"/>
    <n v="98.57"/>
    <n v="108.05069756960859"/>
    <x v="8"/>
    <m/>
    <m/>
    <s v="NW"/>
    <s v="MIDDLE"/>
    <s v="SEMI LAKE AND FENCE"/>
    <s v="FORTH"/>
    <x v="1"/>
    <n v="0.13"/>
    <n v="2.5000000000000001E-2"/>
    <n v="0.25"/>
    <n v="0.06"/>
    <n v="0.04"/>
    <x v="23"/>
    <x v="1"/>
    <x v="3"/>
    <n v="42500"/>
    <n v="47500"/>
    <n v="5000"/>
    <n v="2525"/>
    <n v="45025"/>
    <n v="14858.25"/>
    <n v="49525"/>
    <n v="52525"/>
    <n v="5448025"/>
    <n v="5992525"/>
    <n v="6355525"/>
    <n v="0"/>
    <n v="463082.12500000006"/>
    <n v="1"/>
    <n v="200000"/>
    <n v="200000"/>
    <n v="5648025"/>
  </r>
  <r>
    <m/>
    <s v="A"/>
    <x v="2"/>
    <s v="RESIDENTIAL"/>
    <x v="4"/>
    <n v="3"/>
    <x v="58"/>
    <x v="0"/>
    <s v="C1"/>
    <n v="90.52"/>
    <n v="99.226429380145774"/>
    <x v="2"/>
    <m/>
    <m/>
    <s v="NW"/>
    <s v="MIDDLE"/>
    <s v="LAYAN VILLAS"/>
    <s v="FORTH"/>
    <x v="1"/>
    <n v="0.13"/>
    <n v="2.5000000000000001E-2"/>
    <n v="0.2"/>
    <n v="0.06"/>
    <n v="0.04"/>
    <x v="26"/>
    <x v="0"/>
    <x v="8"/>
    <n v="56100"/>
    <n v="62700"/>
    <n v="6600"/>
    <n v="3002.9999999999995"/>
    <n v="59103"/>
    <n v="19503.990000000002"/>
    <n v="63603"/>
    <n v="66603"/>
    <n v="6560433"/>
    <n v="7059933"/>
    <n v="7392933"/>
    <n v="0"/>
    <n v="557636.80500000005"/>
    <n v="1"/>
    <n v="264000"/>
    <n v="264000"/>
    <n v="6824433"/>
  </r>
  <r>
    <m/>
    <s v="A"/>
    <x v="2"/>
    <s v="RESIDENTIAL"/>
    <x v="4"/>
    <n v="4"/>
    <x v="59"/>
    <x v="0"/>
    <s v="C1"/>
    <n v="89.12"/>
    <n v="97.691774042847911"/>
    <x v="4"/>
    <m/>
    <m/>
    <s v="SE"/>
    <s v="MIDDLE"/>
    <s v="ROAD 18M (BUILDINGS)"/>
    <s v="FORTH"/>
    <x v="1"/>
    <n v="0.08"/>
    <n v="2.5000000000000001E-2"/>
    <n v="0.15"/>
    <n v="0.06"/>
    <n v="0.04"/>
    <x v="3"/>
    <x v="0"/>
    <x v="3"/>
    <n v="42500"/>
    <n v="47500"/>
    <n v="5000"/>
    <n v="1775"/>
    <n v="44275"/>
    <n v="14610.75"/>
    <n v="48775"/>
    <n v="51775"/>
    <n v="4870250"/>
    <n v="5365250"/>
    <n v="5695250"/>
    <n v="0"/>
    <n v="413971.25000000006"/>
    <n v="1"/>
    <n v="200000"/>
    <n v="200000"/>
    <n v="5070250"/>
  </r>
  <r>
    <s v="A"/>
    <s v="A"/>
    <x v="3"/>
    <s v="HOTEL APP."/>
    <x v="0"/>
    <n v="1"/>
    <x v="60"/>
    <x v="1"/>
    <s v="C1"/>
    <n v="63.79"/>
    <n v="81.452738123463917"/>
    <x v="12"/>
    <n v="24.682200000000002"/>
    <m/>
    <s v="SE"/>
    <s v="MIDDLE"/>
    <s v="ROAD 18M (BUILDINGS)"/>
    <s v="GROUND"/>
    <x v="2"/>
    <n v="0.08"/>
    <n v="2.5000000000000001E-2"/>
    <n v="0.15"/>
    <n v="0.05"/>
    <n v="0.05"/>
    <x v="3"/>
    <x v="3"/>
    <x v="11"/>
    <n v="76850"/>
    <n v="82950"/>
    <n v="6100"/>
    <n v="2165.5"/>
    <n v="79015.5"/>
    <n v="26075.115000000002"/>
    <n v="83515.5"/>
    <n v="86515.5"/>
    <n v="6163209"/>
    <n v="6514209"/>
    <n v="6748209"/>
    <n v="643591.20345300005"/>
    <n v="578578.01729350502"/>
    <n v="1"/>
    <n v="244000"/>
    <n v="244000"/>
    <n v="7050800.2034529997"/>
  </r>
  <r>
    <m/>
    <s v="A"/>
    <x v="3"/>
    <s v="HOTEL APP."/>
    <x v="0"/>
    <n v="2"/>
    <x v="61"/>
    <x v="1"/>
    <s v="C1"/>
    <n v="63.16"/>
    <n v="80.648298163943892"/>
    <x v="12"/>
    <n v="37.717199999999998"/>
    <m/>
    <s v="NW"/>
    <s v="MIDDLE"/>
    <s v="FENCE"/>
    <s v="GROUND"/>
    <x v="2"/>
    <n v="0.13"/>
    <n v="2.5000000000000001E-2"/>
    <n v="0.1"/>
    <n v="0.05"/>
    <n v="0.05"/>
    <x v="3"/>
    <x v="3"/>
    <x v="11"/>
    <n v="76850"/>
    <n v="82950"/>
    <n v="6100"/>
    <n v="2165.5"/>
    <n v="79015.5"/>
    <n v="26075.115000000002"/>
    <n v="83515.5"/>
    <n v="86515.5"/>
    <n v="6163209"/>
    <n v="6514209"/>
    <n v="6748209"/>
    <n v="983480.32747799996"/>
    <n v="607468.59283563006"/>
    <n v="1"/>
    <n v="244000"/>
    <n v="244000"/>
    <n v="7390689.327478"/>
  </r>
  <r>
    <m/>
    <s v="A"/>
    <x v="3"/>
    <s v="HOTEL APP."/>
    <x v="0"/>
    <n v="3"/>
    <x v="62"/>
    <x v="1"/>
    <s v="C1"/>
    <n v="51.02"/>
    <n v="65.146867832875529"/>
    <x v="13"/>
    <n v="34.889099999999999"/>
    <m/>
    <s v="NW"/>
    <s v="MIDDLE"/>
    <s v="FENCE"/>
    <s v="GROUND"/>
    <x v="2"/>
    <n v="0.13"/>
    <n v="2.5000000000000001E-2"/>
    <n v="0.1"/>
    <n v="0.05"/>
    <n v="0.05"/>
    <x v="3"/>
    <x v="3"/>
    <x v="11"/>
    <n v="76850"/>
    <n v="82950"/>
    <n v="6100"/>
    <n v="2165.5"/>
    <n v="79015.5"/>
    <n v="26075.115000000002"/>
    <n v="83515.5"/>
    <n v="86515.5"/>
    <n v="4977976.5"/>
    <n v="5261476.5"/>
    <n v="5450476.5"/>
    <n v="909737.29474650009"/>
    <n v="500455.67255345255"/>
    <n v="1"/>
    <n v="244000"/>
    <n v="244000"/>
    <n v="6131713.7947464995"/>
  </r>
  <r>
    <m/>
    <s v="A"/>
    <x v="3"/>
    <s v="HOTEL APP."/>
    <x v="0"/>
    <n v="4"/>
    <x v="63"/>
    <x v="1"/>
    <s v="C1"/>
    <n v="68.59"/>
    <n v="87.581804481711714"/>
    <x v="14"/>
    <n v="35.785600000000002"/>
    <m/>
    <s v="NW"/>
    <s v="CORNER "/>
    <s v="FENCE"/>
    <s v="GROUND"/>
    <x v="2"/>
    <n v="0.13"/>
    <n v="0.05"/>
    <n v="0.1"/>
    <n v="0.05"/>
    <n v="0.05"/>
    <x v="27"/>
    <x v="3"/>
    <x v="11"/>
    <n v="76850"/>
    <n v="82950"/>
    <n v="6100"/>
    <n v="2318"/>
    <n v="79168"/>
    <n v="26125.440000000002"/>
    <n v="83668"/>
    <n v="86668"/>
    <n v="6650112"/>
    <n v="7028112"/>
    <n v="7280112"/>
    <n v="934914.54566400009"/>
    <n v="644727.25638144009"/>
    <n v="1"/>
    <n v="244000"/>
    <n v="244000"/>
    <n v="7829026.5456640003"/>
  </r>
  <r>
    <m/>
    <s v="A"/>
    <x v="3"/>
    <s v="HOTEL APP."/>
    <x v="0"/>
    <n v="5"/>
    <x v="64"/>
    <x v="1"/>
    <s v="C1"/>
    <n v="69.17"/>
    <n v="88.322399999999988"/>
    <x v="15"/>
    <n v="24.142299999999999"/>
    <m/>
    <s v="SE"/>
    <s v="CORNER "/>
    <s v="MAIN GATE &amp; LAKE ENTRANCE"/>
    <s v="GROUND"/>
    <x v="2"/>
    <n v="0.08"/>
    <n v="0.05"/>
    <n v="0.25"/>
    <n v="0.05"/>
    <n v="0.05"/>
    <x v="28"/>
    <x v="3"/>
    <x v="11"/>
    <n v="76850"/>
    <n v="82950"/>
    <n v="6100"/>
    <n v="2928"/>
    <n v="79778"/>
    <n v="26326.74"/>
    <n v="84278"/>
    <n v="87278"/>
    <n v="6781130"/>
    <n v="7163630"/>
    <n v="7418630"/>
    <n v="635588.05510200001"/>
    <n v="630421.03468367003"/>
    <n v="1"/>
    <n v="244000"/>
    <n v="244000"/>
    <n v="7660718.055102"/>
  </r>
  <r>
    <m/>
    <s v="A"/>
    <x v="3"/>
    <s v="HOTEL APP."/>
    <x v="1"/>
    <n v="1"/>
    <x v="65"/>
    <x v="1"/>
    <s v="C1"/>
    <n v="63.79"/>
    <n v="81.452738123463917"/>
    <x v="12"/>
    <m/>
    <m/>
    <s v="SE"/>
    <s v="MIDDLE"/>
    <s v="ROAD 18M (BUILDINGS)"/>
    <s v="FIRST"/>
    <x v="2"/>
    <n v="0.08"/>
    <n v="2.5000000000000001E-2"/>
    <n v="0.15"/>
    <n v="7.0000000000000007E-2"/>
    <n v="0.05"/>
    <x v="7"/>
    <x v="3"/>
    <x v="11"/>
    <n v="76850"/>
    <n v="82950"/>
    <n v="6100"/>
    <n v="2287.5"/>
    <n v="79137.5"/>
    <n v="26115.375"/>
    <n v="83637.5"/>
    <n v="86637.5"/>
    <n v="6172725"/>
    <n v="6523725"/>
    <n v="6757725"/>
    <n v="0"/>
    <n v="524681.625"/>
    <n v="1"/>
    <n v="244000"/>
    <n v="244000"/>
    <n v="6416725"/>
  </r>
  <r>
    <m/>
    <s v="A"/>
    <x v="3"/>
    <s v="HOTEL APP."/>
    <x v="1"/>
    <n v="2"/>
    <x v="66"/>
    <x v="1"/>
    <s v="C1"/>
    <n v="62.9"/>
    <n v="80.316307069538809"/>
    <x v="16"/>
    <m/>
    <m/>
    <s v="NW"/>
    <s v="MIDDLE"/>
    <s v="LAYAN VILLAS"/>
    <s v="FIRST"/>
    <x v="2"/>
    <n v="0.13"/>
    <n v="2.5000000000000001E-2"/>
    <n v="0.2"/>
    <n v="7.0000000000000007E-2"/>
    <n v="0.05"/>
    <x v="29"/>
    <x v="3"/>
    <x v="11"/>
    <n v="76850"/>
    <n v="82950"/>
    <n v="6100"/>
    <n v="2897.5"/>
    <n v="79747.5"/>
    <n v="26316.675000000003"/>
    <n v="84247.5"/>
    <n v="87247.5"/>
    <n v="6140557.5"/>
    <n v="6487057.5"/>
    <n v="6718057.5"/>
    <n v="0"/>
    <n v="521947.38750000001"/>
    <n v="1"/>
    <n v="244000"/>
    <n v="244000"/>
    <n v="6384557.5"/>
  </r>
  <r>
    <m/>
    <s v="A"/>
    <x v="3"/>
    <s v="HOTEL APP."/>
    <x v="1"/>
    <n v="3"/>
    <x v="67"/>
    <x v="1"/>
    <s v="C1"/>
    <n v="51.02"/>
    <n v="65.146867832875529"/>
    <x v="13"/>
    <m/>
    <m/>
    <s v="NW"/>
    <s v="MIDDLE"/>
    <s v="LAYAN VILLAS"/>
    <s v="FIRST"/>
    <x v="2"/>
    <n v="0.13"/>
    <n v="2.5000000000000001E-2"/>
    <n v="0.2"/>
    <n v="7.0000000000000007E-2"/>
    <n v="0.05"/>
    <x v="29"/>
    <x v="3"/>
    <x v="11"/>
    <n v="76850"/>
    <n v="82950"/>
    <n v="6100"/>
    <n v="2897.5"/>
    <n v="79747.5"/>
    <n v="26316.675000000003"/>
    <n v="84247.5"/>
    <n v="87247.5"/>
    <n v="5024092.5"/>
    <n v="5307592.5"/>
    <n v="5496592.5"/>
    <n v="0"/>
    <n v="427047.86250000005"/>
    <n v="1"/>
    <n v="244000"/>
    <n v="244000"/>
    <n v="5268092.5"/>
  </r>
  <r>
    <m/>
    <s v="A"/>
    <x v="3"/>
    <s v="HOTEL APP."/>
    <x v="1"/>
    <n v="4"/>
    <x v="68"/>
    <x v="1"/>
    <s v="C1"/>
    <n v="68.59"/>
    <n v="87.581804481711714"/>
    <x v="14"/>
    <m/>
    <m/>
    <s v="NW"/>
    <s v="CORNER "/>
    <s v="LAYAN VILLAS"/>
    <s v="FIRST"/>
    <x v="2"/>
    <n v="0.13"/>
    <n v="0.05"/>
    <n v="0.2"/>
    <n v="7.0000000000000007E-2"/>
    <n v="0.05"/>
    <x v="30"/>
    <x v="3"/>
    <x v="11"/>
    <n v="76850"/>
    <n v="82950"/>
    <n v="6100"/>
    <n v="3050"/>
    <n v="79900"/>
    <n v="26367"/>
    <n v="84400"/>
    <n v="87400"/>
    <n v="6711600"/>
    <n v="7089600"/>
    <n v="7341600"/>
    <n v="0"/>
    <n v="570486"/>
    <n v="1"/>
    <n v="244000"/>
    <n v="244000"/>
    <n v="6955600"/>
  </r>
  <r>
    <m/>
    <s v="A"/>
    <x v="3"/>
    <s v="HOTEL APP."/>
    <x v="1"/>
    <n v="5"/>
    <x v="69"/>
    <x v="1"/>
    <s v="C1"/>
    <n v="69.17"/>
    <n v="88.322399999999988"/>
    <x v="15"/>
    <m/>
    <m/>
    <s v="SE"/>
    <s v="CORNER "/>
    <s v="MAIN GATE &amp; LAKE ENTRANCE"/>
    <s v="FIRST"/>
    <x v="2"/>
    <n v="0.08"/>
    <n v="0.05"/>
    <n v="0.25"/>
    <n v="7.0000000000000007E-2"/>
    <n v="0.05"/>
    <x v="30"/>
    <x v="3"/>
    <x v="11"/>
    <n v="76850"/>
    <n v="82950"/>
    <n v="6100"/>
    <n v="3050"/>
    <n v="79900"/>
    <n v="26367"/>
    <n v="84400"/>
    <n v="87400"/>
    <n v="6791500"/>
    <n v="7174000"/>
    <n v="7429000"/>
    <n v="0"/>
    <n v="577277.5"/>
    <n v="1"/>
    <n v="244000"/>
    <n v="244000"/>
    <n v="7035500"/>
  </r>
  <r>
    <m/>
    <s v="A"/>
    <x v="3"/>
    <s v="HOTEL APP."/>
    <x v="2"/>
    <n v="1"/>
    <x v="70"/>
    <x v="1"/>
    <s v="C1"/>
    <n v="63.16"/>
    <n v="80.648298163943892"/>
    <x v="12"/>
    <m/>
    <m/>
    <s v="SE"/>
    <s v="MIDDLE"/>
    <s v="ROAD 18M (BUILDINGS)"/>
    <s v="SECOND"/>
    <x v="2"/>
    <n v="0.08"/>
    <n v="2.5000000000000001E-2"/>
    <n v="0.15"/>
    <n v="0.11"/>
    <n v="0.05"/>
    <x v="31"/>
    <x v="3"/>
    <x v="11"/>
    <n v="76850"/>
    <n v="82950"/>
    <n v="6100"/>
    <n v="2531.5"/>
    <n v="79381.5"/>
    <n v="26195.895"/>
    <n v="83881.5"/>
    <n v="86881.5"/>
    <n v="6191757"/>
    <n v="6542757"/>
    <n v="6776757"/>
    <n v="0"/>
    <n v="526299.34500000009"/>
    <n v="1"/>
    <n v="244000"/>
    <n v="244000"/>
    <n v="6435757"/>
  </r>
  <r>
    <m/>
    <s v="A"/>
    <x v="3"/>
    <s v="HOTEL APP."/>
    <x v="2"/>
    <n v="2"/>
    <x v="71"/>
    <x v="1"/>
    <s v="C1"/>
    <n v="63.11"/>
    <n v="80.584453722712155"/>
    <x v="12"/>
    <m/>
    <m/>
    <s v="NW"/>
    <s v="MIDDLE"/>
    <s v="LAYAN VILLAS"/>
    <s v="SECOND"/>
    <x v="2"/>
    <n v="0.13"/>
    <n v="2.5000000000000001E-2"/>
    <n v="0.2"/>
    <n v="0.11"/>
    <n v="0.05"/>
    <x v="20"/>
    <x v="3"/>
    <x v="11"/>
    <n v="76850"/>
    <n v="82950"/>
    <n v="6100"/>
    <n v="3141.5"/>
    <n v="79991.5"/>
    <n v="26397.195"/>
    <n v="84491.5"/>
    <n v="87491.5"/>
    <n v="6239337"/>
    <n v="6590337"/>
    <n v="6824337"/>
    <n v="0"/>
    <n v="530343.64500000002"/>
    <n v="1"/>
    <n v="244000"/>
    <n v="244000"/>
    <n v="6483337"/>
  </r>
  <r>
    <m/>
    <s v="A"/>
    <x v="3"/>
    <s v="HOTEL APP."/>
    <x v="2"/>
    <n v="3"/>
    <x v="72"/>
    <x v="1"/>
    <s v="C1"/>
    <n v="51.48"/>
    <n v="65.734236692207588"/>
    <x v="13"/>
    <m/>
    <m/>
    <s v="NW"/>
    <s v="MIDDLE"/>
    <s v="LAYAN VILLAS"/>
    <s v="SECOND"/>
    <x v="2"/>
    <n v="0.13"/>
    <n v="2.5000000000000001E-2"/>
    <n v="0.2"/>
    <n v="0.11"/>
    <n v="0.05"/>
    <x v="20"/>
    <x v="3"/>
    <x v="11"/>
    <n v="76850"/>
    <n v="82950"/>
    <n v="6100"/>
    <n v="3141.5"/>
    <n v="79991.5"/>
    <n v="26397.195"/>
    <n v="84491.5"/>
    <n v="87491.5"/>
    <n v="5039464.5"/>
    <n v="5322964.5"/>
    <n v="5511964.5"/>
    <n v="0"/>
    <n v="428354.48250000004"/>
    <n v="1"/>
    <n v="244000"/>
    <n v="244000"/>
    <n v="5283464.5"/>
  </r>
  <r>
    <m/>
    <s v="A"/>
    <x v="3"/>
    <s v="HOTEL APP."/>
    <x v="2"/>
    <n v="4"/>
    <x v="73"/>
    <x v="1"/>
    <s v="C1"/>
    <n v="68.89"/>
    <n v="87.964871129102207"/>
    <x v="15"/>
    <m/>
    <m/>
    <s v="NW"/>
    <s v="CORNER "/>
    <s v="LAYAN VILLAS"/>
    <s v="SECOND"/>
    <x v="2"/>
    <n v="0.13"/>
    <n v="0.05"/>
    <n v="0.2"/>
    <n v="0.11"/>
    <n v="0.05"/>
    <x v="32"/>
    <x v="3"/>
    <x v="11"/>
    <n v="76850"/>
    <n v="82950"/>
    <n v="6100"/>
    <n v="3294"/>
    <n v="80144"/>
    <n v="26447.52"/>
    <n v="84644"/>
    <n v="87644"/>
    <n v="6812240"/>
    <n v="7194740"/>
    <n v="7449740"/>
    <n v="0"/>
    <n v="579040.4"/>
    <n v="1"/>
    <n v="244000"/>
    <n v="244000"/>
    <n v="7056240"/>
  </r>
  <r>
    <m/>
    <s v="A"/>
    <x v="3"/>
    <s v="HOTEL APP."/>
    <x v="2"/>
    <n v="5"/>
    <x v="74"/>
    <x v="1"/>
    <s v="C1"/>
    <n v="68.91"/>
    <n v="87.990408905594904"/>
    <x v="15"/>
    <m/>
    <m/>
    <s v="SE"/>
    <s v="CORNER "/>
    <s v="MAIN GATE &amp; LAKE ENTRANCE"/>
    <s v="SECOND"/>
    <x v="2"/>
    <n v="0.08"/>
    <n v="0.05"/>
    <n v="0.25"/>
    <n v="0.11"/>
    <n v="0.05"/>
    <x v="32"/>
    <x v="3"/>
    <x v="11"/>
    <n v="76850"/>
    <n v="82950"/>
    <n v="6100"/>
    <n v="3294"/>
    <n v="80144"/>
    <n v="26447.52"/>
    <n v="84644"/>
    <n v="87644"/>
    <n v="6812240"/>
    <n v="7194740"/>
    <n v="7449740"/>
    <n v="0"/>
    <n v="579040.4"/>
    <n v="1"/>
    <n v="244000"/>
    <n v="244000"/>
    <n v="7056240"/>
  </r>
  <r>
    <m/>
    <s v="A"/>
    <x v="3"/>
    <s v="HOTEL APP."/>
    <x v="2"/>
    <n v="6"/>
    <x v="75"/>
    <x v="1"/>
    <s v="C1"/>
    <n v="51.5"/>
    <n v="65.7597744687003"/>
    <x v="13"/>
    <m/>
    <m/>
    <s v="SE"/>
    <s v="MIDDLE"/>
    <s v="MAIN GATE &amp; LAKE ENTRANCE"/>
    <s v="SECOND"/>
    <x v="2"/>
    <n v="0.08"/>
    <n v="2.5000000000000001E-2"/>
    <n v="0.25"/>
    <n v="0.11"/>
    <n v="0.05"/>
    <x v="20"/>
    <x v="3"/>
    <x v="11"/>
    <n v="76850"/>
    <n v="82950"/>
    <n v="6100"/>
    <n v="3141.5"/>
    <n v="79991.5"/>
    <n v="26397.195"/>
    <n v="84491.5"/>
    <n v="87491.5"/>
    <n v="5039464.5"/>
    <n v="5322964.5"/>
    <n v="5511964.5"/>
    <n v="0"/>
    <n v="428354.48250000004"/>
    <n v="1"/>
    <n v="244000"/>
    <n v="244000"/>
    <n v="5283464.5"/>
  </r>
  <r>
    <m/>
    <s v="A"/>
    <x v="3"/>
    <s v="HOTEL APP."/>
    <x v="3"/>
    <n v="1"/>
    <x v="76"/>
    <x v="1"/>
    <s v="C1"/>
    <n v="62.86"/>
    <n v="80.265231516553413"/>
    <x v="16"/>
    <m/>
    <m/>
    <s v="SE"/>
    <s v="MIDDLE"/>
    <s v="ROAD 18M (BUILDINGS)"/>
    <s v="THIRD"/>
    <x v="2"/>
    <n v="0.08"/>
    <n v="2.5000000000000001E-2"/>
    <n v="0.15"/>
    <n v="0.15"/>
    <n v="0.05"/>
    <x v="33"/>
    <x v="3"/>
    <x v="11"/>
    <n v="76850"/>
    <n v="82950"/>
    <n v="6100"/>
    <n v="2775.5"/>
    <n v="79625.5"/>
    <n v="26276.415000000001"/>
    <n v="84125.5"/>
    <n v="87125.5"/>
    <n v="6131163.5"/>
    <n v="6477663.5"/>
    <n v="6708663.5"/>
    <n v="0"/>
    <n v="521148.89750000002"/>
    <n v="1"/>
    <n v="244000"/>
    <n v="244000"/>
    <n v="6375163.5"/>
  </r>
  <r>
    <m/>
    <s v="A"/>
    <x v="3"/>
    <s v="HOTEL APP."/>
    <x v="3"/>
    <n v="2"/>
    <x v="77"/>
    <x v="1"/>
    <s v="C1"/>
    <n v="62.84"/>
    <n v="80.239693740060716"/>
    <x v="16"/>
    <m/>
    <m/>
    <s v="NW"/>
    <s v="MIDDLE"/>
    <s v="LAYAN VILLAS"/>
    <s v="THIRD"/>
    <x v="2"/>
    <n v="0.13"/>
    <n v="2.5000000000000001E-2"/>
    <n v="0.2"/>
    <n v="0.15"/>
    <n v="0.05"/>
    <x v="22"/>
    <x v="3"/>
    <x v="11"/>
    <n v="76850"/>
    <n v="82950"/>
    <n v="6100"/>
    <n v="3385.5000000000005"/>
    <n v="80235.5"/>
    <n v="26477.715"/>
    <n v="84735.5"/>
    <n v="87735.5"/>
    <n v="6178133.5"/>
    <n v="6524633.5"/>
    <n v="6755633.5"/>
    <n v="0"/>
    <n v="525141.34750000003"/>
    <n v="1"/>
    <n v="244000"/>
    <n v="244000"/>
    <n v="6422133.5"/>
  </r>
  <r>
    <m/>
    <s v="A"/>
    <x v="3"/>
    <s v="HOTEL APP."/>
    <x v="3"/>
    <n v="3"/>
    <x v="78"/>
    <x v="1"/>
    <s v="C1"/>
    <n v="50.89"/>
    <n v="64.980872285672973"/>
    <x v="13"/>
    <m/>
    <m/>
    <s v="NW"/>
    <s v="MIDDLE"/>
    <s v="LAYAN VILLAS"/>
    <s v="THIRD"/>
    <x v="2"/>
    <n v="0.13"/>
    <n v="2.5000000000000001E-2"/>
    <n v="0.2"/>
    <n v="0.15"/>
    <n v="0.05"/>
    <x v="22"/>
    <x v="3"/>
    <x v="11"/>
    <n v="76850"/>
    <n v="82950"/>
    <n v="6100"/>
    <n v="3385.5000000000005"/>
    <n v="80235.5"/>
    <n v="26477.715"/>
    <n v="84735.5"/>
    <n v="87735.5"/>
    <n v="5054836.5"/>
    <n v="5338336.5"/>
    <n v="5527336.5"/>
    <n v="0"/>
    <n v="429661.10250000004"/>
    <n v="1"/>
    <n v="244000"/>
    <n v="244000"/>
    <n v="5298836.5"/>
  </r>
  <r>
    <m/>
    <s v="A"/>
    <x v="3"/>
    <s v="HOTEL APP."/>
    <x v="3"/>
    <n v="4"/>
    <x v="79"/>
    <x v="1"/>
    <s v="C1"/>
    <n v="68.599999999999994"/>
    <n v="87.594573369958056"/>
    <x v="14"/>
    <m/>
    <m/>
    <s v="NW"/>
    <s v="CORNER "/>
    <s v="LAYAN VILLAS"/>
    <s v="THIRD"/>
    <x v="2"/>
    <n v="0.13"/>
    <n v="0.05"/>
    <n v="0.2"/>
    <n v="0.15"/>
    <n v="0.05"/>
    <x v="34"/>
    <x v="3"/>
    <x v="11"/>
    <n v="76850"/>
    <n v="82950"/>
    <n v="6100"/>
    <n v="3538.0000000000005"/>
    <n v="80388"/>
    <n v="26528.04"/>
    <n v="84888"/>
    <n v="87888"/>
    <n v="6752592"/>
    <n v="7130592"/>
    <n v="7382592"/>
    <n v="0"/>
    <n v="573970.32000000007"/>
    <n v="1"/>
    <n v="244000"/>
    <n v="244000"/>
    <n v="6996592"/>
  </r>
  <r>
    <m/>
    <s v="A"/>
    <x v="3"/>
    <s v="HOTEL APP."/>
    <x v="3"/>
    <n v="5"/>
    <x v="80"/>
    <x v="1"/>
    <s v="C1"/>
    <n v="68.62"/>
    <n v="87.620111146450768"/>
    <x v="14"/>
    <m/>
    <m/>
    <s v="SE"/>
    <s v="CORNER "/>
    <s v="MAIN GATE &amp; LAKE ENTRANCE"/>
    <s v="THIRD"/>
    <x v="2"/>
    <n v="0.08"/>
    <n v="0.05"/>
    <n v="0.25"/>
    <n v="0.15"/>
    <n v="0.05"/>
    <x v="34"/>
    <x v="3"/>
    <x v="11"/>
    <n v="76850"/>
    <n v="82950"/>
    <n v="6100"/>
    <n v="3538.0000000000005"/>
    <n v="80388"/>
    <n v="26528.04"/>
    <n v="84888"/>
    <n v="87888"/>
    <n v="6752592"/>
    <n v="7130592"/>
    <n v="7382592"/>
    <n v="0"/>
    <n v="573970.32000000007"/>
    <n v="1"/>
    <n v="244000"/>
    <n v="244000"/>
    <n v="6996592"/>
  </r>
  <r>
    <m/>
    <s v="A"/>
    <x v="3"/>
    <s v="HOTEL APP."/>
    <x v="3"/>
    <n v="6"/>
    <x v="81"/>
    <x v="1"/>
    <s v="C1"/>
    <n v="50.89"/>
    <n v="64.980872285672973"/>
    <x v="13"/>
    <m/>
    <m/>
    <s v="SE"/>
    <s v="MIDDLE"/>
    <s v="MAIN GATE &amp; LAKE ENTRANCE"/>
    <s v="THIRD"/>
    <x v="2"/>
    <n v="0.08"/>
    <n v="2.5000000000000001E-2"/>
    <n v="0.25"/>
    <n v="0.15"/>
    <n v="0.05"/>
    <x v="22"/>
    <x v="3"/>
    <x v="11"/>
    <n v="76850"/>
    <n v="82950"/>
    <n v="6100"/>
    <n v="3385.5000000000005"/>
    <n v="80235.5"/>
    <n v="26477.715"/>
    <n v="84735.5"/>
    <n v="87735.5"/>
    <n v="5054836.5"/>
    <n v="5338336.5"/>
    <n v="5527336.5"/>
    <n v="0"/>
    <n v="429661.10250000004"/>
    <n v="1"/>
    <n v="244000"/>
    <n v="244000"/>
    <n v="5298836.5"/>
  </r>
  <r>
    <m/>
    <s v="A"/>
    <x v="3"/>
    <s v="HOTEL APP."/>
    <x v="4"/>
    <n v="1"/>
    <x v="82"/>
    <x v="1"/>
    <s v="C1"/>
    <n v="62.97"/>
    <n v="80.405689287263257"/>
    <x v="16"/>
    <m/>
    <m/>
    <s v="SE"/>
    <s v="MIDDLE"/>
    <s v="ROAD 18M (BUILDINGS)"/>
    <s v="FORTH"/>
    <x v="2"/>
    <n v="0.08"/>
    <n v="2.5000000000000001E-2"/>
    <n v="0.15"/>
    <n v="0.06"/>
    <n v="0.05"/>
    <x v="0"/>
    <x v="3"/>
    <x v="11"/>
    <n v="76850"/>
    <n v="82950"/>
    <n v="6100"/>
    <n v="2226.5"/>
    <n v="79076.5"/>
    <n v="26095.245000000003"/>
    <n v="83576.5"/>
    <n v="86576.5"/>
    <n v="6088890.5"/>
    <n v="6435390.5"/>
    <n v="6666390.5"/>
    <n v="0"/>
    <n v="517555.69250000006"/>
    <n v="1"/>
    <n v="244000"/>
    <n v="244000"/>
    <n v="6332890.5"/>
  </r>
  <r>
    <m/>
    <s v="A"/>
    <x v="3"/>
    <s v="HOTEL APP."/>
    <x v="4"/>
    <n v="2"/>
    <x v="83"/>
    <x v="1"/>
    <s v="C1"/>
    <n v="62.97"/>
    <n v="80.405689287263257"/>
    <x v="16"/>
    <m/>
    <m/>
    <s v="NW"/>
    <s v="MIDDLE"/>
    <s v="LAYAN VILLAS"/>
    <s v="FORTH"/>
    <x v="2"/>
    <n v="0.13"/>
    <n v="2.5000000000000001E-2"/>
    <n v="0.2"/>
    <n v="0.06"/>
    <n v="0.05"/>
    <x v="21"/>
    <x v="3"/>
    <x v="11"/>
    <n v="76850"/>
    <n v="82950"/>
    <n v="6100"/>
    <n v="2836.5"/>
    <n v="79686.5"/>
    <n v="26296.545000000002"/>
    <n v="84186.5"/>
    <n v="87186.5"/>
    <n v="6135860.5"/>
    <n v="6482360.5"/>
    <n v="6713360.5"/>
    <n v="0"/>
    <n v="521548.14250000002"/>
    <n v="1"/>
    <n v="244000"/>
    <n v="244000"/>
    <n v="6379860.5"/>
  </r>
  <r>
    <m/>
    <s v="A"/>
    <x v="3"/>
    <s v="HOTEL APP."/>
    <x v="4"/>
    <n v="3"/>
    <x v="84"/>
    <x v="1"/>
    <s v="C1"/>
    <n v="51.5"/>
    <n v="65.7597744687003"/>
    <x v="13"/>
    <m/>
    <m/>
    <s v="NW"/>
    <s v="MIDDLE"/>
    <s v="LAYAN VILLAS"/>
    <s v="FORTH"/>
    <x v="2"/>
    <n v="0.13"/>
    <n v="2.5000000000000001E-2"/>
    <n v="0.2"/>
    <n v="0.06"/>
    <n v="0.05"/>
    <x v="21"/>
    <x v="3"/>
    <x v="11"/>
    <n v="76850"/>
    <n v="82950"/>
    <n v="6100"/>
    <n v="2836.5"/>
    <n v="79686.5"/>
    <n v="26296.545000000002"/>
    <n v="84186.5"/>
    <n v="87186.5"/>
    <n v="5020249.5"/>
    <n v="5303749.5"/>
    <n v="5492749.5"/>
    <n v="0"/>
    <n v="426721.20750000002"/>
    <n v="1"/>
    <n v="244000"/>
    <n v="244000"/>
    <n v="5264249.5"/>
  </r>
  <r>
    <m/>
    <s v="A"/>
    <x v="3"/>
    <s v="HOTEL APP."/>
    <x v="4"/>
    <n v="4"/>
    <x v="85"/>
    <x v="1"/>
    <s v="C1"/>
    <n v="68.680000000000007"/>
    <n v="87.696724475928875"/>
    <x v="14"/>
    <m/>
    <m/>
    <s v="NW"/>
    <s v="CORNER "/>
    <s v="LAYAN VILLAS"/>
    <s v="FORTH"/>
    <x v="2"/>
    <n v="0.13"/>
    <n v="0.05"/>
    <n v="0.2"/>
    <n v="0.06"/>
    <n v="0.05"/>
    <x v="35"/>
    <x v="3"/>
    <x v="11"/>
    <n v="76850"/>
    <n v="82950"/>
    <n v="6100"/>
    <n v="2989"/>
    <n v="79839"/>
    <n v="26346.870000000003"/>
    <n v="84339"/>
    <n v="87339"/>
    <n v="6706476"/>
    <n v="7084476"/>
    <n v="7336476"/>
    <n v="0"/>
    <n v="570050.46000000008"/>
    <n v="1"/>
    <n v="244000"/>
    <n v="244000"/>
    <n v="6950476"/>
  </r>
  <r>
    <m/>
    <s v="A"/>
    <x v="3"/>
    <s v="HOTEL APP."/>
    <x v="4"/>
    <n v="5"/>
    <x v="86"/>
    <x v="1"/>
    <s v="C1"/>
    <n v="68.680000000000007"/>
    <n v="87.696724475928875"/>
    <x v="14"/>
    <m/>
    <m/>
    <s v="SE"/>
    <s v="CORNER "/>
    <s v="MAIN GATE &amp; LAKE ENTRANCE"/>
    <s v="FORTH"/>
    <x v="2"/>
    <n v="0.08"/>
    <n v="0.05"/>
    <n v="0.25"/>
    <n v="0.06"/>
    <n v="0.05"/>
    <x v="35"/>
    <x v="3"/>
    <x v="11"/>
    <n v="76850"/>
    <n v="82950"/>
    <n v="6100"/>
    <n v="2989"/>
    <n v="79839"/>
    <n v="26346.870000000003"/>
    <n v="84339"/>
    <n v="87339"/>
    <n v="6706476"/>
    <n v="7084476"/>
    <n v="7336476"/>
    <n v="0"/>
    <n v="570050.46000000008"/>
    <n v="1"/>
    <n v="244000"/>
    <n v="244000"/>
    <n v="6950476"/>
  </r>
  <r>
    <m/>
    <s v="A"/>
    <x v="3"/>
    <s v="HOTEL APP."/>
    <x v="4"/>
    <n v="6"/>
    <x v="87"/>
    <x v="1"/>
    <s v="C1"/>
    <n v="51.5"/>
    <n v="65.7597744687003"/>
    <x v="13"/>
    <m/>
    <m/>
    <s v="SE"/>
    <s v="MIDDLE"/>
    <s v="MAIN GATE &amp; LAKE ENTRANCE"/>
    <s v="FORTH"/>
    <x v="2"/>
    <n v="0.08"/>
    <n v="2.5000000000000001E-2"/>
    <n v="0.25"/>
    <n v="0.06"/>
    <n v="0.05"/>
    <x v="21"/>
    <x v="3"/>
    <x v="11"/>
    <n v="76850"/>
    <n v="82950"/>
    <n v="6100"/>
    <n v="2836.5"/>
    <n v="79686.5"/>
    <n v="26296.545000000002"/>
    <n v="84186.5"/>
    <n v="87186.5"/>
    <n v="5020249.5"/>
    <n v="5303749.5"/>
    <n v="5492749.5"/>
    <n v="0"/>
    <n v="426721.20750000002"/>
    <n v="1"/>
    <n v="244000"/>
    <n v="244000"/>
    <n v="5264249.5"/>
  </r>
  <r>
    <s v="A'"/>
    <s v="A"/>
    <x v="4"/>
    <s v="HOTEL APP."/>
    <x v="0"/>
    <n v="1"/>
    <x v="88"/>
    <x v="1"/>
    <s v="C1"/>
    <n v="69.17"/>
    <n v="88.322399999999988"/>
    <x v="15"/>
    <n v="24.4619"/>
    <m/>
    <s v="NE"/>
    <s v="CORNER "/>
    <s v="MAIN GATE &amp; LAKE ENTRANCE"/>
    <s v="GROUND"/>
    <x v="2"/>
    <n v="0.15"/>
    <n v="0.05"/>
    <n v="0.25"/>
    <n v="0.05"/>
    <n v="0.05"/>
    <x v="36"/>
    <x v="3"/>
    <x v="11"/>
    <n v="76850"/>
    <n v="82950"/>
    <n v="6100"/>
    <n v="3355.0000000000005"/>
    <n v="80205"/>
    <n v="26467.65"/>
    <n v="84705"/>
    <n v="87705"/>
    <n v="6817425"/>
    <n v="7199925"/>
    <n v="7454925"/>
    <n v="647449.00753499998"/>
    <n v="634514.29064047511"/>
    <n v="1"/>
    <n v="244000"/>
    <n v="244000"/>
    <n v="7708874.0075350003"/>
  </r>
  <r>
    <m/>
    <s v="A"/>
    <x v="4"/>
    <s v="HOTEL APP."/>
    <x v="0"/>
    <n v="2"/>
    <x v="89"/>
    <x v="1"/>
    <s v="C1"/>
    <n v="68.59"/>
    <n v="87.581804481711714"/>
    <x v="14"/>
    <n v="35.785600000000002"/>
    <m/>
    <s v="SW"/>
    <s v="CORNER "/>
    <s v="FENCE"/>
    <s v="GROUND"/>
    <x v="2"/>
    <n v="0.06"/>
    <n v="0.05"/>
    <n v="0.1"/>
    <n v="0.05"/>
    <n v="0.05"/>
    <x v="37"/>
    <x v="3"/>
    <x v="11"/>
    <n v="76850"/>
    <n v="82950"/>
    <n v="6100"/>
    <n v="1891"/>
    <n v="78741"/>
    <n v="25984.530000000002"/>
    <n v="83241"/>
    <n v="86241"/>
    <n v="6614244"/>
    <n v="6992244"/>
    <n v="7244244"/>
    <n v="929871.99676800019"/>
    <n v="641249.85972528008"/>
    <n v="1"/>
    <n v="244000"/>
    <n v="244000"/>
    <n v="7788115.9967679996"/>
  </r>
  <r>
    <m/>
    <s v="A"/>
    <x v="4"/>
    <s v="HOTEL APP."/>
    <x v="0"/>
    <n v="3"/>
    <x v="90"/>
    <x v="1"/>
    <s v="C1"/>
    <n v="51.02"/>
    <n v="65.146867832875529"/>
    <x v="13"/>
    <n v="34.889099999999999"/>
    <m/>
    <s v="SW"/>
    <s v="MIDDLE"/>
    <s v="FENCE"/>
    <s v="GROUND"/>
    <x v="2"/>
    <n v="0.06"/>
    <n v="2.5000000000000001E-2"/>
    <n v="0.1"/>
    <n v="0.05"/>
    <n v="0.05"/>
    <x v="38"/>
    <x v="3"/>
    <x v="11"/>
    <n v="76850"/>
    <n v="82950"/>
    <n v="6100"/>
    <n v="1738.4999999999998"/>
    <n v="78588.5"/>
    <n v="25934.205000000002"/>
    <n v="83088.5"/>
    <n v="86088.5"/>
    <n v="4951075.5"/>
    <n v="5234575.5"/>
    <n v="5423575.5"/>
    <n v="904821.07166550006"/>
    <n v="497751.20859156759"/>
    <n v="1"/>
    <n v="244000"/>
    <n v="244000"/>
    <n v="6099896.5716655003"/>
  </r>
  <r>
    <m/>
    <s v="A"/>
    <x v="4"/>
    <s v="HOTEL APP."/>
    <x v="0"/>
    <n v="4"/>
    <x v="91"/>
    <x v="1"/>
    <s v="C1"/>
    <n v="63.16"/>
    <n v="80.648298163943892"/>
    <x v="12"/>
    <n v="37.717199999999998"/>
    <m/>
    <s v="SW"/>
    <s v="MIDDLE"/>
    <s v="FENCE"/>
    <s v="GROUND"/>
    <x v="2"/>
    <n v="0.06"/>
    <n v="2.5000000000000001E-2"/>
    <n v="0.1"/>
    <n v="0.05"/>
    <n v="0.05"/>
    <x v="38"/>
    <x v="3"/>
    <x v="11"/>
    <n v="76850"/>
    <n v="82950"/>
    <n v="6100"/>
    <n v="1738.4999999999998"/>
    <n v="78588.5"/>
    <n v="25934.205000000002"/>
    <n v="83088.5"/>
    <n v="86088.5"/>
    <n v="6129903"/>
    <n v="6480903"/>
    <n v="6714903"/>
    <n v="978165.59682600002"/>
    <n v="604185.83073021006"/>
    <n v="1"/>
    <n v="244000"/>
    <n v="244000"/>
    <n v="7352068.5968260001"/>
  </r>
  <r>
    <m/>
    <s v="A"/>
    <x v="4"/>
    <s v="HOTEL APP."/>
    <x v="0"/>
    <n v="5"/>
    <x v="92"/>
    <x v="1"/>
    <s v="C1"/>
    <n v="63.79"/>
    <n v="81.452738123463917"/>
    <x v="12"/>
    <n v="24.668800000000001"/>
    <m/>
    <s v="NE"/>
    <s v="MIDDLE"/>
    <s v="ROAD 18M (BUILDINGS)"/>
    <s v="GROUND"/>
    <x v="2"/>
    <n v="0.15"/>
    <n v="2.5000000000000001E-2"/>
    <n v="0.15"/>
    <n v="0.05"/>
    <n v="0.05"/>
    <x v="39"/>
    <x v="3"/>
    <x v="11"/>
    <n v="76850"/>
    <n v="82950"/>
    <n v="6100"/>
    <n v="2592.4999999999995"/>
    <n v="79442.5"/>
    <n v="26216.025000000001"/>
    <n v="83942.5"/>
    <n v="86942.5"/>
    <n v="6196515"/>
    <n v="6547515"/>
    <n v="6781515"/>
    <n v="646717.8775200001"/>
    <n v="581674.79458920006"/>
    <n v="1"/>
    <n v="244000"/>
    <n v="244000"/>
    <n v="7087232.8775200006"/>
  </r>
  <r>
    <m/>
    <s v="A"/>
    <x v="4"/>
    <s v="HOTEL APP."/>
    <x v="1"/>
    <n v="1"/>
    <x v="93"/>
    <x v="1"/>
    <s v="C1"/>
    <n v="69.17"/>
    <n v="88.322399999999988"/>
    <x v="15"/>
    <m/>
    <m/>
    <s v="NE"/>
    <s v="CORNER "/>
    <s v="MAIN GATE &amp; LAKE ENTRANCE"/>
    <s v="FIRST"/>
    <x v="2"/>
    <n v="0.15"/>
    <n v="0.05"/>
    <n v="0.25"/>
    <n v="7.0000000000000007E-2"/>
    <n v="0.05"/>
    <x v="40"/>
    <x v="3"/>
    <x v="11"/>
    <n v="76850"/>
    <n v="82950"/>
    <n v="6100"/>
    <n v="3477.0000000000005"/>
    <n v="80327"/>
    <n v="26507.91"/>
    <n v="84827"/>
    <n v="87827"/>
    <n v="6827795"/>
    <n v="7210295"/>
    <n v="7465295"/>
    <n v="0"/>
    <n v="580362.57500000007"/>
    <n v="1"/>
    <n v="244000"/>
    <n v="244000"/>
    <n v="7071795"/>
  </r>
  <r>
    <m/>
    <s v="A"/>
    <x v="4"/>
    <s v="HOTEL APP."/>
    <x v="1"/>
    <n v="2"/>
    <x v="94"/>
    <x v="1"/>
    <s v="C1"/>
    <n v="68.59"/>
    <n v="87.581804481711714"/>
    <x v="14"/>
    <m/>
    <m/>
    <s v="SW"/>
    <s v="CORNER "/>
    <s v="LAYAN VILLAS"/>
    <s v="FIRST"/>
    <x v="2"/>
    <n v="0.06"/>
    <n v="0.05"/>
    <n v="0.2"/>
    <n v="7.0000000000000007E-2"/>
    <n v="0.05"/>
    <x v="41"/>
    <x v="3"/>
    <x v="11"/>
    <n v="76850"/>
    <n v="82950"/>
    <n v="6100"/>
    <n v="2623"/>
    <n v="79473"/>
    <n v="26226.09"/>
    <n v="83973"/>
    <n v="86973"/>
    <n v="6675732"/>
    <n v="7053732"/>
    <n v="7305732"/>
    <n v="0"/>
    <n v="567437.22000000009"/>
    <n v="1"/>
    <n v="244000"/>
    <n v="244000"/>
    <n v="6919732"/>
  </r>
  <r>
    <m/>
    <s v="A"/>
    <x v="4"/>
    <s v="HOTEL APP."/>
    <x v="1"/>
    <n v="3"/>
    <x v="95"/>
    <x v="1"/>
    <s v="C1"/>
    <n v="51.02"/>
    <n v="65.146867832875529"/>
    <x v="13"/>
    <m/>
    <m/>
    <s v="SW"/>
    <s v="MIDDLE"/>
    <s v="LAYAN VILLAS"/>
    <s v="FIRST"/>
    <x v="2"/>
    <n v="0.06"/>
    <n v="2.5000000000000001E-2"/>
    <n v="0.2"/>
    <n v="7.0000000000000007E-2"/>
    <n v="0.05"/>
    <x v="42"/>
    <x v="3"/>
    <x v="11"/>
    <n v="76850"/>
    <n v="82950"/>
    <n v="6100"/>
    <n v="2470.5"/>
    <n v="79320.5"/>
    <n v="26175.764999999999"/>
    <n v="83820.5"/>
    <n v="86820.5"/>
    <n v="4997191.5"/>
    <n v="5280691.5"/>
    <n v="5469691.5"/>
    <n v="0"/>
    <n v="424761.27750000003"/>
    <n v="1"/>
    <n v="244000"/>
    <n v="244000"/>
    <n v="5241191.5"/>
  </r>
  <r>
    <m/>
    <s v="A"/>
    <x v="4"/>
    <s v="HOTEL APP."/>
    <x v="1"/>
    <n v="4"/>
    <x v="96"/>
    <x v="1"/>
    <s v="C1"/>
    <n v="62.9"/>
    <n v="80.316307069538809"/>
    <x v="16"/>
    <m/>
    <m/>
    <s v="SW"/>
    <s v="MIDDLE"/>
    <s v="LAYAN VILLAS"/>
    <s v="FIRST"/>
    <x v="2"/>
    <n v="0.06"/>
    <n v="2.5000000000000001E-2"/>
    <n v="0.2"/>
    <n v="7.0000000000000007E-2"/>
    <n v="0.05"/>
    <x v="42"/>
    <x v="3"/>
    <x v="11"/>
    <n v="76850"/>
    <n v="82950"/>
    <n v="6100"/>
    <n v="2470.5"/>
    <n v="79320.5"/>
    <n v="26175.764999999999"/>
    <n v="83820.5"/>
    <n v="86820.5"/>
    <n v="6107678.5"/>
    <n v="6454178.5"/>
    <n v="6685178.5"/>
    <n v="0"/>
    <n v="519152.67250000004"/>
    <n v="1"/>
    <n v="244000"/>
    <n v="244000"/>
    <n v="6351678.5"/>
  </r>
  <r>
    <m/>
    <s v="A"/>
    <x v="4"/>
    <s v="HOTEL APP."/>
    <x v="1"/>
    <n v="5"/>
    <x v="97"/>
    <x v="1"/>
    <s v="C1"/>
    <n v="63.79"/>
    <n v="81.452738123463917"/>
    <x v="12"/>
    <m/>
    <m/>
    <s v="NE"/>
    <s v="MIDDLE"/>
    <s v="ROAD 18M (BUILDINGS)"/>
    <s v="FIRST"/>
    <x v="2"/>
    <n v="0.15"/>
    <n v="2.5000000000000001E-2"/>
    <n v="0.15"/>
    <n v="7.0000000000000007E-2"/>
    <n v="0.05"/>
    <x v="43"/>
    <x v="3"/>
    <x v="11"/>
    <n v="76850"/>
    <n v="82950"/>
    <n v="6100"/>
    <n v="2714.4999999999995"/>
    <n v="79564.5"/>
    <n v="26256.285"/>
    <n v="84064.5"/>
    <n v="87064.5"/>
    <n v="6206031"/>
    <n v="6557031"/>
    <n v="6791031"/>
    <n v="0"/>
    <n v="527512.63500000001"/>
    <n v="1"/>
    <n v="244000"/>
    <n v="244000"/>
    <n v="6450031"/>
  </r>
  <r>
    <m/>
    <s v="A"/>
    <x v="4"/>
    <s v="HOTEL APP."/>
    <x v="2"/>
    <n v="1"/>
    <x v="98"/>
    <x v="1"/>
    <s v="C1"/>
    <n v="68.91"/>
    <n v="87.990408905594904"/>
    <x v="15"/>
    <m/>
    <m/>
    <s v="NE"/>
    <s v="CORNER "/>
    <s v="MAIN GATE &amp; LAKE ENTRANCE"/>
    <s v="SECOND"/>
    <x v="2"/>
    <n v="0.15"/>
    <n v="0.05"/>
    <n v="0.25"/>
    <n v="0.11"/>
    <n v="0.05"/>
    <x v="44"/>
    <x v="3"/>
    <x v="11"/>
    <n v="76850"/>
    <n v="82950"/>
    <n v="6100"/>
    <n v="3721.0000000000005"/>
    <n v="80571"/>
    <n v="26588.43"/>
    <n v="85071"/>
    <n v="88071"/>
    <n v="6848535"/>
    <n v="7231035"/>
    <n v="7486035"/>
    <n v="0"/>
    <n v="582125.47500000009"/>
    <n v="1"/>
    <n v="244000"/>
    <n v="244000"/>
    <n v="7092535"/>
  </r>
  <r>
    <m/>
    <s v="A"/>
    <x v="4"/>
    <s v="HOTEL APP."/>
    <x v="2"/>
    <n v="2"/>
    <x v="99"/>
    <x v="1"/>
    <s v="C1"/>
    <n v="68.89"/>
    <n v="87.964871129102207"/>
    <x v="15"/>
    <m/>
    <m/>
    <s v="SW"/>
    <s v="CORNER "/>
    <s v="LAYAN VILLAS"/>
    <s v="SECOND"/>
    <x v="2"/>
    <n v="0.06"/>
    <n v="0.05"/>
    <n v="0.2"/>
    <n v="0.11"/>
    <n v="0.05"/>
    <x v="45"/>
    <x v="3"/>
    <x v="11"/>
    <n v="76850"/>
    <n v="82950"/>
    <n v="6100"/>
    <n v="2867"/>
    <n v="79717"/>
    <n v="26306.61"/>
    <n v="84217"/>
    <n v="87217"/>
    <n v="6775945"/>
    <n v="7158445"/>
    <n v="7413445"/>
    <n v="0"/>
    <n v="575955.32500000007"/>
    <n v="1"/>
    <n v="244000"/>
    <n v="244000"/>
    <n v="7019945"/>
  </r>
  <r>
    <m/>
    <s v="A"/>
    <x v="4"/>
    <s v="HOTEL APP."/>
    <x v="2"/>
    <n v="3"/>
    <x v="100"/>
    <x v="1"/>
    <s v="C1"/>
    <n v="51.48"/>
    <n v="65.734236692207588"/>
    <x v="13"/>
    <m/>
    <m/>
    <s v="SW"/>
    <s v="MIDDLE"/>
    <s v="LAYAN VILLAS"/>
    <s v="SECOND"/>
    <x v="2"/>
    <n v="0.06"/>
    <n v="2.5000000000000001E-2"/>
    <n v="0.2"/>
    <n v="0.11"/>
    <n v="0.05"/>
    <x v="15"/>
    <x v="3"/>
    <x v="11"/>
    <n v="76850"/>
    <n v="82950"/>
    <n v="6100"/>
    <n v="2714.5"/>
    <n v="79564.5"/>
    <n v="26256.285"/>
    <n v="84064.5"/>
    <n v="87064.5"/>
    <n v="5012563.5"/>
    <n v="5296063.5"/>
    <n v="5485063.5"/>
    <n v="0"/>
    <n v="426067.89750000002"/>
    <n v="1"/>
    <n v="244000"/>
    <n v="244000"/>
    <n v="5256563.5"/>
  </r>
  <r>
    <m/>
    <s v="A"/>
    <x v="4"/>
    <s v="HOTEL APP."/>
    <x v="2"/>
    <n v="4"/>
    <x v="101"/>
    <x v="1"/>
    <s v="C1"/>
    <n v="63.11"/>
    <n v="80.584453722712155"/>
    <x v="12"/>
    <m/>
    <m/>
    <s v="SW"/>
    <s v="MIDDLE"/>
    <s v="LAYAN VILLAS"/>
    <s v="SECOND"/>
    <x v="2"/>
    <n v="0.06"/>
    <n v="2.5000000000000001E-2"/>
    <n v="0.2"/>
    <n v="0.11"/>
    <n v="0.05"/>
    <x v="15"/>
    <x v="3"/>
    <x v="11"/>
    <n v="76850"/>
    <n v="82950"/>
    <n v="6100"/>
    <n v="2714.5"/>
    <n v="79564.5"/>
    <n v="26256.285"/>
    <n v="84064.5"/>
    <n v="87064.5"/>
    <n v="6206031"/>
    <n v="6557031"/>
    <n v="6791031"/>
    <n v="0"/>
    <n v="527512.63500000001"/>
    <n v="1"/>
    <n v="244000"/>
    <n v="244000"/>
    <n v="6450031"/>
  </r>
  <r>
    <m/>
    <s v="A"/>
    <x v="4"/>
    <s v="HOTEL APP."/>
    <x v="2"/>
    <n v="5"/>
    <x v="102"/>
    <x v="1"/>
    <s v="C1"/>
    <n v="63.16"/>
    <n v="80.648298163943892"/>
    <x v="12"/>
    <m/>
    <m/>
    <s v="NE"/>
    <s v="MIDDLE"/>
    <s v="ROAD 18M (BUILDINGS)"/>
    <s v="SECOND"/>
    <x v="2"/>
    <n v="0.15"/>
    <n v="2.5000000000000001E-2"/>
    <n v="0.15"/>
    <n v="0.11"/>
    <n v="0.05"/>
    <x v="46"/>
    <x v="3"/>
    <x v="11"/>
    <n v="76850"/>
    <n v="82950"/>
    <n v="6100"/>
    <n v="2958.4999999999995"/>
    <n v="79808.5"/>
    <n v="26336.805"/>
    <n v="84308.5"/>
    <n v="87308.5"/>
    <n v="6225063"/>
    <n v="6576063"/>
    <n v="6810063"/>
    <n v="0"/>
    <n v="529130.35499999998"/>
    <n v="1"/>
    <n v="244000"/>
    <n v="244000"/>
    <n v="6469063"/>
  </r>
  <r>
    <m/>
    <s v="A"/>
    <x v="4"/>
    <s v="HOTEL APP."/>
    <x v="2"/>
    <n v="6"/>
    <x v="103"/>
    <x v="1"/>
    <s v="C1"/>
    <n v="51.5"/>
    <n v="65.7597744687003"/>
    <x v="13"/>
    <m/>
    <m/>
    <s v="NE"/>
    <s v="MIDDLE"/>
    <s v="ROAD 18M (BUILDINGS)"/>
    <s v="SECOND"/>
    <x v="2"/>
    <n v="0.15"/>
    <n v="2.5000000000000001E-2"/>
    <n v="0.15"/>
    <n v="0.11"/>
    <n v="0.05"/>
    <x v="46"/>
    <x v="3"/>
    <x v="11"/>
    <n v="76850"/>
    <n v="82950"/>
    <n v="6100"/>
    <n v="2958.4999999999995"/>
    <n v="79808.5"/>
    <n v="26336.805"/>
    <n v="84308.5"/>
    <n v="87308.5"/>
    <n v="5027935.5"/>
    <n v="5311435.5"/>
    <n v="5500435.5"/>
    <n v="0"/>
    <n v="427374.51750000002"/>
    <n v="1"/>
    <n v="244000"/>
    <n v="244000"/>
    <n v="5271935.5"/>
  </r>
  <r>
    <m/>
    <s v="A"/>
    <x v="4"/>
    <s v="HOTEL APP."/>
    <x v="3"/>
    <n v="1"/>
    <x v="104"/>
    <x v="1"/>
    <s v="C1"/>
    <n v="68.62"/>
    <n v="87.620111146450768"/>
    <x v="14"/>
    <m/>
    <m/>
    <s v="NE"/>
    <s v="CORNER "/>
    <s v="MAIN GATE &amp; LAKE ENTRANCE"/>
    <s v="THIRD"/>
    <x v="2"/>
    <n v="0.15"/>
    <n v="0.05"/>
    <n v="0.25"/>
    <n v="0.15"/>
    <n v="0.05"/>
    <x v="47"/>
    <x v="3"/>
    <x v="11"/>
    <n v="76850"/>
    <n v="82950"/>
    <n v="6100"/>
    <n v="3965"/>
    <n v="80815"/>
    <n v="26668.95"/>
    <n v="85315"/>
    <n v="88315"/>
    <n v="6788460"/>
    <n v="7166460"/>
    <n v="7418460"/>
    <n v="0"/>
    <n v="577019.10000000009"/>
    <n v="1"/>
    <n v="244000"/>
    <n v="244000"/>
    <n v="7032460"/>
  </r>
  <r>
    <m/>
    <s v="A"/>
    <x v="4"/>
    <s v="HOTEL APP."/>
    <x v="3"/>
    <n v="2"/>
    <x v="105"/>
    <x v="1"/>
    <s v="C1"/>
    <n v="68.599999999999994"/>
    <n v="87.594573369958056"/>
    <x v="14"/>
    <m/>
    <m/>
    <s v="SW"/>
    <s v="CORNER "/>
    <s v="LAYAN VILLAS"/>
    <s v="THIRD"/>
    <x v="2"/>
    <n v="0.06"/>
    <n v="0.05"/>
    <n v="0.2"/>
    <n v="0.15"/>
    <n v="0.05"/>
    <x v="48"/>
    <x v="3"/>
    <x v="11"/>
    <n v="76850"/>
    <n v="82950"/>
    <n v="6100"/>
    <n v="3111"/>
    <n v="79961"/>
    <n v="26387.13"/>
    <n v="84461"/>
    <n v="87461"/>
    <n v="6716724"/>
    <n v="7094724"/>
    <n v="7346724"/>
    <n v="0"/>
    <n v="570921.54"/>
    <n v="1"/>
    <n v="244000"/>
    <n v="244000"/>
    <n v="6960724"/>
  </r>
  <r>
    <m/>
    <s v="A"/>
    <x v="4"/>
    <s v="HOTEL APP."/>
    <x v="3"/>
    <n v="3"/>
    <x v="106"/>
    <x v="1"/>
    <s v="C1"/>
    <n v="50.89"/>
    <n v="64.980872285672973"/>
    <x v="13"/>
    <m/>
    <m/>
    <s v="SW"/>
    <s v="MIDDLE"/>
    <s v="LAYAN VILLAS"/>
    <s v="THIRD"/>
    <x v="2"/>
    <n v="0.06"/>
    <n v="2.5000000000000001E-2"/>
    <n v="0.2"/>
    <n v="0.15"/>
    <n v="0.05"/>
    <x v="49"/>
    <x v="3"/>
    <x v="11"/>
    <n v="76850"/>
    <n v="82950"/>
    <n v="6100"/>
    <n v="2958.5000000000005"/>
    <n v="79808.5"/>
    <n v="26336.805"/>
    <n v="84308.5"/>
    <n v="87308.5"/>
    <n v="5027935.5"/>
    <n v="5311435.5"/>
    <n v="5500435.5"/>
    <n v="0"/>
    <n v="427374.51750000002"/>
    <n v="1"/>
    <n v="244000"/>
    <n v="244000"/>
    <n v="5271935.5"/>
  </r>
  <r>
    <m/>
    <s v="A"/>
    <x v="4"/>
    <s v="HOTEL APP."/>
    <x v="3"/>
    <n v="4"/>
    <x v="107"/>
    <x v="1"/>
    <s v="C1"/>
    <n v="62.84"/>
    <n v="80.239693740060716"/>
    <x v="16"/>
    <m/>
    <m/>
    <s v="SW"/>
    <s v="MIDDLE"/>
    <s v="LAYAN VILLAS"/>
    <s v="THIRD"/>
    <x v="2"/>
    <n v="0.06"/>
    <n v="2.5000000000000001E-2"/>
    <n v="0.2"/>
    <n v="0.15"/>
    <n v="0.05"/>
    <x v="49"/>
    <x v="3"/>
    <x v="11"/>
    <n v="76850"/>
    <n v="82950"/>
    <n v="6100"/>
    <n v="2958.5000000000005"/>
    <n v="79808.5"/>
    <n v="26336.805"/>
    <n v="84308.5"/>
    <n v="87308.5"/>
    <n v="6145254.5"/>
    <n v="6491754.5"/>
    <n v="6722754.5"/>
    <n v="0"/>
    <n v="522346.63250000007"/>
    <n v="1"/>
    <n v="244000"/>
    <n v="244000"/>
    <n v="6389254.5"/>
  </r>
  <r>
    <m/>
    <s v="A"/>
    <x v="4"/>
    <s v="HOTEL APP."/>
    <x v="3"/>
    <n v="5"/>
    <x v="108"/>
    <x v="1"/>
    <s v="C1"/>
    <n v="62.86"/>
    <n v="80.265231516553413"/>
    <x v="16"/>
    <m/>
    <m/>
    <s v="NE"/>
    <s v="MIDDLE"/>
    <s v="ROAD 18M (BUILDINGS)"/>
    <s v="THIRD"/>
    <x v="2"/>
    <n v="0.15"/>
    <n v="2.5000000000000001E-2"/>
    <n v="0.15"/>
    <n v="0.15"/>
    <n v="0.05"/>
    <x v="50"/>
    <x v="3"/>
    <x v="11"/>
    <n v="76850"/>
    <n v="82950"/>
    <n v="6100"/>
    <n v="3202.5"/>
    <n v="80052.5"/>
    <n v="26417.325000000001"/>
    <n v="84552.5"/>
    <n v="87552.5"/>
    <n v="6164042.5"/>
    <n v="6510542.5"/>
    <n v="6741542.5"/>
    <n v="0"/>
    <n v="523943.61250000005"/>
    <n v="1"/>
    <n v="244000"/>
    <n v="244000"/>
    <n v="6408042.5"/>
  </r>
  <r>
    <m/>
    <s v="A"/>
    <x v="4"/>
    <s v="HOTEL APP."/>
    <x v="3"/>
    <n v="6"/>
    <x v="109"/>
    <x v="1"/>
    <s v="C1"/>
    <n v="50.89"/>
    <n v="64.980872285672973"/>
    <x v="13"/>
    <m/>
    <m/>
    <s v="NE"/>
    <s v="MIDDLE"/>
    <s v="ROAD 18M (BUILDINGS)"/>
    <s v="THIRD"/>
    <x v="2"/>
    <n v="0.15"/>
    <n v="2.5000000000000001E-2"/>
    <n v="0.15"/>
    <n v="0.15"/>
    <n v="0.05"/>
    <x v="50"/>
    <x v="3"/>
    <x v="11"/>
    <n v="76850"/>
    <n v="82950"/>
    <n v="6100"/>
    <n v="3202.5"/>
    <n v="80052.5"/>
    <n v="26417.325000000001"/>
    <n v="84552.5"/>
    <n v="87552.5"/>
    <n v="5043307.5"/>
    <n v="5326807.5"/>
    <n v="5515807.5"/>
    <n v="0"/>
    <n v="428681.13750000001"/>
    <n v="1"/>
    <n v="244000"/>
    <n v="244000"/>
    <n v="5287307.5"/>
  </r>
  <r>
    <m/>
    <s v="A"/>
    <x v="4"/>
    <s v="HOTEL APP."/>
    <x v="4"/>
    <n v="1"/>
    <x v="110"/>
    <x v="1"/>
    <s v="C1"/>
    <n v="68.680000000000007"/>
    <n v="87.696724475928875"/>
    <x v="14"/>
    <m/>
    <m/>
    <s v="NE"/>
    <s v="CORNER "/>
    <s v="MAIN GATE &amp; LAKE ENTRANCE"/>
    <s v="FORTH"/>
    <x v="2"/>
    <n v="0.15"/>
    <n v="0.05"/>
    <n v="0.25"/>
    <n v="0.06"/>
    <n v="0.05"/>
    <x v="51"/>
    <x v="3"/>
    <x v="11"/>
    <n v="76850"/>
    <n v="82950"/>
    <n v="6100"/>
    <n v="3416.0000000000005"/>
    <n v="80266"/>
    <n v="26487.780000000002"/>
    <n v="84766"/>
    <n v="87766"/>
    <n v="6742344"/>
    <n v="7120344"/>
    <n v="7372344"/>
    <n v="0"/>
    <n v="573099.24"/>
    <n v="1"/>
    <n v="244000"/>
    <n v="244000"/>
    <n v="6986344"/>
  </r>
  <r>
    <m/>
    <s v="A"/>
    <x v="4"/>
    <s v="HOTEL APP."/>
    <x v="4"/>
    <n v="2"/>
    <x v="111"/>
    <x v="1"/>
    <s v="C1"/>
    <n v="68.680000000000007"/>
    <n v="87.696724475928875"/>
    <x v="14"/>
    <m/>
    <m/>
    <s v="SW"/>
    <s v="CORNER "/>
    <s v="LAYAN VILLAS"/>
    <s v="FORTH"/>
    <x v="2"/>
    <n v="0.06"/>
    <n v="0.05"/>
    <n v="0.2"/>
    <n v="0.06"/>
    <n v="0.05"/>
    <x v="52"/>
    <x v="3"/>
    <x v="11"/>
    <n v="76850"/>
    <n v="82950"/>
    <n v="6100"/>
    <n v="2562"/>
    <n v="79412"/>
    <n v="26205.960000000003"/>
    <n v="83912"/>
    <n v="86912"/>
    <n v="6670608"/>
    <n v="7048608"/>
    <n v="7300608"/>
    <n v="0"/>
    <n v="567001.68000000005"/>
    <n v="1"/>
    <n v="244000"/>
    <n v="244000"/>
    <n v="6914608"/>
  </r>
  <r>
    <m/>
    <s v="A"/>
    <x v="4"/>
    <s v="HOTEL APP."/>
    <x v="4"/>
    <n v="3"/>
    <x v="112"/>
    <x v="1"/>
    <s v="C1"/>
    <n v="51.5"/>
    <n v="65.7597744687003"/>
    <x v="13"/>
    <m/>
    <m/>
    <s v="SW"/>
    <s v="MIDDLE"/>
    <s v="LAYAN VILLAS"/>
    <s v="FORTH"/>
    <x v="2"/>
    <n v="0.06"/>
    <n v="2.5000000000000001E-2"/>
    <n v="0.2"/>
    <n v="0.06"/>
    <n v="0.05"/>
    <x v="53"/>
    <x v="3"/>
    <x v="11"/>
    <n v="76850"/>
    <n v="82950"/>
    <n v="6100"/>
    <n v="2409.5"/>
    <n v="79259.5"/>
    <n v="26155.635000000002"/>
    <n v="83759.5"/>
    <n v="86759.5"/>
    <n v="4993348.5"/>
    <n v="5276848.5"/>
    <n v="5465848.5"/>
    <n v="0"/>
    <n v="424434.62250000006"/>
    <n v="1"/>
    <n v="244000"/>
    <n v="244000"/>
    <n v="5237348.5"/>
  </r>
  <r>
    <m/>
    <s v="A"/>
    <x v="4"/>
    <s v="HOTEL APP."/>
    <x v="4"/>
    <n v="4"/>
    <x v="113"/>
    <x v="1"/>
    <s v="C1"/>
    <n v="62.97"/>
    <n v="80.405689287263257"/>
    <x v="16"/>
    <m/>
    <m/>
    <s v="SW"/>
    <s v="MIDDLE"/>
    <s v="LAYAN VILLAS"/>
    <s v="FORTH"/>
    <x v="2"/>
    <n v="0.06"/>
    <n v="2.5000000000000001E-2"/>
    <n v="0.2"/>
    <n v="0.06"/>
    <n v="0.05"/>
    <x v="53"/>
    <x v="3"/>
    <x v="11"/>
    <n v="76850"/>
    <n v="82950"/>
    <n v="6100"/>
    <n v="2409.5"/>
    <n v="79259.5"/>
    <n v="26155.635000000002"/>
    <n v="83759.5"/>
    <n v="86759.5"/>
    <n v="6102981.5"/>
    <n v="6449481.5"/>
    <n v="6680481.5"/>
    <n v="0"/>
    <n v="518753.42750000005"/>
    <n v="1"/>
    <n v="244000"/>
    <n v="244000"/>
    <n v="6346981.5"/>
  </r>
  <r>
    <m/>
    <s v="A"/>
    <x v="4"/>
    <s v="HOTEL APP."/>
    <x v="4"/>
    <n v="5"/>
    <x v="114"/>
    <x v="1"/>
    <s v="C1"/>
    <n v="62.97"/>
    <n v="80.405689287263257"/>
    <x v="16"/>
    <m/>
    <m/>
    <s v="NE"/>
    <s v="MIDDLE"/>
    <s v="ROAD 18M (BUILDINGS)"/>
    <s v="FORTH"/>
    <x v="2"/>
    <n v="0.15"/>
    <n v="2.5000000000000001E-2"/>
    <n v="0.15"/>
    <n v="0.06"/>
    <n v="0.05"/>
    <x v="54"/>
    <x v="3"/>
    <x v="11"/>
    <n v="76850"/>
    <n v="82950"/>
    <n v="6100"/>
    <n v="2653.4999999999995"/>
    <n v="79503.5"/>
    <n v="26236.155000000002"/>
    <n v="84003.5"/>
    <n v="87003.5"/>
    <n v="6121769.5"/>
    <n v="6468269.5"/>
    <n v="6699269.5"/>
    <n v="0"/>
    <n v="520350.40750000003"/>
    <n v="1"/>
    <n v="244000"/>
    <n v="244000"/>
    <n v="6365769.5"/>
  </r>
  <r>
    <m/>
    <s v="A"/>
    <x v="4"/>
    <s v="HOTEL APP."/>
    <x v="4"/>
    <n v="6"/>
    <x v="115"/>
    <x v="1"/>
    <s v="C1"/>
    <n v="51.5"/>
    <n v="65.7597744687003"/>
    <x v="13"/>
    <m/>
    <m/>
    <s v="NE"/>
    <s v="MIDDLE"/>
    <s v="ROAD 18M (BUILDINGS)"/>
    <s v="FORTH"/>
    <x v="2"/>
    <n v="0.15"/>
    <n v="2.5000000000000001E-2"/>
    <n v="0.15"/>
    <n v="0.06"/>
    <n v="0.05"/>
    <x v="54"/>
    <x v="3"/>
    <x v="11"/>
    <n v="76850"/>
    <n v="82950"/>
    <n v="6100"/>
    <n v="2653.4999999999995"/>
    <n v="79503.5"/>
    <n v="26236.155000000002"/>
    <n v="84003.5"/>
    <n v="87003.5"/>
    <n v="5008720.5"/>
    <n v="5292220.5"/>
    <n v="5481220.5"/>
    <n v="0"/>
    <n v="425741.24250000005"/>
    <n v="1"/>
    <n v="244000"/>
    <n v="244000"/>
    <n v="5252720.5"/>
  </r>
  <r>
    <s v="A'"/>
    <s v="A"/>
    <x v="5"/>
    <s v="RESIDENTIAL"/>
    <x v="0"/>
    <n v="1"/>
    <x v="116"/>
    <x v="1"/>
    <s v="C1"/>
    <n v="60.98"/>
    <n v="66.845201763160503"/>
    <x v="3"/>
    <n v="23.818100000000001"/>
    <m/>
    <s v="NE"/>
    <s v="MIDDLE"/>
    <s v="ROAD 18M (BUILDINGS)"/>
    <s v="GROUND"/>
    <x v="2"/>
    <n v="0.15"/>
    <n v="2.5000000000000001E-2"/>
    <n v="0.15"/>
    <n v="0.05"/>
    <n v="0.05"/>
    <x v="39"/>
    <x v="0"/>
    <x v="12"/>
    <n v="50150"/>
    <n v="56050"/>
    <n v="5900"/>
    <n v="2507.4999999999995"/>
    <n v="52657.5"/>
    <n v="17376.975000000002"/>
    <n v="57157.5"/>
    <n v="60157.5"/>
    <n v="3949312.5"/>
    <n v="4286812.5"/>
    <n v="4511812.5"/>
    <n v="413886.52824750007"/>
    <n v="370871.91740103753"/>
    <n v="1"/>
    <n v="236000"/>
    <n v="236000"/>
    <n v="4599199.0282474998"/>
  </r>
  <r>
    <m/>
    <s v="A"/>
    <x v="5"/>
    <s v="RESIDENTIAL"/>
    <x v="0"/>
    <n v="2"/>
    <x v="117"/>
    <x v="0"/>
    <s v="C1"/>
    <n v="89.96"/>
    <n v="98.6125672452266"/>
    <x v="2"/>
    <n v="50.540100000000002"/>
    <m/>
    <s v="SW"/>
    <s v="MIDDLE"/>
    <s v="FENCE"/>
    <s v="GROUND"/>
    <x v="1"/>
    <n v="0.06"/>
    <n v="2.5000000000000001E-2"/>
    <n v="0.1"/>
    <n v="0.05"/>
    <n v="0.04"/>
    <x v="55"/>
    <x v="0"/>
    <x v="3"/>
    <n v="42500"/>
    <n v="47500"/>
    <n v="5000"/>
    <n v="1374.9999999999998"/>
    <n v="43875"/>
    <n v="14478.75"/>
    <n v="48375"/>
    <n v="51375"/>
    <n v="4870125"/>
    <n v="5369625"/>
    <n v="5702625"/>
    <n v="731757.47287499998"/>
    <n v="476160.01019437501"/>
    <n v="1"/>
    <n v="200000"/>
    <n v="200000"/>
    <n v="5801882.472875"/>
  </r>
  <r>
    <m/>
    <s v="A"/>
    <x v="5"/>
    <s v="RESIDENTIAL"/>
    <x v="0"/>
    <n v="3"/>
    <x v="118"/>
    <x v="0"/>
    <s v="C1"/>
    <n v="97.98"/>
    <n v="107.40394996317589"/>
    <x v="8"/>
    <n v="50.705300000000001"/>
    <m/>
    <s v="SW"/>
    <s v="MIDDLE"/>
    <s v="SEMI LAKE AND FENCE"/>
    <s v="GROUND"/>
    <x v="1"/>
    <n v="0.06"/>
    <n v="2.5000000000000001E-2"/>
    <n v="0.25"/>
    <n v="0.05"/>
    <n v="0.04"/>
    <x v="39"/>
    <x v="0"/>
    <x v="12"/>
    <n v="50150"/>
    <n v="56050"/>
    <n v="5900"/>
    <n v="2507.4999999999995"/>
    <n v="52657.5"/>
    <n v="17376.975000000002"/>
    <n v="57157.5"/>
    <n v="60157.5"/>
    <n v="6371557.5"/>
    <n v="6916057.5"/>
    <n v="7279057.5"/>
    <n v="881104.73046750017"/>
    <n v="616476.28958973754"/>
    <n v="1"/>
    <n v="236000"/>
    <n v="236000"/>
    <n v="7488662.2304675002"/>
  </r>
  <r>
    <m/>
    <s v="A"/>
    <x v="5"/>
    <s v="RESIDENTIAL"/>
    <x v="0"/>
    <n v="4"/>
    <x v="119"/>
    <x v="0"/>
    <s v="C1"/>
    <n v="98.17"/>
    <n v="107.61222461609489"/>
    <x v="8"/>
    <n v="31.597200000000001"/>
    <m/>
    <s v="NE"/>
    <s v="MIDDLE"/>
    <s v="ROAD 18M (BUILDINGS)"/>
    <s v="GROUND"/>
    <x v="1"/>
    <n v="0.15"/>
    <n v="2.5000000000000001E-2"/>
    <n v="0.15"/>
    <n v="0.05"/>
    <n v="0.04"/>
    <x v="56"/>
    <x v="0"/>
    <x v="1"/>
    <n v="48450.000000000007"/>
    <n v="54150.000000000007"/>
    <n v="5700"/>
    <n v="2365.4999999999995"/>
    <n v="50815.500000000007"/>
    <n v="16769.115000000002"/>
    <n v="55315.500000000007"/>
    <n v="58315.500000000007"/>
    <n v="6148675.5000000009"/>
    <n v="6693175.5000000009"/>
    <n v="7056175.5000000009"/>
    <n v="529857.08047800011"/>
    <n v="567675.26934063016"/>
    <n v="1"/>
    <n v="228000.00000000003"/>
    <n v="228000.00000000003"/>
    <n v="6906532.5804780014"/>
  </r>
  <r>
    <m/>
    <s v="A"/>
    <x v="5"/>
    <s v="RESIDENTIAL"/>
    <x v="1"/>
    <n v="1"/>
    <x v="120"/>
    <x v="1"/>
    <s v="C1"/>
    <n v="61.82"/>
    <n v="67.765994965539235"/>
    <x v="5"/>
    <m/>
    <m/>
    <s v="NE"/>
    <s v="MIDDLE"/>
    <s v="ROAD 18M (BUILDINGS)"/>
    <s v="FIRST"/>
    <x v="2"/>
    <n v="0.15"/>
    <n v="2.5000000000000001E-2"/>
    <n v="0.15"/>
    <n v="7.0000000000000007E-2"/>
    <n v="0.05"/>
    <x v="43"/>
    <x v="0"/>
    <x v="10"/>
    <n v="53550"/>
    <n v="59850"/>
    <n v="6300"/>
    <n v="2803.4999999999995"/>
    <n v="56353.5"/>
    <n v="18596.655000000002"/>
    <n v="60853.5"/>
    <n v="63853.5"/>
    <n v="4282866"/>
    <n v="4624866"/>
    <n v="4852866"/>
    <n v="0"/>
    <n v="364043.61000000004"/>
    <n v="1"/>
    <n v="252000"/>
    <n v="252000"/>
    <n v="4534866"/>
  </r>
  <r>
    <m/>
    <s v="A"/>
    <x v="5"/>
    <s v="RESIDENTIAL"/>
    <x v="1"/>
    <n v="2"/>
    <x v="121"/>
    <x v="0"/>
    <s v="C1"/>
    <n v="89.05"/>
    <n v="97.615041275982989"/>
    <x v="4"/>
    <m/>
    <m/>
    <s v="SW"/>
    <s v="MIDDLE"/>
    <s v="LAYAN VILLAS"/>
    <s v="FIRST"/>
    <x v="1"/>
    <n v="0.06"/>
    <n v="2.5000000000000001E-2"/>
    <n v="0.2"/>
    <n v="7.0000000000000007E-2"/>
    <n v="0.04"/>
    <x v="53"/>
    <x v="0"/>
    <x v="5"/>
    <n v="46750.000000000007"/>
    <n v="52250.000000000007"/>
    <n v="5500"/>
    <n v="2172.5"/>
    <n v="48922.500000000007"/>
    <n v="16144.425000000003"/>
    <n v="53422.500000000007"/>
    <n v="56422.500000000007"/>
    <n v="5381475.0000000009"/>
    <n v="5876475.0000000009"/>
    <n v="6206475.0000000009"/>
    <n v="0"/>
    <n v="457425.37500000012"/>
    <n v="1"/>
    <n v="220000.00000000003"/>
    <n v="220000.00000000003"/>
    <n v="5601475.0000000009"/>
  </r>
  <r>
    <m/>
    <s v="A"/>
    <x v="5"/>
    <s v="RESIDENTIAL"/>
    <x v="1"/>
    <n v="3"/>
    <x v="122"/>
    <x v="0"/>
    <s v="C1"/>
    <n v="97.06"/>
    <n v="106.39546217009443"/>
    <x v="10"/>
    <m/>
    <m/>
    <s v="SW"/>
    <s v="MIDDLE"/>
    <s v="SEMI LAKE AND FENCE"/>
    <s v="FIRST"/>
    <x v="1"/>
    <n v="0.06"/>
    <n v="2.5000000000000001E-2"/>
    <n v="0.25"/>
    <n v="7.0000000000000007E-2"/>
    <n v="0.04"/>
    <x v="43"/>
    <x v="0"/>
    <x v="10"/>
    <n v="53550"/>
    <n v="59850"/>
    <n v="6300"/>
    <n v="2803.4999999999995"/>
    <n v="56353.5"/>
    <n v="18596.655000000002"/>
    <n v="60853.5"/>
    <n v="63853.5"/>
    <n v="6706066.5"/>
    <n v="7241566.5"/>
    <n v="7598566.5"/>
    <n v="0"/>
    <n v="570015.65250000008"/>
    <n v="1"/>
    <n v="252000"/>
    <n v="252000"/>
    <n v="6958066.5"/>
  </r>
  <r>
    <m/>
    <s v="A"/>
    <x v="5"/>
    <s v="RESIDENTIAL"/>
    <x v="1"/>
    <n v="4"/>
    <x v="123"/>
    <x v="0"/>
    <s v="C1"/>
    <n v="97.09"/>
    <n v="106.42834764160796"/>
    <x v="10"/>
    <m/>
    <m/>
    <s v="NE"/>
    <s v="MIDDLE"/>
    <s v="ROAD 18M (BUILDINGS)"/>
    <s v="FIRST"/>
    <x v="1"/>
    <n v="0.15"/>
    <n v="2.5000000000000001E-2"/>
    <n v="0.15"/>
    <n v="7.0000000000000007E-2"/>
    <n v="0.04"/>
    <x v="54"/>
    <x v="0"/>
    <x v="4"/>
    <n v="51850"/>
    <n v="57950"/>
    <n v="6100"/>
    <n v="2653.4999999999995"/>
    <n v="54503.5"/>
    <n v="17986.155000000002"/>
    <n v="59003.5"/>
    <n v="62003.5"/>
    <n v="6485916.5"/>
    <n v="7021416.5"/>
    <n v="7378416.5"/>
    <n v="0"/>
    <n v="551302.90250000008"/>
    <n v="1"/>
    <n v="244000"/>
    <n v="244000"/>
    <n v="6729916.5"/>
  </r>
  <r>
    <m/>
    <s v="A"/>
    <x v="5"/>
    <s v="RESIDENTIAL"/>
    <x v="2"/>
    <n v="1"/>
    <x v="124"/>
    <x v="0"/>
    <s v="C1"/>
    <n v="90.9"/>
    <n v="99.642978685983763"/>
    <x v="7"/>
    <m/>
    <m/>
    <s v="NE"/>
    <s v="MIDDLE"/>
    <s v="ROAD 18M (BUILDINGS)"/>
    <s v="SECOND"/>
    <x v="1"/>
    <n v="0.15"/>
    <n v="2.5000000000000001E-2"/>
    <n v="0.15"/>
    <n v="0.11"/>
    <n v="0.04"/>
    <x v="57"/>
    <x v="0"/>
    <x v="7"/>
    <n v="61625"/>
    <n v="68875"/>
    <n v="7250"/>
    <n v="3443.7499999999995"/>
    <n v="65068.75"/>
    <n v="21472.6875"/>
    <n v="69568.75"/>
    <n v="72568.75"/>
    <n v="7287700"/>
    <n v="7791700"/>
    <n v="8127700"/>
    <n v="0"/>
    <n v="619454.5"/>
    <n v="1"/>
    <n v="290000"/>
    <n v="290000"/>
    <n v="7577700"/>
  </r>
  <r>
    <m/>
    <s v="A"/>
    <x v="5"/>
    <s v="RESIDENTIAL"/>
    <x v="2"/>
    <n v="2"/>
    <x v="125"/>
    <x v="0"/>
    <s v="C1"/>
    <n v="90.91"/>
    <n v="99.653940509821595"/>
    <x v="7"/>
    <m/>
    <m/>
    <s v="SW"/>
    <s v="MIDDLE"/>
    <s v="LAYAN VILLAS"/>
    <s v="SECOND"/>
    <x v="1"/>
    <n v="0.06"/>
    <n v="2.5000000000000001E-2"/>
    <n v="0.2"/>
    <n v="0.11"/>
    <n v="0.04"/>
    <x v="58"/>
    <x v="0"/>
    <x v="4"/>
    <n v="51850"/>
    <n v="57950"/>
    <n v="6100"/>
    <n v="2653.5"/>
    <n v="54503.5"/>
    <n v="17986.155000000002"/>
    <n v="59003.5"/>
    <n v="62003.5"/>
    <n v="6104392"/>
    <n v="6608392"/>
    <n v="6944392"/>
    <n v="0"/>
    <n v="518873.32000000007"/>
    <n v="1"/>
    <n v="244000"/>
    <n v="244000"/>
    <n v="6348392"/>
  </r>
  <r>
    <m/>
    <s v="A"/>
    <x v="5"/>
    <s v="RESIDENTIAL"/>
    <x v="2"/>
    <n v="3"/>
    <x v="126"/>
    <x v="0"/>
    <s v="C1"/>
    <n v="98.93"/>
    <n v="108.44532322777088"/>
    <x v="11"/>
    <m/>
    <m/>
    <s v="SW"/>
    <s v="MIDDLE"/>
    <s v="SEMI LAKE AND FENCE"/>
    <s v="SECOND"/>
    <x v="1"/>
    <n v="0.06"/>
    <n v="2.5000000000000001E-2"/>
    <n v="0.25"/>
    <n v="0.11"/>
    <n v="0.04"/>
    <x v="46"/>
    <x v="0"/>
    <x v="7"/>
    <n v="61625"/>
    <n v="68875"/>
    <n v="7250"/>
    <n v="3516.2499999999995"/>
    <n v="65141.25"/>
    <n v="21496.612499999999"/>
    <n v="69641.25"/>
    <n v="72641.25"/>
    <n v="7947232.5"/>
    <n v="8496232.5"/>
    <n v="8862232.5"/>
    <n v="0"/>
    <n v="675514.76250000007"/>
    <n v="1"/>
    <n v="290000"/>
    <n v="290000"/>
    <n v="8237232.5"/>
  </r>
  <r>
    <m/>
    <s v="A"/>
    <x v="5"/>
    <s v="RESIDENTIAL"/>
    <x v="2"/>
    <n v="4"/>
    <x v="127"/>
    <x v="0"/>
    <s v="C1"/>
    <n v="98.95"/>
    <n v="108.46724687544656"/>
    <x v="11"/>
    <m/>
    <m/>
    <s v="NE"/>
    <s v="MIDDLE"/>
    <s v="ROAD 18M (BUILDINGS)"/>
    <s v="SECOND"/>
    <x v="1"/>
    <n v="0.15"/>
    <n v="2.5000000000000001E-2"/>
    <n v="0.15"/>
    <n v="0.11"/>
    <n v="0.04"/>
    <x v="57"/>
    <x v="0"/>
    <x v="7"/>
    <n v="61625"/>
    <n v="68875"/>
    <n v="7250"/>
    <n v="3443.7499999999995"/>
    <n v="65068.75"/>
    <n v="21472.6875"/>
    <n v="69568.75"/>
    <n v="72568.75"/>
    <n v="7938387.5"/>
    <n v="8487387.5"/>
    <n v="8853387.5"/>
    <n v="0"/>
    <n v="674762.9375"/>
    <n v="1"/>
    <n v="290000"/>
    <n v="290000"/>
    <n v="8228387.5"/>
  </r>
  <r>
    <m/>
    <s v="A"/>
    <x v="5"/>
    <s v="RESIDENTIAL"/>
    <x v="3"/>
    <n v="1"/>
    <x v="128"/>
    <x v="0"/>
    <s v="C1"/>
    <n v="89.05"/>
    <n v="97.615041275982989"/>
    <x v="4"/>
    <m/>
    <m/>
    <s v="NE"/>
    <s v="MIDDLE"/>
    <s v="ROAD 18M (BUILDINGS)"/>
    <s v="THIRD"/>
    <x v="1"/>
    <n v="0.15"/>
    <n v="2.5000000000000001E-2"/>
    <n v="0.15"/>
    <n v="0.15"/>
    <n v="0.04"/>
    <x v="20"/>
    <x v="1"/>
    <x v="3"/>
    <n v="42500"/>
    <n v="47500"/>
    <n v="5000"/>
    <n v="2575"/>
    <n v="45075"/>
    <n v="14874.75"/>
    <n v="49575"/>
    <n v="52575"/>
    <n v="4958250"/>
    <n v="5453250"/>
    <n v="5783250"/>
    <n v="0"/>
    <n v="421451.25000000006"/>
    <n v="1"/>
    <n v="200000"/>
    <n v="200000"/>
    <n v="5158250"/>
  </r>
  <r>
    <m/>
    <s v="A"/>
    <x v="5"/>
    <s v="RESIDENTIAL"/>
    <x v="3"/>
    <n v="2"/>
    <x v="129"/>
    <x v="0"/>
    <s v="C1"/>
    <n v="89.05"/>
    <n v="97.615041275982989"/>
    <x v="4"/>
    <m/>
    <m/>
    <s v="SW"/>
    <s v="MIDDLE"/>
    <s v="LAYAN VILLAS"/>
    <s v="THIRD"/>
    <x v="1"/>
    <n v="0.06"/>
    <n v="2.5000000000000001E-2"/>
    <n v="0.2"/>
    <n v="0.15"/>
    <n v="0.04"/>
    <x v="59"/>
    <x v="0"/>
    <x v="7"/>
    <n v="61625"/>
    <n v="68875"/>
    <n v="7250"/>
    <n v="3443.7500000000005"/>
    <n v="65068.75"/>
    <n v="21472.6875"/>
    <n v="69568.75"/>
    <n v="72568.75"/>
    <n v="7157562.5"/>
    <n v="7652562.5"/>
    <n v="7982562.5"/>
    <n v="0"/>
    <n v="608392.8125"/>
    <n v="1"/>
    <n v="290000"/>
    <n v="290000"/>
    <n v="7447562.5"/>
  </r>
  <r>
    <m/>
    <s v="A"/>
    <x v="5"/>
    <s v="RESIDENTIAL"/>
    <x v="3"/>
    <n v="3"/>
    <x v="130"/>
    <x v="0"/>
    <s v="C1"/>
    <n v="97.09"/>
    <n v="106.42834764160796"/>
    <x v="10"/>
    <m/>
    <m/>
    <s v="SW"/>
    <s v="MIDDLE"/>
    <s v="SEMI LAKE AND FENCE"/>
    <s v="THIRD"/>
    <x v="1"/>
    <n v="0.06"/>
    <n v="2.5000000000000001E-2"/>
    <n v="0.25"/>
    <n v="0.15"/>
    <n v="0.04"/>
    <x v="50"/>
    <x v="1"/>
    <x v="3"/>
    <n v="42500"/>
    <n v="47500"/>
    <n v="5000"/>
    <n v="2625"/>
    <n v="45125"/>
    <n v="14891.25"/>
    <n v="49625"/>
    <n v="52625"/>
    <n v="5369875"/>
    <n v="5905375"/>
    <n v="6262375"/>
    <n v="0"/>
    <n v="456439.37500000006"/>
    <n v="1"/>
    <n v="200000"/>
    <n v="200000"/>
    <n v="5569875"/>
  </r>
  <r>
    <m/>
    <s v="A"/>
    <x v="5"/>
    <s v="RESIDENTIAL"/>
    <x v="3"/>
    <n v="4"/>
    <x v="131"/>
    <x v="0"/>
    <s v="C1"/>
    <n v="97.09"/>
    <n v="106.42834764160796"/>
    <x v="10"/>
    <m/>
    <m/>
    <s v="NE"/>
    <s v="MIDDLE"/>
    <s v="ROAD 18M (BUILDINGS)"/>
    <s v="THIRD"/>
    <x v="1"/>
    <n v="0.15"/>
    <n v="2.5000000000000001E-2"/>
    <n v="0.15"/>
    <n v="0.15"/>
    <n v="0.04"/>
    <x v="20"/>
    <x v="1"/>
    <x v="3"/>
    <n v="42500"/>
    <n v="47500"/>
    <n v="5000"/>
    <n v="2575"/>
    <n v="45075"/>
    <n v="14874.75"/>
    <n v="49575"/>
    <n v="52575"/>
    <n v="5363925"/>
    <n v="5899425"/>
    <n v="6256425"/>
    <n v="0"/>
    <n v="455933.62500000006"/>
    <n v="1"/>
    <n v="200000"/>
    <n v="200000"/>
    <n v="5563925"/>
  </r>
  <r>
    <m/>
    <s v="A"/>
    <x v="5"/>
    <s v="RESIDENTIAL"/>
    <x v="4"/>
    <n v="1"/>
    <x v="132"/>
    <x v="0"/>
    <s v="C1"/>
    <n v="89.12"/>
    <n v="97.691774042847882"/>
    <x v="4"/>
    <m/>
    <m/>
    <s v="NE"/>
    <s v="MIDDLE"/>
    <s v="ROAD 18M (BUILDINGS)"/>
    <s v="FORTH"/>
    <x v="1"/>
    <n v="0.15"/>
    <n v="2.5000000000000001E-2"/>
    <n v="0.15"/>
    <n v="0.06"/>
    <n v="0.04"/>
    <x v="39"/>
    <x v="0"/>
    <x v="12"/>
    <n v="50150"/>
    <n v="56050"/>
    <n v="5900"/>
    <n v="2507.4999999999995"/>
    <n v="52657.5"/>
    <n v="17376.975000000002"/>
    <n v="57157.5"/>
    <n v="60157.5"/>
    <n v="5792325"/>
    <n v="6287325"/>
    <n v="6617325"/>
    <n v="0"/>
    <n v="492347.62500000006"/>
    <n v="1"/>
    <n v="236000"/>
    <n v="236000"/>
    <n v="6028325"/>
  </r>
  <r>
    <m/>
    <s v="A"/>
    <x v="5"/>
    <s v="RESIDENTIAL"/>
    <x v="4"/>
    <n v="2"/>
    <x v="133"/>
    <x v="0"/>
    <s v="C1"/>
    <n v="90.52"/>
    <n v="99.22642938014576"/>
    <x v="2"/>
    <m/>
    <m/>
    <s v="SW"/>
    <s v="MIDDLE"/>
    <s v="LAYAN VILLAS"/>
    <s v="FORTH"/>
    <x v="1"/>
    <n v="0.06"/>
    <n v="2.5000000000000001E-2"/>
    <n v="0.2"/>
    <n v="0.06"/>
    <n v="0.04"/>
    <x v="4"/>
    <x v="0"/>
    <x v="6"/>
    <n v="44625"/>
    <n v="49875"/>
    <n v="5250"/>
    <n v="2021.25"/>
    <n v="46646.25"/>
    <n v="15393.262500000001"/>
    <n v="51146.25"/>
    <n v="54146.25"/>
    <n v="5177733.75"/>
    <n v="5677233.75"/>
    <n v="6010233.75"/>
    <n v="0"/>
    <n v="440107.36875000002"/>
    <n v="1"/>
    <n v="210000"/>
    <n v="210000"/>
    <n v="5387733.75"/>
  </r>
  <r>
    <m/>
    <s v="A"/>
    <x v="5"/>
    <s v="RESIDENTIAL"/>
    <x v="4"/>
    <n v="3"/>
    <x v="134"/>
    <x v="0"/>
    <s v="C1"/>
    <n v="98.57"/>
    <n v="108.05069756960856"/>
    <x v="8"/>
    <m/>
    <m/>
    <s v="SW"/>
    <s v="MIDDLE"/>
    <s v="SEMI LAKE AND FENCE"/>
    <s v="FORTH"/>
    <x v="1"/>
    <n v="0.06"/>
    <n v="2.5000000000000001E-2"/>
    <n v="0.25"/>
    <n v="0.06"/>
    <n v="0.04"/>
    <x v="54"/>
    <x v="0"/>
    <x v="4"/>
    <n v="51850"/>
    <n v="57950"/>
    <n v="6100"/>
    <n v="2653.4999999999995"/>
    <n v="54503.5"/>
    <n v="17986.155000000002"/>
    <n v="59003.5"/>
    <n v="62003.5"/>
    <n v="6594923.5"/>
    <n v="7139423.5"/>
    <n v="7502423.5"/>
    <n v="0"/>
    <n v="560568.49750000006"/>
    <n v="1"/>
    <n v="244000"/>
    <n v="244000"/>
    <n v="6838923.5"/>
  </r>
  <r>
    <m/>
    <s v="A"/>
    <x v="5"/>
    <s v="RESIDENTIAL"/>
    <x v="4"/>
    <n v="4"/>
    <x v="135"/>
    <x v="0"/>
    <s v="C1"/>
    <n v="97.17"/>
    <n v="106.5160422323107"/>
    <x v="9"/>
    <m/>
    <m/>
    <s v="NE"/>
    <s v="MIDDLE"/>
    <s v="ROAD 18M (BUILDINGS)"/>
    <s v="FORTH"/>
    <x v="1"/>
    <n v="0.15"/>
    <n v="2.5000000000000001E-2"/>
    <n v="0.15"/>
    <n v="0.06"/>
    <n v="0.04"/>
    <x v="39"/>
    <x v="0"/>
    <x v="12"/>
    <n v="50150"/>
    <n v="56050"/>
    <n v="5900"/>
    <n v="2507.4999999999995"/>
    <n v="52657.5"/>
    <n v="17376.975000000002"/>
    <n v="57157.5"/>
    <n v="60157.5"/>
    <n v="6318900"/>
    <n v="6858900"/>
    <n v="7218900"/>
    <n v="0"/>
    <n v="537106.5"/>
    <n v="1"/>
    <n v="236000"/>
    <n v="236000"/>
    <n v="6554900"/>
  </r>
  <r>
    <s v="A'"/>
    <s v="A"/>
    <x v="6"/>
    <s v="RESIDENTIAL"/>
    <x v="0"/>
    <n v="1"/>
    <x v="136"/>
    <x v="0"/>
    <s v="C1"/>
    <n v="98.17"/>
    <n v="107.61045029101562"/>
    <x v="8"/>
    <n v="31.597899999999999"/>
    <m/>
    <s v="NE"/>
    <s v="MIDDLE"/>
    <s v="ROAD 18M (BUILDINGS)"/>
    <s v="GROUND"/>
    <x v="1"/>
    <n v="0.15"/>
    <n v="2.5000000000000001E-2"/>
    <n v="0.15"/>
    <n v="0.05"/>
    <n v="0.04"/>
    <x v="56"/>
    <x v="0"/>
    <x v="1"/>
    <n v="48450.000000000007"/>
    <n v="54150.000000000007"/>
    <n v="5700"/>
    <n v="2365.4999999999995"/>
    <n v="50815.500000000007"/>
    <n v="16769.115000000002"/>
    <n v="55315.500000000007"/>
    <n v="58315.500000000007"/>
    <n v="6148675.5000000009"/>
    <n v="6693175.5000000009"/>
    <n v="7056175.5000000009"/>
    <n v="529868.81885849999"/>
    <n v="567676.2671029726"/>
    <n v="1"/>
    <n v="228000.00000000003"/>
    <n v="228000.00000000003"/>
    <n v="6906544.3188585006"/>
  </r>
  <r>
    <m/>
    <s v="A"/>
    <x v="6"/>
    <s v="RESIDENTIAL"/>
    <x v="0"/>
    <n v="2"/>
    <x v="137"/>
    <x v="0"/>
    <s v="C1"/>
    <n v="97.98"/>
    <n v="107.40217907215759"/>
    <x v="8"/>
    <n v="50.705300000000001"/>
    <m/>
    <s v="SW"/>
    <s v="MIDDLE"/>
    <s v="LAKE A-2"/>
    <s v="GROUND"/>
    <x v="1"/>
    <n v="0.06"/>
    <n v="2.5000000000000001E-2"/>
    <n v="0.4"/>
    <n v="0.05"/>
    <n v="0.04"/>
    <x v="60"/>
    <x v="1"/>
    <x v="3"/>
    <n v="42500"/>
    <n v="47500"/>
    <n v="5000"/>
    <n v="2875.0000000000005"/>
    <n v="45375"/>
    <n v="14973.75"/>
    <n v="49875"/>
    <n v="52875"/>
    <n v="5490375"/>
    <n v="6034875"/>
    <n v="6397875"/>
    <n v="759248.48587500001"/>
    <n v="531217.99629937508"/>
    <n v="1"/>
    <n v="200000"/>
    <n v="200000"/>
    <n v="6449623.4858750002"/>
  </r>
  <r>
    <m/>
    <s v="A"/>
    <x v="6"/>
    <s v="RESIDENTIAL"/>
    <x v="0"/>
    <n v="3"/>
    <x v="138"/>
    <x v="0"/>
    <s v="C1"/>
    <n v="89.96"/>
    <n v="98.610941307729092"/>
    <x v="2"/>
    <n v="50.503900000000002"/>
    <m/>
    <s v="SW"/>
    <s v="MIDDLE"/>
    <s v="LAKE A-2"/>
    <s v="GROUND"/>
    <x v="1"/>
    <n v="0.06"/>
    <n v="2.5000000000000001E-2"/>
    <n v="0.4"/>
    <n v="0.05"/>
    <n v="0.04"/>
    <x v="60"/>
    <x v="1"/>
    <x v="3"/>
    <n v="42500"/>
    <n v="47500"/>
    <n v="5000"/>
    <n v="2875.0000000000005"/>
    <n v="45375"/>
    <n v="14973.75"/>
    <n v="49875"/>
    <n v="52875"/>
    <n v="5036625"/>
    <n v="5536125"/>
    <n v="5869125"/>
    <n v="756232.77262499998"/>
    <n v="492392.91067312506"/>
    <n v="1"/>
    <n v="200000"/>
    <n v="200000"/>
    <n v="5992857.7726250002"/>
  </r>
  <r>
    <m/>
    <s v="A"/>
    <x v="6"/>
    <s v="RESIDENTIAL"/>
    <x v="0"/>
    <n v="4"/>
    <x v="139"/>
    <x v="1"/>
    <s v="C1"/>
    <n v="60.98"/>
    <n v="66.844099610330375"/>
    <x v="3"/>
    <n v="23.799600000000002"/>
    <m/>
    <s v="NE"/>
    <s v="MIDDLE"/>
    <s v="ROAD 18M (BUILDINGS)"/>
    <s v="GROUND"/>
    <x v="2"/>
    <n v="0.15"/>
    <n v="2.5000000000000001E-2"/>
    <n v="0.15"/>
    <n v="0.05"/>
    <n v="0.05"/>
    <x v="39"/>
    <x v="0"/>
    <x v="4"/>
    <n v="51850"/>
    <n v="57950"/>
    <n v="6100"/>
    <n v="2592.4999999999995"/>
    <n v="54442.5"/>
    <n v="17966.025000000001"/>
    <n v="58942.5"/>
    <n v="61942.5"/>
    <n v="4083187.5"/>
    <n v="4420687.5"/>
    <n v="4645687.5"/>
    <n v="427584.20859000005"/>
    <n v="383415.59523015004"/>
    <n v="1"/>
    <n v="244000"/>
    <n v="244000"/>
    <n v="4754771.7085899999"/>
  </r>
  <r>
    <m/>
    <s v="A"/>
    <x v="6"/>
    <s v="RESIDENTIAL"/>
    <x v="1"/>
    <n v="1"/>
    <x v="140"/>
    <x v="0"/>
    <s v="C1"/>
    <n v="97.09"/>
    <n v="106.42659283645419"/>
    <x v="10"/>
    <m/>
    <m/>
    <s v="NE"/>
    <s v="MIDDLE"/>
    <s v="ROAD 18M (BUILDINGS)"/>
    <s v="FIRST"/>
    <x v="1"/>
    <n v="0.15"/>
    <n v="2.5000000000000001E-2"/>
    <n v="0.15"/>
    <n v="7.0000000000000007E-2"/>
    <n v="0.04"/>
    <x v="54"/>
    <x v="0"/>
    <x v="4"/>
    <n v="51850"/>
    <n v="57950"/>
    <n v="6100"/>
    <n v="2653.4999999999995"/>
    <n v="54503.5"/>
    <n v="17986.155000000002"/>
    <n v="59003.5"/>
    <n v="62003.5"/>
    <n v="6485916.5"/>
    <n v="7021416.5"/>
    <n v="7378416.5"/>
    <n v="0"/>
    <n v="551302.90250000008"/>
    <n v="1"/>
    <n v="244000"/>
    <n v="244000"/>
    <n v="6729916.5"/>
  </r>
  <r>
    <m/>
    <s v="A"/>
    <x v="6"/>
    <s v="RESIDENTIAL"/>
    <x v="1"/>
    <n v="2"/>
    <x v="141"/>
    <x v="0"/>
    <s v="C1"/>
    <n v="97.06"/>
    <n v="106.39370790716082"/>
    <x v="10"/>
    <m/>
    <m/>
    <s v="SW"/>
    <s v="MIDDLE"/>
    <s v="LAKE A-2"/>
    <s v="FIRST"/>
    <x v="1"/>
    <n v="0.06"/>
    <n v="2.5000000000000001E-2"/>
    <n v="0.4"/>
    <n v="7.0000000000000007E-2"/>
    <n v="0.04"/>
    <x v="61"/>
    <x v="1"/>
    <x v="0"/>
    <n v="43562.499999999993"/>
    <n v="48687.499999999993"/>
    <n v="5125"/>
    <n v="3049.375"/>
    <n v="46611.874999999993"/>
    <n v="15381.918749999999"/>
    <n v="51111.874999999993"/>
    <n v="54111.874999999993"/>
    <n v="5546813.1249999991"/>
    <n v="6082313.1249999991"/>
    <n v="6439313.1249999991"/>
    <n v="0"/>
    <n v="471479.11562499998"/>
    <n v="1"/>
    <n v="204999.99999999997"/>
    <n v="204999.99999999997"/>
    <n v="5751813.1249999991"/>
  </r>
  <r>
    <m/>
    <s v="A"/>
    <x v="6"/>
    <s v="RESIDENTIAL"/>
    <x v="1"/>
    <n v="3"/>
    <x v="142"/>
    <x v="0"/>
    <s v="C1"/>
    <n v="89.05"/>
    <n v="97.613431785830102"/>
    <x v="4"/>
    <m/>
    <m/>
    <s v="SW"/>
    <s v="MIDDLE"/>
    <s v="LAKE A-2"/>
    <s v="FIRST"/>
    <x v="1"/>
    <n v="0.06"/>
    <n v="2.5000000000000001E-2"/>
    <n v="0.4"/>
    <n v="7.0000000000000007E-2"/>
    <n v="0.04"/>
    <x v="61"/>
    <x v="1"/>
    <x v="0"/>
    <n v="43562.499999999993"/>
    <n v="48687.499999999993"/>
    <n v="5125"/>
    <n v="3049.375"/>
    <n v="46611.874999999993"/>
    <n v="15381.918749999999"/>
    <n v="51111.874999999993"/>
    <n v="54111.874999999993"/>
    <n v="5127306.2499999991"/>
    <n v="5622306.2499999991"/>
    <n v="5952306.2499999991"/>
    <n v="0"/>
    <n v="435821.03124999994"/>
    <n v="1"/>
    <n v="204999.99999999997"/>
    <n v="204999.99999999997"/>
    <n v="5332306.2499999991"/>
  </r>
  <r>
    <m/>
    <s v="A"/>
    <x v="6"/>
    <s v="RESIDENTIAL"/>
    <x v="1"/>
    <n v="4"/>
    <x v="143"/>
    <x v="1"/>
    <s v="C1"/>
    <n v="61.82"/>
    <n v="67.764877630544831"/>
    <x v="5"/>
    <m/>
    <m/>
    <s v="NE"/>
    <s v="MIDDLE"/>
    <s v="ROAD 18M (BUILDINGS)"/>
    <s v="FIRST"/>
    <x v="2"/>
    <n v="0.15"/>
    <n v="2.5000000000000001E-2"/>
    <n v="0.15"/>
    <n v="7.0000000000000007E-2"/>
    <n v="0.05"/>
    <x v="43"/>
    <x v="0"/>
    <x v="10"/>
    <n v="53550"/>
    <n v="59850"/>
    <n v="6300"/>
    <n v="2803.4999999999995"/>
    <n v="56353.5"/>
    <n v="18596.655000000002"/>
    <n v="60853.5"/>
    <n v="63853.5"/>
    <n v="4282866"/>
    <n v="4624866"/>
    <n v="4852866"/>
    <n v="0"/>
    <n v="364043.61000000004"/>
    <n v="1"/>
    <n v="252000"/>
    <n v="252000"/>
    <n v="4534866"/>
  </r>
  <r>
    <m/>
    <s v="A"/>
    <x v="6"/>
    <s v="RESIDENTIAL"/>
    <x v="2"/>
    <n v="1"/>
    <x v="144"/>
    <x v="0"/>
    <s v="C1"/>
    <n v="98.95"/>
    <n v="108.46545845264333"/>
    <x v="11"/>
    <m/>
    <m/>
    <s v="NE"/>
    <s v="MIDDLE"/>
    <s v="ROAD 18M (BUILDINGS)"/>
    <s v="SECOND"/>
    <x v="1"/>
    <n v="0.15"/>
    <n v="2.5000000000000001E-2"/>
    <n v="0.15"/>
    <n v="0.11"/>
    <n v="0.04"/>
    <x v="57"/>
    <x v="0"/>
    <x v="7"/>
    <n v="61625"/>
    <n v="68875"/>
    <n v="7250"/>
    <n v="3443.7499999999995"/>
    <n v="65068.75"/>
    <n v="21472.6875"/>
    <n v="69568.75"/>
    <n v="72568.75"/>
    <n v="7938387.5"/>
    <n v="8487387.5"/>
    <n v="8853387.5"/>
    <n v="0"/>
    <n v="674762.9375"/>
    <n v="1"/>
    <n v="290000"/>
    <n v="290000"/>
    <n v="8228387.5"/>
  </r>
  <r>
    <m/>
    <s v="A"/>
    <x v="6"/>
    <s v="RESIDENTIAL"/>
    <x v="2"/>
    <n v="2"/>
    <x v="145"/>
    <x v="0"/>
    <s v="C1"/>
    <n v="98.95"/>
    <n v="108.46545845264333"/>
    <x v="11"/>
    <m/>
    <m/>
    <s v="SW"/>
    <s v="MIDDLE"/>
    <s v="LAKE A-2"/>
    <s v="SECOND"/>
    <x v="1"/>
    <n v="0.06"/>
    <n v="2.5000000000000001E-2"/>
    <n v="0.4"/>
    <n v="0.11"/>
    <n v="0.04"/>
    <x v="62"/>
    <x v="1"/>
    <x v="2"/>
    <n v="45687.5"/>
    <n v="51062.5"/>
    <n v="5375"/>
    <n v="3413.125"/>
    <n v="49100.625"/>
    <n v="16203.206250000001"/>
    <n v="53600.625"/>
    <n v="56600.625"/>
    <n v="5990276.25"/>
    <n v="6539276.25"/>
    <n v="6905276.25"/>
    <n v="0"/>
    <n v="509173.48125000001"/>
    <n v="1"/>
    <n v="215000"/>
    <n v="215000"/>
    <n v="6205276.25"/>
  </r>
  <r>
    <m/>
    <s v="A"/>
    <x v="6"/>
    <s v="RESIDENTIAL"/>
    <x v="2"/>
    <n v="3"/>
    <x v="146"/>
    <x v="0"/>
    <s v="C1"/>
    <n v="90.91"/>
    <n v="99.652297402019258"/>
    <x v="7"/>
    <m/>
    <m/>
    <s v="SW"/>
    <s v="MIDDLE"/>
    <s v="LAKE A-2"/>
    <s v="SECOND"/>
    <x v="1"/>
    <n v="0.06"/>
    <n v="2.5000000000000001E-2"/>
    <n v="0.4"/>
    <n v="0.11"/>
    <n v="0.04"/>
    <x v="62"/>
    <x v="1"/>
    <x v="2"/>
    <n v="45687.5"/>
    <n v="51062.5"/>
    <n v="5375"/>
    <n v="3413.125"/>
    <n v="49100.625"/>
    <n v="16203.206250000001"/>
    <n v="53600.625"/>
    <n v="56600.625"/>
    <n v="5499270"/>
    <n v="6003270"/>
    <n v="6339270"/>
    <n v="0"/>
    <n v="467437.95"/>
    <n v="1"/>
    <n v="215000"/>
    <n v="215000"/>
    <n v="5714270"/>
  </r>
  <r>
    <m/>
    <s v="A"/>
    <x v="6"/>
    <s v="RESIDENTIAL"/>
    <x v="2"/>
    <n v="4"/>
    <x v="147"/>
    <x v="0"/>
    <s v="C1"/>
    <n v="90.91"/>
    <n v="99.652297402019258"/>
    <x v="7"/>
    <m/>
    <m/>
    <s v="NE"/>
    <s v="MIDDLE"/>
    <s v="ROAD 18M (BUILDINGS)"/>
    <s v="SECOND"/>
    <x v="1"/>
    <n v="0.15"/>
    <n v="2.5000000000000001E-2"/>
    <n v="0.15"/>
    <n v="0.11"/>
    <n v="0.04"/>
    <x v="57"/>
    <x v="0"/>
    <x v="7"/>
    <n v="61625"/>
    <n v="68875"/>
    <n v="7250"/>
    <n v="3443.7499999999995"/>
    <n v="65068.75"/>
    <n v="21472.6875"/>
    <n v="69568.75"/>
    <n v="72568.75"/>
    <n v="7287700"/>
    <n v="7791700"/>
    <n v="8127700"/>
    <n v="0"/>
    <n v="619454.5"/>
    <n v="1"/>
    <n v="290000"/>
    <n v="290000"/>
    <n v="7577700"/>
  </r>
  <r>
    <m/>
    <s v="A"/>
    <x v="6"/>
    <s v="RESIDENTIAL"/>
    <x v="3"/>
    <n v="1"/>
    <x v="148"/>
    <x v="0"/>
    <s v="C1"/>
    <n v="97.09"/>
    <n v="106.42659283645419"/>
    <x v="10"/>
    <m/>
    <m/>
    <s v="NE"/>
    <s v="MIDDLE"/>
    <s v="ROAD 18M (BUILDINGS)"/>
    <s v="THIRD"/>
    <x v="1"/>
    <n v="0.15"/>
    <n v="2.5000000000000001E-2"/>
    <n v="0.15"/>
    <n v="0.15"/>
    <n v="0.04"/>
    <x v="20"/>
    <x v="1"/>
    <x v="3"/>
    <n v="42500"/>
    <n v="47500"/>
    <n v="5000"/>
    <n v="2575"/>
    <n v="45075"/>
    <n v="14874.75"/>
    <n v="49575"/>
    <n v="52575"/>
    <n v="5363925"/>
    <n v="5899425"/>
    <n v="6256425"/>
    <n v="0"/>
    <n v="455933.62500000006"/>
    <n v="1"/>
    <n v="200000"/>
    <n v="200000"/>
    <n v="5563925"/>
  </r>
  <r>
    <m/>
    <s v="A"/>
    <x v="6"/>
    <s v="RESIDENTIAL"/>
    <x v="3"/>
    <n v="2"/>
    <x v="149"/>
    <x v="0"/>
    <s v="C1"/>
    <n v="97.09"/>
    <n v="106.42659283645419"/>
    <x v="10"/>
    <m/>
    <m/>
    <s v="SW"/>
    <s v="MIDDLE"/>
    <s v="LAKE A-2"/>
    <s v="THIRD"/>
    <x v="1"/>
    <n v="0.06"/>
    <n v="2.5000000000000001E-2"/>
    <n v="0.4"/>
    <n v="0.15"/>
    <n v="0.04"/>
    <x v="63"/>
    <x v="1"/>
    <x v="1"/>
    <n v="48450.000000000007"/>
    <n v="54150.000000000007"/>
    <n v="5700"/>
    <n v="3847.5000000000005"/>
    <n v="52297.500000000007"/>
    <n v="17258.175000000003"/>
    <n v="56797.500000000007"/>
    <n v="59797.500000000007"/>
    <n v="6223402.5000000009"/>
    <n v="6758902.5000000009"/>
    <n v="7115902.5000000009"/>
    <n v="0"/>
    <n v="528989.21250000014"/>
    <n v="1"/>
    <n v="228000.00000000003"/>
    <n v="228000.00000000003"/>
    <n v="6451402.5000000009"/>
  </r>
  <r>
    <m/>
    <s v="A"/>
    <x v="6"/>
    <s v="RESIDENTIAL"/>
    <x v="3"/>
    <n v="3"/>
    <x v="150"/>
    <x v="0"/>
    <s v="C1"/>
    <n v="89.05"/>
    <n v="97.613431785830102"/>
    <x v="4"/>
    <m/>
    <m/>
    <s v="SW"/>
    <s v="MIDDLE"/>
    <s v="LAKE A-2"/>
    <s v="THIRD"/>
    <x v="1"/>
    <n v="0.06"/>
    <n v="2.5000000000000001E-2"/>
    <n v="0.4"/>
    <n v="0.15"/>
    <n v="0.04"/>
    <x v="63"/>
    <x v="1"/>
    <x v="1"/>
    <n v="48450.000000000007"/>
    <n v="54150.000000000007"/>
    <n v="5700"/>
    <n v="3847.5000000000005"/>
    <n v="52297.500000000007"/>
    <n v="17258.175000000003"/>
    <n v="56797.500000000007"/>
    <n v="59797.500000000007"/>
    <n v="5752725.0000000009"/>
    <n v="6247725.0000000009"/>
    <n v="6577725.0000000009"/>
    <n v="0"/>
    <n v="488981.62500000012"/>
    <n v="1"/>
    <n v="228000.00000000003"/>
    <n v="228000.00000000003"/>
    <n v="5980725.0000000009"/>
  </r>
  <r>
    <m/>
    <s v="A"/>
    <x v="6"/>
    <s v="RESIDENTIAL"/>
    <x v="3"/>
    <n v="4"/>
    <x v="151"/>
    <x v="0"/>
    <s v="C1"/>
    <n v="89.05"/>
    <n v="97.613431785830102"/>
    <x v="4"/>
    <m/>
    <m/>
    <s v="NE"/>
    <s v="MIDDLE"/>
    <s v="ROAD 18M (BUILDINGS)"/>
    <s v="THIRD"/>
    <x v="1"/>
    <n v="0.15"/>
    <n v="2.5000000000000001E-2"/>
    <n v="0.15"/>
    <n v="0.15"/>
    <n v="0.04"/>
    <x v="20"/>
    <x v="1"/>
    <x v="3"/>
    <n v="42500"/>
    <n v="47500"/>
    <n v="5000"/>
    <n v="2575"/>
    <n v="45075"/>
    <n v="14874.75"/>
    <n v="49575"/>
    <n v="52575"/>
    <n v="4958250"/>
    <n v="5453250"/>
    <n v="5783250"/>
    <n v="0"/>
    <n v="421451.25000000006"/>
    <n v="1"/>
    <n v="200000"/>
    <n v="200000"/>
    <n v="5158250"/>
  </r>
  <r>
    <m/>
    <s v="A"/>
    <x v="6"/>
    <s v="RESIDENTIAL"/>
    <x v="4"/>
    <n v="1"/>
    <x v="152"/>
    <x v="0"/>
    <s v="C1"/>
    <n v="97.17"/>
    <n v="106.51428598123651"/>
    <x v="9"/>
    <m/>
    <m/>
    <s v="NE"/>
    <s v="MIDDLE"/>
    <s v="ROAD 18M (BUILDINGS)"/>
    <s v="FORTH"/>
    <x v="1"/>
    <n v="0.15"/>
    <n v="2.5000000000000001E-2"/>
    <n v="0.15"/>
    <n v="0.06"/>
    <n v="0.04"/>
    <x v="39"/>
    <x v="0"/>
    <x v="12"/>
    <n v="50150"/>
    <n v="56050"/>
    <n v="5900"/>
    <n v="2507.4999999999995"/>
    <n v="52657.5"/>
    <n v="17376.975000000002"/>
    <n v="57157.5"/>
    <n v="60157.5"/>
    <n v="6318900"/>
    <n v="6858900"/>
    <n v="7218900"/>
    <n v="0"/>
    <n v="537106.5"/>
    <n v="1"/>
    <n v="236000"/>
    <n v="236000"/>
    <n v="6554900"/>
  </r>
  <r>
    <m/>
    <s v="A"/>
    <x v="6"/>
    <s v="RESIDENTIAL"/>
    <x v="4"/>
    <n v="2"/>
    <x v="153"/>
    <x v="0"/>
    <s v="C1"/>
    <n v="98.57"/>
    <n v="108.04891601492726"/>
    <x v="8"/>
    <m/>
    <m/>
    <s v="SW"/>
    <s v="MIDDLE"/>
    <s v="LAKE A-2"/>
    <s v="FORTH"/>
    <x v="1"/>
    <n v="0.06"/>
    <n v="2.5000000000000001E-2"/>
    <n v="0.4"/>
    <n v="0.06"/>
    <n v="0.04"/>
    <x v="64"/>
    <x v="1"/>
    <x v="3"/>
    <n v="42500"/>
    <n v="47500"/>
    <n v="5000"/>
    <n v="2925"/>
    <n v="45425"/>
    <n v="14990.25"/>
    <n v="49925"/>
    <n v="52925"/>
    <n v="5496425"/>
    <n v="6040925"/>
    <n v="6403925"/>
    <n v="0"/>
    <n v="467196.12500000006"/>
    <n v="1"/>
    <n v="200000"/>
    <n v="200000"/>
    <n v="5696425"/>
  </r>
  <r>
    <m/>
    <s v="A"/>
    <x v="6"/>
    <s v="RESIDENTIAL"/>
    <x v="4"/>
    <n v="3"/>
    <x v="154"/>
    <x v="0"/>
    <s v="C1"/>
    <n v="90.52"/>
    <n v="99.224793321205397"/>
    <x v="2"/>
    <m/>
    <m/>
    <s v="SW"/>
    <s v="MIDDLE"/>
    <s v="LAKE A-2"/>
    <s v="FORTH"/>
    <x v="1"/>
    <n v="0.06"/>
    <n v="2.5000000000000001E-2"/>
    <n v="0.4"/>
    <n v="0.06"/>
    <n v="0.04"/>
    <x v="64"/>
    <x v="1"/>
    <x v="3"/>
    <n v="42500"/>
    <n v="47500"/>
    <n v="5000"/>
    <n v="2925"/>
    <n v="45425"/>
    <n v="14990.25"/>
    <n v="49925"/>
    <n v="52925"/>
    <n v="5042175"/>
    <n v="5541675"/>
    <n v="5874675"/>
    <n v="0"/>
    <n v="428584.87500000006"/>
    <n v="1"/>
    <n v="200000"/>
    <n v="200000"/>
    <n v="5242175"/>
  </r>
  <r>
    <m/>
    <s v="A"/>
    <x v="6"/>
    <s v="RESIDENTIAL"/>
    <x v="4"/>
    <n v="4"/>
    <x v="155"/>
    <x v="0"/>
    <s v="C1"/>
    <n v="89.12"/>
    <n v="97.69016328751465"/>
    <x v="4"/>
    <m/>
    <m/>
    <s v="NE"/>
    <s v="MIDDLE"/>
    <s v="ROAD 18M (BUILDINGS)"/>
    <s v="FORTH"/>
    <x v="1"/>
    <n v="0.15"/>
    <n v="2.5000000000000001E-2"/>
    <n v="0.15"/>
    <n v="0.06"/>
    <n v="0.04"/>
    <x v="39"/>
    <x v="0"/>
    <x v="4"/>
    <n v="51850"/>
    <n v="57950"/>
    <n v="6100"/>
    <n v="2592.4999999999995"/>
    <n v="54442.5"/>
    <n v="17966.025000000001"/>
    <n v="58942.5"/>
    <n v="61942.5"/>
    <n v="5988675"/>
    <n v="6483675"/>
    <n v="6813675"/>
    <n v="0"/>
    <n v="509037.37500000006"/>
    <n v="1"/>
    <n v="244000"/>
    <n v="244000"/>
    <n v="6232675"/>
  </r>
  <r>
    <s v="A'"/>
    <s v="A"/>
    <x v="7"/>
    <s v="RESIDENTIAL"/>
    <x v="0"/>
    <n v="1"/>
    <x v="156"/>
    <x v="1"/>
    <s v="C1"/>
    <n v="60.98"/>
    <n v="66.556564006124674"/>
    <x v="3"/>
    <n v="23.800799999999999"/>
    <m/>
    <s v="NE"/>
    <s v="MIDDLE"/>
    <s v="ROAD 18M (BUILDINGS)"/>
    <s v="GROUND"/>
    <x v="2"/>
    <n v="0.15"/>
    <n v="2.5000000000000001E-2"/>
    <n v="0.15"/>
    <n v="0.05"/>
    <n v="0.05"/>
    <x v="39"/>
    <x v="0"/>
    <x v="4"/>
    <n v="51850"/>
    <n v="57950"/>
    <n v="6100"/>
    <n v="2592.4999999999995"/>
    <n v="54442.5"/>
    <n v="17966.025000000001"/>
    <n v="58942.5"/>
    <n v="61942.5"/>
    <n v="4083187.5"/>
    <n v="4420687.5"/>
    <n v="4645687.5"/>
    <n v="427605.76782000001"/>
    <n v="383417.42776470003"/>
    <n v="1"/>
    <n v="244000"/>
    <n v="244000"/>
    <n v="4754793.2678199997"/>
  </r>
  <r>
    <m/>
    <s v="A"/>
    <x v="7"/>
    <s v="RESIDENTIAL"/>
    <x v="0"/>
    <n v="2"/>
    <x v="157"/>
    <x v="0"/>
    <s v="C1"/>
    <n v="89.96"/>
    <n v="98.186757920481725"/>
    <x v="2"/>
    <n v="50.507800000000003"/>
    <m/>
    <s v="SW"/>
    <s v="MIDDLE"/>
    <s v="LAKE A-2"/>
    <s v="GROUND"/>
    <x v="1"/>
    <n v="0.06"/>
    <n v="2.5000000000000001E-2"/>
    <n v="0.4"/>
    <n v="0.05"/>
    <n v="0.04"/>
    <x v="60"/>
    <x v="1"/>
    <x v="3"/>
    <n v="42500"/>
    <n v="47500"/>
    <n v="5000"/>
    <n v="2875.0000000000005"/>
    <n v="45375"/>
    <n v="14973.75"/>
    <n v="49875"/>
    <n v="52875"/>
    <n v="5036625"/>
    <n v="5536125"/>
    <n v="5869125"/>
    <n v="756291.17025000008"/>
    <n v="492397.87447125005"/>
    <n v="1"/>
    <n v="200000"/>
    <n v="200000"/>
    <n v="5992916.1702500004"/>
  </r>
  <r>
    <m/>
    <s v="A"/>
    <x v="7"/>
    <s v="RESIDENTIAL"/>
    <x v="0"/>
    <n v="3"/>
    <x v="158"/>
    <x v="0"/>
    <s v="C1"/>
    <n v="110.14"/>
    <n v="120.21220005960269"/>
    <x v="1"/>
    <n v="59.482100000000003"/>
    <m/>
    <s v="SW"/>
    <s v="CORNER "/>
    <s v="LAKE A-2"/>
    <s v="GROUND"/>
    <x v="0"/>
    <n v="0.06"/>
    <n v="0.05"/>
    <n v="0.4"/>
    <n v="0.05"/>
    <n v="3.5000000000000003E-2"/>
    <x v="24"/>
    <x v="1"/>
    <x v="0"/>
    <n v="43562.499999999993"/>
    <n v="48687.499999999993"/>
    <n v="5125"/>
    <n v="3049.3750000000005"/>
    <n v="46611.874999999993"/>
    <n v="15381.918749999999"/>
    <n v="51111.874999999993"/>
    <n v="54111.874999999993"/>
    <n v="6292603.1249999991"/>
    <n v="6900103.1249999991"/>
    <n v="7305103.1249999991"/>
    <n v="914948.82927937503"/>
    <n v="612641.91611374682"/>
    <n v="2"/>
    <n v="204999.99999999997"/>
    <n v="204999.99999999997"/>
    <n v="7412551.9542793743"/>
  </r>
  <r>
    <m/>
    <s v="A"/>
    <x v="7"/>
    <s v="RESIDENTIAL"/>
    <x v="0"/>
    <n v="4"/>
    <x v="159"/>
    <x v="0"/>
    <s v="C1"/>
    <n v="110.32"/>
    <n v="120.40866089136887"/>
    <x v="0"/>
    <n v="50.038899999999998"/>
    <m/>
    <s v="NE"/>
    <s v="CORNER "/>
    <s v="ROAD 18M (BUILDINGS)"/>
    <s v="GROUND"/>
    <x v="0"/>
    <n v="0.15"/>
    <n v="0.05"/>
    <n v="0.15"/>
    <n v="0.05"/>
    <n v="3.5000000000000003E-2"/>
    <x v="54"/>
    <x v="0"/>
    <x v="4"/>
    <n v="51850"/>
    <n v="57950"/>
    <n v="6100"/>
    <n v="2653.4999999999995"/>
    <n v="54503.5"/>
    <n v="17986.155000000002"/>
    <n v="59003.5"/>
    <n v="62003.5"/>
    <n v="7412476"/>
    <n v="8024476"/>
    <n v="8432476"/>
    <n v="900007.41142950009"/>
    <n v="706561.08997150755"/>
    <n v="2"/>
    <n v="244000"/>
    <n v="244000"/>
    <n v="8556483.4114295002"/>
  </r>
  <r>
    <m/>
    <s v="A"/>
    <x v="7"/>
    <s v="RESIDENTIAL"/>
    <x v="1"/>
    <n v="1"/>
    <x v="160"/>
    <x v="1"/>
    <s v="C1"/>
    <n v="61.82"/>
    <n v="67.473381221033577"/>
    <x v="5"/>
    <m/>
    <m/>
    <s v="NE"/>
    <s v="MIDDLE"/>
    <s v="ROAD 18M (BUILDINGS)"/>
    <s v="FIRST"/>
    <x v="2"/>
    <n v="0.15"/>
    <n v="2.5000000000000001E-2"/>
    <n v="0.15"/>
    <n v="7.0000000000000007E-2"/>
    <n v="0.05"/>
    <x v="43"/>
    <x v="0"/>
    <x v="10"/>
    <n v="53550"/>
    <n v="59850"/>
    <n v="6300"/>
    <n v="2803.4999999999995"/>
    <n v="56353.5"/>
    <n v="18596.655000000002"/>
    <n v="60853.5"/>
    <n v="63853.5"/>
    <n v="4282866"/>
    <n v="4624866"/>
    <n v="4852866"/>
    <n v="0"/>
    <n v="364043.61000000004"/>
    <n v="1"/>
    <n v="252000"/>
    <n v="252000"/>
    <n v="4534866"/>
  </r>
  <r>
    <m/>
    <s v="A"/>
    <x v="7"/>
    <s v="RESIDENTIAL"/>
    <x v="1"/>
    <n v="2"/>
    <x v="161"/>
    <x v="0"/>
    <s v="C1"/>
    <n v="89.05"/>
    <n v="97.193539270997093"/>
    <x v="4"/>
    <m/>
    <m/>
    <s v="SW"/>
    <s v="MIDDLE"/>
    <s v="LAKE A-2"/>
    <s v="FIRST"/>
    <x v="1"/>
    <n v="0.06"/>
    <n v="2.5000000000000001E-2"/>
    <n v="0.4"/>
    <n v="7.0000000000000007E-2"/>
    <n v="0.04"/>
    <x v="61"/>
    <x v="1"/>
    <x v="0"/>
    <n v="43562.499999999993"/>
    <n v="48687.499999999993"/>
    <n v="5125"/>
    <n v="3049.375"/>
    <n v="46611.874999999993"/>
    <n v="15381.918749999999"/>
    <n v="51111.874999999993"/>
    <n v="54111.874999999993"/>
    <n v="5127306.2499999991"/>
    <n v="5622306.2499999991"/>
    <n v="5952306.2499999991"/>
    <n v="0"/>
    <n v="435821.03124999994"/>
    <n v="1"/>
    <n v="204999.99999999997"/>
    <n v="204999.99999999997"/>
    <n v="5332306.2499999991"/>
  </r>
  <r>
    <m/>
    <s v="A"/>
    <x v="7"/>
    <s v="RESIDENTIAL"/>
    <x v="1"/>
    <n v="3"/>
    <x v="162"/>
    <x v="0"/>
    <s v="C1"/>
    <n v="110.14"/>
    <n v="120.21220005960269"/>
    <x v="1"/>
    <m/>
    <m/>
    <s v="SW"/>
    <s v="CORNER "/>
    <s v="LAKE A-2"/>
    <s v="FIRST"/>
    <x v="0"/>
    <n v="0.06"/>
    <n v="0.05"/>
    <n v="0.4"/>
    <n v="7.0000000000000007E-2"/>
    <n v="3.5000000000000003E-2"/>
    <x v="65"/>
    <x v="1"/>
    <x v="6"/>
    <n v="44625"/>
    <n v="49875"/>
    <n v="5250"/>
    <n v="3228.7500000000005"/>
    <n v="47853.75"/>
    <n v="15791.737500000001"/>
    <n v="52353.75"/>
    <n v="55353.75"/>
    <n v="6460256.25"/>
    <n v="7067756.25"/>
    <n v="7472756.25"/>
    <n v="0"/>
    <n v="549121.78125"/>
    <n v="2"/>
    <n v="210000"/>
    <n v="210000"/>
    <n v="6670256.25"/>
  </r>
  <r>
    <m/>
    <s v="A"/>
    <x v="7"/>
    <s v="RESIDENTIAL"/>
    <x v="1"/>
    <n v="4"/>
    <x v="163"/>
    <x v="0"/>
    <s v="C1"/>
    <n v="110.61"/>
    <n v="120.72518112032553"/>
    <x v="0"/>
    <m/>
    <m/>
    <s v="NE"/>
    <s v="CORNER "/>
    <s v="ROAD 18M (BUILDINGS)"/>
    <s v="FIRST"/>
    <x v="0"/>
    <n v="0.15"/>
    <n v="0.05"/>
    <n v="0.15"/>
    <n v="7.0000000000000007E-2"/>
    <n v="3.5000000000000003E-2"/>
    <x v="26"/>
    <x v="0"/>
    <x v="8"/>
    <n v="56100"/>
    <n v="62700"/>
    <n v="6600"/>
    <n v="3002.9999999999995"/>
    <n v="59103"/>
    <n v="19503.990000000002"/>
    <n v="63603"/>
    <n v="66603"/>
    <n v="8038008"/>
    <n v="8650008"/>
    <n v="9058008"/>
    <n v="0"/>
    <n v="683230.68"/>
    <n v="2"/>
    <n v="264000"/>
    <n v="264000"/>
    <n v="8302008"/>
  </r>
  <r>
    <m/>
    <s v="A"/>
    <x v="7"/>
    <s v="RESIDENTIAL"/>
    <x v="2"/>
    <n v="1"/>
    <x v="164"/>
    <x v="0"/>
    <s v="C1"/>
    <n v="90.91"/>
    <n v="99.223634532581073"/>
    <x v="7"/>
    <m/>
    <m/>
    <s v="NE"/>
    <s v="MIDDLE"/>
    <s v="ROAD 18M (BUILDINGS)"/>
    <s v="SECOND"/>
    <x v="1"/>
    <n v="0.15"/>
    <n v="2.5000000000000001E-2"/>
    <n v="0.15"/>
    <n v="0.11"/>
    <n v="0.04"/>
    <x v="57"/>
    <x v="0"/>
    <x v="7"/>
    <n v="61625"/>
    <n v="68875"/>
    <n v="7250"/>
    <n v="3443.7499999999995"/>
    <n v="65068.75"/>
    <n v="21472.6875"/>
    <n v="69568.75"/>
    <n v="72568.75"/>
    <n v="7287700"/>
    <n v="7791700"/>
    <n v="8127700"/>
    <n v="0"/>
    <n v="619454.5"/>
    <n v="1"/>
    <n v="290000"/>
    <n v="290000"/>
    <n v="7577700"/>
  </r>
  <r>
    <m/>
    <s v="A"/>
    <x v="7"/>
    <s v="RESIDENTIAL"/>
    <x v="2"/>
    <n v="2"/>
    <x v="165"/>
    <x v="0"/>
    <s v="C1"/>
    <n v="90.91"/>
    <n v="99.223634532581073"/>
    <x v="7"/>
    <m/>
    <m/>
    <s v="SW"/>
    <s v="MIDDLE"/>
    <s v="LAKE A-2"/>
    <s v="SECOND"/>
    <x v="1"/>
    <n v="0.06"/>
    <n v="2.5000000000000001E-2"/>
    <n v="0.4"/>
    <n v="0.11"/>
    <n v="0.04"/>
    <x v="62"/>
    <x v="1"/>
    <x v="2"/>
    <n v="45687.5"/>
    <n v="51062.5"/>
    <n v="5375"/>
    <n v="3413.125"/>
    <n v="49100.625"/>
    <n v="16203.206250000001"/>
    <n v="53600.625"/>
    <n v="56600.625"/>
    <n v="5499270"/>
    <n v="6003270"/>
    <n v="6339270"/>
    <n v="0"/>
    <n v="467437.95"/>
    <n v="1"/>
    <n v="215000"/>
    <n v="215000"/>
    <n v="5714270"/>
  </r>
  <r>
    <m/>
    <s v="A"/>
    <x v="7"/>
    <s v="RESIDENTIAL"/>
    <x v="2"/>
    <n v="3"/>
    <x v="166"/>
    <x v="0"/>
    <s v="C1"/>
    <n v="112.2"/>
    <n v="122.46058513426023"/>
    <x v="6"/>
    <m/>
    <m/>
    <s v="SW"/>
    <s v="CORNER "/>
    <s v="LAKE A-2"/>
    <s v="SECOND"/>
    <x v="0"/>
    <n v="0.06"/>
    <n v="0.05"/>
    <n v="0.4"/>
    <n v="0.11"/>
    <n v="3.5000000000000003E-2"/>
    <x v="17"/>
    <x v="1"/>
    <x v="5"/>
    <n v="46750.000000000007"/>
    <n v="52250.000000000007"/>
    <n v="5500"/>
    <n v="3602.5"/>
    <n v="50352.500000000007"/>
    <n v="16616.325000000004"/>
    <n v="54852.500000000007"/>
    <n v="57852.500000000007"/>
    <n v="6948645.0000000009"/>
    <n v="7569645.0000000009"/>
    <n v="7983645.0000000009"/>
    <n v="0"/>
    <n v="590634.82500000007"/>
    <n v="2"/>
    <n v="220000.00000000003"/>
    <n v="220000.00000000003"/>
    <n v="7168645.0000000009"/>
  </r>
  <r>
    <m/>
    <s v="A"/>
    <x v="7"/>
    <s v="RESIDENTIAL"/>
    <x v="2"/>
    <n v="4"/>
    <x v="167"/>
    <x v="0"/>
    <s v="C1"/>
    <n v="112.2"/>
    <n v="122.46058513426023"/>
    <x v="6"/>
    <m/>
    <m/>
    <s v="NE"/>
    <s v="CORNER "/>
    <s v="ROAD 18M (BUILDINGS)"/>
    <s v="SECOND"/>
    <x v="0"/>
    <n v="0.15"/>
    <n v="0.05"/>
    <n v="0.15"/>
    <n v="0.11"/>
    <n v="3.5000000000000003E-2"/>
    <x v="19"/>
    <x v="0"/>
    <x v="7"/>
    <n v="61625"/>
    <n v="68875"/>
    <n v="7250"/>
    <n v="3588.75"/>
    <n v="65213.75"/>
    <n v="21520.537500000002"/>
    <n v="69713.75"/>
    <n v="72713.75"/>
    <n v="8999497.5"/>
    <n v="9620497.5"/>
    <n v="10034497.5"/>
    <n v="0"/>
    <n v="764957.28750000009"/>
    <n v="2"/>
    <n v="290000"/>
    <n v="290000"/>
    <n v="9289497.5"/>
  </r>
  <r>
    <m/>
    <s v="A"/>
    <x v="7"/>
    <s v="RESIDENTIAL"/>
    <x v="3"/>
    <n v="1"/>
    <x v="168"/>
    <x v="0"/>
    <s v="C1"/>
    <n v="89.05"/>
    <n v="97.193539270997093"/>
    <x v="4"/>
    <m/>
    <m/>
    <s v="NE"/>
    <s v="MIDDLE"/>
    <s v="ROAD 18M (BUILDINGS)"/>
    <s v="THIRD"/>
    <x v="1"/>
    <n v="0.15"/>
    <n v="2.5000000000000001E-2"/>
    <n v="0.15"/>
    <n v="0.15"/>
    <n v="0.04"/>
    <x v="20"/>
    <x v="1"/>
    <x v="3"/>
    <n v="42500"/>
    <n v="47500"/>
    <n v="5000"/>
    <n v="2575"/>
    <n v="45075"/>
    <n v="14874.75"/>
    <n v="49575"/>
    <n v="52575"/>
    <n v="4958250"/>
    <n v="5453250"/>
    <n v="5783250"/>
    <n v="0"/>
    <n v="421451.25000000006"/>
    <n v="1"/>
    <n v="200000"/>
    <n v="200000"/>
    <n v="5158250"/>
  </r>
  <r>
    <m/>
    <s v="A"/>
    <x v="7"/>
    <s v="RESIDENTIAL"/>
    <x v="3"/>
    <n v="2"/>
    <x v="169"/>
    <x v="0"/>
    <s v="C1"/>
    <n v="89.05"/>
    <n v="97.193539270997093"/>
    <x v="4"/>
    <m/>
    <m/>
    <s v="SW"/>
    <s v="MIDDLE"/>
    <s v="LAKE A-2"/>
    <s v="THIRD"/>
    <x v="1"/>
    <n v="0.06"/>
    <n v="2.5000000000000001E-2"/>
    <n v="0.4"/>
    <n v="0.15"/>
    <n v="0.04"/>
    <x v="63"/>
    <x v="1"/>
    <x v="1"/>
    <n v="48450.000000000007"/>
    <n v="54150.000000000007"/>
    <n v="5700"/>
    <n v="3847.5000000000005"/>
    <n v="52297.500000000007"/>
    <n v="17258.175000000003"/>
    <n v="56797.500000000007"/>
    <n v="59797.500000000007"/>
    <n v="5752725.0000000009"/>
    <n v="6247725.0000000009"/>
    <n v="6577725.0000000009"/>
    <n v="0"/>
    <n v="488981.62500000012"/>
    <n v="1"/>
    <n v="228000.00000000003"/>
    <n v="228000.00000000003"/>
    <n v="5980725.0000000009"/>
  </r>
  <r>
    <m/>
    <s v="A"/>
    <x v="7"/>
    <s v="RESIDENTIAL"/>
    <x v="3"/>
    <n v="3"/>
    <x v="170"/>
    <x v="0"/>
    <s v="C1"/>
    <n v="110.14"/>
    <n v="120.21220005960269"/>
    <x v="1"/>
    <m/>
    <m/>
    <s v="SW"/>
    <s v="CORNER "/>
    <s v="LAKE A-2"/>
    <s v="THIRD"/>
    <x v="0"/>
    <n v="0.06"/>
    <n v="0.05"/>
    <n v="0.4"/>
    <n v="0.15"/>
    <n v="3.5000000000000003E-2"/>
    <x v="66"/>
    <x v="1"/>
    <x v="4"/>
    <n v="51850"/>
    <n v="57950"/>
    <n v="6100"/>
    <n v="4239.5"/>
    <n v="56089.5"/>
    <n v="18509.535"/>
    <n v="60589.5"/>
    <n v="63589.5"/>
    <n v="7572082.5"/>
    <n v="8179582.5"/>
    <n v="8584582.5"/>
    <n v="0"/>
    <n v="643627.01250000007"/>
    <n v="2"/>
    <n v="244000"/>
    <n v="244000"/>
    <n v="7816082.5"/>
  </r>
  <r>
    <m/>
    <s v="A"/>
    <x v="7"/>
    <s v="RESIDENTIAL"/>
    <x v="3"/>
    <n v="4"/>
    <x v="171"/>
    <x v="0"/>
    <s v="C1"/>
    <n v="110.14"/>
    <n v="120.21220005960269"/>
    <x v="1"/>
    <m/>
    <m/>
    <s v="NE"/>
    <s v="CORNER "/>
    <s v="ROAD 18M (BUILDINGS)"/>
    <s v="THIRD"/>
    <x v="0"/>
    <n v="0.15"/>
    <n v="0.05"/>
    <n v="0.15"/>
    <n v="0.15"/>
    <n v="3.5000000000000003E-2"/>
    <x v="67"/>
    <x v="1"/>
    <x v="3"/>
    <n v="42500"/>
    <n v="47500"/>
    <n v="5000"/>
    <n v="2675"/>
    <n v="45175"/>
    <n v="14907.75"/>
    <n v="49675"/>
    <n v="52675"/>
    <n v="6098625"/>
    <n v="6706125"/>
    <n v="7111125"/>
    <n v="0"/>
    <n v="518383.12500000006"/>
    <n v="2"/>
    <n v="200000"/>
    <n v="200000"/>
    <n v="6298625"/>
  </r>
  <r>
    <m/>
    <s v="A"/>
    <x v="7"/>
    <s v="RESIDENTIAL"/>
    <x v="4"/>
    <n v="1"/>
    <x v="172"/>
    <x v="0"/>
    <s v="C1"/>
    <n v="89.12"/>
    <n v="97.269940705572836"/>
    <x v="4"/>
    <m/>
    <m/>
    <s v="NE"/>
    <s v="MIDDLE"/>
    <s v="ROAD 18M (BUILDINGS)"/>
    <s v="FORTH"/>
    <x v="1"/>
    <n v="0.15"/>
    <n v="2.5000000000000001E-2"/>
    <n v="0.15"/>
    <n v="0.06"/>
    <n v="0.04"/>
    <x v="39"/>
    <x v="0"/>
    <x v="12"/>
    <n v="50150"/>
    <n v="56050"/>
    <n v="5900"/>
    <n v="2507.4999999999995"/>
    <n v="52657.5"/>
    <n v="17376.975000000002"/>
    <n v="57157.5"/>
    <n v="60157.5"/>
    <n v="5792325"/>
    <n v="6287325"/>
    <n v="6617325"/>
    <n v="0"/>
    <n v="492347.62500000006"/>
    <n v="1"/>
    <n v="236000"/>
    <n v="236000"/>
    <n v="6028325"/>
  </r>
  <r>
    <m/>
    <s v="A"/>
    <x v="7"/>
    <s v="RESIDENTIAL"/>
    <x v="4"/>
    <n v="2"/>
    <x v="173"/>
    <x v="0"/>
    <s v="C1"/>
    <n v="89.12"/>
    <n v="97.269940705572836"/>
    <x v="4"/>
    <m/>
    <m/>
    <s v="SW"/>
    <s v="MIDDLE"/>
    <s v="LAKE A-2"/>
    <s v="FORTH"/>
    <x v="1"/>
    <n v="0.06"/>
    <n v="2.5000000000000001E-2"/>
    <n v="0.4"/>
    <n v="0.06"/>
    <n v="0.04"/>
    <x v="64"/>
    <x v="1"/>
    <x v="3"/>
    <n v="42500"/>
    <n v="47500"/>
    <n v="5000"/>
    <n v="2925"/>
    <n v="45425"/>
    <n v="14990.25"/>
    <n v="49925"/>
    <n v="52925"/>
    <n v="4996750"/>
    <n v="5491750"/>
    <n v="5821750"/>
    <n v="0"/>
    <n v="424723.75000000006"/>
    <n v="1"/>
    <n v="200000"/>
    <n v="200000"/>
    <n v="5196750"/>
  </r>
  <r>
    <m/>
    <s v="A"/>
    <x v="7"/>
    <s v="RESIDENTIAL"/>
    <x v="4"/>
    <n v="3"/>
    <x v="174"/>
    <x v="0"/>
    <s v="C1"/>
    <n v="110.18"/>
    <n v="120.25585802221741"/>
    <x v="0"/>
    <m/>
    <m/>
    <s v="SW"/>
    <s v="CORNER "/>
    <s v="LAKE A-2"/>
    <s v="FORTH"/>
    <x v="0"/>
    <n v="0.06"/>
    <n v="0.05"/>
    <n v="0.4"/>
    <n v="0.06"/>
    <n v="3.5000000000000003E-2"/>
    <x v="68"/>
    <x v="1"/>
    <x v="0"/>
    <n v="43562.499999999993"/>
    <n v="48687.499999999993"/>
    <n v="5125"/>
    <n v="3100.6250000000005"/>
    <n v="46663.124999999993"/>
    <n v="15398.831249999997"/>
    <n v="51163.124999999993"/>
    <n v="54163.124999999993"/>
    <n v="6346184.9999999991"/>
    <n v="6958184.9999999991"/>
    <n v="7366184.9999999991"/>
    <n v="0"/>
    <n v="539425.72499999998"/>
    <n v="2"/>
    <n v="204999.99999999997"/>
    <n v="204999.99999999997"/>
    <n v="6551184.9999999991"/>
  </r>
  <r>
    <m/>
    <s v="A"/>
    <x v="7"/>
    <s v="RESIDENTIAL"/>
    <x v="4"/>
    <n v="4"/>
    <x v="175"/>
    <x v="0"/>
    <s v="C1"/>
    <n v="110.18"/>
    <n v="120.25585802221741"/>
    <x v="0"/>
    <m/>
    <m/>
    <s v="NE"/>
    <s v="CORNER "/>
    <s v="ROAD 18M (BUILDINGS)"/>
    <s v="FORTH"/>
    <x v="0"/>
    <n v="0.15"/>
    <n v="0.05"/>
    <n v="0.15"/>
    <n v="0.06"/>
    <n v="3.5000000000000003E-2"/>
    <x v="43"/>
    <x v="0"/>
    <x v="10"/>
    <n v="53550"/>
    <n v="59850"/>
    <n v="6300"/>
    <n v="2803.4999999999995"/>
    <n v="56353.5"/>
    <n v="18596.655000000002"/>
    <n v="60853.5"/>
    <n v="63853.5"/>
    <n v="7664076"/>
    <n v="8276076"/>
    <n v="8684076"/>
    <n v="0"/>
    <n v="651446.46000000008"/>
    <n v="2"/>
    <n v="252000"/>
    <n v="252000"/>
    <n v="7916076"/>
  </r>
  <r>
    <s v="B2"/>
    <s v="B"/>
    <x v="8"/>
    <s v="RESIDENTIAL"/>
    <x v="0"/>
    <n v="1"/>
    <x v="176"/>
    <x v="0"/>
    <s v="C1"/>
    <n v="94.92"/>
    <n v="105.12823941945527"/>
    <x v="17"/>
    <n v="62.601799999999997"/>
    <m/>
    <s v="SW"/>
    <s v="MIDDLE"/>
    <s v="ROAD 18M (BUILDINGS)"/>
    <s v="GROUND"/>
    <x v="1"/>
    <n v="0.06"/>
    <n v="2.5000000000000001E-2"/>
    <n v="0.15"/>
    <n v="0.05"/>
    <n v="0.04"/>
    <x v="69"/>
    <x v="0"/>
    <x v="3"/>
    <n v="42500"/>
    <n v="47500"/>
    <n v="5000"/>
    <n v="1624.9999999999998"/>
    <n v="44125"/>
    <n v="14561.25"/>
    <n v="48625"/>
    <n v="51625"/>
    <n v="5118500"/>
    <n v="5640500"/>
    <n v="5988500"/>
    <n v="911560.46025"/>
    <n v="512555.13912125002"/>
    <n v="1"/>
    <n v="200000"/>
    <n v="200000"/>
    <n v="6230060.4602499995"/>
  </r>
  <r>
    <m/>
    <s v="B"/>
    <x v="8"/>
    <s v="RESIDENTIAL"/>
    <x v="0"/>
    <n v="2"/>
    <x v="177"/>
    <x v="2"/>
    <s v="C1"/>
    <n v="163.35"/>
    <n v="180.91759280623702"/>
    <x v="18"/>
    <n v="76.321799999999996"/>
    <m/>
    <s v="NE"/>
    <s v="MIDDLE"/>
    <s v="LAKE B-1"/>
    <s v="GROUND"/>
    <x v="3"/>
    <n v="0.15"/>
    <n v="2.5000000000000001E-2"/>
    <n v="0.6"/>
    <n v="0.05"/>
    <n v="1.4999999999999999E-2"/>
    <x v="70"/>
    <x v="2"/>
    <x v="4"/>
    <n v="51850"/>
    <n v="57950"/>
    <n v="6100"/>
    <n v="5124"/>
    <n v="56974"/>
    <n v="18801.420000000002"/>
    <n v="61474"/>
    <n v="64474"/>
    <n v="11337826"/>
    <n v="12233326"/>
    <n v="12830326"/>
    <n v="1434958.2169560001"/>
    <n v="1085686.6584412602"/>
    <n v="2"/>
    <n v="244000"/>
    <n v="244000"/>
    <n v="13016784.216956001"/>
  </r>
  <r>
    <m/>
    <s v="B"/>
    <x v="8"/>
    <s v="RESIDENTIAL"/>
    <x v="0"/>
    <n v="3"/>
    <x v="178"/>
    <x v="3"/>
    <s v="C1"/>
    <n v="183.89"/>
    <n v="203.66658182515411"/>
    <x v="19"/>
    <n v="61.571399999999997"/>
    <m/>
    <s v="NE"/>
    <s v="CORNER "/>
    <s v="LAKE B-1"/>
    <s v="GROUND"/>
    <x v="3"/>
    <n v="0.15"/>
    <n v="0.05"/>
    <n v="0.6"/>
    <n v="0.05"/>
    <n v="1.4999999999999999E-2"/>
    <x v="71"/>
    <x v="2"/>
    <x v="10"/>
    <n v="53550"/>
    <n v="59850"/>
    <n v="6300"/>
    <n v="5449.5000000000009"/>
    <n v="58999.5"/>
    <n v="19469.834999999999"/>
    <n v="63499.5"/>
    <n v="66499.5"/>
    <n v="13215888"/>
    <n v="14223888"/>
    <n v="14895888"/>
    <n v="1198784.9987189998"/>
    <n v="1225247.204891115"/>
    <n v="2"/>
    <n v="252000"/>
    <n v="252000"/>
    <n v="14666672.998718999"/>
  </r>
  <r>
    <m/>
    <s v="B"/>
    <x v="8"/>
    <s v="RESIDENTIAL"/>
    <x v="0"/>
    <n v="4"/>
    <x v="179"/>
    <x v="2"/>
    <s v="C1"/>
    <n v="144.21"/>
    <n v="159.71916779055672"/>
    <x v="20"/>
    <n v="83.296199999999999"/>
    <m/>
    <s v="SW"/>
    <s v="CORNER "/>
    <s v="ROAD 18M (BUILDINGS)"/>
    <s v="GROUND"/>
    <x v="4"/>
    <n v="0.06"/>
    <n v="0.05"/>
    <n v="0.15"/>
    <n v="0.05"/>
    <n v="2.5000000000000001E-2"/>
    <x v="72"/>
    <x v="0"/>
    <x v="3"/>
    <n v="42500"/>
    <n v="47500"/>
    <n v="5000"/>
    <n v="1675"/>
    <n v="44175"/>
    <n v="14577.75"/>
    <n v="48675"/>
    <n v="51675"/>
    <n v="7774800"/>
    <n v="8566800"/>
    <n v="9094800"/>
    <n v="1214271.17955"/>
    <n v="764071.05026175"/>
    <n v="2"/>
    <n v="200000"/>
    <n v="200000"/>
    <n v="9189071.1795499995"/>
  </r>
  <r>
    <m/>
    <s v="B"/>
    <x v="8"/>
    <s v="RESIDENTIAL"/>
    <x v="1"/>
    <n v="1"/>
    <x v="180"/>
    <x v="0"/>
    <s v="C1"/>
    <n v="96.29"/>
    <n v="106.64557705119415"/>
    <x v="21"/>
    <m/>
    <m/>
    <s v="SW"/>
    <s v="MIDDLE"/>
    <s v="ROAD 18M (BUILDINGS)"/>
    <s v="FIRST"/>
    <x v="1"/>
    <n v="0.06"/>
    <n v="2.5000000000000001E-2"/>
    <n v="0.15"/>
    <n v="7.0000000000000007E-2"/>
    <n v="0.04"/>
    <x v="18"/>
    <x v="0"/>
    <x v="3"/>
    <n v="42500"/>
    <n v="47500"/>
    <n v="5000"/>
    <n v="1724.9999999999998"/>
    <n v="44225"/>
    <n v="14594.25"/>
    <n v="48725"/>
    <n v="51725"/>
    <n v="5174325"/>
    <n v="5700825"/>
    <n v="6051825"/>
    <n v="0"/>
    <n v="439817.62500000006"/>
    <n v="1"/>
    <n v="200000"/>
    <n v="200000"/>
    <n v="5374325"/>
  </r>
  <r>
    <m/>
    <s v="B"/>
    <x v="8"/>
    <s v="RESIDENTIAL"/>
    <x v="1"/>
    <n v="2"/>
    <x v="181"/>
    <x v="2"/>
    <s v="C1"/>
    <n v="163.05000000000001"/>
    <n v="180.58532909125773"/>
    <x v="18"/>
    <m/>
    <m/>
    <s v="NE"/>
    <s v="MIDDLE"/>
    <s v="LAKE B-1"/>
    <s v="FIRST"/>
    <x v="3"/>
    <n v="0.15"/>
    <n v="2.5000000000000001E-2"/>
    <n v="0.6"/>
    <n v="7.0000000000000007E-2"/>
    <n v="1.4999999999999999E-2"/>
    <x v="73"/>
    <x v="2"/>
    <x v="10"/>
    <n v="53550"/>
    <n v="59850"/>
    <n v="6300"/>
    <n v="5418"/>
    <n v="58968"/>
    <n v="19459.440000000002"/>
    <n v="63468"/>
    <n v="66468"/>
    <n v="11734632"/>
    <n v="12630132"/>
    <n v="13227132"/>
    <n v="0"/>
    <n v="997443.72000000009"/>
    <n v="2"/>
    <n v="252000"/>
    <n v="252000"/>
    <n v="11986632"/>
  </r>
  <r>
    <m/>
    <s v="B"/>
    <x v="8"/>
    <s v="RESIDENTIAL"/>
    <x v="1"/>
    <n v="3"/>
    <x v="182"/>
    <x v="3"/>
    <s v="C1"/>
    <n v="183.59"/>
    <n v="203.33431811017482"/>
    <x v="19"/>
    <m/>
    <m/>
    <s v="NE"/>
    <s v="CORNER "/>
    <s v="LAKE B-1"/>
    <s v="FIRST"/>
    <x v="3"/>
    <n v="0.15"/>
    <n v="0.05"/>
    <n v="0.6"/>
    <n v="7.0000000000000007E-2"/>
    <n v="1.4999999999999999E-2"/>
    <x v="74"/>
    <x v="2"/>
    <x v="8"/>
    <n v="56100"/>
    <n v="62700"/>
    <n v="6600"/>
    <n v="5841.0000000000009"/>
    <n v="61941"/>
    <n v="20440.530000000002"/>
    <n v="66441"/>
    <n v="69441"/>
    <n v="13874784"/>
    <n v="14882784"/>
    <n v="15554784"/>
    <n v="0"/>
    <n v="1179356.6400000001"/>
    <n v="2"/>
    <n v="264000"/>
    <n v="264000"/>
    <n v="14138784"/>
  </r>
  <r>
    <m/>
    <s v="B"/>
    <x v="8"/>
    <s v="RESIDENTIAL"/>
    <x v="1"/>
    <n v="4"/>
    <x v="183"/>
    <x v="2"/>
    <s v="C1"/>
    <n v="141.59"/>
    <n v="156.81739801307072"/>
    <x v="22"/>
    <m/>
    <m/>
    <s v="SW"/>
    <s v="CORNER "/>
    <s v="ROAD 18M (BUILDINGS)"/>
    <s v="FIRST"/>
    <x v="4"/>
    <n v="0.06"/>
    <n v="0.05"/>
    <n v="0.15"/>
    <n v="7.0000000000000007E-2"/>
    <n v="2.5000000000000001E-2"/>
    <x v="75"/>
    <x v="0"/>
    <x v="3"/>
    <n v="42500"/>
    <n v="47500"/>
    <n v="5000"/>
    <n v="1775.0000000000002"/>
    <n v="44275"/>
    <n v="14610.75"/>
    <n v="48775"/>
    <n v="51775"/>
    <n v="7659575"/>
    <n v="8438075"/>
    <n v="8957075"/>
    <n v="0"/>
    <n v="651063.875"/>
    <n v="2"/>
    <n v="200000"/>
    <n v="200000"/>
    <n v="7859575"/>
  </r>
  <r>
    <m/>
    <s v="B"/>
    <x v="8"/>
    <s v="RESIDENTIAL"/>
    <x v="2"/>
    <n v="1"/>
    <x v="184"/>
    <x v="2"/>
    <s v="C1"/>
    <n v="141.15"/>
    <n v="156.33007789776772"/>
    <x v="23"/>
    <m/>
    <m/>
    <s v="SW"/>
    <s v="MIDDLE"/>
    <s v="ROAD 18M (BUILDINGS)"/>
    <s v="SECOND"/>
    <x v="4"/>
    <n v="0.06"/>
    <n v="2.5000000000000001E-2"/>
    <n v="0.15"/>
    <n v="0.11"/>
    <n v="2.5000000000000001E-2"/>
    <x v="76"/>
    <x v="0"/>
    <x v="0"/>
    <n v="43562.499999999993"/>
    <n v="48687.499999999993"/>
    <n v="5125"/>
    <n v="1896.25"/>
    <n v="45458.749999999993"/>
    <n v="15001.387499999999"/>
    <n v="49958.749999999993"/>
    <n v="52958.749999999993"/>
    <n v="7818904.9999999991"/>
    <n v="8592904.9999999981"/>
    <n v="9108904.9999999981"/>
    <n v="0"/>
    <n v="664606.92499999993"/>
    <n v="2"/>
    <n v="204999.99999999997"/>
    <n v="204999.99999999997"/>
    <n v="8023904.9999999991"/>
  </r>
  <r>
    <m/>
    <s v="B"/>
    <x v="8"/>
    <s v="RESIDENTIAL"/>
    <x v="2"/>
    <n v="2"/>
    <x v="185"/>
    <x v="2"/>
    <s v="C1"/>
    <n v="167.88"/>
    <n v="185.93477490242469"/>
    <x v="24"/>
    <m/>
    <m/>
    <s v="NE"/>
    <s v="MIDDLE"/>
    <s v="LAKE B-1"/>
    <s v="SECOND"/>
    <x v="3"/>
    <n v="0.15"/>
    <n v="2.5000000000000001E-2"/>
    <n v="0.6"/>
    <n v="0.11"/>
    <n v="1.4999999999999999E-2"/>
    <x v="77"/>
    <x v="2"/>
    <x v="9"/>
    <n v="58649.999999999993"/>
    <n v="65550"/>
    <n v="6900.0000000000073"/>
    <n v="6210.0000000000064"/>
    <n v="64860"/>
    <n v="21403.8"/>
    <n v="69360"/>
    <n v="72360"/>
    <n v="13296300"/>
    <n v="14218800"/>
    <n v="14833800"/>
    <n v="0"/>
    <n v="1130185.5"/>
    <n v="2"/>
    <n v="276000"/>
    <n v="276000"/>
    <n v="13572300"/>
  </r>
  <r>
    <m/>
    <s v="B"/>
    <x v="8"/>
    <s v="RESIDENTIAL"/>
    <x v="2"/>
    <n v="3"/>
    <x v="186"/>
    <x v="3"/>
    <s v="C1"/>
    <n v="187.09"/>
    <n v="207.21072811826681"/>
    <x v="25"/>
    <m/>
    <m/>
    <s v="NE"/>
    <s v="CORNER "/>
    <s v="LAKE B-1"/>
    <s v="SECOND"/>
    <x v="3"/>
    <n v="0.15"/>
    <n v="0.05"/>
    <n v="0.6"/>
    <n v="0.11"/>
    <n v="1.4999999999999999E-2"/>
    <x v="78"/>
    <x v="2"/>
    <x v="7"/>
    <n v="61625"/>
    <n v="68875"/>
    <n v="7250"/>
    <n v="6706.25"/>
    <n v="68331.25"/>
    <n v="22549.3125"/>
    <n v="72831.25"/>
    <n v="75831.25"/>
    <n v="15579525"/>
    <n v="16605525"/>
    <n v="17289525"/>
    <n v="0"/>
    <n v="1324259.625"/>
    <n v="2"/>
    <n v="290000"/>
    <n v="290000"/>
    <n v="15869525"/>
  </r>
  <r>
    <m/>
    <s v="B"/>
    <x v="8"/>
    <s v="RESIDENTIAL"/>
    <x v="2"/>
    <n v="4"/>
    <x v="187"/>
    <x v="2"/>
    <s v="C1"/>
    <n v="143.97"/>
    <n v="159.45335681857327"/>
    <x v="20"/>
    <m/>
    <m/>
    <s v="SW"/>
    <s v="CORNER "/>
    <s v="ROAD 18M (BUILDINGS)"/>
    <s v="SECOND"/>
    <x v="4"/>
    <n v="0.06"/>
    <n v="0.05"/>
    <n v="0.15"/>
    <n v="0.11"/>
    <n v="2.5000000000000001E-2"/>
    <x v="53"/>
    <x v="0"/>
    <x v="2"/>
    <n v="45687.5"/>
    <n v="51062.5"/>
    <n v="5375"/>
    <n v="2123.125"/>
    <n v="47810.625"/>
    <n v="15777.50625"/>
    <n v="52310.625"/>
    <n v="55310.625"/>
    <n v="8414670"/>
    <n v="9206670"/>
    <n v="9734670"/>
    <n v="0"/>
    <n v="715246.95000000007"/>
    <n v="2"/>
    <n v="215000"/>
    <n v="215000"/>
    <n v="8629670"/>
  </r>
  <r>
    <m/>
    <s v="B"/>
    <x v="8"/>
    <s v="RESIDENTIAL"/>
    <x v="3"/>
    <n v="1"/>
    <x v="188"/>
    <x v="2"/>
    <s v="C1"/>
    <n v="141.38999999999999"/>
    <n v="156.59588886975115"/>
    <x v="23"/>
    <m/>
    <m/>
    <s v="SW"/>
    <s v="MIDDLE"/>
    <s v="ROAD 18M (BUILDINGS)"/>
    <s v="THIRD"/>
    <x v="4"/>
    <n v="0.06"/>
    <n v="2.5000000000000001E-2"/>
    <n v="0.15"/>
    <n v="0.15"/>
    <n v="2.5000000000000001E-2"/>
    <x v="79"/>
    <x v="0"/>
    <x v="1"/>
    <n v="48450.000000000007"/>
    <n v="54150.000000000007"/>
    <n v="5700"/>
    <n v="2337"/>
    <n v="50787.000000000007"/>
    <n v="16759.710000000003"/>
    <n v="55287.000000000007"/>
    <n v="58287.000000000007"/>
    <n v="8735364.0000000019"/>
    <n v="9509364.0000000019"/>
    <n v="10025364.000000002"/>
    <n v="0"/>
    <n v="742505.94000000018"/>
    <n v="2"/>
    <n v="228000.00000000003"/>
    <n v="228000.00000000003"/>
    <n v="8963364.0000000019"/>
  </r>
  <r>
    <m/>
    <s v="B"/>
    <x v="8"/>
    <s v="RESIDENTIAL"/>
    <x v="3"/>
    <n v="2"/>
    <x v="189"/>
    <x v="2"/>
    <s v="C1"/>
    <n v="165.71"/>
    <n v="183.53140069740763"/>
    <x v="26"/>
    <m/>
    <m/>
    <s v="NE"/>
    <s v="MIDDLE"/>
    <s v="LAKE B-1"/>
    <s v="THIRD"/>
    <x v="3"/>
    <n v="0.15"/>
    <n v="2.5000000000000001E-2"/>
    <n v="0.6"/>
    <n v="0.15"/>
    <n v="1.4999999999999999E-2"/>
    <x v="80"/>
    <x v="2"/>
    <x v="7"/>
    <n v="61625"/>
    <n v="68875"/>
    <n v="7250"/>
    <n v="6815"/>
    <n v="68440"/>
    <n v="22585.200000000001"/>
    <n v="72940"/>
    <n v="75940"/>
    <n v="13824880"/>
    <n v="14733880"/>
    <n v="15339880"/>
    <n v="0"/>
    <n v="1175114.8"/>
    <n v="2"/>
    <n v="290000"/>
    <n v="290000"/>
    <n v="14114880"/>
  </r>
  <r>
    <m/>
    <s v="B"/>
    <x v="8"/>
    <s v="RESIDENTIAL"/>
    <x v="3"/>
    <n v="3"/>
    <x v="190"/>
    <x v="3"/>
    <s v="C1"/>
    <n v="187.91"/>
    <n v="208.11891560587694"/>
    <x v="27"/>
    <m/>
    <m/>
    <s v="NE"/>
    <s v="CORNER "/>
    <s v="LAKE B-1"/>
    <s v="THIRD"/>
    <x v="3"/>
    <n v="0.15"/>
    <n v="0.05"/>
    <n v="0.6"/>
    <n v="0.15"/>
    <n v="1.4999999999999999E-2"/>
    <x v="81"/>
    <x v="2"/>
    <x v="7"/>
    <n v="61625"/>
    <n v="68875"/>
    <n v="7250"/>
    <n v="6996.2500000000009"/>
    <n v="68621.25"/>
    <n v="22645.012500000001"/>
    <n v="73121.25"/>
    <n v="76121.25"/>
    <n v="15714266.25"/>
    <n v="16744766.25"/>
    <n v="17431766.25"/>
    <n v="0"/>
    <n v="1335712.6312500001"/>
    <n v="2"/>
    <n v="290000"/>
    <n v="290000"/>
    <n v="16004266.25"/>
  </r>
  <r>
    <m/>
    <s v="B"/>
    <x v="8"/>
    <s v="RESIDENTIAL"/>
    <x v="3"/>
    <n v="4"/>
    <x v="191"/>
    <x v="2"/>
    <s v="C1"/>
    <n v="144.21"/>
    <n v="159.71916779055672"/>
    <x v="20"/>
    <m/>
    <m/>
    <s v="SW"/>
    <s v="CORNER "/>
    <s v="ROAD 18M (BUILDINGS)"/>
    <s v="THIRD"/>
    <x v="4"/>
    <n v="0.06"/>
    <n v="0.05"/>
    <n v="0.15"/>
    <n v="0.15"/>
    <n v="2.5000000000000001E-2"/>
    <x v="82"/>
    <x v="0"/>
    <x v="4"/>
    <n v="51850"/>
    <n v="57950"/>
    <n v="6100"/>
    <n v="2653.5000000000005"/>
    <n v="54503.5"/>
    <n v="17986.155000000002"/>
    <n v="59003.5"/>
    <n v="62003.5"/>
    <n v="9592616"/>
    <n v="10384616"/>
    <n v="10912616"/>
    <n v="0"/>
    <n v="815372.3600000001"/>
    <n v="2"/>
    <n v="244000"/>
    <n v="244000"/>
    <n v="9836616"/>
  </r>
  <r>
    <m/>
    <s v="B"/>
    <x v="8"/>
    <s v="RESIDENTIAL"/>
    <x v="4"/>
    <n v="1"/>
    <x v="192"/>
    <x v="2"/>
    <s v="C1"/>
    <n v="139.09"/>
    <n v="154.04853372157643"/>
    <x v="28"/>
    <m/>
    <m/>
    <s v="SW"/>
    <s v="MIDDLE"/>
    <s v="ROAD 18M (BUILDINGS)"/>
    <s v="FORTH"/>
    <x v="4"/>
    <n v="0.06"/>
    <n v="2.5000000000000001E-2"/>
    <n v="0.15"/>
    <n v="0.06"/>
    <n v="2.5000000000000001E-2"/>
    <x v="83"/>
    <x v="0"/>
    <x v="3"/>
    <n v="42500"/>
    <n v="47500"/>
    <n v="5000"/>
    <n v="1600"/>
    <n v="44100"/>
    <n v="14553"/>
    <n v="48600"/>
    <n v="51600"/>
    <n v="7497000"/>
    <n v="8262000"/>
    <n v="8772000"/>
    <n v="0"/>
    <n v="637245"/>
    <n v="2"/>
    <n v="200000"/>
    <n v="200000"/>
    <n v="7697000"/>
  </r>
  <r>
    <m/>
    <s v="B"/>
    <x v="8"/>
    <s v="RESIDENTIAL"/>
    <x v="4"/>
    <n v="2"/>
    <x v="193"/>
    <x v="2"/>
    <s v="C1"/>
    <n v="163.35"/>
    <n v="180.91759280623702"/>
    <x v="18"/>
    <m/>
    <m/>
    <s v="NE"/>
    <s v="MIDDLE"/>
    <s v="LAKE B-1"/>
    <s v="FORTH"/>
    <x v="3"/>
    <n v="0.15"/>
    <n v="2.5000000000000001E-2"/>
    <n v="0.6"/>
    <n v="0.06"/>
    <n v="1.4999999999999999E-2"/>
    <x v="84"/>
    <x v="2"/>
    <x v="4"/>
    <n v="51850"/>
    <n v="57950"/>
    <n v="6100"/>
    <n v="5185"/>
    <n v="57035"/>
    <n v="18821.55"/>
    <n v="61535"/>
    <n v="64535"/>
    <n v="11349965"/>
    <n v="12245465"/>
    <n v="12842465"/>
    <n v="0"/>
    <n v="964747.02500000002"/>
    <n v="2"/>
    <n v="244000"/>
    <n v="244000"/>
    <n v="11593965"/>
  </r>
  <r>
    <m/>
    <s v="B"/>
    <x v="8"/>
    <s v="RESIDENTIAL"/>
    <x v="4"/>
    <n v="3"/>
    <x v="194"/>
    <x v="3"/>
    <s v="C1"/>
    <n v="182.56"/>
    <n v="202.19354602207918"/>
    <x v="29"/>
    <m/>
    <m/>
    <s v="NE"/>
    <s v="CORNER "/>
    <s v="LAKE B-1"/>
    <s v="FORTH"/>
    <x v="3"/>
    <n v="0.15"/>
    <n v="0.05"/>
    <n v="0.6"/>
    <n v="0.06"/>
    <n v="1.4999999999999999E-2"/>
    <x v="85"/>
    <x v="2"/>
    <x v="10"/>
    <n v="53550"/>
    <n v="59850"/>
    <n v="6300"/>
    <n v="5512.5000000000009"/>
    <n v="59062.5"/>
    <n v="19490.625"/>
    <n v="63562.5"/>
    <n v="66562.5"/>
    <n v="13170937.5"/>
    <n v="14174437.5"/>
    <n v="14843437.5"/>
    <n v="0"/>
    <n v="1119529.6875"/>
    <n v="2"/>
    <n v="252000"/>
    <n v="252000"/>
    <n v="13422937.5"/>
  </r>
  <r>
    <m/>
    <s v="B"/>
    <x v="8"/>
    <s v="RESIDENTIAL"/>
    <x v="4"/>
    <n v="4"/>
    <x v="195"/>
    <x v="2"/>
    <s v="C1"/>
    <n v="141.91"/>
    <n v="157.17181264238198"/>
    <x v="22"/>
    <m/>
    <m/>
    <s v="SW"/>
    <s v="CORNER "/>
    <s v="ROAD 18M (BUILDINGS)"/>
    <s v="FORTH"/>
    <x v="4"/>
    <n v="0.06"/>
    <n v="0.05"/>
    <n v="0.15"/>
    <n v="0.06"/>
    <n v="2.5000000000000001E-2"/>
    <x v="86"/>
    <x v="0"/>
    <x v="3"/>
    <n v="42500"/>
    <n v="47500"/>
    <n v="5000"/>
    <n v="1725.0000000000002"/>
    <n v="44225"/>
    <n v="14594.25"/>
    <n v="48725"/>
    <n v="51725"/>
    <n v="7650925"/>
    <n v="8429425"/>
    <n v="8948425"/>
    <n v="0"/>
    <n v="650328.625"/>
    <n v="2"/>
    <n v="200000"/>
    <n v="200000"/>
    <n v="7850925"/>
  </r>
  <r>
    <s v="B2"/>
    <s v="B"/>
    <x v="9"/>
    <s v="RESIDENTIAL"/>
    <x v="0"/>
    <n v="1"/>
    <x v="196"/>
    <x v="2"/>
    <s v="C1"/>
    <n v="144.21"/>
    <n v="159.71916779055672"/>
    <x v="20"/>
    <n v="82.528400000000005"/>
    <m/>
    <s v="SW"/>
    <s v="CORNER "/>
    <s v="ROAD 18M (BUILDINGS)"/>
    <s v="GROUND"/>
    <x v="4"/>
    <n v="0.06"/>
    <n v="0.05"/>
    <n v="0.15"/>
    <n v="0.05"/>
    <n v="2.5000000000000001E-2"/>
    <x v="72"/>
    <x v="0"/>
    <x v="3"/>
    <n v="42500"/>
    <n v="47500"/>
    <n v="5000"/>
    <n v="1675"/>
    <n v="44175"/>
    <n v="14577.75"/>
    <n v="48675"/>
    <n v="51675"/>
    <n v="7774800"/>
    <n v="8566800"/>
    <n v="9094800"/>
    <n v="1203078.3831"/>
    <n v="763119.66256349999"/>
    <n v="2"/>
    <n v="200000"/>
    <n v="200000"/>
    <n v="9177878.3830999993"/>
  </r>
  <r>
    <m/>
    <s v="B"/>
    <x v="9"/>
    <s v="RESIDENTIAL"/>
    <x v="0"/>
    <n v="2"/>
    <x v="197"/>
    <x v="3"/>
    <s v="C1"/>
    <n v="183.89"/>
    <n v="203.66658182515411"/>
    <x v="19"/>
    <n v="61.571399999999997"/>
    <m/>
    <s v="NE"/>
    <s v="CORNER "/>
    <s v="LAKE B-1"/>
    <s v="GROUND"/>
    <x v="3"/>
    <n v="0.15"/>
    <n v="0.05"/>
    <n v="0.6"/>
    <n v="0.05"/>
    <n v="1.4999999999999999E-2"/>
    <x v="71"/>
    <x v="2"/>
    <x v="10"/>
    <n v="53550"/>
    <n v="59850"/>
    <n v="6300"/>
    <n v="5449.5000000000009"/>
    <n v="58999.5"/>
    <n v="19469.834999999999"/>
    <n v="63499.5"/>
    <n v="66499.5"/>
    <n v="13215888"/>
    <n v="14223888"/>
    <n v="14895888"/>
    <n v="1198784.9987189998"/>
    <n v="1225247.204891115"/>
    <n v="2"/>
    <n v="252000"/>
    <n v="252000"/>
    <n v="14666672.998718999"/>
  </r>
  <r>
    <m/>
    <s v="B"/>
    <x v="9"/>
    <s v="RESIDENTIAL"/>
    <x v="0"/>
    <n v="3"/>
    <x v="198"/>
    <x v="2"/>
    <s v="C1"/>
    <n v="163.35"/>
    <n v="180.91759280623702"/>
    <x v="18"/>
    <n v="76.321799999999996"/>
    <m/>
    <s v="NE"/>
    <s v="MIDDLE"/>
    <s v="LAKE B-1"/>
    <s v="GROUND"/>
    <x v="3"/>
    <n v="0.15"/>
    <n v="2.5000000000000001E-2"/>
    <n v="0.6"/>
    <n v="0.05"/>
    <n v="1.4999999999999999E-2"/>
    <x v="70"/>
    <x v="2"/>
    <x v="4"/>
    <n v="51850"/>
    <n v="57950"/>
    <n v="6100"/>
    <n v="5124"/>
    <n v="56974"/>
    <n v="18801.420000000002"/>
    <n v="61474"/>
    <n v="64474"/>
    <n v="11337826"/>
    <n v="12233326"/>
    <n v="12830326"/>
    <n v="1434958.2169560001"/>
    <n v="1085686.6584412602"/>
    <n v="2"/>
    <n v="244000"/>
    <n v="244000"/>
    <n v="13016784.216956001"/>
  </r>
  <r>
    <m/>
    <s v="B"/>
    <x v="9"/>
    <s v="RESIDENTIAL"/>
    <x v="0"/>
    <n v="4"/>
    <x v="199"/>
    <x v="2"/>
    <s v="C1"/>
    <n v="94.92"/>
    <n v="105.12823941945527"/>
    <x v="17"/>
    <n v="62.468000000000004"/>
    <m/>
    <s v="SW"/>
    <s v="MIDDLE"/>
    <s v="ROAD 18M (BUILDINGS)"/>
    <s v="GROUND"/>
    <x v="1"/>
    <n v="0.06"/>
    <n v="2.5000000000000001E-2"/>
    <n v="0.15"/>
    <n v="0.05"/>
    <n v="0.04"/>
    <x v="69"/>
    <x v="0"/>
    <x v="3"/>
    <n v="42500"/>
    <n v="47500"/>
    <n v="5000"/>
    <n v="1624.9999999999998"/>
    <n v="44125"/>
    <n v="14561.25"/>
    <n v="48625"/>
    <n v="51625"/>
    <n v="5118500"/>
    <n v="5640500"/>
    <n v="5988500"/>
    <n v="909612.16500000004"/>
    <n v="512389.53402500006"/>
    <n v="1"/>
    <n v="200000"/>
    <n v="200000"/>
    <n v="6228112.165"/>
  </r>
  <r>
    <m/>
    <s v="B"/>
    <x v="9"/>
    <s v="RESIDENTIAL"/>
    <x v="1"/>
    <n v="1"/>
    <x v="200"/>
    <x v="2"/>
    <s v="C1"/>
    <n v="141.59"/>
    <n v="156.81739801307072"/>
    <x v="22"/>
    <m/>
    <m/>
    <s v="SW"/>
    <s v="CORNER "/>
    <s v="ROAD 18M (BUILDINGS)"/>
    <s v="FIRST"/>
    <x v="4"/>
    <n v="0.06"/>
    <n v="0.05"/>
    <n v="0.15"/>
    <n v="7.0000000000000007E-2"/>
    <n v="2.5000000000000001E-2"/>
    <x v="75"/>
    <x v="0"/>
    <x v="3"/>
    <n v="42500"/>
    <n v="47500"/>
    <n v="5000"/>
    <n v="1775.0000000000002"/>
    <n v="44275"/>
    <n v="14610.75"/>
    <n v="48775"/>
    <n v="51775"/>
    <n v="7659575"/>
    <n v="8438075"/>
    <n v="8957075"/>
    <n v="0"/>
    <n v="651063.875"/>
    <n v="2"/>
    <n v="200000"/>
    <n v="200000"/>
    <n v="7859575"/>
  </r>
  <r>
    <m/>
    <s v="B"/>
    <x v="9"/>
    <s v="RESIDENTIAL"/>
    <x v="1"/>
    <n v="2"/>
    <x v="201"/>
    <x v="3"/>
    <s v="C1"/>
    <n v="183.59"/>
    <n v="203.33431811017482"/>
    <x v="19"/>
    <m/>
    <m/>
    <s v="NE"/>
    <s v="CORNER "/>
    <s v="LAKE B-1"/>
    <s v="FIRST"/>
    <x v="3"/>
    <n v="0.15"/>
    <n v="0.05"/>
    <n v="0.6"/>
    <n v="7.0000000000000007E-2"/>
    <n v="1.4999999999999999E-2"/>
    <x v="74"/>
    <x v="2"/>
    <x v="8"/>
    <n v="56100"/>
    <n v="62700"/>
    <n v="6600"/>
    <n v="5841.0000000000009"/>
    <n v="61941"/>
    <n v="20440.530000000002"/>
    <n v="66441"/>
    <n v="69441"/>
    <n v="13874784"/>
    <n v="14882784"/>
    <n v="15554784"/>
    <n v="0"/>
    <n v="1179356.6400000001"/>
    <n v="2"/>
    <n v="264000"/>
    <n v="264000"/>
    <n v="14138784"/>
  </r>
  <r>
    <m/>
    <s v="B"/>
    <x v="9"/>
    <s v="RESIDENTIAL"/>
    <x v="1"/>
    <n v="3"/>
    <x v="202"/>
    <x v="2"/>
    <s v="C1"/>
    <n v="163.05000000000001"/>
    <n v="180.58532909125773"/>
    <x v="18"/>
    <m/>
    <m/>
    <s v="NE"/>
    <s v="MIDDLE"/>
    <s v="LAKE B-1"/>
    <s v="FIRST"/>
    <x v="3"/>
    <n v="0.15"/>
    <n v="2.5000000000000001E-2"/>
    <n v="0.6"/>
    <n v="7.0000000000000007E-2"/>
    <n v="1.4999999999999999E-2"/>
    <x v="73"/>
    <x v="2"/>
    <x v="10"/>
    <n v="53550"/>
    <n v="59850"/>
    <n v="6300"/>
    <n v="5418"/>
    <n v="58968"/>
    <n v="19459.440000000002"/>
    <n v="63468"/>
    <n v="66468"/>
    <n v="11734632"/>
    <n v="12630132"/>
    <n v="13227132"/>
    <n v="0"/>
    <n v="997443.72000000009"/>
    <n v="2"/>
    <n v="252000"/>
    <n v="252000"/>
    <n v="11986632"/>
  </r>
  <r>
    <m/>
    <s v="B"/>
    <x v="9"/>
    <s v="RESIDENTIAL"/>
    <x v="1"/>
    <n v="4"/>
    <x v="203"/>
    <x v="0"/>
    <s v="C1"/>
    <n v="96.29"/>
    <n v="106.64557705119415"/>
    <x v="21"/>
    <m/>
    <m/>
    <s v="SW"/>
    <s v="MIDDLE"/>
    <s v="ROAD 18M (BUILDINGS)"/>
    <s v="FIRST"/>
    <x v="1"/>
    <n v="0.06"/>
    <n v="2.5000000000000001E-2"/>
    <n v="0.15"/>
    <n v="7.0000000000000007E-2"/>
    <n v="0.04"/>
    <x v="18"/>
    <x v="0"/>
    <x v="3"/>
    <n v="42500"/>
    <n v="47500"/>
    <n v="5000"/>
    <n v="1724.9999999999998"/>
    <n v="44225"/>
    <n v="14594.25"/>
    <n v="48725"/>
    <n v="51725"/>
    <n v="5174325"/>
    <n v="5700825"/>
    <n v="6051825"/>
    <n v="0"/>
    <n v="439817.62500000006"/>
    <n v="1"/>
    <n v="200000"/>
    <n v="200000"/>
    <n v="5374325"/>
  </r>
  <r>
    <m/>
    <s v="B"/>
    <x v="9"/>
    <s v="RESIDENTIAL"/>
    <x v="2"/>
    <n v="1"/>
    <x v="204"/>
    <x v="2"/>
    <s v="C1"/>
    <n v="143.97"/>
    <n v="159.45335681857327"/>
    <x v="20"/>
    <m/>
    <m/>
    <s v="SW"/>
    <s v="CORNER "/>
    <s v="ROAD 18M (BUILDINGS)"/>
    <s v="SECOND"/>
    <x v="4"/>
    <n v="0.06"/>
    <n v="0.05"/>
    <n v="0.15"/>
    <n v="0.11"/>
    <n v="2.5000000000000001E-2"/>
    <x v="53"/>
    <x v="0"/>
    <x v="5"/>
    <n v="46750.000000000007"/>
    <n v="52250.000000000007"/>
    <n v="5500"/>
    <n v="2172.5"/>
    <n v="48922.500000000007"/>
    <n v="16144.425000000003"/>
    <n v="53422.500000000007"/>
    <n v="56422.500000000007"/>
    <n v="8610360.0000000019"/>
    <n v="9402360.0000000019"/>
    <n v="9930360.0000000019"/>
    <n v="0"/>
    <n v="731880.60000000021"/>
    <n v="2"/>
    <n v="220000.00000000003"/>
    <n v="220000.00000000003"/>
    <n v="8830360.0000000019"/>
  </r>
  <r>
    <m/>
    <s v="B"/>
    <x v="9"/>
    <s v="RESIDENTIAL"/>
    <x v="2"/>
    <n v="2"/>
    <x v="205"/>
    <x v="3"/>
    <s v="C1"/>
    <n v="187.09"/>
    <n v="207.21072811826681"/>
    <x v="25"/>
    <m/>
    <m/>
    <s v="NE"/>
    <s v="CORNER "/>
    <s v="LAKE B-1"/>
    <s v="SECOND"/>
    <x v="3"/>
    <n v="0.15"/>
    <n v="0.05"/>
    <n v="0.6"/>
    <n v="0.11"/>
    <n v="1.4999999999999999E-2"/>
    <x v="78"/>
    <x v="2"/>
    <x v="7"/>
    <n v="61625"/>
    <n v="68875"/>
    <n v="7250"/>
    <n v="6706.25"/>
    <n v="68331.25"/>
    <n v="22549.3125"/>
    <n v="72831.25"/>
    <n v="75831.25"/>
    <n v="15579525"/>
    <n v="16605525"/>
    <n v="17289525"/>
    <n v="0"/>
    <n v="1324259.625"/>
    <n v="2"/>
    <n v="290000"/>
    <n v="290000"/>
    <n v="15869525"/>
  </r>
  <r>
    <m/>
    <s v="B"/>
    <x v="9"/>
    <s v="RESIDENTIAL"/>
    <x v="2"/>
    <n v="3"/>
    <x v="206"/>
    <x v="2"/>
    <s v="C1"/>
    <n v="167.88"/>
    <n v="185.93477490242469"/>
    <x v="24"/>
    <m/>
    <m/>
    <s v="NE"/>
    <s v="MIDDLE"/>
    <s v="LAKE B-1"/>
    <s v="SECOND"/>
    <x v="3"/>
    <n v="0.15"/>
    <n v="2.5000000000000001E-2"/>
    <n v="0.6"/>
    <n v="0.11"/>
    <n v="1.4999999999999999E-2"/>
    <x v="77"/>
    <x v="2"/>
    <x v="9"/>
    <n v="58649.999999999993"/>
    <n v="65550"/>
    <n v="6900.0000000000073"/>
    <n v="6210.0000000000064"/>
    <n v="64860"/>
    <n v="21403.8"/>
    <n v="69360"/>
    <n v="72360"/>
    <n v="13296300"/>
    <n v="14218800"/>
    <n v="14833800"/>
    <n v="0"/>
    <n v="1130185.5"/>
    <n v="2"/>
    <n v="276000"/>
    <n v="276000"/>
    <n v="13572300"/>
  </r>
  <r>
    <m/>
    <s v="B"/>
    <x v="9"/>
    <s v="RESIDENTIAL"/>
    <x v="2"/>
    <n v="4"/>
    <x v="207"/>
    <x v="2"/>
    <s v="C1"/>
    <n v="141.15"/>
    <n v="156.33007789776772"/>
    <x v="23"/>
    <m/>
    <m/>
    <s v="SW"/>
    <s v="MIDDLE"/>
    <s v="ROAD 18M (BUILDINGS)"/>
    <s v="SECOND"/>
    <x v="4"/>
    <n v="0.06"/>
    <n v="2.5000000000000001E-2"/>
    <n v="0.15"/>
    <n v="0.11"/>
    <n v="2.5000000000000001E-2"/>
    <x v="76"/>
    <x v="0"/>
    <x v="0"/>
    <n v="43562.499999999993"/>
    <n v="48687.499999999993"/>
    <n v="5125"/>
    <n v="1896.25"/>
    <n v="45458.749999999993"/>
    <n v="15001.387499999999"/>
    <n v="49958.749999999993"/>
    <n v="52958.749999999993"/>
    <n v="7818904.9999999991"/>
    <n v="8592904.9999999981"/>
    <n v="9108904.9999999981"/>
    <n v="0"/>
    <n v="664606.92499999993"/>
    <n v="2"/>
    <n v="204999.99999999997"/>
    <n v="204999.99999999997"/>
    <n v="8023904.9999999991"/>
  </r>
  <r>
    <m/>
    <s v="B"/>
    <x v="9"/>
    <s v="RESIDENTIAL"/>
    <x v="3"/>
    <n v="1"/>
    <x v="208"/>
    <x v="2"/>
    <s v="C1"/>
    <n v="144.21"/>
    <n v="159.71916779055672"/>
    <x v="20"/>
    <m/>
    <m/>
    <s v="SW"/>
    <s v="CORNER "/>
    <s v="ROAD 18M (BUILDINGS)"/>
    <s v="THIRD"/>
    <x v="4"/>
    <n v="0.06"/>
    <n v="0.05"/>
    <n v="0.15"/>
    <n v="0.15"/>
    <n v="2.5000000000000001E-2"/>
    <x v="82"/>
    <x v="0"/>
    <x v="4"/>
    <n v="51850"/>
    <n v="57950"/>
    <n v="6100"/>
    <n v="2653.5000000000005"/>
    <n v="54503.5"/>
    <n v="17986.155000000002"/>
    <n v="59003.5"/>
    <n v="62003.5"/>
    <n v="9592616"/>
    <n v="10384616"/>
    <n v="10912616"/>
    <n v="0"/>
    <n v="815372.3600000001"/>
    <n v="2"/>
    <n v="244000"/>
    <n v="244000"/>
    <n v="9836616"/>
  </r>
  <r>
    <m/>
    <s v="B"/>
    <x v="9"/>
    <s v="RESIDENTIAL"/>
    <x v="3"/>
    <n v="2"/>
    <x v="209"/>
    <x v="3"/>
    <s v="C1"/>
    <n v="187.91"/>
    <n v="208.11891560587694"/>
    <x v="27"/>
    <m/>
    <m/>
    <s v="NE"/>
    <s v="CORNER "/>
    <s v="LAKE B-1"/>
    <s v="THIRD"/>
    <x v="3"/>
    <n v="0.15"/>
    <n v="0.05"/>
    <n v="0.6"/>
    <n v="0.15"/>
    <n v="1.4999999999999999E-2"/>
    <x v="81"/>
    <x v="2"/>
    <x v="7"/>
    <n v="61625"/>
    <n v="68875"/>
    <n v="7250"/>
    <n v="6996.2500000000009"/>
    <n v="68621.25"/>
    <n v="22645.012500000001"/>
    <n v="73121.25"/>
    <n v="76121.25"/>
    <n v="15714266.25"/>
    <n v="16744766.25"/>
    <n v="17431766.25"/>
    <n v="0"/>
    <n v="1335712.6312500001"/>
    <n v="2"/>
    <n v="290000"/>
    <n v="290000"/>
    <n v="16004266.25"/>
  </r>
  <r>
    <m/>
    <s v="B"/>
    <x v="9"/>
    <s v="RESIDENTIAL"/>
    <x v="3"/>
    <n v="3"/>
    <x v="210"/>
    <x v="2"/>
    <s v="C1"/>
    <n v="165.71"/>
    <n v="183.53140069740763"/>
    <x v="26"/>
    <m/>
    <m/>
    <s v="NE"/>
    <s v="MIDDLE"/>
    <s v="LAKE B-1"/>
    <s v="THIRD"/>
    <x v="3"/>
    <n v="0.15"/>
    <n v="2.5000000000000001E-2"/>
    <n v="0.6"/>
    <n v="0.15"/>
    <n v="1.4999999999999999E-2"/>
    <x v="80"/>
    <x v="2"/>
    <x v="7"/>
    <n v="61625"/>
    <n v="68875"/>
    <n v="7250"/>
    <n v="6815"/>
    <n v="68440"/>
    <n v="22585.200000000001"/>
    <n v="72940"/>
    <n v="75940"/>
    <n v="13824880"/>
    <n v="14733880"/>
    <n v="15339880"/>
    <n v="0"/>
    <n v="1175114.8"/>
    <n v="2"/>
    <n v="290000"/>
    <n v="290000"/>
    <n v="14114880"/>
  </r>
  <r>
    <m/>
    <s v="B"/>
    <x v="9"/>
    <s v="RESIDENTIAL"/>
    <x v="3"/>
    <n v="4"/>
    <x v="211"/>
    <x v="2"/>
    <s v="C1"/>
    <n v="141.38999999999999"/>
    <n v="156.59588886975115"/>
    <x v="23"/>
    <m/>
    <m/>
    <s v="SW"/>
    <s v="MIDDLE"/>
    <s v="ROAD 18M (BUILDINGS)"/>
    <s v="THIRD"/>
    <x v="4"/>
    <n v="0.06"/>
    <n v="2.5000000000000001E-2"/>
    <n v="0.15"/>
    <n v="0.15"/>
    <n v="2.5000000000000001E-2"/>
    <x v="79"/>
    <x v="0"/>
    <x v="1"/>
    <n v="48450.000000000007"/>
    <n v="54150.000000000007"/>
    <n v="5700"/>
    <n v="2337"/>
    <n v="50787.000000000007"/>
    <n v="16759.710000000003"/>
    <n v="55287.000000000007"/>
    <n v="58287.000000000007"/>
    <n v="8735364.0000000019"/>
    <n v="9509364.0000000019"/>
    <n v="10025364.000000002"/>
    <n v="0"/>
    <n v="742505.94000000018"/>
    <n v="2"/>
    <n v="228000.00000000003"/>
    <n v="228000.00000000003"/>
    <n v="8963364.0000000019"/>
  </r>
  <r>
    <m/>
    <s v="B"/>
    <x v="9"/>
    <s v="RESIDENTIAL"/>
    <x v="4"/>
    <n v="1"/>
    <x v="212"/>
    <x v="2"/>
    <s v="C1"/>
    <n v="141.91"/>
    <n v="157.17181264238198"/>
    <x v="22"/>
    <m/>
    <m/>
    <s v="SW"/>
    <s v="CORNER "/>
    <s v="ROAD 18M (BUILDINGS)"/>
    <s v="FORTH"/>
    <x v="4"/>
    <n v="0.06"/>
    <n v="0.05"/>
    <n v="0.15"/>
    <n v="0.06"/>
    <n v="2.5000000000000001E-2"/>
    <x v="86"/>
    <x v="0"/>
    <x v="3"/>
    <n v="42500"/>
    <n v="47500"/>
    <n v="5000"/>
    <n v="1725.0000000000002"/>
    <n v="44225"/>
    <n v="14594.25"/>
    <n v="48725"/>
    <n v="51725"/>
    <n v="7650925"/>
    <n v="8429425"/>
    <n v="8948425"/>
    <n v="0"/>
    <n v="650328.625"/>
    <n v="2"/>
    <n v="200000"/>
    <n v="200000"/>
    <n v="7850925"/>
  </r>
  <r>
    <m/>
    <s v="B"/>
    <x v="9"/>
    <s v="RESIDENTIAL"/>
    <x v="4"/>
    <n v="2"/>
    <x v="213"/>
    <x v="3"/>
    <s v="C1"/>
    <n v="182.56"/>
    <n v="202.19354602207918"/>
    <x v="29"/>
    <m/>
    <m/>
    <s v="NE"/>
    <s v="CORNER "/>
    <s v="LAKE B-1"/>
    <s v="FORTH"/>
    <x v="3"/>
    <n v="0.15"/>
    <n v="0.05"/>
    <n v="0.6"/>
    <n v="0.06"/>
    <n v="1.4999999999999999E-2"/>
    <x v="85"/>
    <x v="2"/>
    <x v="8"/>
    <n v="56100"/>
    <n v="62700"/>
    <n v="6600"/>
    <n v="5775.0000000000009"/>
    <n v="61875"/>
    <n v="20418.75"/>
    <n v="66375"/>
    <n v="69375"/>
    <n v="13798125"/>
    <n v="14801625"/>
    <n v="15470625"/>
    <n v="0"/>
    <n v="1172840.625"/>
    <n v="2"/>
    <n v="264000"/>
    <n v="264000"/>
    <n v="14062125"/>
  </r>
  <r>
    <m/>
    <s v="B"/>
    <x v="9"/>
    <s v="RESIDENTIAL"/>
    <x v="4"/>
    <n v="3"/>
    <x v="214"/>
    <x v="2"/>
    <s v="C1"/>
    <n v="163.35"/>
    <n v="180.91759280623702"/>
    <x v="18"/>
    <m/>
    <m/>
    <s v="NE"/>
    <s v="MIDDLE"/>
    <s v="LAKE B-1"/>
    <s v="FORTH"/>
    <x v="3"/>
    <n v="0.15"/>
    <n v="2.5000000000000001E-2"/>
    <n v="0.6"/>
    <n v="0.06"/>
    <n v="1.4999999999999999E-2"/>
    <x v="84"/>
    <x v="2"/>
    <x v="4"/>
    <n v="51850"/>
    <n v="57950"/>
    <n v="6100"/>
    <n v="5185"/>
    <n v="57035"/>
    <n v="18821.55"/>
    <n v="61535"/>
    <n v="64535"/>
    <n v="11349965"/>
    <n v="12245465"/>
    <n v="12842465"/>
    <n v="0"/>
    <n v="964747.02500000002"/>
    <n v="2"/>
    <n v="244000"/>
    <n v="244000"/>
    <n v="11593965"/>
  </r>
  <r>
    <m/>
    <s v="B"/>
    <x v="9"/>
    <s v="RESIDENTIAL"/>
    <x v="4"/>
    <n v="4"/>
    <x v="215"/>
    <x v="2"/>
    <s v="C1"/>
    <n v="139.09"/>
    <n v="154.04853372157643"/>
    <x v="28"/>
    <m/>
    <m/>
    <s v="SW"/>
    <s v="MIDDLE"/>
    <s v="ROAD 18M (BUILDINGS)"/>
    <s v="FORTH"/>
    <x v="4"/>
    <n v="0.06"/>
    <n v="2.5000000000000001E-2"/>
    <n v="0.15"/>
    <n v="0.06"/>
    <n v="2.5000000000000001E-2"/>
    <x v="83"/>
    <x v="0"/>
    <x v="3"/>
    <n v="42500"/>
    <n v="47500"/>
    <n v="5000"/>
    <n v="1600"/>
    <n v="44100"/>
    <n v="14553"/>
    <n v="48600"/>
    <n v="51600"/>
    <n v="7497000"/>
    <n v="8262000"/>
    <n v="8772000"/>
    <n v="0"/>
    <n v="637245"/>
    <n v="2"/>
    <n v="200000"/>
    <n v="200000"/>
    <n v="7697000"/>
  </r>
  <r>
    <s v="C3"/>
    <s v="B"/>
    <x v="10"/>
    <s v="RESIDENTIAL"/>
    <x v="0"/>
    <n v="1"/>
    <x v="216"/>
    <x v="0"/>
    <s v="C1"/>
    <n v="87.23"/>
    <n v="94.72160516317075"/>
    <x v="30"/>
    <n v="66.0976"/>
    <m/>
    <s v="SE"/>
    <s v="MIDDLE"/>
    <s v="ROAD 18M (VILLAS)"/>
    <s v="GROUND"/>
    <x v="1"/>
    <n v="0.08"/>
    <n v="2.5000000000000001E-2"/>
    <n v="0.16"/>
    <n v="0.05"/>
    <n v="0.04"/>
    <x v="3"/>
    <x v="0"/>
    <x v="3"/>
    <n v="42500"/>
    <n v="47500"/>
    <n v="5000"/>
    <n v="1775"/>
    <n v="44275"/>
    <n v="14610.75"/>
    <n v="48775"/>
    <n v="51775"/>
    <n v="4693150"/>
    <n v="5170150"/>
    <n v="5488150"/>
    <n v="965735.50919999997"/>
    <n v="481005.26828200003"/>
    <n v="1"/>
    <n v="200000"/>
    <n v="200000"/>
    <n v="5858885.5092000002"/>
  </r>
  <r>
    <m/>
    <s v="B"/>
    <x v="10"/>
    <s v="RESIDENTIAL"/>
    <x v="0"/>
    <n v="2"/>
    <x v="217"/>
    <x v="2"/>
    <s v="C1"/>
    <n v="125.09"/>
    <n v="135.83314902970341"/>
    <x v="31"/>
    <n v="85.619500000000002"/>
    <m/>
    <s v="NW"/>
    <s v="MIDDLE"/>
    <s v="LAKE B-1"/>
    <s v="GROUND"/>
    <x v="0"/>
    <n v="0.13"/>
    <n v="2.5000000000000001E-2"/>
    <n v="0.6"/>
    <n v="0.05"/>
    <n v="3.5000000000000003E-2"/>
    <x v="87"/>
    <x v="2"/>
    <x v="4"/>
    <n v="51850"/>
    <n v="57950"/>
    <n v="6100"/>
    <n v="5124.0000000000009"/>
    <n v="56974"/>
    <n v="18801.420000000002"/>
    <n v="61474"/>
    <n v="64474"/>
    <n v="8717022"/>
    <n v="9405522"/>
    <n v="9864522"/>
    <n v="1609768.1796900001"/>
    <n v="877777.16527365008"/>
    <n v="2"/>
    <n v="244000"/>
    <n v="244000"/>
    <n v="10570790.17969"/>
  </r>
  <r>
    <m/>
    <s v="B"/>
    <x v="10"/>
    <s v="RESIDENTIAL"/>
    <x v="0"/>
    <n v="3"/>
    <x v="218"/>
    <x v="2"/>
    <s v="C1"/>
    <n v="129.57"/>
    <n v="140.69790646557414"/>
    <x v="32"/>
    <n v="84.075199999999995"/>
    <m/>
    <s v="NW"/>
    <s v="CORNER "/>
    <s v="LAKE B-1"/>
    <s v="GROUND"/>
    <x v="0"/>
    <n v="0.13"/>
    <n v="0.05"/>
    <n v="0.6"/>
    <n v="0.05"/>
    <n v="3.5000000000000003E-2"/>
    <x v="71"/>
    <x v="2"/>
    <x v="10"/>
    <n v="53550"/>
    <n v="59850"/>
    <n v="6300"/>
    <n v="5449.5000000000009"/>
    <n v="58999.5"/>
    <n v="19469.834999999999"/>
    <n v="63499.5"/>
    <n v="66499.5"/>
    <n v="9321921"/>
    <n v="10032921"/>
    <n v="10506921"/>
    <n v="1636930.2715919998"/>
    <n v="931502.3580853201"/>
    <n v="2"/>
    <n v="252000"/>
    <n v="252000"/>
    <n v="11210851.271592"/>
  </r>
  <r>
    <m/>
    <s v="B"/>
    <x v="10"/>
    <s v="RESIDENTIAL"/>
    <x v="0"/>
    <n v="4"/>
    <x v="219"/>
    <x v="2"/>
    <s v="C1"/>
    <n v="131.34"/>
    <n v="142.61992000608558"/>
    <x v="33"/>
    <n v="80.916700000000006"/>
    <m/>
    <s v="SE"/>
    <s v="CORNER "/>
    <s v="ROAD 18M (VILLAS)"/>
    <s v="GROUND"/>
    <x v="4"/>
    <n v="0.08"/>
    <n v="0.05"/>
    <n v="0.16"/>
    <n v="0.05"/>
    <n v="2.5000000000000001E-2"/>
    <x v="88"/>
    <x v="0"/>
    <x v="0"/>
    <n v="43562.499999999993"/>
    <n v="48687.499999999993"/>
    <n v="5125"/>
    <n v="1870.6250000000002"/>
    <n v="45433.124999999993"/>
    <n v="14992.931249999998"/>
    <n v="49933.124999999993"/>
    <n v="52933.124999999993"/>
    <n v="7269299.9999999991"/>
    <n v="7989299.9999999991"/>
    <n v="8469299.9999999981"/>
    <n v="1213178.5200768749"/>
    <n v="721010.6742065344"/>
    <n v="2"/>
    <n v="204999.99999999997"/>
    <n v="204999.99999999997"/>
    <n v="8687478.5200768746"/>
  </r>
  <r>
    <m/>
    <s v="B"/>
    <x v="10"/>
    <s v="RESIDENTIAL"/>
    <x v="1"/>
    <n v="1"/>
    <x v="220"/>
    <x v="0"/>
    <s v="C1"/>
    <n v="88.87"/>
    <n v="96.502453867373433"/>
    <x v="34"/>
    <m/>
    <m/>
    <s v="SE"/>
    <s v="MIDDLE"/>
    <s v="ROAD 18M (VILLAS)"/>
    <s v="FIRST"/>
    <x v="1"/>
    <n v="0.08"/>
    <n v="2.5000000000000001E-2"/>
    <n v="0.16"/>
    <n v="7.0000000000000007E-2"/>
    <n v="0.04"/>
    <x v="7"/>
    <x v="0"/>
    <x v="6"/>
    <n v="44625"/>
    <n v="49875"/>
    <n v="5250"/>
    <n v="1968.75"/>
    <n v="46593.75"/>
    <n v="15375.9375"/>
    <n v="51093.75"/>
    <n v="54093.75"/>
    <n v="5032125"/>
    <n v="5518125"/>
    <n v="5842125"/>
    <n v="0"/>
    <n v="427730.62500000006"/>
    <n v="1"/>
    <n v="210000"/>
    <n v="210000"/>
    <n v="5242125"/>
  </r>
  <r>
    <m/>
    <s v="B"/>
    <x v="10"/>
    <s v="RESIDENTIAL"/>
    <x v="1"/>
    <n v="2"/>
    <x v="221"/>
    <x v="2"/>
    <s v="C1"/>
    <n v="127.14"/>
    <n v="138.05920990995676"/>
    <x v="35"/>
    <m/>
    <m/>
    <s v="NW"/>
    <s v="MIDDLE"/>
    <s v="LAKE B-1"/>
    <s v="FIRST"/>
    <x v="0"/>
    <n v="0.13"/>
    <n v="2.5000000000000001E-2"/>
    <n v="0.6"/>
    <n v="7.0000000000000007E-2"/>
    <n v="3.5000000000000003E-2"/>
    <x v="73"/>
    <x v="2"/>
    <x v="4"/>
    <n v="51850"/>
    <n v="57950"/>
    <n v="6100"/>
    <n v="5246"/>
    <n v="57096"/>
    <n v="18841.68"/>
    <n v="61596"/>
    <n v="64596"/>
    <n v="8849880"/>
    <n v="9547380"/>
    <n v="10012380"/>
    <n v="0"/>
    <n v="752239.8"/>
    <n v="2"/>
    <n v="244000"/>
    <n v="244000"/>
    <n v="9093880"/>
  </r>
  <r>
    <m/>
    <s v="B"/>
    <x v="10"/>
    <s v="RESIDENTIAL"/>
    <x v="1"/>
    <n v="3"/>
    <x v="222"/>
    <x v="2"/>
    <s v="C1"/>
    <n v="131.43"/>
    <n v="142.71764950814548"/>
    <x v="33"/>
    <m/>
    <m/>
    <s v="NW"/>
    <s v="CORNER "/>
    <s v="LAKE B-1"/>
    <s v="FIRST"/>
    <x v="4"/>
    <n v="0.13"/>
    <n v="0.05"/>
    <n v="0.6"/>
    <n v="7.0000000000000007E-2"/>
    <n v="2.5000000000000001E-2"/>
    <x v="85"/>
    <x v="2"/>
    <x v="8"/>
    <n v="56100"/>
    <n v="62700"/>
    <n v="6600"/>
    <n v="5775.0000000000009"/>
    <n v="61875"/>
    <n v="20418.75"/>
    <n v="66375"/>
    <n v="69375"/>
    <n v="9900000"/>
    <n v="10620000"/>
    <n v="11100000"/>
    <n v="0"/>
    <n v="841500.00000000012"/>
    <n v="2"/>
    <n v="264000"/>
    <n v="264000"/>
    <n v="10164000"/>
  </r>
  <r>
    <m/>
    <s v="B"/>
    <x v="10"/>
    <s v="RESIDENTIAL"/>
    <x v="1"/>
    <n v="4"/>
    <x v="223"/>
    <x v="2"/>
    <s v="C1"/>
    <n v="129.04"/>
    <n v="140.12238828677692"/>
    <x v="36"/>
    <m/>
    <m/>
    <s v="SE"/>
    <s v="CORNER "/>
    <s v="ROAD 18M (VILLAS)"/>
    <s v="FIRST"/>
    <x v="0"/>
    <n v="0.08"/>
    <n v="0.05"/>
    <n v="0.16"/>
    <n v="7.0000000000000007E-2"/>
    <n v="3.5000000000000003E-2"/>
    <x v="53"/>
    <x v="0"/>
    <x v="2"/>
    <n v="45687.5"/>
    <n v="51062.5"/>
    <n v="5375"/>
    <n v="2123.125"/>
    <n v="47810.625"/>
    <n v="15777.50625"/>
    <n v="52310.625"/>
    <n v="55310.625"/>
    <n v="7506268.125"/>
    <n v="8212768.125"/>
    <n v="8683768.125"/>
    <n v="0"/>
    <n v="638032.79062500002"/>
    <n v="2"/>
    <n v="215000"/>
    <n v="215000"/>
    <n v="7721268.125"/>
  </r>
  <r>
    <m/>
    <s v="B"/>
    <x v="10"/>
    <s v="RESIDENTIAL"/>
    <x v="2"/>
    <n v="1"/>
    <x v="224"/>
    <x v="2"/>
    <s v="C1"/>
    <n v="127.15"/>
    <n v="138.07006874351899"/>
    <x v="35"/>
    <m/>
    <m/>
    <s v="SE"/>
    <s v="MIDDLE"/>
    <s v="ROAD 18M (VILLAS)"/>
    <s v="SECOND"/>
    <x v="0"/>
    <n v="0.08"/>
    <n v="2.5000000000000001E-2"/>
    <n v="0.16"/>
    <n v="0.11"/>
    <n v="3.5000000000000003E-2"/>
    <x v="79"/>
    <x v="0"/>
    <x v="1"/>
    <n v="48450.000000000007"/>
    <n v="54150.000000000007"/>
    <n v="5700"/>
    <n v="2337"/>
    <n v="50787.000000000007"/>
    <n v="16759.710000000003"/>
    <n v="55287.000000000007"/>
    <n v="58287.000000000007"/>
    <n v="7871985.0000000009"/>
    <n v="8569485.0000000019"/>
    <n v="9034485.0000000019"/>
    <n v="0"/>
    <n v="669118.72500000009"/>
    <n v="2"/>
    <n v="228000.00000000003"/>
    <n v="228000.00000000003"/>
    <n v="8099985.0000000009"/>
  </r>
  <r>
    <m/>
    <s v="B"/>
    <x v="10"/>
    <s v="RESIDENTIAL"/>
    <x v="2"/>
    <n v="2"/>
    <x v="225"/>
    <x v="2"/>
    <s v="C1"/>
    <n v="126.95"/>
    <n v="137.85289207227476"/>
    <x v="35"/>
    <m/>
    <m/>
    <s v="NW"/>
    <s v="MIDDLE"/>
    <s v="LAKE B-1"/>
    <s v="SECOND"/>
    <x v="0"/>
    <n v="0.13"/>
    <n v="2.5000000000000001E-2"/>
    <n v="0.6"/>
    <n v="0.11"/>
    <n v="3.5000000000000003E-2"/>
    <x v="89"/>
    <x v="2"/>
    <x v="7"/>
    <n v="61625"/>
    <n v="68875"/>
    <n v="7250"/>
    <n v="6525"/>
    <n v="68150"/>
    <n v="22489.5"/>
    <n v="72650"/>
    <n v="75650"/>
    <n v="10563250"/>
    <n v="11260750"/>
    <n v="11725750"/>
    <n v="0"/>
    <n v="897876.25000000012"/>
    <n v="2"/>
    <n v="290000"/>
    <n v="290000"/>
    <n v="10853250"/>
  </r>
  <r>
    <m/>
    <s v="B"/>
    <x v="10"/>
    <s v="RESIDENTIAL"/>
    <x v="2"/>
    <n v="3"/>
    <x v="226"/>
    <x v="2"/>
    <s v="C1"/>
    <n v="131.44"/>
    <n v="142.72850834170771"/>
    <x v="33"/>
    <m/>
    <m/>
    <s v="NW"/>
    <s v="CORNER "/>
    <s v="LAKE B-1"/>
    <s v="SECOND"/>
    <x v="4"/>
    <n v="0.13"/>
    <n v="0.05"/>
    <n v="0.6"/>
    <n v="0.11"/>
    <n v="2.5000000000000001E-2"/>
    <x v="90"/>
    <x v="2"/>
    <x v="7"/>
    <n v="61625"/>
    <n v="68875"/>
    <n v="7250"/>
    <n v="6633.75"/>
    <n v="68258.75"/>
    <n v="22525.387500000001"/>
    <n v="72758.75"/>
    <n v="75758.75"/>
    <n v="10921400"/>
    <n v="11641400"/>
    <n v="12121400"/>
    <n v="0"/>
    <n v="928319.00000000012"/>
    <n v="2"/>
    <n v="290000"/>
    <n v="290000"/>
    <n v="11211400"/>
  </r>
  <r>
    <m/>
    <s v="B"/>
    <x v="10"/>
    <s v="RESIDENTIAL"/>
    <x v="2"/>
    <n v="4"/>
    <x v="227"/>
    <x v="2"/>
    <s v="C1"/>
    <n v="131.43"/>
    <n v="142.71764950814548"/>
    <x v="33"/>
    <m/>
    <m/>
    <s v="SE"/>
    <s v="CORNER "/>
    <s v="ROAD 18M (VILLAS)"/>
    <s v="SECOND"/>
    <x v="4"/>
    <n v="0.08"/>
    <n v="0.05"/>
    <n v="0.16"/>
    <n v="0.11"/>
    <n v="2.5000000000000001E-2"/>
    <x v="8"/>
    <x v="0"/>
    <x v="4"/>
    <n v="51850"/>
    <n v="57950"/>
    <n v="6100"/>
    <n v="2592.5000000000005"/>
    <n v="54442.5"/>
    <n v="17966.025000000001"/>
    <n v="58942.5"/>
    <n v="61942.5"/>
    <n v="8710800"/>
    <n v="9430800"/>
    <n v="9910800"/>
    <n v="0"/>
    <n v="740418"/>
    <n v="2"/>
    <n v="244000"/>
    <n v="244000"/>
    <n v="8954800"/>
  </r>
  <r>
    <m/>
    <s v="B"/>
    <x v="10"/>
    <s v="RESIDENTIAL"/>
    <x v="3"/>
    <n v="1"/>
    <x v="228"/>
    <x v="2"/>
    <s v="C1"/>
    <n v="127.45"/>
    <n v="138.39583375038532"/>
    <x v="35"/>
    <m/>
    <m/>
    <s v="SE"/>
    <s v="MIDDLE"/>
    <s v="ROAD 18M (VILLAS)"/>
    <s v="THIRD"/>
    <x v="0"/>
    <n v="0.08"/>
    <n v="2.5000000000000001E-2"/>
    <n v="0.16"/>
    <n v="0.15"/>
    <n v="3.5000000000000003E-2"/>
    <x v="91"/>
    <x v="0"/>
    <x v="10"/>
    <n v="53550"/>
    <n v="59850"/>
    <n v="6300"/>
    <n v="2835.0000000000005"/>
    <n v="56385"/>
    <n v="18607.05"/>
    <n v="60885"/>
    <n v="63885"/>
    <n v="8739675"/>
    <n v="9437175"/>
    <n v="9902175"/>
    <n v="0"/>
    <n v="742872.375"/>
    <n v="2"/>
    <n v="252000"/>
    <n v="252000"/>
    <n v="8991675"/>
  </r>
  <r>
    <m/>
    <s v="B"/>
    <x v="10"/>
    <s v="RESIDENTIAL"/>
    <x v="3"/>
    <n v="2"/>
    <x v="229"/>
    <x v="2"/>
    <s v="C1"/>
    <n v="126.97"/>
    <n v="137.87460973939918"/>
    <x v="35"/>
    <m/>
    <m/>
    <s v="NW"/>
    <s v="MIDDLE"/>
    <s v="LAKE B-1"/>
    <s v="THIRD"/>
    <x v="0"/>
    <n v="0.13"/>
    <n v="2.5000000000000001E-2"/>
    <n v="0.6"/>
    <n v="0.15"/>
    <n v="3.5000000000000003E-2"/>
    <x v="92"/>
    <x v="2"/>
    <x v="7"/>
    <n v="61625"/>
    <n v="68875"/>
    <n v="7250"/>
    <n v="6815"/>
    <n v="68440"/>
    <n v="22585.200000000001"/>
    <n v="72940"/>
    <n v="75940"/>
    <n v="10608200"/>
    <n v="11305700"/>
    <n v="11770700"/>
    <n v="0"/>
    <n v="901697.00000000012"/>
    <n v="2"/>
    <n v="290000"/>
    <n v="290000"/>
    <n v="10898200"/>
  </r>
  <r>
    <m/>
    <s v="B"/>
    <x v="10"/>
    <s v="RESIDENTIAL"/>
    <x v="3"/>
    <n v="3"/>
    <x v="230"/>
    <x v="2"/>
    <s v="C1"/>
    <n v="131.43"/>
    <n v="142.71764950814548"/>
    <x v="33"/>
    <m/>
    <m/>
    <s v="NW"/>
    <s v="CORNER "/>
    <s v="LAKE B-1"/>
    <s v="THIRD"/>
    <x v="4"/>
    <n v="0.13"/>
    <n v="0.05"/>
    <n v="0.6"/>
    <n v="0.15"/>
    <n v="2.5000000000000001E-2"/>
    <x v="93"/>
    <x v="2"/>
    <x v="7"/>
    <n v="61625"/>
    <n v="68875"/>
    <n v="7250"/>
    <n v="6923.7500000000009"/>
    <n v="68548.75"/>
    <n v="22621.087500000001"/>
    <n v="73048.75"/>
    <n v="76048.75"/>
    <n v="10967800"/>
    <n v="11687800"/>
    <n v="12167800"/>
    <n v="0"/>
    <n v="932263.00000000012"/>
    <n v="2"/>
    <n v="290000"/>
    <n v="290000"/>
    <n v="11257800"/>
  </r>
  <r>
    <m/>
    <s v="B"/>
    <x v="10"/>
    <s v="RESIDENTIAL"/>
    <x v="3"/>
    <n v="4"/>
    <x v="231"/>
    <x v="2"/>
    <s v="C1"/>
    <n v="131.88"/>
    <n v="143.20629701844501"/>
    <x v="37"/>
    <m/>
    <m/>
    <s v="SE"/>
    <s v="CORNER "/>
    <s v="ROAD 18M (VILLAS)"/>
    <s v="THIRD"/>
    <x v="4"/>
    <n v="0.08"/>
    <n v="0.05"/>
    <n v="0.16"/>
    <n v="0.15"/>
    <n v="2.5000000000000001E-2"/>
    <x v="12"/>
    <x v="0"/>
    <x v="9"/>
    <n v="58649.999999999993"/>
    <n v="65550"/>
    <n v="6900.0000000000073"/>
    <n v="3208.5000000000041"/>
    <n v="61858.5"/>
    <n v="20413.305"/>
    <n v="66358.5"/>
    <n v="69358.5"/>
    <n v="9959218.5"/>
    <n v="10683718.5"/>
    <n v="11166718.5"/>
    <n v="0"/>
    <n v="846533.57250000001"/>
    <n v="2"/>
    <n v="276000"/>
    <n v="276000"/>
    <n v="10235218.5"/>
  </r>
  <r>
    <m/>
    <s v="B"/>
    <x v="10"/>
    <s v="RESIDENTIAL"/>
    <x v="4"/>
    <n v="1"/>
    <x v="232"/>
    <x v="2"/>
    <s v="C1"/>
    <n v="125.13"/>
    <n v="135.87658436395225"/>
    <x v="31"/>
    <m/>
    <m/>
    <s v="SE"/>
    <s v="MIDDLE"/>
    <s v="ROAD 18M (VILLAS)"/>
    <s v="FORTH"/>
    <x v="0"/>
    <n v="0.08"/>
    <n v="2.5000000000000001E-2"/>
    <n v="0.16"/>
    <n v="0.06"/>
    <n v="3.5000000000000003E-2"/>
    <x v="94"/>
    <x v="0"/>
    <x v="0"/>
    <n v="43562.499999999993"/>
    <n v="48687.499999999993"/>
    <n v="5125"/>
    <n v="1845"/>
    <n v="45407.499999999993"/>
    <n v="14984.474999999999"/>
    <n v="49907.499999999993"/>
    <n v="52907.499999999993"/>
    <n v="6947347.4999999991"/>
    <n v="7635847.4999999991"/>
    <n v="8094847.4999999991"/>
    <n v="0"/>
    <n v="590524.53749999998"/>
    <n v="2"/>
    <n v="204999.99999999997"/>
    <n v="204999.99999999997"/>
    <n v="7152347.4999999991"/>
  </r>
  <r>
    <m/>
    <s v="B"/>
    <x v="10"/>
    <s v="RESIDENTIAL"/>
    <x v="4"/>
    <n v="2"/>
    <x v="233"/>
    <x v="2"/>
    <s v="C1"/>
    <n v="127.19"/>
    <n v="138.11350407776783"/>
    <x v="35"/>
    <m/>
    <m/>
    <s v="NW"/>
    <s v="MIDDLE"/>
    <s v="LAKE B-1"/>
    <s v="FORTH"/>
    <x v="0"/>
    <n v="0.13"/>
    <n v="2.5000000000000001E-2"/>
    <n v="0.6"/>
    <n v="0.06"/>
    <n v="3.5000000000000003E-2"/>
    <x v="84"/>
    <x v="2"/>
    <x v="4"/>
    <n v="51850"/>
    <n v="57950"/>
    <n v="6100"/>
    <n v="5185"/>
    <n v="57035"/>
    <n v="18821.55"/>
    <n v="61535"/>
    <n v="64535"/>
    <n v="8840425"/>
    <n v="9537925"/>
    <n v="10002925"/>
    <n v="0"/>
    <n v="751436.125"/>
    <n v="2"/>
    <n v="244000"/>
    <n v="244000"/>
    <n v="9084425"/>
  </r>
  <r>
    <m/>
    <s v="B"/>
    <x v="10"/>
    <s v="RESIDENTIAL"/>
    <x v="4"/>
    <n v="3"/>
    <x v="234"/>
    <x v="2"/>
    <s v="C1"/>
    <n v="131.38"/>
    <n v="142.66335534033442"/>
    <x v="33"/>
    <m/>
    <m/>
    <s v="NW"/>
    <s v="CORNER "/>
    <s v="LAKE B-1"/>
    <s v="FORTH"/>
    <x v="4"/>
    <n v="0.13"/>
    <n v="0.05"/>
    <n v="0.6"/>
    <n v="0.06"/>
    <n v="2.5000000000000001E-2"/>
    <x v="71"/>
    <x v="2"/>
    <x v="10"/>
    <n v="53550"/>
    <n v="59850"/>
    <n v="6300"/>
    <n v="5449.5000000000009"/>
    <n v="58999.5"/>
    <n v="19469.834999999999"/>
    <n v="63499.5"/>
    <n v="66499.5"/>
    <n v="9439920"/>
    <n v="10159920"/>
    <n v="10639920"/>
    <n v="0"/>
    <n v="802393.20000000007"/>
    <n v="2"/>
    <n v="252000"/>
    <n v="252000"/>
    <n v="9691920"/>
  </r>
  <r>
    <m/>
    <s v="B"/>
    <x v="10"/>
    <s v="RESIDENTIAL"/>
    <x v="4"/>
    <n v="4"/>
    <x v="235"/>
    <x v="2"/>
    <s v="C1"/>
    <n v="129.58000000000001"/>
    <n v="140.70876529913639"/>
    <x v="32"/>
    <m/>
    <m/>
    <s v="SE"/>
    <s v="CORNER "/>
    <s v="ROAD 18M (VILLAS)"/>
    <s v="FORTH"/>
    <x v="0"/>
    <n v="0.08"/>
    <n v="0.05"/>
    <n v="0.16"/>
    <n v="0.06"/>
    <n v="3.5000000000000003E-2"/>
    <x v="4"/>
    <x v="0"/>
    <x v="2"/>
    <n v="45687.5"/>
    <n v="51062.5"/>
    <n v="5375"/>
    <n v="2069.375"/>
    <n v="47756.875"/>
    <n v="15759.768750000001"/>
    <n v="52256.875"/>
    <n v="55256.875"/>
    <n v="7545586.25"/>
    <n v="8256586.25"/>
    <n v="8730586.25"/>
    <n v="0"/>
    <n v="641374.83125000005"/>
    <n v="2"/>
    <n v="215000"/>
    <n v="215000"/>
    <n v="7760586.25"/>
  </r>
  <r>
    <s v="C3"/>
    <s v="B"/>
    <x v="11"/>
    <s v="RESIDENTIAL"/>
    <x v="0"/>
    <n v="1"/>
    <x v="236"/>
    <x v="2"/>
    <s v="C1"/>
    <n v="131.32"/>
    <n v="142.66718842094684"/>
    <x v="33"/>
    <n v="81.224599999999995"/>
    <m/>
    <s v="SE"/>
    <s v="MIDDLE"/>
    <s v="ROAD 18M (VILLAS)"/>
    <s v="GROUND"/>
    <x v="4"/>
    <n v="0.08"/>
    <n v="2.5000000000000001E-2"/>
    <n v="0.16"/>
    <n v="0.05"/>
    <n v="2.5000000000000001E-2"/>
    <x v="95"/>
    <x v="0"/>
    <x v="3"/>
    <n v="42500"/>
    <n v="47500"/>
    <n v="5000"/>
    <n v="1700.0000000000002"/>
    <n v="44200"/>
    <n v="14586"/>
    <n v="48700"/>
    <n v="51700"/>
    <n v="7072000"/>
    <n v="7792000"/>
    <n v="8272000"/>
    <n v="1184742.0156"/>
    <n v="701823.07132600003"/>
    <n v="2"/>
    <n v="200000"/>
    <n v="200000"/>
    <n v="8456742.0155999996"/>
  </r>
  <r>
    <m/>
    <s v="B"/>
    <x v="11"/>
    <s v="RESIDENTIAL"/>
    <x v="0"/>
    <n v="2"/>
    <x v="237"/>
    <x v="4"/>
    <s v="C1"/>
    <n v="128.28"/>
    <n v="139.36450602070562"/>
    <x v="38"/>
    <n v="86.075999999999993"/>
    <m/>
    <s v="NW"/>
    <s v="MIDDLE"/>
    <s v="LAKE B-1"/>
    <s v="GROUND"/>
    <x v="5"/>
    <n v="0.13"/>
    <n v="2.5000000000000001E-2"/>
    <n v="0.6"/>
    <n v="0.05"/>
    <n v="0"/>
    <x v="96"/>
    <x v="2"/>
    <x v="1"/>
    <n v="48450.000000000007"/>
    <n v="54150.000000000007"/>
    <n v="5700"/>
    <n v="4588.5"/>
    <n v="53038.500000000007"/>
    <n v="17502.705000000002"/>
    <n v="57538.500000000007"/>
    <n v="60538.500000000007"/>
    <n v="16388896.500000002"/>
    <n v="17779396.500000004"/>
    <n v="18706396.500000004"/>
    <n v="1506562.83558"/>
    <n v="1521114.0435243002"/>
    <n v="2"/>
    <n v="228000.00000000003"/>
    <n v="228000.00000000003"/>
    <n v="18123459.335580003"/>
  </r>
  <r>
    <m/>
    <s v="B"/>
    <x v="11"/>
    <s v="RESIDENTIAL"/>
    <x v="0"/>
    <n v="3"/>
    <x v="238"/>
    <x v="4"/>
    <s v="C1"/>
    <n v="125.03"/>
    <n v="135.83367779676351"/>
    <x v="39"/>
    <n v="85.509600000000006"/>
    <m/>
    <s v="NW"/>
    <s v="MIDDLE"/>
    <s v="LAKE B-1"/>
    <s v="GROUND"/>
    <x v="5"/>
    <n v="0.13"/>
    <n v="2.5000000000000001E-2"/>
    <n v="0.6"/>
    <n v="0.05"/>
    <n v="0"/>
    <x v="96"/>
    <x v="2"/>
    <x v="1"/>
    <n v="48450.000000000007"/>
    <n v="54150.000000000007"/>
    <n v="5700"/>
    <n v="4588.5"/>
    <n v="53038.500000000007"/>
    <n v="17502.705000000002"/>
    <n v="57538.500000000007"/>
    <n v="60538.500000000007"/>
    <n v="15964588.500000002"/>
    <n v="17319088.500000004"/>
    <n v="18222088.500000004"/>
    <n v="1496649.3034680001"/>
    <n v="1484205.2132947803"/>
    <n v="2"/>
    <n v="228000.00000000003"/>
    <n v="228000.00000000003"/>
    <n v="17689237.803468004"/>
  </r>
  <r>
    <m/>
    <s v="B"/>
    <x v="11"/>
    <s v="RESIDENTIAL"/>
    <x v="0"/>
    <n v="4"/>
    <x v="239"/>
    <x v="0"/>
    <s v="C1"/>
    <n v="87.23"/>
    <n v="94.767429530606108"/>
    <x v="30"/>
    <n v="66.334900000000005"/>
    <m/>
    <s v="SE"/>
    <s v="MIDDLE"/>
    <s v="ROAD 18M (VILLAS)"/>
    <s v="GROUND"/>
    <x v="1"/>
    <n v="0.08"/>
    <n v="2.5000000000000001E-2"/>
    <n v="0.16"/>
    <n v="0.05"/>
    <n v="0.04"/>
    <x v="3"/>
    <x v="0"/>
    <x v="3"/>
    <n v="42500"/>
    <n v="47500"/>
    <n v="5000"/>
    <n v="1775"/>
    <n v="44275"/>
    <n v="14610.75"/>
    <n v="48775"/>
    <n v="51775"/>
    <n v="4693150"/>
    <n v="5170150"/>
    <n v="5488150"/>
    <n v="969202.64017500007"/>
    <n v="481299.97441487503"/>
    <n v="1"/>
    <n v="200000"/>
    <n v="200000"/>
    <n v="5862352.6401749998"/>
  </r>
  <r>
    <m/>
    <s v="B"/>
    <x v="11"/>
    <s v="RESIDENTIAL"/>
    <x v="1"/>
    <n v="1"/>
    <x v="240"/>
    <x v="2"/>
    <s v="C1"/>
    <n v="132.94"/>
    <n v="144.42717048949646"/>
    <x v="40"/>
    <m/>
    <m/>
    <s v="SE"/>
    <s v="MIDDLE"/>
    <s v="ROAD 18M (VILLAS)"/>
    <s v="FIRST"/>
    <x v="4"/>
    <n v="0.08"/>
    <n v="2.5000000000000001E-2"/>
    <n v="0.16"/>
    <n v="7.0000000000000007E-2"/>
    <n v="2.5000000000000001E-2"/>
    <x v="97"/>
    <x v="0"/>
    <x v="0"/>
    <n v="43562.499999999993"/>
    <n v="48687.499999999993"/>
    <n v="5125"/>
    <n v="1845.0000000000002"/>
    <n v="45407.499999999993"/>
    <n v="14984.474999999999"/>
    <n v="49907.499999999993"/>
    <n v="52907.499999999993"/>
    <n v="7356014.9999999991"/>
    <n v="8085014.9999999991"/>
    <n v="8571014.9999999981"/>
    <n v="0"/>
    <n v="625261.27500000002"/>
    <n v="2"/>
    <n v="204999.99999999997"/>
    <n v="204999.99999999997"/>
    <n v="7561014.9999999991"/>
  </r>
  <r>
    <m/>
    <s v="B"/>
    <x v="11"/>
    <s v="RESIDENTIAL"/>
    <x v="1"/>
    <n v="4"/>
    <x v="241"/>
    <x v="0"/>
    <s v="C1"/>
    <n v="88.87"/>
    <n v="96.549139772841514"/>
    <x v="34"/>
    <m/>
    <m/>
    <s v="SE"/>
    <s v="MIDDLE"/>
    <s v="ROAD 18M (VILLAS)"/>
    <s v="FIRST"/>
    <x v="1"/>
    <n v="0.08"/>
    <n v="2.5000000000000001E-2"/>
    <n v="0.16"/>
    <n v="7.0000000000000007E-2"/>
    <n v="0.04"/>
    <x v="7"/>
    <x v="0"/>
    <x v="6"/>
    <n v="44625"/>
    <n v="49875"/>
    <n v="5250"/>
    <n v="1968.75"/>
    <n v="46593.75"/>
    <n v="15375.9375"/>
    <n v="51093.75"/>
    <n v="54093.75"/>
    <n v="5032125"/>
    <n v="5518125"/>
    <n v="5842125"/>
    <n v="0"/>
    <n v="427730.62500000006"/>
    <n v="1"/>
    <n v="210000"/>
    <n v="210000"/>
    <n v="5242125"/>
  </r>
  <r>
    <m/>
    <s v="B"/>
    <x v="11"/>
    <s v="RESIDENTIAL"/>
    <x v="2"/>
    <n v="1"/>
    <x v="242"/>
    <x v="2"/>
    <s v="C1"/>
    <n v="131.41999999999999"/>
    <n v="142.77582928937582"/>
    <x v="33"/>
    <m/>
    <m/>
    <s v="SE"/>
    <s v="MIDDLE"/>
    <s v="ROAD 18M (VILLAS)"/>
    <s v="SECOND"/>
    <x v="4"/>
    <n v="0.08"/>
    <n v="2.5000000000000001E-2"/>
    <n v="0.16"/>
    <n v="0.11"/>
    <n v="2.5000000000000001E-2"/>
    <x v="98"/>
    <x v="0"/>
    <x v="5"/>
    <n v="46750.000000000007"/>
    <n v="52250.000000000007"/>
    <n v="5500"/>
    <n v="2200"/>
    <n v="48950.000000000007"/>
    <n v="16153.500000000004"/>
    <n v="53450.000000000007"/>
    <n v="56450.000000000007"/>
    <n v="7832000.0000000009"/>
    <n v="8552000.0000000019"/>
    <n v="9032000.0000000019"/>
    <n v="0"/>
    <n v="665720.00000000012"/>
    <n v="2"/>
    <n v="220000.00000000003"/>
    <n v="220000.00000000003"/>
    <n v="8052000.0000000009"/>
  </r>
  <r>
    <m/>
    <s v="B"/>
    <x v="11"/>
    <s v="RESIDENTIAL"/>
    <x v="2"/>
    <n v="2"/>
    <x v="243"/>
    <x v="2"/>
    <s v="C1"/>
    <n v="131.03"/>
    <n v="142.35212990250278"/>
    <x v="33"/>
    <m/>
    <m/>
    <s v="NW"/>
    <s v="MIDDLE"/>
    <s v="LAKE B-1"/>
    <s v="SECOND"/>
    <x v="4"/>
    <n v="0.13"/>
    <n v="2.5000000000000001E-2"/>
    <n v="0.6"/>
    <n v="0.11"/>
    <n v="2.5000000000000001E-2"/>
    <x v="99"/>
    <x v="2"/>
    <x v="7"/>
    <n v="61625"/>
    <n v="68875"/>
    <n v="7250"/>
    <n v="6452.5"/>
    <n v="68077.5"/>
    <n v="22465.575000000001"/>
    <n v="72577.5"/>
    <n v="75577.5"/>
    <n v="10892400"/>
    <n v="11612400"/>
    <n v="12092400"/>
    <n v="0"/>
    <n v="925854.00000000012"/>
    <n v="2"/>
    <n v="290000"/>
    <n v="290000"/>
    <n v="11182400"/>
  </r>
  <r>
    <m/>
    <s v="B"/>
    <x v="11"/>
    <s v="RESIDENTIAL"/>
    <x v="2"/>
    <n v="3"/>
    <x v="244"/>
    <x v="2"/>
    <s v="C1"/>
    <n v="126.89"/>
    <n v="137.85439794954269"/>
    <x v="35"/>
    <m/>
    <m/>
    <s v="NW"/>
    <s v="MIDDLE"/>
    <s v="LAKE B-1"/>
    <s v="SECOND"/>
    <x v="0"/>
    <n v="0.13"/>
    <n v="2.5000000000000001E-2"/>
    <n v="0.6"/>
    <n v="0.11"/>
    <n v="3.5000000000000003E-2"/>
    <x v="89"/>
    <x v="2"/>
    <x v="7"/>
    <n v="61625"/>
    <n v="68875"/>
    <n v="7250"/>
    <n v="6525"/>
    <n v="68150"/>
    <n v="22489.5"/>
    <n v="72650"/>
    <n v="75650"/>
    <n v="10563250"/>
    <n v="11260750"/>
    <n v="11725750"/>
    <n v="0"/>
    <n v="897876.25000000012"/>
    <n v="2"/>
    <n v="290000"/>
    <n v="290000"/>
    <n v="10853250"/>
  </r>
  <r>
    <m/>
    <s v="B"/>
    <x v="11"/>
    <s v="RESIDENTIAL"/>
    <x v="2"/>
    <n v="4"/>
    <x v="245"/>
    <x v="2"/>
    <s v="C1"/>
    <n v="126.99"/>
    <n v="137.96303881797166"/>
    <x v="35"/>
    <m/>
    <m/>
    <s v="SE"/>
    <s v="MIDDLE"/>
    <s v="ROAD 18M (VILLAS)"/>
    <s v="SECOND"/>
    <x v="0"/>
    <n v="0.08"/>
    <n v="2.5000000000000001E-2"/>
    <n v="0.16"/>
    <n v="0.11"/>
    <n v="3.5000000000000003E-2"/>
    <x v="79"/>
    <x v="0"/>
    <x v="1"/>
    <n v="48450.000000000007"/>
    <n v="54150.000000000007"/>
    <n v="5700"/>
    <n v="2337"/>
    <n v="50787.000000000007"/>
    <n v="16759.710000000003"/>
    <n v="55287.000000000007"/>
    <n v="58287.000000000007"/>
    <n v="7871985.0000000009"/>
    <n v="8569485.0000000019"/>
    <n v="9034485.0000000019"/>
    <n v="0"/>
    <n v="669118.72500000009"/>
    <n v="2"/>
    <n v="228000.00000000003"/>
    <n v="228000.00000000003"/>
    <n v="8099985.0000000009"/>
  </r>
  <r>
    <m/>
    <s v="B"/>
    <x v="11"/>
    <s v="RESIDENTIAL"/>
    <x v="3"/>
    <n v="1"/>
    <x v="246"/>
    <x v="2"/>
    <s v="C1"/>
    <n v="131.88"/>
    <n v="143.27557728414919"/>
    <x v="37"/>
    <m/>
    <m/>
    <s v="SE"/>
    <s v="MIDDLE"/>
    <s v="ROAD 18M (VILLAS)"/>
    <s v="THIRD"/>
    <x v="4"/>
    <n v="0.08"/>
    <n v="2.5000000000000001E-2"/>
    <n v="0.16"/>
    <n v="0.15"/>
    <n v="2.5000000000000001E-2"/>
    <x v="100"/>
    <x v="0"/>
    <x v="4"/>
    <n v="51850"/>
    <n v="57950"/>
    <n v="6100"/>
    <n v="2684.0000000000005"/>
    <n v="54534"/>
    <n v="17996.22"/>
    <n v="59034"/>
    <n v="62034"/>
    <n v="8779974"/>
    <n v="9504474"/>
    <n v="9987474"/>
    <n v="0"/>
    <n v="746297.79"/>
    <n v="2"/>
    <n v="244000"/>
    <n v="244000"/>
    <n v="9023974"/>
  </r>
  <r>
    <m/>
    <s v="B"/>
    <x v="11"/>
    <s v="RESIDENTIAL"/>
    <x v="3"/>
    <n v="2"/>
    <x v="247"/>
    <x v="2"/>
    <s v="C1"/>
    <n v="131.02000000000001"/>
    <n v="142.34126581565991"/>
    <x v="33"/>
    <m/>
    <m/>
    <s v="NW"/>
    <s v="MIDDLE"/>
    <s v="LAKE B-1"/>
    <s v="THIRD"/>
    <x v="4"/>
    <n v="0.13"/>
    <n v="2.5000000000000001E-2"/>
    <n v="0.6"/>
    <n v="0.15"/>
    <n v="2.5000000000000001E-2"/>
    <x v="101"/>
    <x v="2"/>
    <x v="7"/>
    <n v="61625"/>
    <n v="68875"/>
    <n v="7250"/>
    <n v="6742.5"/>
    <n v="68367.5"/>
    <n v="22561.275000000001"/>
    <n v="72867.5"/>
    <n v="75867.5"/>
    <n v="10938800"/>
    <n v="11658800"/>
    <n v="12138800"/>
    <n v="0"/>
    <n v="929798.00000000012"/>
    <n v="2"/>
    <n v="290000"/>
    <n v="290000"/>
    <n v="11228800"/>
  </r>
  <r>
    <m/>
    <s v="B"/>
    <x v="11"/>
    <s v="RESIDENTIAL"/>
    <x v="3"/>
    <n v="3"/>
    <x v="248"/>
    <x v="2"/>
    <s v="C1"/>
    <n v="126.87"/>
    <n v="137.83266977585691"/>
    <x v="35"/>
    <m/>
    <m/>
    <s v="NW"/>
    <s v="MIDDLE"/>
    <s v="LAKE B-1"/>
    <s v="THIRD"/>
    <x v="0"/>
    <n v="0.13"/>
    <n v="2.5000000000000001E-2"/>
    <n v="0.6"/>
    <n v="0.15"/>
    <n v="3.5000000000000003E-2"/>
    <x v="92"/>
    <x v="2"/>
    <x v="7"/>
    <n v="61625"/>
    <n v="68875"/>
    <n v="7250"/>
    <n v="6815"/>
    <n v="68440"/>
    <n v="22585.200000000001"/>
    <n v="72940"/>
    <n v="75940"/>
    <n v="10608200"/>
    <n v="11305700"/>
    <n v="11770700"/>
    <n v="0"/>
    <n v="901697.00000000012"/>
    <n v="2"/>
    <n v="290000"/>
    <n v="290000"/>
    <n v="10898200"/>
  </r>
  <r>
    <m/>
    <s v="B"/>
    <x v="11"/>
    <s v="RESIDENTIAL"/>
    <x v="3"/>
    <n v="4"/>
    <x v="249"/>
    <x v="2"/>
    <s v="C1"/>
    <n v="127.41"/>
    <n v="138.41933046537343"/>
    <x v="35"/>
    <m/>
    <m/>
    <s v="SE"/>
    <s v="MIDDLE"/>
    <s v="ROAD 18M (VILLAS)"/>
    <s v="THIRD"/>
    <x v="0"/>
    <n v="0.08"/>
    <n v="2.5000000000000001E-2"/>
    <n v="0.16"/>
    <n v="0.15"/>
    <n v="3.5000000000000003E-2"/>
    <x v="91"/>
    <x v="0"/>
    <x v="10"/>
    <n v="53550"/>
    <n v="59850"/>
    <n v="6300"/>
    <n v="2835.0000000000005"/>
    <n v="56385"/>
    <n v="18607.05"/>
    <n v="60885"/>
    <n v="63885"/>
    <n v="8739675"/>
    <n v="9437175"/>
    <n v="9902175"/>
    <n v="0"/>
    <n v="742872.375"/>
    <n v="2"/>
    <n v="252000"/>
    <n v="252000"/>
    <n v="8991675"/>
  </r>
  <r>
    <m/>
    <s v="B"/>
    <x v="11"/>
    <s v="RESIDENTIAL"/>
    <x v="4"/>
    <n v="1"/>
    <x v="250"/>
    <x v="2"/>
    <s v="C1"/>
    <n v="129.59"/>
    <n v="140.78770139712537"/>
    <x v="32"/>
    <m/>
    <m/>
    <s v="SE"/>
    <s v="MIDDLE"/>
    <s v="ROAD 18M (VILLAS)"/>
    <s v="FORTH"/>
    <x v="0"/>
    <n v="0.08"/>
    <n v="2.5000000000000001E-2"/>
    <n v="0.16"/>
    <n v="0.06"/>
    <n v="3.5000000000000003E-2"/>
    <x v="94"/>
    <x v="0"/>
    <x v="3"/>
    <n v="42500"/>
    <n v="47500"/>
    <n v="5000"/>
    <n v="1800"/>
    <n v="44300"/>
    <n v="14619"/>
    <n v="48800"/>
    <n v="51800"/>
    <n v="6999400"/>
    <n v="7710400"/>
    <n v="8184400"/>
    <n v="0"/>
    <n v="594949"/>
    <n v="2"/>
    <n v="200000"/>
    <n v="200000"/>
    <n v="7199400"/>
  </r>
  <r>
    <m/>
    <s v="B"/>
    <x v="11"/>
    <s v="RESIDENTIAL"/>
    <x v="4"/>
    <n v="2"/>
    <x v="251"/>
    <x v="2"/>
    <s v="C1"/>
    <n v="131.72"/>
    <n v="143.10175189466281"/>
    <x v="37"/>
    <m/>
    <m/>
    <s v="NW"/>
    <s v="MIDDLE"/>
    <s v="LAKE B-1"/>
    <s v="FORTH"/>
    <x v="4"/>
    <n v="0.13"/>
    <n v="2.5000000000000001E-2"/>
    <n v="0.6"/>
    <n v="0.06"/>
    <n v="2.5000000000000001E-2"/>
    <x v="70"/>
    <x v="2"/>
    <x v="4"/>
    <n v="51850"/>
    <n v="57950"/>
    <n v="6100"/>
    <n v="5124"/>
    <n v="56974"/>
    <n v="18801.420000000002"/>
    <n v="61474"/>
    <n v="64474"/>
    <n v="9172814"/>
    <n v="9897314"/>
    <n v="10380314"/>
    <n v="0"/>
    <n v="779689.19000000006"/>
    <n v="2"/>
    <n v="244000"/>
    <n v="244000"/>
    <n v="9416814"/>
  </r>
  <r>
    <m/>
    <s v="B"/>
    <x v="11"/>
    <s v="RESIDENTIAL"/>
    <x v="4"/>
    <n v="3"/>
    <x v="252"/>
    <x v="2"/>
    <s v="C1"/>
    <n v="127.12"/>
    <n v="138.10427194692937"/>
    <x v="35"/>
    <m/>
    <m/>
    <s v="NW"/>
    <s v="MIDDLE"/>
    <s v="LAKE B-1"/>
    <s v="FORTH"/>
    <x v="0"/>
    <n v="0.13"/>
    <n v="2.5000000000000001E-2"/>
    <n v="0.6"/>
    <n v="0.06"/>
    <n v="3.5000000000000003E-2"/>
    <x v="84"/>
    <x v="2"/>
    <x v="4"/>
    <n v="51850"/>
    <n v="57950"/>
    <n v="6100"/>
    <n v="5185"/>
    <n v="57035"/>
    <n v="18821.55"/>
    <n v="61535"/>
    <n v="64535"/>
    <n v="8840425"/>
    <n v="9537925"/>
    <n v="10002925"/>
    <n v="0"/>
    <n v="751436.125"/>
    <n v="2"/>
    <n v="244000"/>
    <n v="244000"/>
    <n v="9084425"/>
  </r>
  <r>
    <m/>
    <s v="B"/>
    <x v="11"/>
    <s v="RESIDENTIAL"/>
    <x v="4"/>
    <n v="4"/>
    <x v="253"/>
    <x v="2"/>
    <s v="C1"/>
    <n v="125.12"/>
    <n v="135.93145457834962"/>
    <x v="31"/>
    <m/>
    <m/>
    <s v="SE"/>
    <s v="MIDDLE"/>
    <s v="ROAD 18M (VILLAS)"/>
    <s v="FORTH"/>
    <x v="0"/>
    <n v="0.08"/>
    <n v="2.5000000000000001E-2"/>
    <n v="0.16"/>
    <n v="0.06"/>
    <n v="3.5000000000000003E-2"/>
    <x v="94"/>
    <x v="0"/>
    <x v="3"/>
    <n v="42500"/>
    <n v="47500"/>
    <n v="5000"/>
    <n v="1800"/>
    <n v="44300"/>
    <n v="14619"/>
    <n v="48800"/>
    <n v="51800"/>
    <n v="6777900"/>
    <n v="7466400"/>
    <n v="7925400"/>
    <n v="0"/>
    <n v="576121.5"/>
    <n v="2"/>
    <n v="200000"/>
    <n v="200000"/>
    <n v="6977900"/>
  </r>
  <r>
    <s v="C3"/>
    <s v="B"/>
    <x v="12"/>
    <s v="RESIDENTIAL"/>
    <x v="0"/>
    <n v="1"/>
    <x v="254"/>
    <x v="2"/>
    <s v="C1"/>
    <n v="131.34"/>
    <n v="142.61992000608555"/>
    <x v="33"/>
    <n v="75.025700000000001"/>
    <m/>
    <s v="SE"/>
    <s v="CORNER "/>
    <s v="ROAD 18M (VILLAS)"/>
    <s v="GROUND"/>
    <x v="4"/>
    <n v="0.08"/>
    <n v="0.05"/>
    <n v="0.16"/>
    <n v="0.05"/>
    <n v="2.5000000000000001E-2"/>
    <x v="88"/>
    <x v="0"/>
    <x v="0"/>
    <n v="43562.499999999993"/>
    <n v="48687.499999999993"/>
    <n v="5125"/>
    <n v="1870.6250000000002"/>
    <n v="45433.124999999993"/>
    <n v="14992.931249999998"/>
    <n v="49933.124999999993"/>
    <n v="52933.124999999993"/>
    <n v="7269299.9999999991"/>
    <n v="7989299.9999999991"/>
    <n v="8469299.9999999981"/>
    <n v="1124855.1620831247"/>
    <n v="713503.18877706549"/>
    <n v="2"/>
    <n v="204999.99999999997"/>
    <n v="204999.99999999997"/>
    <n v="8599155.1620831229"/>
  </r>
  <r>
    <m/>
    <s v="B"/>
    <x v="12"/>
    <s v="RESIDENTIAL"/>
    <x v="0"/>
    <n v="2"/>
    <x v="255"/>
    <x v="2"/>
    <s v="C1"/>
    <n v="129.57"/>
    <n v="140.69790646557411"/>
    <x v="32"/>
    <n v="84.036199999999994"/>
    <m/>
    <s v="NW"/>
    <s v="CORNER "/>
    <s v="SEMI LAKE B-1"/>
    <s v="GROUND"/>
    <x v="0"/>
    <n v="0.13"/>
    <n v="0.05"/>
    <n v="0.48"/>
    <n v="0.05"/>
    <n v="3.5000000000000003E-2"/>
    <x v="102"/>
    <x v="2"/>
    <x v="3"/>
    <n v="42500"/>
    <n v="47500"/>
    <n v="5000"/>
    <n v="3725"/>
    <n v="46225"/>
    <n v="15254.25"/>
    <n v="50725"/>
    <n v="53725"/>
    <n v="7303550"/>
    <n v="8014550"/>
    <n v="8488550"/>
    <n v="1281909.2038499999"/>
    <n v="729764.03232725"/>
    <n v="2"/>
    <n v="200000"/>
    <n v="200000"/>
    <n v="8785459.2038499992"/>
  </r>
  <r>
    <m/>
    <s v="B"/>
    <x v="12"/>
    <s v="RESIDENTIAL"/>
    <x v="0"/>
    <n v="3"/>
    <x v="256"/>
    <x v="2"/>
    <s v="C1"/>
    <n v="125.09"/>
    <n v="135.83314902970338"/>
    <x v="31"/>
    <n v="85.562899999999999"/>
    <m/>
    <s v="NW"/>
    <s v="MIDDLE"/>
    <s v="LAKE B-1"/>
    <s v="GROUND"/>
    <x v="0"/>
    <n v="0.13"/>
    <n v="2.5000000000000001E-2"/>
    <n v="0.6"/>
    <n v="0.05"/>
    <n v="3.5000000000000003E-2"/>
    <x v="87"/>
    <x v="2"/>
    <x v="4"/>
    <n v="51850"/>
    <n v="57950"/>
    <n v="6100"/>
    <n v="5124.0000000000009"/>
    <n v="56974"/>
    <n v="18801.420000000002"/>
    <n v="61474"/>
    <n v="64474"/>
    <n v="8717022"/>
    <n v="9405522"/>
    <n v="9864522"/>
    <n v="1608704.0193180002"/>
    <n v="877686.71164203004"/>
    <n v="2"/>
    <n v="244000"/>
    <n v="244000"/>
    <n v="10569726.019317999"/>
  </r>
  <r>
    <m/>
    <s v="B"/>
    <x v="12"/>
    <s v="RESIDENTIAL"/>
    <x v="0"/>
    <n v="4"/>
    <x v="257"/>
    <x v="0"/>
    <s v="C1"/>
    <n v="87.23"/>
    <n v="94.721605163170736"/>
    <x v="30"/>
    <n v="67.096199999999996"/>
    <m/>
    <s v="SE"/>
    <s v="MIDDLE"/>
    <s v="ROAD 18M (VILLAS)"/>
    <s v="GROUND"/>
    <x v="1"/>
    <n v="0.08"/>
    <n v="2.5000000000000001E-2"/>
    <n v="0.16"/>
    <n v="0.05"/>
    <n v="0.04"/>
    <x v="3"/>
    <x v="0"/>
    <x v="3"/>
    <n v="42500"/>
    <n v="47500"/>
    <n v="5000"/>
    <n v="1775"/>
    <n v="44275"/>
    <n v="14610.75"/>
    <n v="48775"/>
    <n v="51775"/>
    <n v="4693150"/>
    <n v="5170150"/>
    <n v="5488150"/>
    <n v="980325.80414999998"/>
    <n v="482245.44335275004"/>
    <n v="1"/>
    <n v="200000"/>
    <n v="200000"/>
    <n v="5873475.8041500002"/>
  </r>
  <r>
    <m/>
    <s v="B"/>
    <x v="12"/>
    <s v="RESIDENTIAL"/>
    <x v="1"/>
    <n v="1"/>
    <x v="258"/>
    <x v="2"/>
    <s v="C1"/>
    <n v="129.04"/>
    <n v="140.1223882867769"/>
    <x v="36"/>
    <m/>
    <m/>
    <s v="SE"/>
    <s v="CORNER "/>
    <s v="ROAD 18M (VILLAS)"/>
    <s v="FIRST"/>
    <x v="0"/>
    <n v="0.08"/>
    <n v="0.05"/>
    <n v="0.16"/>
    <n v="7.0000000000000007E-2"/>
    <n v="3.5000000000000003E-2"/>
    <x v="53"/>
    <x v="0"/>
    <x v="2"/>
    <n v="45687.5"/>
    <n v="51062.5"/>
    <n v="5375"/>
    <n v="2123.125"/>
    <n v="47810.625"/>
    <n v="15777.50625"/>
    <n v="52310.625"/>
    <n v="55310.625"/>
    <n v="7506268.125"/>
    <n v="8212768.125"/>
    <n v="8683768.125"/>
    <n v="0"/>
    <n v="638032.79062500002"/>
    <n v="2"/>
    <n v="215000"/>
    <n v="215000"/>
    <n v="7721268.125"/>
  </r>
  <r>
    <m/>
    <s v="B"/>
    <x v="12"/>
    <s v="RESIDENTIAL"/>
    <x v="1"/>
    <n v="2"/>
    <x v="259"/>
    <x v="2"/>
    <s v="C1"/>
    <n v="131.43"/>
    <n v="142.71764950814546"/>
    <x v="33"/>
    <m/>
    <m/>
    <s v="NW"/>
    <s v="CORNER "/>
    <s v="SEMI LAKE B-1"/>
    <s v="FIRST"/>
    <x v="4"/>
    <n v="0.13"/>
    <n v="0.05"/>
    <n v="0.48"/>
    <n v="7.0000000000000007E-2"/>
    <n v="2.5000000000000001E-2"/>
    <x v="103"/>
    <x v="2"/>
    <x v="0"/>
    <n v="43562.499999999993"/>
    <n v="48687.499999999993"/>
    <n v="5125"/>
    <n v="3869.375"/>
    <n v="47431.874999999993"/>
    <n v="15652.518749999997"/>
    <n v="51931.874999999993"/>
    <n v="54931.874999999993"/>
    <n v="7589099.9999999991"/>
    <n v="8309099.9999999991"/>
    <n v="8789099.9999999981"/>
    <n v="0"/>
    <n v="645073.5"/>
    <n v="2"/>
    <n v="204999.99999999997"/>
    <n v="204999.99999999997"/>
    <n v="7794099.9999999991"/>
  </r>
  <r>
    <m/>
    <s v="B"/>
    <x v="12"/>
    <s v="RESIDENTIAL"/>
    <x v="1"/>
    <n v="3"/>
    <x v="260"/>
    <x v="2"/>
    <s v="C1"/>
    <n v="127.14"/>
    <n v="138.05920990995673"/>
    <x v="35"/>
    <m/>
    <m/>
    <s v="NW"/>
    <s v="MIDDLE"/>
    <s v="LAKE B-1"/>
    <s v="FIRST"/>
    <x v="0"/>
    <n v="0.13"/>
    <n v="2.5000000000000001E-2"/>
    <n v="0.6"/>
    <n v="7.0000000000000007E-2"/>
    <n v="3.5000000000000003E-2"/>
    <x v="73"/>
    <x v="2"/>
    <x v="10"/>
    <n v="53550"/>
    <n v="59850"/>
    <n v="6300"/>
    <n v="5418"/>
    <n v="58968"/>
    <n v="19459.440000000002"/>
    <n v="63468"/>
    <n v="66468"/>
    <n v="9140040"/>
    <n v="9837540"/>
    <n v="10302540"/>
    <n v="0"/>
    <n v="776903.4"/>
    <n v="2"/>
    <n v="252000"/>
    <n v="252000"/>
    <n v="9392040"/>
  </r>
  <r>
    <m/>
    <s v="B"/>
    <x v="12"/>
    <s v="RESIDENTIAL"/>
    <x v="1"/>
    <n v="4"/>
    <x v="261"/>
    <x v="0"/>
    <s v="C1"/>
    <n v="88.87"/>
    <n v="96.502453867373418"/>
    <x v="34"/>
    <m/>
    <m/>
    <s v="SE"/>
    <s v="MIDDLE"/>
    <s v="ROAD 18M (VILLAS)"/>
    <s v="FIRST"/>
    <x v="1"/>
    <n v="0.08"/>
    <n v="2.5000000000000001E-2"/>
    <n v="0.16"/>
    <n v="7.0000000000000007E-2"/>
    <n v="0.04"/>
    <x v="7"/>
    <x v="0"/>
    <x v="6"/>
    <n v="44625"/>
    <n v="49875"/>
    <n v="5250"/>
    <n v="1968.75"/>
    <n v="46593.75"/>
    <n v="15375.9375"/>
    <n v="51093.75"/>
    <n v="54093.75"/>
    <n v="5032125"/>
    <n v="5518125"/>
    <n v="5842125"/>
    <n v="0"/>
    <n v="427730.62500000006"/>
    <n v="1"/>
    <n v="210000"/>
    <n v="210000"/>
    <n v="5242125"/>
  </r>
  <r>
    <m/>
    <s v="B"/>
    <x v="12"/>
    <s v="RESIDENTIAL"/>
    <x v="2"/>
    <n v="1"/>
    <x v="262"/>
    <x v="2"/>
    <s v="C1"/>
    <n v="131.43"/>
    <n v="142.71764950814546"/>
    <x v="33"/>
    <m/>
    <m/>
    <s v="SE"/>
    <s v="CORNER "/>
    <s v="ROAD 18M (VILLAS)"/>
    <s v="SECOND"/>
    <x v="4"/>
    <n v="0.08"/>
    <n v="0.05"/>
    <n v="0.16"/>
    <n v="0.11"/>
    <n v="2.5000000000000001E-2"/>
    <x v="8"/>
    <x v="0"/>
    <x v="4"/>
    <n v="51850"/>
    <n v="57950"/>
    <n v="6100"/>
    <n v="2592.5000000000005"/>
    <n v="54442.5"/>
    <n v="17966.025000000001"/>
    <n v="58942.5"/>
    <n v="61942.5"/>
    <n v="8710800"/>
    <n v="9430800"/>
    <n v="9910800"/>
    <n v="0"/>
    <n v="740418"/>
    <n v="2"/>
    <n v="244000"/>
    <n v="244000"/>
    <n v="8954800"/>
  </r>
  <r>
    <m/>
    <s v="B"/>
    <x v="12"/>
    <s v="RESIDENTIAL"/>
    <x v="2"/>
    <n v="2"/>
    <x v="263"/>
    <x v="2"/>
    <s v="C1"/>
    <n v="131.44"/>
    <n v="142.72850834170768"/>
    <x v="33"/>
    <m/>
    <m/>
    <s v="NW"/>
    <s v="CORNER "/>
    <s v="SEMI LAKE B-1"/>
    <s v="SECOND"/>
    <x v="4"/>
    <n v="0.13"/>
    <n v="0.05"/>
    <n v="0.48"/>
    <n v="0.11"/>
    <n v="2.5000000000000001E-2"/>
    <x v="104"/>
    <x v="2"/>
    <x v="5"/>
    <n v="46750.000000000007"/>
    <n v="52250.000000000007"/>
    <n v="5500"/>
    <n v="4372.5"/>
    <n v="51122.500000000007"/>
    <n v="16870.425000000003"/>
    <n v="55622.500000000007"/>
    <n v="58622.500000000007"/>
    <n v="8179600.0000000009"/>
    <n v="8899600.0000000019"/>
    <n v="9379600.0000000019"/>
    <n v="0"/>
    <n v="695266.00000000012"/>
    <n v="2"/>
    <n v="220000.00000000003"/>
    <n v="220000.00000000003"/>
    <n v="8399600.0000000019"/>
  </r>
  <r>
    <m/>
    <s v="B"/>
    <x v="12"/>
    <s v="RESIDENTIAL"/>
    <x v="2"/>
    <n v="3"/>
    <x v="264"/>
    <x v="2"/>
    <s v="C1"/>
    <n v="126.95"/>
    <n v="137.85289207227473"/>
    <x v="35"/>
    <m/>
    <m/>
    <s v="NW"/>
    <s v="MIDDLE"/>
    <s v="LAKE B-1"/>
    <s v="SECOND"/>
    <x v="0"/>
    <n v="0.13"/>
    <n v="2.5000000000000001E-2"/>
    <n v="0.6"/>
    <n v="0.11"/>
    <n v="3.5000000000000003E-2"/>
    <x v="89"/>
    <x v="2"/>
    <x v="7"/>
    <n v="61625"/>
    <n v="68875"/>
    <n v="7250"/>
    <n v="6525"/>
    <n v="68150"/>
    <n v="22489.5"/>
    <n v="72650"/>
    <n v="75650"/>
    <n v="10563250"/>
    <n v="11260750"/>
    <n v="11725750"/>
    <n v="0"/>
    <n v="897876.25000000012"/>
    <n v="2"/>
    <n v="290000"/>
    <n v="290000"/>
    <n v="10853250"/>
  </r>
  <r>
    <m/>
    <s v="B"/>
    <x v="12"/>
    <s v="RESIDENTIAL"/>
    <x v="2"/>
    <n v="4"/>
    <x v="265"/>
    <x v="2"/>
    <s v="C1"/>
    <n v="127.15"/>
    <n v="138.07006874351896"/>
    <x v="35"/>
    <m/>
    <m/>
    <s v="SE"/>
    <s v="MIDDLE"/>
    <s v="ROAD 18M (VILLAS)"/>
    <s v="SECOND"/>
    <x v="0"/>
    <n v="0.08"/>
    <n v="2.5000000000000001E-2"/>
    <n v="0.16"/>
    <n v="0.11"/>
    <n v="3.5000000000000003E-2"/>
    <x v="79"/>
    <x v="0"/>
    <x v="1"/>
    <n v="48450.000000000007"/>
    <n v="54150.000000000007"/>
    <n v="5700"/>
    <n v="2337"/>
    <n v="50787.000000000007"/>
    <n v="16759.710000000003"/>
    <n v="55287.000000000007"/>
    <n v="58287.000000000007"/>
    <n v="7871985.0000000009"/>
    <n v="8569485.0000000019"/>
    <n v="9034485.0000000019"/>
    <n v="0"/>
    <n v="669118.72500000009"/>
    <n v="2"/>
    <n v="228000.00000000003"/>
    <n v="228000.00000000003"/>
    <n v="8099985.0000000009"/>
  </r>
  <r>
    <m/>
    <s v="B"/>
    <x v="12"/>
    <s v="RESIDENTIAL"/>
    <x v="3"/>
    <n v="1"/>
    <x v="266"/>
    <x v="2"/>
    <s v="C1"/>
    <n v="131.88"/>
    <n v="143.20629701844499"/>
    <x v="37"/>
    <m/>
    <m/>
    <s v="SE"/>
    <s v="CORNER "/>
    <s v="ROAD 18M (VILLAS)"/>
    <s v="THIRD"/>
    <x v="4"/>
    <n v="0.08"/>
    <n v="0.05"/>
    <n v="0.16"/>
    <n v="0.15"/>
    <n v="2.5000000000000001E-2"/>
    <x v="12"/>
    <x v="0"/>
    <x v="7"/>
    <n v="61625"/>
    <n v="68875"/>
    <n v="7250"/>
    <n v="3371.2500000000005"/>
    <n v="64996.25"/>
    <n v="21448.762500000001"/>
    <n v="69496.25"/>
    <n v="72496.25"/>
    <n v="10464396.25"/>
    <n v="11188896.25"/>
    <n v="11671896.25"/>
    <n v="0"/>
    <n v="889473.68125000002"/>
    <n v="2"/>
    <n v="290000"/>
    <n v="290000"/>
    <n v="10754396.25"/>
  </r>
  <r>
    <m/>
    <s v="B"/>
    <x v="12"/>
    <s v="RESIDENTIAL"/>
    <x v="3"/>
    <n v="2"/>
    <x v="267"/>
    <x v="2"/>
    <s v="C1"/>
    <n v="131.43"/>
    <n v="142.71764950814546"/>
    <x v="33"/>
    <m/>
    <m/>
    <s v="NW"/>
    <s v="CORNER "/>
    <s v="SEMI LAKE B-1"/>
    <s v="THIRD"/>
    <x v="4"/>
    <n v="0.13"/>
    <n v="0.05"/>
    <n v="0.48"/>
    <n v="0.15"/>
    <n v="2.5000000000000001E-2"/>
    <x v="105"/>
    <x v="2"/>
    <x v="4"/>
    <n v="51850"/>
    <n v="57950"/>
    <n v="6100"/>
    <n v="5093.5"/>
    <n v="56943.5"/>
    <n v="18791.355"/>
    <n v="61443.5"/>
    <n v="64443.5"/>
    <n v="9110960"/>
    <n v="9830960"/>
    <n v="10310960"/>
    <n v="0"/>
    <n v="774431.60000000009"/>
    <n v="2"/>
    <n v="244000"/>
    <n v="244000"/>
    <n v="9354960"/>
  </r>
  <r>
    <m/>
    <s v="B"/>
    <x v="12"/>
    <s v="RESIDENTIAL"/>
    <x v="3"/>
    <n v="3"/>
    <x v="268"/>
    <x v="2"/>
    <s v="C1"/>
    <n v="126.97"/>
    <n v="137.87460973939915"/>
    <x v="35"/>
    <m/>
    <m/>
    <s v="NW"/>
    <s v="MIDDLE"/>
    <s v="LAKE B-1"/>
    <s v="THIRD"/>
    <x v="0"/>
    <n v="0.13"/>
    <n v="2.5000000000000001E-2"/>
    <n v="0.6"/>
    <n v="0.15"/>
    <n v="3.5000000000000003E-2"/>
    <x v="92"/>
    <x v="2"/>
    <x v="7"/>
    <n v="61625"/>
    <n v="68875"/>
    <n v="7250"/>
    <n v="6815"/>
    <n v="68440"/>
    <n v="22585.200000000001"/>
    <n v="72940"/>
    <n v="75940"/>
    <n v="10608200"/>
    <n v="11305700"/>
    <n v="11770700"/>
    <n v="0"/>
    <n v="901697.00000000012"/>
    <n v="2"/>
    <n v="290000"/>
    <n v="290000"/>
    <n v="10898200"/>
  </r>
  <r>
    <m/>
    <s v="B"/>
    <x v="12"/>
    <s v="RESIDENTIAL"/>
    <x v="3"/>
    <n v="4"/>
    <x v="269"/>
    <x v="2"/>
    <s v="C1"/>
    <n v="127.45"/>
    <n v="138.39583375038529"/>
    <x v="35"/>
    <m/>
    <m/>
    <s v="SE"/>
    <s v="MIDDLE"/>
    <s v="ROAD 18M (VILLAS)"/>
    <s v="THIRD"/>
    <x v="0"/>
    <n v="0.08"/>
    <n v="2.5000000000000001E-2"/>
    <n v="0.16"/>
    <n v="0.15"/>
    <n v="3.5000000000000003E-2"/>
    <x v="91"/>
    <x v="0"/>
    <x v="8"/>
    <n v="56100"/>
    <n v="62700"/>
    <n v="6600"/>
    <n v="2970.0000000000005"/>
    <n v="59070"/>
    <n v="19493.100000000002"/>
    <n v="63570"/>
    <n v="66570"/>
    <n v="9155850"/>
    <n v="9853350"/>
    <n v="10318350"/>
    <n v="0"/>
    <n v="778247.25"/>
    <n v="2"/>
    <n v="264000"/>
    <n v="264000"/>
    <n v="9419850"/>
  </r>
  <r>
    <m/>
    <s v="B"/>
    <x v="12"/>
    <s v="RESIDENTIAL"/>
    <x v="4"/>
    <n v="1"/>
    <x v="270"/>
    <x v="2"/>
    <s v="C1"/>
    <n v="129.58000000000001"/>
    <n v="140.70876529913636"/>
    <x v="32"/>
    <m/>
    <m/>
    <s v="SE"/>
    <s v="CORNER "/>
    <s v="ROAD 18M (VILLAS)"/>
    <s v="FORTH"/>
    <x v="0"/>
    <n v="0.08"/>
    <n v="0.05"/>
    <n v="0.16"/>
    <n v="0.06"/>
    <n v="3.5000000000000003E-2"/>
    <x v="4"/>
    <x v="0"/>
    <x v="6"/>
    <n v="44625"/>
    <n v="49875"/>
    <n v="5250"/>
    <n v="2021.25"/>
    <n v="46646.25"/>
    <n v="15393.262500000001"/>
    <n v="51146.25"/>
    <n v="54146.25"/>
    <n v="7370107.5"/>
    <n v="8081107.5"/>
    <n v="8555107.5"/>
    <n v="0"/>
    <n v="626459.13750000007"/>
    <n v="2"/>
    <n v="210000"/>
    <n v="210000"/>
    <n v="7580107.5"/>
  </r>
  <r>
    <m/>
    <s v="B"/>
    <x v="12"/>
    <s v="RESIDENTIAL"/>
    <x v="4"/>
    <n v="2"/>
    <x v="271"/>
    <x v="2"/>
    <s v="C1"/>
    <n v="131.38"/>
    <n v="142.66335534033439"/>
    <x v="33"/>
    <m/>
    <m/>
    <s v="NW"/>
    <s v="CORNER "/>
    <s v="SEMI LAKE B-1"/>
    <s v="FORTH"/>
    <x v="4"/>
    <n v="0.13"/>
    <n v="0.05"/>
    <n v="0.48"/>
    <n v="0.06"/>
    <n v="2.5000000000000001E-2"/>
    <x v="102"/>
    <x v="2"/>
    <x v="3"/>
    <n v="42500"/>
    <n v="47500"/>
    <n v="5000"/>
    <n v="3725"/>
    <n v="46225"/>
    <n v="15254.25"/>
    <n v="50725"/>
    <n v="53725"/>
    <n v="7396000"/>
    <n v="8116000"/>
    <n v="8596000"/>
    <n v="0"/>
    <n v="628660"/>
    <n v="2"/>
    <n v="200000"/>
    <n v="200000"/>
    <n v="7596000"/>
  </r>
  <r>
    <m/>
    <s v="B"/>
    <x v="12"/>
    <s v="RESIDENTIAL"/>
    <x v="4"/>
    <n v="3"/>
    <x v="272"/>
    <x v="2"/>
    <s v="C1"/>
    <n v="127.19"/>
    <n v="138.1135040777678"/>
    <x v="35"/>
    <m/>
    <m/>
    <s v="NW"/>
    <s v="MIDDLE"/>
    <s v="LAKE B-1"/>
    <s v="FORTH"/>
    <x v="0"/>
    <n v="0.13"/>
    <n v="2.5000000000000001E-2"/>
    <n v="0.6"/>
    <n v="0.06"/>
    <n v="3.5000000000000003E-2"/>
    <x v="84"/>
    <x v="2"/>
    <x v="4"/>
    <n v="51850"/>
    <n v="57950"/>
    <n v="6100"/>
    <n v="5185"/>
    <n v="57035"/>
    <n v="18821.55"/>
    <n v="61535"/>
    <n v="64535"/>
    <n v="8840425"/>
    <n v="9537925"/>
    <n v="10002925"/>
    <n v="0"/>
    <n v="751436.125"/>
    <n v="2"/>
    <n v="244000"/>
    <n v="244000"/>
    <n v="9084425"/>
  </r>
  <r>
    <m/>
    <s v="B"/>
    <x v="12"/>
    <s v="RESIDENTIAL"/>
    <x v="4"/>
    <n v="4"/>
    <x v="273"/>
    <x v="2"/>
    <s v="C1"/>
    <n v="125.13"/>
    <n v="135.87658436395222"/>
    <x v="31"/>
    <m/>
    <m/>
    <s v="SE"/>
    <s v="MIDDLE"/>
    <s v="ROAD 18M (VILLAS)"/>
    <s v="FORTH"/>
    <x v="0"/>
    <n v="0.08"/>
    <n v="2.5000000000000001E-2"/>
    <n v="0.16"/>
    <n v="0.06"/>
    <n v="3.5000000000000003E-2"/>
    <x v="94"/>
    <x v="0"/>
    <x v="3"/>
    <n v="42500"/>
    <n v="47500"/>
    <n v="5000"/>
    <n v="1800"/>
    <n v="44300"/>
    <n v="14619"/>
    <n v="48800"/>
    <n v="51800"/>
    <n v="6777900"/>
    <n v="7466400"/>
    <n v="7925400"/>
    <n v="0"/>
    <n v="576121.5"/>
    <n v="2"/>
    <n v="200000"/>
    <n v="200000"/>
    <n v="6977900"/>
  </r>
  <r>
    <s v="B3"/>
    <s v="B"/>
    <x v="13"/>
    <s v="RESIDENTIAL"/>
    <x v="0"/>
    <n v="1"/>
    <x v="274"/>
    <x v="0"/>
    <s v="C2"/>
    <n v="95.254000000000005"/>
    <n v="105.53950812408786"/>
    <x v="17"/>
    <n v="63.664700000000003"/>
    <m/>
    <s v="SE"/>
    <s v="MIDDLE"/>
    <s v="ROAD 18M (VILLAS)"/>
    <s v="GROUND"/>
    <x v="1"/>
    <n v="0.08"/>
    <n v="2.5000000000000001E-2"/>
    <n v="0.16"/>
    <n v="0.05"/>
    <n v="0.04"/>
    <x v="3"/>
    <x v="0"/>
    <x v="3"/>
    <n v="42500"/>
    <n v="47500"/>
    <n v="5000"/>
    <n v="1775"/>
    <n v="44275"/>
    <n v="14610.75"/>
    <n v="48775"/>
    <n v="51775"/>
    <n v="5135900"/>
    <n v="5657900"/>
    <n v="6005900"/>
    <n v="930189.01552500005"/>
    <n v="515617.56631962507"/>
    <n v="1"/>
    <n v="200000"/>
    <n v="200000"/>
    <n v="6266089.0155250002"/>
  </r>
  <r>
    <m/>
    <s v="B"/>
    <x v="13"/>
    <s v="RESIDENTIAL"/>
    <x v="0"/>
    <n v="2"/>
    <x v="275"/>
    <x v="2"/>
    <s v="C2"/>
    <n v="162.82599999999999"/>
    <n v="180.40791935050211"/>
    <x v="18"/>
    <n v="77.610299999999995"/>
    <m/>
    <s v="NW"/>
    <s v="MIDDLE"/>
    <s v="LAKE B-2"/>
    <s v="GROUND"/>
    <x v="3"/>
    <n v="0.13"/>
    <n v="2.5000000000000001E-2"/>
    <n v="0.53"/>
    <n v="0.05"/>
    <n v="1.4999999999999999E-2"/>
    <x v="106"/>
    <x v="2"/>
    <x v="0"/>
    <n v="43562.499999999993"/>
    <n v="48687.499999999993"/>
    <n v="5125"/>
    <n v="3843.7500000000005"/>
    <n v="47406.249999999993"/>
    <n v="15644.062499999998"/>
    <n v="51906.249999999993"/>
    <n v="54906.249999999993"/>
    <n v="9433843.7499999981"/>
    <n v="10329343.749999998"/>
    <n v="10926343.749999998"/>
    <n v="1214140.3838437498"/>
    <n v="905078.65137671866"/>
    <n v="2"/>
    <n v="204999.99999999997"/>
    <n v="204999.99999999997"/>
    <n v="10852984.133843748"/>
  </r>
  <r>
    <m/>
    <s v="B"/>
    <x v="13"/>
    <s v="RESIDENTIAL"/>
    <x v="0"/>
    <n v="3"/>
    <x v="276"/>
    <x v="3"/>
    <s v="C2"/>
    <n v="183.887"/>
    <n v="203.74308197465874"/>
    <x v="19"/>
    <n v="54.576500000000003"/>
    <m/>
    <s v="NW"/>
    <s v="CORNER "/>
    <s v="SEMI LAKE B-2"/>
    <s v="GROUND"/>
    <x v="3"/>
    <n v="0.13"/>
    <n v="0.05"/>
    <n v="0.42400000000000004"/>
    <n v="0.05"/>
    <n v="1.4999999999999999E-2"/>
    <x v="107"/>
    <x v="1"/>
    <x v="1"/>
    <n v="48450.000000000007"/>
    <n v="54150.000000000007"/>
    <n v="5700"/>
    <n v="3813.3000000000006"/>
    <n v="52263.30000000001"/>
    <n v="17246.889000000003"/>
    <n v="56763.30000000001"/>
    <n v="59763.30000000001"/>
    <n v="11706979.200000003"/>
    <n v="12714979.200000003"/>
    <n v="13386979.200000003"/>
    <n v="941274.8375085002"/>
    <n v="1075101.5931882227"/>
    <n v="2"/>
    <n v="228000.00000000003"/>
    <n v="228000.00000000003"/>
    <n v="12876254.037508503"/>
  </r>
  <r>
    <m/>
    <s v="B"/>
    <x v="13"/>
    <s v="RESIDENTIAL"/>
    <x v="0"/>
    <n v="4"/>
    <x v="277"/>
    <x v="2"/>
    <s v="C2"/>
    <n v="147.54499999999999"/>
    <n v="163.47687998581205"/>
    <x v="41"/>
    <n v="76.683400000000006"/>
    <m/>
    <s v="SE"/>
    <s v="CORNER "/>
    <s v="ROAD 18M (VILLAS)"/>
    <s v="GROUND"/>
    <x v="4"/>
    <n v="0.08"/>
    <n v="0.05"/>
    <n v="0.16"/>
    <n v="0.05"/>
    <n v="2.5000000000000001E-2"/>
    <x v="88"/>
    <x v="0"/>
    <x v="0"/>
    <n v="43562.499999999993"/>
    <n v="48687.499999999993"/>
    <n v="5125"/>
    <n v="1870.6250000000002"/>
    <n v="45433.124999999993"/>
    <n v="14992.931249999998"/>
    <n v="49933.124999999993"/>
    <n v="52933.124999999993"/>
    <n v="8177962.4999999991"/>
    <n v="8987962.4999999981"/>
    <n v="9527962.4999999981"/>
    <n v="1149708.94421625"/>
    <n v="792852.07275838125"/>
    <n v="2"/>
    <n v="204999.99999999997"/>
    <n v="204999.99999999997"/>
    <n v="9532671.4442162495"/>
  </r>
  <r>
    <m/>
    <s v="B"/>
    <x v="13"/>
    <s v="RESIDENTIAL"/>
    <x v="1"/>
    <n v="1"/>
    <x v="278"/>
    <x v="0"/>
    <s v="C2"/>
    <n v="96.311000000000007"/>
    <n v="106.71064277551626"/>
    <x v="21"/>
    <m/>
    <m/>
    <s v="SE"/>
    <s v="MIDDLE"/>
    <s v="ROAD 18M (VILLAS)"/>
    <s v="FIRST"/>
    <x v="1"/>
    <n v="0.08"/>
    <n v="2.5000000000000001E-2"/>
    <n v="0.16"/>
    <n v="7.0000000000000007E-2"/>
    <n v="0.04"/>
    <x v="7"/>
    <x v="0"/>
    <x v="6"/>
    <n v="44625"/>
    <n v="49875"/>
    <n v="5250"/>
    <n v="1968.75"/>
    <n v="46593.75"/>
    <n v="15375.9375"/>
    <n v="51093.75"/>
    <n v="54093.75"/>
    <n v="5451468.75"/>
    <n v="5977968.75"/>
    <n v="6328968.75"/>
    <n v="0"/>
    <n v="463374.84375000006"/>
    <n v="1"/>
    <n v="210000"/>
    <n v="210000"/>
    <n v="5661468.75"/>
  </r>
  <r>
    <m/>
    <s v="B"/>
    <x v="13"/>
    <s v="RESIDENTIAL"/>
    <x v="1"/>
    <n v="2"/>
    <x v="279"/>
    <x v="2"/>
    <s v="C2"/>
    <n v="162.57599999999999"/>
    <n v="180.13092439983313"/>
    <x v="42"/>
    <m/>
    <m/>
    <s v="NW"/>
    <s v="MIDDLE"/>
    <s v="LAKE B-2"/>
    <s v="FIRST"/>
    <x v="3"/>
    <n v="0.13"/>
    <n v="2.5000000000000001E-2"/>
    <n v="0.53"/>
    <n v="7.0000000000000007E-2"/>
    <n v="1.4999999999999999E-2"/>
    <x v="108"/>
    <x v="2"/>
    <x v="2"/>
    <n v="45687.5"/>
    <n v="51062.5"/>
    <n v="5375"/>
    <n v="4138.7500000000009"/>
    <n v="49826.25"/>
    <n v="16442.662500000002"/>
    <n v="54326.25"/>
    <n v="57326.25"/>
    <n v="9865597.5"/>
    <n v="10756597.5"/>
    <n v="11350597.5"/>
    <n v="0"/>
    <n v="838575.78750000009"/>
    <n v="2"/>
    <n v="215000"/>
    <n v="215000"/>
    <n v="10080597.5"/>
  </r>
  <r>
    <m/>
    <s v="B"/>
    <x v="13"/>
    <s v="RESIDENTIAL"/>
    <x v="1"/>
    <n v="3"/>
    <x v="280"/>
    <x v="3"/>
    <s v="C2"/>
    <n v="183.637"/>
    <n v="203.46608702398976"/>
    <x v="19"/>
    <m/>
    <m/>
    <s v="NW"/>
    <s v="CORNER "/>
    <s v="SEMI LAKE B-2"/>
    <s v="FIRST"/>
    <x v="3"/>
    <n v="0.13"/>
    <n v="0.05"/>
    <n v="0.42400000000000004"/>
    <n v="7.0000000000000007E-2"/>
    <n v="1.4999999999999999E-2"/>
    <x v="109"/>
    <x v="1"/>
    <x v="4"/>
    <n v="51850"/>
    <n v="57950"/>
    <n v="6100"/>
    <n v="4202.9000000000015"/>
    <n v="56052.9"/>
    <n v="18497.457000000002"/>
    <n v="60552.9"/>
    <n v="63552.9"/>
    <n v="12555849.6"/>
    <n v="13563849.6"/>
    <n v="14235849.6"/>
    <n v="0"/>
    <n v="1067247.216"/>
    <n v="2"/>
    <n v="244000"/>
    <n v="244000"/>
    <n v="12799849.6"/>
  </r>
  <r>
    <m/>
    <s v="B"/>
    <x v="13"/>
    <s v="RESIDENTIAL"/>
    <x v="1"/>
    <n v="4"/>
    <x v="281"/>
    <x v="2"/>
    <s v="C2"/>
    <n v="141.66300000000001"/>
    <n v="156.95974278647259"/>
    <x v="22"/>
    <m/>
    <m/>
    <s v="SE"/>
    <s v="CORNER "/>
    <s v="ROAD 18M (VILLAS)"/>
    <s v="FIRST"/>
    <x v="4"/>
    <n v="0.08"/>
    <n v="0.05"/>
    <n v="0.16"/>
    <n v="7.0000000000000007E-2"/>
    <n v="2.5000000000000001E-2"/>
    <x v="110"/>
    <x v="0"/>
    <x v="2"/>
    <n v="45687.5"/>
    <n v="51062.5"/>
    <n v="5375"/>
    <n v="2069.3750000000005"/>
    <n v="47756.875"/>
    <n v="15759.768750000001"/>
    <n v="52256.875"/>
    <n v="55256.875"/>
    <n v="8261939.375"/>
    <n v="9040439.375"/>
    <n v="9559439.375"/>
    <n v="0"/>
    <n v="702264.84687500005"/>
    <n v="2"/>
    <n v="215000"/>
    <n v="215000"/>
    <n v="8476939.375"/>
  </r>
  <r>
    <m/>
    <s v="B"/>
    <x v="13"/>
    <s v="RESIDENTIAL"/>
    <x v="2"/>
    <n v="1"/>
    <x v="282"/>
    <x v="2"/>
    <s v="C2"/>
    <n v="141.22499999999999"/>
    <n v="156.47444763290054"/>
    <x v="23"/>
    <m/>
    <m/>
    <s v="SE"/>
    <s v="MIDDLE"/>
    <s v="ROAD 18M (VILLAS)"/>
    <s v="SECOND"/>
    <x v="4"/>
    <n v="0.08"/>
    <n v="2.5000000000000001E-2"/>
    <n v="0.16"/>
    <n v="0.11"/>
    <n v="2.5000000000000001E-2"/>
    <x v="98"/>
    <x v="0"/>
    <x v="5"/>
    <n v="46750.000000000007"/>
    <n v="52250.000000000007"/>
    <n v="5500"/>
    <n v="2200"/>
    <n v="48950.000000000007"/>
    <n v="16153.500000000004"/>
    <n v="53450.000000000007"/>
    <n v="56450.000000000007"/>
    <n v="8419400.0000000019"/>
    <n v="9193400.0000000019"/>
    <n v="9709400.0000000019"/>
    <n v="0"/>
    <n v="715649.00000000023"/>
    <n v="2"/>
    <n v="220000.00000000003"/>
    <n v="220000.00000000003"/>
    <n v="8639400.0000000019"/>
  </r>
  <r>
    <m/>
    <s v="B"/>
    <x v="13"/>
    <s v="RESIDENTIAL"/>
    <x v="2"/>
    <n v="2"/>
    <x v="283"/>
    <x v="2"/>
    <s v="C2"/>
    <n v="167.214"/>
    <n v="185.26973472464385"/>
    <x v="43"/>
    <m/>
    <m/>
    <s v="NW"/>
    <s v="MIDDLE"/>
    <s v="LAKE B-2"/>
    <s v="SECOND"/>
    <x v="3"/>
    <n v="0.13"/>
    <n v="2.5000000000000001E-2"/>
    <n v="0.53"/>
    <n v="0.11"/>
    <n v="1.4999999999999999E-2"/>
    <x v="111"/>
    <x v="2"/>
    <x v="12"/>
    <n v="50150"/>
    <n v="56050"/>
    <n v="5900"/>
    <n v="4779"/>
    <n v="54929"/>
    <n v="18126.57"/>
    <n v="59429"/>
    <n v="62429"/>
    <n v="11205516"/>
    <n v="12123516"/>
    <n v="12735516"/>
    <n v="0"/>
    <n v="952468.8600000001"/>
    <n v="2"/>
    <n v="236000"/>
    <n v="236000"/>
    <n v="11441516"/>
  </r>
  <r>
    <m/>
    <s v="B"/>
    <x v="13"/>
    <s v="RESIDENTIAL"/>
    <x v="2"/>
    <n v="3"/>
    <x v="284"/>
    <x v="3"/>
    <s v="C2"/>
    <n v="187.10300000000001"/>
    <n v="207.30634502006436"/>
    <x v="25"/>
    <m/>
    <m/>
    <s v="NW"/>
    <s v="CORNER "/>
    <s v="SEMI LAKE B-2"/>
    <s v="SECOND"/>
    <x v="3"/>
    <n v="0.13"/>
    <n v="0.05"/>
    <n v="0.42400000000000004"/>
    <n v="0.11"/>
    <n v="1.4999999999999999E-2"/>
    <x v="112"/>
    <x v="1"/>
    <x v="7"/>
    <n v="61625"/>
    <n v="68875"/>
    <n v="7250"/>
    <n v="5285.2500000000009"/>
    <n v="66910.25"/>
    <n v="22080.3825"/>
    <n v="71410.25"/>
    <n v="74410.25"/>
    <n v="15255537"/>
    <n v="16281537"/>
    <n v="16965537"/>
    <n v="0"/>
    <n v="1296720.645"/>
    <n v="2"/>
    <n v="290000"/>
    <n v="290000"/>
    <n v="15545537"/>
  </r>
  <r>
    <m/>
    <s v="B"/>
    <x v="13"/>
    <s v="RESIDENTIAL"/>
    <x v="2"/>
    <n v="4"/>
    <x v="285"/>
    <x v="2"/>
    <s v="C2"/>
    <n v="143.989"/>
    <n v="159.53690380749666"/>
    <x v="20"/>
    <m/>
    <m/>
    <s v="SE"/>
    <s v="CORNER "/>
    <s v="ROAD 18M (VILLAS)"/>
    <s v="SECOND"/>
    <x v="4"/>
    <n v="0.08"/>
    <n v="0.05"/>
    <n v="0.16"/>
    <n v="0.11"/>
    <n v="2.5000000000000001E-2"/>
    <x v="8"/>
    <x v="0"/>
    <x v="4"/>
    <n v="51850"/>
    <n v="57950"/>
    <n v="6100"/>
    <n v="2592.5000000000005"/>
    <n v="54442.5"/>
    <n v="17966.025000000001"/>
    <n v="58942.5"/>
    <n v="61942.5"/>
    <n v="9581880"/>
    <n v="10373880"/>
    <n v="10901880"/>
    <n v="0"/>
    <n v="814459.8"/>
    <n v="2"/>
    <n v="244000"/>
    <n v="244000"/>
    <n v="9825880"/>
  </r>
  <r>
    <m/>
    <s v="B"/>
    <x v="13"/>
    <s v="RESIDENTIAL"/>
    <x v="3"/>
    <n v="1"/>
    <x v="286"/>
    <x v="2"/>
    <s v="C2"/>
    <n v="141.131"/>
    <n v="156.37029753144901"/>
    <x v="23"/>
    <m/>
    <m/>
    <s v="SE"/>
    <s v="MIDDLE"/>
    <s v="ROAD 18M (VILLAS)"/>
    <s v="THIRD"/>
    <x v="4"/>
    <n v="0.08"/>
    <n v="2.5000000000000001E-2"/>
    <n v="0.16"/>
    <n v="0.15"/>
    <n v="2.5000000000000001E-2"/>
    <x v="100"/>
    <x v="0"/>
    <x v="4"/>
    <n v="51850"/>
    <n v="57950"/>
    <n v="6100"/>
    <n v="2684.0000000000005"/>
    <n v="54534"/>
    <n v="17996.22"/>
    <n v="59034"/>
    <n v="62034"/>
    <n v="9379848"/>
    <n v="10153848"/>
    <n v="10669848"/>
    <n v="0"/>
    <n v="797287.08000000007"/>
    <n v="2"/>
    <n v="244000"/>
    <n v="244000"/>
    <n v="9623848"/>
  </r>
  <r>
    <m/>
    <s v="B"/>
    <x v="13"/>
    <s v="RESIDENTIAL"/>
    <x v="3"/>
    <n v="2"/>
    <x v="287"/>
    <x v="2"/>
    <s v="C2"/>
    <n v="164.43600000000001"/>
    <n v="182.19176683281029"/>
    <x v="44"/>
    <m/>
    <m/>
    <s v="NW"/>
    <s v="MIDDLE"/>
    <s v="LAKE B-2"/>
    <s v="THIRD"/>
    <x v="3"/>
    <n v="0.13"/>
    <n v="2.5000000000000001E-2"/>
    <n v="0.53"/>
    <n v="0.15"/>
    <n v="1.4999999999999999E-2"/>
    <x v="113"/>
    <x v="2"/>
    <x v="4"/>
    <n v="51850"/>
    <n v="57950"/>
    <n v="6100"/>
    <n v="5185.0000000000009"/>
    <n v="57035"/>
    <n v="18821.55"/>
    <n v="61535"/>
    <n v="64535"/>
    <n v="11464035"/>
    <n v="12368535"/>
    <n v="12971535"/>
    <n v="0"/>
    <n v="974442.97500000009"/>
    <n v="2"/>
    <n v="244000"/>
    <n v="244000"/>
    <n v="11708035"/>
  </r>
  <r>
    <m/>
    <s v="B"/>
    <x v="13"/>
    <s v="RESIDENTIAL"/>
    <x v="3"/>
    <n v="3"/>
    <x v="288"/>
    <x v="3"/>
    <s v="C2"/>
    <n v="187.20400000000001"/>
    <n v="207.41825098013462"/>
    <x v="25"/>
    <m/>
    <m/>
    <s v="NW"/>
    <s v="CORNER "/>
    <s v="SEMI LAKE B-2"/>
    <s v="THIRD"/>
    <x v="3"/>
    <n v="0.13"/>
    <n v="0.05"/>
    <n v="0.42400000000000004"/>
    <n v="0.15"/>
    <n v="1.4999999999999999E-2"/>
    <x v="114"/>
    <x v="2"/>
    <x v="6"/>
    <n v="44625"/>
    <n v="49875"/>
    <n v="5250"/>
    <n v="4037.2500000000005"/>
    <n v="48662.25"/>
    <n v="16058.542500000001"/>
    <n v="53162.25"/>
    <n v="56162.25"/>
    <n v="11094993"/>
    <n v="12120993"/>
    <n v="12804993"/>
    <n v="0"/>
    <n v="943074.40500000003"/>
    <n v="2"/>
    <n v="210000"/>
    <n v="210000"/>
    <n v="11304993"/>
  </r>
  <r>
    <m/>
    <s v="B"/>
    <x v="13"/>
    <s v="RESIDENTIAL"/>
    <x v="3"/>
    <n v="4"/>
    <x v="289"/>
    <x v="2"/>
    <s v="C2"/>
    <n v="143.911"/>
    <n v="159.45048138288794"/>
    <x v="20"/>
    <m/>
    <m/>
    <s v="SE"/>
    <s v="CORNER "/>
    <s v="ROAD 18M (VILLAS)"/>
    <s v="THIRD"/>
    <x v="4"/>
    <n v="0.08"/>
    <n v="0.05"/>
    <n v="0.16"/>
    <n v="0.15"/>
    <n v="2.5000000000000001E-2"/>
    <x v="12"/>
    <x v="0"/>
    <x v="9"/>
    <n v="58649.999999999993"/>
    <n v="65550"/>
    <n v="6900.0000000000073"/>
    <n v="3208.5000000000041"/>
    <n v="61858.5"/>
    <n v="20413.305"/>
    <n v="66358.5"/>
    <n v="69358.5"/>
    <n v="10887096"/>
    <n v="11679096"/>
    <n v="12207096"/>
    <n v="0"/>
    <n v="925403.16"/>
    <n v="2"/>
    <n v="276000"/>
    <n v="276000"/>
    <n v="11163096"/>
  </r>
  <r>
    <m/>
    <s v="B"/>
    <x v="13"/>
    <s v="RESIDENTIAL"/>
    <x v="4"/>
    <n v="1"/>
    <x v="290"/>
    <x v="2"/>
    <s v="C2"/>
    <n v="139.16499999999999"/>
    <n v="154.19200923938823"/>
    <x v="28"/>
    <m/>
    <m/>
    <s v="SE"/>
    <s v="MIDDLE"/>
    <s v="ROAD 18M (VILLAS)"/>
    <s v="FORTH"/>
    <x v="4"/>
    <n v="0.08"/>
    <n v="2.5000000000000001E-2"/>
    <n v="0.16"/>
    <n v="0.06"/>
    <n v="2.5000000000000001E-2"/>
    <x v="115"/>
    <x v="0"/>
    <x v="3"/>
    <n v="42500"/>
    <n v="47500"/>
    <n v="5000"/>
    <n v="1750.0000000000002"/>
    <n v="44250"/>
    <n v="14602.5"/>
    <n v="48750"/>
    <n v="51750"/>
    <n v="7522500"/>
    <n v="8287500"/>
    <n v="8797500"/>
    <n v="0"/>
    <n v="639412.5"/>
    <n v="2"/>
    <n v="200000"/>
    <n v="200000"/>
    <n v="7722500"/>
  </r>
  <r>
    <m/>
    <s v="B"/>
    <x v="13"/>
    <s v="RESIDENTIAL"/>
    <x v="4"/>
    <n v="2"/>
    <x v="291"/>
    <x v="2"/>
    <s v="C2"/>
    <n v="162.49"/>
    <n v="180.03563813680304"/>
    <x v="42"/>
    <m/>
    <m/>
    <s v="NW"/>
    <s v="MIDDLE"/>
    <s v="LAKE B-2"/>
    <s v="FORTH"/>
    <x v="3"/>
    <n v="0.13"/>
    <n v="2.5000000000000001E-2"/>
    <n v="0.53"/>
    <n v="0.06"/>
    <n v="1.4999999999999999E-2"/>
    <x v="116"/>
    <x v="2"/>
    <x v="6"/>
    <n v="44625"/>
    <n v="49875"/>
    <n v="5250"/>
    <n v="3990.0000000000005"/>
    <n v="48615"/>
    <n v="16042.95"/>
    <n v="53115"/>
    <n v="56115"/>
    <n v="9625770"/>
    <n v="10516770"/>
    <n v="11110770"/>
    <n v="0"/>
    <n v="818190.45000000007"/>
    <n v="2"/>
    <n v="210000"/>
    <n v="210000"/>
    <n v="9835770"/>
  </r>
  <r>
    <m/>
    <s v="B"/>
    <x v="13"/>
    <s v="RESIDENTIAL"/>
    <x v="4"/>
    <n v="3"/>
    <x v="292"/>
    <x v="3"/>
    <s v="C2"/>
    <n v="182.357"/>
    <n v="202.04787287656464"/>
    <x v="45"/>
    <m/>
    <m/>
    <s v="NW"/>
    <s v="CORNER "/>
    <s v="SEMI LAKE B-2"/>
    <s v="FORTH"/>
    <x v="3"/>
    <n v="0.13"/>
    <n v="0.05"/>
    <n v="0.42400000000000004"/>
    <n v="0.06"/>
    <n v="1.4999999999999999E-2"/>
    <x v="117"/>
    <x v="1"/>
    <x v="12"/>
    <n v="50150"/>
    <n v="56050"/>
    <n v="5900"/>
    <n v="4006.1000000000008"/>
    <n v="54156.1"/>
    <n v="17871.512999999999"/>
    <n v="58656.1"/>
    <n v="61656.1"/>
    <n v="12022654.199999999"/>
    <n v="13021654.199999999"/>
    <n v="13687654.199999999"/>
    <n v="0"/>
    <n v="1021925.607"/>
    <n v="2"/>
    <n v="236000"/>
    <n v="236000"/>
    <n v="12258654.199999999"/>
  </r>
  <r>
    <m/>
    <s v="B"/>
    <x v="13"/>
    <s v="RESIDENTIAL"/>
    <x v="4"/>
    <n v="4"/>
    <x v="293"/>
    <x v="2"/>
    <s v="C2"/>
    <n v="141.929"/>
    <n v="157.25446541398435"/>
    <x v="22"/>
    <m/>
    <m/>
    <s v="SE"/>
    <s v="CORNER "/>
    <s v="ROAD 18M (VILLAS)"/>
    <s v="FORTH"/>
    <x v="4"/>
    <n v="0.08"/>
    <n v="0.05"/>
    <n v="0.16"/>
    <n v="0.06"/>
    <n v="2.5000000000000001E-2"/>
    <x v="118"/>
    <x v="0"/>
    <x v="6"/>
    <n v="44625"/>
    <n v="49875"/>
    <n v="5250"/>
    <n v="1968.7500000000002"/>
    <n v="46593.75"/>
    <n v="15375.9375"/>
    <n v="51093.75"/>
    <n v="54093.75"/>
    <n v="8060718.75"/>
    <n v="8839218.75"/>
    <n v="9358218.75"/>
    <n v="0"/>
    <n v="685161.09375"/>
    <n v="2"/>
    <n v="210000"/>
    <n v="210000"/>
    <n v="8270718.75"/>
  </r>
  <r>
    <s v="B3"/>
    <s v="B"/>
    <x v="14"/>
    <s v="RESIDENTIAL"/>
    <x v="0"/>
    <n v="1"/>
    <x v="294"/>
    <x v="2"/>
    <s v="C2"/>
    <n v="141.82499999999999"/>
    <n v="159.04192828545919"/>
    <x v="22"/>
    <n v="80.092500000000001"/>
    <m/>
    <s v="SE"/>
    <s v="MIDDLE"/>
    <s v="ROAD 18M (VILLAS)"/>
    <s v="GROUND"/>
    <x v="4"/>
    <n v="0.08"/>
    <n v="2.5000000000000001E-2"/>
    <n v="0.16"/>
    <n v="0.05"/>
    <n v="2.5000000000000001E-2"/>
    <x v="95"/>
    <x v="0"/>
    <x v="3"/>
    <n v="42500"/>
    <n v="47500"/>
    <n v="5000"/>
    <n v="1700.0000000000002"/>
    <n v="44200"/>
    <n v="14586"/>
    <n v="48700"/>
    <n v="51700"/>
    <n v="7646600"/>
    <n v="8425100"/>
    <n v="8944100"/>
    <n v="1168229.2050000001"/>
    <n v="749260.48242500005"/>
    <n v="2"/>
    <n v="200000"/>
    <n v="200000"/>
    <n v="9014829.2050000001"/>
  </r>
  <r>
    <m/>
    <s v="B"/>
    <x v="14"/>
    <s v="RESIDENTIAL"/>
    <x v="0"/>
    <n v="2"/>
    <x v="295"/>
    <x v="4"/>
    <s v="C2"/>
    <n v="142.05600000000001"/>
    <n v="159.30097066468673"/>
    <x v="46"/>
    <n v="97.868200000000002"/>
    <m/>
    <s v="NW"/>
    <s v="MIDDLE"/>
    <s v="LAKE B-2"/>
    <s v="GROUND"/>
    <x v="5"/>
    <n v="0.13"/>
    <n v="2.5000000000000001E-2"/>
    <n v="0.53"/>
    <n v="0.05"/>
    <n v="0"/>
    <x v="119"/>
    <x v="2"/>
    <x v="3"/>
    <n v="42500"/>
    <n v="47500"/>
    <n v="5000"/>
    <n v="3675.0000000000005"/>
    <n v="46175"/>
    <n v="15237.75"/>
    <n v="50675"/>
    <n v="53675"/>
    <n v="15884200"/>
    <n v="17432200"/>
    <n v="18464200"/>
    <n v="1491291.1645500001"/>
    <n v="1476916.7489867499"/>
    <n v="2"/>
    <n v="200000"/>
    <n v="200000"/>
    <n v="17575491.164549999"/>
  </r>
  <r>
    <m/>
    <s v="B"/>
    <x v="14"/>
    <s v="RESIDENTIAL"/>
    <x v="0"/>
    <n v="3"/>
    <x v="296"/>
    <x v="4"/>
    <s v="C2"/>
    <n v="142.197"/>
    <n v="159.45908744161781"/>
    <x v="46"/>
    <n v="97.259299999999996"/>
    <m/>
    <s v="NW"/>
    <s v="MIDDLE"/>
    <s v="LAKE B-2"/>
    <s v="GROUND"/>
    <x v="5"/>
    <n v="0.13"/>
    <n v="2.5000000000000001E-2"/>
    <n v="0.53"/>
    <n v="0.05"/>
    <n v="0"/>
    <x v="119"/>
    <x v="2"/>
    <x v="0"/>
    <n v="43562.499999999993"/>
    <n v="48687.499999999993"/>
    <n v="5125"/>
    <n v="3766.8750000000005"/>
    <n v="47329.374999999993"/>
    <n v="15618.693749999999"/>
    <n v="51829.374999999993"/>
    <n v="54829.374999999993"/>
    <n v="16281304.999999998"/>
    <n v="17829304.999999996"/>
    <n v="18861304.999999996"/>
    <n v="1519063.2210393748"/>
    <n v="1513031.2987883468"/>
    <n v="2"/>
    <n v="204999.99999999997"/>
    <n v="204999.99999999997"/>
    <n v="18005368.221039373"/>
  </r>
  <r>
    <m/>
    <s v="B"/>
    <x v="14"/>
    <s v="RESIDENTIAL"/>
    <x v="0"/>
    <n v="4"/>
    <x v="297"/>
    <x v="0"/>
    <s v="C2"/>
    <n v="95.254000000000005"/>
    <n v="106.81741467938045"/>
    <x v="17"/>
    <n v="63.675199999999997"/>
    <m/>
    <s v="SE"/>
    <s v="MIDDLE"/>
    <s v="ROAD 18M (VILLAS)"/>
    <s v="GROUND"/>
    <x v="1"/>
    <n v="0.08"/>
    <n v="2.5000000000000001E-2"/>
    <n v="0.16"/>
    <n v="0.05"/>
    <n v="0.04"/>
    <x v="3"/>
    <x v="0"/>
    <x v="3"/>
    <n v="42500"/>
    <n v="47500"/>
    <n v="5000"/>
    <n v="1775"/>
    <n v="44275"/>
    <n v="14610.75"/>
    <n v="48775"/>
    <n v="51775"/>
    <n v="5135900"/>
    <n v="5657900"/>
    <n v="6005900"/>
    <n v="930342.42839999998"/>
    <n v="515630.60641399998"/>
    <n v="1"/>
    <n v="200000"/>
    <n v="200000"/>
    <n v="6266242.4284000006"/>
  </r>
  <r>
    <m/>
    <s v="B"/>
    <x v="14"/>
    <s v="RESIDENTIAL"/>
    <x v="1"/>
    <n v="1"/>
    <x v="298"/>
    <x v="2"/>
    <s v="C2"/>
    <n v="142.977"/>
    <n v="160.33377599485354"/>
    <x v="47"/>
    <m/>
    <m/>
    <s v="SE"/>
    <s v="MIDDLE"/>
    <s v="ROAD 18M (VILLAS)"/>
    <s v="FIRST"/>
    <x v="4"/>
    <n v="0.08"/>
    <n v="2.5000000000000001E-2"/>
    <n v="0.16"/>
    <n v="7.0000000000000007E-2"/>
    <n v="2.5000000000000001E-2"/>
    <x v="97"/>
    <x v="0"/>
    <x v="0"/>
    <n v="43562.499999999993"/>
    <n v="48687.499999999993"/>
    <n v="5125"/>
    <n v="1845.0000000000002"/>
    <n v="45407.499999999993"/>
    <n v="14984.474999999999"/>
    <n v="49907.499999999993"/>
    <n v="52907.499999999993"/>
    <n v="7900904.9999999991"/>
    <n v="8683904.9999999981"/>
    <n v="9205904.9999999981"/>
    <n v="0"/>
    <n v="671576.92499999993"/>
    <n v="2"/>
    <n v="204999.99999999997"/>
    <n v="204999.99999999997"/>
    <n v="8105904.9999999991"/>
  </r>
  <r>
    <m/>
    <s v="B"/>
    <x v="14"/>
    <s v="RESIDENTIAL"/>
    <x v="1"/>
    <n v="4"/>
    <x v="299"/>
    <x v="0"/>
    <s v="C2"/>
    <n v="96.311000000000007"/>
    <n v="108.00272980857298"/>
    <x v="21"/>
    <m/>
    <m/>
    <s v="SE"/>
    <s v="MIDDLE"/>
    <s v="ROAD 18M (VILLAS)"/>
    <s v="FIRST"/>
    <x v="1"/>
    <n v="0.08"/>
    <n v="2.5000000000000001E-2"/>
    <n v="0.16"/>
    <n v="7.0000000000000007E-2"/>
    <n v="0.04"/>
    <x v="7"/>
    <x v="0"/>
    <x v="6"/>
    <n v="44625"/>
    <n v="49875"/>
    <n v="5250"/>
    <n v="1968.75"/>
    <n v="46593.75"/>
    <n v="15375.9375"/>
    <n v="51093.75"/>
    <n v="54093.75"/>
    <n v="5451468.75"/>
    <n v="5977968.75"/>
    <n v="6328968.75"/>
    <n v="0"/>
    <n v="463374.84375000006"/>
    <n v="1"/>
    <n v="210000"/>
    <n v="210000"/>
    <n v="5661468.75"/>
  </r>
  <r>
    <m/>
    <s v="B"/>
    <x v="14"/>
    <s v="RESIDENTIAL"/>
    <x v="2"/>
    <n v="1"/>
    <x v="300"/>
    <x v="2"/>
    <s v="C2"/>
    <n v="141.18700000000001"/>
    <n v="158.32647790473564"/>
    <x v="23"/>
    <m/>
    <m/>
    <s v="SE"/>
    <s v="MIDDLE"/>
    <s v="ROAD 18M (VILLAS)"/>
    <s v="SECOND"/>
    <x v="4"/>
    <n v="0.08"/>
    <n v="2.5000000000000001E-2"/>
    <n v="0.16"/>
    <n v="0.11"/>
    <n v="2.5000000000000001E-2"/>
    <x v="98"/>
    <x v="0"/>
    <x v="5"/>
    <n v="46750.000000000007"/>
    <n v="52250.000000000007"/>
    <n v="5500"/>
    <n v="2200"/>
    <n v="48950.000000000007"/>
    <n v="16153.500000000004"/>
    <n v="53450.000000000007"/>
    <n v="56450.000000000007"/>
    <n v="8419400.0000000019"/>
    <n v="9193400.0000000019"/>
    <n v="9709400.0000000019"/>
    <n v="0"/>
    <n v="715649.00000000023"/>
    <n v="2"/>
    <n v="220000.00000000003"/>
    <n v="220000.00000000003"/>
    <n v="8639400.0000000019"/>
  </r>
  <r>
    <m/>
    <s v="B"/>
    <x v="14"/>
    <s v="RESIDENTIAL"/>
    <x v="2"/>
    <n v="2"/>
    <x v="301"/>
    <x v="2"/>
    <s v="C2"/>
    <n v="141.446"/>
    <n v="158.61691936023314"/>
    <x v="22"/>
    <m/>
    <m/>
    <s v="NW"/>
    <s v="MIDDLE"/>
    <s v="LAKE B-2"/>
    <s v="SECOND"/>
    <x v="4"/>
    <n v="0.13"/>
    <n v="2.5000000000000001E-2"/>
    <n v="0.53"/>
    <n v="0.11"/>
    <n v="2.5000000000000001E-2"/>
    <x v="120"/>
    <x v="2"/>
    <x v="12"/>
    <n v="50150"/>
    <n v="56050"/>
    <n v="5900"/>
    <n v="4838"/>
    <n v="54988"/>
    <n v="18146.04"/>
    <n v="59488"/>
    <n v="62488"/>
    <n v="9512924"/>
    <n v="10291424"/>
    <n v="10810424"/>
    <n v="0"/>
    <n v="808598.54"/>
    <n v="2"/>
    <n v="236000"/>
    <n v="236000"/>
    <n v="9748924"/>
  </r>
  <r>
    <m/>
    <s v="B"/>
    <x v="14"/>
    <s v="RESIDENTIAL"/>
    <x v="2"/>
    <n v="3"/>
    <x v="302"/>
    <x v="2"/>
    <s v="C2"/>
    <n v="141.572"/>
    <n v="158.75821520344815"/>
    <x v="22"/>
    <m/>
    <m/>
    <s v="NW"/>
    <s v="MIDDLE"/>
    <s v="LAKE B-2"/>
    <s v="SECOND"/>
    <x v="4"/>
    <n v="0.13"/>
    <n v="2.5000000000000001E-2"/>
    <n v="0.53"/>
    <n v="0.11"/>
    <n v="2.5000000000000001E-2"/>
    <x v="120"/>
    <x v="2"/>
    <x v="12"/>
    <n v="50150"/>
    <n v="56050"/>
    <n v="5900"/>
    <n v="4838"/>
    <n v="54988"/>
    <n v="18146.04"/>
    <n v="59488"/>
    <n v="62488"/>
    <n v="9512924"/>
    <n v="10291424"/>
    <n v="10810424"/>
    <n v="0"/>
    <n v="808598.54"/>
    <n v="2"/>
    <n v="236000"/>
    <n v="236000"/>
    <n v="9748924"/>
  </r>
  <r>
    <m/>
    <s v="B"/>
    <x v="14"/>
    <s v="RESIDENTIAL"/>
    <x v="2"/>
    <n v="4"/>
    <x v="303"/>
    <x v="2"/>
    <s v="C2"/>
    <n v="141.226"/>
    <n v="158.37021233239741"/>
    <x v="23"/>
    <m/>
    <m/>
    <s v="SE"/>
    <s v="MIDDLE"/>
    <s v="ROAD 18M (VILLAS)"/>
    <s v="SECOND"/>
    <x v="4"/>
    <n v="0.08"/>
    <n v="2.5000000000000001E-2"/>
    <n v="0.16"/>
    <n v="0.11"/>
    <n v="2.5000000000000001E-2"/>
    <x v="98"/>
    <x v="0"/>
    <x v="5"/>
    <n v="46750.000000000007"/>
    <n v="52250.000000000007"/>
    <n v="5500"/>
    <n v="2200"/>
    <n v="48950.000000000007"/>
    <n v="16153.500000000004"/>
    <n v="53450.000000000007"/>
    <n v="56450.000000000007"/>
    <n v="8419400.0000000019"/>
    <n v="9193400.0000000019"/>
    <n v="9709400.0000000019"/>
    <n v="0"/>
    <n v="715649.00000000023"/>
    <n v="2"/>
    <n v="220000.00000000003"/>
    <n v="220000.00000000003"/>
    <n v="8639400.0000000019"/>
  </r>
  <r>
    <m/>
    <s v="B"/>
    <x v="14"/>
    <s v="RESIDENTIAL"/>
    <x v="3"/>
    <n v="1"/>
    <x v="304"/>
    <x v="2"/>
    <s v="C2"/>
    <n v="141.48599999999999"/>
    <n v="158.66177518347598"/>
    <x v="22"/>
    <m/>
    <m/>
    <s v="SE"/>
    <s v="MIDDLE"/>
    <s v="ROAD 18M (VILLAS)"/>
    <s v="THIRD"/>
    <x v="4"/>
    <n v="0.08"/>
    <n v="2.5000000000000001E-2"/>
    <n v="0.16"/>
    <n v="0.15"/>
    <n v="2.5000000000000001E-2"/>
    <x v="100"/>
    <x v="0"/>
    <x v="10"/>
    <n v="53550"/>
    <n v="59850"/>
    <n v="6300"/>
    <n v="2772.0000000000005"/>
    <n v="56322"/>
    <n v="18586.260000000002"/>
    <n v="60822"/>
    <n v="63822"/>
    <n v="9743706"/>
    <n v="10522206"/>
    <n v="11041206"/>
    <n v="0"/>
    <n v="828215.01"/>
    <n v="2"/>
    <n v="252000"/>
    <n v="252000"/>
    <n v="9995706"/>
  </r>
  <r>
    <m/>
    <s v="B"/>
    <x v="14"/>
    <s v="RESIDENTIAL"/>
    <x v="3"/>
    <n v="2"/>
    <x v="305"/>
    <x v="2"/>
    <s v="C2"/>
    <n v="142.25399999999999"/>
    <n v="159.52300698973886"/>
    <x v="47"/>
    <m/>
    <m/>
    <s v="NW"/>
    <s v="MIDDLE"/>
    <s v="LAKE B-2"/>
    <s v="THIRD"/>
    <x v="4"/>
    <n v="0.13"/>
    <n v="2.5000000000000001E-2"/>
    <n v="0.53"/>
    <n v="0.15"/>
    <n v="2.5000000000000001E-2"/>
    <x v="121"/>
    <x v="2"/>
    <x v="10"/>
    <n v="53550"/>
    <n v="59850"/>
    <n v="6300"/>
    <n v="5418.0000000000009"/>
    <n v="58968"/>
    <n v="19459.440000000002"/>
    <n v="63468"/>
    <n v="66468"/>
    <n v="10260432"/>
    <n v="11043432"/>
    <n v="11565432"/>
    <n v="0"/>
    <n v="872136.72000000009"/>
    <n v="2"/>
    <n v="252000"/>
    <n v="252000"/>
    <n v="10512432"/>
  </r>
  <r>
    <m/>
    <s v="B"/>
    <x v="14"/>
    <s v="RESIDENTIAL"/>
    <x v="3"/>
    <n v="3"/>
    <x v="306"/>
    <x v="2"/>
    <s v="C2"/>
    <n v="142.37799999999999"/>
    <n v="159.6620600417917"/>
    <x v="47"/>
    <m/>
    <m/>
    <s v="NW"/>
    <s v="MIDDLE"/>
    <s v="LAKE B-2"/>
    <s v="THIRD"/>
    <x v="4"/>
    <n v="0.13"/>
    <n v="2.5000000000000001E-2"/>
    <n v="0.53"/>
    <n v="0.15"/>
    <n v="2.5000000000000001E-2"/>
    <x v="121"/>
    <x v="2"/>
    <x v="10"/>
    <n v="53550"/>
    <n v="59850"/>
    <n v="6300"/>
    <n v="5418.0000000000009"/>
    <n v="58968"/>
    <n v="19459.440000000002"/>
    <n v="63468"/>
    <n v="66468"/>
    <n v="10260432"/>
    <n v="11043432"/>
    <n v="11565432"/>
    <n v="0"/>
    <n v="872136.72000000009"/>
    <n v="2"/>
    <n v="252000"/>
    <n v="252000"/>
    <n v="10512432"/>
  </r>
  <r>
    <m/>
    <s v="B"/>
    <x v="14"/>
    <s v="RESIDENTIAL"/>
    <x v="3"/>
    <n v="4"/>
    <x v="307"/>
    <x v="2"/>
    <s v="C2"/>
    <n v="141.52600000000001"/>
    <n v="158.70663100671885"/>
    <x v="22"/>
    <m/>
    <m/>
    <s v="SE"/>
    <s v="MIDDLE"/>
    <s v="ROAD 18M (VILLAS)"/>
    <s v="THIRD"/>
    <x v="4"/>
    <n v="0.08"/>
    <n v="2.5000000000000001E-2"/>
    <n v="0.16"/>
    <n v="0.15"/>
    <n v="2.5000000000000001E-2"/>
    <x v="100"/>
    <x v="0"/>
    <x v="10"/>
    <n v="53550"/>
    <n v="59850"/>
    <n v="6300"/>
    <n v="2772.0000000000005"/>
    <n v="56322"/>
    <n v="18586.260000000002"/>
    <n v="60822"/>
    <n v="63822"/>
    <n v="9743706"/>
    <n v="10522206"/>
    <n v="11041206"/>
    <n v="0"/>
    <n v="828215.01"/>
    <n v="2"/>
    <n v="252000"/>
    <n v="252000"/>
    <n v="9995706"/>
  </r>
  <r>
    <m/>
    <s v="B"/>
    <x v="14"/>
    <s v="RESIDENTIAL"/>
    <x v="4"/>
    <n v="1"/>
    <x v="308"/>
    <x v="2"/>
    <s v="C2"/>
    <n v="139.12"/>
    <n v="156.00855323866094"/>
    <x v="28"/>
    <m/>
    <m/>
    <s v="SE"/>
    <s v="MIDDLE"/>
    <s v="ROAD 18M (VILLAS)"/>
    <s v="FORTH"/>
    <x v="4"/>
    <n v="0.08"/>
    <n v="2.5000000000000001E-2"/>
    <n v="0.16"/>
    <n v="0.06"/>
    <n v="2.5000000000000001E-2"/>
    <x v="115"/>
    <x v="0"/>
    <x v="3"/>
    <n v="42500"/>
    <n v="47500"/>
    <n v="5000"/>
    <n v="1750.0000000000002"/>
    <n v="44250"/>
    <n v="14602.5"/>
    <n v="48750"/>
    <n v="51750"/>
    <n v="7522500"/>
    <n v="8287500"/>
    <n v="8797500"/>
    <n v="0"/>
    <n v="639412.5"/>
    <n v="2"/>
    <n v="200000"/>
    <n v="200000"/>
    <n v="7722500"/>
  </r>
  <r>
    <m/>
    <s v="B"/>
    <x v="14"/>
    <s v="RESIDENTIAL"/>
    <x v="4"/>
    <n v="2"/>
    <x v="309"/>
    <x v="2"/>
    <s v="C2"/>
    <n v="141.53399999999999"/>
    <n v="158.71560217136741"/>
    <x v="22"/>
    <m/>
    <m/>
    <s v="NW"/>
    <s v="MIDDLE"/>
    <s v="LAKE B-2"/>
    <s v="FORTH"/>
    <x v="4"/>
    <n v="0.13"/>
    <n v="2.5000000000000001E-2"/>
    <n v="0.53"/>
    <n v="0.06"/>
    <n v="2.5000000000000001E-2"/>
    <x v="108"/>
    <x v="2"/>
    <x v="2"/>
    <n v="45687.5"/>
    <n v="51062.5"/>
    <n v="5375"/>
    <n v="4138.7500000000009"/>
    <n v="49826.25"/>
    <n v="16442.662500000002"/>
    <n v="54326.25"/>
    <n v="57326.25"/>
    <n v="8619941.25"/>
    <n v="9398441.25"/>
    <n v="9917441.25"/>
    <n v="0"/>
    <n v="732695.00625000009"/>
    <n v="2"/>
    <n v="215000"/>
    <n v="215000"/>
    <n v="8834941.25"/>
  </r>
  <r>
    <m/>
    <s v="B"/>
    <x v="14"/>
    <s v="RESIDENTIAL"/>
    <x v="4"/>
    <n v="3"/>
    <x v="310"/>
    <x v="2"/>
    <s v="C2"/>
    <n v="141.65899999999999"/>
    <n v="158.85577661900135"/>
    <x v="22"/>
    <m/>
    <m/>
    <s v="NW"/>
    <s v="MIDDLE"/>
    <s v="LAKE B-2"/>
    <s v="FORTH"/>
    <x v="4"/>
    <n v="0.13"/>
    <n v="2.5000000000000001E-2"/>
    <n v="0.53"/>
    <n v="0.06"/>
    <n v="2.5000000000000001E-2"/>
    <x v="108"/>
    <x v="2"/>
    <x v="2"/>
    <n v="45687.5"/>
    <n v="51062.5"/>
    <n v="5375"/>
    <n v="4138.7500000000009"/>
    <n v="49826.25"/>
    <n v="16442.662500000002"/>
    <n v="54326.25"/>
    <n v="57326.25"/>
    <n v="8619941.25"/>
    <n v="9398441.25"/>
    <n v="9917441.25"/>
    <n v="0"/>
    <n v="732695.00625000009"/>
    <n v="2"/>
    <n v="215000"/>
    <n v="215000"/>
    <n v="8834941.25"/>
  </r>
  <r>
    <m/>
    <s v="B"/>
    <x v="14"/>
    <s v="RESIDENTIAL"/>
    <x v="4"/>
    <n v="4"/>
    <x v="311"/>
    <x v="2"/>
    <s v="C2"/>
    <n v="139.31659999999999"/>
    <n v="156.22901960989958"/>
    <x v="28"/>
    <m/>
    <m/>
    <s v="SE"/>
    <s v="MIDDLE"/>
    <s v="ROAD 18M (VILLAS)"/>
    <s v="FORTH"/>
    <x v="4"/>
    <n v="0.08"/>
    <n v="2.5000000000000001E-2"/>
    <n v="0.16"/>
    <n v="0.06"/>
    <n v="2.5000000000000001E-2"/>
    <x v="115"/>
    <x v="0"/>
    <x v="3"/>
    <n v="42500"/>
    <n v="47500"/>
    <n v="5000"/>
    <n v="1750.0000000000002"/>
    <n v="44250"/>
    <n v="14602.5"/>
    <n v="48750"/>
    <n v="51750"/>
    <n v="7522500"/>
    <n v="8287500"/>
    <n v="8797500"/>
    <n v="0"/>
    <n v="639412.5"/>
    <n v="2"/>
    <n v="200000"/>
    <n v="200000"/>
    <n v="7722500"/>
  </r>
  <r>
    <s v="B3"/>
    <s v="B"/>
    <x v="15"/>
    <s v="RESIDENTIAL"/>
    <x v="0"/>
    <n v="1"/>
    <x v="312"/>
    <x v="2"/>
    <s v="C2"/>
    <n v="144.66300000000001"/>
    <n v="160.29970969584483"/>
    <x v="20"/>
    <n v="84.046400000000006"/>
    <m/>
    <s v="SE"/>
    <s v="CORNER "/>
    <s v="ROAD 18M (VILLAS)"/>
    <s v="GROUND"/>
    <x v="4"/>
    <n v="0.08"/>
    <n v="0.05"/>
    <n v="0.16"/>
    <n v="0.05"/>
    <n v="2.5000000000000001E-2"/>
    <x v="88"/>
    <x v="0"/>
    <x v="0"/>
    <n v="43562.499999999993"/>
    <n v="48687.499999999993"/>
    <n v="5125"/>
    <n v="1870.6250000000002"/>
    <n v="45433.124999999993"/>
    <n v="14992.931249999998"/>
    <n v="49933.124999999993"/>
    <n v="52933.124999999993"/>
    <n v="7996229.9999999991"/>
    <n v="8788229.9999999981"/>
    <n v="9316229.9999999981"/>
    <n v="1260101.89701"/>
    <n v="786788.21124584996"/>
    <n v="2"/>
    <n v="204999.99999999997"/>
    <n v="204999.99999999997"/>
    <n v="9461331.8970099986"/>
  </r>
  <r>
    <m/>
    <s v="B"/>
    <x v="15"/>
    <s v="RESIDENTIAL"/>
    <x v="0"/>
    <n v="2"/>
    <x v="313"/>
    <x v="3"/>
    <s v="C2"/>
    <n v="183.887"/>
    <n v="203.76345518093646"/>
    <x v="19"/>
    <n v="61.522199999999998"/>
    <m/>
    <s v="NW"/>
    <s v="CORNER "/>
    <s v="LAKE B-2"/>
    <s v="GROUND"/>
    <x v="3"/>
    <n v="0.13"/>
    <n v="0.05"/>
    <n v="0.53"/>
    <n v="0.05"/>
    <n v="1.4999999999999999E-2"/>
    <x v="122"/>
    <x v="2"/>
    <x v="2"/>
    <n v="45687.5"/>
    <n v="51062.5"/>
    <n v="5375"/>
    <n v="4165.625"/>
    <n v="49853.125"/>
    <n v="16451.53125"/>
    <n v="54353.125"/>
    <n v="57353.125"/>
    <n v="11167100"/>
    <n v="12175100"/>
    <n v="12847100"/>
    <n v="1012134.3958687499"/>
    <n v="1035234.9236488439"/>
    <n v="2"/>
    <n v="215000"/>
    <n v="215000"/>
    <n v="12394234.39586875"/>
  </r>
  <r>
    <m/>
    <s v="B"/>
    <x v="15"/>
    <s v="RESIDENTIAL"/>
    <x v="0"/>
    <n v="3"/>
    <x v="314"/>
    <x v="2"/>
    <s v="C2"/>
    <n v="162.78100000000001"/>
    <n v="180.37609508996297"/>
    <x v="18"/>
    <n v="77.576999999999998"/>
    <m/>
    <s v="NW"/>
    <s v="MIDDLE"/>
    <s v="LAKE B-2"/>
    <s v="GROUND"/>
    <x v="3"/>
    <n v="0.13"/>
    <n v="2.5000000000000001E-2"/>
    <n v="0.53"/>
    <n v="0.05"/>
    <n v="1.4999999999999999E-2"/>
    <x v="106"/>
    <x v="2"/>
    <x v="0"/>
    <n v="43562.499999999993"/>
    <n v="48687.499999999993"/>
    <n v="5125"/>
    <n v="3843.7500000000005"/>
    <n v="47406.249999999993"/>
    <n v="15644.062499999998"/>
    <n v="51906.249999999993"/>
    <n v="54906.249999999993"/>
    <n v="9433843.7499999981"/>
    <n v="10329343.749999998"/>
    <n v="10926343.749999998"/>
    <n v="1213619.4365624997"/>
    <n v="905034.37085781235"/>
    <n v="2"/>
    <n v="204999.99999999997"/>
    <n v="204999.99999999997"/>
    <n v="10852463.186562497"/>
  </r>
  <r>
    <m/>
    <s v="B"/>
    <x v="15"/>
    <s v="RESIDENTIAL"/>
    <x v="0"/>
    <n v="4"/>
    <x v="315"/>
    <x v="0"/>
    <s v="C2"/>
    <n v="95.213999999999999"/>
    <n v="105.50573788031609"/>
    <x v="17"/>
    <n v="63.702300000000001"/>
    <m/>
    <s v="SE"/>
    <s v="MIDDLE"/>
    <s v="ROAD 18M (VILLAS)"/>
    <s v="GROUND"/>
    <x v="1"/>
    <n v="0.08"/>
    <n v="2.5000000000000001E-2"/>
    <n v="0.16"/>
    <n v="0.05"/>
    <n v="0.04"/>
    <x v="3"/>
    <x v="0"/>
    <x v="3"/>
    <n v="42500"/>
    <n v="47500"/>
    <n v="5000"/>
    <n v="1775"/>
    <n v="44275"/>
    <n v="14610.75"/>
    <n v="48775"/>
    <n v="51775"/>
    <n v="5135900"/>
    <n v="5657900"/>
    <n v="6005900"/>
    <n v="930738.37972500001"/>
    <n v="515664.26227662503"/>
    <n v="1"/>
    <n v="200000"/>
    <n v="200000"/>
    <n v="6266638.3797249999"/>
  </r>
  <r>
    <m/>
    <s v="B"/>
    <x v="15"/>
    <s v="RESIDENTIAL"/>
    <x v="1"/>
    <n v="1"/>
    <x v="316"/>
    <x v="2"/>
    <s v="C2"/>
    <n v="141.66300000000001"/>
    <n v="156.9754379118535"/>
    <x v="22"/>
    <m/>
    <m/>
    <s v="SE"/>
    <s v="CORNER "/>
    <s v="ROAD 18M (VILLAS)"/>
    <s v="FIRST"/>
    <x v="4"/>
    <n v="0.08"/>
    <n v="0.05"/>
    <n v="0.16"/>
    <n v="7.0000000000000007E-2"/>
    <n v="2.5000000000000001E-2"/>
    <x v="110"/>
    <x v="0"/>
    <x v="2"/>
    <n v="45687.5"/>
    <n v="51062.5"/>
    <n v="5375"/>
    <n v="2069.3750000000005"/>
    <n v="47756.875"/>
    <n v="15759.768750000001"/>
    <n v="52256.875"/>
    <n v="55256.875"/>
    <n v="8261939.375"/>
    <n v="9040439.375"/>
    <n v="9559439.375"/>
    <n v="0"/>
    <n v="702264.84687500005"/>
    <n v="2"/>
    <n v="215000"/>
    <n v="215000"/>
    <n v="8476939.375"/>
  </r>
  <r>
    <m/>
    <s v="B"/>
    <x v="15"/>
    <s v="RESIDENTIAL"/>
    <x v="1"/>
    <n v="2"/>
    <x v="317"/>
    <x v="3"/>
    <s v="C2"/>
    <n v="183.637"/>
    <n v="203.48643253227053"/>
    <x v="19"/>
    <m/>
    <m/>
    <s v="NW"/>
    <s v="CORNER "/>
    <s v="LAKE B-2"/>
    <s v="FIRST"/>
    <x v="3"/>
    <n v="0.13"/>
    <n v="0.05"/>
    <n v="0.53"/>
    <n v="7.0000000000000007E-2"/>
    <n v="1.4999999999999999E-2"/>
    <x v="123"/>
    <x v="2"/>
    <x v="5"/>
    <n v="46750.000000000007"/>
    <n v="52250.000000000007"/>
    <n v="5500"/>
    <n v="4372.5"/>
    <n v="51122.500000000007"/>
    <n v="16870.425000000003"/>
    <n v="55622.500000000007"/>
    <n v="58622.500000000007"/>
    <n v="11451440.000000002"/>
    <n v="12459440.000000002"/>
    <n v="13131440.000000002"/>
    <n v="0"/>
    <n v="973372.40000000026"/>
    <n v="2"/>
    <n v="220000.00000000003"/>
    <n v="220000.00000000003"/>
    <n v="11671440.000000002"/>
  </r>
  <r>
    <m/>
    <s v="B"/>
    <x v="15"/>
    <s v="RESIDENTIAL"/>
    <x v="1"/>
    <n v="3"/>
    <x v="318"/>
    <x v="2"/>
    <s v="C2"/>
    <n v="162.53100000000001"/>
    <n v="180.09907244129704"/>
    <x v="42"/>
    <m/>
    <m/>
    <s v="NW"/>
    <s v="MIDDLE"/>
    <s v="LAKE B-2"/>
    <s v="FIRST"/>
    <x v="3"/>
    <n v="0.13"/>
    <n v="2.5000000000000001E-2"/>
    <n v="0.53"/>
    <n v="7.0000000000000007E-2"/>
    <n v="1.4999999999999999E-2"/>
    <x v="108"/>
    <x v="2"/>
    <x v="2"/>
    <n v="45687.5"/>
    <n v="51062.5"/>
    <n v="5375"/>
    <n v="4138.7500000000009"/>
    <n v="49826.25"/>
    <n v="16442.662500000002"/>
    <n v="54326.25"/>
    <n v="57326.25"/>
    <n v="9865597.5"/>
    <n v="10756597.5"/>
    <n v="11350597.5"/>
    <n v="0"/>
    <n v="838575.78750000009"/>
    <n v="2"/>
    <n v="215000"/>
    <n v="215000"/>
    <n v="10080597.5"/>
  </r>
  <r>
    <m/>
    <s v="B"/>
    <x v="15"/>
    <s v="RESIDENTIAL"/>
    <x v="1"/>
    <n v="4"/>
    <x v="319"/>
    <x v="0"/>
    <s v="C2"/>
    <n v="96.271000000000001"/>
    <n v="106.6769896388757"/>
    <x v="21"/>
    <m/>
    <m/>
    <s v="SE"/>
    <s v="MIDDLE"/>
    <s v="ROAD 18M (VILLAS)"/>
    <s v="FIRST"/>
    <x v="1"/>
    <n v="0.08"/>
    <n v="2.5000000000000001E-2"/>
    <n v="0.16"/>
    <n v="7.0000000000000007E-2"/>
    <n v="0.04"/>
    <x v="7"/>
    <x v="0"/>
    <x v="6"/>
    <n v="44625"/>
    <n v="49875"/>
    <n v="5250"/>
    <n v="1968.75"/>
    <n v="46593.75"/>
    <n v="15375.9375"/>
    <n v="51093.75"/>
    <n v="54093.75"/>
    <n v="5451468.75"/>
    <n v="5977968.75"/>
    <n v="6328968.75"/>
    <n v="0"/>
    <n v="463374.84375000006"/>
    <n v="1"/>
    <n v="210000"/>
    <n v="210000"/>
    <n v="5661468.75"/>
  </r>
  <r>
    <m/>
    <s v="B"/>
    <x v="15"/>
    <s v="RESIDENTIAL"/>
    <x v="2"/>
    <n v="1"/>
    <x v="320"/>
    <x v="2"/>
    <s v="C2"/>
    <n v="143.989"/>
    <n v="159.55285663504142"/>
    <x v="20"/>
    <m/>
    <m/>
    <s v="SE"/>
    <s v="CORNER "/>
    <s v="ROAD 18M (VILLAS)"/>
    <s v="SECOND"/>
    <x v="4"/>
    <n v="0.08"/>
    <n v="0.05"/>
    <n v="0.16"/>
    <n v="0.11"/>
    <n v="2.5000000000000001E-2"/>
    <x v="8"/>
    <x v="0"/>
    <x v="4"/>
    <n v="51850"/>
    <n v="57950"/>
    <n v="6100"/>
    <n v="2592.5000000000005"/>
    <n v="54442.5"/>
    <n v="17966.025000000001"/>
    <n v="58942.5"/>
    <n v="61942.5"/>
    <n v="9581880"/>
    <n v="10373880"/>
    <n v="10901880"/>
    <n v="0"/>
    <n v="814459.8"/>
    <n v="2"/>
    <n v="244000"/>
    <n v="244000"/>
    <n v="9825880"/>
  </r>
  <r>
    <m/>
    <s v="B"/>
    <x v="15"/>
    <s v="RESIDENTIAL"/>
    <x v="2"/>
    <n v="2"/>
    <x v="321"/>
    <x v="3"/>
    <s v="C2"/>
    <n v="187.1"/>
    <n v="207.32375026159116"/>
    <x v="25"/>
    <m/>
    <m/>
    <s v="NW"/>
    <s v="CORNER "/>
    <s v="LAKE B-2"/>
    <s v="SECOND"/>
    <x v="3"/>
    <n v="0.13"/>
    <n v="0.05"/>
    <n v="0.53"/>
    <n v="0.11"/>
    <n v="1.4999999999999999E-2"/>
    <x v="105"/>
    <x v="2"/>
    <x v="4"/>
    <n v="51850"/>
    <n v="57950"/>
    <n v="6100"/>
    <n v="5093.5"/>
    <n v="56943.5"/>
    <n v="18791.355"/>
    <n v="61443.5"/>
    <n v="64443.5"/>
    <n v="12983118"/>
    <n v="14009118"/>
    <n v="14693118"/>
    <n v="0"/>
    <n v="1103565.03"/>
    <n v="2"/>
    <n v="244000"/>
    <n v="244000"/>
    <n v="13227118"/>
  </r>
  <r>
    <m/>
    <s v="B"/>
    <x v="15"/>
    <s v="RESIDENTIAL"/>
    <x v="2"/>
    <n v="3"/>
    <x v="322"/>
    <x v="2"/>
    <s v="C2"/>
    <n v="167.16900000000001"/>
    <n v="185.23839661934761"/>
    <x v="43"/>
    <m/>
    <m/>
    <s v="NW"/>
    <s v="MIDDLE"/>
    <s v="LAKE B-2"/>
    <s v="SECOND"/>
    <x v="3"/>
    <n v="0.13"/>
    <n v="2.5000000000000001E-2"/>
    <n v="0.53"/>
    <n v="0.11"/>
    <n v="1.4999999999999999E-2"/>
    <x v="111"/>
    <x v="2"/>
    <x v="12"/>
    <n v="50150"/>
    <n v="56050"/>
    <n v="5900"/>
    <n v="4779"/>
    <n v="54929"/>
    <n v="18126.57"/>
    <n v="59429"/>
    <n v="62429"/>
    <n v="11205516"/>
    <n v="12123516"/>
    <n v="12735516"/>
    <n v="0"/>
    <n v="952468.8600000001"/>
    <n v="2"/>
    <n v="236000"/>
    <n v="236000"/>
    <n v="11441516"/>
  </r>
  <r>
    <m/>
    <s v="B"/>
    <x v="15"/>
    <s v="RESIDENTIAL"/>
    <x v="2"/>
    <n v="4"/>
    <x v="323"/>
    <x v="2"/>
    <s v="C2"/>
    <n v="141.18700000000001"/>
    <n v="156.44798678879354"/>
    <x v="23"/>
    <m/>
    <m/>
    <s v="SE"/>
    <s v="MIDDLE"/>
    <s v="ROAD 18M (VILLAS)"/>
    <s v="SECOND"/>
    <x v="4"/>
    <n v="0.08"/>
    <n v="2.5000000000000001E-2"/>
    <n v="0.16"/>
    <n v="0.11"/>
    <n v="2.5000000000000001E-2"/>
    <x v="98"/>
    <x v="0"/>
    <x v="5"/>
    <n v="46750.000000000007"/>
    <n v="52250.000000000007"/>
    <n v="5500"/>
    <n v="2200"/>
    <n v="48950.000000000007"/>
    <n v="16153.500000000004"/>
    <n v="53450.000000000007"/>
    <n v="56450.000000000007"/>
    <n v="8419400.0000000019"/>
    <n v="9193400.0000000019"/>
    <n v="9709400.0000000019"/>
    <n v="0"/>
    <n v="715649.00000000023"/>
    <n v="2"/>
    <n v="220000.00000000003"/>
    <n v="220000.00000000003"/>
    <n v="8639400.0000000019"/>
  </r>
  <r>
    <m/>
    <s v="B"/>
    <x v="15"/>
    <s v="RESIDENTIAL"/>
    <x v="3"/>
    <n v="1"/>
    <x v="324"/>
    <x v="2"/>
    <s v="C2"/>
    <n v="143.89599999999999"/>
    <n v="159.44980420973766"/>
    <x v="20"/>
    <m/>
    <m/>
    <s v="SE"/>
    <s v="CORNER "/>
    <s v="ROAD 18M (VILLAS)"/>
    <s v="THIRD"/>
    <x v="4"/>
    <n v="0.08"/>
    <n v="0.05"/>
    <n v="0.16"/>
    <n v="0.15"/>
    <n v="2.5000000000000001E-2"/>
    <x v="12"/>
    <x v="0"/>
    <x v="9"/>
    <n v="58649.999999999993"/>
    <n v="65550"/>
    <n v="6900.0000000000073"/>
    <n v="3208.5000000000041"/>
    <n v="61858.5"/>
    <n v="20413.305"/>
    <n v="66358.5"/>
    <n v="69358.5"/>
    <n v="10887096"/>
    <n v="11679096"/>
    <n v="12207096"/>
    <n v="0"/>
    <n v="925403.16"/>
    <n v="2"/>
    <n v="276000"/>
    <n v="276000"/>
    <n v="11163096"/>
  </r>
  <r>
    <m/>
    <s v="B"/>
    <x v="15"/>
    <s v="RESIDENTIAL"/>
    <x v="3"/>
    <n v="2"/>
    <x v="325"/>
    <x v="3"/>
    <s v="C2"/>
    <n v="187.20400000000001"/>
    <n v="207.4389916834362"/>
    <x v="25"/>
    <m/>
    <m/>
    <s v="NW"/>
    <s v="CORNER "/>
    <s v="LAKE B-2"/>
    <s v="THIRD"/>
    <x v="3"/>
    <n v="0.13"/>
    <n v="0.05"/>
    <n v="0.53"/>
    <n v="0.15"/>
    <n v="1.4999999999999999E-2"/>
    <x v="124"/>
    <x v="2"/>
    <x v="10"/>
    <n v="53550"/>
    <n v="59850"/>
    <n v="6300"/>
    <n v="5512.5"/>
    <n v="59062.5"/>
    <n v="19490.625"/>
    <n v="63562.5"/>
    <n v="66562.5"/>
    <n v="13466250"/>
    <n v="14492250"/>
    <n v="15176250"/>
    <n v="0"/>
    <n v="1144631.25"/>
    <n v="2"/>
    <n v="252000"/>
    <n v="252000"/>
    <n v="13718250"/>
  </r>
  <r>
    <m/>
    <s v="B"/>
    <x v="15"/>
    <s v="RESIDENTIAL"/>
    <x v="3"/>
    <n v="3"/>
    <x v="326"/>
    <x v="2"/>
    <s v="C2"/>
    <n v="164.417"/>
    <n v="182.18893130283288"/>
    <x v="44"/>
    <m/>
    <m/>
    <s v="NW"/>
    <s v="MIDDLE"/>
    <s v="LAKE B-2"/>
    <s v="THIRD"/>
    <x v="3"/>
    <n v="0.13"/>
    <n v="2.5000000000000001E-2"/>
    <n v="0.53"/>
    <n v="0.15"/>
    <n v="1.4999999999999999E-2"/>
    <x v="113"/>
    <x v="2"/>
    <x v="4"/>
    <n v="51850"/>
    <n v="57950"/>
    <n v="6100"/>
    <n v="5185.0000000000009"/>
    <n v="57035"/>
    <n v="18821.55"/>
    <n v="61535"/>
    <n v="64535"/>
    <n v="11464035"/>
    <n v="12368535"/>
    <n v="12971535"/>
    <n v="0"/>
    <n v="974442.97500000009"/>
    <n v="2"/>
    <n v="244000"/>
    <n v="244000"/>
    <n v="11708035"/>
  </r>
  <r>
    <m/>
    <s v="B"/>
    <x v="15"/>
    <s v="RESIDENTIAL"/>
    <x v="3"/>
    <n v="4"/>
    <x v="327"/>
    <x v="2"/>
    <s v="C2"/>
    <n v="141.07300000000001"/>
    <n v="156.32166446100189"/>
    <x v="23"/>
    <m/>
    <m/>
    <s v="SE"/>
    <s v="MIDDLE"/>
    <s v="ROAD 18M (VILLAS)"/>
    <s v="THIRD"/>
    <x v="4"/>
    <n v="0.08"/>
    <n v="2.5000000000000001E-2"/>
    <n v="0.16"/>
    <n v="0.15"/>
    <n v="2.5000000000000001E-2"/>
    <x v="100"/>
    <x v="0"/>
    <x v="10"/>
    <n v="53550"/>
    <n v="59850"/>
    <n v="6300"/>
    <n v="2772.0000000000005"/>
    <n v="56322"/>
    <n v="18586.260000000002"/>
    <n v="60822"/>
    <n v="63822"/>
    <n v="9687384"/>
    <n v="10461384"/>
    <n v="10977384"/>
    <n v="0"/>
    <n v="823427.64"/>
    <n v="2"/>
    <n v="252000"/>
    <n v="252000"/>
    <n v="9939384"/>
  </r>
  <r>
    <m/>
    <s v="B"/>
    <x v="15"/>
    <s v="RESIDENTIAL"/>
    <x v="4"/>
    <n v="1"/>
    <x v="328"/>
    <x v="2"/>
    <s v="C2"/>
    <n v="141.929"/>
    <n v="157.27019001003407"/>
    <x v="22"/>
    <m/>
    <m/>
    <s v="SE"/>
    <s v="CORNER "/>
    <s v="ROAD 18M (VILLAS)"/>
    <s v="FORTH"/>
    <x v="4"/>
    <n v="0.08"/>
    <n v="0.05"/>
    <n v="0.16"/>
    <n v="0.06"/>
    <n v="2.5000000000000001E-2"/>
    <x v="118"/>
    <x v="0"/>
    <x v="6"/>
    <n v="44625"/>
    <n v="49875"/>
    <n v="5250"/>
    <n v="1968.7500000000002"/>
    <n v="46593.75"/>
    <n v="15375.9375"/>
    <n v="51093.75"/>
    <n v="54093.75"/>
    <n v="8060718.75"/>
    <n v="8839218.75"/>
    <n v="9358218.75"/>
    <n v="0"/>
    <n v="685161.09375"/>
    <n v="2"/>
    <n v="210000"/>
    <n v="210000"/>
    <n v="8270718.75"/>
  </r>
  <r>
    <m/>
    <s v="B"/>
    <x v="15"/>
    <s v="RESIDENTIAL"/>
    <x v="4"/>
    <n v="2"/>
    <x v="329"/>
    <x v="3"/>
    <s v="C2"/>
    <n v="182.36099999999999"/>
    <n v="202.07250893347955"/>
    <x v="45"/>
    <m/>
    <m/>
    <s v="NW"/>
    <s v="CORNER "/>
    <s v="LAKE B-2"/>
    <s v="FORTH"/>
    <x v="3"/>
    <n v="0.13"/>
    <n v="0.05"/>
    <n v="0.53"/>
    <n v="0.06"/>
    <n v="1.4999999999999999E-2"/>
    <x v="125"/>
    <x v="2"/>
    <x v="2"/>
    <n v="45687.5"/>
    <n v="51062.5"/>
    <n v="5375"/>
    <n v="4219.375"/>
    <n v="49906.875"/>
    <n v="16469.268749999999"/>
    <n v="54406.875"/>
    <n v="57406.875"/>
    <n v="11079326.25"/>
    <n v="12078326.25"/>
    <n v="12744326.25"/>
    <n v="0"/>
    <n v="941742.73125000007"/>
    <n v="2"/>
    <n v="215000"/>
    <n v="215000"/>
    <n v="11294326.25"/>
  </r>
  <r>
    <m/>
    <s v="B"/>
    <x v="15"/>
    <s v="RESIDENTIAL"/>
    <x v="4"/>
    <n v="3"/>
    <x v="330"/>
    <x v="2"/>
    <s v="C2"/>
    <n v="162.44399999999999"/>
    <n v="180.00266855956127"/>
    <x v="42"/>
    <m/>
    <m/>
    <s v="NW"/>
    <s v="MIDDLE"/>
    <s v="LAKE B-2"/>
    <s v="FORTH"/>
    <x v="3"/>
    <n v="0.13"/>
    <n v="2.5000000000000001E-2"/>
    <n v="0.53"/>
    <n v="0.06"/>
    <n v="1.4999999999999999E-2"/>
    <x v="116"/>
    <x v="2"/>
    <x v="0"/>
    <n v="43562.499999999993"/>
    <n v="48687.499999999993"/>
    <n v="5125"/>
    <n v="3895.0000000000005"/>
    <n v="47457.499999999993"/>
    <n v="15660.974999999999"/>
    <n v="51957.499999999993"/>
    <n v="54957.499999999993"/>
    <n v="9396584.9999999981"/>
    <n v="10287584.999999998"/>
    <n v="10881584.999999998"/>
    <n v="0"/>
    <n v="798709.72499999986"/>
    <n v="2"/>
    <n v="204999.99999999997"/>
    <n v="204999.99999999997"/>
    <n v="9601584.9999999981"/>
  </r>
  <r>
    <m/>
    <s v="B"/>
    <x v="15"/>
    <s v="RESIDENTIAL"/>
    <x v="4"/>
    <n v="4"/>
    <x v="331"/>
    <x v="2"/>
    <s v="C2"/>
    <n v="139.12700000000001"/>
    <n v="154.16532016378619"/>
    <x v="28"/>
    <m/>
    <m/>
    <s v="SE"/>
    <s v="MIDDLE"/>
    <s v="ROAD 18M (VILLAS)"/>
    <s v="FORTH"/>
    <x v="4"/>
    <n v="0.08"/>
    <n v="2.5000000000000001E-2"/>
    <n v="0.16"/>
    <n v="0.06"/>
    <n v="2.5000000000000001E-2"/>
    <x v="115"/>
    <x v="0"/>
    <x v="3"/>
    <n v="42500"/>
    <n v="47500"/>
    <n v="5000"/>
    <n v="1750.0000000000002"/>
    <n v="44250"/>
    <n v="14602.5"/>
    <n v="48750"/>
    <n v="51750"/>
    <n v="7522500"/>
    <n v="8287500"/>
    <n v="8797500"/>
    <n v="0"/>
    <n v="639412.5"/>
    <n v="2"/>
    <n v="200000"/>
    <n v="200000"/>
    <n v="7722500"/>
  </r>
  <r>
    <s v="B3"/>
    <s v="B"/>
    <x v="16"/>
    <s v="RESIDENTIAL"/>
    <x v="0"/>
    <n v="1"/>
    <x v="332"/>
    <x v="0"/>
    <s v="C2"/>
    <n v="95.254000000000005"/>
    <n v="105.53950812408786"/>
    <x v="17"/>
    <n v="42.259599999999999"/>
    <m/>
    <s v="NE"/>
    <s v="MIDDLE"/>
    <s v="SEMI LAKE D"/>
    <s v="GROUND"/>
    <x v="1"/>
    <n v="0.15"/>
    <n v="2.5000000000000001E-2"/>
    <n v="0.32250000000000001"/>
    <n v="0.05"/>
    <n v="0.04"/>
    <x v="126"/>
    <x v="1"/>
    <x v="0"/>
    <n v="43562.499999999993"/>
    <n v="48687.499999999993"/>
    <n v="5125"/>
    <n v="3010.9375"/>
    <n v="46573.437499999993"/>
    <n v="15369.234374999998"/>
    <n v="51073.437499999993"/>
    <n v="54073.437499999993"/>
    <n v="5402518.7499999991"/>
    <n v="5924518.7499999991"/>
    <n v="6272518.7499999991"/>
    <n v="649497.69699374994"/>
    <n v="514421.39799446869"/>
    <n v="1"/>
    <n v="204999.99999999997"/>
    <n v="204999.99999999997"/>
    <n v="6257016.4469937487"/>
  </r>
  <r>
    <m/>
    <s v="B"/>
    <x v="16"/>
    <s v="RESIDENTIAL"/>
    <x v="0"/>
    <n v="2"/>
    <x v="333"/>
    <x v="2"/>
    <s v="C2"/>
    <n v="162.82599999999999"/>
    <n v="180.40791935050211"/>
    <x v="18"/>
    <n v="77.610299999999995"/>
    <m/>
    <s v="SW"/>
    <s v="MIDDLE"/>
    <s v="LAKE B-2"/>
    <s v="GROUND"/>
    <x v="3"/>
    <n v="0.06"/>
    <n v="2.5000000000000001E-2"/>
    <n v="0.53"/>
    <n v="0.05"/>
    <n v="1.4999999999999999E-2"/>
    <x v="127"/>
    <x v="1"/>
    <x v="12"/>
    <n v="50150"/>
    <n v="56050"/>
    <n v="5900"/>
    <n v="4012.0000000000005"/>
    <n v="54162"/>
    <n v="17873.46"/>
    <n v="58662"/>
    <n v="61662"/>
    <n v="10778238"/>
    <n v="11673738"/>
    <n v="12270738"/>
    <n v="1387164.5926379999"/>
    <n v="1034059.2203742302"/>
    <n v="2"/>
    <n v="236000"/>
    <n v="236000"/>
    <n v="12401402.592638001"/>
  </r>
  <r>
    <m/>
    <s v="B"/>
    <x v="16"/>
    <s v="RESIDENTIAL"/>
    <x v="0"/>
    <n v="3"/>
    <x v="334"/>
    <x v="3"/>
    <s v="C2"/>
    <n v="183.887"/>
    <n v="203.74308197465874"/>
    <x v="19"/>
    <n v="61.527700000000003"/>
    <m/>
    <s v="SW"/>
    <s v="CORNER "/>
    <s v="LAKE B-2"/>
    <s v="GROUND"/>
    <x v="3"/>
    <n v="0.06"/>
    <n v="0.05"/>
    <n v="0.53"/>
    <n v="0.05"/>
    <n v="1.4999999999999999E-2"/>
    <x v="10"/>
    <x v="1"/>
    <x v="8"/>
    <n v="56100"/>
    <n v="62700"/>
    <n v="6600"/>
    <n v="4653.0000000000009"/>
    <n v="60753"/>
    <n v="20048.490000000002"/>
    <n v="65253"/>
    <n v="68253"/>
    <n v="13608672"/>
    <n v="14616672"/>
    <n v="15288672"/>
    <n v="1233537.4781730003"/>
    <n v="1261587.8056447052"/>
    <n v="2"/>
    <n v="264000"/>
    <n v="264000"/>
    <n v="15106209.478173001"/>
  </r>
  <r>
    <m/>
    <s v="B"/>
    <x v="16"/>
    <s v="RESIDENTIAL"/>
    <x v="0"/>
    <n v="4"/>
    <x v="335"/>
    <x v="2"/>
    <s v="C2"/>
    <n v="147.54499999999999"/>
    <n v="163.47687998581205"/>
    <x v="41"/>
    <n v="51.884399999999999"/>
    <m/>
    <s v="NE"/>
    <s v="CORNER "/>
    <s v="LAKE D"/>
    <s v="GROUND"/>
    <x v="4"/>
    <n v="0.15"/>
    <n v="0.05"/>
    <n v="0.43"/>
    <n v="0.05"/>
    <n v="2.5000000000000001E-2"/>
    <x v="10"/>
    <x v="1"/>
    <x v="8"/>
    <n v="56100"/>
    <n v="62700"/>
    <n v="6600"/>
    <n v="4653.0000000000009"/>
    <n v="60753"/>
    <n v="20048.490000000002"/>
    <n v="65253"/>
    <n v="68253"/>
    <n v="10935540"/>
    <n v="11745540"/>
    <n v="12285540"/>
    <n v="1040203.8745560001"/>
    <n v="1017938.22933726"/>
    <n v="2"/>
    <n v="264000"/>
    <n v="264000"/>
    <n v="12239743.874555999"/>
  </r>
  <r>
    <m/>
    <s v="B"/>
    <x v="16"/>
    <s v="RESIDENTIAL"/>
    <x v="1"/>
    <n v="1"/>
    <x v="336"/>
    <x v="0"/>
    <s v="C2"/>
    <n v="96.311000000000007"/>
    <n v="106.71064277551626"/>
    <x v="21"/>
    <m/>
    <m/>
    <s v="NE"/>
    <s v="MIDDLE"/>
    <s v="SEMI LAKE D"/>
    <s v="FIRST"/>
    <x v="1"/>
    <n v="0.15"/>
    <n v="2.5000000000000001E-2"/>
    <n v="0.32250000000000001"/>
    <n v="7.0000000000000007E-2"/>
    <n v="0.04"/>
    <x v="128"/>
    <x v="1"/>
    <x v="0"/>
    <n v="43562.499999999993"/>
    <n v="48687.499999999993"/>
    <n v="5125"/>
    <n v="3113.4375"/>
    <n v="46675.937499999993"/>
    <n v="15403.059374999999"/>
    <n v="51175.937499999993"/>
    <n v="54175.937499999993"/>
    <n v="5461084.6874999991"/>
    <n v="5987584.6874999991"/>
    <n v="6338584.6874999991"/>
    <n v="0"/>
    <n v="464192.19843749993"/>
    <n v="1"/>
    <n v="204999.99999999997"/>
    <n v="204999.99999999997"/>
    <n v="5666084.6874999991"/>
  </r>
  <r>
    <m/>
    <s v="B"/>
    <x v="16"/>
    <s v="RESIDENTIAL"/>
    <x v="1"/>
    <n v="2"/>
    <x v="337"/>
    <x v="2"/>
    <s v="C2"/>
    <n v="162.57599999999999"/>
    <n v="180.13092439983313"/>
    <x v="42"/>
    <m/>
    <m/>
    <s v="SW"/>
    <s v="MIDDLE"/>
    <s v="LAKE B-2"/>
    <s v="FIRST"/>
    <x v="3"/>
    <n v="0.06"/>
    <n v="2.5000000000000001E-2"/>
    <n v="0.53"/>
    <n v="7.0000000000000007E-2"/>
    <n v="1.4999999999999999E-2"/>
    <x v="129"/>
    <x v="1"/>
    <x v="10"/>
    <n v="53550"/>
    <n v="59850"/>
    <n v="6300"/>
    <n v="4410"/>
    <n v="57960"/>
    <n v="19126.8"/>
    <n v="62460"/>
    <n v="65460"/>
    <n v="11476080"/>
    <n v="12367080"/>
    <n v="12961080"/>
    <n v="0"/>
    <n v="975466.8"/>
    <n v="2"/>
    <n v="252000"/>
    <n v="252000"/>
    <n v="11728080"/>
  </r>
  <r>
    <m/>
    <s v="B"/>
    <x v="16"/>
    <s v="RESIDENTIAL"/>
    <x v="1"/>
    <n v="3"/>
    <x v="338"/>
    <x v="3"/>
    <s v="C2"/>
    <n v="183.637"/>
    <n v="203.46608702398976"/>
    <x v="19"/>
    <m/>
    <m/>
    <s v="SW"/>
    <s v="CORNER "/>
    <s v="LAKE B-2"/>
    <s v="FIRST"/>
    <x v="3"/>
    <n v="0.06"/>
    <n v="0.05"/>
    <n v="0.53"/>
    <n v="7.0000000000000007E-2"/>
    <n v="1.4999999999999999E-2"/>
    <x v="130"/>
    <x v="1"/>
    <x v="7"/>
    <n v="61625"/>
    <n v="68875"/>
    <n v="7250"/>
    <n v="5256.25"/>
    <n v="66881.25"/>
    <n v="22070.8125"/>
    <n v="71381.25"/>
    <n v="74381.25"/>
    <n v="14981400"/>
    <n v="15989400"/>
    <n v="16661400"/>
    <n v="0"/>
    <n v="1273419"/>
    <n v="2"/>
    <n v="290000"/>
    <n v="290000"/>
    <n v="15271400"/>
  </r>
  <r>
    <m/>
    <s v="B"/>
    <x v="16"/>
    <s v="RESIDENTIAL"/>
    <x v="1"/>
    <n v="4"/>
    <x v="339"/>
    <x v="2"/>
    <s v="C2"/>
    <n v="141.66300000000001"/>
    <n v="156.95974278647259"/>
    <x v="22"/>
    <m/>
    <m/>
    <s v="NE"/>
    <s v="CORNER "/>
    <s v="LAKE D"/>
    <s v="FIRST"/>
    <x v="4"/>
    <n v="0.15"/>
    <n v="0.05"/>
    <n v="0.43"/>
    <n v="7.0000000000000007E-2"/>
    <n v="2.5000000000000001E-2"/>
    <x v="130"/>
    <x v="1"/>
    <x v="7"/>
    <n v="61625"/>
    <n v="68875"/>
    <n v="7250"/>
    <n v="5256.25"/>
    <n v="66881.25"/>
    <n v="22070.8125"/>
    <n v="71381.25"/>
    <n v="74381.25"/>
    <n v="11570456.25"/>
    <n v="12348956.25"/>
    <n v="12867956.25"/>
    <n v="0"/>
    <n v="983488.78125000012"/>
    <n v="2"/>
    <n v="290000"/>
    <n v="290000"/>
    <n v="11860456.25"/>
  </r>
  <r>
    <m/>
    <s v="B"/>
    <x v="16"/>
    <s v="RESIDENTIAL"/>
    <x v="2"/>
    <n v="1"/>
    <x v="340"/>
    <x v="2"/>
    <s v="C2"/>
    <n v="141.22499999999999"/>
    <n v="156.47444763290054"/>
    <x v="23"/>
    <m/>
    <m/>
    <s v="NE"/>
    <s v="MIDDLE"/>
    <s v="SEMI LAKE D"/>
    <s v="SECOND"/>
    <x v="4"/>
    <n v="0.15"/>
    <n v="2.5000000000000001E-2"/>
    <n v="0.32250000000000001"/>
    <n v="0.11"/>
    <n v="2.5000000000000001E-2"/>
    <x v="131"/>
    <x v="1"/>
    <x v="2"/>
    <n v="45687.5"/>
    <n v="51062.5"/>
    <n v="5375"/>
    <n v="3399.6875000000005"/>
    <n v="49087.1875"/>
    <n v="16198.771875"/>
    <n v="53587.1875"/>
    <n v="56587.1875"/>
    <n v="8442996.25"/>
    <n v="9216996.25"/>
    <n v="9732996.25"/>
    <n v="0"/>
    <n v="717654.68125000002"/>
    <n v="2"/>
    <n v="215000"/>
    <n v="215000"/>
    <n v="8657996.25"/>
  </r>
  <r>
    <m/>
    <s v="B"/>
    <x v="16"/>
    <s v="RESIDENTIAL"/>
    <x v="2"/>
    <n v="2"/>
    <x v="341"/>
    <x v="2"/>
    <s v="C2"/>
    <n v="167.214"/>
    <n v="185.26973472464385"/>
    <x v="43"/>
    <m/>
    <m/>
    <s v="SW"/>
    <s v="MIDDLE"/>
    <s v="LAKE B-2"/>
    <s v="SECOND"/>
    <x v="3"/>
    <n v="0.06"/>
    <n v="2.5000000000000001E-2"/>
    <n v="0.53"/>
    <n v="0.11"/>
    <n v="1.4999999999999999E-2"/>
    <x v="132"/>
    <x v="2"/>
    <x v="3"/>
    <n v="42500"/>
    <n v="47500"/>
    <n v="5000"/>
    <n v="3700"/>
    <n v="46200"/>
    <n v="15246"/>
    <n v="50700"/>
    <n v="53700"/>
    <n v="9424800"/>
    <n v="10342800"/>
    <n v="10954800"/>
    <n v="0"/>
    <n v="801108"/>
    <n v="2"/>
    <n v="200000"/>
    <n v="200000"/>
    <n v="9624800"/>
  </r>
  <r>
    <m/>
    <s v="B"/>
    <x v="16"/>
    <s v="RESIDENTIAL"/>
    <x v="2"/>
    <n v="3"/>
    <x v="342"/>
    <x v="3"/>
    <s v="C2"/>
    <n v="187.10300000000001"/>
    <n v="207.30634502006436"/>
    <x v="25"/>
    <m/>
    <m/>
    <s v="SW"/>
    <s v="CORNER "/>
    <s v="LAKE B-2"/>
    <s v="SECOND"/>
    <x v="3"/>
    <n v="0.06"/>
    <n v="0.05"/>
    <n v="0.53"/>
    <n v="0.11"/>
    <n v="1.4999999999999999E-2"/>
    <x v="133"/>
    <x v="2"/>
    <x v="6"/>
    <n v="44625"/>
    <n v="49875"/>
    <n v="5250"/>
    <n v="4016.25"/>
    <n v="48641.25"/>
    <n v="16051.612500000001"/>
    <n v="53141.25"/>
    <n v="56141.25"/>
    <n v="11090205"/>
    <n v="12116205"/>
    <n v="12800205"/>
    <n v="0"/>
    <n v="942667.42500000005"/>
    <n v="2"/>
    <n v="210000"/>
    <n v="210000"/>
    <n v="11300205"/>
  </r>
  <r>
    <m/>
    <s v="B"/>
    <x v="16"/>
    <s v="RESIDENTIAL"/>
    <x v="2"/>
    <n v="4"/>
    <x v="343"/>
    <x v="2"/>
    <s v="C2"/>
    <n v="143.989"/>
    <n v="159.53690380749666"/>
    <x v="20"/>
    <m/>
    <m/>
    <s v="NE"/>
    <s v="CORNER "/>
    <s v="LAKE D"/>
    <s v="SECOND"/>
    <x v="4"/>
    <n v="0.15"/>
    <n v="0.05"/>
    <n v="0.43"/>
    <n v="0.11"/>
    <n v="2.5000000000000001E-2"/>
    <x v="133"/>
    <x v="2"/>
    <x v="6"/>
    <n v="44625"/>
    <n v="49875"/>
    <n v="5250"/>
    <n v="4016.25"/>
    <n v="48641.25"/>
    <n v="16051.612500000001"/>
    <n v="53141.25"/>
    <n v="56141.25"/>
    <n v="8560860"/>
    <n v="9352860"/>
    <n v="9880860"/>
    <n v="0"/>
    <n v="727673.10000000009"/>
    <n v="2"/>
    <n v="210000"/>
    <n v="210000"/>
    <n v="8770860"/>
  </r>
  <r>
    <m/>
    <s v="B"/>
    <x v="16"/>
    <s v="RESIDENTIAL"/>
    <x v="3"/>
    <n v="1"/>
    <x v="344"/>
    <x v="2"/>
    <s v="C2"/>
    <n v="141.131"/>
    <n v="156.37029753144901"/>
    <x v="23"/>
    <m/>
    <m/>
    <s v="NE"/>
    <s v="MIDDLE"/>
    <s v="SEMI LAKE D"/>
    <s v="THIRD"/>
    <x v="4"/>
    <n v="0.15"/>
    <n v="2.5000000000000001E-2"/>
    <n v="0.32250000000000001"/>
    <n v="0.15"/>
    <n v="2.5000000000000001E-2"/>
    <x v="134"/>
    <x v="1"/>
    <x v="1"/>
    <n v="48450.000000000007"/>
    <n v="54150.000000000007"/>
    <n v="5700"/>
    <n v="3833.25"/>
    <n v="52283.250000000007"/>
    <n v="17253.472500000003"/>
    <n v="56783.250000000007"/>
    <n v="59783.250000000007"/>
    <n v="8992719.0000000019"/>
    <n v="9766719.0000000019"/>
    <n v="10282719.000000002"/>
    <n v="0"/>
    <n v="764381.11500000022"/>
    <n v="2"/>
    <n v="228000.00000000003"/>
    <n v="228000.00000000003"/>
    <n v="9220719.0000000019"/>
  </r>
  <r>
    <m/>
    <s v="B"/>
    <x v="16"/>
    <s v="RESIDENTIAL"/>
    <x v="3"/>
    <n v="2"/>
    <x v="345"/>
    <x v="2"/>
    <s v="C2"/>
    <n v="164.43600000000001"/>
    <n v="182.19176683281029"/>
    <x v="44"/>
    <m/>
    <m/>
    <s v="SW"/>
    <s v="MIDDLE"/>
    <s v="LAKE B-2"/>
    <s v="THIRD"/>
    <x v="3"/>
    <n v="0.06"/>
    <n v="2.5000000000000001E-2"/>
    <n v="0.53"/>
    <n v="0.15"/>
    <n v="1.4999999999999999E-2"/>
    <x v="135"/>
    <x v="2"/>
    <x v="2"/>
    <n v="45687.5"/>
    <n v="51062.5"/>
    <n v="5375"/>
    <n v="4192.5"/>
    <n v="49880"/>
    <n v="16460.400000000001"/>
    <n v="54380"/>
    <n v="57380"/>
    <n v="10025880"/>
    <n v="10930380"/>
    <n v="11533380"/>
    <n v="0"/>
    <n v="852199.8"/>
    <n v="2"/>
    <n v="215000"/>
    <n v="215000"/>
    <n v="10240880"/>
  </r>
  <r>
    <m/>
    <s v="B"/>
    <x v="16"/>
    <s v="RESIDENTIAL"/>
    <x v="3"/>
    <n v="3"/>
    <x v="346"/>
    <x v="3"/>
    <s v="C2"/>
    <n v="187.20400000000001"/>
    <n v="207.41825098013462"/>
    <x v="25"/>
    <m/>
    <m/>
    <s v="SW"/>
    <s v="CORNER "/>
    <s v="LAKE B-2"/>
    <s v="THIRD"/>
    <x v="3"/>
    <n v="0.06"/>
    <n v="0.05"/>
    <n v="0.53"/>
    <n v="0.15"/>
    <n v="1.4999999999999999E-2"/>
    <x v="96"/>
    <x v="2"/>
    <x v="1"/>
    <n v="48450.000000000007"/>
    <n v="54150.000000000007"/>
    <n v="5700"/>
    <n v="4588.5"/>
    <n v="53038.500000000007"/>
    <n v="17502.705000000002"/>
    <n v="57538.500000000007"/>
    <n v="60538.500000000007"/>
    <n v="12092778.000000002"/>
    <n v="13118778.000000002"/>
    <n v="13802778.000000002"/>
    <n v="0"/>
    <n v="1027886.1300000002"/>
    <n v="2"/>
    <n v="228000.00000000003"/>
    <n v="228000.00000000003"/>
    <n v="12320778.000000002"/>
  </r>
  <r>
    <m/>
    <s v="B"/>
    <x v="16"/>
    <s v="RESIDENTIAL"/>
    <x v="3"/>
    <n v="4"/>
    <x v="347"/>
    <x v="2"/>
    <s v="C2"/>
    <n v="143.911"/>
    <n v="159.45048138288794"/>
    <x v="20"/>
    <m/>
    <m/>
    <s v="NE"/>
    <s v="CORNER "/>
    <s v="LAKE D"/>
    <s v="THIRD"/>
    <x v="4"/>
    <n v="0.15"/>
    <n v="0.05"/>
    <n v="0.43"/>
    <n v="0.15"/>
    <n v="2.5000000000000001E-2"/>
    <x v="96"/>
    <x v="2"/>
    <x v="1"/>
    <n v="48450.000000000007"/>
    <n v="54150.000000000007"/>
    <n v="5700"/>
    <n v="4588.5"/>
    <n v="53038.500000000007"/>
    <n v="17502.705000000002"/>
    <n v="57538.500000000007"/>
    <n v="60538.500000000007"/>
    <n v="9334776.0000000019"/>
    <n v="10126776.000000002"/>
    <n v="10654776.000000002"/>
    <n v="0"/>
    <n v="793455.9600000002"/>
    <n v="2"/>
    <n v="228000.00000000003"/>
    <n v="228000.00000000003"/>
    <n v="9562776.0000000019"/>
  </r>
  <r>
    <m/>
    <s v="B"/>
    <x v="16"/>
    <s v="RESIDENTIAL"/>
    <x v="4"/>
    <n v="1"/>
    <x v="348"/>
    <x v="2"/>
    <s v="C2"/>
    <n v="139.16499999999999"/>
    <n v="154.19200923938823"/>
    <x v="28"/>
    <m/>
    <m/>
    <s v="NE"/>
    <s v="MIDDLE"/>
    <s v="SEMI LAKE D"/>
    <s v="FORTH"/>
    <x v="4"/>
    <n v="0.15"/>
    <n v="2.5000000000000001E-2"/>
    <n v="0.32250000000000001"/>
    <n v="0.06"/>
    <n v="2.5000000000000001E-2"/>
    <x v="136"/>
    <x v="1"/>
    <x v="3"/>
    <n v="42500"/>
    <n v="47500"/>
    <n v="5000"/>
    <n v="2912.5"/>
    <n v="45412.5"/>
    <n v="14986.125"/>
    <n v="49912.5"/>
    <n v="52912.5"/>
    <n v="7720125"/>
    <n v="8485125"/>
    <n v="8995125"/>
    <n v="0"/>
    <n v="656210.625"/>
    <n v="2"/>
    <n v="200000"/>
    <n v="200000"/>
    <n v="7920125"/>
  </r>
  <r>
    <m/>
    <s v="B"/>
    <x v="16"/>
    <s v="RESIDENTIAL"/>
    <x v="4"/>
    <n v="2"/>
    <x v="349"/>
    <x v="2"/>
    <s v="C2"/>
    <n v="162.49"/>
    <n v="180.03563813680304"/>
    <x v="42"/>
    <m/>
    <m/>
    <s v="SW"/>
    <s v="MIDDLE"/>
    <s v="LAKE B-2"/>
    <s v="FORTH"/>
    <x v="3"/>
    <n v="0.06"/>
    <n v="2.5000000000000001E-2"/>
    <n v="0.53"/>
    <n v="0.06"/>
    <n v="1.4999999999999999E-2"/>
    <x v="137"/>
    <x v="1"/>
    <x v="4"/>
    <n v="51850"/>
    <n v="57950"/>
    <n v="6100"/>
    <n v="4209"/>
    <n v="56059"/>
    <n v="18499.47"/>
    <n v="60559"/>
    <n v="63559"/>
    <n v="11099682"/>
    <n v="11990682"/>
    <n v="12584682"/>
    <n v="0"/>
    <n v="943472.97000000009"/>
    <n v="2"/>
    <n v="244000"/>
    <n v="244000"/>
    <n v="11343682"/>
  </r>
  <r>
    <m/>
    <s v="B"/>
    <x v="16"/>
    <s v="RESIDENTIAL"/>
    <x v="4"/>
    <n v="3"/>
    <x v="350"/>
    <x v="3"/>
    <s v="C2"/>
    <n v="182.357"/>
    <n v="202.04787287656464"/>
    <x v="45"/>
    <m/>
    <m/>
    <s v="SW"/>
    <s v="CORNER "/>
    <s v="LAKE B-2"/>
    <s v="FORTH"/>
    <x v="3"/>
    <n v="0.06"/>
    <n v="0.05"/>
    <n v="0.53"/>
    <n v="0.06"/>
    <n v="1.4999999999999999E-2"/>
    <x v="138"/>
    <x v="1"/>
    <x v="9"/>
    <n v="58649.999999999993"/>
    <n v="65550"/>
    <n v="6900.0000000000073"/>
    <n v="4933.5000000000045"/>
    <n v="63583.5"/>
    <n v="20982.555"/>
    <n v="68083.5"/>
    <n v="71083.5"/>
    <n v="14115537"/>
    <n v="15114537"/>
    <n v="15780537"/>
    <n v="0"/>
    <n v="1199820.645"/>
    <n v="2"/>
    <n v="276000"/>
    <n v="276000"/>
    <n v="14391537"/>
  </r>
  <r>
    <m/>
    <s v="B"/>
    <x v="16"/>
    <s v="RESIDENTIAL"/>
    <x v="4"/>
    <n v="4"/>
    <x v="351"/>
    <x v="2"/>
    <s v="C2"/>
    <n v="141.929"/>
    <n v="157.25446541398435"/>
    <x v="22"/>
    <m/>
    <m/>
    <s v="NE"/>
    <s v="CORNER "/>
    <s v="LAKE D"/>
    <s v="FORTH"/>
    <x v="4"/>
    <n v="0.15"/>
    <n v="0.05"/>
    <n v="0.43"/>
    <n v="0.06"/>
    <n v="2.5000000000000001E-2"/>
    <x v="138"/>
    <x v="1"/>
    <x v="9"/>
    <n v="58649.999999999993"/>
    <n v="65550"/>
    <n v="6900.0000000000073"/>
    <n v="4933.5000000000045"/>
    <n v="63583.5"/>
    <n v="20982.555"/>
    <n v="68083.5"/>
    <n v="71083.5"/>
    <n v="10999945.5"/>
    <n v="11778445.5"/>
    <n v="12297445.5"/>
    <n v="0"/>
    <n v="934995.36750000005"/>
    <n v="2"/>
    <n v="276000"/>
    <n v="276000"/>
    <n v="11275945.5"/>
  </r>
  <r>
    <s v="B3"/>
    <s v="B"/>
    <x v="17"/>
    <s v="RESIDENTIAL"/>
    <x v="0"/>
    <n v="1"/>
    <x v="352"/>
    <x v="2"/>
    <s v="C2"/>
    <n v="141.82499999999999"/>
    <n v="159.04192828545919"/>
    <x v="22"/>
    <n v="49.875"/>
    <m/>
    <s v="NE"/>
    <s v="MIDDLE"/>
    <s v="ROAD 18M (BUILDINGS)"/>
    <s v="GROUND"/>
    <x v="4"/>
    <n v="0.15"/>
    <n v="2.5000000000000001E-2"/>
    <n v="0.15"/>
    <n v="0.05"/>
    <n v="2.5000000000000001E-2"/>
    <x v="139"/>
    <x v="0"/>
    <x v="5"/>
    <n v="46750.000000000007"/>
    <n v="52250.000000000007"/>
    <n v="5500"/>
    <n v="2200"/>
    <n v="48950.000000000007"/>
    <n v="16153.500000000004"/>
    <n v="53450.000000000007"/>
    <n v="56450.000000000007"/>
    <n v="8468350.0000000019"/>
    <n v="9246850.0000000019"/>
    <n v="9765850.0000000019"/>
    <n v="805655.81250000023"/>
    <n v="788290.49406250019"/>
    <n v="2"/>
    <n v="220000.00000000003"/>
    <n v="220000.00000000003"/>
    <n v="9494005.8125000019"/>
  </r>
  <r>
    <m/>
    <s v="B"/>
    <x v="17"/>
    <s v="RESIDENTIAL"/>
    <x v="0"/>
    <n v="2"/>
    <x v="353"/>
    <x v="4"/>
    <s v="C2"/>
    <n v="142.05600000000001"/>
    <n v="159.30097066468673"/>
    <x v="46"/>
    <n v="97.868200000000002"/>
    <m/>
    <s v="SW"/>
    <s v="MIDDLE"/>
    <s v="LAKE B-2"/>
    <s v="GROUND"/>
    <x v="5"/>
    <n v="0.06"/>
    <n v="2.5000000000000001E-2"/>
    <n v="0.53"/>
    <n v="0.05"/>
    <n v="0"/>
    <x v="6"/>
    <x v="1"/>
    <x v="5"/>
    <n v="46750.000000000007"/>
    <n v="52250.000000000007"/>
    <n v="5500"/>
    <n v="3657.5"/>
    <n v="50407.500000000007"/>
    <n v="16634.475000000002"/>
    <n v="54907.500000000007"/>
    <n v="57907.500000000007"/>
    <n v="17340180.000000004"/>
    <n v="18888180.000000004"/>
    <n v="19920180.000000004"/>
    <n v="1627986.1261950003"/>
    <n v="1612294.1207265754"/>
    <n v="2"/>
    <n v="220000.00000000003"/>
    <n v="220000.00000000003"/>
    <n v="19188166.126195002"/>
  </r>
  <r>
    <m/>
    <s v="B"/>
    <x v="17"/>
    <s v="RESIDENTIAL"/>
    <x v="0"/>
    <n v="3"/>
    <x v="354"/>
    <x v="4"/>
    <s v="C2"/>
    <n v="142.197"/>
    <n v="159.45908744161781"/>
    <x v="46"/>
    <n v="97.259299999999996"/>
    <m/>
    <s v="SW"/>
    <s v="MIDDLE"/>
    <s v="LAKE B-2"/>
    <s v="GROUND"/>
    <x v="5"/>
    <n v="0.06"/>
    <n v="2.5000000000000001E-2"/>
    <n v="0.53"/>
    <n v="0.05"/>
    <n v="0"/>
    <x v="6"/>
    <x v="1"/>
    <x v="5"/>
    <n v="46750.000000000007"/>
    <n v="52250.000000000007"/>
    <n v="5500"/>
    <n v="3657.5"/>
    <n v="50407.500000000007"/>
    <n v="16634.475000000002"/>
    <n v="54907.500000000007"/>
    <n v="57907.500000000007"/>
    <n v="17340180.000000004"/>
    <n v="18888180.000000004"/>
    <n v="19920180.000000004"/>
    <n v="1617857.3943675002"/>
    <n v="1611433.178521238"/>
    <n v="2"/>
    <n v="220000.00000000003"/>
    <n v="220000.00000000003"/>
    <n v="19178037.394367505"/>
  </r>
  <r>
    <m/>
    <s v="B"/>
    <x v="17"/>
    <s v="RESIDENTIAL"/>
    <x v="0"/>
    <n v="4"/>
    <x v="355"/>
    <x v="0"/>
    <s v="C2"/>
    <n v="95.254000000000005"/>
    <n v="106.81741467938045"/>
    <x v="17"/>
    <n v="42.098799999999997"/>
    <m/>
    <s v="NE"/>
    <s v="MIDDLE"/>
    <s v="ROAD 18M (BUILDINGS)"/>
    <s v="GROUND"/>
    <x v="1"/>
    <n v="0.15"/>
    <n v="2.5000000000000001E-2"/>
    <n v="0.15"/>
    <n v="0.05"/>
    <n v="0.04"/>
    <x v="56"/>
    <x v="0"/>
    <x v="1"/>
    <n v="48450.000000000007"/>
    <n v="54150.000000000007"/>
    <n v="5700"/>
    <n v="2365.4999999999995"/>
    <n v="50815.500000000007"/>
    <n v="16769.115000000002"/>
    <n v="55315.500000000007"/>
    <n v="58315.500000000007"/>
    <n v="5894598.0000000009"/>
    <n v="6416598.0000000009"/>
    <n v="6764598.0000000009"/>
    <n v="705959.61856199999"/>
    <n v="561047.39757777005"/>
    <n v="1"/>
    <n v="228000.00000000003"/>
    <n v="228000.00000000003"/>
    <n v="6828557.6185620008"/>
  </r>
  <r>
    <m/>
    <s v="B"/>
    <x v="17"/>
    <s v="RESIDENTIAL"/>
    <x v="1"/>
    <n v="1"/>
    <x v="356"/>
    <x v="2"/>
    <s v="C2"/>
    <n v="142.977"/>
    <n v="160.33377599485354"/>
    <x v="47"/>
    <m/>
    <m/>
    <s v="NE"/>
    <s v="MIDDLE"/>
    <s v="LAKE F"/>
    <s v="FIRST"/>
    <x v="4"/>
    <n v="0.15"/>
    <n v="2.5000000000000001E-2"/>
    <n v="0.3"/>
    <n v="7.0000000000000007E-2"/>
    <n v="2.5000000000000001E-2"/>
    <x v="140"/>
    <x v="1"/>
    <x v="3"/>
    <n v="42500"/>
    <n v="47500"/>
    <n v="5000"/>
    <n v="2849.9999999999995"/>
    <n v="45350"/>
    <n v="14965.5"/>
    <n v="49850"/>
    <n v="52850"/>
    <n v="7890900"/>
    <n v="8673900"/>
    <n v="9195900"/>
    <n v="0"/>
    <n v="670726.5"/>
    <n v="2"/>
    <n v="200000"/>
    <n v="200000"/>
    <n v="8090900"/>
  </r>
  <r>
    <m/>
    <s v="B"/>
    <x v="17"/>
    <s v="RESIDENTIAL"/>
    <x v="1"/>
    <n v="4"/>
    <x v="357"/>
    <x v="0"/>
    <s v="C2"/>
    <n v="96.311000000000007"/>
    <n v="108.00272980857298"/>
    <x v="21"/>
    <m/>
    <m/>
    <s v="NE"/>
    <s v="MIDDLE"/>
    <s v="LAKE F"/>
    <s v="FIRST"/>
    <x v="1"/>
    <n v="0.15"/>
    <n v="2.5000000000000001E-2"/>
    <n v="0.3"/>
    <n v="7.0000000000000007E-2"/>
    <n v="0.04"/>
    <x v="64"/>
    <x v="1"/>
    <x v="3"/>
    <n v="42500"/>
    <n v="47500"/>
    <n v="5000"/>
    <n v="2925"/>
    <n v="45425"/>
    <n v="14990.25"/>
    <n v="49925"/>
    <n v="52925"/>
    <n v="5314725"/>
    <n v="5841225"/>
    <n v="6192225"/>
    <n v="0"/>
    <n v="451751.62500000006"/>
    <n v="1"/>
    <n v="200000"/>
    <n v="200000"/>
    <n v="5514725"/>
  </r>
  <r>
    <m/>
    <s v="B"/>
    <x v="17"/>
    <s v="RESIDENTIAL"/>
    <x v="2"/>
    <n v="1"/>
    <x v="358"/>
    <x v="2"/>
    <s v="C2"/>
    <n v="141.18700000000001"/>
    <n v="158.32647790473564"/>
    <x v="23"/>
    <m/>
    <m/>
    <s v="NE"/>
    <s v="MIDDLE"/>
    <s v="LAKE F"/>
    <s v="SECOND"/>
    <x v="4"/>
    <n v="0.15"/>
    <n v="2.5000000000000001E-2"/>
    <n v="0.3"/>
    <n v="0.11"/>
    <n v="2.5000000000000001E-2"/>
    <x v="141"/>
    <x v="1"/>
    <x v="0"/>
    <n v="43562.499999999993"/>
    <n v="48687.499999999993"/>
    <n v="5125"/>
    <n v="3126.25"/>
    <n v="46688.749999999993"/>
    <n v="15407.287499999999"/>
    <n v="51188.749999999993"/>
    <n v="54188.749999999993"/>
    <n v="8030464.9999999991"/>
    <n v="8804464.9999999981"/>
    <n v="9320464.9999999981"/>
    <n v="0"/>
    <n v="682589.52500000002"/>
    <n v="2"/>
    <n v="204999.99999999997"/>
    <n v="204999.99999999997"/>
    <n v="8235464.9999999991"/>
  </r>
  <r>
    <m/>
    <s v="B"/>
    <x v="17"/>
    <s v="RESIDENTIAL"/>
    <x v="2"/>
    <n v="2"/>
    <x v="359"/>
    <x v="2"/>
    <s v="C2"/>
    <n v="141.446"/>
    <n v="158.61691936023314"/>
    <x v="22"/>
    <m/>
    <m/>
    <s v="SW"/>
    <s v="MIDDLE"/>
    <s v="LAKE B-2"/>
    <s v="SECOND"/>
    <x v="4"/>
    <n v="0.06"/>
    <n v="2.5000000000000001E-2"/>
    <n v="0.53"/>
    <n v="0.11"/>
    <n v="2.5000000000000001E-2"/>
    <x v="142"/>
    <x v="2"/>
    <x v="0"/>
    <n v="43562.499999999993"/>
    <n v="48687.499999999993"/>
    <n v="5125"/>
    <n v="3843.75"/>
    <n v="47406.249999999993"/>
    <n v="15644.062499999998"/>
    <n v="51906.249999999993"/>
    <n v="54906.249999999993"/>
    <n v="8201281.2499999991"/>
    <n v="8979781.2499999981"/>
    <n v="9498781.2499999981"/>
    <n v="0"/>
    <n v="697108.90625"/>
    <n v="2"/>
    <n v="204999.99999999997"/>
    <n v="204999.99999999997"/>
    <n v="8406281.2499999981"/>
  </r>
  <r>
    <m/>
    <s v="B"/>
    <x v="17"/>
    <s v="RESIDENTIAL"/>
    <x v="2"/>
    <n v="3"/>
    <x v="360"/>
    <x v="2"/>
    <s v="C2"/>
    <n v="141.572"/>
    <n v="158.75821520344815"/>
    <x v="22"/>
    <m/>
    <m/>
    <s v="SW"/>
    <s v="MIDDLE"/>
    <s v="LAKE B-2"/>
    <s v="SECOND"/>
    <x v="4"/>
    <n v="0.06"/>
    <n v="2.5000000000000001E-2"/>
    <n v="0.53"/>
    <n v="0.11"/>
    <n v="2.5000000000000001E-2"/>
    <x v="142"/>
    <x v="2"/>
    <x v="0"/>
    <n v="43562.499999999993"/>
    <n v="48687.499999999993"/>
    <n v="5125"/>
    <n v="3843.75"/>
    <n v="47406.249999999993"/>
    <n v="15644.062499999998"/>
    <n v="51906.249999999993"/>
    <n v="54906.249999999993"/>
    <n v="8201281.2499999991"/>
    <n v="8979781.2499999981"/>
    <n v="9498781.2499999981"/>
    <n v="0"/>
    <n v="697108.90625"/>
    <n v="2"/>
    <n v="204999.99999999997"/>
    <n v="204999.99999999997"/>
    <n v="8406281.2499999981"/>
  </r>
  <r>
    <m/>
    <s v="B"/>
    <x v="17"/>
    <s v="RESIDENTIAL"/>
    <x v="2"/>
    <n v="4"/>
    <x v="361"/>
    <x v="2"/>
    <s v="C2"/>
    <n v="141.226"/>
    <n v="158.37021233239741"/>
    <x v="23"/>
    <m/>
    <m/>
    <s v="NE"/>
    <s v="MIDDLE"/>
    <s v="LAKE F"/>
    <s v="SECOND"/>
    <x v="4"/>
    <n v="0.15"/>
    <n v="2.5000000000000001E-2"/>
    <n v="0.3"/>
    <n v="0.11"/>
    <n v="2.5000000000000001E-2"/>
    <x v="141"/>
    <x v="1"/>
    <x v="0"/>
    <n v="43562.499999999993"/>
    <n v="48687.499999999993"/>
    <n v="5125"/>
    <n v="3126.25"/>
    <n v="46688.749999999993"/>
    <n v="15407.287499999999"/>
    <n v="51188.749999999993"/>
    <n v="54188.749999999993"/>
    <n v="8030464.9999999991"/>
    <n v="8804464.9999999981"/>
    <n v="9320464.9999999981"/>
    <n v="0"/>
    <n v="682589.52500000002"/>
    <n v="2"/>
    <n v="204999.99999999997"/>
    <n v="204999.99999999997"/>
    <n v="8235464.9999999991"/>
  </r>
  <r>
    <m/>
    <s v="B"/>
    <x v="17"/>
    <s v="RESIDENTIAL"/>
    <x v="3"/>
    <n v="1"/>
    <x v="362"/>
    <x v="2"/>
    <s v="C2"/>
    <n v="141.48599999999999"/>
    <n v="158.66177518347598"/>
    <x v="22"/>
    <m/>
    <m/>
    <s v="NE"/>
    <s v="MIDDLE"/>
    <s v="LAKE F"/>
    <s v="THIRD"/>
    <x v="4"/>
    <n v="0.15"/>
    <n v="2.5000000000000001E-2"/>
    <n v="0.3"/>
    <n v="0.15"/>
    <n v="2.5000000000000001E-2"/>
    <x v="47"/>
    <x v="1"/>
    <x v="5"/>
    <n v="46750.000000000007"/>
    <n v="52250.000000000007"/>
    <n v="5500"/>
    <n v="3575"/>
    <n v="50325.000000000007"/>
    <n v="16607.250000000004"/>
    <n v="54825.000000000007"/>
    <n v="57825.000000000007"/>
    <n v="8706225.0000000019"/>
    <n v="9484725.0000000019"/>
    <n v="10003725.000000002"/>
    <n v="0"/>
    <n v="740029.12500000023"/>
    <n v="2"/>
    <n v="220000.00000000003"/>
    <n v="220000.00000000003"/>
    <n v="8926225.0000000019"/>
  </r>
  <r>
    <m/>
    <s v="B"/>
    <x v="17"/>
    <s v="RESIDENTIAL"/>
    <x v="3"/>
    <n v="2"/>
    <x v="363"/>
    <x v="2"/>
    <s v="C2"/>
    <n v="142.25399999999999"/>
    <n v="159.52300698973886"/>
    <x v="47"/>
    <m/>
    <m/>
    <s v="SW"/>
    <s v="MIDDLE"/>
    <s v="LAKE B-2"/>
    <s v="THIRD"/>
    <x v="4"/>
    <n v="0.06"/>
    <n v="2.5000000000000001E-2"/>
    <n v="0.53"/>
    <n v="0.15"/>
    <n v="2.5000000000000001E-2"/>
    <x v="143"/>
    <x v="2"/>
    <x v="5"/>
    <n v="46750.000000000007"/>
    <n v="52250.000000000007"/>
    <n v="5500"/>
    <n v="4345"/>
    <n v="51095.000000000007"/>
    <n v="16861.350000000002"/>
    <n v="55595.000000000007"/>
    <n v="58595.000000000007"/>
    <n v="8890530.0000000019"/>
    <n v="9673530.0000000019"/>
    <n v="10195530.000000002"/>
    <n v="0"/>
    <n v="755695.05000000016"/>
    <n v="2"/>
    <n v="220000.00000000003"/>
    <n v="220000.00000000003"/>
    <n v="9110530.0000000019"/>
  </r>
  <r>
    <m/>
    <s v="B"/>
    <x v="17"/>
    <s v="RESIDENTIAL"/>
    <x v="3"/>
    <n v="3"/>
    <x v="364"/>
    <x v="2"/>
    <s v="C2"/>
    <n v="142.37799999999999"/>
    <n v="159.6620600417917"/>
    <x v="47"/>
    <m/>
    <m/>
    <s v="SW"/>
    <s v="MIDDLE"/>
    <s v="LAKE B-2"/>
    <s v="THIRD"/>
    <x v="4"/>
    <n v="0.06"/>
    <n v="2.5000000000000001E-2"/>
    <n v="0.53"/>
    <n v="0.15"/>
    <n v="2.5000000000000001E-2"/>
    <x v="143"/>
    <x v="2"/>
    <x v="5"/>
    <n v="46750.000000000007"/>
    <n v="52250.000000000007"/>
    <n v="5500"/>
    <n v="4345"/>
    <n v="51095.000000000007"/>
    <n v="16861.350000000002"/>
    <n v="55595.000000000007"/>
    <n v="58595.000000000007"/>
    <n v="8890530.0000000019"/>
    <n v="9673530.0000000019"/>
    <n v="10195530.000000002"/>
    <n v="0"/>
    <n v="755695.05000000016"/>
    <n v="2"/>
    <n v="220000.00000000003"/>
    <n v="220000.00000000003"/>
    <n v="9110530.0000000019"/>
  </r>
  <r>
    <m/>
    <s v="B"/>
    <x v="17"/>
    <s v="RESIDENTIAL"/>
    <x v="3"/>
    <n v="4"/>
    <x v="365"/>
    <x v="2"/>
    <s v="C2"/>
    <n v="141.52600000000001"/>
    <n v="158.70663100671885"/>
    <x v="22"/>
    <m/>
    <m/>
    <s v="NE"/>
    <s v="MIDDLE"/>
    <s v="LAKE F"/>
    <s v="THIRD"/>
    <x v="4"/>
    <n v="0.15"/>
    <n v="2.5000000000000001E-2"/>
    <n v="0.3"/>
    <n v="0.15"/>
    <n v="2.5000000000000001E-2"/>
    <x v="47"/>
    <x v="1"/>
    <x v="5"/>
    <n v="46750.000000000007"/>
    <n v="52250.000000000007"/>
    <n v="5500"/>
    <n v="3575"/>
    <n v="50325.000000000007"/>
    <n v="16607.250000000004"/>
    <n v="54825.000000000007"/>
    <n v="57825.000000000007"/>
    <n v="8706225.0000000019"/>
    <n v="9484725.0000000019"/>
    <n v="10003725.000000002"/>
    <n v="0"/>
    <n v="740029.12500000023"/>
    <n v="2"/>
    <n v="220000.00000000003"/>
    <n v="220000.00000000003"/>
    <n v="8926225.0000000019"/>
  </r>
  <r>
    <m/>
    <s v="B"/>
    <x v="17"/>
    <s v="RESIDENTIAL"/>
    <x v="4"/>
    <n v="1"/>
    <x v="366"/>
    <x v="2"/>
    <s v="C2"/>
    <n v="139.12"/>
    <n v="156.00855323866094"/>
    <x v="28"/>
    <m/>
    <m/>
    <s v="NE"/>
    <s v="MIDDLE"/>
    <s v="LAKE F"/>
    <s v="FORTH"/>
    <x v="4"/>
    <n v="0.15"/>
    <n v="2.5000000000000001E-2"/>
    <n v="0.3"/>
    <n v="0.06"/>
    <n v="2.5000000000000001E-2"/>
    <x v="144"/>
    <x v="1"/>
    <x v="3"/>
    <n v="42500"/>
    <n v="47500"/>
    <n v="5000"/>
    <n v="2799.9999999999995"/>
    <n v="45300"/>
    <n v="14949"/>
    <n v="49800"/>
    <n v="52800"/>
    <n v="7701000"/>
    <n v="8466000"/>
    <n v="8976000"/>
    <n v="0"/>
    <n v="654585"/>
    <n v="2"/>
    <n v="200000"/>
    <n v="200000"/>
    <n v="7901000"/>
  </r>
  <r>
    <m/>
    <s v="B"/>
    <x v="17"/>
    <s v="RESIDENTIAL"/>
    <x v="4"/>
    <n v="2"/>
    <x v="367"/>
    <x v="2"/>
    <s v="C2"/>
    <n v="141.53399999999999"/>
    <n v="158.71560217136741"/>
    <x v="22"/>
    <m/>
    <m/>
    <s v="SW"/>
    <s v="MIDDLE"/>
    <s v="LAKE B-2"/>
    <s v="FORTH"/>
    <x v="4"/>
    <n v="0.06"/>
    <n v="2.5000000000000001E-2"/>
    <n v="0.53"/>
    <n v="0.06"/>
    <n v="2.5000000000000001E-2"/>
    <x v="129"/>
    <x v="1"/>
    <x v="10"/>
    <n v="53550"/>
    <n v="59850"/>
    <n v="6300"/>
    <n v="4410"/>
    <n v="57960"/>
    <n v="19126.8"/>
    <n v="62460"/>
    <n v="65460"/>
    <n v="10027080"/>
    <n v="10805580"/>
    <n v="11324580"/>
    <n v="0"/>
    <n v="852301.8"/>
    <n v="2"/>
    <n v="252000"/>
    <n v="252000"/>
    <n v="10279080"/>
  </r>
  <r>
    <m/>
    <s v="B"/>
    <x v="17"/>
    <s v="RESIDENTIAL"/>
    <x v="4"/>
    <n v="3"/>
    <x v="368"/>
    <x v="2"/>
    <s v="C2"/>
    <n v="141.65899999999999"/>
    <n v="158.85577661900135"/>
    <x v="22"/>
    <m/>
    <m/>
    <s v="SW"/>
    <s v="MIDDLE"/>
    <s v="LAKE B-2"/>
    <s v="FORTH"/>
    <x v="4"/>
    <n v="0.06"/>
    <n v="2.5000000000000001E-2"/>
    <n v="0.53"/>
    <n v="0.06"/>
    <n v="2.5000000000000001E-2"/>
    <x v="129"/>
    <x v="1"/>
    <x v="10"/>
    <n v="53550"/>
    <n v="59850"/>
    <n v="6300"/>
    <n v="4410"/>
    <n v="57960"/>
    <n v="19126.8"/>
    <n v="62460"/>
    <n v="65460"/>
    <n v="10027080"/>
    <n v="10805580"/>
    <n v="11324580"/>
    <n v="0"/>
    <n v="852301.8"/>
    <n v="2"/>
    <n v="252000"/>
    <n v="252000"/>
    <n v="10279080"/>
  </r>
  <r>
    <m/>
    <s v="B"/>
    <x v="17"/>
    <s v="RESIDENTIAL"/>
    <x v="4"/>
    <n v="4"/>
    <x v="369"/>
    <x v="2"/>
    <s v="C2"/>
    <n v="139.31659999999999"/>
    <n v="156.22901960989958"/>
    <x v="28"/>
    <m/>
    <m/>
    <s v="NE"/>
    <s v="MIDDLE"/>
    <s v="LAKE F"/>
    <s v="FORTH"/>
    <x v="4"/>
    <n v="0.15"/>
    <n v="2.5000000000000001E-2"/>
    <n v="0.3"/>
    <n v="0.06"/>
    <n v="2.5000000000000001E-2"/>
    <x v="144"/>
    <x v="1"/>
    <x v="3"/>
    <n v="42500"/>
    <n v="47500"/>
    <n v="5000"/>
    <n v="2799.9999999999995"/>
    <n v="45300"/>
    <n v="14949"/>
    <n v="49800"/>
    <n v="52800"/>
    <n v="7701000"/>
    <n v="8466000"/>
    <n v="8976000"/>
    <n v="0"/>
    <n v="654585"/>
    <n v="2"/>
    <n v="200000"/>
    <n v="200000"/>
    <n v="7901000"/>
  </r>
  <r>
    <s v="B3"/>
    <s v="B"/>
    <x v="18"/>
    <s v="RESIDENTIAL"/>
    <x v="0"/>
    <n v="1"/>
    <x v="370"/>
    <x v="2"/>
    <s v="C2"/>
    <n v="144.66300000000001"/>
    <n v="160.29970969584483"/>
    <x v="20"/>
    <n v="50.369199999999999"/>
    <m/>
    <s v="NE"/>
    <s v="CORNER "/>
    <s v="LAKE E"/>
    <s v="GROUND"/>
    <x v="4"/>
    <n v="0.15"/>
    <n v="0.05"/>
    <n v="0.43"/>
    <n v="0.05"/>
    <n v="2.5000000000000001E-2"/>
    <x v="10"/>
    <x v="1"/>
    <x v="8"/>
    <n v="56100"/>
    <n v="62700"/>
    <n v="6600"/>
    <n v="4653.0000000000009"/>
    <n v="60753"/>
    <n v="20048.490000000002"/>
    <n v="65253"/>
    <n v="68253"/>
    <n v="10692528"/>
    <n v="11484528"/>
    <n v="12012528"/>
    <n v="1009826.402508"/>
    <n v="994700.12421318004"/>
    <n v="2"/>
    <n v="264000"/>
    <n v="264000"/>
    <n v="11966354.402508"/>
  </r>
  <r>
    <m/>
    <s v="B"/>
    <x v="18"/>
    <s v="RESIDENTIAL"/>
    <x v="0"/>
    <n v="2"/>
    <x v="371"/>
    <x v="3"/>
    <s v="C2"/>
    <n v="183.887"/>
    <n v="203.76345518093646"/>
    <x v="19"/>
    <n v="61.522199999999998"/>
    <m/>
    <s v="SW"/>
    <s v="CORNER "/>
    <s v="LAKE B-2"/>
    <s v="GROUND"/>
    <x v="3"/>
    <n v="0.06"/>
    <n v="0.05"/>
    <n v="0.53"/>
    <n v="0.05"/>
    <n v="1.4999999999999999E-2"/>
    <x v="10"/>
    <x v="1"/>
    <x v="8"/>
    <n v="56100"/>
    <n v="62700"/>
    <n v="6600"/>
    <n v="4653.0000000000009"/>
    <n v="60753"/>
    <n v="20048.490000000002"/>
    <n v="65253"/>
    <n v="68253"/>
    <n v="13608672"/>
    <n v="14616672"/>
    <n v="15288672"/>
    <n v="1233427.211478"/>
    <n v="1261578.43297563"/>
    <n v="2"/>
    <n v="264000"/>
    <n v="264000"/>
    <n v="15106099.211478001"/>
  </r>
  <r>
    <m/>
    <s v="B"/>
    <x v="18"/>
    <s v="RESIDENTIAL"/>
    <x v="0"/>
    <n v="3"/>
    <x v="372"/>
    <x v="2"/>
    <s v="C2"/>
    <n v="162.78100000000001"/>
    <n v="180.37609508996297"/>
    <x v="18"/>
    <n v="77.576999999999998"/>
    <m/>
    <s v="SW"/>
    <s v="MIDDLE"/>
    <s v="LAKE B-2"/>
    <s v="GROUND"/>
    <x v="3"/>
    <n v="0.06"/>
    <n v="2.5000000000000001E-2"/>
    <n v="0.53"/>
    <n v="0.05"/>
    <n v="1.4999999999999999E-2"/>
    <x v="127"/>
    <x v="1"/>
    <x v="12"/>
    <n v="50150"/>
    <n v="56050"/>
    <n v="5900"/>
    <n v="4012.0000000000005"/>
    <n v="54162"/>
    <n v="17873.46"/>
    <n v="58662"/>
    <n v="61662"/>
    <n v="10778238"/>
    <n v="11673738"/>
    <n v="12270738"/>
    <n v="1386569.4064199999"/>
    <n v="1034008.6295457"/>
    <n v="2"/>
    <n v="236000"/>
    <n v="236000"/>
    <n v="12400807.40642"/>
  </r>
  <r>
    <m/>
    <s v="B"/>
    <x v="18"/>
    <s v="RESIDENTIAL"/>
    <x v="0"/>
    <n v="4"/>
    <x v="373"/>
    <x v="0"/>
    <s v="C2"/>
    <n v="95.213999999999999"/>
    <n v="105.50573788031609"/>
    <x v="17"/>
    <n v="41.666899999999998"/>
    <m/>
    <s v="NE"/>
    <s v="MIDDLE"/>
    <s v="SEMI LAKE E"/>
    <s v="GROUND"/>
    <x v="1"/>
    <n v="0.15"/>
    <n v="2.5000000000000001E-2"/>
    <n v="0.32250000000000001"/>
    <n v="0.05"/>
    <n v="0.04"/>
    <x v="126"/>
    <x v="1"/>
    <x v="0"/>
    <n v="43562.499999999993"/>
    <n v="48687.499999999993"/>
    <n v="5125"/>
    <n v="3010.9375"/>
    <n v="46573.437499999993"/>
    <n v="15369.234374999998"/>
    <n v="51073.437499999993"/>
    <n v="54073.437499999993"/>
    <n v="5402518.7499999991"/>
    <n v="5924518.7499999991"/>
    <n v="6272518.7499999991"/>
    <n v="640388.35177968745"/>
    <n v="513647.10365127336"/>
    <n v="1"/>
    <n v="204999.99999999997"/>
    <n v="204999.99999999997"/>
    <n v="6247907.1017796863"/>
  </r>
  <r>
    <m/>
    <s v="B"/>
    <x v="18"/>
    <s v="RESIDENTIAL"/>
    <x v="1"/>
    <n v="1"/>
    <x v="374"/>
    <x v="2"/>
    <s v="C2"/>
    <n v="141.66300000000001"/>
    <n v="156.9754379118535"/>
    <x v="22"/>
    <m/>
    <m/>
    <s v="NE"/>
    <s v="CORNER "/>
    <s v="LAKE E"/>
    <s v="FIRST"/>
    <x v="4"/>
    <n v="0.15"/>
    <n v="0.05"/>
    <n v="0.43"/>
    <n v="7.0000000000000007E-2"/>
    <n v="2.5000000000000001E-2"/>
    <x v="130"/>
    <x v="1"/>
    <x v="7"/>
    <n v="61625"/>
    <n v="68875"/>
    <n v="7250"/>
    <n v="5256.25"/>
    <n v="66881.25"/>
    <n v="22070.8125"/>
    <n v="71381.25"/>
    <n v="74381.25"/>
    <n v="11570456.25"/>
    <n v="12348956.25"/>
    <n v="12867956.25"/>
    <n v="0"/>
    <n v="983488.78125000012"/>
    <n v="2"/>
    <n v="290000"/>
    <n v="290000"/>
    <n v="11860456.25"/>
  </r>
  <r>
    <m/>
    <s v="B"/>
    <x v="18"/>
    <s v="RESIDENTIAL"/>
    <x v="1"/>
    <n v="2"/>
    <x v="375"/>
    <x v="3"/>
    <s v="C2"/>
    <n v="183.637"/>
    <n v="203.48643253227053"/>
    <x v="19"/>
    <m/>
    <m/>
    <s v="SW"/>
    <s v="CORNER "/>
    <s v="LAKE B-2"/>
    <s v="FIRST"/>
    <x v="3"/>
    <n v="0.06"/>
    <n v="0.05"/>
    <n v="0.53"/>
    <n v="7.0000000000000007E-2"/>
    <n v="1.4999999999999999E-2"/>
    <x v="130"/>
    <x v="1"/>
    <x v="7"/>
    <n v="61625"/>
    <n v="68875"/>
    <n v="7250"/>
    <n v="5256.25"/>
    <n v="66881.25"/>
    <n v="22070.8125"/>
    <n v="71381.25"/>
    <n v="74381.25"/>
    <n v="14981400"/>
    <n v="15989400"/>
    <n v="16661400"/>
    <n v="0"/>
    <n v="1273419"/>
    <n v="2"/>
    <n v="290000"/>
    <n v="290000"/>
    <n v="15271400"/>
  </r>
  <r>
    <m/>
    <s v="B"/>
    <x v="18"/>
    <s v="RESIDENTIAL"/>
    <x v="1"/>
    <n v="3"/>
    <x v="376"/>
    <x v="2"/>
    <s v="C2"/>
    <n v="162.53100000000001"/>
    <n v="180.09907244129704"/>
    <x v="42"/>
    <m/>
    <m/>
    <s v="SW"/>
    <s v="MIDDLE"/>
    <s v="LAKE B-2"/>
    <s v="FIRST"/>
    <x v="3"/>
    <n v="0.06"/>
    <n v="2.5000000000000001E-2"/>
    <n v="0.53"/>
    <n v="7.0000000000000007E-2"/>
    <n v="1.4999999999999999E-2"/>
    <x v="129"/>
    <x v="1"/>
    <x v="10"/>
    <n v="53550"/>
    <n v="59850"/>
    <n v="6300"/>
    <n v="4410"/>
    <n v="57960"/>
    <n v="19126.8"/>
    <n v="62460"/>
    <n v="65460"/>
    <n v="11476080"/>
    <n v="12367080"/>
    <n v="12961080"/>
    <n v="0"/>
    <n v="975466.8"/>
    <n v="2"/>
    <n v="252000"/>
    <n v="252000"/>
    <n v="11728080"/>
  </r>
  <r>
    <m/>
    <s v="B"/>
    <x v="18"/>
    <s v="RESIDENTIAL"/>
    <x v="1"/>
    <n v="4"/>
    <x v="377"/>
    <x v="0"/>
    <s v="C2"/>
    <n v="96.271000000000001"/>
    <n v="106.6769896388757"/>
    <x v="21"/>
    <m/>
    <m/>
    <s v="NE"/>
    <s v="MIDDLE"/>
    <s v="SEMI LAKE E"/>
    <s v="FIRST"/>
    <x v="1"/>
    <n v="0.15"/>
    <n v="2.5000000000000001E-2"/>
    <n v="0.32250000000000001"/>
    <n v="7.0000000000000007E-2"/>
    <n v="0.04"/>
    <x v="128"/>
    <x v="1"/>
    <x v="0"/>
    <n v="43562.499999999993"/>
    <n v="48687.499999999993"/>
    <n v="5125"/>
    <n v="3113.4375"/>
    <n v="46675.937499999993"/>
    <n v="15403.059374999999"/>
    <n v="51175.937499999993"/>
    <n v="54175.937499999993"/>
    <n v="5461084.6874999991"/>
    <n v="5987584.6874999991"/>
    <n v="6338584.6874999991"/>
    <n v="0"/>
    <n v="464192.19843749993"/>
    <n v="1"/>
    <n v="204999.99999999997"/>
    <n v="204999.99999999997"/>
    <n v="5666084.6874999991"/>
  </r>
  <r>
    <m/>
    <s v="B"/>
    <x v="18"/>
    <s v="RESIDENTIAL"/>
    <x v="2"/>
    <n v="1"/>
    <x v="378"/>
    <x v="2"/>
    <s v="C2"/>
    <n v="143.989"/>
    <n v="159.55285663504142"/>
    <x v="20"/>
    <m/>
    <m/>
    <s v="NE"/>
    <s v="CORNER "/>
    <s v="LAKE E"/>
    <s v="SECOND"/>
    <x v="4"/>
    <n v="0.15"/>
    <n v="0.05"/>
    <n v="0.43"/>
    <n v="0.11"/>
    <n v="2.5000000000000001E-2"/>
    <x v="133"/>
    <x v="2"/>
    <x v="6"/>
    <n v="44625"/>
    <n v="49875"/>
    <n v="5250"/>
    <n v="4016.25"/>
    <n v="48641.25"/>
    <n v="16051.612500000001"/>
    <n v="53141.25"/>
    <n v="56141.25"/>
    <n v="8560860"/>
    <n v="9352860"/>
    <n v="9880860"/>
    <n v="0"/>
    <n v="727673.10000000009"/>
    <n v="2"/>
    <n v="210000"/>
    <n v="210000"/>
    <n v="8770860"/>
  </r>
  <r>
    <m/>
    <s v="B"/>
    <x v="18"/>
    <s v="RESIDENTIAL"/>
    <x v="2"/>
    <n v="2"/>
    <x v="379"/>
    <x v="3"/>
    <s v="C2"/>
    <n v="187.1"/>
    <n v="207.32375026159116"/>
    <x v="25"/>
    <m/>
    <m/>
    <s v="SW"/>
    <s v="CORNER "/>
    <s v="LAKE B-2"/>
    <s v="SECOND"/>
    <x v="3"/>
    <n v="0.06"/>
    <n v="0.05"/>
    <n v="0.53"/>
    <n v="0.11"/>
    <n v="1.4999999999999999E-2"/>
    <x v="133"/>
    <x v="2"/>
    <x v="6"/>
    <n v="44625"/>
    <n v="49875"/>
    <n v="5250"/>
    <n v="4016.25"/>
    <n v="48641.25"/>
    <n v="16051.612500000001"/>
    <n v="53141.25"/>
    <n v="56141.25"/>
    <n v="11090205"/>
    <n v="12116205"/>
    <n v="12800205"/>
    <n v="0"/>
    <n v="942667.42500000005"/>
    <n v="2"/>
    <n v="210000"/>
    <n v="210000"/>
    <n v="11300205"/>
  </r>
  <r>
    <m/>
    <s v="B"/>
    <x v="18"/>
    <s v="RESIDENTIAL"/>
    <x v="2"/>
    <n v="3"/>
    <x v="380"/>
    <x v="2"/>
    <s v="C2"/>
    <n v="167.16900000000001"/>
    <n v="185.23839661934761"/>
    <x v="43"/>
    <m/>
    <m/>
    <s v="SW"/>
    <s v="MIDDLE"/>
    <s v="LAKE B-2"/>
    <s v="SECOND"/>
    <x v="3"/>
    <n v="0.06"/>
    <n v="2.5000000000000001E-2"/>
    <n v="0.53"/>
    <n v="0.11"/>
    <n v="1.4999999999999999E-2"/>
    <x v="132"/>
    <x v="2"/>
    <x v="3"/>
    <n v="42500"/>
    <n v="47500"/>
    <n v="5000"/>
    <n v="3700"/>
    <n v="46200"/>
    <n v="15246"/>
    <n v="50700"/>
    <n v="53700"/>
    <n v="9424800"/>
    <n v="10342800"/>
    <n v="10954800"/>
    <n v="0"/>
    <n v="801108"/>
    <n v="2"/>
    <n v="200000"/>
    <n v="200000"/>
    <n v="9624800"/>
  </r>
  <r>
    <m/>
    <s v="B"/>
    <x v="18"/>
    <s v="RESIDENTIAL"/>
    <x v="2"/>
    <n v="4"/>
    <x v="381"/>
    <x v="2"/>
    <s v="C2"/>
    <n v="141.18700000000001"/>
    <n v="156.44798678879354"/>
    <x v="23"/>
    <m/>
    <m/>
    <s v="NE"/>
    <s v="MIDDLE"/>
    <s v="SEMI LAKE E"/>
    <s v="SECOND"/>
    <x v="4"/>
    <n v="0.15"/>
    <n v="2.5000000000000001E-2"/>
    <n v="0.32250000000000001"/>
    <n v="0.11"/>
    <n v="2.5000000000000001E-2"/>
    <x v="131"/>
    <x v="1"/>
    <x v="2"/>
    <n v="45687.5"/>
    <n v="51062.5"/>
    <n v="5375"/>
    <n v="3399.6875000000005"/>
    <n v="49087.1875"/>
    <n v="16198.771875"/>
    <n v="53587.1875"/>
    <n v="56587.1875"/>
    <n v="8442996.25"/>
    <n v="9216996.25"/>
    <n v="9732996.25"/>
    <n v="0"/>
    <n v="717654.68125000002"/>
    <n v="2"/>
    <n v="215000"/>
    <n v="215000"/>
    <n v="8657996.25"/>
  </r>
  <r>
    <m/>
    <s v="B"/>
    <x v="18"/>
    <s v="RESIDENTIAL"/>
    <x v="3"/>
    <n v="1"/>
    <x v="382"/>
    <x v="2"/>
    <s v="C2"/>
    <n v="143.89599999999999"/>
    <n v="159.44980420973766"/>
    <x v="20"/>
    <m/>
    <m/>
    <s v="NE"/>
    <s v="CORNER "/>
    <s v="LAKE E"/>
    <s v="THIRD"/>
    <x v="4"/>
    <n v="0.15"/>
    <n v="0.05"/>
    <n v="0.43"/>
    <n v="0.15"/>
    <n v="2.5000000000000001E-2"/>
    <x v="96"/>
    <x v="2"/>
    <x v="1"/>
    <n v="48450.000000000007"/>
    <n v="54150.000000000007"/>
    <n v="5700"/>
    <n v="4588.5"/>
    <n v="53038.500000000007"/>
    <n v="17502.705000000002"/>
    <n v="57538.500000000007"/>
    <n v="60538.500000000007"/>
    <n v="9334776.0000000019"/>
    <n v="10126776.000000002"/>
    <n v="10654776.000000002"/>
    <n v="0"/>
    <n v="793455.9600000002"/>
    <n v="2"/>
    <n v="228000.00000000003"/>
    <n v="228000.00000000003"/>
    <n v="9562776.0000000019"/>
  </r>
  <r>
    <m/>
    <s v="B"/>
    <x v="18"/>
    <s v="RESIDENTIAL"/>
    <x v="3"/>
    <n v="2"/>
    <x v="383"/>
    <x v="3"/>
    <s v="C2"/>
    <n v="187.20400000000001"/>
    <n v="207.4389916834362"/>
    <x v="25"/>
    <m/>
    <m/>
    <s v="SW"/>
    <s v="CORNER "/>
    <s v="LAKE B-2"/>
    <s v="THIRD"/>
    <x v="3"/>
    <n v="0.06"/>
    <n v="0.05"/>
    <n v="0.53"/>
    <n v="0.15"/>
    <n v="1.4999999999999999E-2"/>
    <x v="96"/>
    <x v="2"/>
    <x v="1"/>
    <n v="48450.000000000007"/>
    <n v="54150.000000000007"/>
    <n v="5700"/>
    <n v="4588.5"/>
    <n v="53038.500000000007"/>
    <n v="17502.705000000002"/>
    <n v="57538.500000000007"/>
    <n v="60538.500000000007"/>
    <n v="12092778.000000002"/>
    <n v="13118778.000000002"/>
    <n v="13802778.000000002"/>
    <n v="0"/>
    <n v="1027886.1300000002"/>
    <n v="2"/>
    <n v="228000.00000000003"/>
    <n v="228000.00000000003"/>
    <n v="12320778.000000002"/>
  </r>
  <r>
    <m/>
    <s v="B"/>
    <x v="18"/>
    <s v="RESIDENTIAL"/>
    <x v="3"/>
    <n v="3"/>
    <x v="384"/>
    <x v="2"/>
    <s v="C2"/>
    <n v="164.417"/>
    <n v="182.18893130283288"/>
    <x v="44"/>
    <m/>
    <m/>
    <s v="SW"/>
    <s v="MIDDLE"/>
    <s v="LAKE B-2"/>
    <s v="THIRD"/>
    <x v="3"/>
    <n v="0.06"/>
    <n v="2.5000000000000001E-2"/>
    <n v="0.53"/>
    <n v="0.15"/>
    <n v="1.4999999999999999E-2"/>
    <x v="135"/>
    <x v="2"/>
    <x v="2"/>
    <n v="45687.5"/>
    <n v="51062.5"/>
    <n v="5375"/>
    <n v="4192.5"/>
    <n v="49880"/>
    <n v="16460.400000000001"/>
    <n v="54380"/>
    <n v="57380"/>
    <n v="10025880"/>
    <n v="10930380"/>
    <n v="11533380"/>
    <n v="0"/>
    <n v="852199.8"/>
    <n v="2"/>
    <n v="215000"/>
    <n v="215000"/>
    <n v="10240880"/>
  </r>
  <r>
    <m/>
    <s v="B"/>
    <x v="18"/>
    <s v="RESIDENTIAL"/>
    <x v="3"/>
    <n v="4"/>
    <x v="385"/>
    <x v="2"/>
    <s v="C2"/>
    <n v="141.07300000000001"/>
    <n v="156.32166446100189"/>
    <x v="23"/>
    <m/>
    <m/>
    <s v="NE"/>
    <s v="MIDDLE"/>
    <s v="SEMI LAKE E"/>
    <s v="THIRD"/>
    <x v="4"/>
    <n v="0.15"/>
    <n v="2.5000000000000001E-2"/>
    <n v="0.32250000000000001"/>
    <n v="0.15"/>
    <n v="2.5000000000000001E-2"/>
    <x v="134"/>
    <x v="1"/>
    <x v="1"/>
    <n v="48450.000000000007"/>
    <n v="54150.000000000007"/>
    <n v="5700"/>
    <n v="3833.25"/>
    <n v="52283.250000000007"/>
    <n v="17253.472500000003"/>
    <n v="56783.250000000007"/>
    <n v="59783.250000000007"/>
    <n v="8992719.0000000019"/>
    <n v="9766719.0000000019"/>
    <n v="10282719.000000002"/>
    <n v="0"/>
    <n v="764381.11500000022"/>
    <n v="2"/>
    <n v="228000.00000000003"/>
    <n v="228000.00000000003"/>
    <n v="9220719.0000000019"/>
  </r>
  <r>
    <m/>
    <s v="B"/>
    <x v="18"/>
    <s v="RESIDENTIAL"/>
    <x v="4"/>
    <n v="1"/>
    <x v="386"/>
    <x v="2"/>
    <s v="C2"/>
    <n v="141.929"/>
    <n v="157.27019001003407"/>
    <x v="22"/>
    <m/>
    <m/>
    <s v="NE"/>
    <s v="CORNER "/>
    <s v="LAKE E"/>
    <s v="FORTH"/>
    <x v="4"/>
    <n v="0.15"/>
    <n v="0.05"/>
    <n v="0.43"/>
    <n v="0.06"/>
    <n v="2.5000000000000001E-2"/>
    <x v="138"/>
    <x v="1"/>
    <x v="9"/>
    <n v="58649.999999999993"/>
    <n v="65550"/>
    <n v="6900.0000000000073"/>
    <n v="4933.5000000000045"/>
    <n v="63583.5"/>
    <n v="20982.555"/>
    <n v="68083.5"/>
    <n v="71083.5"/>
    <n v="10999945.5"/>
    <n v="11778445.5"/>
    <n v="12297445.5"/>
    <n v="0"/>
    <n v="934995.36750000005"/>
    <n v="2"/>
    <n v="276000"/>
    <n v="276000"/>
    <n v="11275945.5"/>
  </r>
  <r>
    <m/>
    <s v="B"/>
    <x v="18"/>
    <s v="RESIDENTIAL"/>
    <x v="4"/>
    <n v="2"/>
    <x v="387"/>
    <x v="3"/>
    <s v="C2"/>
    <n v="182.36099999999999"/>
    <n v="202.07250893347955"/>
    <x v="45"/>
    <m/>
    <m/>
    <s v="SW"/>
    <s v="CORNER "/>
    <s v="LAKE B-2"/>
    <s v="FORTH"/>
    <x v="3"/>
    <n v="0.06"/>
    <n v="0.05"/>
    <n v="0.53"/>
    <n v="0.06"/>
    <n v="1.4999999999999999E-2"/>
    <x v="138"/>
    <x v="1"/>
    <x v="9"/>
    <n v="58649.999999999993"/>
    <n v="65550"/>
    <n v="6900.0000000000073"/>
    <n v="4933.5000000000045"/>
    <n v="63583.5"/>
    <n v="20982.555"/>
    <n v="68083.5"/>
    <n v="71083.5"/>
    <n v="14115537"/>
    <n v="15114537"/>
    <n v="15780537"/>
    <n v="0"/>
    <n v="1199820.645"/>
    <n v="2"/>
    <n v="276000"/>
    <n v="276000"/>
    <n v="14391537"/>
  </r>
  <r>
    <m/>
    <s v="B"/>
    <x v="18"/>
    <s v="RESIDENTIAL"/>
    <x v="4"/>
    <n v="3"/>
    <x v="388"/>
    <x v="2"/>
    <s v="C2"/>
    <n v="162.44399999999999"/>
    <n v="180.00266855956127"/>
    <x v="42"/>
    <m/>
    <m/>
    <s v="SW"/>
    <s v="MIDDLE"/>
    <s v="LAKE B-2"/>
    <s v="FORTH"/>
    <x v="3"/>
    <n v="0.06"/>
    <n v="2.5000000000000001E-2"/>
    <n v="0.53"/>
    <n v="0.06"/>
    <n v="1.4999999999999999E-2"/>
    <x v="137"/>
    <x v="1"/>
    <x v="4"/>
    <n v="51850"/>
    <n v="57950"/>
    <n v="6100"/>
    <n v="4209"/>
    <n v="56059"/>
    <n v="18499.47"/>
    <n v="60559"/>
    <n v="63559"/>
    <n v="11099682"/>
    <n v="11990682"/>
    <n v="12584682"/>
    <n v="0"/>
    <n v="943472.97000000009"/>
    <n v="2"/>
    <n v="244000"/>
    <n v="244000"/>
    <n v="11343682"/>
  </r>
  <r>
    <m/>
    <s v="B"/>
    <x v="18"/>
    <s v="RESIDENTIAL"/>
    <x v="4"/>
    <n v="4"/>
    <x v="389"/>
    <x v="2"/>
    <s v="C2"/>
    <n v="139.12700000000001"/>
    <n v="154.16532016378619"/>
    <x v="28"/>
    <m/>
    <m/>
    <s v="NE"/>
    <s v="MIDDLE"/>
    <s v="SEMI LAKE E"/>
    <s v="FORTH"/>
    <x v="4"/>
    <n v="0.15"/>
    <n v="2.5000000000000001E-2"/>
    <n v="0.32250000000000001"/>
    <n v="0.06"/>
    <n v="2.5000000000000001E-2"/>
    <x v="136"/>
    <x v="1"/>
    <x v="3"/>
    <n v="42500"/>
    <n v="47500"/>
    <n v="5000"/>
    <n v="2912.5"/>
    <n v="45412.5"/>
    <n v="14986.125"/>
    <n v="49912.5"/>
    <n v="52912.5"/>
    <n v="7720125"/>
    <n v="8485125"/>
    <n v="8995125"/>
    <n v="0"/>
    <n v="656210.625"/>
    <n v="2"/>
    <n v="200000"/>
    <n v="200000"/>
    <n v="7920125"/>
  </r>
  <r>
    <s v="B3"/>
    <s v="B"/>
    <x v="19"/>
    <s v="RESIDENTIAL"/>
    <x v="0"/>
    <n v="1"/>
    <x v="390"/>
    <x v="0"/>
    <s v="C2"/>
    <n v="95.254000000000005"/>
    <n v="105.53950812408786"/>
    <x v="17"/>
    <n v="63.930199999999999"/>
    <m/>
    <s v="NW"/>
    <s v="MIDDLE"/>
    <s v="ROAD 18M (BUILDINGS)"/>
    <s v="GROUND"/>
    <x v="1"/>
    <n v="0.13"/>
    <n v="2.5000000000000001E-2"/>
    <n v="0.15"/>
    <n v="0.05"/>
    <n v="0.04"/>
    <x v="145"/>
    <x v="0"/>
    <x v="2"/>
    <n v="45687.5"/>
    <n v="51062.5"/>
    <n v="5375"/>
    <n v="2123.125"/>
    <n v="47810.625"/>
    <n v="15777.50625"/>
    <n v="52310.625"/>
    <n v="55310.625"/>
    <n v="5546032.5"/>
    <n v="6068032.5"/>
    <n v="6416032.5"/>
    <n v="1008659.13006375"/>
    <n v="557148.78855541872"/>
    <n v="1"/>
    <n v="215000"/>
    <n v="215000"/>
    <n v="6769691.6300637498"/>
  </r>
  <r>
    <m/>
    <s v="B"/>
    <x v="19"/>
    <s v="RESIDENTIAL"/>
    <x v="0"/>
    <n v="2"/>
    <x v="391"/>
    <x v="2"/>
    <s v="C2"/>
    <n v="162.82599999999999"/>
    <n v="180.40791935050211"/>
    <x v="18"/>
    <n v="77.610299999999995"/>
    <m/>
    <s v="SE"/>
    <s v="MIDDLE"/>
    <s v="LAKE B-2"/>
    <s v="GROUND"/>
    <x v="3"/>
    <n v="0.08"/>
    <n v="2.5000000000000001E-2"/>
    <n v="0.53"/>
    <n v="0.05"/>
    <n v="1.4999999999999999E-2"/>
    <x v="129"/>
    <x v="1"/>
    <x v="10"/>
    <n v="53550"/>
    <n v="59850"/>
    <n v="6300"/>
    <n v="4410"/>
    <n v="57960"/>
    <n v="19126.8"/>
    <n v="62460"/>
    <n v="65460"/>
    <n v="11534040"/>
    <n v="12429540"/>
    <n v="13026540"/>
    <n v="1484436.6860399998"/>
    <n v="1106570.5183134"/>
    <n v="2"/>
    <n v="252000"/>
    <n v="252000"/>
    <n v="13270476.686039999"/>
  </r>
  <r>
    <m/>
    <s v="B"/>
    <x v="19"/>
    <s v="RESIDENTIAL"/>
    <x v="0"/>
    <n v="3"/>
    <x v="392"/>
    <x v="3"/>
    <s v="C2"/>
    <n v="183.887"/>
    <n v="203.74308197465874"/>
    <x v="19"/>
    <n v="61.527700000000003"/>
    <m/>
    <s v="SE"/>
    <s v="CORNER "/>
    <s v="LAKE B-2"/>
    <s v="GROUND"/>
    <x v="3"/>
    <n v="0.08"/>
    <n v="0.05"/>
    <n v="0.53"/>
    <n v="0.05"/>
    <n v="1.4999999999999999E-2"/>
    <x v="9"/>
    <x v="1"/>
    <x v="7"/>
    <n v="61625"/>
    <n v="68875"/>
    <n v="7250"/>
    <n v="5256.2500000000009"/>
    <n v="66881.25"/>
    <n v="22070.8125"/>
    <n v="71381.25"/>
    <n v="74381.25"/>
    <n v="14981400"/>
    <n v="15989400"/>
    <n v="16661400"/>
    <n v="1357966.33025625"/>
    <n v="1388846.1380717813"/>
    <n v="2"/>
    <n v="290000"/>
    <n v="290000"/>
    <n v="16629366.33025625"/>
  </r>
  <r>
    <m/>
    <s v="B"/>
    <x v="19"/>
    <s v="RESIDENTIAL"/>
    <x v="0"/>
    <n v="4"/>
    <x v="393"/>
    <x v="2"/>
    <s v="C2"/>
    <n v="147.54499999999999"/>
    <n v="163.47687998581205"/>
    <x v="41"/>
    <n v="86.260099999999994"/>
    <m/>
    <s v="NW"/>
    <s v="CORNER "/>
    <s v="ROAD 18M (BUILDINGS)"/>
    <s v="GROUND"/>
    <x v="4"/>
    <n v="0.13"/>
    <n v="0.05"/>
    <n v="0.15"/>
    <n v="0.05"/>
    <n v="2.5000000000000001E-2"/>
    <x v="11"/>
    <x v="0"/>
    <x v="1"/>
    <n v="48450.000000000007"/>
    <n v="54150.000000000007"/>
    <n v="5700"/>
    <n v="2308.5"/>
    <n v="50758.500000000007"/>
    <n v="16750.305000000004"/>
    <n v="55258.500000000007"/>
    <n v="58258.500000000007"/>
    <n v="9136530.0000000019"/>
    <n v="9946530.0000000019"/>
    <n v="10486530.000000002"/>
    <n v="1444882.9843305002"/>
    <n v="899420.10366809263"/>
    <n v="2"/>
    <n v="228000.00000000003"/>
    <n v="228000.00000000003"/>
    <n v="10809412.984330501"/>
  </r>
  <r>
    <m/>
    <s v="B"/>
    <x v="19"/>
    <s v="RESIDENTIAL"/>
    <x v="1"/>
    <n v="1"/>
    <x v="394"/>
    <x v="0"/>
    <s v="C2"/>
    <n v="96.311000000000007"/>
    <n v="106.71064277551626"/>
    <x v="21"/>
    <m/>
    <m/>
    <s v="NW"/>
    <s v="MIDDLE"/>
    <s v="ROAD 18M (BUILDINGS)"/>
    <s v="FIRST"/>
    <x v="1"/>
    <n v="0.13"/>
    <n v="2.5000000000000001E-2"/>
    <n v="0.15"/>
    <n v="7.0000000000000007E-2"/>
    <n v="0.04"/>
    <x v="31"/>
    <x v="0"/>
    <x v="12"/>
    <n v="50150"/>
    <n v="56050"/>
    <n v="5900"/>
    <n v="2448.5"/>
    <n v="52598.5"/>
    <n v="17357.505000000001"/>
    <n v="57098.5"/>
    <n v="60098.5"/>
    <n v="6154024.5"/>
    <n v="6680524.5"/>
    <n v="7031524.5"/>
    <n v="0"/>
    <n v="523092.08250000002"/>
    <n v="1"/>
    <n v="236000"/>
    <n v="236000"/>
    <n v="6390024.5"/>
  </r>
  <r>
    <m/>
    <s v="B"/>
    <x v="19"/>
    <s v="RESIDENTIAL"/>
    <x v="1"/>
    <n v="2"/>
    <x v="395"/>
    <x v="2"/>
    <s v="C2"/>
    <n v="162.57599999999999"/>
    <n v="180.13092439983313"/>
    <x v="42"/>
    <m/>
    <m/>
    <s v="SE"/>
    <s v="MIDDLE"/>
    <s v="LAKE B-2"/>
    <s v="FIRST"/>
    <x v="3"/>
    <n v="0.08"/>
    <n v="2.5000000000000001E-2"/>
    <n v="0.53"/>
    <n v="7.0000000000000007E-2"/>
    <n v="1.4999999999999999E-2"/>
    <x v="146"/>
    <x v="1"/>
    <x v="7"/>
    <n v="61625"/>
    <n v="68875"/>
    <n v="7250"/>
    <n v="5220.0000000000009"/>
    <n v="66845"/>
    <n v="22058.850000000002"/>
    <n v="71345"/>
    <n v="74345"/>
    <n v="13235310"/>
    <n v="14126310"/>
    <n v="14720310"/>
    <n v="0"/>
    <n v="1125001.3500000001"/>
    <n v="2"/>
    <n v="290000"/>
    <n v="290000"/>
    <n v="13525310"/>
  </r>
  <r>
    <m/>
    <s v="B"/>
    <x v="19"/>
    <s v="RESIDENTIAL"/>
    <x v="1"/>
    <n v="3"/>
    <x v="396"/>
    <x v="3"/>
    <s v="C2"/>
    <n v="183.637"/>
    <n v="203.46608702398976"/>
    <x v="19"/>
    <m/>
    <m/>
    <s v="SE"/>
    <s v="CORNER "/>
    <s v="LAKE B-2"/>
    <s v="FIRST"/>
    <x v="3"/>
    <n v="0.08"/>
    <n v="0.05"/>
    <n v="0.53"/>
    <n v="7.0000000000000007E-2"/>
    <n v="1.4999999999999999E-2"/>
    <x v="102"/>
    <x v="2"/>
    <x v="3"/>
    <n v="42500"/>
    <n v="47500"/>
    <n v="5000"/>
    <n v="3725"/>
    <n v="46225"/>
    <n v="15254.25"/>
    <n v="50725"/>
    <n v="53725"/>
    <n v="10354400"/>
    <n v="11362400"/>
    <n v="12034400"/>
    <n v="0"/>
    <n v="880124.00000000012"/>
    <n v="2"/>
    <n v="200000"/>
    <n v="200000"/>
    <n v="10554400"/>
  </r>
  <r>
    <m/>
    <s v="B"/>
    <x v="19"/>
    <s v="RESIDENTIAL"/>
    <x v="1"/>
    <n v="4"/>
    <x v="397"/>
    <x v="2"/>
    <s v="C2"/>
    <n v="141.66300000000001"/>
    <n v="156.95974278647259"/>
    <x v="22"/>
    <m/>
    <m/>
    <s v="NW"/>
    <s v="CORNER "/>
    <s v="ROAD 18M (BUILDINGS)"/>
    <s v="FIRST"/>
    <x v="4"/>
    <n v="0.13"/>
    <n v="0.05"/>
    <n v="0.15"/>
    <n v="7.0000000000000007E-2"/>
    <n v="2.5000000000000001E-2"/>
    <x v="147"/>
    <x v="0"/>
    <x v="4"/>
    <n v="51850"/>
    <n v="57950"/>
    <n v="6100"/>
    <n v="2592.5"/>
    <n v="54442.5"/>
    <n v="17966.025000000001"/>
    <n v="58942.5"/>
    <n v="61942.5"/>
    <n v="9418552.5"/>
    <n v="10197052.5"/>
    <n v="10716052.5"/>
    <n v="0"/>
    <n v="800576.96250000002"/>
    <n v="2"/>
    <n v="244000"/>
    <n v="244000"/>
    <n v="9662552.5"/>
  </r>
  <r>
    <m/>
    <s v="B"/>
    <x v="19"/>
    <s v="RESIDENTIAL"/>
    <x v="2"/>
    <n v="1"/>
    <x v="398"/>
    <x v="2"/>
    <s v="C2"/>
    <n v="141.22499999999999"/>
    <n v="156.47444763290054"/>
    <x v="23"/>
    <m/>
    <m/>
    <s v="NW"/>
    <s v="MIDDLE"/>
    <s v="ROAD 18M (BUILDINGS)"/>
    <s v="SECOND"/>
    <x v="4"/>
    <n v="0.13"/>
    <n v="2.5000000000000001E-2"/>
    <n v="0.15"/>
    <n v="0.11"/>
    <n v="2.5000000000000001E-2"/>
    <x v="148"/>
    <x v="0"/>
    <x v="4"/>
    <n v="51850"/>
    <n v="57950"/>
    <n v="6100"/>
    <n v="2684"/>
    <n v="54534"/>
    <n v="17996.22"/>
    <n v="59034"/>
    <n v="62034"/>
    <n v="9379848"/>
    <n v="10153848"/>
    <n v="10669848"/>
    <n v="0"/>
    <n v="797287.08000000007"/>
    <n v="2"/>
    <n v="244000"/>
    <n v="244000"/>
    <n v="9623848"/>
  </r>
  <r>
    <m/>
    <s v="B"/>
    <x v="19"/>
    <s v="RESIDENTIAL"/>
    <x v="2"/>
    <n v="2"/>
    <x v="399"/>
    <x v="2"/>
    <s v="C2"/>
    <n v="167.214"/>
    <n v="185.26973472464385"/>
    <x v="43"/>
    <m/>
    <m/>
    <s v="SE"/>
    <s v="MIDDLE"/>
    <s v="LAKE B-2"/>
    <s v="SECOND"/>
    <x v="3"/>
    <n v="0.08"/>
    <n v="2.5000000000000001E-2"/>
    <n v="0.53"/>
    <n v="0.11"/>
    <n v="1.4999999999999999E-2"/>
    <x v="149"/>
    <x v="2"/>
    <x v="0"/>
    <n v="43562.499999999993"/>
    <n v="48687.499999999993"/>
    <n v="5125"/>
    <n v="3895"/>
    <n v="47457.499999999993"/>
    <n v="15660.974999999999"/>
    <n v="51957.499999999993"/>
    <n v="54957.499999999993"/>
    <n v="9681329.9999999981"/>
    <n v="10599329.999999998"/>
    <n v="11211329.999999998"/>
    <n v="0"/>
    <n v="822913.04999999993"/>
    <n v="2"/>
    <n v="204999.99999999997"/>
    <n v="204999.99999999997"/>
    <n v="9886329.9999999981"/>
  </r>
  <r>
    <m/>
    <s v="B"/>
    <x v="19"/>
    <s v="RESIDENTIAL"/>
    <x v="2"/>
    <n v="3"/>
    <x v="400"/>
    <x v="3"/>
    <s v="C2"/>
    <n v="187.10300000000001"/>
    <n v="207.30634502006436"/>
    <x v="25"/>
    <m/>
    <m/>
    <s v="SE"/>
    <s v="CORNER "/>
    <s v="LAKE B-2"/>
    <s v="SECOND"/>
    <x v="3"/>
    <n v="0.08"/>
    <n v="0.05"/>
    <n v="0.53"/>
    <n v="0.11"/>
    <n v="1.4999999999999999E-2"/>
    <x v="125"/>
    <x v="2"/>
    <x v="2"/>
    <n v="45687.5"/>
    <n v="51062.5"/>
    <n v="5375"/>
    <n v="4219.375"/>
    <n v="49906.875"/>
    <n v="16469.268749999999"/>
    <n v="54406.875"/>
    <n v="57406.875"/>
    <n v="11378767.5"/>
    <n v="12404767.5"/>
    <n v="13088767.5"/>
    <n v="0"/>
    <n v="967195.23750000005"/>
    <n v="2"/>
    <n v="215000"/>
    <n v="215000"/>
    <n v="11593767.5"/>
  </r>
  <r>
    <m/>
    <s v="B"/>
    <x v="19"/>
    <s v="RESIDENTIAL"/>
    <x v="2"/>
    <n v="4"/>
    <x v="401"/>
    <x v="2"/>
    <s v="C2"/>
    <n v="143.989"/>
    <n v="159.53690380749666"/>
    <x v="20"/>
    <m/>
    <m/>
    <s v="NW"/>
    <s v="CORNER "/>
    <s v="ROAD 18M (BUILDINGS)"/>
    <s v="SECOND"/>
    <x v="4"/>
    <n v="0.13"/>
    <n v="0.05"/>
    <n v="0.15"/>
    <n v="0.11"/>
    <n v="2.5000000000000001E-2"/>
    <x v="21"/>
    <x v="0"/>
    <x v="8"/>
    <n v="56100"/>
    <n v="62700"/>
    <n v="6600"/>
    <n v="3069"/>
    <n v="59169"/>
    <n v="19525.77"/>
    <n v="63669"/>
    <n v="66669"/>
    <n v="10413744"/>
    <n v="11205744"/>
    <n v="11733744"/>
    <n v="0"/>
    <n v="885168.24000000011"/>
    <n v="2"/>
    <n v="264000"/>
    <n v="264000"/>
    <n v="10677744"/>
  </r>
  <r>
    <m/>
    <s v="B"/>
    <x v="19"/>
    <s v="RESIDENTIAL"/>
    <x v="3"/>
    <n v="1"/>
    <x v="402"/>
    <x v="2"/>
    <s v="C2"/>
    <n v="141.131"/>
    <n v="156.37029753144901"/>
    <x v="23"/>
    <m/>
    <m/>
    <s v="NW"/>
    <s v="MIDDLE"/>
    <s v="ROAD 18M (BUILDINGS)"/>
    <s v="THIRD"/>
    <x v="4"/>
    <n v="0.13"/>
    <n v="2.5000000000000001E-2"/>
    <n v="0.15"/>
    <n v="0.15"/>
    <n v="2.5000000000000001E-2"/>
    <x v="28"/>
    <x v="0"/>
    <x v="7"/>
    <n v="61625"/>
    <n v="68875"/>
    <n v="7250"/>
    <n v="3480"/>
    <n v="65105"/>
    <n v="21484.65"/>
    <n v="69605"/>
    <n v="72605"/>
    <n v="11198060"/>
    <n v="11972060"/>
    <n v="12488060"/>
    <n v="0"/>
    <n v="951835.10000000009"/>
    <n v="2"/>
    <n v="290000"/>
    <n v="290000"/>
    <n v="11488060"/>
  </r>
  <r>
    <m/>
    <s v="B"/>
    <x v="19"/>
    <s v="RESIDENTIAL"/>
    <x v="3"/>
    <n v="2"/>
    <x v="403"/>
    <x v="2"/>
    <s v="C2"/>
    <n v="164.43600000000001"/>
    <n v="182.19176683281029"/>
    <x v="44"/>
    <m/>
    <m/>
    <s v="SE"/>
    <s v="MIDDLE"/>
    <s v="LAKE B-2"/>
    <s v="THIRD"/>
    <x v="3"/>
    <n v="0.08"/>
    <n v="2.5000000000000001E-2"/>
    <n v="0.53"/>
    <n v="0.15"/>
    <n v="1.4999999999999999E-2"/>
    <x v="150"/>
    <x v="2"/>
    <x v="1"/>
    <n v="48450.000000000007"/>
    <n v="54150.000000000007"/>
    <n v="5700"/>
    <n v="4560"/>
    <n v="53010.000000000007"/>
    <n v="17493.300000000003"/>
    <n v="57510.000000000007"/>
    <n v="60510.000000000007"/>
    <n v="10655010.000000002"/>
    <n v="11559510.000000002"/>
    <n v="12162510.000000002"/>
    <n v="0"/>
    <n v="905675.85000000021"/>
    <n v="2"/>
    <n v="228000.00000000003"/>
    <n v="228000.00000000003"/>
    <n v="10883010.000000002"/>
  </r>
  <r>
    <m/>
    <s v="B"/>
    <x v="19"/>
    <s v="RESIDENTIAL"/>
    <x v="3"/>
    <n v="3"/>
    <x v="404"/>
    <x v="3"/>
    <s v="C2"/>
    <n v="187.20400000000001"/>
    <n v="207.41825098013462"/>
    <x v="25"/>
    <m/>
    <m/>
    <s v="SE"/>
    <s v="CORNER "/>
    <s v="LAKE B-2"/>
    <s v="THIRD"/>
    <x v="3"/>
    <n v="0.08"/>
    <n v="0.05"/>
    <n v="0.53"/>
    <n v="0.15"/>
    <n v="1.4999999999999999E-2"/>
    <x v="151"/>
    <x v="2"/>
    <x v="12"/>
    <n v="50150"/>
    <n v="56050"/>
    <n v="5900"/>
    <n v="4867.5"/>
    <n v="55017.5"/>
    <n v="18155.775000000001"/>
    <n v="59517.5"/>
    <n v="62517.5"/>
    <n v="12543990"/>
    <n v="13569990"/>
    <n v="14253990"/>
    <n v="0"/>
    <n v="1066239.1500000001"/>
    <n v="2"/>
    <n v="236000"/>
    <n v="236000"/>
    <n v="12779990"/>
  </r>
  <r>
    <m/>
    <s v="B"/>
    <x v="19"/>
    <s v="RESIDENTIAL"/>
    <x v="3"/>
    <n v="4"/>
    <x v="405"/>
    <x v="2"/>
    <s v="C2"/>
    <n v="143.911"/>
    <n v="159.45048138288794"/>
    <x v="20"/>
    <m/>
    <m/>
    <s v="NW"/>
    <s v="CORNER "/>
    <s v="ROAD 18M (BUILDINGS)"/>
    <s v="THIRD"/>
    <x v="4"/>
    <n v="0.13"/>
    <n v="0.05"/>
    <n v="0.15"/>
    <n v="0.15"/>
    <n v="2.5000000000000001E-2"/>
    <x v="23"/>
    <x v="1"/>
    <x v="3"/>
    <n v="42500"/>
    <n v="47500"/>
    <n v="5000"/>
    <n v="2525"/>
    <n v="45025"/>
    <n v="14858.25"/>
    <n v="49525"/>
    <n v="52525"/>
    <n v="7924400"/>
    <n v="8716400"/>
    <n v="9244400"/>
    <n v="0"/>
    <n v="673574"/>
    <n v="2"/>
    <n v="200000"/>
    <n v="200000"/>
    <n v="8124400"/>
  </r>
  <r>
    <m/>
    <s v="B"/>
    <x v="19"/>
    <s v="RESIDENTIAL"/>
    <x v="4"/>
    <n v="1"/>
    <x v="406"/>
    <x v="2"/>
    <s v="C2"/>
    <n v="139.16499999999999"/>
    <n v="154.19200923938823"/>
    <x v="28"/>
    <m/>
    <m/>
    <s v="NW"/>
    <s v="MIDDLE"/>
    <s v="ROAD 18M (BUILDINGS)"/>
    <s v="FORTH"/>
    <x v="4"/>
    <n v="0.13"/>
    <n v="2.5000000000000001E-2"/>
    <n v="0.15"/>
    <n v="0.06"/>
    <n v="2.5000000000000001E-2"/>
    <x v="152"/>
    <x v="0"/>
    <x v="2"/>
    <n v="45687.5"/>
    <n v="51062.5"/>
    <n v="5375"/>
    <n v="2096.25"/>
    <n v="47783.75"/>
    <n v="15768.637500000001"/>
    <n v="52283.75"/>
    <n v="55283.75"/>
    <n v="8123237.5"/>
    <n v="8888237.5"/>
    <n v="9398237.5"/>
    <n v="0"/>
    <n v="690475.1875"/>
    <n v="2"/>
    <n v="215000"/>
    <n v="215000"/>
    <n v="8338237.5"/>
  </r>
  <r>
    <m/>
    <s v="B"/>
    <x v="19"/>
    <s v="RESIDENTIAL"/>
    <x v="4"/>
    <n v="2"/>
    <x v="407"/>
    <x v="2"/>
    <s v="C2"/>
    <n v="162.49"/>
    <n v="180.03563813680304"/>
    <x v="42"/>
    <m/>
    <m/>
    <s v="SE"/>
    <s v="MIDDLE"/>
    <s v="LAKE B-2"/>
    <s v="FORTH"/>
    <x v="3"/>
    <n v="0.08"/>
    <n v="2.5000000000000001E-2"/>
    <n v="0.53"/>
    <n v="0.06"/>
    <n v="1.4999999999999999E-2"/>
    <x v="153"/>
    <x v="1"/>
    <x v="9"/>
    <n v="58649.999999999993"/>
    <n v="65550"/>
    <n v="6900.0000000000073"/>
    <n v="4899.0000000000055"/>
    <n v="63549"/>
    <n v="20971.170000000002"/>
    <n v="68049"/>
    <n v="71049"/>
    <n v="12582702"/>
    <n v="13473702"/>
    <n v="14067702"/>
    <n v="0"/>
    <n v="1069529.6700000002"/>
    <n v="2"/>
    <n v="276000"/>
    <n v="276000"/>
    <n v="12858702"/>
  </r>
  <r>
    <m/>
    <s v="B"/>
    <x v="19"/>
    <s v="RESIDENTIAL"/>
    <x v="4"/>
    <n v="3"/>
    <x v="408"/>
    <x v="3"/>
    <s v="C2"/>
    <n v="182.357"/>
    <n v="202.04787287656464"/>
    <x v="45"/>
    <m/>
    <m/>
    <s v="SE"/>
    <s v="CORNER "/>
    <s v="LAKE B-2"/>
    <s v="FORTH"/>
    <x v="3"/>
    <n v="0.08"/>
    <n v="0.05"/>
    <n v="0.53"/>
    <n v="0.06"/>
    <n v="1.4999999999999999E-2"/>
    <x v="154"/>
    <x v="2"/>
    <x v="3"/>
    <n v="42500"/>
    <n v="47500"/>
    <n v="5000"/>
    <n v="3675"/>
    <n v="46175"/>
    <n v="15237.75"/>
    <n v="50675"/>
    <n v="53675"/>
    <n v="10250850"/>
    <n v="11249850"/>
    <n v="11915850"/>
    <n v="0"/>
    <n v="871322.25000000012"/>
    <n v="2"/>
    <n v="200000"/>
    <n v="200000"/>
    <n v="10450850"/>
  </r>
  <r>
    <m/>
    <s v="B"/>
    <x v="19"/>
    <s v="RESIDENTIAL"/>
    <x v="4"/>
    <n v="4"/>
    <x v="409"/>
    <x v="2"/>
    <s v="C2"/>
    <n v="141.929"/>
    <n v="157.25446541398435"/>
    <x v="22"/>
    <m/>
    <m/>
    <s v="NW"/>
    <s v="CORNER "/>
    <s v="ROAD 18M (BUILDINGS)"/>
    <s v="FORTH"/>
    <x v="4"/>
    <n v="0.13"/>
    <n v="0.05"/>
    <n v="0.15"/>
    <n v="0.06"/>
    <n v="2.5000000000000001E-2"/>
    <x v="31"/>
    <x v="0"/>
    <x v="12"/>
    <n v="50150"/>
    <n v="56050"/>
    <n v="5900"/>
    <n v="2448.5"/>
    <n v="52598.5"/>
    <n v="17357.505000000001"/>
    <n v="57098.5"/>
    <n v="60098.5"/>
    <n v="9099540.5"/>
    <n v="9878040.5"/>
    <n v="10397040.5"/>
    <n v="0"/>
    <n v="773460.9425"/>
    <n v="2"/>
    <n v="236000"/>
    <n v="236000"/>
    <n v="9335540.5"/>
  </r>
  <r>
    <s v="B3"/>
    <s v="B"/>
    <x v="20"/>
    <s v="RESIDENTIAL"/>
    <x v="0"/>
    <n v="1"/>
    <x v="410"/>
    <x v="2"/>
    <s v="C2"/>
    <n v="141.82499999999999"/>
    <n v="159.04192828545919"/>
    <x v="22"/>
    <n v="78.601100000000002"/>
    <m/>
    <s v="NW"/>
    <s v="MIDDLE"/>
    <s v="ROAD 18M (BUILDINGS)"/>
    <s v="GROUND"/>
    <x v="4"/>
    <n v="0.13"/>
    <n v="2.5000000000000001E-2"/>
    <n v="0.15"/>
    <n v="0.05"/>
    <n v="2.5000000000000001E-2"/>
    <x v="27"/>
    <x v="0"/>
    <x v="6"/>
    <n v="44625"/>
    <n v="49875"/>
    <n v="5250"/>
    <n v="1995"/>
    <n v="46620"/>
    <n v="15384.6"/>
    <n v="51120"/>
    <n v="54120"/>
    <n v="8065260"/>
    <n v="8843760"/>
    <n v="9362760"/>
    <n v="1209246.48306"/>
    <n v="788333.05106010009"/>
    <n v="2"/>
    <n v="210000"/>
    <n v="210000"/>
    <n v="9484506.4830600005"/>
  </r>
  <r>
    <m/>
    <s v="B"/>
    <x v="20"/>
    <s v="RESIDENTIAL"/>
    <x v="0"/>
    <n v="2"/>
    <x v="411"/>
    <x v="4"/>
    <s v="C2"/>
    <n v="142.05600000000001"/>
    <n v="159.30097066468673"/>
    <x v="46"/>
    <n v="97.868200000000002"/>
    <m/>
    <s v="SE"/>
    <s v="MIDDLE"/>
    <s v="LAKE B-2"/>
    <s v="GROUND"/>
    <x v="5"/>
    <n v="0.08"/>
    <n v="2.5000000000000001E-2"/>
    <n v="0.53"/>
    <n v="0.05"/>
    <n v="0"/>
    <x v="155"/>
    <x v="1"/>
    <x v="3"/>
    <n v="42500"/>
    <n v="47500"/>
    <n v="5000"/>
    <n v="3425.0000000000005"/>
    <n v="45925"/>
    <n v="15155.25"/>
    <n v="50425"/>
    <n v="53425"/>
    <n v="15798200"/>
    <n v="17346200"/>
    <n v="18378200"/>
    <n v="1483217.0380500001"/>
    <n v="1468920.4482342501"/>
    <n v="2"/>
    <n v="200000"/>
    <n v="200000"/>
    <n v="17481417.03805"/>
  </r>
  <r>
    <m/>
    <s v="B"/>
    <x v="20"/>
    <s v="RESIDENTIAL"/>
    <x v="0"/>
    <n v="3"/>
    <x v="412"/>
    <x v="4"/>
    <s v="C2"/>
    <n v="142.197"/>
    <n v="159.45908744161781"/>
    <x v="46"/>
    <n v="97.259299999999996"/>
    <m/>
    <s v="SE"/>
    <s v="MIDDLE"/>
    <s v="LAKE B-2"/>
    <s v="GROUND"/>
    <x v="5"/>
    <n v="0.08"/>
    <n v="2.5000000000000001E-2"/>
    <n v="0.53"/>
    <n v="0.05"/>
    <n v="0"/>
    <x v="155"/>
    <x v="1"/>
    <x v="4"/>
    <n v="51850"/>
    <n v="57950"/>
    <n v="6100"/>
    <n v="4178.5"/>
    <n v="56028.5"/>
    <n v="18489.405000000002"/>
    <n v="60528.5"/>
    <n v="63528.5"/>
    <n v="19273804"/>
    <n v="20821804"/>
    <n v="21853804"/>
    <n v="1798266.5877165003"/>
    <n v="1791125.9999559028"/>
    <n v="2"/>
    <n v="244000"/>
    <n v="244000"/>
    <n v="21316070.587716501"/>
  </r>
  <r>
    <m/>
    <s v="B"/>
    <x v="20"/>
    <s v="RESIDENTIAL"/>
    <x v="0"/>
    <n v="4"/>
    <x v="413"/>
    <x v="0"/>
    <s v="C2"/>
    <n v="95.254000000000005"/>
    <n v="106.81741467938045"/>
    <x v="17"/>
    <n v="63.399000000000001"/>
    <m/>
    <s v="NW"/>
    <s v="MIDDLE"/>
    <s v="ROAD 18M (BUILDINGS)"/>
    <s v="GROUND"/>
    <x v="1"/>
    <n v="0.13"/>
    <n v="2.5000000000000001E-2"/>
    <n v="0.15"/>
    <n v="0.05"/>
    <n v="0.04"/>
    <x v="145"/>
    <x v="0"/>
    <x v="2"/>
    <n v="45687.5"/>
    <n v="51062.5"/>
    <n v="5375"/>
    <n v="2123.125"/>
    <n v="47810.625"/>
    <n v="15777.50625"/>
    <n v="52310.625"/>
    <n v="55310.625"/>
    <n v="5546032.5"/>
    <n v="6068032.5"/>
    <n v="6416032.5"/>
    <n v="1000278.11874375"/>
    <n v="556436.40259321884"/>
    <n v="1"/>
    <n v="215000"/>
    <n v="215000"/>
    <n v="6761310.6187437503"/>
  </r>
  <r>
    <m/>
    <s v="B"/>
    <x v="20"/>
    <s v="RESIDENTIAL"/>
    <x v="1"/>
    <n v="1"/>
    <x v="414"/>
    <x v="2"/>
    <s v="C2"/>
    <n v="142.977"/>
    <n v="160.33377599485354"/>
    <x v="47"/>
    <m/>
    <m/>
    <s v="NW"/>
    <s v="MIDDLE"/>
    <s v="ROAD 18M (BUILDINGS)"/>
    <s v="FIRST"/>
    <x v="4"/>
    <n v="0.13"/>
    <n v="2.5000000000000001E-2"/>
    <n v="0.15"/>
    <n v="7.0000000000000007E-2"/>
    <n v="2.5000000000000001E-2"/>
    <x v="98"/>
    <x v="0"/>
    <x v="5"/>
    <n v="46750.000000000007"/>
    <n v="52250.000000000007"/>
    <n v="5500"/>
    <n v="2200"/>
    <n v="48950.000000000007"/>
    <n v="16153.500000000004"/>
    <n v="53450.000000000007"/>
    <n v="56450.000000000007"/>
    <n v="8517300.0000000019"/>
    <n v="9300300.0000000019"/>
    <n v="9822300.0000000019"/>
    <n v="0"/>
    <n v="723970.50000000023"/>
    <n v="2"/>
    <n v="220000.00000000003"/>
    <n v="220000.00000000003"/>
    <n v="8737300.0000000019"/>
  </r>
  <r>
    <m/>
    <s v="B"/>
    <x v="20"/>
    <s v="RESIDENTIAL"/>
    <x v="1"/>
    <n v="4"/>
    <x v="415"/>
    <x v="0"/>
    <s v="C2"/>
    <n v="96.311000000000007"/>
    <n v="108.00272980857298"/>
    <x v="21"/>
    <m/>
    <m/>
    <s v="NW"/>
    <s v="MIDDLE"/>
    <s v="ROAD 18M (BUILDINGS)"/>
    <s v="FIRST"/>
    <x v="1"/>
    <n v="0.13"/>
    <n v="2.5000000000000001E-2"/>
    <n v="0.15"/>
    <n v="7.0000000000000007E-2"/>
    <n v="0.04"/>
    <x v="31"/>
    <x v="0"/>
    <x v="12"/>
    <n v="50150"/>
    <n v="56050"/>
    <n v="5900"/>
    <n v="2448.5"/>
    <n v="52598.5"/>
    <n v="17357.505000000001"/>
    <n v="57098.5"/>
    <n v="60098.5"/>
    <n v="6154024.5"/>
    <n v="6680524.5"/>
    <n v="7031524.5"/>
    <n v="0"/>
    <n v="523092.08250000002"/>
    <n v="1"/>
    <n v="236000"/>
    <n v="236000"/>
    <n v="6390024.5"/>
  </r>
  <r>
    <m/>
    <s v="B"/>
    <x v="20"/>
    <s v="RESIDENTIAL"/>
    <x v="2"/>
    <n v="1"/>
    <x v="416"/>
    <x v="2"/>
    <s v="C2"/>
    <n v="141.18700000000001"/>
    <n v="158.32647790473564"/>
    <x v="23"/>
    <m/>
    <m/>
    <s v="NW"/>
    <s v="MIDDLE"/>
    <s v="ROAD 18M (BUILDINGS)"/>
    <s v="SECOND"/>
    <x v="4"/>
    <n v="0.13"/>
    <n v="2.5000000000000001E-2"/>
    <n v="0.15"/>
    <n v="0.11"/>
    <n v="2.5000000000000001E-2"/>
    <x v="148"/>
    <x v="0"/>
    <x v="4"/>
    <n v="51850"/>
    <n v="57950"/>
    <n v="6100"/>
    <n v="2684"/>
    <n v="54534"/>
    <n v="17996.22"/>
    <n v="59034"/>
    <n v="62034"/>
    <n v="9379848"/>
    <n v="10153848"/>
    <n v="10669848"/>
    <n v="0"/>
    <n v="797287.08000000007"/>
    <n v="2"/>
    <n v="244000"/>
    <n v="244000"/>
    <n v="9623848"/>
  </r>
  <r>
    <m/>
    <s v="B"/>
    <x v="20"/>
    <s v="RESIDENTIAL"/>
    <x v="2"/>
    <n v="2"/>
    <x v="417"/>
    <x v="2"/>
    <s v="C2"/>
    <n v="141.446"/>
    <n v="158.61691936023314"/>
    <x v="22"/>
    <m/>
    <m/>
    <s v="SE"/>
    <s v="MIDDLE"/>
    <s v="LAKE B-2"/>
    <s v="SECOND"/>
    <x v="4"/>
    <n v="0.08"/>
    <n v="2.5000000000000001E-2"/>
    <n v="0.53"/>
    <n v="0.11"/>
    <n v="2.5000000000000001E-2"/>
    <x v="156"/>
    <x v="2"/>
    <x v="6"/>
    <n v="44625"/>
    <n v="49875"/>
    <n v="5250"/>
    <n v="4042.5"/>
    <n v="48667.5"/>
    <n v="16060.275000000001"/>
    <n v="53167.5"/>
    <n v="56167.5"/>
    <n v="8419477.5"/>
    <n v="9197977.5"/>
    <n v="9716977.5"/>
    <n v="0"/>
    <n v="715655.58750000002"/>
    <n v="2"/>
    <n v="210000"/>
    <n v="210000"/>
    <n v="8629477.5"/>
  </r>
  <r>
    <m/>
    <s v="B"/>
    <x v="20"/>
    <s v="RESIDENTIAL"/>
    <x v="2"/>
    <n v="3"/>
    <x v="418"/>
    <x v="2"/>
    <s v="C2"/>
    <n v="141.572"/>
    <n v="158.75821520344815"/>
    <x v="22"/>
    <m/>
    <m/>
    <s v="SE"/>
    <s v="MIDDLE"/>
    <s v="LAKE B-2"/>
    <s v="SECOND"/>
    <x v="4"/>
    <n v="0.08"/>
    <n v="2.5000000000000001E-2"/>
    <n v="0.53"/>
    <n v="0.11"/>
    <n v="2.5000000000000001E-2"/>
    <x v="156"/>
    <x v="2"/>
    <x v="6"/>
    <n v="44625"/>
    <n v="49875"/>
    <n v="5250"/>
    <n v="4042.5"/>
    <n v="48667.5"/>
    <n v="16060.275000000001"/>
    <n v="53167.5"/>
    <n v="56167.5"/>
    <n v="8419477.5"/>
    <n v="9197977.5"/>
    <n v="9716977.5"/>
    <n v="0"/>
    <n v="715655.58750000002"/>
    <n v="2"/>
    <n v="210000"/>
    <n v="210000"/>
    <n v="8629477.5"/>
  </r>
  <r>
    <m/>
    <s v="B"/>
    <x v="20"/>
    <s v="RESIDENTIAL"/>
    <x v="2"/>
    <n v="4"/>
    <x v="419"/>
    <x v="2"/>
    <s v="C2"/>
    <n v="141.226"/>
    <n v="158.37021233239741"/>
    <x v="23"/>
    <m/>
    <m/>
    <s v="NW"/>
    <s v="MIDDLE"/>
    <s v="ROAD 18M (BUILDINGS)"/>
    <s v="SECOND"/>
    <x v="4"/>
    <n v="0.13"/>
    <n v="2.5000000000000001E-2"/>
    <n v="0.15"/>
    <n v="0.11"/>
    <n v="2.5000000000000001E-2"/>
    <x v="148"/>
    <x v="0"/>
    <x v="4"/>
    <n v="51850"/>
    <n v="57950"/>
    <n v="6100"/>
    <n v="2684"/>
    <n v="54534"/>
    <n v="17996.22"/>
    <n v="59034"/>
    <n v="62034"/>
    <n v="9379848"/>
    <n v="10153848"/>
    <n v="10669848"/>
    <n v="0"/>
    <n v="797287.08000000007"/>
    <n v="2"/>
    <n v="244000"/>
    <n v="244000"/>
    <n v="9623848"/>
  </r>
  <r>
    <m/>
    <s v="B"/>
    <x v="20"/>
    <s v="RESIDENTIAL"/>
    <x v="3"/>
    <n v="1"/>
    <x v="420"/>
    <x v="2"/>
    <s v="C2"/>
    <n v="141.48599999999999"/>
    <n v="158.66177518347598"/>
    <x v="22"/>
    <m/>
    <m/>
    <s v="NW"/>
    <s v="MIDDLE"/>
    <s v="ROAD 18M (BUILDINGS)"/>
    <s v="THIRD"/>
    <x v="4"/>
    <n v="0.13"/>
    <n v="2.5000000000000001E-2"/>
    <n v="0.15"/>
    <n v="0.15"/>
    <n v="2.5000000000000001E-2"/>
    <x v="28"/>
    <x v="0"/>
    <x v="7"/>
    <n v="61625"/>
    <n v="68875"/>
    <n v="7250"/>
    <n v="3480"/>
    <n v="65105"/>
    <n v="21484.65"/>
    <n v="69605"/>
    <n v="72605"/>
    <n v="11263165"/>
    <n v="12041665"/>
    <n v="12560665"/>
    <n v="0"/>
    <n v="957369.02500000002"/>
    <n v="2"/>
    <n v="290000"/>
    <n v="290000"/>
    <n v="11553165"/>
  </r>
  <r>
    <m/>
    <s v="B"/>
    <x v="20"/>
    <s v="RESIDENTIAL"/>
    <x v="3"/>
    <n v="2"/>
    <x v="421"/>
    <x v="2"/>
    <s v="C2"/>
    <n v="142.25399999999999"/>
    <n v="159.52300698973886"/>
    <x v="47"/>
    <m/>
    <m/>
    <s v="SE"/>
    <s v="MIDDLE"/>
    <s v="LAKE B-2"/>
    <s v="THIRD"/>
    <x v="4"/>
    <n v="0.08"/>
    <n v="2.5000000000000001E-2"/>
    <n v="0.53"/>
    <n v="0.15"/>
    <n v="2.5000000000000001E-2"/>
    <x v="111"/>
    <x v="2"/>
    <x v="12"/>
    <n v="50150"/>
    <n v="56050"/>
    <n v="5900"/>
    <n v="4779"/>
    <n v="54929"/>
    <n v="18126.57"/>
    <n v="59429"/>
    <n v="62429"/>
    <n v="9557646"/>
    <n v="10340646"/>
    <n v="10862646"/>
    <n v="0"/>
    <n v="812399.91"/>
    <n v="2"/>
    <n v="236000"/>
    <n v="236000"/>
    <n v="9793646"/>
  </r>
  <r>
    <m/>
    <s v="B"/>
    <x v="20"/>
    <s v="RESIDENTIAL"/>
    <x v="3"/>
    <n v="3"/>
    <x v="422"/>
    <x v="2"/>
    <s v="C2"/>
    <n v="142.37799999999999"/>
    <n v="159.6620600417917"/>
    <x v="47"/>
    <m/>
    <m/>
    <s v="SE"/>
    <s v="MIDDLE"/>
    <s v="LAKE B-2"/>
    <s v="THIRD"/>
    <x v="4"/>
    <n v="0.08"/>
    <n v="2.5000000000000001E-2"/>
    <n v="0.53"/>
    <n v="0.15"/>
    <n v="2.5000000000000001E-2"/>
    <x v="111"/>
    <x v="2"/>
    <x v="12"/>
    <n v="50150"/>
    <n v="56050"/>
    <n v="5900"/>
    <n v="4779"/>
    <n v="54929"/>
    <n v="18126.57"/>
    <n v="59429"/>
    <n v="62429"/>
    <n v="9557646"/>
    <n v="10340646"/>
    <n v="10862646"/>
    <n v="0"/>
    <n v="812399.91"/>
    <n v="2"/>
    <n v="236000"/>
    <n v="236000"/>
    <n v="9793646"/>
  </r>
  <r>
    <m/>
    <s v="B"/>
    <x v="20"/>
    <s v="RESIDENTIAL"/>
    <x v="3"/>
    <n v="4"/>
    <x v="423"/>
    <x v="2"/>
    <s v="C2"/>
    <n v="141.52600000000001"/>
    <n v="158.70663100671885"/>
    <x v="22"/>
    <m/>
    <m/>
    <s v="NW"/>
    <s v="MIDDLE"/>
    <s v="ROAD 18M (BUILDINGS)"/>
    <s v="THIRD"/>
    <x v="4"/>
    <n v="0.13"/>
    <n v="2.5000000000000001E-2"/>
    <n v="0.15"/>
    <n v="0.15"/>
    <n v="2.5000000000000001E-2"/>
    <x v="28"/>
    <x v="0"/>
    <x v="7"/>
    <n v="61625"/>
    <n v="68875"/>
    <n v="7250"/>
    <n v="3480"/>
    <n v="65105"/>
    <n v="21484.65"/>
    <n v="69605"/>
    <n v="72605"/>
    <n v="11263165"/>
    <n v="12041665"/>
    <n v="12560665"/>
    <n v="0"/>
    <n v="957369.02500000002"/>
    <n v="2"/>
    <n v="290000"/>
    <n v="290000"/>
    <n v="11553165"/>
  </r>
  <r>
    <m/>
    <s v="B"/>
    <x v="20"/>
    <s v="RESIDENTIAL"/>
    <x v="4"/>
    <n v="1"/>
    <x v="424"/>
    <x v="2"/>
    <s v="C2"/>
    <n v="139.12"/>
    <n v="156.00855323866094"/>
    <x v="28"/>
    <m/>
    <m/>
    <s v="NW"/>
    <s v="MIDDLE"/>
    <s v="ROAD 18M (BUILDINGS)"/>
    <s v="FORTH"/>
    <x v="4"/>
    <n v="0.13"/>
    <n v="2.5000000000000001E-2"/>
    <n v="0.15"/>
    <n v="0.06"/>
    <n v="2.5000000000000001E-2"/>
    <x v="152"/>
    <x v="0"/>
    <x v="2"/>
    <n v="45687.5"/>
    <n v="51062.5"/>
    <n v="5375"/>
    <n v="2096.25"/>
    <n v="47783.75"/>
    <n v="15768.637500000001"/>
    <n v="52283.75"/>
    <n v="55283.75"/>
    <n v="8123237.5"/>
    <n v="8888237.5"/>
    <n v="9398237.5"/>
    <n v="0"/>
    <n v="690475.1875"/>
    <n v="2"/>
    <n v="215000"/>
    <n v="215000"/>
    <n v="8338237.5"/>
  </r>
  <r>
    <m/>
    <s v="B"/>
    <x v="20"/>
    <s v="RESIDENTIAL"/>
    <x v="4"/>
    <n v="2"/>
    <x v="425"/>
    <x v="2"/>
    <s v="C2"/>
    <n v="141.53399999999999"/>
    <n v="158.71560217136741"/>
    <x v="22"/>
    <m/>
    <m/>
    <s v="SE"/>
    <s v="MIDDLE"/>
    <s v="LAKE B-2"/>
    <s v="FORTH"/>
    <x v="4"/>
    <n v="0.08"/>
    <n v="2.5000000000000001E-2"/>
    <n v="0.53"/>
    <n v="0.06"/>
    <n v="2.5000000000000001E-2"/>
    <x v="146"/>
    <x v="1"/>
    <x v="7"/>
    <n v="61625"/>
    <n v="68875"/>
    <n v="7250"/>
    <n v="5220.0000000000009"/>
    <n v="66845"/>
    <n v="22058.850000000002"/>
    <n v="71345"/>
    <n v="74345"/>
    <n v="11564185"/>
    <n v="12342685"/>
    <n v="12861685"/>
    <n v="0"/>
    <n v="982955.72500000009"/>
    <n v="2"/>
    <n v="290000"/>
    <n v="290000"/>
    <n v="11854185"/>
  </r>
  <r>
    <m/>
    <s v="B"/>
    <x v="20"/>
    <s v="RESIDENTIAL"/>
    <x v="4"/>
    <n v="3"/>
    <x v="426"/>
    <x v="2"/>
    <s v="C2"/>
    <n v="141.65899999999999"/>
    <n v="158.85577661900135"/>
    <x v="22"/>
    <m/>
    <m/>
    <s v="SE"/>
    <s v="MIDDLE"/>
    <s v="LAKE B-2"/>
    <s v="FORTH"/>
    <x v="4"/>
    <n v="0.08"/>
    <n v="2.5000000000000001E-2"/>
    <n v="0.53"/>
    <n v="0.06"/>
    <n v="2.5000000000000001E-2"/>
    <x v="146"/>
    <x v="1"/>
    <x v="7"/>
    <n v="61625"/>
    <n v="68875"/>
    <n v="7250"/>
    <n v="5220.0000000000009"/>
    <n v="66845"/>
    <n v="22058.850000000002"/>
    <n v="71345"/>
    <n v="74345"/>
    <n v="11564185"/>
    <n v="12342685"/>
    <n v="12861685"/>
    <n v="0"/>
    <n v="982955.72500000009"/>
    <n v="2"/>
    <n v="290000"/>
    <n v="290000"/>
    <n v="11854185"/>
  </r>
  <r>
    <m/>
    <s v="B"/>
    <x v="20"/>
    <s v="RESIDENTIAL"/>
    <x v="4"/>
    <n v="4"/>
    <x v="427"/>
    <x v="2"/>
    <s v="C2"/>
    <n v="139.31659999999999"/>
    <n v="156.22901960989958"/>
    <x v="28"/>
    <m/>
    <m/>
    <s v="NW"/>
    <s v="MIDDLE"/>
    <s v="ROAD 18M (BUILDINGS)"/>
    <s v="FORTH"/>
    <x v="4"/>
    <n v="0.13"/>
    <n v="2.5000000000000001E-2"/>
    <n v="0.15"/>
    <n v="0.06"/>
    <n v="2.5000000000000001E-2"/>
    <x v="152"/>
    <x v="0"/>
    <x v="2"/>
    <n v="45687.5"/>
    <n v="51062.5"/>
    <n v="5375"/>
    <n v="2096.25"/>
    <n v="47783.75"/>
    <n v="15768.637500000001"/>
    <n v="52283.75"/>
    <n v="55283.75"/>
    <n v="8123237.5"/>
    <n v="8888237.5"/>
    <n v="9398237.5"/>
    <n v="0"/>
    <n v="690475.1875"/>
    <n v="2"/>
    <n v="215000"/>
    <n v="215000"/>
    <n v="8338237.5"/>
  </r>
  <r>
    <s v="B3"/>
    <s v="B"/>
    <x v="21"/>
    <s v="RESIDENTIAL"/>
    <x v="0"/>
    <n v="1"/>
    <x v="428"/>
    <x v="2"/>
    <s v="C2"/>
    <n v="144.66300000000001"/>
    <n v="160.29970969584483"/>
    <x v="20"/>
    <n v="77.696799999999996"/>
    <m/>
    <s v="NW"/>
    <s v="CORNER "/>
    <s v="ROAD 18M (BUILDINGS)"/>
    <s v="GROUND"/>
    <x v="4"/>
    <n v="0.13"/>
    <n v="0.05"/>
    <n v="0.15"/>
    <n v="0.05"/>
    <n v="2.5000000000000001E-2"/>
    <x v="11"/>
    <x v="0"/>
    <x v="1"/>
    <n v="48450.000000000007"/>
    <n v="54150.000000000007"/>
    <n v="5700"/>
    <n v="2308.5"/>
    <n v="50758.500000000007"/>
    <n v="16750.305000000004"/>
    <n v="55258.500000000007"/>
    <n v="58258.500000000007"/>
    <n v="8933496.0000000019"/>
    <n v="9725496.0000000019"/>
    <n v="10253496.000000002"/>
    <n v="1301445.0975240003"/>
    <n v="869969.99328954029"/>
    <n v="2"/>
    <n v="228000.00000000003"/>
    <n v="228000.00000000003"/>
    <n v="10462941.097524002"/>
  </r>
  <r>
    <m/>
    <s v="B"/>
    <x v="21"/>
    <s v="RESIDENTIAL"/>
    <x v="0"/>
    <n v="2"/>
    <x v="429"/>
    <x v="3"/>
    <s v="C2"/>
    <n v="183.887"/>
    <n v="203.76345518093646"/>
    <x v="19"/>
    <n v="56.4666"/>
    <m/>
    <s v="SE"/>
    <s v="CORNER "/>
    <s v="SEMI LAKE B-2"/>
    <s v="GROUND"/>
    <x v="3"/>
    <n v="0.08"/>
    <n v="0.05"/>
    <n v="0.42400000000000004"/>
    <n v="0.05"/>
    <n v="1.4999999999999999E-2"/>
    <x v="157"/>
    <x v="1"/>
    <x v="6"/>
    <n v="44625"/>
    <n v="49875"/>
    <n v="5250"/>
    <n v="3249.7500000000005"/>
    <n v="47874.75"/>
    <n v="15798.667500000001"/>
    <n v="52374.75"/>
    <n v="55374.75"/>
    <n v="10723944"/>
    <n v="11731944"/>
    <n v="12403944"/>
    <n v="892097.03825550003"/>
    <n v="987363.48825171753"/>
    <n v="2"/>
    <n v="210000"/>
    <n v="210000"/>
    <n v="11826041.0382555"/>
  </r>
  <r>
    <m/>
    <s v="B"/>
    <x v="21"/>
    <s v="RESIDENTIAL"/>
    <x v="0"/>
    <n v="3"/>
    <x v="430"/>
    <x v="2"/>
    <s v="C2"/>
    <n v="162.78100000000001"/>
    <n v="180.37609508996297"/>
    <x v="18"/>
    <n v="77.576999999999998"/>
    <m/>
    <s v="SE"/>
    <s v="MIDDLE"/>
    <s v="LAKE B-2"/>
    <s v="GROUND"/>
    <x v="3"/>
    <n v="0.08"/>
    <n v="2.5000000000000001E-2"/>
    <n v="0.53"/>
    <n v="0.05"/>
    <n v="1.4999999999999999E-2"/>
    <x v="129"/>
    <x v="1"/>
    <x v="10"/>
    <n v="53550"/>
    <n v="59850"/>
    <n v="6300"/>
    <n v="4410"/>
    <n v="57960"/>
    <n v="19126.8"/>
    <n v="62460"/>
    <n v="65460"/>
    <n v="11534040"/>
    <n v="12429540"/>
    <n v="13026540"/>
    <n v="1483799.7635999999"/>
    <n v="1106516.3799060001"/>
    <n v="2"/>
    <n v="252000"/>
    <n v="252000"/>
    <n v="13269839.763599999"/>
  </r>
  <r>
    <m/>
    <s v="B"/>
    <x v="21"/>
    <s v="RESIDENTIAL"/>
    <x v="0"/>
    <n v="4"/>
    <x v="431"/>
    <x v="0"/>
    <s v="C2"/>
    <n v="95.213999999999999"/>
    <n v="105.50573788031609"/>
    <x v="17"/>
    <n v="61.981200000000001"/>
    <m/>
    <s v="NW"/>
    <s v="MIDDLE"/>
    <s v="ROAD 18M (BUILDINGS)"/>
    <s v="GROUND"/>
    <x v="1"/>
    <n v="0.13"/>
    <n v="2.5000000000000001E-2"/>
    <n v="0.15"/>
    <n v="0.05"/>
    <n v="0.04"/>
    <x v="145"/>
    <x v="0"/>
    <x v="2"/>
    <n v="45687.5"/>
    <n v="51062.5"/>
    <n v="5375"/>
    <n v="2123.125"/>
    <n v="47810.625"/>
    <n v="15777.50625"/>
    <n v="52310.625"/>
    <n v="55310.625"/>
    <n v="5546032.5"/>
    <n v="6068032.5"/>
    <n v="6416032.5"/>
    <n v="977908.77038250002"/>
    <n v="554535.00798251259"/>
    <n v="1"/>
    <n v="215000"/>
    <n v="215000"/>
    <n v="6738941.2703825003"/>
  </r>
  <r>
    <m/>
    <s v="B"/>
    <x v="21"/>
    <s v="RESIDENTIAL"/>
    <x v="1"/>
    <n v="1"/>
    <x v="432"/>
    <x v="2"/>
    <s v="C2"/>
    <n v="141.66300000000001"/>
    <n v="156.9754379118535"/>
    <x v="22"/>
    <m/>
    <m/>
    <s v="NW"/>
    <s v="CORNER "/>
    <s v="ROAD 18M (BUILDINGS)"/>
    <s v="FIRST"/>
    <x v="4"/>
    <n v="0.13"/>
    <n v="0.05"/>
    <n v="0.15"/>
    <n v="7.0000000000000007E-2"/>
    <n v="2.5000000000000001E-2"/>
    <x v="147"/>
    <x v="0"/>
    <x v="4"/>
    <n v="51850"/>
    <n v="57950"/>
    <n v="6100"/>
    <n v="2592.5"/>
    <n v="54442.5"/>
    <n v="17966.025000000001"/>
    <n v="58942.5"/>
    <n v="61942.5"/>
    <n v="9418552.5"/>
    <n v="10197052.5"/>
    <n v="10716052.5"/>
    <n v="0"/>
    <n v="800576.96250000002"/>
    <n v="2"/>
    <n v="244000"/>
    <n v="244000"/>
    <n v="9662552.5"/>
  </r>
  <r>
    <m/>
    <s v="B"/>
    <x v="21"/>
    <s v="RESIDENTIAL"/>
    <x v="1"/>
    <n v="2"/>
    <x v="433"/>
    <x v="3"/>
    <s v="C2"/>
    <n v="183.637"/>
    <n v="203.48643253227053"/>
    <x v="19"/>
    <m/>
    <m/>
    <s v="SE"/>
    <s v="CORNER "/>
    <s v="SEMI LAKE B-2"/>
    <s v="FIRST"/>
    <x v="3"/>
    <n v="0.08"/>
    <n v="0.05"/>
    <n v="0.42400000000000004"/>
    <n v="7.0000000000000007E-2"/>
    <n v="1.4999999999999999E-2"/>
    <x v="158"/>
    <x v="1"/>
    <x v="2"/>
    <n v="45687.5"/>
    <n v="51062.5"/>
    <n v="5375"/>
    <n v="3434.6250000000005"/>
    <n v="49122.125"/>
    <n v="16210.30125"/>
    <n v="53622.125"/>
    <n v="56622.125"/>
    <n v="11003356"/>
    <n v="12011356"/>
    <n v="12683356"/>
    <n v="0"/>
    <n v="935285.26"/>
    <n v="2"/>
    <n v="215000"/>
    <n v="215000"/>
    <n v="11218356"/>
  </r>
  <r>
    <m/>
    <s v="B"/>
    <x v="21"/>
    <s v="RESIDENTIAL"/>
    <x v="1"/>
    <n v="3"/>
    <x v="434"/>
    <x v="2"/>
    <s v="C2"/>
    <n v="162.53100000000001"/>
    <n v="180.09907244129704"/>
    <x v="42"/>
    <m/>
    <m/>
    <s v="SE"/>
    <s v="MIDDLE"/>
    <s v="LAKE B-2"/>
    <s v="FIRST"/>
    <x v="3"/>
    <n v="0.08"/>
    <n v="2.5000000000000001E-2"/>
    <n v="0.53"/>
    <n v="7.0000000000000007E-2"/>
    <n v="1.4999999999999999E-2"/>
    <x v="146"/>
    <x v="1"/>
    <x v="7"/>
    <n v="61625"/>
    <n v="68875"/>
    <n v="7250"/>
    <n v="5220.0000000000009"/>
    <n v="66845"/>
    <n v="22058.850000000002"/>
    <n v="71345"/>
    <n v="74345"/>
    <n v="13235310"/>
    <n v="14126310"/>
    <n v="14720310"/>
    <n v="0"/>
    <n v="1125001.3500000001"/>
    <n v="2"/>
    <n v="290000"/>
    <n v="290000"/>
    <n v="13525310"/>
  </r>
  <r>
    <m/>
    <s v="B"/>
    <x v="21"/>
    <s v="RESIDENTIAL"/>
    <x v="1"/>
    <n v="4"/>
    <x v="435"/>
    <x v="0"/>
    <s v="C2"/>
    <n v="96.271000000000001"/>
    <n v="106.6769896388757"/>
    <x v="21"/>
    <m/>
    <m/>
    <s v="NW"/>
    <s v="MIDDLE"/>
    <s v="ROAD 18M (BUILDINGS)"/>
    <s v="FIRST"/>
    <x v="1"/>
    <n v="0.13"/>
    <n v="2.5000000000000001E-2"/>
    <n v="0.15"/>
    <n v="7.0000000000000007E-2"/>
    <n v="0.04"/>
    <x v="31"/>
    <x v="0"/>
    <x v="12"/>
    <n v="50150"/>
    <n v="56050"/>
    <n v="5900"/>
    <n v="2448.5"/>
    <n v="52598.5"/>
    <n v="17357.505000000001"/>
    <n v="57098.5"/>
    <n v="60098.5"/>
    <n v="6154024.5"/>
    <n v="6680524.5"/>
    <n v="7031524.5"/>
    <n v="0"/>
    <n v="523092.08250000002"/>
    <n v="1"/>
    <n v="236000"/>
    <n v="236000"/>
    <n v="6390024.5"/>
  </r>
  <r>
    <m/>
    <s v="B"/>
    <x v="21"/>
    <s v="RESIDENTIAL"/>
    <x v="2"/>
    <n v="1"/>
    <x v="436"/>
    <x v="2"/>
    <s v="C2"/>
    <n v="143.989"/>
    <n v="159.55285663504142"/>
    <x v="20"/>
    <m/>
    <m/>
    <s v="NW"/>
    <s v="CORNER "/>
    <s v="ROAD 18M (BUILDINGS)"/>
    <s v="SECOND"/>
    <x v="4"/>
    <n v="0.13"/>
    <n v="0.05"/>
    <n v="0.15"/>
    <n v="0.11"/>
    <n v="2.5000000000000001E-2"/>
    <x v="21"/>
    <x v="0"/>
    <x v="9"/>
    <n v="58649.999999999993"/>
    <n v="65550"/>
    <n v="6900.0000000000073"/>
    <n v="3208.5000000000032"/>
    <n v="61858.499999999993"/>
    <n v="20413.305"/>
    <n v="66358.5"/>
    <n v="69358.5"/>
    <n v="10887095.999999998"/>
    <n v="11679096"/>
    <n v="12207096"/>
    <n v="0"/>
    <n v="925403.15999999992"/>
    <n v="2"/>
    <n v="276000"/>
    <n v="276000"/>
    <n v="11163095.999999998"/>
  </r>
  <r>
    <m/>
    <s v="B"/>
    <x v="21"/>
    <s v="RESIDENTIAL"/>
    <x v="2"/>
    <n v="2"/>
    <x v="437"/>
    <x v="3"/>
    <s v="C2"/>
    <n v="187.1"/>
    <n v="207.32375026159116"/>
    <x v="25"/>
    <m/>
    <m/>
    <s v="SE"/>
    <s v="CORNER "/>
    <s v="SEMI LAKE B-2"/>
    <s v="SECOND"/>
    <x v="3"/>
    <n v="0.08"/>
    <n v="0.05"/>
    <n v="0.42400000000000004"/>
    <n v="0.11"/>
    <n v="1.4999999999999999E-2"/>
    <x v="159"/>
    <x v="1"/>
    <x v="12"/>
    <n v="50150"/>
    <n v="56050"/>
    <n v="5900"/>
    <n v="4006.1000000000004"/>
    <n v="54156.1"/>
    <n v="17871.512999999999"/>
    <n v="58656.1"/>
    <n v="61656.1"/>
    <n v="12347590.799999999"/>
    <n v="13373590.799999999"/>
    <n v="14057590.799999999"/>
    <n v="0"/>
    <n v="1049545.2179999999"/>
    <n v="2"/>
    <n v="236000"/>
    <n v="236000"/>
    <n v="12583590.799999999"/>
  </r>
  <r>
    <m/>
    <s v="B"/>
    <x v="21"/>
    <s v="RESIDENTIAL"/>
    <x v="2"/>
    <n v="3"/>
    <x v="438"/>
    <x v="2"/>
    <s v="C2"/>
    <n v="167.16900000000001"/>
    <n v="185.23839661934761"/>
    <x v="43"/>
    <m/>
    <m/>
    <s v="SE"/>
    <s v="MIDDLE"/>
    <s v="LAKE B-2"/>
    <s v="SECOND"/>
    <x v="3"/>
    <n v="0.08"/>
    <n v="2.5000000000000001E-2"/>
    <n v="0.53"/>
    <n v="0.11"/>
    <n v="1.4999999999999999E-2"/>
    <x v="149"/>
    <x v="2"/>
    <x v="0"/>
    <n v="43562.499999999993"/>
    <n v="48687.499999999993"/>
    <n v="5125"/>
    <n v="3895"/>
    <n v="47457.499999999993"/>
    <n v="15660.974999999999"/>
    <n v="51957.499999999993"/>
    <n v="54957.499999999993"/>
    <n v="9681329.9999999981"/>
    <n v="10599329.999999998"/>
    <n v="11211329.999999998"/>
    <n v="0"/>
    <n v="822913.04999999993"/>
    <n v="2"/>
    <n v="204999.99999999997"/>
    <n v="204999.99999999997"/>
    <n v="9886329.9999999981"/>
  </r>
  <r>
    <m/>
    <s v="B"/>
    <x v="21"/>
    <s v="RESIDENTIAL"/>
    <x v="2"/>
    <n v="4"/>
    <x v="439"/>
    <x v="2"/>
    <s v="C2"/>
    <n v="141.18700000000001"/>
    <n v="156.44798678879354"/>
    <x v="23"/>
    <m/>
    <m/>
    <s v="NW"/>
    <s v="MIDDLE"/>
    <s v="ROAD 18M (BUILDINGS)"/>
    <s v="SECOND"/>
    <x v="4"/>
    <n v="0.13"/>
    <n v="2.5000000000000001E-2"/>
    <n v="0.15"/>
    <n v="0.11"/>
    <n v="2.5000000000000001E-2"/>
    <x v="148"/>
    <x v="0"/>
    <x v="4"/>
    <n v="51850"/>
    <n v="57950"/>
    <n v="6100"/>
    <n v="2684"/>
    <n v="54534"/>
    <n v="17996.22"/>
    <n v="59034"/>
    <n v="62034"/>
    <n v="9379848"/>
    <n v="10153848"/>
    <n v="10669848"/>
    <n v="0"/>
    <n v="797287.08000000007"/>
    <n v="2"/>
    <n v="244000"/>
    <n v="244000"/>
    <n v="9623848"/>
  </r>
  <r>
    <m/>
    <s v="B"/>
    <x v="21"/>
    <s v="RESIDENTIAL"/>
    <x v="3"/>
    <n v="1"/>
    <x v="440"/>
    <x v="2"/>
    <s v="C2"/>
    <n v="143.89599999999999"/>
    <n v="159.44980420973766"/>
    <x v="20"/>
    <m/>
    <m/>
    <s v="NW"/>
    <s v="CORNER "/>
    <s v="ROAD 18M (BUILDINGS)"/>
    <s v="THIRD"/>
    <x v="4"/>
    <n v="0.13"/>
    <n v="0.05"/>
    <n v="0.15"/>
    <n v="0.15"/>
    <n v="2.5000000000000001E-2"/>
    <x v="23"/>
    <x v="1"/>
    <x v="3"/>
    <n v="42500"/>
    <n v="47500"/>
    <n v="5000"/>
    <n v="2525"/>
    <n v="45025"/>
    <n v="14858.25"/>
    <n v="49525"/>
    <n v="52525"/>
    <n v="7924400"/>
    <n v="8716400"/>
    <n v="9244400"/>
    <n v="0"/>
    <n v="673574"/>
    <n v="2"/>
    <n v="200000"/>
    <n v="200000"/>
    <n v="8124400"/>
  </r>
  <r>
    <m/>
    <s v="B"/>
    <x v="21"/>
    <s v="RESIDENTIAL"/>
    <x v="3"/>
    <n v="2"/>
    <x v="441"/>
    <x v="3"/>
    <s v="C2"/>
    <n v="187.20400000000001"/>
    <n v="207.4389916834362"/>
    <x v="25"/>
    <m/>
    <m/>
    <s v="SE"/>
    <s v="CORNER "/>
    <s v="SEMI LAKE B-2"/>
    <s v="THIRD"/>
    <x v="3"/>
    <n v="0.08"/>
    <n v="0.05"/>
    <n v="0.42400000000000004"/>
    <n v="0.15"/>
    <n v="1.4999999999999999E-2"/>
    <x v="160"/>
    <x v="1"/>
    <x v="7"/>
    <n v="61625"/>
    <n v="68875"/>
    <n v="7250"/>
    <n v="5212.7500000000009"/>
    <n v="66837.75"/>
    <n v="22056.4575"/>
    <n v="71337.75"/>
    <n v="74337.75"/>
    <n v="15239007"/>
    <n v="16265007"/>
    <n v="16949007"/>
    <n v="0"/>
    <n v="1295315.5950000002"/>
    <n v="2"/>
    <n v="290000"/>
    <n v="290000"/>
    <n v="15529007"/>
  </r>
  <r>
    <m/>
    <s v="B"/>
    <x v="21"/>
    <s v="RESIDENTIAL"/>
    <x v="3"/>
    <n v="3"/>
    <x v="442"/>
    <x v="2"/>
    <s v="C2"/>
    <n v="164.417"/>
    <n v="182.18893130283288"/>
    <x v="44"/>
    <m/>
    <m/>
    <s v="SE"/>
    <s v="MIDDLE"/>
    <s v="LAKE B-2"/>
    <s v="THIRD"/>
    <x v="3"/>
    <n v="0.08"/>
    <n v="2.5000000000000001E-2"/>
    <n v="0.53"/>
    <n v="0.15"/>
    <n v="1.4999999999999999E-2"/>
    <x v="150"/>
    <x v="2"/>
    <x v="1"/>
    <n v="48450.000000000007"/>
    <n v="54150.000000000007"/>
    <n v="5700"/>
    <n v="4560"/>
    <n v="53010.000000000007"/>
    <n v="17493.300000000003"/>
    <n v="57510.000000000007"/>
    <n v="60510.000000000007"/>
    <n v="10655010.000000002"/>
    <n v="11559510.000000002"/>
    <n v="12162510.000000002"/>
    <n v="0"/>
    <n v="905675.85000000021"/>
    <n v="2"/>
    <n v="228000.00000000003"/>
    <n v="228000.00000000003"/>
    <n v="10883010.000000002"/>
  </r>
  <r>
    <m/>
    <s v="B"/>
    <x v="21"/>
    <s v="RESIDENTIAL"/>
    <x v="3"/>
    <n v="4"/>
    <x v="443"/>
    <x v="2"/>
    <s v="C2"/>
    <n v="141.07300000000001"/>
    <n v="156.32166446100189"/>
    <x v="23"/>
    <m/>
    <m/>
    <s v="NW"/>
    <s v="MIDDLE"/>
    <s v="ROAD 18M (BUILDINGS)"/>
    <s v="THIRD"/>
    <x v="4"/>
    <n v="0.13"/>
    <n v="2.5000000000000001E-2"/>
    <n v="0.15"/>
    <n v="0.15"/>
    <n v="2.5000000000000001E-2"/>
    <x v="28"/>
    <x v="0"/>
    <x v="7"/>
    <n v="61625"/>
    <n v="68875"/>
    <n v="7250"/>
    <n v="3480"/>
    <n v="65105"/>
    <n v="21484.65"/>
    <n v="69605"/>
    <n v="72605"/>
    <n v="11198060"/>
    <n v="11972060"/>
    <n v="12488060"/>
    <n v="0"/>
    <n v="951835.10000000009"/>
    <n v="2"/>
    <n v="290000"/>
    <n v="290000"/>
    <n v="11488060"/>
  </r>
  <r>
    <m/>
    <s v="B"/>
    <x v="21"/>
    <s v="RESIDENTIAL"/>
    <x v="4"/>
    <n v="1"/>
    <x v="444"/>
    <x v="2"/>
    <s v="C2"/>
    <n v="141.929"/>
    <n v="157.27019001003407"/>
    <x v="22"/>
    <m/>
    <m/>
    <s v="NW"/>
    <s v="CORNER "/>
    <s v="ROAD 18M (BUILDINGS)"/>
    <s v="FORTH"/>
    <x v="4"/>
    <n v="0.13"/>
    <n v="0.05"/>
    <n v="0.15"/>
    <n v="0.06"/>
    <n v="2.5000000000000001E-2"/>
    <x v="31"/>
    <x v="0"/>
    <x v="12"/>
    <n v="50150"/>
    <n v="56050"/>
    <n v="5900"/>
    <n v="2448.5"/>
    <n v="52598.5"/>
    <n v="17357.505000000001"/>
    <n v="57098.5"/>
    <n v="60098.5"/>
    <n v="9099540.5"/>
    <n v="9878040.5"/>
    <n v="10397040.5"/>
    <n v="0"/>
    <n v="773460.9425"/>
    <n v="2"/>
    <n v="236000"/>
    <n v="236000"/>
    <n v="9335540.5"/>
  </r>
  <r>
    <m/>
    <s v="B"/>
    <x v="21"/>
    <s v="RESIDENTIAL"/>
    <x v="4"/>
    <n v="2"/>
    <x v="445"/>
    <x v="3"/>
    <s v="C2"/>
    <n v="182.36099999999999"/>
    <n v="202.07250893347955"/>
    <x v="45"/>
    <m/>
    <m/>
    <s v="SE"/>
    <s v="CORNER "/>
    <s v="SEMI LAKE B-2"/>
    <s v="FORTH"/>
    <x v="3"/>
    <n v="0.08"/>
    <n v="0.05"/>
    <n v="0.42400000000000004"/>
    <n v="0.06"/>
    <n v="1.4999999999999999E-2"/>
    <x v="161"/>
    <x v="1"/>
    <x v="6"/>
    <n v="44625"/>
    <n v="49875"/>
    <n v="5250"/>
    <n v="3302.2500000000005"/>
    <n v="47927.25"/>
    <n v="15815.9925"/>
    <n v="52427.25"/>
    <n v="55427.25"/>
    <n v="10639849.5"/>
    <n v="11638849.5"/>
    <n v="12304849.5"/>
    <n v="0"/>
    <n v="904387.20750000002"/>
    <n v="2"/>
    <n v="210000"/>
    <n v="210000"/>
    <n v="10849849.5"/>
  </r>
  <r>
    <m/>
    <s v="B"/>
    <x v="21"/>
    <s v="RESIDENTIAL"/>
    <x v="4"/>
    <n v="3"/>
    <x v="446"/>
    <x v="2"/>
    <s v="C2"/>
    <n v="162.44399999999999"/>
    <n v="180.00266855956127"/>
    <x v="42"/>
    <m/>
    <m/>
    <s v="SE"/>
    <s v="MIDDLE"/>
    <s v="LAKE B-2"/>
    <s v="FORTH"/>
    <x v="3"/>
    <n v="0.08"/>
    <n v="2.5000000000000001E-2"/>
    <n v="0.53"/>
    <n v="0.06"/>
    <n v="1.4999999999999999E-2"/>
    <x v="153"/>
    <x v="1"/>
    <x v="9"/>
    <n v="58649.999999999993"/>
    <n v="65550"/>
    <n v="6900.0000000000073"/>
    <n v="4899.0000000000055"/>
    <n v="63549"/>
    <n v="20971.170000000002"/>
    <n v="68049"/>
    <n v="71049"/>
    <n v="12582702"/>
    <n v="13473702"/>
    <n v="14067702"/>
    <n v="0"/>
    <n v="1069529.6700000002"/>
    <n v="2"/>
    <n v="276000"/>
    <n v="276000"/>
    <n v="12858702"/>
  </r>
  <r>
    <m/>
    <s v="B"/>
    <x v="21"/>
    <s v="RESIDENTIAL"/>
    <x v="4"/>
    <n v="4"/>
    <x v="447"/>
    <x v="2"/>
    <s v="C2"/>
    <n v="139.12700000000001"/>
    <n v="154.16532016378619"/>
    <x v="28"/>
    <m/>
    <m/>
    <s v="NW"/>
    <s v="MIDDLE"/>
    <s v="ROAD 18M (BUILDINGS)"/>
    <s v="FORTH"/>
    <x v="4"/>
    <n v="0.13"/>
    <n v="2.5000000000000001E-2"/>
    <n v="0.15"/>
    <n v="0.06"/>
    <n v="2.5000000000000001E-2"/>
    <x v="152"/>
    <x v="0"/>
    <x v="2"/>
    <n v="45687.5"/>
    <n v="51062.5"/>
    <n v="5375"/>
    <n v="2096.25"/>
    <n v="47783.75"/>
    <n v="15768.637500000001"/>
    <n v="52283.75"/>
    <n v="55283.75"/>
    <n v="8123237.5"/>
    <n v="8888237.5"/>
    <n v="9398237.5"/>
    <n v="0"/>
    <n v="690475.1875"/>
    <n v="2"/>
    <n v="215000"/>
    <n v="215000"/>
    <n v="8338237.5"/>
  </r>
  <r>
    <s v="C3"/>
    <s v="B"/>
    <x v="22"/>
    <s v="RESIDENTIAL"/>
    <x v="0"/>
    <n v="1"/>
    <x v="448"/>
    <x v="0"/>
    <s v="C1"/>
    <n v="87.23"/>
    <n v="94.72160516317075"/>
    <x v="30"/>
    <n v="64.4328"/>
    <m/>
    <s v="NW"/>
    <s v="MIDDLE"/>
    <s v="ROAD 18M (BUILDINGS)"/>
    <s v="GROUND"/>
    <x v="1"/>
    <n v="0.13"/>
    <n v="2.5000000000000001E-2"/>
    <n v="0.15"/>
    <n v="0.05"/>
    <n v="0.04"/>
    <x v="145"/>
    <x v="0"/>
    <x v="2"/>
    <n v="45687.5"/>
    <n v="51062.5"/>
    <n v="5375"/>
    <n v="2123.125"/>
    <n v="47810.625"/>
    <n v="15777.50625"/>
    <n v="52310.625"/>
    <n v="55310.625"/>
    <n v="5067926.25"/>
    <n v="5544926.25"/>
    <n v="5862926.25"/>
    <n v="1016588.904705"/>
    <n v="517183.78814992507"/>
    <n v="1"/>
    <n v="215000"/>
    <n v="215000"/>
    <n v="6299515.1547050001"/>
  </r>
  <r>
    <m/>
    <s v="B"/>
    <x v="22"/>
    <s v="RESIDENTIAL"/>
    <x v="0"/>
    <n v="2"/>
    <x v="449"/>
    <x v="2"/>
    <s v="C1"/>
    <n v="125.09"/>
    <n v="135.83314902970341"/>
    <x v="31"/>
    <n v="85.619500000000002"/>
    <m/>
    <s v="SE"/>
    <s v="MIDDLE"/>
    <s v="LAKE B-1"/>
    <s v="GROUND"/>
    <x v="0"/>
    <n v="0.08"/>
    <n v="2.5000000000000001E-2"/>
    <n v="0.6"/>
    <n v="0.05"/>
    <n v="3.5000000000000003E-2"/>
    <x v="143"/>
    <x v="2"/>
    <x v="5"/>
    <n v="46750.000000000007"/>
    <n v="52250.000000000007"/>
    <n v="5500"/>
    <n v="4345"/>
    <n v="51095.000000000007"/>
    <n v="16861.350000000002"/>
    <n v="55595.000000000007"/>
    <n v="58595.000000000007"/>
    <n v="7817535.0000000009"/>
    <n v="8506035.0000000019"/>
    <n v="8965035.0000000019"/>
    <n v="1443660.3563250003"/>
    <n v="787201.60528762511"/>
    <n v="2"/>
    <n v="220000.00000000003"/>
    <n v="220000.00000000003"/>
    <n v="9481195.3563250005"/>
  </r>
  <r>
    <m/>
    <s v="B"/>
    <x v="22"/>
    <s v="RESIDENTIAL"/>
    <x v="0"/>
    <n v="3"/>
    <x v="450"/>
    <x v="2"/>
    <s v="C1"/>
    <n v="129.57"/>
    <n v="140.69790646557414"/>
    <x v="32"/>
    <n v="84.075199999999995"/>
    <m/>
    <s v="SE"/>
    <s v="CORNER "/>
    <s v="SEMI LAKE B-1"/>
    <s v="GROUND"/>
    <x v="0"/>
    <n v="0.08"/>
    <n v="0.05"/>
    <n v="0.48"/>
    <n v="0.05"/>
    <n v="3.5000000000000003E-2"/>
    <x v="66"/>
    <x v="1"/>
    <x v="10"/>
    <n v="53550"/>
    <n v="59850"/>
    <n v="6300"/>
    <n v="4378.5"/>
    <n v="57928.5"/>
    <n v="19116.405000000002"/>
    <n v="62428.5"/>
    <n v="65428.5"/>
    <n v="9152703"/>
    <n v="9863703"/>
    <n v="10337703"/>
    <n v="1607215.5736560002"/>
    <n v="914593.07876076014"/>
    <n v="2"/>
    <n v="252000"/>
    <n v="252000"/>
    <n v="11011918.573656"/>
  </r>
  <r>
    <m/>
    <s v="B"/>
    <x v="22"/>
    <s v="RESIDENTIAL"/>
    <x v="0"/>
    <n v="4"/>
    <x v="451"/>
    <x v="2"/>
    <s v="C1"/>
    <n v="131.34"/>
    <n v="142.61992000608558"/>
    <x v="33"/>
    <n v="72.604399999999998"/>
    <m/>
    <s v="NW"/>
    <s v="CORNER "/>
    <s v="ROAD 18M (BUILDINGS)"/>
    <s v="GROUND"/>
    <x v="4"/>
    <n v="0.13"/>
    <n v="0.05"/>
    <n v="0.15"/>
    <n v="0.05"/>
    <n v="2.5000000000000001E-2"/>
    <x v="11"/>
    <x v="0"/>
    <x v="5"/>
    <n v="46750.000000000007"/>
    <n v="52250.000000000007"/>
    <n v="5500"/>
    <n v="2227.5"/>
    <n v="48977.500000000007"/>
    <n v="16162.575000000003"/>
    <n v="53477.500000000007"/>
    <n v="56477.500000000007"/>
    <n v="7836400.0000000009"/>
    <n v="8556400.0000000019"/>
    <n v="9036400.0000000019"/>
    <n v="1173474.0603300002"/>
    <n v="765839.29512805014"/>
    <n v="2"/>
    <n v="220000.00000000003"/>
    <n v="220000.00000000003"/>
    <n v="9229874.0603300016"/>
  </r>
  <r>
    <m/>
    <s v="B"/>
    <x v="22"/>
    <s v="RESIDENTIAL"/>
    <x v="1"/>
    <n v="1"/>
    <x v="452"/>
    <x v="0"/>
    <s v="C1"/>
    <n v="88.87"/>
    <n v="96.502453867373433"/>
    <x v="34"/>
    <m/>
    <m/>
    <s v="NW"/>
    <s v="MIDDLE"/>
    <s v="ROAD 18M (BUILDINGS)"/>
    <s v="FIRST"/>
    <x v="1"/>
    <n v="0.13"/>
    <n v="2.5000000000000001E-2"/>
    <n v="0.15"/>
    <n v="7.0000000000000007E-2"/>
    <n v="0.04"/>
    <x v="31"/>
    <x v="0"/>
    <x v="12"/>
    <n v="50150"/>
    <n v="56050"/>
    <n v="5900"/>
    <n v="2448.5"/>
    <n v="52598.5"/>
    <n v="17357.505000000001"/>
    <n v="57098.5"/>
    <n v="60098.5"/>
    <n v="5680638"/>
    <n v="6166638"/>
    <n v="6490638"/>
    <n v="0"/>
    <n v="482854.23000000004"/>
    <n v="1"/>
    <n v="236000"/>
    <n v="236000"/>
    <n v="5916638"/>
  </r>
  <r>
    <m/>
    <s v="B"/>
    <x v="22"/>
    <s v="RESIDENTIAL"/>
    <x v="1"/>
    <n v="2"/>
    <x v="453"/>
    <x v="2"/>
    <s v="C1"/>
    <n v="127.14"/>
    <n v="138.05920990995676"/>
    <x v="35"/>
    <m/>
    <m/>
    <s v="SE"/>
    <s v="MIDDLE"/>
    <s v="LAKE B-1"/>
    <s v="FIRST"/>
    <x v="0"/>
    <n v="0.08"/>
    <n v="2.5000000000000001E-2"/>
    <n v="0.6"/>
    <n v="7.0000000000000007E-2"/>
    <n v="3.5000000000000003E-2"/>
    <x v="162"/>
    <x v="2"/>
    <x v="12"/>
    <n v="50150"/>
    <n v="56050"/>
    <n v="5900"/>
    <n v="4779"/>
    <n v="54929"/>
    <n v="18126.57"/>
    <n v="59429"/>
    <n v="62429"/>
    <n v="8513995"/>
    <n v="9211495"/>
    <n v="9676495"/>
    <n v="0"/>
    <n v="723689.57500000007"/>
    <n v="2"/>
    <n v="236000"/>
    <n v="236000"/>
    <n v="8749995"/>
  </r>
  <r>
    <m/>
    <s v="B"/>
    <x v="22"/>
    <s v="RESIDENTIAL"/>
    <x v="1"/>
    <n v="3"/>
    <x v="454"/>
    <x v="2"/>
    <s v="C1"/>
    <n v="131.43"/>
    <n v="142.71764950814548"/>
    <x v="33"/>
    <m/>
    <m/>
    <s v="SE"/>
    <s v="CORNER "/>
    <s v="SEMI LAKE B-1"/>
    <s v="FIRST"/>
    <x v="4"/>
    <n v="0.08"/>
    <n v="0.05"/>
    <n v="0.48"/>
    <n v="7.0000000000000007E-2"/>
    <n v="2.5000000000000001E-2"/>
    <x v="163"/>
    <x v="1"/>
    <x v="10"/>
    <n v="53550"/>
    <n v="59850"/>
    <n v="6300"/>
    <n v="4441.5"/>
    <n v="57991.5"/>
    <n v="19137.195"/>
    <n v="62491.5"/>
    <n v="65491.5"/>
    <n v="9278640"/>
    <n v="9998640"/>
    <n v="10478640"/>
    <n v="0"/>
    <n v="788684.4"/>
    <n v="2"/>
    <n v="252000"/>
    <n v="252000"/>
    <n v="9530640"/>
  </r>
  <r>
    <m/>
    <s v="B"/>
    <x v="22"/>
    <s v="RESIDENTIAL"/>
    <x v="1"/>
    <n v="4"/>
    <x v="455"/>
    <x v="2"/>
    <s v="C1"/>
    <n v="129.04"/>
    <n v="140.12238828677692"/>
    <x v="36"/>
    <m/>
    <m/>
    <s v="NW"/>
    <s v="CORNER "/>
    <s v="ROAD 18M (BUILDINGS)"/>
    <s v="FIRST"/>
    <x v="0"/>
    <n v="0.13"/>
    <n v="0.05"/>
    <n v="0.15"/>
    <n v="7.0000000000000007E-2"/>
    <n v="3.5000000000000003E-2"/>
    <x v="54"/>
    <x v="0"/>
    <x v="4"/>
    <n v="51850"/>
    <n v="57950"/>
    <n v="6100"/>
    <n v="2653.4999999999995"/>
    <n v="54503.5"/>
    <n v="17986.155000000002"/>
    <n v="59003.5"/>
    <n v="62003.5"/>
    <n v="8557049.5"/>
    <n v="9263549.5"/>
    <n v="9734549.5"/>
    <n v="0"/>
    <n v="727349.20750000002"/>
    <n v="2"/>
    <n v="244000"/>
    <n v="244000"/>
    <n v="8801049.5"/>
  </r>
  <r>
    <m/>
    <s v="B"/>
    <x v="22"/>
    <s v="RESIDENTIAL"/>
    <x v="2"/>
    <n v="1"/>
    <x v="456"/>
    <x v="2"/>
    <s v="C1"/>
    <n v="127.15"/>
    <n v="138.07006874351899"/>
    <x v="35"/>
    <m/>
    <m/>
    <s v="NW"/>
    <s v="MIDDLE"/>
    <s v="ROAD 18M (BUILDINGS)"/>
    <s v="SECOND"/>
    <x v="0"/>
    <n v="0.13"/>
    <n v="2.5000000000000001E-2"/>
    <n v="0.15"/>
    <n v="0.11"/>
    <n v="3.5000000000000003E-2"/>
    <x v="164"/>
    <x v="0"/>
    <x v="10"/>
    <n v="53550"/>
    <n v="59850"/>
    <n v="6300"/>
    <n v="2834.9999999999995"/>
    <n v="56385"/>
    <n v="18607.05"/>
    <n v="60885"/>
    <n v="63885"/>
    <n v="8739675"/>
    <n v="9437175"/>
    <n v="9902175"/>
    <n v="0"/>
    <n v="742872.375"/>
    <n v="2"/>
    <n v="252000"/>
    <n v="252000"/>
    <n v="8991675"/>
  </r>
  <r>
    <m/>
    <s v="B"/>
    <x v="22"/>
    <s v="RESIDENTIAL"/>
    <x v="2"/>
    <n v="2"/>
    <x v="457"/>
    <x v="2"/>
    <s v="C1"/>
    <n v="126.95"/>
    <n v="137.85289207227476"/>
    <x v="35"/>
    <m/>
    <m/>
    <s v="SE"/>
    <s v="MIDDLE"/>
    <s v="LAKE B-1"/>
    <s v="SECOND"/>
    <x v="0"/>
    <n v="0.08"/>
    <n v="2.5000000000000001E-2"/>
    <n v="0.6"/>
    <n v="0.11"/>
    <n v="3.5000000000000003E-2"/>
    <x v="84"/>
    <x v="2"/>
    <x v="4"/>
    <n v="51850"/>
    <n v="57950"/>
    <n v="6100"/>
    <n v="5185"/>
    <n v="57035"/>
    <n v="18821.55"/>
    <n v="61535"/>
    <n v="64535"/>
    <n v="8840425"/>
    <n v="9537925"/>
    <n v="10002925"/>
    <n v="0"/>
    <n v="751436.125"/>
    <n v="2"/>
    <n v="244000"/>
    <n v="244000"/>
    <n v="9084425"/>
  </r>
  <r>
    <m/>
    <s v="B"/>
    <x v="22"/>
    <s v="RESIDENTIAL"/>
    <x v="2"/>
    <n v="3"/>
    <x v="458"/>
    <x v="2"/>
    <s v="C1"/>
    <n v="131.44"/>
    <n v="142.72850834170771"/>
    <x v="33"/>
    <m/>
    <m/>
    <s v="SE"/>
    <s v="CORNER "/>
    <s v="SEMI LAKE B-1"/>
    <s v="SECOND"/>
    <x v="4"/>
    <n v="0.08"/>
    <n v="0.05"/>
    <n v="0.48"/>
    <n v="0.11"/>
    <n v="2.5000000000000001E-2"/>
    <x v="102"/>
    <x v="2"/>
    <x v="3"/>
    <n v="42500"/>
    <n v="47500"/>
    <n v="5000"/>
    <n v="3725"/>
    <n v="46225"/>
    <n v="15254.25"/>
    <n v="50725"/>
    <n v="53725"/>
    <n v="7396000"/>
    <n v="8116000"/>
    <n v="8596000"/>
    <n v="0"/>
    <n v="628660"/>
    <n v="2"/>
    <n v="200000"/>
    <n v="200000"/>
    <n v="7596000"/>
  </r>
  <r>
    <m/>
    <s v="B"/>
    <x v="22"/>
    <s v="RESIDENTIAL"/>
    <x v="2"/>
    <n v="4"/>
    <x v="459"/>
    <x v="2"/>
    <s v="C1"/>
    <n v="131.43"/>
    <n v="142.71764950814548"/>
    <x v="33"/>
    <m/>
    <m/>
    <s v="NW"/>
    <s v="CORNER "/>
    <s v="ROAD 18M (BUILDINGS)"/>
    <s v="SECOND"/>
    <x v="4"/>
    <n v="0.13"/>
    <n v="0.05"/>
    <n v="0.15"/>
    <n v="0.11"/>
    <n v="2.5000000000000001E-2"/>
    <x v="21"/>
    <x v="0"/>
    <x v="9"/>
    <n v="58649.999999999993"/>
    <n v="65550"/>
    <n v="6900.0000000000073"/>
    <n v="3208.5000000000032"/>
    <n v="61858.499999999993"/>
    <n v="20413.305"/>
    <n v="66358.5"/>
    <n v="69358.5"/>
    <n v="9897359.9999999981"/>
    <n v="10617360"/>
    <n v="11097360"/>
    <n v="0"/>
    <n v="841275.59999999986"/>
    <n v="2"/>
    <n v="276000"/>
    <n v="276000"/>
    <n v="10173359.999999998"/>
  </r>
  <r>
    <m/>
    <s v="B"/>
    <x v="22"/>
    <s v="RESIDENTIAL"/>
    <x v="3"/>
    <n v="1"/>
    <x v="460"/>
    <x v="2"/>
    <s v="C1"/>
    <n v="127.45"/>
    <n v="138.39583375038532"/>
    <x v="35"/>
    <m/>
    <m/>
    <s v="NW"/>
    <s v="MIDDLE"/>
    <s v="ROAD 18M (BUILDINGS)"/>
    <s v="THIRD"/>
    <x v="0"/>
    <n v="0.13"/>
    <n v="2.5000000000000001E-2"/>
    <n v="0.15"/>
    <n v="0.15"/>
    <n v="3.5000000000000003E-2"/>
    <x v="35"/>
    <x v="0"/>
    <x v="7"/>
    <n v="61625"/>
    <n v="68875"/>
    <n v="7250"/>
    <n v="3552.5"/>
    <n v="65177.5"/>
    <n v="21508.575000000001"/>
    <n v="69677.5"/>
    <n v="72677.5"/>
    <n v="10102512.5"/>
    <n v="10800012.5"/>
    <n v="11265012.5"/>
    <n v="0"/>
    <n v="858713.56250000012"/>
    <n v="2"/>
    <n v="290000"/>
    <n v="290000"/>
    <n v="10392512.5"/>
  </r>
  <r>
    <m/>
    <s v="B"/>
    <x v="22"/>
    <s v="RESIDENTIAL"/>
    <x v="3"/>
    <n v="2"/>
    <x v="461"/>
    <x v="2"/>
    <s v="C1"/>
    <n v="126.97"/>
    <n v="137.87460973939918"/>
    <x v="35"/>
    <m/>
    <m/>
    <s v="SE"/>
    <s v="MIDDLE"/>
    <s v="LAKE B-1"/>
    <s v="THIRD"/>
    <x v="0"/>
    <n v="0.08"/>
    <n v="2.5000000000000001E-2"/>
    <n v="0.6"/>
    <n v="0.15"/>
    <n v="3.5000000000000003E-2"/>
    <x v="99"/>
    <x v="2"/>
    <x v="9"/>
    <n v="58649.999999999993"/>
    <n v="65550"/>
    <n v="6900.0000000000073"/>
    <n v="6141.0000000000064"/>
    <n v="64791"/>
    <n v="21381.030000000002"/>
    <n v="69291"/>
    <n v="72291"/>
    <n v="10042605"/>
    <n v="10740105"/>
    <n v="11205105"/>
    <n v="0"/>
    <n v="853621.42500000005"/>
    <n v="2"/>
    <n v="276000"/>
    <n v="276000"/>
    <n v="10318605"/>
  </r>
  <r>
    <m/>
    <s v="B"/>
    <x v="22"/>
    <s v="RESIDENTIAL"/>
    <x v="3"/>
    <n v="3"/>
    <x v="462"/>
    <x v="2"/>
    <s v="C1"/>
    <n v="131.43"/>
    <n v="142.71764950814548"/>
    <x v="33"/>
    <m/>
    <m/>
    <s v="SE"/>
    <s v="CORNER "/>
    <s v="SEMI LAKE B-1"/>
    <s v="THIRD"/>
    <x v="4"/>
    <n v="0.08"/>
    <n v="0.05"/>
    <n v="0.48"/>
    <n v="0.15"/>
    <n v="2.5000000000000001E-2"/>
    <x v="125"/>
    <x v="2"/>
    <x v="2"/>
    <n v="45687.5"/>
    <n v="51062.5"/>
    <n v="5375"/>
    <n v="4219.375"/>
    <n v="49906.875"/>
    <n v="16469.268749999999"/>
    <n v="54406.875"/>
    <n v="57406.875"/>
    <n v="7985100"/>
    <n v="8705100"/>
    <n v="9185100"/>
    <n v="0"/>
    <n v="678733.5"/>
    <n v="2"/>
    <n v="215000"/>
    <n v="215000"/>
    <n v="8200100"/>
  </r>
  <r>
    <m/>
    <s v="B"/>
    <x v="22"/>
    <s v="RESIDENTIAL"/>
    <x v="3"/>
    <n v="4"/>
    <x v="463"/>
    <x v="2"/>
    <s v="C1"/>
    <n v="131.88"/>
    <n v="143.20629701844501"/>
    <x v="37"/>
    <m/>
    <m/>
    <s v="NW"/>
    <s v="CORNER "/>
    <s v="ROAD 18M (BUILDINGS)"/>
    <s v="THIRD"/>
    <x v="4"/>
    <n v="0.13"/>
    <n v="0.05"/>
    <n v="0.15"/>
    <n v="0.15"/>
    <n v="2.5000000000000001E-2"/>
    <x v="23"/>
    <x v="1"/>
    <x v="3"/>
    <n v="42500"/>
    <n v="47500"/>
    <n v="5000"/>
    <n v="2525"/>
    <n v="45025"/>
    <n v="14858.25"/>
    <n v="49525"/>
    <n v="52525"/>
    <n v="7249025"/>
    <n v="7973525"/>
    <n v="8456525"/>
    <n v="0"/>
    <n v="616167.125"/>
    <n v="2"/>
    <n v="200000"/>
    <n v="200000"/>
    <n v="7449025"/>
  </r>
  <r>
    <m/>
    <s v="B"/>
    <x v="22"/>
    <s v="RESIDENTIAL"/>
    <x v="4"/>
    <n v="1"/>
    <x v="464"/>
    <x v="2"/>
    <s v="C1"/>
    <n v="125.13"/>
    <n v="135.87658436395225"/>
    <x v="31"/>
    <m/>
    <m/>
    <s v="NW"/>
    <s v="MIDDLE"/>
    <s v="ROAD 18M (BUILDINGS)"/>
    <s v="FORTH"/>
    <x v="0"/>
    <n v="0.13"/>
    <n v="2.5000000000000001E-2"/>
    <n v="0.15"/>
    <n v="0.06"/>
    <n v="3.5000000000000003E-2"/>
    <x v="98"/>
    <x v="0"/>
    <x v="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r>
  <r>
    <m/>
    <s v="B"/>
    <x v="22"/>
    <s v="RESIDENTIAL"/>
    <x v="4"/>
    <n v="2"/>
    <x v="465"/>
    <x v="2"/>
    <s v="C1"/>
    <n v="127.19"/>
    <n v="138.11350407776783"/>
    <x v="35"/>
    <m/>
    <m/>
    <s v="SE"/>
    <s v="MIDDLE"/>
    <s v="LAKE B-1"/>
    <s v="FORTH"/>
    <x v="0"/>
    <n v="0.08"/>
    <n v="2.5000000000000001E-2"/>
    <n v="0.6"/>
    <n v="0.06"/>
    <n v="3.5000000000000003E-2"/>
    <x v="165"/>
    <x v="2"/>
    <x v="1"/>
    <n v="48450.000000000007"/>
    <n v="54150.000000000007"/>
    <n v="5700"/>
    <n v="4560"/>
    <n v="53010.000000000007"/>
    <n v="17493.300000000003"/>
    <n v="57510.000000000007"/>
    <n v="60510.000000000007"/>
    <n v="8216550.0000000009"/>
    <n v="8914050.0000000019"/>
    <n v="9379050.0000000019"/>
    <n v="0"/>
    <n v="698406.75000000012"/>
    <n v="2"/>
    <n v="228000.00000000003"/>
    <n v="228000.00000000003"/>
    <n v="8444550.0000000019"/>
  </r>
  <r>
    <m/>
    <s v="B"/>
    <x v="22"/>
    <s v="RESIDENTIAL"/>
    <x v="4"/>
    <n v="3"/>
    <x v="466"/>
    <x v="2"/>
    <s v="C1"/>
    <n v="131.38"/>
    <n v="142.66335534033442"/>
    <x v="33"/>
    <m/>
    <m/>
    <s v="SE"/>
    <s v="CORNER "/>
    <s v="SEMI LAKE B-1"/>
    <s v="FORTH"/>
    <x v="4"/>
    <n v="0.08"/>
    <n v="0.05"/>
    <n v="0.48"/>
    <n v="0.06"/>
    <n v="2.5000000000000001E-2"/>
    <x v="166"/>
    <x v="1"/>
    <x v="4"/>
    <n v="51850"/>
    <n v="57950"/>
    <n v="6100"/>
    <n v="4239.5"/>
    <n v="56089.5"/>
    <n v="18509.535"/>
    <n v="60589.5"/>
    <n v="63589.5"/>
    <n v="8974320"/>
    <n v="9694320"/>
    <n v="10174320"/>
    <n v="0"/>
    <n v="762817.20000000007"/>
    <n v="2"/>
    <n v="244000"/>
    <n v="244000"/>
    <n v="9218320"/>
  </r>
  <r>
    <m/>
    <s v="B"/>
    <x v="22"/>
    <s v="RESIDENTIAL"/>
    <x v="4"/>
    <n v="4"/>
    <x v="467"/>
    <x v="2"/>
    <s v="C1"/>
    <n v="129.58000000000001"/>
    <n v="140.70876529913639"/>
    <x v="32"/>
    <m/>
    <m/>
    <s v="NW"/>
    <s v="CORNER "/>
    <s v="ROAD 18M (BUILDINGS)"/>
    <s v="FORTH"/>
    <x v="0"/>
    <n v="0.13"/>
    <n v="0.05"/>
    <n v="0.15"/>
    <n v="0.06"/>
    <n v="3.5000000000000003E-2"/>
    <x v="39"/>
    <x v="0"/>
    <x v="12"/>
    <n v="50150"/>
    <n v="56050"/>
    <n v="5900"/>
    <n v="2507.4999999999995"/>
    <n v="52657.5"/>
    <n v="17376.975000000002"/>
    <n v="57157.5"/>
    <n v="60157.5"/>
    <n v="8319885"/>
    <n v="9030885"/>
    <n v="9504885"/>
    <n v="0"/>
    <n v="707190.22500000009"/>
    <n v="2"/>
    <n v="236000"/>
    <n v="236000"/>
    <n v="8555885"/>
  </r>
  <r>
    <s v="C3"/>
    <s v="B"/>
    <x v="23"/>
    <s v="RESIDENTIAL"/>
    <x v="0"/>
    <n v="1"/>
    <x v="468"/>
    <x v="2"/>
    <s v="C1"/>
    <n v="131.32"/>
    <n v="142.66718842094684"/>
    <x v="33"/>
    <n v="76.728700000000003"/>
    <m/>
    <s v="NW"/>
    <s v="MIDDLE"/>
    <s v="ROAD 18M (BUILDINGS)"/>
    <s v="GROUND"/>
    <x v="4"/>
    <n v="0.13"/>
    <n v="2.5000000000000001E-2"/>
    <n v="0.15"/>
    <n v="0.05"/>
    <n v="2.5000000000000001E-2"/>
    <x v="27"/>
    <x v="0"/>
    <x v="6"/>
    <n v="44625"/>
    <n v="49875"/>
    <n v="5250"/>
    <n v="1995"/>
    <n v="46620"/>
    <n v="15384.6"/>
    <n v="51120"/>
    <n v="54120"/>
    <n v="7459200"/>
    <n v="8179200"/>
    <n v="8659200"/>
    <n v="1180440.3580200002"/>
    <n v="734369.43043170008"/>
    <n v="2"/>
    <n v="210000"/>
    <n v="210000"/>
    <n v="8849640.3580200002"/>
  </r>
  <r>
    <m/>
    <s v="B"/>
    <x v="23"/>
    <s v="RESIDENTIAL"/>
    <x v="0"/>
    <n v="2"/>
    <x v="469"/>
    <x v="4"/>
    <s v="C1"/>
    <n v="128.28"/>
    <n v="139.36450602070562"/>
    <x v="38"/>
    <n v="86.075999999999993"/>
    <m/>
    <s v="SE"/>
    <s v="MIDDLE"/>
    <s v="LAKE B-1"/>
    <s v="GROUND"/>
    <x v="5"/>
    <n v="0.08"/>
    <n v="2.5000000000000001E-2"/>
    <n v="0.6"/>
    <n v="0.05"/>
    <n v="0"/>
    <x v="103"/>
    <x v="2"/>
    <x v="0"/>
    <n v="43562.499999999993"/>
    <n v="48687.499999999993"/>
    <n v="5125"/>
    <n v="3869.375"/>
    <n v="47431.874999999993"/>
    <n v="15652.518749999997"/>
    <n v="51931.874999999993"/>
    <n v="54931.874999999993"/>
    <n v="14656449.374999998"/>
    <n v="16046949.374999998"/>
    <n v="16973949.374999996"/>
    <n v="1347306.2039249996"/>
    <n v="1360319.224208625"/>
    <n v="2"/>
    <n v="204999.99999999997"/>
    <n v="204999.99999999997"/>
    <n v="16208755.578924999"/>
  </r>
  <r>
    <m/>
    <s v="B"/>
    <x v="23"/>
    <s v="RESIDENTIAL"/>
    <x v="0"/>
    <n v="3"/>
    <x v="470"/>
    <x v="4"/>
    <s v="C1"/>
    <n v="125.03"/>
    <n v="135.83367779676351"/>
    <x v="39"/>
    <n v="85.509600000000006"/>
    <m/>
    <s v="SE"/>
    <s v="MIDDLE"/>
    <s v="LAKE B-1"/>
    <s v="GROUND"/>
    <x v="5"/>
    <n v="0.08"/>
    <n v="2.5000000000000001E-2"/>
    <n v="0.6"/>
    <n v="0.05"/>
    <n v="0"/>
    <x v="103"/>
    <x v="2"/>
    <x v="0"/>
    <n v="43562.499999999993"/>
    <n v="48687.499999999993"/>
    <n v="5125"/>
    <n v="3869.375"/>
    <n v="47431.874999999993"/>
    <n v="15652.518749999997"/>
    <n v="51931.874999999993"/>
    <n v="54931.874999999993"/>
    <n v="14276994.374999998"/>
    <n v="15631494.374999998"/>
    <n v="16534494.374999998"/>
    <n v="1338440.6173049998"/>
    <n v="1327311.9743459248"/>
    <n v="2"/>
    <n v="204999.99999999997"/>
    <n v="204999.99999999997"/>
    <n v="15820434.992304998"/>
  </r>
  <r>
    <m/>
    <s v="B"/>
    <x v="23"/>
    <s v="RESIDENTIAL"/>
    <x v="0"/>
    <n v="4"/>
    <x v="471"/>
    <x v="0"/>
    <s v="C1"/>
    <n v="87.23"/>
    <n v="94.767429530606108"/>
    <x v="30"/>
    <n v="64.038600000000002"/>
    <m/>
    <s v="NW"/>
    <s v="MIDDLE"/>
    <s v="ROAD 18M (BUILDINGS)"/>
    <s v="GROUND"/>
    <x v="1"/>
    <n v="0.13"/>
    <n v="2.5000000000000001E-2"/>
    <n v="0.15"/>
    <n v="0.05"/>
    <n v="0.04"/>
    <x v="145"/>
    <x v="0"/>
    <x v="2"/>
    <n v="45687.5"/>
    <n v="51062.5"/>
    <n v="5375"/>
    <n v="2123.125"/>
    <n v="47810.625"/>
    <n v="15777.50625"/>
    <n v="52310.625"/>
    <n v="55310.625"/>
    <n v="5067926.25"/>
    <n v="5544926.25"/>
    <n v="5862926.25"/>
    <n v="1010369.4117412501"/>
    <n v="516655.13124800631"/>
    <n v="1"/>
    <n v="215000"/>
    <n v="215000"/>
    <n v="6293295.6617412502"/>
  </r>
  <r>
    <m/>
    <s v="B"/>
    <x v="23"/>
    <s v="RESIDENTIAL"/>
    <x v="1"/>
    <n v="1"/>
    <x v="472"/>
    <x v="2"/>
    <s v="C1"/>
    <n v="132.94"/>
    <n v="144.42717048949646"/>
    <x v="40"/>
    <m/>
    <m/>
    <s v="NW"/>
    <s v="MIDDLE"/>
    <s v="ROAD 18M (BUILDINGS)"/>
    <s v="FIRST"/>
    <x v="4"/>
    <n v="0.13"/>
    <n v="2.5000000000000001E-2"/>
    <n v="0.15"/>
    <n v="7.0000000000000007E-2"/>
    <n v="2.5000000000000001E-2"/>
    <x v="98"/>
    <x v="0"/>
    <x v="5"/>
    <n v="46750.000000000007"/>
    <n v="52250.000000000007"/>
    <n v="5500"/>
    <n v="2200"/>
    <n v="48950.000000000007"/>
    <n v="16153.500000000004"/>
    <n v="53450.000000000007"/>
    <n v="56450.000000000007"/>
    <n v="7929900.0000000009"/>
    <n v="8658900.0000000019"/>
    <n v="9144900.0000000019"/>
    <n v="0"/>
    <n v="674041.50000000012"/>
    <n v="2"/>
    <n v="220000.00000000003"/>
    <n v="220000.00000000003"/>
    <n v="8149900.0000000009"/>
  </r>
  <r>
    <m/>
    <s v="B"/>
    <x v="23"/>
    <s v="RESIDENTIAL"/>
    <x v="1"/>
    <n v="4"/>
    <x v="473"/>
    <x v="0"/>
    <s v="C1"/>
    <n v="88.87"/>
    <n v="96.549139772841514"/>
    <x v="34"/>
    <m/>
    <m/>
    <s v="NW"/>
    <s v="MIDDLE"/>
    <s v="ROAD 18M (BUILDINGS)"/>
    <s v="FIRST"/>
    <x v="1"/>
    <n v="0.13"/>
    <n v="2.5000000000000001E-2"/>
    <n v="0.15"/>
    <n v="7.0000000000000007E-2"/>
    <n v="0.04"/>
    <x v="31"/>
    <x v="0"/>
    <x v="12"/>
    <n v="50150"/>
    <n v="56050"/>
    <n v="5900"/>
    <n v="2448.5"/>
    <n v="52598.5"/>
    <n v="17357.505000000001"/>
    <n v="57098.5"/>
    <n v="60098.5"/>
    <n v="5680638"/>
    <n v="6166638"/>
    <n v="6490638"/>
    <n v="0"/>
    <n v="482854.23000000004"/>
    <n v="1"/>
    <n v="236000"/>
    <n v="236000"/>
    <n v="5916638"/>
  </r>
  <r>
    <m/>
    <s v="B"/>
    <x v="23"/>
    <s v="RESIDENTIAL"/>
    <x v="2"/>
    <n v="1"/>
    <x v="474"/>
    <x v="2"/>
    <s v="C1"/>
    <n v="131.41999999999999"/>
    <n v="142.77582928937582"/>
    <x v="33"/>
    <m/>
    <m/>
    <s v="NW"/>
    <s v="MIDDLE"/>
    <s v="ROAD 18M (BUILDINGS)"/>
    <s v="SECOND"/>
    <x v="4"/>
    <n v="0.13"/>
    <n v="2.5000000000000001E-2"/>
    <n v="0.15"/>
    <n v="0.11"/>
    <n v="2.5000000000000001E-2"/>
    <x v="148"/>
    <x v="0"/>
    <x v="4"/>
    <n v="51850"/>
    <n v="57950"/>
    <n v="6100"/>
    <n v="2684"/>
    <n v="54534"/>
    <n v="17996.22"/>
    <n v="59034"/>
    <n v="62034"/>
    <n v="8725440"/>
    <n v="9445440"/>
    <n v="9925440"/>
    <n v="0"/>
    <n v="741662.4"/>
    <n v="2"/>
    <n v="244000"/>
    <n v="244000"/>
    <n v="8969440"/>
  </r>
  <r>
    <m/>
    <s v="B"/>
    <x v="23"/>
    <s v="RESIDENTIAL"/>
    <x v="2"/>
    <n v="2"/>
    <x v="475"/>
    <x v="2"/>
    <s v="C1"/>
    <n v="131.03"/>
    <n v="142.35212990250278"/>
    <x v="33"/>
    <m/>
    <m/>
    <s v="SE"/>
    <s v="MIDDLE"/>
    <s v="LAKE B-1"/>
    <s v="SECOND"/>
    <x v="4"/>
    <n v="0.08"/>
    <n v="2.5000000000000001E-2"/>
    <n v="0.6"/>
    <n v="0.11"/>
    <n v="2.5000000000000001E-2"/>
    <x v="70"/>
    <x v="2"/>
    <x v="4"/>
    <n v="51850"/>
    <n v="57950"/>
    <n v="6100"/>
    <n v="5124"/>
    <n v="56974"/>
    <n v="18801.420000000002"/>
    <n v="61474"/>
    <n v="64474"/>
    <n v="9115840"/>
    <n v="9835840"/>
    <n v="10315840"/>
    <n v="0"/>
    <n v="774846.4"/>
    <n v="2"/>
    <n v="244000"/>
    <n v="244000"/>
    <n v="9359840"/>
  </r>
  <r>
    <m/>
    <s v="B"/>
    <x v="23"/>
    <s v="RESIDENTIAL"/>
    <x v="2"/>
    <n v="3"/>
    <x v="476"/>
    <x v="2"/>
    <s v="C1"/>
    <n v="126.89"/>
    <n v="137.85439794954269"/>
    <x v="35"/>
    <m/>
    <m/>
    <s v="SE"/>
    <s v="MIDDLE"/>
    <s v="LAKE B-1"/>
    <s v="SECOND"/>
    <x v="0"/>
    <n v="0.08"/>
    <n v="2.5000000000000001E-2"/>
    <n v="0.6"/>
    <n v="0.11"/>
    <n v="3.5000000000000003E-2"/>
    <x v="84"/>
    <x v="2"/>
    <x v="4"/>
    <n v="51850"/>
    <n v="57950"/>
    <n v="6100"/>
    <n v="5185"/>
    <n v="57035"/>
    <n v="18821.55"/>
    <n v="61535"/>
    <n v="64535"/>
    <n v="8840425"/>
    <n v="9537925"/>
    <n v="10002925"/>
    <n v="0"/>
    <n v="751436.125"/>
    <n v="2"/>
    <n v="244000"/>
    <n v="244000"/>
    <n v="9084425"/>
  </r>
  <r>
    <m/>
    <s v="B"/>
    <x v="23"/>
    <s v="RESIDENTIAL"/>
    <x v="2"/>
    <n v="4"/>
    <x v="477"/>
    <x v="2"/>
    <s v="C1"/>
    <n v="126.99"/>
    <n v="137.96303881797166"/>
    <x v="35"/>
    <m/>
    <m/>
    <s v="NW"/>
    <s v="MIDDLE"/>
    <s v="ROAD 18M (BUILDINGS)"/>
    <s v="SECOND"/>
    <x v="0"/>
    <n v="0.13"/>
    <n v="2.5000000000000001E-2"/>
    <n v="0.15"/>
    <n v="0.11"/>
    <n v="3.5000000000000003E-2"/>
    <x v="164"/>
    <x v="0"/>
    <x v="10"/>
    <n v="53550"/>
    <n v="59850"/>
    <n v="6300"/>
    <n v="2834.9999999999995"/>
    <n v="56385"/>
    <n v="18607.05"/>
    <n v="60885"/>
    <n v="63885"/>
    <n v="8739675"/>
    <n v="9437175"/>
    <n v="9902175"/>
    <n v="0"/>
    <n v="742872.375"/>
    <n v="2"/>
    <n v="252000"/>
    <n v="252000"/>
    <n v="8991675"/>
  </r>
  <r>
    <m/>
    <s v="B"/>
    <x v="23"/>
    <s v="RESIDENTIAL"/>
    <x v="3"/>
    <n v="1"/>
    <x v="478"/>
    <x v="2"/>
    <s v="C1"/>
    <n v="131.88"/>
    <n v="143.27557728414919"/>
    <x v="37"/>
    <m/>
    <m/>
    <s v="NW"/>
    <s v="MIDDLE"/>
    <s v="ROAD 18M (BUILDINGS)"/>
    <s v="THIRD"/>
    <x v="4"/>
    <n v="0.13"/>
    <n v="2.5000000000000001E-2"/>
    <n v="0.15"/>
    <n v="0.15"/>
    <n v="2.5000000000000001E-2"/>
    <x v="28"/>
    <x v="0"/>
    <x v="7"/>
    <n v="61625"/>
    <n v="68875"/>
    <n v="7250"/>
    <n v="3480"/>
    <n v="65105"/>
    <n v="21484.65"/>
    <n v="69605"/>
    <n v="72605"/>
    <n v="10481905"/>
    <n v="11206405"/>
    <n v="11689405"/>
    <n v="0"/>
    <n v="890961.92500000005"/>
    <n v="2"/>
    <n v="290000"/>
    <n v="290000"/>
    <n v="10771905"/>
  </r>
  <r>
    <m/>
    <s v="B"/>
    <x v="23"/>
    <s v="RESIDENTIAL"/>
    <x v="3"/>
    <n v="2"/>
    <x v="479"/>
    <x v="2"/>
    <s v="C1"/>
    <n v="131.02000000000001"/>
    <n v="142.34126581565991"/>
    <x v="33"/>
    <m/>
    <m/>
    <s v="SE"/>
    <s v="MIDDLE"/>
    <s v="LAKE B-1"/>
    <s v="THIRD"/>
    <x v="4"/>
    <n v="0.08"/>
    <n v="2.5000000000000001E-2"/>
    <n v="0.6"/>
    <n v="0.15"/>
    <n v="2.5000000000000001E-2"/>
    <x v="167"/>
    <x v="2"/>
    <x v="8"/>
    <n v="56100"/>
    <n v="62700"/>
    <n v="6600"/>
    <n v="5808"/>
    <n v="61908"/>
    <n v="20429.64"/>
    <n v="66408"/>
    <n v="69408"/>
    <n v="9905280"/>
    <n v="10625280"/>
    <n v="11105280"/>
    <n v="0"/>
    <n v="841948.8"/>
    <n v="2"/>
    <n v="264000"/>
    <n v="264000"/>
    <n v="10169280"/>
  </r>
  <r>
    <m/>
    <s v="B"/>
    <x v="23"/>
    <s v="RESIDENTIAL"/>
    <x v="3"/>
    <n v="3"/>
    <x v="480"/>
    <x v="2"/>
    <s v="C1"/>
    <n v="126.87"/>
    <n v="137.83266977585691"/>
    <x v="35"/>
    <m/>
    <m/>
    <s v="SE"/>
    <s v="MIDDLE"/>
    <s v="LAKE B-1"/>
    <s v="THIRD"/>
    <x v="0"/>
    <n v="0.08"/>
    <n v="2.5000000000000001E-2"/>
    <n v="0.6"/>
    <n v="0.15"/>
    <n v="3.5000000000000003E-2"/>
    <x v="99"/>
    <x v="2"/>
    <x v="8"/>
    <n v="56100"/>
    <n v="62700"/>
    <n v="6600"/>
    <n v="5874"/>
    <n v="61974"/>
    <n v="20451.420000000002"/>
    <n v="66474"/>
    <n v="69474"/>
    <n v="9605970"/>
    <n v="10303470"/>
    <n v="10768470"/>
    <n v="0"/>
    <n v="816507.45000000007"/>
    <n v="2"/>
    <n v="264000"/>
    <n v="264000"/>
    <n v="9869970"/>
  </r>
  <r>
    <m/>
    <s v="B"/>
    <x v="23"/>
    <s v="RESIDENTIAL"/>
    <x v="3"/>
    <n v="4"/>
    <x v="481"/>
    <x v="2"/>
    <s v="C1"/>
    <n v="127.41"/>
    <n v="138.41933046537343"/>
    <x v="35"/>
    <m/>
    <m/>
    <s v="NW"/>
    <s v="MIDDLE"/>
    <s v="ROAD 18M (BUILDINGS)"/>
    <s v="THIRD"/>
    <x v="0"/>
    <n v="0.13"/>
    <n v="2.5000000000000001E-2"/>
    <n v="0.15"/>
    <n v="0.15"/>
    <n v="3.5000000000000003E-2"/>
    <x v="35"/>
    <x v="0"/>
    <x v="7"/>
    <n v="61625"/>
    <n v="68875"/>
    <n v="7250"/>
    <n v="3552.5"/>
    <n v="65177.5"/>
    <n v="21508.575000000001"/>
    <n v="69677.5"/>
    <n v="72677.5"/>
    <n v="10102512.5"/>
    <n v="10800012.5"/>
    <n v="11265012.5"/>
    <n v="0"/>
    <n v="858713.56250000012"/>
    <n v="2"/>
    <n v="290000"/>
    <n v="290000"/>
    <n v="10392512.5"/>
  </r>
  <r>
    <m/>
    <s v="B"/>
    <x v="23"/>
    <s v="RESIDENTIAL"/>
    <x v="4"/>
    <n v="1"/>
    <x v="482"/>
    <x v="2"/>
    <s v="C1"/>
    <n v="129.59"/>
    <n v="140.78770139712537"/>
    <x v="32"/>
    <m/>
    <m/>
    <s v="NW"/>
    <s v="MIDDLE"/>
    <s v="ROAD 18M (BUILDINGS)"/>
    <s v="FORTH"/>
    <x v="0"/>
    <n v="0.13"/>
    <n v="2.5000000000000001E-2"/>
    <n v="0.15"/>
    <n v="0.06"/>
    <n v="3.5000000000000003E-2"/>
    <x v="98"/>
    <x v="0"/>
    <x v="5"/>
    <n v="46750.000000000007"/>
    <n v="52250.000000000007"/>
    <n v="5500"/>
    <n v="2200"/>
    <n v="48950.000000000007"/>
    <n v="16153.500000000004"/>
    <n v="53450.000000000007"/>
    <n v="56450.000000000007"/>
    <n v="7734100.0000000009"/>
    <n v="8445100.0000000019"/>
    <n v="8919100.0000000019"/>
    <n v="0"/>
    <n v="657398.50000000012"/>
    <n v="2"/>
    <n v="220000.00000000003"/>
    <n v="220000.00000000003"/>
    <n v="7954100.0000000009"/>
  </r>
  <r>
    <m/>
    <s v="B"/>
    <x v="23"/>
    <s v="RESIDENTIAL"/>
    <x v="4"/>
    <n v="2"/>
    <x v="483"/>
    <x v="2"/>
    <s v="C1"/>
    <n v="131.72"/>
    <n v="143.10175189466281"/>
    <x v="37"/>
    <m/>
    <m/>
    <s v="SE"/>
    <s v="MIDDLE"/>
    <s v="LAKE B-1"/>
    <s v="FORTH"/>
    <x v="4"/>
    <n v="0.08"/>
    <n v="2.5000000000000001E-2"/>
    <n v="0.6"/>
    <n v="0.06"/>
    <n v="2.5000000000000001E-2"/>
    <x v="168"/>
    <x v="2"/>
    <x v="5"/>
    <n v="46750.000000000007"/>
    <n v="52250.000000000007"/>
    <n v="5500"/>
    <n v="4345"/>
    <n v="51095.000000000007"/>
    <n v="16861.350000000002"/>
    <n v="55595.000000000007"/>
    <n v="58595.000000000007"/>
    <n v="8226295.0000000009"/>
    <n v="8950795.0000000019"/>
    <n v="9433795.0000000019"/>
    <n v="0"/>
    <n v="699235.07500000019"/>
    <n v="2"/>
    <n v="220000.00000000003"/>
    <n v="220000.00000000003"/>
    <n v="8446295.0000000019"/>
  </r>
  <r>
    <m/>
    <s v="B"/>
    <x v="23"/>
    <s v="RESIDENTIAL"/>
    <x v="4"/>
    <n v="3"/>
    <x v="484"/>
    <x v="2"/>
    <s v="C1"/>
    <n v="127.12"/>
    <n v="138.10427194692937"/>
    <x v="35"/>
    <m/>
    <m/>
    <s v="SE"/>
    <s v="MIDDLE"/>
    <s v="LAKE B-1"/>
    <s v="FORTH"/>
    <x v="0"/>
    <n v="0.08"/>
    <n v="2.5000000000000001E-2"/>
    <n v="0.6"/>
    <n v="0.06"/>
    <n v="3.5000000000000003E-2"/>
    <x v="165"/>
    <x v="2"/>
    <x v="1"/>
    <n v="48450.000000000007"/>
    <n v="54150.000000000007"/>
    <n v="5700"/>
    <n v="4560"/>
    <n v="53010.000000000007"/>
    <n v="17493.300000000003"/>
    <n v="57510.000000000007"/>
    <n v="60510.000000000007"/>
    <n v="8216550.0000000009"/>
    <n v="8914050.0000000019"/>
    <n v="9379050.0000000019"/>
    <n v="0"/>
    <n v="698406.75000000012"/>
    <n v="2"/>
    <n v="228000.00000000003"/>
    <n v="228000.00000000003"/>
    <n v="8444550.0000000019"/>
  </r>
  <r>
    <m/>
    <s v="B"/>
    <x v="23"/>
    <s v="RESIDENTIAL"/>
    <x v="4"/>
    <n v="4"/>
    <x v="485"/>
    <x v="2"/>
    <s v="C1"/>
    <n v="125.12"/>
    <n v="135.93145457834962"/>
    <x v="31"/>
    <m/>
    <m/>
    <s v="NW"/>
    <s v="MIDDLE"/>
    <s v="ROAD 18M (BUILDINGS)"/>
    <s v="FORTH"/>
    <x v="0"/>
    <n v="0.13"/>
    <n v="2.5000000000000001E-2"/>
    <n v="0.15"/>
    <n v="0.06"/>
    <n v="3.5000000000000003E-2"/>
    <x v="98"/>
    <x v="0"/>
    <x v="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r>
  <r>
    <s v="C3"/>
    <s v="B"/>
    <x v="24"/>
    <s v="RESIDENTIAL"/>
    <x v="0"/>
    <n v="1"/>
    <x v="486"/>
    <x v="2"/>
    <s v="C1"/>
    <n v="131.34"/>
    <n v="142.61992000608555"/>
    <x v="33"/>
    <n v="75.3416"/>
    <m/>
    <s v="NW"/>
    <s v="CORNER "/>
    <s v="ROAD 18M (BUILDINGS)"/>
    <s v="GROUND"/>
    <x v="4"/>
    <n v="0.13"/>
    <n v="0.05"/>
    <n v="0.15"/>
    <n v="0.05"/>
    <n v="2.5000000000000001E-2"/>
    <x v="11"/>
    <x v="0"/>
    <x v="1"/>
    <n v="48450.000000000007"/>
    <n v="54150.000000000007"/>
    <n v="5700"/>
    <n v="2308.5"/>
    <n v="50758.500000000007"/>
    <n v="16750.305000000004"/>
    <n v="55258.500000000007"/>
    <n v="58258.500000000007"/>
    <n v="8121360.0000000009"/>
    <n v="8841360.0000000019"/>
    <n v="9321360.0000000019"/>
    <n v="1261994.7791880004"/>
    <n v="797585.15623098018"/>
    <n v="2"/>
    <n v="228000.00000000003"/>
    <n v="228000.00000000003"/>
    <n v="9611354.7791880015"/>
  </r>
  <r>
    <m/>
    <s v="B"/>
    <x v="24"/>
    <s v="RESIDENTIAL"/>
    <x v="0"/>
    <n v="2"/>
    <x v="487"/>
    <x v="2"/>
    <s v="C1"/>
    <n v="129.57"/>
    <n v="140.69790646557411"/>
    <x v="32"/>
    <n v="84.036199999999994"/>
    <m/>
    <s v="SE"/>
    <s v="CORNER "/>
    <s v="LAKE B-1"/>
    <s v="GROUND"/>
    <x v="0"/>
    <n v="0.08"/>
    <n v="0.05"/>
    <n v="0.6"/>
    <n v="0.05"/>
    <n v="3.5000000000000003E-2"/>
    <x v="169"/>
    <x v="2"/>
    <x v="12"/>
    <n v="50150"/>
    <n v="56050"/>
    <n v="5900"/>
    <n v="4808.5"/>
    <n v="54958.5"/>
    <n v="18136.305"/>
    <n v="59458.5"/>
    <n v="62458.5"/>
    <n v="8683443"/>
    <n v="9394443"/>
    <n v="9868443"/>
    <n v="1524106.1542409998"/>
    <n v="867641.67811048497"/>
    <n v="2"/>
    <n v="236000"/>
    <n v="236000"/>
    <n v="10443549.154240999"/>
  </r>
  <r>
    <m/>
    <s v="B"/>
    <x v="24"/>
    <s v="RESIDENTIAL"/>
    <x v="0"/>
    <n v="3"/>
    <x v="488"/>
    <x v="2"/>
    <s v="C1"/>
    <n v="125.09"/>
    <n v="135.83314902970338"/>
    <x v="31"/>
    <n v="85.562899999999999"/>
    <m/>
    <s v="SE"/>
    <s v="MIDDLE"/>
    <s v="LAKE B-1"/>
    <s v="GROUND"/>
    <x v="0"/>
    <n v="0.08"/>
    <n v="2.5000000000000001E-2"/>
    <n v="0.6"/>
    <n v="0.05"/>
    <n v="3.5000000000000003E-2"/>
    <x v="143"/>
    <x v="2"/>
    <x v="5"/>
    <n v="46750.000000000007"/>
    <n v="52250.000000000007"/>
    <n v="5500"/>
    <n v="4345"/>
    <n v="51095.000000000007"/>
    <n v="16861.350000000002"/>
    <n v="55595.000000000007"/>
    <n v="58595.000000000007"/>
    <n v="7817535.0000000009"/>
    <n v="8506035.0000000019"/>
    <n v="8965035.0000000019"/>
    <n v="1442706.0039150002"/>
    <n v="787120.48533277516"/>
    <n v="2"/>
    <n v="220000.00000000003"/>
    <n v="220000.00000000003"/>
    <n v="9480241.0039150007"/>
  </r>
  <r>
    <m/>
    <s v="B"/>
    <x v="24"/>
    <s v="RESIDENTIAL"/>
    <x v="0"/>
    <n v="4"/>
    <x v="489"/>
    <x v="0"/>
    <s v="C1"/>
    <n v="87.23"/>
    <n v="94.721605163170736"/>
    <x v="30"/>
    <n v="63.087899999999998"/>
    <m/>
    <s v="NW"/>
    <s v="MIDDLE"/>
    <s v="ROAD 18M (BUILDINGS)"/>
    <s v="GROUND"/>
    <x v="1"/>
    <n v="0.13"/>
    <n v="2.5000000000000001E-2"/>
    <n v="0.15"/>
    <n v="0.05"/>
    <n v="0.04"/>
    <x v="145"/>
    <x v="0"/>
    <x v="2"/>
    <n v="45687.5"/>
    <n v="51062.5"/>
    <n v="5375"/>
    <n v="2123.125"/>
    <n v="47810.625"/>
    <n v="15777.50625"/>
    <n v="52310.625"/>
    <n v="55310.625"/>
    <n v="5067926.25"/>
    <n v="5544926.25"/>
    <n v="5862926.25"/>
    <n v="995369.736549375"/>
    <n v="515380.15885669686"/>
    <n v="1"/>
    <n v="215000"/>
    <n v="215000"/>
    <n v="6278295.9865493756"/>
  </r>
  <r>
    <m/>
    <s v="B"/>
    <x v="24"/>
    <s v="RESIDENTIAL"/>
    <x v="1"/>
    <n v="1"/>
    <x v="490"/>
    <x v="2"/>
    <s v="C1"/>
    <n v="129.04"/>
    <n v="140.1223882867769"/>
    <x v="36"/>
    <m/>
    <m/>
    <s v="NW"/>
    <s v="CORNER "/>
    <s v="ROAD 18M (BUILDINGS)"/>
    <s v="FIRST"/>
    <x v="0"/>
    <n v="0.13"/>
    <n v="0.05"/>
    <n v="0.15"/>
    <n v="7.0000000000000007E-2"/>
    <n v="3.5000000000000003E-2"/>
    <x v="54"/>
    <x v="0"/>
    <x v="4"/>
    <n v="51850"/>
    <n v="57950"/>
    <n v="6100"/>
    <n v="2653.4999999999995"/>
    <n v="54503.5"/>
    <n v="17986.155000000002"/>
    <n v="59003.5"/>
    <n v="62003.5"/>
    <n v="8557049.5"/>
    <n v="9263549.5"/>
    <n v="9734549.5"/>
    <n v="0"/>
    <n v="727349.20750000002"/>
    <n v="2"/>
    <n v="244000"/>
    <n v="244000"/>
    <n v="8801049.5"/>
  </r>
  <r>
    <m/>
    <s v="B"/>
    <x v="24"/>
    <s v="RESIDENTIAL"/>
    <x v="1"/>
    <n v="2"/>
    <x v="491"/>
    <x v="2"/>
    <s v="C1"/>
    <n v="131.43"/>
    <n v="142.71764950814546"/>
    <x v="33"/>
    <m/>
    <m/>
    <s v="SE"/>
    <s v="CORNER "/>
    <s v="LAKE B-1"/>
    <s v="FIRST"/>
    <x v="4"/>
    <n v="0.08"/>
    <n v="0.05"/>
    <n v="0.6"/>
    <n v="7.0000000000000007E-2"/>
    <n v="2.5000000000000001E-2"/>
    <x v="151"/>
    <x v="2"/>
    <x v="12"/>
    <n v="50150"/>
    <n v="56050"/>
    <n v="5900"/>
    <n v="4867.5"/>
    <n v="55017.5"/>
    <n v="18155.775000000001"/>
    <n v="59517.5"/>
    <n v="62517.5"/>
    <n v="8802800"/>
    <n v="9522800"/>
    <n v="10002800"/>
    <n v="0"/>
    <n v="748238"/>
    <n v="2"/>
    <n v="236000"/>
    <n v="236000"/>
    <n v="9038800"/>
  </r>
  <r>
    <m/>
    <s v="B"/>
    <x v="24"/>
    <s v="RESIDENTIAL"/>
    <x v="1"/>
    <n v="3"/>
    <x v="492"/>
    <x v="2"/>
    <s v="C1"/>
    <n v="127.14"/>
    <n v="138.05920990995673"/>
    <x v="35"/>
    <m/>
    <m/>
    <s v="SE"/>
    <s v="MIDDLE"/>
    <s v="LAKE B-1"/>
    <s v="FIRST"/>
    <x v="0"/>
    <n v="0.08"/>
    <n v="2.5000000000000001E-2"/>
    <n v="0.6"/>
    <n v="7.0000000000000007E-2"/>
    <n v="3.5000000000000003E-2"/>
    <x v="162"/>
    <x v="2"/>
    <x v="12"/>
    <n v="50150"/>
    <n v="56050"/>
    <n v="5900"/>
    <n v="4779"/>
    <n v="54929"/>
    <n v="18126.57"/>
    <n v="59429"/>
    <n v="62429"/>
    <n v="8513995"/>
    <n v="9211495"/>
    <n v="9676495"/>
    <n v="0"/>
    <n v="723689.57500000007"/>
    <n v="2"/>
    <n v="236000"/>
    <n v="236000"/>
    <n v="8749995"/>
  </r>
  <r>
    <m/>
    <s v="B"/>
    <x v="24"/>
    <s v="RESIDENTIAL"/>
    <x v="1"/>
    <n v="4"/>
    <x v="493"/>
    <x v="0"/>
    <s v="C1"/>
    <n v="88.87"/>
    <n v="96.502453867373418"/>
    <x v="34"/>
    <m/>
    <m/>
    <s v="NW"/>
    <s v="MIDDLE"/>
    <s v="ROAD 18M (BUILDINGS)"/>
    <s v="FIRST"/>
    <x v="1"/>
    <n v="0.13"/>
    <n v="2.5000000000000001E-2"/>
    <n v="0.15"/>
    <n v="7.0000000000000007E-2"/>
    <n v="0.04"/>
    <x v="31"/>
    <x v="0"/>
    <x v="12"/>
    <n v="50150"/>
    <n v="56050"/>
    <n v="5900"/>
    <n v="2448.5"/>
    <n v="52598.5"/>
    <n v="17357.505000000001"/>
    <n v="57098.5"/>
    <n v="60098.5"/>
    <n v="5680638"/>
    <n v="6166638"/>
    <n v="6490638"/>
    <n v="0"/>
    <n v="482854.23000000004"/>
    <n v="1"/>
    <n v="236000"/>
    <n v="236000"/>
    <n v="5916638"/>
  </r>
  <r>
    <m/>
    <s v="B"/>
    <x v="24"/>
    <s v="RESIDENTIAL"/>
    <x v="2"/>
    <n v="1"/>
    <x v="494"/>
    <x v="2"/>
    <s v="C1"/>
    <n v="131.43"/>
    <n v="142.71764950814546"/>
    <x v="33"/>
    <m/>
    <m/>
    <s v="NW"/>
    <s v="CORNER "/>
    <s v="ROAD 18M (BUILDINGS)"/>
    <s v="SECOND"/>
    <x v="4"/>
    <n v="0.13"/>
    <n v="0.05"/>
    <n v="0.15"/>
    <n v="0.11"/>
    <n v="2.5000000000000001E-2"/>
    <x v="21"/>
    <x v="0"/>
    <x v="8"/>
    <n v="56100"/>
    <n v="62700"/>
    <n v="6600"/>
    <n v="3069"/>
    <n v="59169"/>
    <n v="19525.77"/>
    <n v="63669"/>
    <n v="66669"/>
    <n v="9467040"/>
    <n v="10187040"/>
    <n v="10667040"/>
    <n v="0"/>
    <n v="804698.4"/>
    <n v="2"/>
    <n v="264000"/>
    <n v="264000"/>
    <n v="9731040"/>
  </r>
  <r>
    <m/>
    <s v="B"/>
    <x v="24"/>
    <s v="RESIDENTIAL"/>
    <x v="2"/>
    <n v="2"/>
    <x v="495"/>
    <x v="2"/>
    <s v="C1"/>
    <n v="131.44"/>
    <n v="142.72850834170768"/>
    <x v="33"/>
    <m/>
    <m/>
    <s v="SE"/>
    <s v="CORNER "/>
    <s v="LAKE B-1"/>
    <s v="SECOND"/>
    <x v="4"/>
    <n v="0.08"/>
    <n v="0.05"/>
    <n v="0.6"/>
    <n v="0.11"/>
    <n v="2.5000000000000001E-2"/>
    <x v="170"/>
    <x v="2"/>
    <x v="10"/>
    <n v="53550"/>
    <n v="59850"/>
    <n v="6300"/>
    <n v="5449.5"/>
    <n v="58999.5"/>
    <n v="19469.834999999999"/>
    <n v="63499.5"/>
    <n v="66499.5"/>
    <n v="9439920"/>
    <n v="10159920"/>
    <n v="10639920"/>
    <n v="0"/>
    <n v="802393.20000000007"/>
    <n v="2"/>
    <n v="252000"/>
    <n v="252000"/>
    <n v="9691920"/>
  </r>
  <r>
    <m/>
    <s v="B"/>
    <x v="24"/>
    <s v="RESIDENTIAL"/>
    <x v="2"/>
    <n v="3"/>
    <x v="496"/>
    <x v="2"/>
    <s v="C1"/>
    <n v="126.95"/>
    <n v="137.85289207227473"/>
    <x v="35"/>
    <m/>
    <m/>
    <s v="SE"/>
    <s v="MIDDLE"/>
    <s v="LAKE B-1"/>
    <s v="SECOND"/>
    <x v="0"/>
    <n v="0.08"/>
    <n v="2.5000000000000001E-2"/>
    <n v="0.6"/>
    <n v="0.11"/>
    <n v="3.5000000000000003E-2"/>
    <x v="84"/>
    <x v="2"/>
    <x v="4"/>
    <n v="51850"/>
    <n v="57950"/>
    <n v="6100"/>
    <n v="5185"/>
    <n v="57035"/>
    <n v="18821.55"/>
    <n v="61535"/>
    <n v="64535"/>
    <n v="8840425"/>
    <n v="9537925"/>
    <n v="10002925"/>
    <n v="0"/>
    <n v="751436.125"/>
    <n v="2"/>
    <n v="244000"/>
    <n v="244000"/>
    <n v="9084425"/>
  </r>
  <r>
    <m/>
    <s v="B"/>
    <x v="24"/>
    <s v="RESIDENTIAL"/>
    <x v="2"/>
    <n v="4"/>
    <x v="497"/>
    <x v="2"/>
    <s v="C1"/>
    <n v="127.15"/>
    <n v="138.07006874351896"/>
    <x v="35"/>
    <m/>
    <m/>
    <s v="NW"/>
    <s v="MIDDLE"/>
    <s v="ROAD 18M (BUILDINGS)"/>
    <s v="SECOND"/>
    <x v="0"/>
    <n v="0.13"/>
    <n v="2.5000000000000001E-2"/>
    <n v="0.15"/>
    <n v="0.11"/>
    <n v="3.5000000000000003E-2"/>
    <x v="164"/>
    <x v="0"/>
    <x v="10"/>
    <n v="53550"/>
    <n v="59850"/>
    <n v="6300"/>
    <n v="2834.9999999999995"/>
    <n v="56385"/>
    <n v="18607.05"/>
    <n v="60885"/>
    <n v="63885"/>
    <n v="8739675"/>
    <n v="9437175"/>
    <n v="9902175"/>
    <n v="0"/>
    <n v="742872.375"/>
    <n v="2"/>
    <n v="252000"/>
    <n v="252000"/>
    <n v="8991675"/>
  </r>
  <r>
    <m/>
    <s v="B"/>
    <x v="24"/>
    <s v="RESIDENTIAL"/>
    <x v="3"/>
    <n v="1"/>
    <x v="498"/>
    <x v="2"/>
    <s v="C1"/>
    <n v="131.88"/>
    <n v="143.20629701844499"/>
    <x v="37"/>
    <m/>
    <m/>
    <s v="NW"/>
    <s v="CORNER "/>
    <s v="ROAD 18M (BUILDINGS)"/>
    <s v="THIRD"/>
    <x v="4"/>
    <n v="0.13"/>
    <n v="0.05"/>
    <n v="0.15"/>
    <n v="0.15"/>
    <n v="2.5000000000000001E-2"/>
    <x v="23"/>
    <x v="1"/>
    <x v="3"/>
    <n v="42500"/>
    <n v="47500"/>
    <n v="5000"/>
    <n v="2525"/>
    <n v="45025"/>
    <n v="14858.25"/>
    <n v="49525"/>
    <n v="52525"/>
    <n v="7249025"/>
    <n v="7973525"/>
    <n v="8456525"/>
    <n v="0"/>
    <n v="616167.125"/>
    <n v="2"/>
    <n v="200000"/>
    <n v="200000"/>
    <n v="7449025"/>
  </r>
  <r>
    <m/>
    <s v="B"/>
    <x v="24"/>
    <s v="RESIDENTIAL"/>
    <x v="3"/>
    <n v="2"/>
    <x v="499"/>
    <x v="2"/>
    <s v="C1"/>
    <n v="131.43"/>
    <n v="142.71764950814546"/>
    <x v="33"/>
    <m/>
    <m/>
    <s v="SE"/>
    <s v="CORNER "/>
    <s v="LAKE B-1"/>
    <s v="THIRD"/>
    <x v="4"/>
    <n v="0.08"/>
    <n v="0.05"/>
    <n v="0.6"/>
    <n v="0.15"/>
    <n v="2.5000000000000001E-2"/>
    <x v="171"/>
    <x v="2"/>
    <x v="7"/>
    <n v="61625"/>
    <n v="68875"/>
    <n v="7250"/>
    <n v="6561.25"/>
    <n v="68186.25"/>
    <n v="22501.462500000001"/>
    <n v="72686.25"/>
    <n v="75686.25"/>
    <n v="10909800"/>
    <n v="11629800"/>
    <n v="12109800"/>
    <n v="0"/>
    <n v="927333.00000000012"/>
    <n v="2"/>
    <n v="290000"/>
    <n v="290000"/>
    <n v="11199800"/>
  </r>
  <r>
    <m/>
    <s v="B"/>
    <x v="24"/>
    <s v="RESIDENTIAL"/>
    <x v="3"/>
    <n v="3"/>
    <x v="500"/>
    <x v="2"/>
    <s v="C1"/>
    <n v="126.97"/>
    <n v="137.87460973939915"/>
    <x v="35"/>
    <m/>
    <m/>
    <s v="SE"/>
    <s v="MIDDLE"/>
    <s v="LAKE B-1"/>
    <s v="THIRD"/>
    <x v="0"/>
    <n v="0.08"/>
    <n v="2.5000000000000001E-2"/>
    <n v="0.6"/>
    <n v="0.15"/>
    <n v="3.5000000000000003E-2"/>
    <x v="99"/>
    <x v="2"/>
    <x v="9"/>
    <n v="58649.999999999993"/>
    <n v="65550"/>
    <n v="6900.0000000000073"/>
    <n v="6141.0000000000064"/>
    <n v="64791"/>
    <n v="21381.030000000002"/>
    <n v="69291"/>
    <n v="72291"/>
    <n v="10042605"/>
    <n v="10740105"/>
    <n v="11205105"/>
    <n v="0"/>
    <n v="853621.42500000005"/>
    <n v="2"/>
    <n v="276000"/>
    <n v="276000"/>
    <n v="10318605"/>
  </r>
  <r>
    <m/>
    <s v="B"/>
    <x v="24"/>
    <s v="RESIDENTIAL"/>
    <x v="3"/>
    <n v="4"/>
    <x v="501"/>
    <x v="2"/>
    <s v="C1"/>
    <n v="127.45"/>
    <n v="138.39583375038529"/>
    <x v="35"/>
    <m/>
    <m/>
    <s v="NW"/>
    <s v="MIDDLE"/>
    <s v="ROAD 18M (BUILDINGS)"/>
    <s v="THIRD"/>
    <x v="0"/>
    <n v="0.13"/>
    <n v="2.5000000000000001E-2"/>
    <n v="0.15"/>
    <n v="0.15"/>
    <n v="3.5000000000000003E-2"/>
    <x v="35"/>
    <x v="0"/>
    <x v="7"/>
    <n v="61625"/>
    <n v="68875"/>
    <n v="7250"/>
    <n v="3552.5"/>
    <n v="65177.5"/>
    <n v="21508.575000000001"/>
    <n v="69677.5"/>
    <n v="72677.5"/>
    <n v="10102512.5"/>
    <n v="10800012.5"/>
    <n v="11265012.5"/>
    <n v="0"/>
    <n v="858713.56250000012"/>
    <n v="2"/>
    <n v="290000"/>
    <n v="290000"/>
    <n v="10392512.5"/>
  </r>
  <r>
    <m/>
    <s v="B"/>
    <x v="24"/>
    <s v="RESIDENTIAL"/>
    <x v="4"/>
    <n v="1"/>
    <x v="502"/>
    <x v="2"/>
    <s v="C1"/>
    <n v="129.58000000000001"/>
    <n v="140.70876529913636"/>
    <x v="32"/>
    <m/>
    <m/>
    <s v="NW"/>
    <s v="CORNER "/>
    <s v="ROAD 18M (BUILDINGS)"/>
    <s v="FORTH"/>
    <x v="0"/>
    <n v="0.13"/>
    <n v="0.05"/>
    <n v="0.15"/>
    <n v="0.06"/>
    <n v="3.5000000000000003E-2"/>
    <x v="39"/>
    <x v="0"/>
    <x v="12"/>
    <n v="50150"/>
    <n v="56050"/>
    <n v="5900"/>
    <n v="2507.4999999999995"/>
    <n v="52657.5"/>
    <n v="17376.975000000002"/>
    <n v="57157.5"/>
    <n v="60157.5"/>
    <n v="8319885"/>
    <n v="9030885"/>
    <n v="9504885"/>
    <n v="0"/>
    <n v="707190.22500000009"/>
    <n v="2"/>
    <n v="236000"/>
    <n v="236000"/>
    <n v="8555885"/>
  </r>
  <r>
    <m/>
    <s v="B"/>
    <x v="24"/>
    <s v="RESIDENTIAL"/>
    <x v="4"/>
    <n v="2"/>
    <x v="503"/>
    <x v="2"/>
    <s v="C1"/>
    <n v="131.38"/>
    <n v="142.66335534033439"/>
    <x v="33"/>
    <m/>
    <m/>
    <s v="SE"/>
    <s v="CORNER "/>
    <s v="LAKE B-1"/>
    <s v="FORTH"/>
    <x v="4"/>
    <n v="0.08"/>
    <n v="0.05"/>
    <n v="0.6"/>
    <n v="0.06"/>
    <n v="2.5000000000000001E-2"/>
    <x v="169"/>
    <x v="2"/>
    <x v="12"/>
    <n v="50150"/>
    <n v="56050"/>
    <n v="5900"/>
    <n v="4808.5"/>
    <n v="54958.5"/>
    <n v="18136.305"/>
    <n v="59458.5"/>
    <n v="62458.5"/>
    <n v="8793360"/>
    <n v="9513360"/>
    <n v="9993360"/>
    <n v="0"/>
    <n v="747435.60000000009"/>
    <n v="2"/>
    <n v="236000"/>
    <n v="236000"/>
    <n v="9029360"/>
  </r>
  <r>
    <m/>
    <s v="B"/>
    <x v="24"/>
    <s v="RESIDENTIAL"/>
    <x v="4"/>
    <n v="3"/>
    <x v="504"/>
    <x v="2"/>
    <s v="C1"/>
    <n v="127.19"/>
    <n v="138.1135040777678"/>
    <x v="35"/>
    <m/>
    <m/>
    <s v="SE"/>
    <s v="MIDDLE"/>
    <s v="LAKE B-1"/>
    <s v="FORTH"/>
    <x v="0"/>
    <n v="0.08"/>
    <n v="2.5000000000000001E-2"/>
    <n v="0.6"/>
    <n v="0.06"/>
    <n v="3.5000000000000003E-2"/>
    <x v="165"/>
    <x v="2"/>
    <x v="1"/>
    <n v="48450.000000000007"/>
    <n v="54150.000000000007"/>
    <n v="5700"/>
    <n v="4560"/>
    <n v="53010.000000000007"/>
    <n v="17493.300000000003"/>
    <n v="57510.000000000007"/>
    <n v="60510.000000000007"/>
    <n v="8216550.0000000009"/>
    <n v="8914050.0000000019"/>
    <n v="9379050.0000000019"/>
    <n v="0"/>
    <n v="698406.75000000012"/>
    <n v="2"/>
    <n v="228000.00000000003"/>
    <n v="228000.00000000003"/>
    <n v="8444550.0000000019"/>
  </r>
  <r>
    <m/>
    <s v="B"/>
    <x v="24"/>
    <s v="RESIDENTIAL"/>
    <x v="4"/>
    <n v="4"/>
    <x v="505"/>
    <x v="2"/>
    <s v="C1"/>
    <n v="125.13"/>
    <n v="135.87658436395222"/>
    <x v="31"/>
    <m/>
    <m/>
    <s v="NW"/>
    <s v="MIDDLE"/>
    <s v="ROAD 18M (BUILDINGS)"/>
    <s v="FORTH"/>
    <x v="0"/>
    <n v="0.13"/>
    <n v="2.5000000000000001E-2"/>
    <n v="0.15"/>
    <n v="0.06"/>
    <n v="3.5000000000000003E-2"/>
    <x v="98"/>
    <x v="0"/>
    <x v="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r>
  <r>
    <s v="B2"/>
    <s v="B"/>
    <x v="25"/>
    <s v="RESIDENTIAL"/>
    <x v="0"/>
    <n v="1"/>
    <x v="506"/>
    <x v="0"/>
    <s v="C1"/>
    <n v="94.92"/>
    <n v="105.12823941945527"/>
    <x v="17"/>
    <n v="62.982999999999997"/>
    <m/>
    <s v="NW"/>
    <s v="MIDDLE"/>
    <s v="ROAD 18M (BUILDINGS)"/>
    <s v="GROUND"/>
    <x v="1"/>
    <n v="0.13"/>
    <n v="2.5000000000000001E-2"/>
    <n v="0.15"/>
    <n v="0.05"/>
    <n v="0.04"/>
    <x v="145"/>
    <x v="0"/>
    <x v="2"/>
    <n v="45687.5"/>
    <n v="51062.5"/>
    <n v="5375"/>
    <n v="2123.125"/>
    <n v="47810.625"/>
    <n v="15777.50625"/>
    <n v="52310.625"/>
    <n v="55310.625"/>
    <n v="5546032.5"/>
    <n v="6068032.5"/>
    <n v="6416032.5"/>
    <n v="993714.67614374997"/>
    <n v="555878.50997221877"/>
    <n v="1"/>
    <n v="215000"/>
    <n v="215000"/>
    <n v="6754747.1761437505"/>
  </r>
  <r>
    <m/>
    <s v="B"/>
    <x v="25"/>
    <s v="RESIDENTIAL"/>
    <x v="0"/>
    <n v="2"/>
    <x v="507"/>
    <x v="2"/>
    <s v="C1"/>
    <n v="163.35"/>
    <n v="180.91759280623702"/>
    <x v="18"/>
    <n v="76.321799999999996"/>
    <m/>
    <s v="SE"/>
    <s v="MIDDLE"/>
    <s v="LAKE B-1"/>
    <s v="GROUND"/>
    <x v="3"/>
    <n v="0.08"/>
    <n v="2.5000000000000001E-2"/>
    <n v="0.6"/>
    <n v="0.05"/>
    <n v="1.4999999999999999E-2"/>
    <x v="156"/>
    <x v="2"/>
    <x v="6"/>
    <n v="44625"/>
    <n v="49875"/>
    <n v="5250"/>
    <n v="4042.5"/>
    <n v="48667.5"/>
    <n v="16060.275000000001"/>
    <n v="53167.5"/>
    <n v="56167.5"/>
    <n v="9684832.5"/>
    <n v="10580332.5"/>
    <n v="11177332.5"/>
    <n v="1225749.0964949999"/>
    <n v="927399.43570207513"/>
    <n v="2"/>
    <n v="210000"/>
    <n v="210000"/>
    <n v="11120581.596495001"/>
  </r>
  <r>
    <m/>
    <s v="B"/>
    <x v="25"/>
    <s v="RESIDENTIAL"/>
    <x v="0"/>
    <n v="3"/>
    <x v="508"/>
    <x v="3"/>
    <s v="C1"/>
    <n v="183.89"/>
    <n v="203.66658182515411"/>
    <x v="19"/>
    <n v="61.571399999999997"/>
    <m/>
    <s v="SE"/>
    <s v="CORNER "/>
    <s v="LAKE B-1"/>
    <s v="GROUND"/>
    <x v="3"/>
    <n v="0.08"/>
    <n v="0.05"/>
    <n v="0.6"/>
    <n v="0.05"/>
    <n v="1.4999999999999999E-2"/>
    <x v="123"/>
    <x v="2"/>
    <x v="5"/>
    <n v="46750.000000000007"/>
    <n v="52250.000000000007"/>
    <n v="5500"/>
    <n v="4372.5"/>
    <n v="51122.500000000007"/>
    <n v="16870.425000000003"/>
    <n v="55622.500000000007"/>
    <n v="58622.500000000007"/>
    <n v="11451440.000000002"/>
    <n v="12459440.000000002"/>
    <n v="13131440.000000002"/>
    <n v="1038735.6858450001"/>
    <n v="1061664.9332968253"/>
    <n v="2"/>
    <n v="220000.00000000003"/>
    <n v="220000.00000000003"/>
    <n v="12710175.685845003"/>
  </r>
  <r>
    <m/>
    <s v="B"/>
    <x v="25"/>
    <s v="RESIDENTIAL"/>
    <x v="0"/>
    <n v="4"/>
    <x v="509"/>
    <x v="2"/>
    <s v="C1"/>
    <n v="144.21"/>
    <n v="159.71916779055672"/>
    <x v="20"/>
    <n v="85.360500000000002"/>
    <m/>
    <s v="NW"/>
    <s v="CORNER "/>
    <s v="ROAD 18M (BUILDINGS)"/>
    <s v="GROUND"/>
    <x v="4"/>
    <n v="0.13"/>
    <n v="0.05"/>
    <n v="0.15"/>
    <n v="0.05"/>
    <n v="2.5000000000000001E-2"/>
    <x v="11"/>
    <x v="0"/>
    <x v="1"/>
    <n v="48450.000000000007"/>
    <n v="54150.000000000007"/>
    <n v="5700"/>
    <n v="2308.5"/>
    <n v="50758.500000000007"/>
    <n v="16750.305000000004"/>
    <n v="55258.500000000007"/>
    <n v="58258.500000000007"/>
    <n v="8933496.0000000019"/>
    <n v="9725496.0000000019"/>
    <n v="10253496.000000002"/>
    <n v="1429814.4099525004"/>
    <n v="880881.38484596275"/>
    <n v="2"/>
    <n v="228000.00000000003"/>
    <n v="228000.00000000003"/>
    <n v="10591310.409952503"/>
  </r>
  <r>
    <m/>
    <s v="B"/>
    <x v="25"/>
    <s v="RESIDENTIAL"/>
    <x v="1"/>
    <n v="1"/>
    <x v="510"/>
    <x v="0"/>
    <s v="C1"/>
    <n v="96.29"/>
    <n v="106.64557705119415"/>
    <x v="21"/>
    <m/>
    <m/>
    <s v="NW"/>
    <s v="MIDDLE"/>
    <s v="ROAD 18M (BUILDINGS)"/>
    <s v="FIRST"/>
    <x v="1"/>
    <n v="0.13"/>
    <n v="2.5000000000000001E-2"/>
    <n v="0.15"/>
    <n v="7.0000000000000007E-2"/>
    <n v="0.04"/>
    <x v="31"/>
    <x v="0"/>
    <x v="12"/>
    <n v="50150"/>
    <n v="56050"/>
    <n v="5900"/>
    <n v="2448.5"/>
    <n v="52598.5"/>
    <n v="17357.505000000001"/>
    <n v="57098.5"/>
    <n v="60098.5"/>
    <n v="6154024.5"/>
    <n v="6680524.5"/>
    <n v="7031524.5"/>
    <n v="0"/>
    <n v="523092.08250000002"/>
    <n v="1"/>
    <n v="236000"/>
    <n v="236000"/>
    <n v="6390024.5"/>
  </r>
  <r>
    <m/>
    <s v="B"/>
    <x v="25"/>
    <s v="RESIDENTIAL"/>
    <x v="1"/>
    <n v="2"/>
    <x v="511"/>
    <x v="2"/>
    <s v="C1"/>
    <n v="163.05000000000001"/>
    <n v="180.58532909125773"/>
    <x v="18"/>
    <m/>
    <m/>
    <s v="SE"/>
    <s v="MIDDLE"/>
    <s v="LAKE B-1"/>
    <s v="FIRST"/>
    <x v="3"/>
    <n v="0.08"/>
    <n v="2.5000000000000001E-2"/>
    <n v="0.6"/>
    <n v="7.0000000000000007E-2"/>
    <n v="1.4999999999999999E-2"/>
    <x v="168"/>
    <x v="2"/>
    <x v="5"/>
    <n v="46750.000000000007"/>
    <n v="52250.000000000007"/>
    <n v="5500"/>
    <n v="4345"/>
    <n v="51095.000000000007"/>
    <n v="16861.350000000002"/>
    <n v="55595.000000000007"/>
    <n v="58595.000000000007"/>
    <n v="10167905.000000002"/>
    <n v="11063405.000000002"/>
    <n v="11660405.000000002"/>
    <n v="0"/>
    <n v="864271.92500000016"/>
    <n v="2"/>
    <n v="220000.00000000003"/>
    <n v="220000.00000000003"/>
    <n v="10387905.000000002"/>
  </r>
  <r>
    <m/>
    <s v="B"/>
    <x v="25"/>
    <s v="RESIDENTIAL"/>
    <x v="1"/>
    <n v="3"/>
    <x v="512"/>
    <x v="3"/>
    <s v="C1"/>
    <n v="183.59"/>
    <n v="203.33431811017482"/>
    <x v="19"/>
    <m/>
    <m/>
    <s v="SE"/>
    <s v="CORNER "/>
    <s v="LAKE B-1"/>
    <s v="FIRST"/>
    <x v="3"/>
    <n v="0.08"/>
    <n v="0.05"/>
    <n v="0.6"/>
    <n v="7.0000000000000007E-2"/>
    <n v="1.4999999999999999E-2"/>
    <x v="169"/>
    <x v="2"/>
    <x v="12"/>
    <n v="50150"/>
    <n v="56050"/>
    <n v="5900"/>
    <n v="4808.5"/>
    <n v="54958.5"/>
    <n v="18136.305"/>
    <n v="59458.5"/>
    <n v="62458.5"/>
    <n v="12310704"/>
    <n v="13318704"/>
    <n v="13990704"/>
    <n v="0"/>
    <n v="1046409.8400000001"/>
    <n v="2"/>
    <n v="236000"/>
    <n v="236000"/>
    <n v="12546704"/>
  </r>
  <r>
    <m/>
    <s v="B"/>
    <x v="25"/>
    <s v="RESIDENTIAL"/>
    <x v="1"/>
    <n v="4"/>
    <x v="513"/>
    <x v="2"/>
    <s v="C1"/>
    <n v="141.59"/>
    <n v="156.81739801307072"/>
    <x v="22"/>
    <m/>
    <m/>
    <s v="NW"/>
    <s v="CORNER "/>
    <s v="ROAD 18M (BUILDINGS)"/>
    <s v="FIRST"/>
    <x v="4"/>
    <n v="0.13"/>
    <n v="0.05"/>
    <n v="0.15"/>
    <n v="7.0000000000000007E-2"/>
    <n v="2.5000000000000001E-2"/>
    <x v="147"/>
    <x v="0"/>
    <x v="4"/>
    <n v="51850"/>
    <n v="57950"/>
    <n v="6100"/>
    <n v="2592.5"/>
    <n v="54442.5"/>
    <n v="17966.025000000001"/>
    <n v="58942.5"/>
    <n v="61942.5"/>
    <n v="9418552.5"/>
    <n v="10197052.5"/>
    <n v="10716052.5"/>
    <n v="0"/>
    <n v="800576.96250000002"/>
    <n v="2"/>
    <n v="244000"/>
    <n v="244000"/>
    <n v="9662552.5"/>
  </r>
  <r>
    <m/>
    <s v="B"/>
    <x v="25"/>
    <s v="RESIDENTIAL"/>
    <x v="2"/>
    <n v="1"/>
    <x v="514"/>
    <x v="2"/>
    <s v="C1"/>
    <n v="141.15"/>
    <n v="156.33007789776772"/>
    <x v="23"/>
    <m/>
    <m/>
    <s v="NW"/>
    <s v="MIDDLE"/>
    <s v="ROAD 18M (BUILDINGS)"/>
    <s v="SECOND"/>
    <x v="4"/>
    <n v="0.13"/>
    <n v="2.5000000000000001E-2"/>
    <n v="0.15"/>
    <n v="0.11"/>
    <n v="2.5000000000000001E-2"/>
    <x v="148"/>
    <x v="0"/>
    <x v="4"/>
    <n v="51850"/>
    <n v="57950"/>
    <n v="6100"/>
    <n v="2684"/>
    <n v="54534"/>
    <n v="17996.22"/>
    <n v="59034"/>
    <n v="62034"/>
    <n v="9379848"/>
    <n v="10153848"/>
    <n v="10669848"/>
    <n v="0"/>
    <n v="797287.08000000007"/>
    <n v="2"/>
    <n v="244000"/>
    <n v="244000"/>
    <n v="9623848"/>
  </r>
  <r>
    <m/>
    <s v="B"/>
    <x v="25"/>
    <s v="RESIDENTIAL"/>
    <x v="2"/>
    <n v="2"/>
    <x v="515"/>
    <x v="2"/>
    <s v="C1"/>
    <n v="167.88"/>
    <n v="185.93477490242469"/>
    <x v="24"/>
    <m/>
    <m/>
    <s v="SE"/>
    <s v="MIDDLE"/>
    <s v="LAKE B-1"/>
    <s v="SECOND"/>
    <x v="3"/>
    <n v="0.08"/>
    <n v="2.5000000000000001E-2"/>
    <n v="0.6"/>
    <n v="0.11"/>
    <n v="1.4999999999999999E-2"/>
    <x v="172"/>
    <x v="2"/>
    <x v="12"/>
    <n v="50150"/>
    <n v="56050"/>
    <n v="5900"/>
    <n v="4897"/>
    <n v="55047"/>
    <n v="18165.510000000002"/>
    <n v="59547"/>
    <n v="62547"/>
    <n v="11284635"/>
    <n v="12207135"/>
    <n v="12822135"/>
    <n v="0"/>
    <n v="959193.97500000009"/>
    <n v="2"/>
    <n v="236000"/>
    <n v="236000"/>
    <n v="11520635"/>
  </r>
  <r>
    <m/>
    <s v="B"/>
    <x v="25"/>
    <s v="RESIDENTIAL"/>
    <x v="2"/>
    <n v="3"/>
    <x v="516"/>
    <x v="3"/>
    <s v="C1"/>
    <n v="187.09"/>
    <n v="207.21072811826681"/>
    <x v="25"/>
    <m/>
    <m/>
    <s v="SE"/>
    <s v="CORNER "/>
    <s v="LAKE B-1"/>
    <s v="SECOND"/>
    <x v="3"/>
    <n v="0.08"/>
    <n v="0.05"/>
    <n v="0.6"/>
    <n v="0.11"/>
    <n v="1.4999999999999999E-2"/>
    <x v="173"/>
    <x v="2"/>
    <x v="4"/>
    <n v="51850"/>
    <n v="57950"/>
    <n v="6100"/>
    <n v="5215.5"/>
    <n v="57065.5"/>
    <n v="18831.615000000002"/>
    <n v="61565.5"/>
    <n v="64565.5"/>
    <n v="13010934"/>
    <n v="14036934"/>
    <n v="14720934"/>
    <n v="0"/>
    <n v="1105929.3900000001"/>
    <n v="2"/>
    <n v="244000"/>
    <n v="244000"/>
    <n v="13254934"/>
  </r>
  <r>
    <m/>
    <s v="B"/>
    <x v="25"/>
    <s v="RESIDENTIAL"/>
    <x v="2"/>
    <n v="4"/>
    <x v="517"/>
    <x v="2"/>
    <s v="C1"/>
    <n v="143.97"/>
    <n v="159.45335681857327"/>
    <x v="20"/>
    <m/>
    <m/>
    <s v="NW"/>
    <s v="CORNER "/>
    <s v="ROAD 18M (BUILDINGS)"/>
    <s v="SECOND"/>
    <x v="4"/>
    <n v="0.13"/>
    <n v="0.05"/>
    <n v="0.15"/>
    <n v="0.11"/>
    <n v="2.5000000000000001E-2"/>
    <x v="21"/>
    <x v="0"/>
    <x v="9"/>
    <n v="58649.999999999993"/>
    <n v="65550"/>
    <n v="6900.0000000000073"/>
    <n v="3208.5000000000032"/>
    <n v="61858.499999999993"/>
    <n v="20413.305"/>
    <n v="66358.5"/>
    <n v="69358.5"/>
    <n v="10887095.999999998"/>
    <n v="11679096"/>
    <n v="12207096"/>
    <n v="0"/>
    <n v="925403.15999999992"/>
    <n v="2"/>
    <n v="276000"/>
    <n v="276000"/>
    <n v="11163095.999999998"/>
  </r>
  <r>
    <m/>
    <s v="B"/>
    <x v="25"/>
    <s v="RESIDENTIAL"/>
    <x v="3"/>
    <n v="1"/>
    <x v="518"/>
    <x v="2"/>
    <s v="C1"/>
    <n v="141.38999999999999"/>
    <n v="156.59588886975115"/>
    <x v="23"/>
    <m/>
    <m/>
    <s v="NW"/>
    <s v="MIDDLE"/>
    <s v="ROAD 18M (BUILDINGS)"/>
    <s v="THIRD"/>
    <x v="4"/>
    <n v="0.13"/>
    <n v="2.5000000000000001E-2"/>
    <n v="0.15"/>
    <n v="0.15"/>
    <n v="2.5000000000000001E-2"/>
    <x v="28"/>
    <x v="0"/>
    <x v="7"/>
    <n v="61625"/>
    <n v="68875"/>
    <n v="7250"/>
    <n v="3480"/>
    <n v="65105"/>
    <n v="21484.65"/>
    <n v="69605"/>
    <n v="72605"/>
    <n v="11198060"/>
    <n v="11972060"/>
    <n v="12488060"/>
    <n v="0"/>
    <n v="951835.10000000009"/>
    <n v="2"/>
    <n v="290000"/>
    <n v="290000"/>
    <n v="11488060"/>
  </r>
  <r>
    <m/>
    <s v="B"/>
    <x v="25"/>
    <s v="RESIDENTIAL"/>
    <x v="3"/>
    <n v="2"/>
    <x v="519"/>
    <x v="2"/>
    <s v="C1"/>
    <n v="165.71"/>
    <n v="183.53140069740763"/>
    <x v="26"/>
    <m/>
    <m/>
    <s v="SE"/>
    <s v="MIDDLE"/>
    <s v="LAKE B-1"/>
    <s v="THIRD"/>
    <x v="3"/>
    <n v="0.08"/>
    <n v="2.5000000000000001E-2"/>
    <n v="0.6"/>
    <n v="0.15"/>
    <n v="1.4999999999999999E-2"/>
    <x v="174"/>
    <x v="2"/>
    <x v="10"/>
    <n v="53550"/>
    <n v="59850"/>
    <n v="6300"/>
    <n v="5481"/>
    <n v="59031"/>
    <n v="19480.23"/>
    <n v="63531"/>
    <n v="66531"/>
    <n v="11924262"/>
    <n v="12833262"/>
    <n v="13439262"/>
    <n v="0"/>
    <n v="1013562.27"/>
    <n v="2"/>
    <n v="252000"/>
    <n v="252000"/>
    <n v="12176262"/>
  </r>
  <r>
    <m/>
    <s v="B"/>
    <x v="25"/>
    <s v="RESIDENTIAL"/>
    <x v="3"/>
    <n v="3"/>
    <x v="520"/>
    <x v="3"/>
    <s v="C1"/>
    <n v="187.91"/>
    <n v="208.11891560587694"/>
    <x v="27"/>
    <m/>
    <m/>
    <s v="SE"/>
    <s v="CORNER "/>
    <s v="LAKE B-1"/>
    <s v="THIRD"/>
    <x v="3"/>
    <n v="0.08"/>
    <n v="0.05"/>
    <n v="0.6"/>
    <n v="0.15"/>
    <n v="1.4999999999999999E-2"/>
    <x v="175"/>
    <x v="2"/>
    <x v="9"/>
    <n v="58649.999999999993"/>
    <n v="65550"/>
    <n v="6900.0000000000073"/>
    <n v="6175.5000000000064"/>
    <n v="64825.5"/>
    <n v="21392.415000000001"/>
    <n v="69325.5"/>
    <n v="72325.5"/>
    <n v="14845039.5"/>
    <n v="15875539.5"/>
    <n v="16562539.5"/>
    <n v="0"/>
    <n v="1261828.3575000002"/>
    <n v="2"/>
    <n v="276000"/>
    <n v="276000"/>
    <n v="15121039.5"/>
  </r>
  <r>
    <m/>
    <s v="B"/>
    <x v="25"/>
    <s v="RESIDENTIAL"/>
    <x v="3"/>
    <n v="4"/>
    <x v="521"/>
    <x v="2"/>
    <s v="C1"/>
    <n v="144.21"/>
    <n v="159.71916779055672"/>
    <x v="20"/>
    <m/>
    <m/>
    <s v="NW"/>
    <s v="CORNER "/>
    <s v="ROAD 18M (BUILDINGS)"/>
    <s v="THIRD"/>
    <x v="4"/>
    <n v="0.13"/>
    <n v="0.05"/>
    <n v="0.15"/>
    <n v="0.15"/>
    <n v="2.5000000000000001E-2"/>
    <x v="23"/>
    <x v="1"/>
    <x v="3"/>
    <n v="42500"/>
    <n v="47500"/>
    <n v="5000"/>
    <n v="2525"/>
    <n v="45025"/>
    <n v="14858.25"/>
    <n v="49525"/>
    <n v="52525"/>
    <n v="7924400"/>
    <n v="8716400"/>
    <n v="9244400"/>
    <n v="0"/>
    <n v="673574"/>
    <n v="2"/>
    <n v="200000"/>
    <n v="200000"/>
    <n v="8124400"/>
  </r>
  <r>
    <m/>
    <s v="B"/>
    <x v="25"/>
    <s v="RESIDENTIAL"/>
    <x v="4"/>
    <n v="1"/>
    <x v="522"/>
    <x v="2"/>
    <s v="C1"/>
    <n v="139.09"/>
    <n v="154.04853372157643"/>
    <x v="28"/>
    <m/>
    <m/>
    <s v="NW"/>
    <s v="MIDDLE"/>
    <s v="ROAD 18M (BUILDINGS)"/>
    <s v="FORTH"/>
    <x v="4"/>
    <n v="0.13"/>
    <n v="2.5000000000000001E-2"/>
    <n v="0.15"/>
    <n v="0.06"/>
    <n v="2.5000000000000001E-2"/>
    <x v="152"/>
    <x v="0"/>
    <x v="2"/>
    <n v="45687.5"/>
    <n v="51062.5"/>
    <n v="5375"/>
    <n v="2096.25"/>
    <n v="47783.75"/>
    <n v="15768.637500000001"/>
    <n v="52283.75"/>
    <n v="55283.75"/>
    <n v="8123237.5"/>
    <n v="8888237.5"/>
    <n v="9398237.5"/>
    <n v="0"/>
    <n v="690475.1875"/>
    <n v="2"/>
    <n v="215000"/>
    <n v="215000"/>
    <n v="8338237.5"/>
  </r>
  <r>
    <m/>
    <s v="B"/>
    <x v="25"/>
    <s v="RESIDENTIAL"/>
    <x v="4"/>
    <n v="2"/>
    <x v="523"/>
    <x v="2"/>
    <s v="C1"/>
    <n v="163.35"/>
    <n v="180.91759280623702"/>
    <x v="18"/>
    <m/>
    <m/>
    <s v="SE"/>
    <s v="MIDDLE"/>
    <s v="LAKE B-1"/>
    <s v="FORTH"/>
    <x v="3"/>
    <n v="0.08"/>
    <n v="2.5000000000000001E-2"/>
    <n v="0.6"/>
    <n v="0.06"/>
    <n v="1.4999999999999999E-2"/>
    <x v="176"/>
    <x v="2"/>
    <x v="2"/>
    <n v="45687.5"/>
    <n v="51062.5"/>
    <n v="5375"/>
    <n v="4192.5"/>
    <n v="49880"/>
    <n v="16460.400000000001"/>
    <n v="54380"/>
    <n v="57380"/>
    <n v="9926120"/>
    <n v="10821620"/>
    <n v="11418620"/>
    <n v="0"/>
    <n v="843720.20000000007"/>
    <n v="2"/>
    <n v="215000"/>
    <n v="215000"/>
    <n v="10141120"/>
  </r>
  <r>
    <m/>
    <s v="B"/>
    <x v="25"/>
    <s v="RESIDENTIAL"/>
    <x v="4"/>
    <n v="3"/>
    <x v="524"/>
    <x v="3"/>
    <s v="C1"/>
    <n v="182.56"/>
    <n v="202.19354602207918"/>
    <x v="29"/>
    <m/>
    <m/>
    <s v="SE"/>
    <s v="CORNER "/>
    <s v="LAKE B-1"/>
    <s v="FORTH"/>
    <x v="3"/>
    <n v="0.08"/>
    <n v="0.05"/>
    <n v="0.6"/>
    <n v="0.06"/>
    <n v="1.4999999999999999E-2"/>
    <x v="96"/>
    <x v="2"/>
    <x v="1"/>
    <n v="48450.000000000007"/>
    <n v="54150.000000000007"/>
    <n v="5700"/>
    <n v="4588.5"/>
    <n v="53038.500000000007"/>
    <n v="17502.705000000002"/>
    <n v="57538.500000000007"/>
    <n v="60538.500000000007"/>
    <n v="11827585.500000002"/>
    <n v="12831085.500000002"/>
    <n v="13500085.500000002"/>
    <n v="0"/>
    <n v="1005344.7675000002"/>
    <n v="2"/>
    <n v="228000.00000000003"/>
    <n v="228000.00000000003"/>
    <n v="12055585.500000002"/>
  </r>
  <r>
    <m/>
    <s v="B"/>
    <x v="25"/>
    <s v="RESIDENTIAL"/>
    <x v="4"/>
    <n v="4"/>
    <x v="525"/>
    <x v="2"/>
    <s v="C1"/>
    <n v="141.91"/>
    <n v="157.17181264238198"/>
    <x v="22"/>
    <m/>
    <m/>
    <s v="NW"/>
    <s v="CORNER "/>
    <s v="ROAD 18M (BUILDINGS)"/>
    <s v="FORTH"/>
    <x v="4"/>
    <n v="0.13"/>
    <n v="0.05"/>
    <n v="0.15"/>
    <n v="0.06"/>
    <n v="2.5000000000000001E-2"/>
    <x v="31"/>
    <x v="0"/>
    <x v="12"/>
    <n v="50150"/>
    <n v="56050"/>
    <n v="5900"/>
    <n v="2448.5"/>
    <n v="52598.5"/>
    <n v="17357.505000000001"/>
    <n v="57098.5"/>
    <n v="60098.5"/>
    <n v="9099540.5"/>
    <n v="9878040.5"/>
    <n v="10397040.5"/>
    <n v="0"/>
    <n v="773460.9425"/>
    <n v="2"/>
    <n v="236000"/>
    <n v="236000"/>
    <n v="9335540.5"/>
  </r>
  <r>
    <s v="B2"/>
    <s v="B"/>
    <x v="26"/>
    <s v="RESIDENTIAL"/>
    <x v="0"/>
    <n v="1"/>
    <x v="526"/>
    <x v="2"/>
    <s v="C1"/>
    <n v="144.21"/>
    <n v="159.71916779055672"/>
    <x v="20"/>
    <n v="80.513400000000004"/>
    <m/>
    <s v="NW"/>
    <s v="CORNER "/>
    <s v="MAIN GATE &amp; LAKE ENTRANCE"/>
    <s v="GROUND"/>
    <x v="4"/>
    <n v="0.13"/>
    <n v="0.05"/>
    <n v="0.25"/>
    <n v="0.05"/>
    <n v="2.5000000000000001E-2"/>
    <x v="23"/>
    <x v="1"/>
    <x v="3"/>
    <n v="42500"/>
    <n v="47500"/>
    <n v="5000"/>
    <n v="2525"/>
    <n v="45025"/>
    <n v="14858.25"/>
    <n v="49525"/>
    <n v="52525"/>
    <n v="7924400"/>
    <n v="8716400"/>
    <n v="9244400"/>
    <n v="1196288.2255500001"/>
    <n v="775258.49917175004"/>
    <n v="2"/>
    <n v="200000"/>
    <n v="200000"/>
    <n v="9320688.2255499996"/>
  </r>
  <r>
    <m/>
    <s v="B"/>
    <x v="26"/>
    <s v="RESIDENTIAL"/>
    <x v="0"/>
    <n v="2"/>
    <x v="527"/>
    <x v="3"/>
    <s v="C1"/>
    <n v="183.89"/>
    <n v="203.66658182515411"/>
    <x v="19"/>
    <n v="61.571399999999997"/>
    <m/>
    <s v="SE"/>
    <s v="CORNER "/>
    <s v="LAKE B-1"/>
    <s v="GROUND"/>
    <x v="3"/>
    <n v="0.08"/>
    <n v="0.05"/>
    <n v="0.6"/>
    <n v="0.05"/>
    <n v="1.4999999999999999E-2"/>
    <x v="123"/>
    <x v="2"/>
    <x v="5"/>
    <n v="46750.000000000007"/>
    <n v="52250.000000000007"/>
    <n v="5500"/>
    <n v="4372.5"/>
    <n v="51122.500000000007"/>
    <n v="16870.425000000003"/>
    <n v="55622.500000000007"/>
    <n v="58622.500000000007"/>
    <n v="11451440.000000002"/>
    <n v="12459440.000000002"/>
    <n v="13131440.000000002"/>
    <n v="1038735.6858450001"/>
    <n v="1061664.9332968253"/>
    <n v="2"/>
    <n v="220000.00000000003"/>
    <n v="220000.00000000003"/>
    <n v="12710175.685845003"/>
  </r>
  <r>
    <m/>
    <s v="B"/>
    <x v="26"/>
    <s v="RESIDENTIAL"/>
    <x v="0"/>
    <n v="3"/>
    <x v="528"/>
    <x v="2"/>
    <s v="C1"/>
    <n v="163.35"/>
    <n v="180.91759280623702"/>
    <x v="18"/>
    <n v="76.321799999999996"/>
    <m/>
    <s v="SE"/>
    <s v="MIDDLE"/>
    <s v="LAKE B-1"/>
    <s v="GROUND"/>
    <x v="3"/>
    <n v="0.08"/>
    <n v="2.5000000000000001E-2"/>
    <n v="0.6"/>
    <n v="0.05"/>
    <n v="1.4999999999999999E-2"/>
    <x v="156"/>
    <x v="2"/>
    <x v="2"/>
    <n v="45687.5"/>
    <n v="51062.5"/>
    <n v="5375"/>
    <n v="4138.75"/>
    <n v="49826.25"/>
    <n v="16442.662500000002"/>
    <n v="54326.25"/>
    <n v="57326.25"/>
    <n v="9915423.75"/>
    <n v="10810923.75"/>
    <n v="11407923.75"/>
    <n v="1254933.5987925001"/>
    <n v="949480.37464736262"/>
    <n v="2"/>
    <n v="215000"/>
    <n v="215000"/>
    <n v="11385357.348792501"/>
  </r>
  <r>
    <m/>
    <s v="B"/>
    <x v="26"/>
    <s v="RESIDENTIAL"/>
    <x v="0"/>
    <n v="4"/>
    <x v="529"/>
    <x v="2"/>
    <s v="C1"/>
    <n v="94.92"/>
    <n v="105.12823941945527"/>
    <x v="17"/>
    <n v="62.141199999999998"/>
    <m/>
    <s v="NW"/>
    <s v="MIDDLE"/>
    <s v="MAIN GATE &amp; LAKE ENTRANCE"/>
    <s v="GROUND"/>
    <x v="1"/>
    <n v="0.13"/>
    <n v="2.5000000000000001E-2"/>
    <n v="0.25"/>
    <n v="0.05"/>
    <n v="0.04"/>
    <x v="19"/>
    <x v="0"/>
    <x v="7"/>
    <n v="61625"/>
    <n v="68875"/>
    <n v="7250"/>
    <n v="3588.75"/>
    <n v="65213.75"/>
    <n v="21520.537500000002"/>
    <n v="69713.75"/>
    <n v="72713.75"/>
    <n v="7564795"/>
    <n v="8086795"/>
    <n v="8434795"/>
    <n v="1337312.024895"/>
    <n v="756679.09711607499"/>
    <n v="1"/>
    <n v="290000"/>
    <n v="290000"/>
    <n v="9192107.0248949993"/>
  </r>
  <r>
    <m/>
    <s v="B"/>
    <x v="26"/>
    <s v="RESIDENTIAL"/>
    <x v="1"/>
    <n v="1"/>
    <x v="530"/>
    <x v="2"/>
    <s v="C1"/>
    <n v="141.59"/>
    <n v="156.81739801307072"/>
    <x v="22"/>
    <m/>
    <m/>
    <s v="NW"/>
    <s v="CORNER "/>
    <s v="MAIN GATE &amp; LAKE ENTRANCE"/>
    <s v="FIRST"/>
    <x v="4"/>
    <n v="0.13"/>
    <n v="0.05"/>
    <n v="0.25"/>
    <n v="7.0000000000000007E-2"/>
    <n v="2.5000000000000001E-2"/>
    <x v="50"/>
    <x v="1"/>
    <x v="3"/>
    <n v="42500"/>
    <n v="47500"/>
    <n v="5000"/>
    <n v="2625"/>
    <n v="45125"/>
    <n v="14891.25"/>
    <n v="49625"/>
    <n v="52625"/>
    <n v="7806625"/>
    <n v="8585125"/>
    <n v="9104125"/>
    <n v="0"/>
    <n v="663563.125"/>
    <n v="2"/>
    <n v="200000"/>
    <n v="200000"/>
    <n v="8006625"/>
  </r>
  <r>
    <m/>
    <s v="B"/>
    <x v="26"/>
    <s v="RESIDENTIAL"/>
    <x v="1"/>
    <n v="2"/>
    <x v="531"/>
    <x v="3"/>
    <s v="C1"/>
    <n v="183.59"/>
    <n v="203.33431811017482"/>
    <x v="19"/>
    <m/>
    <m/>
    <s v="SE"/>
    <s v="CORNER "/>
    <s v="LAKE B-1"/>
    <s v="FIRST"/>
    <x v="3"/>
    <n v="0.08"/>
    <n v="0.05"/>
    <n v="0.6"/>
    <n v="7.0000000000000007E-2"/>
    <n v="1.4999999999999999E-2"/>
    <x v="169"/>
    <x v="2"/>
    <x v="12"/>
    <n v="50150"/>
    <n v="56050"/>
    <n v="5900"/>
    <n v="4808.5"/>
    <n v="54958.5"/>
    <n v="18136.305"/>
    <n v="59458.5"/>
    <n v="62458.5"/>
    <n v="12310704"/>
    <n v="13318704"/>
    <n v="13990704"/>
    <n v="0"/>
    <n v="1046409.8400000001"/>
    <n v="2"/>
    <n v="236000"/>
    <n v="236000"/>
    <n v="12546704"/>
  </r>
  <r>
    <m/>
    <s v="B"/>
    <x v="26"/>
    <s v="RESIDENTIAL"/>
    <x v="1"/>
    <n v="3"/>
    <x v="532"/>
    <x v="2"/>
    <s v="C1"/>
    <n v="163.05000000000001"/>
    <n v="180.58532909125773"/>
    <x v="18"/>
    <m/>
    <m/>
    <s v="SE"/>
    <s v="MIDDLE"/>
    <s v="LAKE B-1"/>
    <s v="FIRST"/>
    <x v="3"/>
    <n v="0.08"/>
    <n v="2.5000000000000001E-2"/>
    <n v="0.6"/>
    <n v="7.0000000000000007E-2"/>
    <n v="1.4999999999999999E-2"/>
    <x v="168"/>
    <x v="2"/>
    <x v="5"/>
    <n v="46750.000000000007"/>
    <n v="52250.000000000007"/>
    <n v="5500"/>
    <n v="4345"/>
    <n v="51095.000000000007"/>
    <n v="16861.350000000002"/>
    <n v="55595.000000000007"/>
    <n v="58595.000000000007"/>
    <n v="10167905.000000002"/>
    <n v="11063405.000000002"/>
    <n v="11660405.000000002"/>
    <n v="0"/>
    <n v="864271.92500000016"/>
    <n v="2"/>
    <n v="220000.00000000003"/>
    <n v="220000.00000000003"/>
    <n v="10387905.000000002"/>
  </r>
  <r>
    <m/>
    <s v="B"/>
    <x v="26"/>
    <s v="RESIDENTIAL"/>
    <x v="1"/>
    <n v="4"/>
    <x v="533"/>
    <x v="0"/>
    <s v="C1"/>
    <n v="96.29"/>
    <n v="106.64557705119415"/>
    <x v="21"/>
    <m/>
    <m/>
    <s v="NW"/>
    <s v="MIDDLE"/>
    <s v="MAIN GATE &amp; LAKE ENTRANCE"/>
    <s v="FIRST"/>
    <x v="1"/>
    <n v="0.13"/>
    <n v="2.5000000000000001E-2"/>
    <n v="0.25"/>
    <n v="7.0000000000000007E-2"/>
    <n v="0.04"/>
    <x v="20"/>
    <x v="1"/>
    <x v="3"/>
    <n v="42500"/>
    <n v="47500"/>
    <n v="5000"/>
    <n v="2575"/>
    <n v="45075"/>
    <n v="14874.75"/>
    <n v="49575"/>
    <n v="52575"/>
    <n v="5273775"/>
    <n v="5800275"/>
    <n v="6151275"/>
    <n v="0"/>
    <n v="448270.87500000006"/>
    <n v="1"/>
    <n v="200000"/>
    <n v="200000"/>
    <n v="5473775"/>
  </r>
  <r>
    <m/>
    <s v="B"/>
    <x v="26"/>
    <s v="RESIDENTIAL"/>
    <x v="2"/>
    <n v="1"/>
    <x v="534"/>
    <x v="2"/>
    <s v="C1"/>
    <n v="143.97"/>
    <n v="159.45335681857327"/>
    <x v="20"/>
    <m/>
    <m/>
    <s v="NW"/>
    <s v="CORNER "/>
    <s v="MAIN GATE &amp; LAKE ENTRANCE"/>
    <s v="SECOND"/>
    <x v="4"/>
    <n v="0.13"/>
    <n v="0.05"/>
    <n v="0.25"/>
    <n v="0.11"/>
    <n v="2.5000000000000001E-2"/>
    <x v="177"/>
    <x v="1"/>
    <x v="3"/>
    <n v="42500"/>
    <n v="47500"/>
    <n v="5000"/>
    <n v="2825.0000000000005"/>
    <n v="45325"/>
    <n v="14957.25"/>
    <n v="49825"/>
    <n v="52825"/>
    <n v="7977200"/>
    <n v="8769200"/>
    <n v="9297200"/>
    <n v="0"/>
    <n v="678062"/>
    <n v="2"/>
    <n v="200000"/>
    <n v="200000"/>
    <n v="8177200"/>
  </r>
  <r>
    <m/>
    <s v="B"/>
    <x v="26"/>
    <s v="RESIDENTIAL"/>
    <x v="2"/>
    <n v="2"/>
    <x v="535"/>
    <x v="3"/>
    <s v="C1"/>
    <n v="187.09"/>
    <n v="207.21072811826681"/>
    <x v="25"/>
    <m/>
    <m/>
    <s v="SE"/>
    <s v="CORNER "/>
    <s v="LAKE B-1"/>
    <s v="SECOND"/>
    <x v="3"/>
    <n v="0.08"/>
    <n v="0.05"/>
    <n v="0.6"/>
    <n v="0.11"/>
    <n v="1.4999999999999999E-2"/>
    <x v="173"/>
    <x v="2"/>
    <x v="4"/>
    <n v="51850"/>
    <n v="57950"/>
    <n v="6100"/>
    <n v="5215.5"/>
    <n v="57065.5"/>
    <n v="18831.615000000002"/>
    <n v="61565.5"/>
    <n v="64565.5"/>
    <n v="13010934"/>
    <n v="14036934"/>
    <n v="14720934"/>
    <n v="0"/>
    <n v="1105929.3900000001"/>
    <n v="2"/>
    <n v="244000"/>
    <n v="244000"/>
    <n v="13254934"/>
  </r>
  <r>
    <m/>
    <s v="B"/>
    <x v="26"/>
    <s v="RESIDENTIAL"/>
    <x v="2"/>
    <n v="3"/>
    <x v="536"/>
    <x v="2"/>
    <s v="C1"/>
    <n v="167.88"/>
    <n v="185.93477490242469"/>
    <x v="24"/>
    <m/>
    <m/>
    <s v="SE"/>
    <s v="MIDDLE"/>
    <s v="LAKE B-1"/>
    <s v="SECOND"/>
    <x v="3"/>
    <n v="0.08"/>
    <n v="2.5000000000000001E-2"/>
    <n v="0.6"/>
    <n v="0.11"/>
    <n v="1.4999999999999999E-2"/>
    <x v="172"/>
    <x v="2"/>
    <x v="4"/>
    <n v="51850"/>
    <n v="57950"/>
    <n v="6100"/>
    <n v="5063"/>
    <n v="56913"/>
    <n v="18781.29"/>
    <n v="61413"/>
    <n v="64413"/>
    <n v="11667165"/>
    <n v="12589665"/>
    <n v="13204665"/>
    <n v="0"/>
    <n v="991709.02500000002"/>
    <n v="2"/>
    <n v="244000"/>
    <n v="244000"/>
    <n v="11911165"/>
  </r>
  <r>
    <m/>
    <s v="B"/>
    <x v="26"/>
    <s v="RESIDENTIAL"/>
    <x v="2"/>
    <n v="4"/>
    <x v="537"/>
    <x v="2"/>
    <s v="C1"/>
    <n v="141.15"/>
    <n v="156.33007789776772"/>
    <x v="23"/>
    <m/>
    <m/>
    <s v="NW"/>
    <s v="MIDDLE"/>
    <s v="MAIN GATE &amp; LAKE ENTRANCE"/>
    <s v="SECOND"/>
    <x v="4"/>
    <n v="0.13"/>
    <n v="2.5000000000000001E-2"/>
    <n v="0.25"/>
    <n v="0.11"/>
    <n v="2.5000000000000001E-2"/>
    <x v="32"/>
    <x v="1"/>
    <x v="3"/>
    <n v="42500"/>
    <n v="47500"/>
    <n v="5000"/>
    <n v="2700"/>
    <n v="45200"/>
    <n v="14916"/>
    <n v="49700"/>
    <n v="52700"/>
    <n v="7774400"/>
    <n v="8548400"/>
    <n v="9064400"/>
    <n v="0"/>
    <n v="660824"/>
    <n v="2"/>
    <n v="200000"/>
    <n v="200000"/>
    <n v="7974400"/>
  </r>
  <r>
    <m/>
    <s v="B"/>
    <x v="26"/>
    <s v="RESIDENTIAL"/>
    <x v="3"/>
    <n v="1"/>
    <x v="538"/>
    <x v="2"/>
    <s v="C1"/>
    <n v="144.21"/>
    <n v="159.71916779055672"/>
    <x v="20"/>
    <m/>
    <m/>
    <s v="NW"/>
    <s v="CORNER "/>
    <s v="MAIN GATE &amp; LAKE ENTRANCE"/>
    <s v="THIRD"/>
    <x v="4"/>
    <n v="0.13"/>
    <n v="0.05"/>
    <n v="0.25"/>
    <n v="0.15"/>
    <n v="2.5000000000000001E-2"/>
    <x v="178"/>
    <x v="1"/>
    <x v="0"/>
    <n v="43562.499999999993"/>
    <n v="48687.499999999993"/>
    <n v="5125"/>
    <n v="3100.625"/>
    <n v="46663.124999999993"/>
    <n v="15398.831249999997"/>
    <n v="51163.124999999993"/>
    <n v="54163.124999999993"/>
    <n v="8212709.9999999991"/>
    <n v="9004709.9999999981"/>
    <n v="9532709.9999999981"/>
    <n v="0"/>
    <n v="698080.35"/>
    <n v="2"/>
    <n v="204999.99999999997"/>
    <n v="204999.99999999997"/>
    <n v="8417709.9999999981"/>
  </r>
  <r>
    <m/>
    <s v="B"/>
    <x v="26"/>
    <s v="RESIDENTIAL"/>
    <x v="3"/>
    <n v="2"/>
    <x v="539"/>
    <x v="3"/>
    <s v="C1"/>
    <n v="187.91"/>
    <n v="208.11891560587694"/>
    <x v="27"/>
    <m/>
    <m/>
    <s v="SE"/>
    <s v="CORNER "/>
    <s v="LAKE B-1"/>
    <s v="THIRD"/>
    <x v="3"/>
    <n v="0.08"/>
    <n v="0.05"/>
    <n v="0.6"/>
    <n v="0.15"/>
    <n v="1.4999999999999999E-2"/>
    <x v="175"/>
    <x v="2"/>
    <x v="9"/>
    <n v="58649.999999999993"/>
    <n v="65550"/>
    <n v="6900.0000000000073"/>
    <n v="6175.5000000000064"/>
    <n v="64825.5"/>
    <n v="21392.415000000001"/>
    <n v="69325.5"/>
    <n v="72325.5"/>
    <n v="14845039.5"/>
    <n v="15875539.5"/>
    <n v="16562539.5"/>
    <n v="0"/>
    <n v="1261828.3575000002"/>
    <n v="2"/>
    <n v="276000"/>
    <n v="276000"/>
    <n v="15121039.5"/>
  </r>
  <r>
    <m/>
    <s v="B"/>
    <x v="26"/>
    <s v="RESIDENTIAL"/>
    <x v="3"/>
    <n v="3"/>
    <x v="540"/>
    <x v="2"/>
    <s v="C1"/>
    <n v="165.71"/>
    <n v="183.53140069740763"/>
    <x v="26"/>
    <m/>
    <m/>
    <s v="SE"/>
    <s v="MIDDLE"/>
    <s v="LAKE B-1"/>
    <s v="THIRD"/>
    <x v="3"/>
    <n v="0.08"/>
    <n v="2.5000000000000001E-2"/>
    <n v="0.6"/>
    <n v="0.15"/>
    <n v="1.4999999999999999E-2"/>
    <x v="174"/>
    <x v="2"/>
    <x v="10"/>
    <n v="53550"/>
    <n v="59850"/>
    <n v="6300"/>
    <n v="5481"/>
    <n v="59031"/>
    <n v="19480.23"/>
    <n v="63531"/>
    <n v="66531"/>
    <n v="11924262"/>
    <n v="12833262"/>
    <n v="13439262"/>
    <n v="0"/>
    <n v="1013562.27"/>
    <n v="2"/>
    <n v="252000"/>
    <n v="252000"/>
    <n v="12176262"/>
  </r>
  <r>
    <m/>
    <s v="B"/>
    <x v="26"/>
    <s v="RESIDENTIAL"/>
    <x v="3"/>
    <n v="4"/>
    <x v="541"/>
    <x v="2"/>
    <s v="C1"/>
    <n v="141.38999999999999"/>
    <n v="156.59588886975115"/>
    <x v="23"/>
    <m/>
    <m/>
    <s v="NW"/>
    <s v="MIDDLE"/>
    <s v="MAIN GATE &amp; LAKE ENTRANCE"/>
    <s v="THIRD"/>
    <x v="4"/>
    <n v="0.13"/>
    <n v="2.5000000000000001E-2"/>
    <n v="0.25"/>
    <n v="0.15"/>
    <n v="2.5000000000000001E-2"/>
    <x v="34"/>
    <x v="1"/>
    <x v="3"/>
    <n v="42500"/>
    <n v="47500"/>
    <n v="5000"/>
    <n v="2900.0000000000005"/>
    <n v="45400"/>
    <n v="14982"/>
    <n v="49900"/>
    <n v="52900"/>
    <n v="7808800"/>
    <n v="8582800"/>
    <n v="9098800"/>
    <n v="0"/>
    <n v="663748"/>
    <n v="2"/>
    <n v="200000"/>
    <n v="200000"/>
    <n v="8008800"/>
  </r>
  <r>
    <m/>
    <s v="B"/>
    <x v="26"/>
    <s v="RESIDENTIAL"/>
    <x v="4"/>
    <n v="1"/>
    <x v="542"/>
    <x v="2"/>
    <s v="C1"/>
    <n v="141.91"/>
    <n v="157.17181264238198"/>
    <x v="22"/>
    <m/>
    <m/>
    <s v="NW"/>
    <s v="CORNER "/>
    <s v="MAIN GATE &amp; LAKE ENTRANCE"/>
    <s v="FORTH"/>
    <x v="4"/>
    <n v="0.13"/>
    <n v="0.05"/>
    <n v="0.25"/>
    <n v="0.06"/>
    <n v="2.5000000000000001E-2"/>
    <x v="20"/>
    <x v="1"/>
    <x v="3"/>
    <n v="42500"/>
    <n v="47500"/>
    <n v="5000"/>
    <n v="2575"/>
    <n v="45075"/>
    <n v="14874.75"/>
    <n v="49575"/>
    <n v="52575"/>
    <n v="7797975"/>
    <n v="8576475"/>
    <n v="9095475"/>
    <n v="0"/>
    <n v="662827.875"/>
    <n v="2"/>
    <n v="200000"/>
    <n v="200000"/>
    <n v="7997975"/>
  </r>
  <r>
    <m/>
    <s v="B"/>
    <x v="26"/>
    <s v="RESIDENTIAL"/>
    <x v="4"/>
    <n v="2"/>
    <x v="543"/>
    <x v="3"/>
    <s v="C1"/>
    <n v="182.56"/>
    <n v="202.19354602207918"/>
    <x v="29"/>
    <m/>
    <m/>
    <s v="SE"/>
    <s v="CORNER "/>
    <s v="LAKE B-1"/>
    <s v="FORTH"/>
    <x v="3"/>
    <n v="0.08"/>
    <n v="0.05"/>
    <n v="0.6"/>
    <n v="0.06"/>
    <n v="1.4999999999999999E-2"/>
    <x v="96"/>
    <x v="2"/>
    <x v="1"/>
    <n v="48450.000000000007"/>
    <n v="54150.000000000007"/>
    <n v="5700"/>
    <n v="4588.5"/>
    <n v="53038.500000000007"/>
    <n v="17502.705000000002"/>
    <n v="57538.500000000007"/>
    <n v="60538.500000000007"/>
    <n v="11827585.500000002"/>
    <n v="12831085.500000002"/>
    <n v="13500085.500000002"/>
    <n v="0"/>
    <n v="1005344.7675000002"/>
    <n v="2"/>
    <n v="228000.00000000003"/>
    <n v="228000.00000000003"/>
    <n v="12055585.500000002"/>
  </r>
  <r>
    <m/>
    <s v="B"/>
    <x v="26"/>
    <s v="RESIDENTIAL"/>
    <x v="4"/>
    <n v="3"/>
    <x v="544"/>
    <x v="2"/>
    <s v="C1"/>
    <n v="163.35"/>
    <n v="180.91759280623702"/>
    <x v="18"/>
    <m/>
    <m/>
    <s v="SE"/>
    <s v="MIDDLE"/>
    <s v="LAKE B-1"/>
    <s v="FORTH"/>
    <x v="3"/>
    <n v="0.08"/>
    <n v="2.5000000000000001E-2"/>
    <n v="0.6"/>
    <n v="0.06"/>
    <n v="1.4999999999999999E-2"/>
    <x v="176"/>
    <x v="2"/>
    <x v="2"/>
    <n v="45687.5"/>
    <n v="51062.5"/>
    <n v="5375"/>
    <n v="4192.5"/>
    <n v="49880"/>
    <n v="16460.400000000001"/>
    <n v="54380"/>
    <n v="57380"/>
    <n v="9926120"/>
    <n v="10821620"/>
    <n v="11418620"/>
    <n v="0"/>
    <n v="843720.20000000007"/>
    <n v="2"/>
    <n v="215000"/>
    <n v="215000"/>
    <n v="10141120"/>
  </r>
  <r>
    <m/>
    <s v="B"/>
    <x v="26"/>
    <s v="RESIDENTIAL"/>
    <x v="4"/>
    <n v="4"/>
    <x v="545"/>
    <x v="2"/>
    <s v="C1"/>
    <n v="139.09"/>
    <n v="154.04853372157643"/>
    <x v="28"/>
    <m/>
    <m/>
    <s v="NW"/>
    <s v="MIDDLE"/>
    <s v="MAIN GATE &amp; LAKE ENTRANCE"/>
    <s v="FORTH"/>
    <x v="4"/>
    <n v="0.13"/>
    <n v="2.5000000000000001E-2"/>
    <n v="0.25"/>
    <n v="0.06"/>
    <n v="2.5000000000000001E-2"/>
    <x v="179"/>
    <x v="0"/>
    <x v="7"/>
    <n v="61625"/>
    <n v="68875"/>
    <n v="7250"/>
    <n v="3552.5000000000005"/>
    <n v="65177.5"/>
    <n v="21508.575000000001"/>
    <n v="69677.5"/>
    <n v="72677.5"/>
    <n v="11080175"/>
    <n v="11845175"/>
    <n v="12355175"/>
    <n v="0"/>
    <n v="941814.87500000012"/>
    <n v="2"/>
    <n v="290000"/>
    <n v="290000"/>
    <n v="11370175"/>
  </r>
  <r>
    <s v="B3"/>
    <s v="C"/>
    <x v="27"/>
    <s v="RESIDENTIAL"/>
    <x v="0"/>
    <n v="1"/>
    <x v="546"/>
    <x v="0"/>
    <s v="C2"/>
    <n v="95.254000000000005"/>
    <n v="105.53950812408786"/>
    <x v="17"/>
    <n v="61.845599999999997"/>
    <m/>
    <s v="SE"/>
    <s v="MIDDLE"/>
    <s v="ROAD 12M"/>
    <s v="GROUND"/>
    <x v="1"/>
    <n v="0.08"/>
    <n v="2.5000000000000001E-2"/>
    <n v="0.13"/>
    <n v="0.05"/>
    <n v="0.04"/>
    <x v="180"/>
    <x v="0"/>
    <x v="3"/>
    <n v="42500"/>
    <n v="47500"/>
    <n v="5000"/>
    <n v="1625"/>
    <n v="44125"/>
    <n v="14561.25"/>
    <n v="48625"/>
    <n v="51625"/>
    <n v="5118500"/>
    <n v="5640500"/>
    <n v="5988500"/>
    <n v="900549.24300000002"/>
    <n v="511619.18565500004"/>
    <n v="1"/>
    <n v="200000"/>
    <n v="200000"/>
    <n v="6219049.2429999998"/>
  </r>
  <r>
    <m/>
    <s v="C"/>
    <x v="27"/>
    <s v="RESIDENTIAL"/>
    <x v="0"/>
    <n v="2"/>
    <x v="547"/>
    <x v="2"/>
    <s v="C2"/>
    <n v="162.82599999999999"/>
    <n v="180.40791935050211"/>
    <x v="18"/>
    <n v="77.610299999999995"/>
    <m/>
    <s v="NW"/>
    <s v="MIDDLE"/>
    <s v="LAKE C"/>
    <s v="GROUND"/>
    <x v="3"/>
    <n v="0.13"/>
    <n v="2.5000000000000001E-2"/>
    <n v="0.46"/>
    <n v="0.05"/>
    <n v="1.4999999999999999E-2"/>
    <x v="127"/>
    <x v="1"/>
    <x v="12"/>
    <n v="50150"/>
    <n v="56050"/>
    <n v="5900"/>
    <n v="4012.0000000000005"/>
    <n v="54162"/>
    <n v="17873.46"/>
    <n v="58662"/>
    <n v="61662"/>
    <n v="10778238"/>
    <n v="11673738"/>
    <n v="12270738"/>
    <n v="1387164.5926379999"/>
    <n v="1034059.2203742302"/>
    <n v="2"/>
    <n v="236000"/>
    <n v="236000"/>
    <n v="12401402.592638001"/>
  </r>
  <r>
    <m/>
    <s v="C"/>
    <x v="27"/>
    <s v="RESIDENTIAL"/>
    <x v="0"/>
    <n v="3"/>
    <x v="548"/>
    <x v="3"/>
    <s v="C2"/>
    <n v="183.887"/>
    <n v="203.74308197465874"/>
    <x v="19"/>
    <n v="61.527700000000003"/>
    <m/>
    <s v="NW"/>
    <s v="CORNER "/>
    <s v="LAKE B-1"/>
    <s v="GROUND"/>
    <x v="3"/>
    <n v="0.13"/>
    <n v="0.05"/>
    <n v="0.6"/>
    <n v="0.05"/>
    <n v="1.4999999999999999E-2"/>
    <x v="181"/>
    <x v="2"/>
    <x v="4"/>
    <n v="51850"/>
    <n v="57950"/>
    <n v="6100"/>
    <n v="5154.5000000000009"/>
    <n v="57004.5"/>
    <n v="18811.485000000001"/>
    <n v="61504.5"/>
    <n v="64504.5"/>
    <n v="12769008"/>
    <n v="13777008"/>
    <n v="14449008"/>
    <n v="1157427.4056345001"/>
    <n v="1183747.0094789325"/>
    <n v="2"/>
    <n v="244000"/>
    <n v="244000"/>
    <n v="14170435.4056345"/>
  </r>
  <r>
    <m/>
    <s v="C"/>
    <x v="27"/>
    <s v="RESIDENTIAL"/>
    <x v="0"/>
    <n v="4"/>
    <x v="549"/>
    <x v="2"/>
    <s v="C2"/>
    <n v="147.54499999999999"/>
    <n v="163.47687998581205"/>
    <x v="41"/>
    <n v="79.64"/>
    <m/>
    <s v="SE"/>
    <s v="CORNER "/>
    <s v="SEMI LAKE B-1"/>
    <s v="GROUND"/>
    <x v="4"/>
    <n v="0.08"/>
    <n v="0.05"/>
    <n v="0.48"/>
    <n v="0.05"/>
    <n v="2.5000000000000001E-2"/>
    <x v="155"/>
    <x v="1"/>
    <x v="4"/>
    <n v="51850"/>
    <n v="57950"/>
    <n v="6100"/>
    <n v="4178.5"/>
    <n v="56028.5"/>
    <n v="18489.405000000002"/>
    <n v="60528.5"/>
    <n v="63528.5"/>
    <n v="10085130"/>
    <n v="10895130"/>
    <n v="11435130"/>
    <n v="1472496.2142000003"/>
    <n v="982398.22820700018"/>
    <n v="2"/>
    <n v="244000"/>
    <n v="244000"/>
    <n v="11801626.214200001"/>
  </r>
  <r>
    <m/>
    <s v="C"/>
    <x v="27"/>
    <s v="RESIDENTIAL"/>
    <x v="1"/>
    <n v="1"/>
    <x v="550"/>
    <x v="0"/>
    <s v="C2"/>
    <n v="96.311000000000007"/>
    <n v="106.71064277551626"/>
    <x v="21"/>
    <m/>
    <m/>
    <s v="SE"/>
    <s v="MIDDLE"/>
    <s v="ROAD 12M"/>
    <s v="FIRST"/>
    <x v="1"/>
    <n v="0.08"/>
    <n v="2.5000000000000001E-2"/>
    <n v="0.13"/>
    <n v="7.0000000000000007E-2"/>
    <n v="0.04"/>
    <x v="86"/>
    <x v="0"/>
    <x v="3"/>
    <n v="42500"/>
    <n v="47500"/>
    <n v="5000"/>
    <n v="1725.0000000000002"/>
    <n v="44225"/>
    <n v="14594.25"/>
    <n v="48725"/>
    <n v="51725"/>
    <n v="5174325"/>
    <n v="5700825"/>
    <n v="6051825"/>
    <n v="0"/>
    <n v="439817.62500000006"/>
    <n v="1"/>
    <n v="200000"/>
    <n v="200000"/>
    <n v="5374325"/>
  </r>
  <r>
    <m/>
    <s v="C"/>
    <x v="27"/>
    <s v="RESIDENTIAL"/>
    <x v="1"/>
    <n v="2"/>
    <x v="551"/>
    <x v="2"/>
    <s v="C2"/>
    <n v="162.57599999999999"/>
    <n v="180.13092439983313"/>
    <x v="42"/>
    <m/>
    <m/>
    <s v="NW"/>
    <s v="MIDDLE"/>
    <s v="LAKE C"/>
    <s v="FIRST"/>
    <x v="3"/>
    <n v="0.13"/>
    <n v="2.5000000000000001E-2"/>
    <n v="0.46"/>
    <n v="7.0000000000000007E-2"/>
    <n v="1.4999999999999999E-2"/>
    <x v="129"/>
    <x v="1"/>
    <x v="10"/>
    <n v="53550"/>
    <n v="59850"/>
    <n v="6300"/>
    <n v="4410"/>
    <n v="57960"/>
    <n v="19126.8"/>
    <n v="62460"/>
    <n v="65460"/>
    <n v="11476080"/>
    <n v="12367080"/>
    <n v="12961080"/>
    <n v="0"/>
    <n v="975466.8"/>
    <n v="2"/>
    <n v="252000"/>
    <n v="252000"/>
    <n v="11728080"/>
  </r>
  <r>
    <m/>
    <s v="C"/>
    <x v="27"/>
    <s v="RESIDENTIAL"/>
    <x v="1"/>
    <n v="3"/>
    <x v="552"/>
    <x v="3"/>
    <s v="C2"/>
    <n v="183.637"/>
    <n v="203.46608702398976"/>
    <x v="19"/>
    <m/>
    <m/>
    <s v="NW"/>
    <s v="CORNER "/>
    <s v="LAKE B-1"/>
    <s v="FIRST"/>
    <x v="3"/>
    <n v="0.13"/>
    <n v="0.05"/>
    <n v="0.6"/>
    <n v="7.0000000000000007E-2"/>
    <n v="1.4999999999999999E-2"/>
    <x v="71"/>
    <x v="2"/>
    <x v="10"/>
    <n v="53550"/>
    <n v="59850"/>
    <n v="6300"/>
    <n v="5449.5000000000009"/>
    <n v="58999.5"/>
    <n v="19469.834999999999"/>
    <n v="63499.5"/>
    <n v="66499.5"/>
    <n v="13215888"/>
    <n v="14223888"/>
    <n v="14895888"/>
    <n v="0"/>
    <n v="1123350.48"/>
    <n v="2"/>
    <n v="252000"/>
    <n v="252000"/>
    <n v="13467888"/>
  </r>
  <r>
    <m/>
    <s v="C"/>
    <x v="27"/>
    <s v="RESIDENTIAL"/>
    <x v="1"/>
    <n v="4"/>
    <x v="553"/>
    <x v="2"/>
    <s v="C2"/>
    <n v="141.66300000000001"/>
    <n v="156.95974278647259"/>
    <x v="22"/>
    <m/>
    <m/>
    <s v="SE"/>
    <s v="CORNER "/>
    <s v="SEMI LAKE B-1"/>
    <s v="FIRST"/>
    <x v="4"/>
    <n v="0.08"/>
    <n v="0.05"/>
    <n v="0.48"/>
    <n v="7.0000000000000007E-2"/>
    <n v="2.5000000000000001E-2"/>
    <x v="163"/>
    <x v="1"/>
    <x v="8"/>
    <n v="56100"/>
    <n v="62700"/>
    <n v="6600"/>
    <n v="4653"/>
    <n v="60753"/>
    <n v="20048.490000000002"/>
    <n v="65253"/>
    <n v="68253"/>
    <n v="10510269"/>
    <n v="11288769"/>
    <n v="11807769"/>
    <n v="0"/>
    <n v="893372.86500000011"/>
    <n v="2"/>
    <n v="264000"/>
    <n v="264000"/>
    <n v="10774269"/>
  </r>
  <r>
    <m/>
    <s v="C"/>
    <x v="27"/>
    <s v="RESIDENTIAL"/>
    <x v="2"/>
    <n v="1"/>
    <x v="554"/>
    <x v="2"/>
    <s v="C2"/>
    <n v="141.22499999999999"/>
    <n v="156.47444763290054"/>
    <x v="23"/>
    <m/>
    <m/>
    <s v="SE"/>
    <s v="MIDDLE"/>
    <s v="ROAD 12M"/>
    <s v="SECOND"/>
    <x v="4"/>
    <n v="0.08"/>
    <n v="2.5000000000000001E-2"/>
    <n v="0.13"/>
    <n v="0.11"/>
    <n v="2.5000000000000001E-2"/>
    <x v="182"/>
    <x v="0"/>
    <x v="0"/>
    <n v="43562.499999999993"/>
    <n v="48687.499999999993"/>
    <n v="5125"/>
    <n v="1896.2500000000002"/>
    <n v="45458.749999999993"/>
    <n v="15001.387499999999"/>
    <n v="49958.749999999993"/>
    <n v="52958.749999999993"/>
    <n v="7818904.9999999991"/>
    <n v="8592904.9999999981"/>
    <n v="9108904.9999999981"/>
    <n v="0"/>
    <n v="664606.92499999993"/>
    <n v="2"/>
    <n v="204999.99999999997"/>
    <n v="204999.99999999997"/>
    <n v="8023904.9999999991"/>
  </r>
  <r>
    <m/>
    <s v="C"/>
    <x v="27"/>
    <s v="RESIDENTIAL"/>
    <x v="2"/>
    <n v="2"/>
    <x v="555"/>
    <x v="2"/>
    <s v="C2"/>
    <n v="167.214"/>
    <n v="185.26973472464385"/>
    <x v="43"/>
    <m/>
    <m/>
    <s v="NW"/>
    <s v="MIDDLE"/>
    <s v="LAKE C"/>
    <s v="SECOND"/>
    <x v="3"/>
    <n v="0.13"/>
    <n v="2.5000000000000001E-2"/>
    <n v="0.46"/>
    <n v="0.11"/>
    <n v="1.4999999999999999E-2"/>
    <x v="132"/>
    <x v="2"/>
    <x v="3"/>
    <n v="42500"/>
    <n v="47500"/>
    <n v="5000"/>
    <n v="3700"/>
    <n v="46200"/>
    <n v="15246"/>
    <n v="50700"/>
    <n v="53700"/>
    <n v="9424800"/>
    <n v="10342800"/>
    <n v="10954800"/>
    <n v="0"/>
    <n v="801108"/>
    <n v="2"/>
    <n v="200000"/>
    <n v="200000"/>
    <n v="9624800"/>
  </r>
  <r>
    <m/>
    <s v="C"/>
    <x v="27"/>
    <s v="RESIDENTIAL"/>
    <x v="2"/>
    <n v="3"/>
    <x v="556"/>
    <x v="3"/>
    <s v="C2"/>
    <n v="187.10300000000001"/>
    <n v="207.30634502006436"/>
    <x v="25"/>
    <m/>
    <m/>
    <s v="NW"/>
    <s v="CORNER "/>
    <s v="LAKE B-1"/>
    <s v="SECOND"/>
    <x v="3"/>
    <n v="0.13"/>
    <n v="0.05"/>
    <n v="0.6"/>
    <n v="0.11"/>
    <n v="1.4999999999999999E-2"/>
    <x v="171"/>
    <x v="2"/>
    <x v="7"/>
    <n v="61625"/>
    <n v="68875"/>
    <n v="7250"/>
    <n v="6561.25"/>
    <n v="68186.25"/>
    <n v="22501.462500000001"/>
    <n v="72686.25"/>
    <n v="75686.25"/>
    <n v="15546465"/>
    <n v="16572465"/>
    <n v="17256465"/>
    <n v="0"/>
    <n v="1321449.5250000001"/>
    <n v="2"/>
    <n v="290000"/>
    <n v="290000"/>
    <n v="15836465"/>
  </r>
  <r>
    <m/>
    <s v="C"/>
    <x v="27"/>
    <s v="RESIDENTIAL"/>
    <x v="2"/>
    <n v="4"/>
    <x v="557"/>
    <x v="2"/>
    <s v="C2"/>
    <n v="143.989"/>
    <n v="159.53690380749666"/>
    <x v="20"/>
    <m/>
    <m/>
    <s v="SE"/>
    <s v="CORNER "/>
    <s v="SEMI LAKE B-1"/>
    <s v="SECOND"/>
    <x v="4"/>
    <n v="0.08"/>
    <n v="0.05"/>
    <n v="0.48"/>
    <n v="0.11"/>
    <n v="2.5000000000000001E-2"/>
    <x v="102"/>
    <x v="2"/>
    <x v="3"/>
    <n v="42500"/>
    <n v="47500"/>
    <n v="5000"/>
    <n v="3725"/>
    <n v="46225"/>
    <n v="15254.25"/>
    <n v="50725"/>
    <n v="53725"/>
    <n v="8135600"/>
    <n v="8927600"/>
    <n v="9455600"/>
    <n v="0"/>
    <n v="691526"/>
    <n v="2"/>
    <n v="200000"/>
    <n v="200000"/>
    <n v="8335600"/>
  </r>
  <r>
    <m/>
    <s v="C"/>
    <x v="27"/>
    <s v="RESIDENTIAL"/>
    <x v="3"/>
    <n v="1"/>
    <x v="558"/>
    <x v="2"/>
    <s v="C2"/>
    <n v="141.131"/>
    <n v="156.37029753144901"/>
    <x v="23"/>
    <m/>
    <m/>
    <s v="SE"/>
    <s v="MIDDLE"/>
    <s v="ROAD 12M"/>
    <s v="THIRD"/>
    <x v="4"/>
    <n v="0.08"/>
    <n v="2.5000000000000001E-2"/>
    <n v="0.13"/>
    <n v="0.15"/>
    <n v="2.5000000000000001E-2"/>
    <x v="79"/>
    <x v="0"/>
    <x v="1"/>
    <n v="48450.000000000007"/>
    <n v="54150.000000000007"/>
    <n v="5700"/>
    <n v="2337"/>
    <n v="50787.000000000007"/>
    <n v="16759.710000000003"/>
    <n v="55287.000000000007"/>
    <n v="58287.000000000007"/>
    <n v="8735364.0000000019"/>
    <n v="9509364.0000000019"/>
    <n v="10025364.000000002"/>
    <n v="0"/>
    <n v="742505.94000000018"/>
    <n v="2"/>
    <n v="228000.00000000003"/>
    <n v="228000.00000000003"/>
    <n v="8963364.0000000019"/>
  </r>
  <r>
    <m/>
    <s v="C"/>
    <x v="27"/>
    <s v="RESIDENTIAL"/>
    <x v="3"/>
    <n v="2"/>
    <x v="559"/>
    <x v="2"/>
    <s v="C2"/>
    <n v="164.43600000000001"/>
    <n v="182.19176683281029"/>
    <x v="44"/>
    <m/>
    <m/>
    <s v="NW"/>
    <s v="MIDDLE"/>
    <s v="LAKE C"/>
    <s v="THIRD"/>
    <x v="3"/>
    <n v="0.13"/>
    <n v="2.5000000000000001E-2"/>
    <n v="0.46"/>
    <n v="0.15"/>
    <n v="1.4999999999999999E-2"/>
    <x v="135"/>
    <x v="2"/>
    <x v="2"/>
    <n v="45687.5"/>
    <n v="51062.5"/>
    <n v="5375"/>
    <n v="4192.5"/>
    <n v="49880"/>
    <n v="16460.400000000001"/>
    <n v="54380"/>
    <n v="57380"/>
    <n v="10025880"/>
    <n v="10930380"/>
    <n v="11533380"/>
    <n v="0"/>
    <n v="852199.8"/>
    <n v="2"/>
    <n v="215000"/>
    <n v="215000"/>
    <n v="10240880"/>
  </r>
  <r>
    <m/>
    <s v="C"/>
    <x v="27"/>
    <s v="RESIDENTIAL"/>
    <x v="3"/>
    <n v="3"/>
    <x v="560"/>
    <x v="3"/>
    <s v="C2"/>
    <n v="187.20400000000001"/>
    <n v="207.41825098013462"/>
    <x v="25"/>
    <m/>
    <m/>
    <s v="NW"/>
    <s v="CORNER "/>
    <s v="LAKE B-1"/>
    <s v="THIRD"/>
    <x v="3"/>
    <n v="0.13"/>
    <n v="0.05"/>
    <n v="0.6"/>
    <n v="0.15"/>
    <n v="1.4999999999999999E-2"/>
    <x v="183"/>
    <x v="2"/>
    <x v="7"/>
    <n v="61625"/>
    <n v="68875"/>
    <n v="7250"/>
    <n v="6851.25"/>
    <n v="68476.25"/>
    <n v="22597.162500000002"/>
    <n v="72976.25"/>
    <n v="75976.25"/>
    <n v="15612585"/>
    <n v="16638585"/>
    <n v="17322585"/>
    <n v="0"/>
    <n v="1327069.7250000001"/>
    <n v="2"/>
    <n v="290000"/>
    <n v="290000"/>
    <n v="15902585"/>
  </r>
  <r>
    <m/>
    <s v="C"/>
    <x v="27"/>
    <s v="RESIDENTIAL"/>
    <x v="3"/>
    <n v="4"/>
    <x v="561"/>
    <x v="2"/>
    <s v="C2"/>
    <n v="143.911"/>
    <n v="159.45048138288794"/>
    <x v="20"/>
    <m/>
    <m/>
    <s v="SE"/>
    <s v="CORNER "/>
    <s v="SEMI LAKE B-1"/>
    <s v="THIRD"/>
    <x v="4"/>
    <n v="0.08"/>
    <n v="0.05"/>
    <n v="0.48"/>
    <n v="0.15"/>
    <n v="2.5000000000000001E-2"/>
    <x v="125"/>
    <x v="2"/>
    <x v="2"/>
    <n v="45687.5"/>
    <n v="51062.5"/>
    <n v="5375"/>
    <n v="4219.375"/>
    <n v="49906.875"/>
    <n v="16469.268749999999"/>
    <n v="54406.875"/>
    <n v="57406.875"/>
    <n v="8783610"/>
    <n v="9575610"/>
    <n v="10103610"/>
    <n v="0"/>
    <n v="746606.85000000009"/>
    <n v="2"/>
    <n v="215000"/>
    <n v="215000"/>
    <n v="8998610"/>
  </r>
  <r>
    <m/>
    <s v="C"/>
    <x v="27"/>
    <s v="RESIDENTIAL"/>
    <x v="4"/>
    <n v="1"/>
    <x v="562"/>
    <x v="2"/>
    <s v="C2"/>
    <n v="139.16499999999999"/>
    <n v="154.19200923938823"/>
    <x v="28"/>
    <m/>
    <m/>
    <s v="SE"/>
    <s v="MIDDLE"/>
    <s v="ROAD 12M"/>
    <s v="FORTH"/>
    <x v="4"/>
    <n v="0.08"/>
    <n v="2.5000000000000001E-2"/>
    <n v="0.13"/>
    <n v="0.06"/>
    <n v="2.5000000000000001E-2"/>
    <x v="184"/>
    <x v="0"/>
    <x v="3"/>
    <n v="42500"/>
    <n v="47500"/>
    <n v="5000"/>
    <n v="1600.0000000000002"/>
    <n v="44100"/>
    <n v="14553"/>
    <n v="48600"/>
    <n v="51600"/>
    <n v="7497000"/>
    <n v="8262000"/>
    <n v="8772000"/>
    <n v="0"/>
    <n v="637245"/>
    <n v="2"/>
    <n v="200000"/>
    <n v="200000"/>
    <n v="7697000"/>
  </r>
  <r>
    <m/>
    <s v="C"/>
    <x v="27"/>
    <s v="RESIDENTIAL"/>
    <x v="4"/>
    <n v="2"/>
    <x v="563"/>
    <x v="2"/>
    <s v="C2"/>
    <n v="162.49"/>
    <n v="180.03563813680304"/>
    <x v="42"/>
    <m/>
    <m/>
    <s v="NW"/>
    <s v="MIDDLE"/>
    <s v="LAKE C"/>
    <s v="FORTH"/>
    <x v="3"/>
    <n v="0.13"/>
    <n v="2.5000000000000001E-2"/>
    <n v="0.46"/>
    <n v="0.06"/>
    <n v="1.4999999999999999E-2"/>
    <x v="137"/>
    <x v="1"/>
    <x v="4"/>
    <n v="51850"/>
    <n v="57950"/>
    <n v="6100"/>
    <n v="4209"/>
    <n v="56059"/>
    <n v="18499.47"/>
    <n v="60559"/>
    <n v="63559"/>
    <n v="11099682"/>
    <n v="11990682"/>
    <n v="12584682"/>
    <n v="0"/>
    <n v="943472.97000000009"/>
    <n v="2"/>
    <n v="244000"/>
    <n v="244000"/>
    <n v="11343682"/>
  </r>
  <r>
    <m/>
    <s v="C"/>
    <x v="27"/>
    <s v="RESIDENTIAL"/>
    <x v="4"/>
    <n v="3"/>
    <x v="564"/>
    <x v="3"/>
    <s v="C2"/>
    <n v="182.357"/>
    <n v="202.04787287656464"/>
    <x v="45"/>
    <m/>
    <m/>
    <s v="NW"/>
    <s v="CORNER "/>
    <s v="LAKE B-1"/>
    <s v="FORTH"/>
    <x v="3"/>
    <n v="0.13"/>
    <n v="0.05"/>
    <n v="0.6"/>
    <n v="0.06"/>
    <n v="1.4999999999999999E-2"/>
    <x v="185"/>
    <x v="2"/>
    <x v="4"/>
    <n v="51850"/>
    <n v="57950"/>
    <n v="6100"/>
    <n v="5215.5000000000009"/>
    <n v="57065.5"/>
    <n v="18831.615000000002"/>
    <n v="61565.5"/>
    <n v="64565.5"/>
    <n v="12668541"/>
    <n v="13667541"/>
    <n v="14333541"/>
    <n v="0"/>
    <n v="1076825.9850000001"/>
    <n v="2"/>
    <n v="244000"/>
    <n v="244000"/>
    <n v="12912541"/>
  </r>
  <r>
    <m/>
    <s v="C"/>
    <x v="27"/>
    <s v="RESIDENTIAL"/>
    <x v="4"/>
    <n v="4"/>
    <x v="565"/>
    <x v="2"/>
    <s v="C2"/>
    <n v="141.929"/>
    <n v="157.25446541398435"/>
    <x v="22"/>
    <m/>
    <m/>
    <s v="SE"/>
    <s v="CORNER "/>
    <s v="SEMI LAKE B-1"/>
    <s v="FORTH"/>
    <x v="4"/>
    <n v="0.08"/>
    <n v="0.05"/>
    <n v="0.48"/>
    <n v="0.06"/>
    <n v="2.5000000000000001E-2"/>
    <x v="166"/>
    <x v="1"/>
    <x v="4"/>
    <n v="51850"/>
    <n v="57950"/>
    <n v="6100"/>
    <n v="4239.5"/>
    <n v="56089.5"/>
    <n v="18509.535"/>
    <n v="60589.5"/>
    <n v="63589.5"/>
    <n v="9703483.5"/>
    <n v="10481983.5"/>
    <n v="11000983.5"/>
    <n v="0"/>
    <n v="824796.09750000003"/>
    <n v="2"/>
    <n v="244000"/>
    <n v="244000"/>
    <n v="9947483.5"/>
  </r>
  <r>
    <s v="B3"/>
    <s v="C"/>
    <x v="28"/>
    <s v="RESIDENTIAL"/>
    <x v="0"/>
    <n v="1"/>
    <x v="566"/>
    <x v="2"/>
    <s v="C2"/>
    <n v="141.82499999999999"/>
    <n v="159.04192828545919"/>
    <x v="22"/>
    <n v="77.2149"/>
    <m/>
    <s v="SE"/>
    <s v="MIDDLE"/>
    <s v="ROAD 18M (BUILDINGS)"/>
    <s v="GROUND"/>
    <x v="4"/>
    <n v="0.08"/>
    <n v="2.5000000000000001E-2"/>
    <n v="0.15"/>
    <n v="0.05"/>
    <n v="2.5000000000000001E-2"/>
    <x v="186"/>
    <x v="0"/>
    <x v="3"/>
    <n v="42500"/>
    <n v="47500"/>
    <n v="5000"/>
    <n v="1650"/>
    <n v="44150"/>
    <n v="14569.5"/>
    <n v="48650"/>
    <n v="51650"/>
    <n v="7637950"/>
    <n v="8416450"/>
    <n v="8935450"/>
    <n v="1124982.4855500001"/>
    <n v="744849.26127174997"/>
    <n v="2"/>
    <n v="200000"/>
    <n v="200000"/>
    <n v="8962932.4855499994"/>
  </r>
  <r>
    <m/>
    <s v="C"/>
    <x v="28"/>
    <s v="RESIDENTIAL"/>
    <x v="0"/>
    <n v="2"/>
    <x v="567"/>
    <x v="4"/>
    <s v="C2"/>
    <n v="142.05600000000001"/>
    <n v="159.30097066468673"/>
    <x v="46"/>
    <n v="97.868200000000002"/>
    <m/>
    <s v="NW"/>
    <s v="MIDDLE"/>
    <s v="LAKE C"/>
    <s v="GROUND"/>
    <x v="5"/>
    <n v="0.13"/>
    <n v="2.5000000000000001E-2"/>
    <n v="0.46"/>
    <n v="0.05"/>
    <n v="0"/>
    <x v="6"/>
    <x v="1"/>
    <x v="1"/>
    <n v="48450.000000000007"/>
    <n v="54150.000000000007"/>
    <n v="5700"/>
    <n v="3790.5"/>
    <n v="52240.500000000007"/>
    <n v="17239.365000000002"/>
    <n v="56740.500000000007"/>
    <n v="59740.500000000007"/>
    <n v="17970732.000000004"/>
    <n v="19518732.000000004"/>
    <n v="20550732.000000004"/>
    <n v="1687185.6216930002"/>
    <n v="1670922.9978439054"/>
    <n v="2"/>
    <n v="228000.00000000003"/>
    <n v="228000.00000000003"/>
    <n v="19885917.621693004"/>
  </r>
  <r>
    <m/>
    <s v="C"/>
    <x v="28"/>
    <s v="RESIDENTIAL"/>
    <x v="0"/>
    <n v="3"/>
    <x v="568"/>
    <x v="4"/>
    <s v="C2"/>
    <n v="142.197"/>
    <n v="159.45908744161781"/>
    <x v="46"/>
    <n v="97.259299999999996"/>
    <m/>
    <s v="NW"/>
    <s v="MIDDLE"/>
    <s v="LAKE C"/>
    <s v="GROUND"/>
    <x v="5"/>
    <n v="0.13"/>
    <n v="2.5000000000000001E-2"/>
    <n v="0.46"/>
    <n v="0.05"/>
    <n v="0"/>
    <x v="6"/>
    <x v="1"/>
    <x v="5"/>
    <n v="46750.000000000007"/>
    <n v="52250.000000000007"/>
    <n v="5500"/>
    <n v="3657.5"/>
    <n v="50407.500000000007"/>
    <n v="16634.475000000002"/>
    <n v="54907.500000000007"/>
    <n v="57907.500000000007"/>
    <n v="17340180.000000004"/>
    <n v="18888180.000000004"/>
    <n v="19920180.000000004"/>
    <n v="1617857.3943675002"/>
    <n v="1611433.178521238"/>
    <n v="2"/>
    <n v="220000.00000000003"/>
    <n v="220000.00000000003"/>
    <n v="19178037.394367505"/>
  </r>
  <r>
    <m/>
    <s v="C"/>
    <x v="28"/>
    <s v="RESIDENTIAL"/>
    <x v="0"/>
    <n v="4"/>
    <x v="569"/>
    <x v="0"/>
    <s v="C2"/>
    <n v="95.254000000000005"/>
    <n v="106.81741467938045"/>
    <x v="17"/>
    <n v="61.752000000000002"/>
    <m/>
    <s v="SE"/>
    <s v="MIDDLE"/>
    <s v="ROAD 18M (BUILDINGS)"/>
    <s v="GROUND"/>
    <x v="1"/>
    <n v="0.08"/>
    <n v="2.5000000000000001E-2"/>
    <n v="0.15"/>
    <n v="0.05"/>
    <n v="0.04"/>
    <x v="18"/>
    <x v="0"/>
    <x v="3"/>
    <n v="42500"/>
    <n v="47500"/>
    <n v="5000"/>
    <n v="1724.9999999999998"/>
    <n v="44225"/>
    <n v="14594.25"/>
    <n v="48725"/>
    <n v="51725"/>
    <n v="5130100"/>
    <n v="5652100"/>
    <n v="6000100"/>
    <n v="901224.12600000005"/>
    <n v="512662.55071000004"/>
    <n v="1"/>
    <n v="200000"/>
    <n v="200000"/>
    <n v="6231324.1260000002"/>
  </r>
  <r>
    <m/>
    <s v="C"/>
    <x v="28"/>
    <s v="RESIDENTIAL"/>
    <x v="1"/>
    <n v="1"/>
    <x v="570"/>
    <x v="2"/>
    <s v="C2"/>
    <n v="142.977"/>
    <n v="160.33377599485354"/>
    <x v="47"/>
    <m/>
    <m/>
    <s v="SE"/>
    <s v="MIDDLE"/>
    <s v="ROAD 18M (BUILDINGS)"/>
    <s v="FIRST"/>
    <x v="4"/>
    <n v="0.08"/>
    <n v="2.5000000000000001E-2"/>
    <n v="0.15"/>
    <n v="7.0000000000000007E-2"/>
    <n v="2.5000000000000001E-2"/>
    <x v="115"/>
    <x v="0"/>
    <x v="3"/>
    <n v="42500"/>
    <n v="47500"/>
    <n v="5000"/>
    <n v="1750.0000000000002"/>
    <n v="44250"/>
    <n v="14602.5"/>
    <n v="48750"/>
    <n v="51750"/>
    <n v="7699500"/>
    <n v="8482500"/>
    <n v="9004500"/>
    <n v="0"/>
    <n v="654457.5"/>
    <n v="2"/>
    <n v="200000"/>
    <n v="200000"/>
    <n v="7899500"/>
  </r>
  <r>
    <m/>
    <s v="C"/>
    <x v="28"/>
    <s v="RESIDENTIAL"/>
    <x v="1"/>
    <n v="4"/>
    <x v="571"/>
    <x v="0"/>
    <s v="C2"/>
    <n v="96.311000000000007"/>
    <n v="108.00272980857298"/>
    <x v="21"/>
    <m/>
    <m/>
    <s v="SE"/>
    <s v="MIDDLE"/>
    <s v="ROAD 18M (BUILDINGS)"/>
    <s v="FIRST"/>
    <x v="1"/>
    <n v="0.08"/>
    <n v="2.5000000000000001E-2"/>
    <n v="0.15"/>
    <n v="7.0000000000000007E-2"/>
    <n v="0.04"/>
    <x v="0"/>
    <x v="0"/>
    <x v="0"/>
    <n v="43562.499999999993"/>
    <n v="48687.499999999993"/>
    <n v="5125"/>
    <n v="1870.625"/>
    <n v="45433.124999999993"/>
    <n v="14992.931249999998"/>
    <n v="49933.124999999993"/>
    <n v="52933.124999999993"/>
    <n v="5315675.6249999991"/>
    <n v="5842175.6249999991"/>
    <n v="6193175.6249999991"/>
    <n v="0"/>
    <n v="451832.42812499998"/>
    <n v="1"/>
    <n v="204999.99999999997"/>
    <n v="204999.99999999997"/>
    <n v="5520675.6249999991"/>
  </r>
  <r>
    <m/>
    <s v="C"/>
    <x v="28"/>
    <s v="RESIDENTIAL"/>
    <x v="2"/>
    <n v="1"/>
    <x v="572"/>
    <x v="2"/>
    <s v="C2"/>
    <n v="141.18700000000001"/>
    <n v="158.32647790473564"/>
    <x v="23"/>
    <m/>
    <m/>
    <s v="SE"/>
    <s v="MIDDLE"/>
    <s v="ROAD 18M (BUILDINGS)"/>
    <s v="SECOND"/>
    <x v="4"/>
    <n v="0.08"/>
    <n v="2.5000000000000001E-2"/>
    <n v="0.15"/>
    <n v="0.11"/>
    <n v="2.5000000000000001E-2"/>
    <x v="152"/>
    <x v="0"/>
    <x v="2"/>
    <n v="45687.5"/>
    <n v="51062.5"/>
    <n v="5375"/>
    <n v="2096.25"/>
    <n v="47783.75"/>
    <n v="15768.637500000001"/>
    <n v="52283.75"/>
    <n v="55283.75"/>
    <n v="8218805"/>
    <n v="8992805"/>
    <n v="9508805"/>
    <n v="0"/>
    <n v="698598.42500000005"/>
    <n v="2"/>
    <n v="215000"/>
    <n v="215000"/>
    <n v="8433805"/>
  </r>
  <r>
    <m/>
    <s v="C"/>
    <x v="28"/>
    <s v="RESIDENTIAL"/>
    <x v="2"/>
    <n v="2"/>
    <x v="573"/>
    <x v="2"/>
    <s v="C2"/>
    <n v="141.446"/>
    <n v="158.61691936023314"/>
    <x v="22"/>
    <m/>
    <m/>
    <s v="NW"/>
    <s v="MIDDLE"/>
    <s v="LAKE C"/>
    <s v="SECOND"/>
    <x v="4"/>
    <n v="0.13"/>
    <n v="2.5000000000000001E-2"/>
    <n v="0.46"/>
    <n v="0.11"/>
    <n v="2.5000000000000001E-2"/>
    <x v="142"/>
    <x v="2"/>
    <x v="0"/>
    <n v="43562.499999999993"/>
    <n v="48687.499999999993"/>
    <n v="5125"/>
    <n v="3843.75"/>
    <n v="47406.249999999993"/>
    <n v="15644.062499999998"/>
    <n v="51906.249999999993"/>
    <n v="54906.249999999993"/>
    <n v="8201281.2499999991"/>
    <n v="8979781.2499999981"/>
    <n v="9498781.2499999981"/>
    <n v="0"/>
    <n v="697108.90625"/>
    <n v="2"/>
    <n v="204999.99999999997"/>
    <n v="204999.99999999997"/>
    <n v="8406281.2499999981"/>
  </r>
  <r>
    <m/>
    <s v="C"/>
    <x v="28"/>
    <s v="RESIDENTIAL"/>
    <x v="2"/>
    <n v="3"/>
    <x v="574"/>
    <x v="2"/>
    <s v="C2"/>
    <n v="141.572"/>
    <n v="158.75821520344815"/>
    <x v="22"/>
    <m/>
    <m/>
    <s v="NW"/>
    <s v="MIDDLE"/>
    <s v="LAKE C"/>
    <s v="SECOND"/>
    <x v="4"/>
    <n v="0.13"/>
    <n v="2.5000000000000001E-2"/>
    <n v="0.46"/>
    <n v="0.11"/>
    <n v="2.5000000000000001E-2"/>
    <x v="142"/>
    <x v="2"/>
    <x v="0"/>
    <n v="43562.499999999993"/>
    <n v="48687.499999999993"/>
    <n v="5125"/>
    <n v="3843.75"/>
    <n v="47406.249999999993"/>
    <n v="15644.062499999998"/>
    <n v="51906.249999999993"/>
    <n v="54906.249999999993"/>
    <n v="8201281.2499999991"/>
    <n v="8979781.2499999981"/>
    <n v="9498781.2499999981"/>
    <n v="0"/>
    <n v="697108.90625"/>
    <n v="2"/>
    <n v="204999.99999999997"/>
    <n v="204999.99999999997"/>
    <n v="8406281.2499999981"/>
  </r>
  <r>
    <m/>
    <s v="C"/>
    <x v="28"/>
    <s v="RESIDENTIAL"/>
    <x v="2"/>
    <n v="4"/>
    <x v="575"/>
    <x v="2"/>
    <s v="C2"/>
    <n v="141.226"/>
    <n v="158.37021233239741"/>
    <x v="23"/>
    <m/>
    <m/>
    <s v="SE"/>
    <s v="MIDDLE"/>
    <s v="ROAD 18M (BUILDINGS)"/>
    <s v="SECOND"/>
    <x v="4"/>
    <n v="0.08"/>
    <n v="2.5000000000000001E-2"/>
    <n v="0.15"/>
    <n v="0.11"/>
    <n v="2.5000000000000001E-2"/>
    <x v="152"/>
    <x v="0"/>
    <x v="2"/>
    <n v="45687.5"/>
    <n v="51062.5"/>
    <n v="5375"/>
    <n v="2096.25"/>
    <n v="47783.75"/>
    <n v="15768.637500000001"/>
    <n v="52283.75"/>
    <n v="55283.75"/>
    <n v="8218805"/>
    <n v="8992805"/>
    <n v="9508805"/>
    <n v="0"/>
    <n v="698598.42500000005"/>
    <n v="2"/>
    <n v="215000"/>
    <n v="215000"/>
    <n v="8433805"/>
  </r>
  <r>
    <m/>
    <s v="C"/>
    <x v="28"/>
    <s v="RESIDENTIAL"/>
    <x v="3"/>
    <n v="1"/>
    <x v="576"/>
    <x v="2"/>
    <s v="C2"/>
    <n v="141.48599999999999"/>
    <n v="158.66177518347598"/>
    <x v="22"/>
    <m/>
    <m/>
    <s v="SE"/>
    <s v="MIDDLE"/>
    <s v="ROAD 18M (BUILDINGS)"/>
    <s v="THIRD"/>
    <x v="4"/>
    <n v="0.08"/>
    <n v="2.5000000000000001E-2"/>
    <n v="0.15"/>
    <n v="0.15"/>
    <n v="2.5000000000000001E-2"/>
    <x v="187"/>
    <x v="0"/>
    <x v="4"/>
    <n v="51850"/>
    <n v="57950"/>
    <n v="6100"/>
    <n v="2623.0000000000005"/>
    <n v="54473"/>
    <n v="17976.09"/>
    <n v="58973"/>
    <n v="61973"/>
    <n v="9423829"/>
    <n v="10202329"/>
    <n v="10721329"/>
    <n v="0"/>
    <n v="801025.46500000008"/>
    <n v="2"/>
    <n v="244000"/>
    <n v="244000"/>
    <n v="9667829"/>
  </r>
  <r>
    <m/>
    <s v="C"/>
    <x v="28"/>
    <s v="RESIDENTIAL"/>
    <x v="3"/>
    <n v="2"/>
    <x v="577"/>
    <x v="2"/>
    <s v="C2"/>
    <n v="142.25399999999999"/>
    <n v="159.52300698973886"/>
    <x v="47"/>
    <m/>
    <m/>
    <s v="NW"/>
    <s v="MIDDLE"/>
    <s v="LAKE C"/>
    <s v="THIRD"/>
    <x v="4"/>
    <n v="0.13"/>
    <n v="2.5000000000000001E-2"/>
    <n v="0.46"/>
    <n v="0.15"/>
    <n v="2.5000000000000001E-2"/>
    <x v="143"/>
    <x v="2"/>
    <x v="5"/>
    <n v="46750.000000000007"/>
    <n v="52250.000000000007"/>
    <n v="5500"/>
    <n v="4345"/>
    <n v="51095.000000000007"/>
    <n v="16861.350000000002"/>
    <n v="55595.000000000007"/>
    <n v="58595.000000000007"/>
    <n v="8890530.0000000019"/>
    <n v="9673530.0000000019"/>
    <n v="10195530.000000002"/>
    <n v="0"/>
    <n v="755695.05000000016"/>
    <n v="2"/>
    <n v="220000.00000000003"/>
    <n v="220000.00000000003"/>
    <n v="9110530.0000000019"/>
  </r>
  <r>
    <m/>
    <s v="C"/>
    <x v="28"/>
    <s v="RESIDENTIAL"/>
    <x v="3"/>
    <n v="3"/>
    <x v="578"/>
    <x v="2"/>
    <s v="C2"/>
    <n v="142.37799999999999"/>
    <n v="159.6620600417917"/>
    <x v="47"/>
    <m/>
    <m/>
    <s v="NW"/>
    <s v="MIDDLE"/>
    <s v="LAKE C"/>
    <s v="THIRD"/>
    <x v="4"/>
    <n v="0.13"/>
    <n v="2.5000000000000001E-2"/>
    <n v="0.46"/>
    <n v="0.15"/>
    <n v="2.5000000000000001E-2"/>
    <x v="143"/>
    <x v="2"/>
    <x v="5"/>
    <n v="46750.000000000007"/>
    <n v="52250.000000000007"/>
    <n v="5500"/>
    <n v="4345"/>
    <n v="51095.000000000007"/>
    <n v="16861.350000000002"/>
    <n v="55595.000000000007"/>
    <n v="58595.000000000007"/>
    <n v="8890530.0000000019"/>
    <n v="9673530.0000000019"/>
    <n v="10195530.000000002"/>
    <n v="0"/>
    <n v="755695.05000000016"/>
    <n v="2"/>
    <n v="220000.00000000003"/>
    <n v="220000.00000000003"/>
    <n v="9110530.0000000019"/>
  </r>
  <r>
    <m/>
    <s v="C"/>
    <x v="28"/>
    <s v="RESIDENTIAL"/>
    <x v="3"/>
    <n v="4"/>
    <x v="579"/>
    <x v="2"/>
    <s v="C2"/>
    <n v="141.52600000000001"/>
    <n v="158.70663100671885"/>
    <x v="22"/>
    <m/>
    <m/>
    <s v="SE"/>
    <s v="MIDDLE"/>
    <s v="ROAD 18M (BUILDINGS)"/>
    <s v="THIRD"/>
    <x v="4"/>
    <n v="0.08"/>
    <n v="2.5000000000000001E-2"/>
    <n v="0.15"/>
    <n v="0.15"/>
    <n v="2.5000000000000001E-2"/>
    <x v="187"/>
    <x v="0"/>
    <x v="4"/>
    <n v="51850"/>
    <n v="57950"/>
    <n v="6100"/>
    <n v="2623.0000000000005"/>
    <n v="54473"/>
    <n v="17976.09"/>
    <n v="58973"/>
    <n v="61973"/>
    <n v="9423829"/>
    <n v="10202329"/>
    <n v="10721329"/>
    <n v="0"/>
    <n v="801025.46500000008"/>
    <n v="2"/>
    <n v="244000"/>
    <n v="244000"/>
    <n v="9667829"/>
  </r>
  <r>
    <m/>
    <s v="C"/>
    <x v="28"/>
    <s v="RESIDENTIAL"/>
    <x v="4"/>
    <n v="1"/>
    <x v="580"/>
    <x v="2"/>
    <s v="C2"/>
    <n v="139.12"/>
    <n v="156.00855323866094"/>
    <x v="28"/>
    <m/>
    <m/>
    <s v="SE"/>
    <s v="MIDDLE"/>
    <s v="ROAD 18M (BUILDINGS)"/>
    <s v="FORTH"/>
    <x v="4"/>
    <n v="0.08"/>
    <n v="2.5000000000000001E-2"/>
    <n v="0.15"/>
    <n v="0.06"/>
    <n v="2.5000000000000001E-2"/>
    <x v="95"/>
    <x v="0"/>
    <x v="3"/>
    <n v="42500"/>
    <n v="47500"/>
    <n v="5000"/>
    <n v="1700.0000000000002"/>
    <n v="44200"/>
    <n v="14586"/>
    <n v="48700"/>
    <n v="51700"/>
    <n v="7514000"/>
    <n v="8279000"/>
    <n v="8789000"/>
    <n v="0"/>
    <n v="638690"/>
    <n v="2"/>
    <n v="200000"/>
    <n v="200000"/>
    <n v="7714000"/>
  </r>
  <r>
    <m/>
    <s v="C"/>
    <x v="28"/>
    <s v="RESIDENTIAL"/>
    <x v="4"/>
    <n v="2"/>
    <x v="581"/>
    <x v="2"/>
    <s v="C2"/>
    <n v="141.53399999999999"/>
    <n v="158.71560217136741"/>
    <x v="22"/>
    <m/>
    <m/>
    <s v="NW"/>
    <s v="MIDDLE"/>
    <s v="LAKE C"/>
    <s v="FORTH"/>
    <x v="4"/>
    <n v="0.13"/>
    <n v="2.5000000000000001E-2"/>
    <n v="0.46"/>
    <n v="0.06"/>
    <n v="2.5000000000000001E-2"/>
    <x v="129"/>
    <x v="1"/>
    <x v="10"/>
    <n v="53550"/>
    <n v="59850"/>
    <n v="6300"/>
    <n v="4410"/>
    <n v="57960"/>
    <n v="19126.8"/>
    <n v="62460"/>
    <n v="65460"/>
    <n v="10027080"/>
    <n v="10805580"/>
    <n v="11324580"/>
    <n v="0"/>
    <n v="852301.8"/>
    <n v="2"/>
    <n v="252000"/>
    <n v="252000"/>
    <n v="10279080"/>
  </r>
  <r>
    <m/>
    <s v="C"/>
    <x v="28"/>
    <s v="RESIDENTIAL"/>
    <x v="4"/>
    <n v="3"/>
    <x v="582"/>
    <x v="2"/>
    <s v="C2"/>
    <n v="141.65899999999999"/>
    <n v="158.85577661900135"/>
    <x v="22"/>
    <m/>
    <m/>
    <s v="NW"/>
    <s v="MIDDLE"/>
    <s v="LAKE C"/>
    <s v="FORTH"/>
    <x v="4"/>
    <n v="0.13"/>
    <n v="2.5000000000000001E-2"/>
    <n v="0.46"/>
    <n v="0.06"/>
    <n v="2.5000000000000001E-2"/>
    <x v="129"/>
    <x v="1"/>
    <x v="10"/>
    <n v="53550"/>
    <n v="59850"/>
    <n v="6300"/>
    <n v="4410"/>
    <n v="57960"/>
    <n v="19126.8"/>
    <n v="62460"/>
    <n v="65460"/>
    <n v="10027080"/>
    <n v="10805580"/>
    <n v="11324580"/>
    <n v="0"/>
    <n v="852301.8"/>
    <n v="2"/>
    <n v="252000"/>
    <n v="252000"/>
    <n v="10279080"/>
  </r>
  <r>
    <m/>
    <s v="C"/>
    <x v="28"/>
    <s v="RESIDENTIAL"/>
    <x v="4"/>
    <n v="4"/>
    <x v="583"/>
    <x v="2"/>
    <s v="C2"/>
    <n v="139.31659999999999"/>
    <n v="156.22901960989958"/>
    <x v="28"/>
    <m/>
    <m/>
    <s v="SE"/>
    <s v="MIDDLE"/>
    <s v="ROAD 18M (BUILDINGS)"/>
    <s v="FORTH"/>
    <x v="4"/>
    <n v="0.08"/>
    <n v="2.5000000000000001E-2"/>
    <n v="0.15"/>
    <n v="0.06"/>
    <n v="2.5000000000000001E-2"/>
    <x v="95"/>
    <x v="0"/>
    <x v="3"/>
    <n v="42500"/>
    <n v="47500"/>
    <n v="5000"/>
    <n v="1700.0000000000002"/>
    <n v="44200"/>
    <n v="14586"/>
    <n v="48700"/>
    <n v="51700"/>
    <n v="7514000"/>
    <n v="8279000"/>
    <n v="8789000"/>
    <n v="0"/>
    <n v="638690"/>
    <n v="2"/>
    <n v="200000"/>
    <n v="200000"/>
    <n v="7714000"/>
  </r>
  <r>
    <s v="B3"/>
    <s v="C"/>
    <x v="29"/>
    <s v="RESIDENTIAL"/>
    <x v="0"/>
    <n v="1"/>
    <x v="584"/>
    <x v="2"/>
    <s v="C2"/>
    <n v="144.66300000000001"/>
    <n v="160.29970969584483"/>
    <x v="20"/>
    <n v="78.760000000000005"/>
    <m/>
    <s v="SE"/>
    <s v="CORNER "/>
    <s v="SEMI LAKE B-2"/>
    <s v="GROUND"/>
    <x v="4"/>
    <n v="0.08"/>
    <n v="0.05"/>
    <n v="0.42400000000000004"/>
    <n v="0.05"/>
    <n v="2.5000000000000001E-2"/>
    <x v="161"/>
    <x v="1"/>
    <x v="6"/>
    <n v="44625"/>
    <n v="49875"/>
    <n v="5250"/>
    <n v="3302.2500000000005"/>
    <n v="47927.25"/>
    <n v="15815.9925"/>
    <n v="52427.25"/>
    <n v="55427.25"/>
    <n v="8435196"/>
    <n v="9227196"/>
    <n v="9755196"/>
    <n v="1245667.5693000001"/>
    <n v="822873.4033905"/>
    <n v="2"/>
    <n v="210000"/>
    <n v="210000"/>
    <n v="9890863.5692999996"/>
  </r>
  <r>
    <m/>
    <s v="C"/>
    <x v="29"/>
    <s v="RESIDENTIAL"/>
    <x v="0"/>
    <n v="2"/>
    <x v="585"/>
    <x v="3"/>
    <s v="C2"/>
    <n v="183.887"/>
    <n v="203.76345518093646"/>
    <x v="19"/>
    <n v="61.522199999999998"/>
    <m/>
    <s v="NW"/>
    <s v="CORNER "/>
    <s v="LAKE B-2"/>
    <s v="GROUND"/>
    <x v="3"/>
    <n v="0.13"/>
    <n v="0.05"/>
    <n v="0.53"/>
    <n v="0.05"/>
    <n v="1.4999999999999999E-2"/>
    <x v="122"/>
    <x v="2"/>
    <x v="2"/>
    <n v="45687.5"/>
    <n v="51062.5"/>
    <n v="5375"/>
    <n v="4165.625"/>
    <n v="49853.125"/>
    <n v="16451.53125"/>
    <n v="54353.125"/>
    <n v="57353.125"/>
    <n v="11167100"/>
    <n v="12175100"/>
    <n v="12847100"/>
    <n v="1012134.3958687499"/>
    <n v="1035234.9236488439"/>
    <n v="2"/>
    <n v="215000"/>
    <n v="215000"/>
    <n v="12394234.39586875"/>
  </r>
  <r>
    <m/>
    <s v="C"/>
    <x v="29"/>
    <s v="RESIDENTIAL"/>
    <x v="0"/>
    <n v="3"/>
    <x v="586"/>
    <x v="2"/>
    <s v="C2"/>
    <n v="162.78100000000001"/>
    <n v="180.37609508996297"/>
    <x v="18"/>
    <n v="77.576999999999998"/>
    <m/>
    <s v="NW"/>
    <s v="MIDDLE"/>
    <s v="LAKE C"/>
    <s v="GROUND"/>
    <x v="3"/>
    <n v="0.13"/>
    <n v="2.5000000000000001E-2"/>
    <n v="0.46"/>
    <n v="0.05"/>
    <n v="1.4999999999999999E-2"/>
    <x v="127"/>
    <x v="1"/>
    <x v="12"/>
    <n v="50150"/>
    <n v="56050"/>
    <n v="5900"/>
    <n v="4012.0000000000005"/>
    <n v="54162"/>
    <n v="17873.46"/>
    <n v="58662"/>
    <n v="61662"/>
    <n v="10778238"/>
    <n v="11673738"/>
    <n v="12270738"/>
    <n v="1386569.4064199999"/>
    <n v="1034008.6295457"/>
    <n v="2"/>
    <n v="236000"/>
    <n v="236000"/>
    <n v="12400807.40642"/>
  </r>
  <r>
    <m/>
    <s v="C"/>
    <x v="29"/>
    <s v="RESIDENTIAL"/>
    <x v="0"/>
    <n v="4"/>
    <x v="587"/>
    <x v="0"/>
    <s v="C2"/>
    <n v="95.213999999999999"/>
    <n v="105.50573788031609"/>
    <x v="17"/>
    <n v="61.500599999999999"/>
    <m/>
    <s v="SE"/>
    <s v="MIDDLE"/>
    <s v="ROAD 12M"/>
    <s v="GROUND"/>
    <x v="1"/>
    <n v="0.08"/>
    <n v="2.5000000000000001E-2"/>
    <n v="0.13"/>
    <n v="0.05"/>
    <n v="0.04"/>
    <x v="180"/>
    <x v="0"/>
    <x v="3"/>
    <n v="42500"/>
    <n v="47500"/>
    <n v="5000"/>
    <n v="1625"/>
    <n v="44125"/>
    <n v="14561.25"/>
    <n v="48625"/>
    <n v="51625"/>
    <n v="5118500"/>
    <n v="5640500"/>
    <n v="5988500"/>
    <n v="895525.61174999992"/>
    <n v="511192.17699875007"/>
    <n v="1"/>
    <n v="200000"/>
    <n v="200000"/>
    <n v="6214025.6117500002"/>
  </r>
  <r>
    <m/>
    <s v="C"/>
    <x v="29"/>
    <s v="RESIDENTIAL"/>
    <x v="1"/>
    <n v="1"/>
    <x v="588"/>
    <x v="2"/>
    <s v="C2"/>
    <n v="141.66300000000001"/>
    <n v="156.9754379118535"/>
    <x v="22"/>
    <m/>
    <m/>
    <s v="SE"/>
    <s v="CORNER "/>
    <s v="SEMI LAKE B-2"/>
    <s v="FIRST"/>
    <x v="4"/>
    <n v="0.08"/>
    <n v="0.05"/>
    <n v="0.42400000000000004"/>
    <n v="7.0000000000000007E-2"/>
    <n v="2.5000000000000001E-2"/>
    <x v="188"/>
    <x v="1"/>
    <x v="2"/>
    <n v="45687.5"/>
    <n v="51062.5"/>
    <n v="5375"/>
    <n v="3488.3750000000009"/>
    <n v="49175.875"/>
    <n v="16228.038750000002"/>
    <n v="53675.875"/>
    <n v="56675.875"/>
    <n v="8507426.375"/>
    <n v="9285926.375"/>
    <n v="9804926.375"/>
    <n v="0"/>
    <n v="723131.24187500007"/>
    <n v="2"/>
    <n v="215000"/>
    <n v="215000"/>
    <n v="8722426.375"/>
  </r>
  <r>
    <m/>
    <s v="C"/>
    <x v="29"/>
    <s v="RESIDENTIAL"/>
    <x v="1"/>
    <n v="2"/>
    <x v="589"/>
    <x v="3"/>
    <s v="C2"/>
    <n v="183.637"/>
    <n v="203.48643253227053"/>
    <x v="19"/>
    <m/>
    <m/>
    <s v="NW"/>
    <s v="CORNER "/>
    <s v="LAKE B-2"/>
    <s v="FIRST"/>
    <x v="3"/>
    <n v="0.13"/>
    <n v="0.05"/>
    <n v="0.53"/>
    <n v="7.0000000000000007E-2"/>
    <n v="1.4999999999999999E-2"/>
    <x v="123"/>
    <x v="2"/>
    <x v="5"/>
    <n v="46750.000000000007"/>
    <n v="52250.000000000007"/>
    <n v="5500"/>
    <n v="4372.5"/>
    <n v="51122.500000000007"/>
    <n v="16870.425000000003"/>
    <n v="55622.500000000007"/>
    <n v="58622.500000000007"/>
    <n v="11451440.000000002"/>
    <n v="12459440.000000002"/>
    <n v="13131440.000000002"/>
    <n v="0"/>
    <n v="973372.40000000026"/>
    <n v="2"/>
    <n v="220000.00000000003"/>
    <n v="220000.00000000003"/>
    <n v="11671440.000000002"/>
  </r>
  <r>
    <m/>
    <s v="C"/>
    <x v="29"/>
    <s v="RESIDENTIAL"/>
    <x v="1"/>
    <n v="3"/>
    <x v="590"/>
    <x v="2"/>
    <s v="C2"/>
    <n v="162.53100000000001"/>
    <n v="180.09907244129704"/>
    <x v="42"/>
    <m/>
    <m/>
    <s v="NW"/>
    <s v="MIDDLE"/>
    <s v="LAKE C"/>
    <s v="FIRST"/>
    <x v="3"/>
    <n v="0.13"/>
    <n v="2.5000000000000001E-2"/>
    <n v="0.46"/>
    <n v="7.0000000000000007E-2"/>
    <n v="1.4999999999999999E-2"/>
    <x v="129"/>
    <x v="1"/>
    <x v="10"/>
    <n v="53550"/>
    <n v="59850"/>
    <n v="6300"/>
    <n v="4410"/>
    <n v="57960"/>
    <n v="19126.8"/>
    <n v="62460"/>
    <n v="65460"/>
    <n v="11476080"/>
    <n v="12367080"/>
    <n v="12961080"/>
    <n v="0"/>
    <n v="975466.8"/>
    <n v="2"/>
    <n v="252000"/>
    <n v="252000"/>
    <n v="11728080"/>
  </r>
  <r>
    <m/>
    <s v="C"/>
    <x v="29"/>
    <s v="RESIDENTIAL"/>
    <x v="1"/>
    <n v="4"/>
    <x v="591"/>
    <x v="0"/>
    <s v="C2"/>
    <n v="96.271000000000001"/>
    <n v="106.6769896388757"/>
    <x v="21"/>
    <m/>
    <m/>
    <s v="SE"/>
    <s v="MIDDLE"/>
    <s v="ROAD 12M"/>
    <s v="FIRST"/>
    <x v="1"/>
    <n v="0.08"/>
    <n v="2.5000000000000001E-2"/>
    <n v="0.13"/>
    <n v="7.0000000000000007E-2"/>
    <n v="0.04"/>
    <x v="86"/>
    <x v="0"/>
    <x v="3"/>
    <n v="42500"/>
    <n v="47500"/>
    <n v="5000"/>
    <n v="1725.0000000000002"/>
    <n v="44225"/>
    <n v="14594.25"/>
    <n v="48725"/>
    <n v="51725"/>
    <n v="5174325"/>
    <n v="5700825"/>
    <n v="6051825"/>
    <n v="0"/>
    <n v="439817.62500000006"/>
    <n v="1"/>
    <n v="200000"/>
    <n v="200000"/>
    <n v="5374325"/>
  </r>
  <r>
    <m/>
    <s v="C"/>
    <x v="29"/>
    <s v="RESIDENTIAL"/>
    <x v="2"/>
    <n v="1"/>
    <x v="592"/>
    <x v="2"/>
    <s v="C2"/>
    <n v="143.989"/>
    <n v="159.55285663504142"/>
    <x v="20"/>
    <m/>
    <m/>
    <s v="SE"/>
    <s v="CORNER "/>
    <s v="SEMI LAKE B-2"/>
    <s v="SECOND"/>
    <x v="4"/>
    <n v="0.08"/>
    <n v="0.05"/>
    <n v="0.42400000000000004"/>
    <n v="0.11"/>
    <n v="2.5000000000000001E-2"/>
    <x v="189"/>
    <x v="1"/>
    <x v="4"/>
    <n v="51850"/>
    <n v="57950"/>
    <n v="6100"/>
    <n v="4202.9000000000005"/>
    <n v="56052.9"/>
    <n v="18497.457000000002"/>
    <n v="60552.9"/>
    <n v="63552.9"/>
    <n v="9865310.4000000004"/>
    <n v="10657310.4"/>
    <n v="11185310.4"/>
    <n v="0"/>
    <n v="838551.38400000008"/>
    <n v="2"/>
    <n v="244000"/>
    <n v="244000"/>
    <n v="10109310.4"/>
  </r>
  <r>
    <m/>
    <s v="C"/>
    <x v="29"/>
    <s v="RESIDENTIAL"/>
    <x v="2"/>
    <n v="2"/>
    <x v="593"/>
    <x v="3"/>
    <s v="C2"/>
    <n v="187.1"/>
    <n v="207.32375026159116"/>
    <x v="25"/>
    <m/>
    <m/>
    <s v="NW"/>
    <s v="CORNER "/>
    <s v="LAKE B-2"/>
    <s v="SECOND"/>
    <x v="3"/>
    <n v="0.13"/>
    <n v="0.05"/>
    <n v="0.53"/>
    <n v="0.11"/>
    <n v="1.4999999999999999E-2"/>
    <x v="105"/>
    <x v="2"/>
    <x v="4"/>
    <n v="51850"/>
    <n v="57950"/>
    <n v="6100"/>
    <n v="5093.5"/>
    <n v="56943.5"/>
    <n v="18791.355"/>
    <n v="61443.5"/>
    <n v="64443.5"/>
    <n v="12983118"/>
    <n v="14009118"/>
    <n v="14693118"/>
    <n v="0"/>
    <n v="1103565.03"/>
    <n v="2"/>
    <n v="244000"/>
    <n v="244000"/>
    <n v="13227118"/>
  </r>
  <r>
    <m/>
    <s v="C"/>
    <x v="29"/>
    <s v="RESIDENTIAL"/>
    <x v="2"/>
    <n v="3"/>
    <x v="594"/>
    <x v="2"/>
    <s v="C2"/>
    <n v="167.16900000000001"/>
    <n v="185.23839661934761"/>
    <x v="43"/>
    <m/>
    <m/>
    <s v="NW"/>
    <s v="MIDDLE"/>
    <s v="LAKE C"/>
    <s v="SECOND"/>
    <x v="3"/>
    <n v="0.13"/>
    <n v="2.5000000000000001E-2"/>
    <n v="0.46"/>
    <n v="0.11"/>
    <n v="1.4999999999999999E-2"/>
    <x v="132"/>
    <x v="2"/>
    <x v="3"/>
    <n v="42500"/>
    <n v="47500"/>
    <n v="5000"/>
    <n v="3700"/>
    <n v="46200"/>
    <n v="15246"/>
    <n v="50700"/>
    <n v="53700"/>
    <n v="9424800"/>
    <n v="10342800"/>
    <n v="10954800"/>
    <n v="0"/>
    <n v="801108"/>
    <n v="2"/>
    <n v="200000"/>
    <n v="200000"/>
    <n v="9624800"/>
  </r>
  <r>
    <m/>
    <s v="C"/>
    <x v="29"/>
    <s v="RESIDENTIAL"/>
    <x v="2"/>
    <n v="4"/>
    <x v="595"/>
    <x v="2"/>
    <s v="C2"/>
    <n v="141.18700000000001"/>
    <n v="156.44798678879354"/>
    <x v="23"/>
    <m/>
    <m/>
    <s v="SE"/>
    <s v="MIDDLE"/>
    <s v="ROAD 12M"/>
    <s v="SECOND"/>
    <x v="4"/>
    <n v="0.08"/>
    <n v="2.5000000000000001E-2"/>
    <n v="0.13"/>
    <n v="0.11"/>
    <n v="2.5000000000000001E-2"/>
    <x v="182"/>
    <x v="0"/>
    <x v="0"/>
    <n v="43562.499999999993"/>
    <n v="48687.499999999993"/>
    <n v="5125"/>
    <n v="1896.2500000000002"/>
    <n v="45458.749999999993"/>
    <n v="15001.387499999999"/>
    <n v="49958.749999999993"/>
    <n v="52958.749999999993"/>
    <n v="7818904.9999999991"/>
    <n v="8592904.9999999981"/>
    <n v="9108904.9999999981"/>
    <n v="0"/>
    <n v="664606.92499999993"/>
    <n v="2"/>
    <n v="204999.99999999997"/>
    <n v="204999.99999999997"/>
    <n v="8023904.9999999991"/>
  </r>
  <r>
    <m/>
    <s v="C"/>
    <x v="29"/>
    <s v="RESIDENTIAL"/>
    <x v="3"/>
    <n v="1"/>
    <x v="596"/>
    <x v="2"/>
    <s v="C2"/>
    <n v="143.89599999999999"/>
    <n v="159.44980420973766"/>
    <x v="20"/>
    <m/>
    <m/>
    <s v="SE"/>
    <s v="CORNER "/>
    <s v="SEMI LAKE B-2"/>
    <s v="THIRD"/>
    <x v="4"/>
    <n v="0.08"/>
    <n v="0.05"/>
    <n v="0.42400000000000004"/>
    <n v="0.15"/>
    <n v="2.5000000000000001E-2"/>
    <x v="112"/>
    <x v="1"/>
    <x v="7"/>
    <n v="61625"/>
    <n v="68875"/>
    <n v="7250"/>
    <n v="5285.2500000000009"/>
    <n v="66910.25"/>
    <n v="22080.3825"/>
    <n v="71410.25"/>
    <n v="74410.25"/>
    <n v="11776204"/>
    <n v="12568204"/>
    <n v="13096204"/>
    <n v="0"/>
    <n v="1000977.3400000001"/>
    <n v="2"/>
    <n v="290000"/>
    <n v="290000"/>
    <n v="12066204"/>
  </r>
  <r>
    <m/>
    <s v="C"/>
    <x v="29"/>
    <s v="RESIDENTIAL"/>
    <x v="3"/>
    <n v="2"/>
    <x v="597"/>
    <x v="3"/>
    <s v="C2"/>
    <n v="187.20400000000001"/>
    <n v="207.4389916834362"/>
    <x v="25"/>
    <m/>
    <m/>
    <s v="NW"/>
    <s v="CORNER "/>
    <s v="LAKE B-2"/>
    <s v="THIRD"/>
    <x v="3"/>
    <n v="0.13"/>
    <n v="0.05"/>
    <n v="0.53"/>
    <n v="0.15"/>
    <n v="1.4999999999999999E-2"/>
    <x v="124"/>
    <x v="2"/>
    <x v="10"/>
    <n v="53550"/>
    <n v="59850"/>
    <n v="6300"/>
    <n v="5512.5"/>
    <n v="59062.5"/>
    <n v="19490.625"/>
    <n v="63562.5"/>
    <n v="66562.5"/>
    <n v="13466250"/>
    <n v="14492250"/>
    <n v="15176250"/>
    <n v="0"/>
    <n v="1144631.25"/>
    <n v="2"/>
    <n v="252000"/>
    <n v="252000"/>
    <n v="13718250"/>
  </r>
  <r>
    <m/>
    <s v="C"/>
    <x v="29"/>
    <s v="RESIDENTIAL"/>
    <x v="3"/>
    <n v="3"/>
    <x v="598"/>
    <x v="2"/>
    <s v="C2"/>
    <n v="164.417"/>
    <n v="182.18893130283288"/>
    <x v="44"/>
    <m/>
    <m/>
    <s v="NW"/>
    <s v="MIDDLE"/>
    <s v="LAKE C"/>
    <s v="THIRD"/>
    <x v="3"/>
    <n v="0.13"/>
    <n v="2.5000000000000001E-2"/>
    <n v="0.46"/>
    <n v="0.15"/>
    <n v="1.4999999999999999E-2"/>
    <x v="135"/>
    <x v="2"/>
    <x v="2"/>
    <n v="45687.5"/>
    <n v="51062.5"/>
    <n v="5375"/>
    <n v="4192.5"/>
    <n v="49880"/>
    <n v="16460.400000000001"/>
    <n v="54380"/>
    <n v="57380"/>
    <n v="10025880"/>
    <n v="10930380"/>
    <n v="11533380"/>
    <n v="0"/>
    <n v="852199.8"/>
    <n v="2"/>
    <n v="215000"/>
    <n v="215000"/>
    <n v="10240880"/>
  </r>
  <r>
    <m/>
    <s v="C"/>
    <x v="29"/>
    <s v="RESIDENTIAL"/>
    <x v="3"/>
    <n v="4"/>
    <x v="599"/>
    <x v="2"/>
    <s v="C2"/>
    <n v="141.07300000000001"/>
    <n v="156.32166446100189"/>
    <x v="23"/>
    <m/>
    <m/>
    <s v="SE"/>
    <s v="MIDDLE"/>
    <s v="ROAD 12M"/>
    <s v="THIRD"/>
    <x v="4"/>
    <n v="0.08"/>
    <n v="2.5000000000000001E-2"/>
    <n v="0.13"/>
    <n v="0.15"/>
    <n v="2.5000000000000001E-2"/>
    <x v="79"/>
    <x v="0"/>
    <x v="1"/>
    <n v="48450.000000000007"/>
    <n v="54150.000000000007"/>
    <n v="5700"/>
    <n v="2337"/>
    <n v="50787.000000000007"/>
    <n v="16759.710000000003"/>
    <n v="55287.000000000007"/>
    <n v="58287.000000000007"/>
    <n v="8735364.0000000019"/>
    <n v="9509364.0000000019"/>
    <n v="10025364.000000002"/>
    <n v="0"/>
    <n v="742505.94000000018"/>
    <n v="2"/>
    <n v="228000.00000000003"/>
    <n v="228000.00000000003"/>
    <n v="8963364.0000000019"/>
  </r>
  <r>
    <m/>
    <s v="C"/>
    <x v="29"/>
    <s v="RESIDENTIAL"/>
    <x v="4"/>
    <n v="1"/>
    <x v="600"/>
    <x v="2"/>
    <s v="C2"/>
    <n v="141.929"/>
    <n v="157.27019001003407"/>
    <x v="22"/>
    <m/>
    <m/>
    <s v="SE"/>
    <s v="CORNER "/>
    <s v="SEMI LAKE B-2"/>
    <s v="FORTH"/>
    <x v="4"/>
    <n v="0.08"/>
    <n v="0.05"/>
    <n v="0.42400000000000004"/>
    <n v="0.06"/>
    <n v="2.5000000000000001E-2"/>
    <x v="158"/>
    <x v="1"/>
    <x v="2"/>
    <n v="45687.5"/>
    <n v="51062.5"/>
    <n v="5375"/>
    <n v="3434.6250000000005"/>
    <n v="49122.125"/>
    <n v="16210.30125"/>
    <n v="53622.125"/>
    <n v="56622.125"/>
    <n v="8498127.625"/>
    <n v="9276627.625"/>
    <n v="9795627.625"/>
    <n v="0"/>
    <n v="722340.84812500002"/>
    <n v="2"/>
    <n v="215000"/>
    <n v="215000"/>
    <n v="8713127.625"/>
  </r>
  <r>
    <m/>
    <s v="C"/>
    <x v="29"/>
    <s v="RESIDENTIAL"/>
    <x v="4"/>
    <n v="2"/>
    <x v="601"/>
    <x v="3"/>
    <s v="C2"/>
    <n v="182.36099999999999"/>
    <n v="202.07250893347955"/>
    <x v="45"/>
    <m/>
    <m/>
    <s v="NW"/>
    <s v="CORNER "/>
    <s v="LAKE B-2"/>
    <s v="FORTH"/>
    <x v="3"/>
    <n v="0.13"/>
    <n v="0.05"/>
    <n v="0.53"/>
    <n v="0.06"/>
    <n v="1.4999999999999999E-2"/>
    <x v="125"/>
    <x v="2"/>
    <x v="2"/>
    <n v="45687.5"/>
    <n v="51062.5"/>
    <n v="5375"/>
    <n v="4219.375"/>
    <n v="49906.875"/>
    <n v="16469.268749999999"/>
    <n v="54406.875"/>
    <n v="57406.875"/>
    <n v="11079326.25"/>
    <n v="12078326.25"/>
    <n v="12744326.25"/>
    <n v="0"/>
    <n v="941742.73125000007"/>
    <n v="2"/>
    <n v="215000"/>
    <n v="215000"/>
    <n v="11294326.25"/>
  </r>
  <r>
    <m/>
    <s v="C"/>
    <x v="29"/>
    <s v="RESIDENTIAL"/>
    <x v="4"/>
    <n v="3"/>
    <x v="602"/>
    <x v="2"/>
    <s v="C2"/>
    <n v="162.44399999999999"/>
    <n v="180.00266855956127"/>
    <x v="42"/>
    <m/>
    <m/>
    <s v="NW"/>
    <s v="MIDDLE"/>
    <s v="LAKE C"/>
    <s v="FORTH"/>
    <x v="3"/>
    <n v="0.13"/>
    <n v="2.5000000000000001E-2"/>
    <n v="0.46"/>
    <n v="0.06"/>
    <n v="1.4999999999999999E-2"/>
    <x v="137"/>
    <x v="1"/>
    <x v="4"/>
    <n v="51850"/>
    <n v="57950"/>
    <n v="6100"/>
    <n v="4209"/>
    <n v="56059"/>
    <n v="18499.47"/>
    <n v="60559"/>
    <n v="63559"/>
    <n v="11099682"/>
    <n v="11990682"/>
    <n v="12584682"/>
    <n v="0"/>
    <n v="943472.97000000009"/>
    <n v="2"/>
    <n v="244000"/>
    <n v="244000"/>
    <n v="11343682"/>
  </r>
  <r>
    <m/>
    <s v="C"/>
    <x v="29"/>
    <s v="RESIDENTIAL"/>
    <x v="4"/>
    <n v="4"/>
    <x v="603"/>
    <x v="2"/>
    <s v="C2"/>
    <n v="139.12700000000001"/>
    <n v="154.16532016378619"/>
    <x v="28"/>
    <m/>
    <m/>
    <s v="SE"/>
    <s v="MIDDLE"/>
    <s v="ROAD 12M"/>
    <s v="FORTH"/>
    <x v="4"/>
    <n v="0.08"/>
    <n v="2.5000000000000001E-2"/>
    <n v="0.13"/>
    <n v="0.06"/>
    <n v="2.5000000000000001E-2"/>
    <x v="184"/>
    <x v="0"/>
    <x v="3"/>
    <n v="42500"/>
    <n v="47500"/>
    <n v="5000"/>
    <n v="1600.0000000000002"/>
    <n v="44100"/>
    <n v="14553"/>
    <n v="48600"/>
    <n v="51600"/>
    <n v="7497000"/>
    <n v="8262000"/>
    <n v="8772000"/>
    <n v="0"/>
    <n v="637245"/>
    <n v="2"/>
    <n v="200000"/>
    <n v="200000"/>
    <n v="7697000"/>
  </r>
  <r>
    <s v="B3"/>
    <s v="C"/>
    <x v="30"/>
    <s v="RESIDENTIAL"/>
    <x v="0"/>
    <n v="1"/>
    <x v="604"/>
    <x v="0"/>
    <s v="C2"/>
    <n v="95.254000000000005"/>
    <n v="105.53950812408786"/>
    <x v="17"/>
    <n v="63.1755"/>
    <m/>
    <s v="NW"/>
    <s v="MIDDLE"/>
    <s v="ROAD 12M"/>
    <s v="GROUND"/>
    <x v="1"/>
    <n v="0.13"/>
    <n v="2.5000000000000001E-2"/>
    <n v="0.13"/>
    <n v="0.05"/>
    <n v="0.04"/>
    <x v="7"/>
    <x v="0"/>
    <x v="6"/>
    <n v="44625"/>
    <n v="49875"/>
    <n v="5250"/>
    <n v="1968.75"/>
    <n v="46593.75"/>
    <n v="15375.9375"/>
    <n v="51093.75"/>
    <n v="54093.75"/>
    <n v="5404875"/>
    <n v="5926875"/>
    <n v="6274875"/>
    <n v="971382.53953125002"/>
    <n v="541981.89086015627"/>
    <n v="1"/>
    <n v="210000"/>
    <n v="210000"/>
    <n v="6586257.5395312496"/>
  </r>
  <r>
    <m/>
    <s v="C"/>
    <x v="30"/>
    <s v="RESIDENTIAL"/>
    <x v="0"/>
    <n v="2"/>
    <x v="605"/>
    <x v="2"/>
    <s v="C2"/>
    <n v="162.82599999999999"/>
    <n v="180.40791935050211"/>
    <x v="18"/>
    <n v="77.610299999999995"/>
    <m/>
    <s v="SE"/>
    <s v="MIDDLE"/>
    <s v="LAKE C"/>
    <s v="GROUND"/>
    <x v="3"/>
    <n v="0.08"/>
    <n v="2.5000000000000001E-2"/>
    <n v="0.46"/>
    <n v="0.05"/>
    <n v="1.4999999999999999E-2"/>
    <x v="190"/>
    <x v="1"/>
    <x v="6"/>
    <n v="44625"/>
    <n v="49875"/>
    <n v="5250"/>
    <n v="3307.5000000000005"/>
    <n v="47932.5"/>
    <n v="15817.725"/>
    <n v="52432.5"/>
    <n v="55432.5"/>
    <n v="9538567.5"/>
    <n v="10434067.5"/>
    <n v="11031067.5"/>
    <n v="1227618.3825675"/>
    <n v="915125.80001823767"/>
    <n v="2"/>
    <n v="210000"/>
    <n v="210000"/>
    <n v="10976185.882567501"/>
  </r>
  <r>
    <m/>
    <s v="C"/>
    <x v="30"/>
    <s v="RESIDENTIAL"/>
    <x v="0"/>
    <n v="3"/>
    <x v="606"/>
    <x v="3"/>
    <s v="C2"/>
    <n v="183.887"/>
    <n v="203.74308197465874"/>
    <x v="19"/>
    <n v="61.527700000000003"/>
    <m/>
    <s v="SE"/>
    <s v="CORNER "/>
    <s v="LAKE B-2"/>
    <s v="GROUND"/>
    <x v="3"/>
    <n v="0.08"/>
    <n v="0.05"/>
    <n v="0.53"/>
    <n v="0.05"/>
    <n v="1.4999999999999999E-2"/>
    <x v="9"/>
    <x v="1"/>
    <x v="7"/>
    <n v="61625"/>
    <n v="68875"/>
    <n v="7250"/>
    <n v="5256.2500000000009"/>
    <n v="66881.25"/>
    <n v="22070.8125"/>
    <n v="71381.25"/>
    <n v="74381.25"/>
    <n v="14981400"/>
    <n v="15989400"/>
    <n v="16661400"/>
    <n v="1357966.33025625"/>
    <n v="1388846.1380717813"/>
    <n v="2"/>
    <n v="290000"/>
    <n v="290000"/>
    <n v="16629366.33025625"/>
  </r>
  <r>
    <m/>
    <s v="C"/>
    <x v="30"/>
    <s v="RESIDENTIAL"/>
    <x v="0"/>
    <n v="4"/>
    <x v="607"/>
    <x v="2"/>
    <s v="C2"/>
    <n v="147.54499999999999"/>
    <n v="163.47687998581205"/>
    <x v="41"/>
    <n v="81.552400000000006"/>
    <m/>
    <s v="NW"/>
    <s v="CORNER "/>
    <s v="SEMI LAKE B-2"/>
    <s v="GROUND"/>
    <x v="4"/>
    <n v="0.13"/>
    <n v="0.05"/>
    <n v="0.42400000000000004"/>
    <n v="0.05"/>
    <n v="2.5000000000000001E-2"/>
    <x v="117"/>
    <x v="1"/>
    <x v="12"/>
    <n v="50150"/>
    <n v="56050"/>
    <n v="5900"/>
    <n v="4006.1000000000008"/>
    <n v="54156.1"/>
    <n v="17871.512999999999"/>
    <n v="58656.1"/>
    <n v="61656.1"/>
    <n v="9748098"/>
    <n v="10558098"/>
    <n v="11098098"/>
    <n v="1457464.7767812"/>
    <n v="952472.83602640207"/>
    <n v="2"/>
    <n v="236000"/>
    <n v="236000"/>
    <n v="11441562.776781199"/>
  </r>
  <r>
    <m/>
    <s v="C"/>
    <x v="30"/>
    <s v="RESIDENTIAL"/>
    <x v="1"/>
    <n v="1"/>
    <x v="608"/>
    <x v="0"/>
    <s v="C2"/>
    <n v="96.311000000000007"/>
    <n v="106.71064277551626"/>
    <x v="21"/>
    <m/>
    <m/>
    <s v="NW"/>
    <s v="MIDDLE"/>
    <s v="ROAD 12M"/>
    <s v="FIRST"/>
    <x v="1"/>
    <n v="0.13"/>
    <n v="2.5000000000000001E-2"/>
    <n v="0.13"/>
    <n v="7.0000000000000007E-2"/>
    <n v="0.04"/>
    <x v="53"/>
    <x v="0"/>
    <x v="2"/>
    <n v="45687.5"/>
    <n v="51062.5"/>
    <n v="5375"/>
    <n v="2123.125"/>
    <n v="47810.625"/>
    <n v="15777.50625"/>
    <n v="52310.625"/>
    <n v="55310.625"/>
    <n v="5593843.125"/>
    <n v="6120343.125"/>
    <n v="6471343.125"/>
    <n v="0"/>
    <n v="475476.66562500002"/>
    <n v="1"/>
    <n v="215000"/>
    <n v="215000"/>
    <n v="5808843.125"/>
  </r>
  <r>
    <m/>
    <s v="C"/>
    <x v="30"/>
    <s v="RESIDENTIAL"/>
    <x v="1"/>
    <n v="2"/>
    <x v="609"/>
    <x v="2"/>
    <s v="C2"/>
    <n v="162.57599999999999"/>
    <n v="180.13092439983313"/>
    <x v="42"/>
    <m/>
    <m/>
    <s v="SE"/>
    <s v="MIDDLE"/>
    <s v="LAKE C"/>
    <s v="FIRST"/>
    <x v="3"/>
    <n v="0.08"/>
    <n v="2.5000000000000001E-2"/>
    <n v="0.46"/>
    <n v="7.0000000000000007E-2"/>
    <n v="1.4999999999999999E-2"/>
    <x v="47"/>
    <x v="1"/>
    <x v="5"/>
    <n v="46750.000000000007"/>
    <n v="52250.000000000007"/>
    <n v="5500"/>
    <n v="3575"/>
    <n v="50325.000000000007"/>
    <n v="16607.250000000004"/>
    <n v="54825.000000000007"/>
    <n v="57825.000000000007"/>
    <n v="9964350.0000000019"/>
    <n v="10855350.000000002"/>
    <n v="11449350.000000002"/>
    <n v="0"/>
    <n v="846969.75000000023"/>
    <n v="2"/>
    <n v="220000.00000000003"/>
    <n v="220000.00000000003"/>
    <n v="10184350.000000002"/>
  </r>
  <r>
    <m/>
    <s v="C"/>
    <x v="30"/>
    <s v="RESIDENTIAL"/>
    <x v="1"/>
    <n v="3"/>
    <x v="610"/>
    <x v="3"/>
    <s v="C2"/>
    <n v="183.637"/>
    <n v="203.46608702398976"/>
    <x v="19"/>
    <m/>
    <m/>
    <s v="SE"/>
    <s v="CORNER "/>
    <s v="LAKE B-2"/>
    <s v="FIRST"/>
    <x v="3"/>
    <n v="0.08"/>
    <n v="0.05"/>
    <n v="0.53"/>
    <n v="7.0000000000000007E-2"/>
    <n v="1.4999999999999999E-2"/>
    <x v="102"/>
    <x v="2"/>
    <x v="3"/>
    <n v="42500"/>
    <n v="47500"/>
    <n v="5000"/>
    <n v="3725"/>
    <n v="46225"/>
    <n v="15254.25"/>
    <n v="50725"/>
    <n v="53725"/>
    <n v="10354400"/>
    <n v="11362400"/>
    <n v="12034400"/>
    <n v="0"/>
    <n v="880124.00000000012"/>
    <n v="2"/>
    <n v="200000"/>
    <n v="200000"/>
    <n v="10554400"/>
  </r>
  <r>
    <m/>
    <s v="C"/>
    <x v="30"/>
    <s v="RESIDENTIAL"/>
    <x v="1"/>
    <n v="4"/>
    <x v="611"/>
    <x v="2"/>
    <s v="C2"/>
    <n v="141.66300000000001"/>
    <n v="156.95974278647259"/>
    <x v="22"/>
    <m/>
    <m/>
    <s v="NW"/>
    <s v="CORNER "/>
    <s v="SEMI LAKE B-2"/>
    <s v="FIRST"/>
    <x v="4"/>
    <n v="0.13"/>
    <n v="0.05"/>
    <n v="0.42400000000000004"/>
    <n v="7.0000000000000007E-2"/>
    <n v="2.5000000000000001E-2"/>
    <x v="191"/>
    <x v="1"/>
    <x v="10"/>
    <n v="53550"/>
    <n v="59850"/>
    <n v="6300"/>
    <n v="4403.7000000000007"/>
    <n v="57953.7"/>
    <n v="19124.721000000001"/>
    <n v="62453.7"/>
    <n v="65453.7"/>
    <n v="10025990.1"/>
    <n v="10804490.1"/>
    <n v="11323490.1"/>
    <n v="0"/>
    <n v="852209.15850000002"/>
    <n v="2"/>
    <n v="252000"/>
    <n v="252000"/>
    <n v="10277990.1"/>
  </r>
  <r>
    <m/>
    <s v="C"/>
    <x v="30"/>
    <s v="RESIDENTIAL"/>
    <x v="2"/>
    <n v="1"/>
    <x v="612"/>
    <x v="2"/>
    <s v="C2"/>
    <n v="141.22499999999999"/>
    <n v="156.47444763290054"/>
    <x v="23"/>
    <m/>
    <m/>
    <s v="NW"/>
    <s v="MIDDLE"/>
    <s v="ROAD 12M"/>
    <s v="SECOND"/>
    <x v="4"/>
    <n v="0.13"/>
    <n v="2.5000000000000001E-2"/>
    <n v="0.13"/>
    <n v="0.11"/>
    <n v="2.5000000000000001E-2"/>
    <x v="192"/>
    <x v="0"/>
    <x v="12"/>
    <n v="50150"/>
    <n v="56050"/>
    <n v="5900"/>
    <n v="2478.0000000000005"/>
    <n v="52628"/>
    <n v="17367.240000000002"/>
    <n v="57128"/>
    <n v="60128"/>
    <n v="9052016"/>
    <n v="9826016"/>
    <n v="10342016"/>
    <n v="0"/>
    <n v="769421.3600000001"/>
    <n v="2"/>
    <n v="236000"/>
    <n v="236000"/>
    <n v="9288016"/>
  </r>
  <r>
    <m/>
    <s v="C"/>
    <x v="30"/>
    <s v="RESIDENTIAL"/>
    <x v="2"/>
    <n v="2"/>
    <x v="613"/>
    <x v="2"/>
    <s v="C2"/>
    <n v="167.214"/>
    <n v="185.26973472464385"/>
    <x v="43"/>
    <m/>
    <m/>
    <s v="SE"/>
    <s v="MIDDLE"/>
    <s v="LAKE C"/>
    <s v="SECOND"/>
    <x v="3"/>
    <n v="0.08"/>
    <n v="2.5000000000000001E-2"/>
    <n v="0.46"/>
    <n v="0.11"/>
    <n v="1.4999999999999999E-2"/>
    <x v="137"/>
    <x v="1"/>
    <x v="4"/>
    <n v="51850"/>
    <n v="57950"/>
    <n v="6100"/>
    <n v="4209"/>
    <n v="56059"/>
    <n v="18499.47"/>
    <n v="60559"/>
    <n v="63559"/>
    <n v="11436036"/>
    <n v="12354036"/>
    <n v="12966036"/>
    <n v="0"/>
    <n v="972063.06"/>
    <n v="2"/>
    <n v="244000"/>
    <n v="244000"/>
    <n v="11680036"/>
  </r>
  <r>
    <m/>
    <s v="C"/>
    <x v="30"/>
    <s v="RESIDENTIAL"/>
    <x v="2"/>
    <n v="3"/>
    <x v="614"/>
    <x v="3"/>
    <s v="C2"/>
    <n v="187.10300000000001"/>
    <n v="207.30634502006436"/>
    <x v="25"/>
    <m/>
    <m/>
    <s v="SE"/>
    <s v="CORNER "/>
    <s v="LAKE B-2"/>
    <s v="SECOND"/>
    <x v="3"/>
    <n v="0.08"/>
    <n v="0.05"/>
    <n v="0.53"/>
    <n v="0.11"/>
    <n v="1.4999999999999999E-2"/>
    <x v="125"/>
    <x v="2"/>
    <x v="2"/>
    <n v="45687.5"/>
    <n v="51062.5"/>
    <n v="5375"/>
    <n v="4219.375"/>
    <n v="49906.875"/>
    <n v="16469.268749999999"/>
    <n v="54406.875"/>
    <n v="57406.875"/>
    <n v="11378767.5"/>
    <n v="12404767.5"/>
    <n v="13088767.5"/>
    <n v="0"/>
    <n v="967195.23750000005"/>
    <n v="2"/>
    <n v="215000"/>
    <n v="215000"/>
    <n v="11593767.5"/>
  </r>
  <r>
    <m/>
    <s v="C"/>
    <x v="30"/>
    <s v="RESIDENTIAL"/>
    <x v="2"/>
    <n v="4"/>
    <x v="615"/>
    <x v="2"/>
    <s v="C2"/>
    <n v="143.989"/>
    <n v="159.53690380749666"/>
    <x v="20"/>
    <m/>
    <m/>
    <s v="NW"/>
    <s v="CORNER "/>
    <s v="SEMI LAKE B-2"/>
    <s v="SECOND"/>
    <x v="4"/>
    <n v="0.13"/>
    <n v="0.05"/>
    <n v="0.42400000000000004"/>
    <n v="0.11"/>
    <n v="2.5000000000000001E-2"/>
    <x v="193"/>
    <x v="2"/>
    <x v="3"/>
    <n v="42500"/>
    <n v="47500"/>
    <n v="5000"/>
    <n v="3695.0000000000005"/>
    <n v="46195"/>
    <n v="15244.35"/>
    <n v="50695"/>
    <n v="53695"/>
    <n v="8130320"/>
    <n v="8922320"/>
    <n v="9450320"/>
    <n v="0"/>
    <n v="691077.20000000007"/>
    <n v="2"/>
    <n v="200000"/>
    <n v="200000"/>
    <n v="8330320"/>
  </r>
  <r>
    <m/>
    <s v="C"/>
    <x v="30"/>
    <s v="RESIDENTIAL"/>
    <x v="3"/>
    <n v="1"/>
    <x v="616"/>
    <x v="2"/>
    <s v="C2"/>
    <n v="141.131"/>
    <n v="156.37029753144901"/>
    <x v="23"/>
    <m/>
    <m/>
    <s v="NW"/>
    <s v="MIDDLE"/>
    <s v="ROAD 12M"/>
    <s v="THIRD"/>
    <x v="4"/>
    <n v="0.13"/>
    <n v="2.5000000000000001E-2"/>
    <n v="0.13"/>
    <n v="0.15"/>
    <n v="2.5000000000000001E-2"/>
    <x v="194"/>
    <x v="0"/>
    <x v="8"/>
    <n v="56100"/>
    <n v="62700"/>
    <n v="6600"/>
    <n v="3036.0000000000005"/>
    <n v="59136"/>
    <n v="19514.88"/>
    <n v="63636"/>
    <n v="66636"/>
    <n v="10171392"/>
    <n v="10945392"/>
    <n v="11461392"/>
    <n v="0"/>
    <n v="864568.32000000007"/>
    <n v="2"/>
    <n v="264000"/>
    <n v="264000"/>
    <n v="10435392"/>
  </r>
  <r>
    <m/>
    <s v="C"/>
    <x v="30"/>
    <s v="RESIDENTIAL"/>
    <x v="3"/>
    <n v="2"/>
    <x v="617"/>
    <x v="2"/>
    <s v="C2"/>
    <n v="164.43600000000001"/>
    <n v="182.19176683281029"/>
    <x v="44"/>
    <m/>
    <m/>
    <s v="SE"/>
    <s v="MIDDLE"/>
    <s v="LAKE C"/>
    <s v="THIRD"/>
    <x v="3"/>
    <n v="0.08"/>
    <n v="2.5000000000000001E-2"/>
    <n v="0.46"/>
    <n v="0.15"/>
    <n v="1.4999999999999999E-2"/>
    <x v="195"/>
    <x v="2"/>
    <x v="3"/>
    <n v="42500"/>
    <n v="47500"/>
    <n v="5000"/>
    <n v="3650.0000000000005"/>
    <n v="46150"/>
    <n v="15229.5"/>
    <n v="50650"/>
    <n v="53650"/>
    <n v="9276150"/>
    <n v="10180650"/>
    <n v="10783650"/>
    <n v="0"/>
    <n v="788472.75"/>
    <n v="2"/>
    <n v="200000"/>
    <n v="200000"/>
    <n v="9476150"/>
  </r>
  <r>
    <m/>
    <s v="C"/>
    <x v="30"/>
    <s v="RESIDENTIAL"/>
    <x v="3"/>
    <n v="3"/>
    <x v="618"/>
    <x v="3"/>
    <s v="C2"/>
    <n v="187.20400000000001"/>
    <n v="207.41825098013462"/>
    <x v="25"/>
    <m/>
    <m/>
    <s v="SE"/>
    <s v="CORNER "/>
    <s v="LAKE B-2"/>
    <s v="THIRD"/>
    <x v="3"/>
    <n v="0.08"/>
    <n v="0.05"/>
    <n v="0.53"/>
    <n v="0.15"/>
    <n v="1.4999999999999999E-2"/>
    <x v="151"/>
    <x v="2"/>
    <x v="12"/>
    <n v="50150"/>
    <n v="56050"/>
    <n v="5900"/>
    <n v="4867.5"/>
    <n v="55017.5"/>
    <n v="18155.775000000001"/>
    <n v="59517.5"/>
    <n v="62517.5"/>
    <n v="12543990"/>
    <n v="13569990"/>
    <n v="14253990"/>
    <n v="0"/>
    <n v="1066239.1500000001"/>
    <n v="2"/>
    <n v="236000"/>
    <n v="236000"/>
    <n v="12779990"/>
  </r>
  <r>
    <m/>
    <s v="C"/>
    <x v="30"/>
    <s v="RESIDENTIAL"/>
    <x v="3"/>
    <n v="4"/>
    <x v="619"/>
    <x v="2"/>
    <s v="C2"/>
    <n v="143.911"/>
    <n v="159.45048138288794"/>
    <x v="20"/>
    <m/>
    <m/>
    <s v="NW"/>
    <s v="CORNER "/>
    <s v="SEMI LAKE B-2"/>
    <s v="THIRD"/>
    <x v="4"/>
    <n v="0.13"/>
    <n v="0.05"/>
    <n v="0.42400000000000004"/>
    <n v="0.15"/>
    <n v="2.5000000000000001E-2"/>
    <x v="196"/>
    <x v="2"/>
    <x v="2"/>
    <n v="45687.5"/>
    <n v="51062.5"/>
    <n v="5375"/>
    <n v="4187.1250000000009"/>
    <n v="49874.625"/>
    <n v="16458.626250000001"/>
    <n v="54374.625"/>
    <n v="57374.625"/>
    <n v="8777934"/>
    <n v="9569934"/>
    <n v="10097934"/>
    <n v="0"/>
    <n v="746124.39"/>
    <n v="2"/>
    <n v="215000"/>
    <n v="215000"/>
    <n v="8992934"/>
  </r>
  <r>
    <m/>
    <s v="C"/>
    <x v="30"/>
    <s v="RESIDENTIAL"/>
    <x v="4"/>
    <n v="1"/>
    <x v="620"/>
    <x v="2"/>
    <s v="C2"/>
    <n v="139.16499999999999"/>
    <n v="154.19200923938823"/>
    <x v="28"/>
    <m/>
    <m/>
    <s v="NW"/>
    <s v="MIDDLE"/>
    <s v="ROAD 12M"/>
    <s v="FORTH"/>
    <x v="4"/>
    <n v="0.13"/>
    <n v="2.5000000000000001E-2"/>
    <n v="0.13"/>
    <n v="0.06"/>
    <n v="2.5000000000000001E-2"/>
    <x v="182"/>
    <x v="0"/>
    <x v="0"/>
    <n v="43562.499999999993"/>
    <n v="48687.499999999993"/>
    <n v="5125"/>
    <n v="1896.2500000000002"/>
    <n v="45458.749999999993"/>
    <n v="15001.387499999999"/>
    <n v="49958.749999999993"/>
    <n v="52958.749999999993"/>
    <n v="7727987.4999999991"/>
    <n v="8492987.4999999981"/>
    <n v="9002987.4999999981"/>
    <n v="0"/>
    <n v="656878.9375"/>
    <n v="2"/>
    <n v="204999.99999999997"/>
    <n v="204999.99999999997"/>
    <n v="7932987.4999999991"/>
  </r>
  <r>
    <m/>
    <s v="C"/>
    <x v="30"/>
    <s v="RESIDENTIAL"/>
    <x v="4"/>
    <n v="2"/>
    <x v="621"/>
    <x v="2"/>
    <s v="C2"/>
    <n v="162.49"/>
    <n v="180.03563813680304"/>
    <x v="42"/>
    <m/>
    <m/>
    <s v="SE"/>
    <s v="MIDDLE"/>
    <s v="LAKE C"/>
    <s v="FORTH"/>
    <x v="3"/>
    <n v="0.08"/>
    <n v="2.5000000000000001E-2"/>
    <n v="0.46"/>
    <n v="0.06"/>
    <n v="1.4999999999999999E-2"/>
    <x v="197"/>
    <x v="1"/>
    <x v="2"/>
    <n v="45687.5"/>
    <n v="51062.5"/>
    <n v="5375"/>
    <n v="3440"/>
    <n v="49127.5"/>
    <n v="16212.075000000001"/>
    <n v="53627.5"/>
    <n v="56627.5"/>
    <n v="9727245"/>
    <n v="10618245"/>
    <n v="11212245"/>
    <n v="0"/>
    <n v="826815.82500000007"/>
    <n v="2"/>
    <n v="215000"/>
    <n v="215000"/>
    <n v="9942245"/>
  </r>
  <r>
    <m/>
    <s v="C"/>
    <x v="30"/>
    <s v="RESIDENTIAL"/>
    <x v="4"/>
    <n v="3"/>
    <x v="622"/>
    <x v="3"/>
    <s v="C2"/>
    <n v="182.357"/>
    <n v="202.04787287656464"/>
    <x v="45"/>
    <m/>
    <m/>
    <s v="SE"/>
    <s v="CORNER "/>
    <s v="LAKE B-2"/>
    <s v="FORTH"/>
    <x v="3"/>
    <n v="0.08"/>
    <n v="0.05"/>
    <n v="0.53"/>
    <n v="0.06"/>
    <n v="1.4999999999999999E-2"/>
    <x v="154"/>
    <x v="2"/>
    <x v="3"/>
    <n v="42500"/>
    <n v="47500"/>
    <n v="5000"/>
    <n v="3675"/>
    <n v="46175"/>
    <n v="15237.75"/>
    <n v="50675"/>
    <n v="53675"/>
    <n v="10250850"/>
    <n v="11249850"/>
    <n v="11915850"/>
    <n v="0"/>
    <n v="871322.25000000012"/>
    <n v="2"/>
    <n v="200000"/>
    <n v="200000"/>
    <n v="10450850"/>
  </r>
  <r>
    <m/>
    <s v="C"/>
    <x v="30"/>
    <s v="RESIDENTIAL"/>
    <x v="4"/>
    <n v="4"/>
    <x v="623"/>
    <x v="2"/>
    <s v="C2"/>
    <n v="141.929"/>
    <n v="157.25446541398435"/>
    <x v="22"/>
    <m/>
    <m/>
    <s v="NW"/>
    <s v="CORNER "/>
    <s v="SEMI LAKE B-2"/>
    <s v="FORTH"/>
    <x v="4"/>
    <n v="0.13"/>
    <n v="0.05"/>
    <n v="0.42400000000000004"/>
    <n v="0.06"/>
    <n v="2.5000000000000001E-2"/>
    <x v="109"/>
    <x v="1"/>
    <x v="4"/>
    <n v="51850"/>
    <n v="57950"/>
    <n v="6100"/>
    <n v="4202.9000000000015"/>
    <n v="56052.9"/>
    <n v="18497.457000000002"/>
    <n v="60552.9"/>
    <n v="63552.9"/>
    <n v="9697151.7000000011"/>
    <n v="10475651.700000001"/>
    <n v="10994651.700000001"/>
    <n v="0"/>
    <n v="824257.89450000017"/>
    <n v="2"/>
    <n v="244000"/>
    <n v="244000"/>
    <n v="9941151.7000000011"/>
  </r>
  <r>
    <s v="B3"/>
    <s v="C"/>
    <x v="31"/>
    <s v="RESIDENTIAL"/>
    <x v="0"/>
    <n v="1"/>
    <x v="624"/>
    <x v="2"/>
    <s v="C2"/>
    <n v="141.82499999999999"/>
    <n v="159.04192828545919"/>
    <x v="22"/>
    <n v="79.386099999999999"/>
    <m/>
    <s v="NW"/>
    <s v="MIDDLE"/>
    <s v="ROAD 18M (BUILDINGS)"/>
    <s v="GROUND"/>
    <x v="4"/>
    <n v="0.13"/>
    <n v="2.5000000000000001E-2"/>
    <n v="0.15"/>
    <n v="0.05"/>
    <n v="2.5000000000000001E-2"/>
    <x v="27"/>
    <x v="0"/>
    <x v="6"/>
    <n v="44625"/>
    <n v="49875"/>
    <n v="5250"/>
    <n v="1995"/>
    <n v="46620"/>
    <n v="15384.6"/>
    <n v="51120"/>
    <n v="54120"/>
    <n v="8065260"/>
    <n v="8843760"/>
    <n v="9362760"/>
    <n v="1221323.3940600001"/>
    <n v="789359.58849510015"/>
    <n v="2"/>
    <n v="210000"/>
    <n v="210000"/>
    <n v="9496583.3940600008"/>
  </r>
  <r>
    <m/>
    <s v="C"/>
    <x v="31"/>
    <s v="RESIDENTIAL"/>
    <x v="0"/>
    <n v="2"/>
    <x v="625"/>
    <x v="4"/>
    <s v="C2"/>
    <n v="142.05600000000001"/>
    <n v="159.30097066468673"/>
    <x v="46"/>
    <n v="97.868200000000002"/>
    <m/>
    <s v="SE"/>
    <s v="MIDDLE"/>
    <s v="LAKE C"/>
    <s v="GROUND"/>
    <x v="5"/>
    <n v="0.08"/>
    <n v="2.5000000000000001E-2"/>
    <n v="0.46"/>
    <n v="0.05"/>
    <n v="0"/>
    <x v="65"/>
    <x v="1"/>
    <x v="0"/>
    <n v="43562.499999999993"/>
    <n v="48687.499999999993"/>
    <n v="5125"/>
    <n v="3151.8750000000005"/>
    <n v="46714.374999999993"/>
    <n v="15415.743749999998"/>
    <n v="51214.374999999993"/>
    <n v="54214.374999999993"/>
    <n v="16069744.999999998"/>
    <n v="17617744.999999996"/>
    <n v="18649744.999999996"/>
    <n v="1508711.0924737498"/>
    <n v="1494168.7678602687"/>
    <n v="2"/>
    <n v="204999.99999999997"/>
    <n v="204999.99999999997"/>
    <n v="17783456.092473749"/>
  </r>
  <r>
    <m/>
    <s v="C"/>
    <x v="31"/>
    <s v="RESIDENTIAL"/>
    <x v="0"/>
    <n v="3"/>
    <x v="626"/>
    <x v="4"/>
    <s v="C2"/>
    <n v="142.197"/>
    <n v="159.45908744161781"/>
    <x v="46"/>
    <n v="97.259299999999996"/>
    <m/>
    <s v="SE"/>
    <s v="MIDDLE"/>
    <s v="LAKE C"/>
    <s v="GROUND"/>
    <x v="5"/>
    <n v="0.08"/>
    <n v="2.5000000000000001E-2"/>
    <n v="0.46"/>
    <n v="0.05"/>
    <n v="0"/>
    <x v="65"/>
    <x v="1"/>
    <x v="0"/>
    <n v="43562.499999999993"/>
    <n v="48687.499999999993"/>
    <n v="5125"/>
    <n v="3151.8750000000005"/>
    <n v="46714.374999999993"/>
    <n v="15415.743749999998"/>
    <n v="51214.374999999993"/>
    <n v="54214.374999999993"/>
    <n v="16069744.999999998"/>
    <n v="17617744.999999996"/>
    <n v="18649744.999999996"/>
    <n v="1499324.4461043747"/>
    <n v="1493370.902918872"/>
    <n v="2"/>
    <n v="204999.99999999997"/>
    <n v="204999.99999999997"/>
    <n v="17774069.446104374"/>
  </r>
  <r>
    <m/>
    <s v="C"/>
    <x v="31"/>
    <s v="RESIDENTIAL"/>
    <x v="0"/>
    <n v="4"/>
    <x v="627"/>
    <x v="0"/>
    <s v="C2"/>
    <n v="95.254000000000005"/>
    <n v="106.81741467938045"/>
    <x v="17"/>
    <n v="63.177900000000001"/>
    <m/>
    <s v="NW"/>
    <s v="MIDDLE"/>
    <s v="ROAD 18M (BUILDINGS)"/>
    <s v="GROUND"/>
    <x v="1"/>
    <n v="0.13"/>
    <n v="2.5000000000000001E-2"/>
    <n v="0.15"/>
    <n v="0.05"/>
    <n v="0.04"/>
    <x v="145"/>
    <x v="0"/>
    <x v="2"/>
    <n v="45687.5"/>
    <n v="51062.5"/>
    <n v="5375"/>
    <n v="2123.125"/>
    <n v="47810.625"/>
    <n v="15777.50625"/>
    <n v="52310.625"/>
    <n v="55310.625"/>
    <n v="5546032.5"/>
    <n v="6068032.5"/>
    <n v="6416032.5"/>
    <n v="996789.71211187507"/>
    <n v="556139.88802950946"/>
    <n v="1"/>
    <n v="215000"/>
    <n v="215000"/>
    <n v="6757822.2121118754"/>
  </r>
  <r>
    <m/>
    <s v="C"/>
    <x v="31"/>
    <s v="RESIDENTIAL"/>
    <x v="1"/>
    <n v="1"/>
    <x v="628"/>
    <x v="2"/>
    <s v="C2"/>
    <n v="142.977"/>
    <n v="160.33377599485354"/>
    <x v="47"/>
    <m/>
    <m/>
    <s v="NW"/>
    <s v="MIDDLE"/>
    <s v="ROAD 18M (BUILDINGS)"/>
    <s v="FIRST"/>
    <x v="4"/>
    <n v="0.13"/>
    <n v="2.5000000000000001E-2"/>
    <n v="0.15"/>
    <n v="7.0000000000000007E-2"/>
    <n v="2.5000000000000001E-2"/>
    <x v="98"/>
    <x v="0"/>
    <x v="5"/>
    <n v="46750.000000000007"/>
    <n v="52250.000000000007"/>
    <n v="5500"/>
    <n v="2200"/>
    <n v="48950.000000000007"/>
    <n v="16153.500000000004"/>
    <n v="53450.000000000007"/>
    <n v="56450.000000000007"/>
    <n v="8517300.0000000019"/>
    <n v="9300300.0000000019"/>
    <n v="9822300.0000000019"/>
    <n v="0"/>
    <n v="723970.50000000023"/>
    <n v="2"/>
    <n v="220000.00000000003"/>
    <n v="220000.00000000003"/>
    <n v="8737300.0000000019"/>
  </r>
  <r>
    <m/>
    <s v="C"/>
    <x v="31"/>
    <s v="RESIDENTIAL"/>
    <x v="1"/>
    <n v="4"/>
    <x v="629"/>
    <x v="0"/>
    <s v="C2"/>
    <n v="96.311000000000007"/>
    <n v="108.00272980857298"/>
    <x v="21"/>
    <m/>
    <m/>
    <s v="NW"/>
    <s v="MIDDLE"/>
    <s v="ROAD 18M (BUILDINGS)"/>
    <s v="FIRST"/>
    <x v="1"/>
    <n v="0.13"/>
    <n v="2.5000000000000001E-2"/>
    <n v="0.15"/>
    <n v="7.0000000000000007E-2"/>
    <n v="0.04"/>
    <x v="31"/>
    <x v="0"/>
    <x v="12"/>
    <n v="50150"/>
    <n v="56050"/>
    <n v="5900"/>
    <n v="2448.5"/>
    <n v="52598.5"/>
    <n v="17357.505000000001"/>
    <n v="57098.5"/>
    <n v="60098.5"/>
    <n v="6154024.5"/>
    <n v="6680524.5"/>
    <n v="7031524.5"/>
    <n v="0"/>
    <n v="523092.08250000002"/>
    <n v="1"/>
    <n v="236000"/>
    <n v="236000"/>
    <n v="6390024.5"/>
  </r>
  <r>
    <m/>
    <s v="C"/>
    <x v="31"/>
    <s v="RESIDENTIAL"/>
    <x v="2"/>
    <n v="1"/>
    <x v="630"/>
    <x v="2"/>
    <s v="C2"/>
    <n v="141.18700000000001"/>
    <n v="158.32647790473564"/>
    <x v="23"/>
    <m/>
    <m/>
    <s v="NW"/>
    <s v="MIDDLE"/>
    <s v="ROAD 18M (BUILDINGS)"/>
    <s v="SECOND"/>
    <x v="4"/>
    <n v="0.13"/>
    <n v="2.5000000000000001E-2"/>
    <n v="0.15"/>
    <n v="0.11"/>
    <n v="2.5000000000000001E-2"/>
    <x v="148"/>
    <x v="0"/>
    <x v="4"/>
    <n v="51850"/>
    <n v="57950"/>
    <n v="6100"/>
    <n v="2684"/>
    <n v="54534"/>
    <n v="17996.22"/>
    <n v="59034"/>
    <n v="62034"/>
    <n v="9379848"/>
    <n v="10153848"/>
    <n v="10669848"/>
    <n v="0"/>
    <n v="797287.08000000007"/>
    <n v="2"/>
    <n v="244000"/>
    <n v="244000"/>
    <n v="9623848"/>
  </r>
  <r>
    <m/>
    <s v="C"/>
    <x v="31"/>
    <s v="RESIDENTIAL"/>
    <x v="2"/>
    <n v="2"/>
    <x v="631"/>
    <x v="2"/>
    <s v="C2"/>
    <n v="141.446"/>
    <n v="158.61691936023314"/>
    <x v="22"/>
    <m/>
    <m/>
    <s v="SE"/>
    <s v="MIDDLE"/>
    <s v="LAKE C"/>
    <s v="SECOND"/>
    <x v="4"/>
    <n v="0.08"/>
    <n v="2.5000000000000001E-2"/>
    <n v="0.46"/>
    <n v="0.11"/>
    <n v="2.5000000000000001E-2"/>
    <x v="129"/>
    <x v="1"/>
    <x v="10"/>
    <n v="53550"/>
    <n v="59850"/>
    <n v="6300"/>
    <n v="4410"/>
    <n v="57960"/>
    <n v="19126.8"/>
    <n v="62460"/>
    <n v="65460"/>
    <n v="10027080"/>
    <n v="10805580"/>
    <n v="11324580"/>
    <n v="0"/>
    <n v="852301.8"/>
    <n v="2"/>
    <n v="252000"/>
    <n v="252000"/>
    <n v="10279080"/>
  </r>
  <r>
    <m/>
    <s v="C"/>
    <x v="31"/>
    <s v="RESIDENTIAL"/>
    <x v="2"/>
    <n v="3"/>
    <x v="632"/>
    <x v="2"/>
    <s v="C2"/>
    <n v="141.572"/>
    <n v="158.75821520344815"/>
    <x v="22"/>
    <m/>
    <m/>
    <s v="SE"/>
    <s v="MIDDLE"/>
    <s v="LAKE C"/>
    <s v="SECOND"/>
    <x v="4"/>
    <n v="0.08"/>
    <n v="2.5000000000000001E-2"/>
    <n v="0.46"/>
    <n v="0.11"/>
    <n v="2.5000000000000001E-2"/>
    <x v="129"/>
    <x v="1"/>
    <x v="10"/>
    <n v="53550"/>
    <n v="59850"/>
    <n v="6300"/>
    <n v="4410"/>
    <n v="57960"/>
    <n v="19126.8"/>
    <n v="62460"/>
    <n v="65460"/>
    <n v="10027080"/>
    <n v="10805580"/>
    <n v="11324580"/>
    <n v="0"/>
    <n v="852301.8"/>
    <n v="2"/>
    <n v="252000"/>
    <n v="252000"/>
    <n v="10279080"/>
  </r>
  <r>
    <m/>
    <s v="C"/>
    <x v="31"/>
    <s v="RESIDENTIAL"/>
    <x v="2"/>
    <n v="4"/>
    <x v="633"/>
    <x v="2"/>
    <s v="C2"/>
    <n v="141.226"/>
    <n v="158.37021233239741"/>
    <x v="23"/>
    <m/>
    <m/>
    <s v="NW"/>
    <s v="MIDDLE"/>
    <s v="ROAD 18M (BUILDINGS)"/>
    <s v="SECOND"/>
    <x v="4"/>
    <n v="0.13"/>
    <n v="2.5000000000000001E-2"/>
    <n v="0.15"/>
    <n v="0.11"/>
    <n v="2.5000000000000001E-2"/>
    <x v="148"/>
    <x v="0"/>
    <x v="4"/>
    <n v="51850"/>
    <n v="57950"/>
    <n v="6100"/>
    <n v="2684"/>
    <n v="54534"/>
    <n v="17996.22"/>
    <n v="59034"/>
    <n v="62034"/>
    <n v="9379848"/>
    <n v="10153848"/>
    <n v="10669848"/>
    <n v="0"/>
    <n v="797287.08000000007"/>
    <n v="2"/>
    <n v="244000"/>
    <n v="244000"/>
    <n v="9623848"/>
  </r>
  <r>
    <m/>
    <s v="C"/>
    <x v="31"/>
    <s v="RESIDENTIAL"/>
    <x v="3"/>
    <n v="1"/>
    <x v="634"/>
    <x v="2"/>
    <s v="C2"/>
    <n v="141.48599999999999"/>
    <n v="158.66177518347598"/>
    <x v="22"/>
    <m/>
    <m/>
    <s v="NW"/>
    <s v="MIDDLE"/>
    <s v="ROAD 18M (BUILDINGS)"/>
    <s v="THIRD"/>
    <x v="4"/>
    <n v="0.13"/>
    <n v="2.5000000000000001E-2"/>
    <n v="0.15"/>
    <n v="0.15"/>
    <n v="2.5000000000000001E-2"/>
    <x v="28"/>
    <x v="0"/>
    <x v="7"/>
    <n v="61625"/>
    <n v="68875"/>
    <n v="7250"/>
    <n v="3480"/>
    <n v="65105"/>
    <n v="21484.65"/>
    <n v="69605"/>
    <n v="72605"/>
    <n v="11263165"/>
    <n v="12041665"/>
    <n v="12560665"/>
    <n v="0"/>
    <n v="957369.02500000002"/>
    <n v="2"/>
    <n v="290000"/>
    <n v="290000"/>
    <n v="11553165"/>
  </r>
  <r>
    <m/>
    <s v="C"/>
    <x v="31"/>
    <s v="RESIDENTIAL"/>
    <x v="3"/>
    <n v="2"/>
    <x v="635"/>
    <x v="2"/>
    <s v="C2"/>
    <n v="142.25399999999999"/>
    <n v="159.52300698973886"/>
    <x v="47"/>
    <m/>
    <m/>
    <s v="SE"/>
    <s v="MIDDLE"/>
    <s v="LAKE C"/>
    <s v="THIRD"/>
    <x v="4"/>
    <n v="0.08"/>
    <n v="2.5000000000000001E-2"/>
    <n v="0.46"/>
    <n v="0.15"/>
    <n v="2.5000000000000001E-2"/>
    <x v="198"/>
    <x v="2"/>
    <x v="3"/>
    <n v="42500"/>
    <n v="47500"/>
    <n v="5000"/>
    <n v="3700.0000000000005"/>
    <n v="46200"/>
    <n v="15246"/>
    <n v="50700"/>
    <n v="53700"/>
    <n v="8038800"/>
    <n v="8821800"/>
    <n v="9343800"/>
    <n v="0"/>
    <n v="683298"/>
    <n v="2"/>
    <n v="200000"/>
    <n v="200000"/>
    <n v="8238800"/>
  </r>
  <r>
    <m/>
    <s v="C"/>
    <x v="31"/>
    <s v="RESIDENTIAL"/>
    <x v="3"/>
    <n v="3"/>
    <x v="636"/>
    <x v="2"/>
    <s v="C2"/>
    <n v="142.37799999999999"/>
    <n v="159.6620600417917"/>
    <x v="47"/>
    <m/>
    <m/>
    <s v="SE"/>
    <s v="MIDDLE"/>
    <s v="LAKE C"/>
    <s v="THIRD"/>
    <x v="4"/>
    <n v="0.08"/>
    <n v="2.5000000000000001E-2"/>
    <n v="0.46"/>
    <n v="0.15"/>
    <n v="2.5000000000000001E-2"/>
    <x v="198"/>
    <x v="2"/>
    <x v="3"/>
    <n v="42500"/>
    <n v="47500"/>
    <n v="5000"/>
    <n v="3700.0000000000005"/>
    <n v="46200"/>
    <n v="15246"/>
    <n v="50700"/>
    <n v="53700"/>
    <n v="8038800"/>
    <n v="8821800"/>
    <n v="9343800"/>
    <n v="0"/>
    <n v="683298"/>
    <n v="2"/>
    <n v="200000"/>
    <n v="200000"/>
    <n v="8238800"/>
  </r>
  <r>
    <m/>
    <s v="C"/>
    <x v="31"/>
    <s v="RESIDENTIAL"/>
    <x v="3"/>
    <n v="4"/>
    <x v="637"/>
    <x v="2"/>
    <s v="C2"/>
    <n v="141.52600000000001"/>
    <n v="158.70663100671885"/>
    <x v="22"/>
    <m/>
    <m/>
    <s v="NW"/>
    <s v="MIDDLE"/>
    <s v="ROAD 18M (BUILDINGS)"/>
    <s v="THIRD"/>
    <x v="4"/>
    <n v="0.13"/>
    <n v="2.5000000000000001E-2"/>
    <n v="0.15"/>
    <n v="0.15"/>
    <n v="2.5000000000000001E-2"/>
    <x v="28"/>
    <x v="0"/>
    <x v="7"/>
    <n v="61625"/>
    <n v="68875"/>
    <n v="7250"/>
    <n v="3480"/>
    <n v="65105"/>
    <n v="21484.65"/>
    <n v="69605"/>
    <n v="72605"/>
    <n v="11263165"/>
    <n v="12041665"/>
    <n v="12560665"/>
    <n v="0"/>
    <n v="957369.02500000002"/>
    <n v="2"/>
    <n v="290000"/>
    <n v="290000"/>
    <n v="11553165"/>
  </r>
  <r>
    <m/>
    <s v="C"/>
    <x v="31"/>
    <s v="RESIDENTIAL"/>
    <x v="4"/>
    <n v="1"/>
    <x v="638"/>
    <x v="2"/>
    <s v="C2"/>
    <n v="139.12"/>
    <n v="156.00855323866094"/>
    <x v="28"/>
    <m/>
    <m/>
    <s v="NW"/>
    <s v="MIDDLE"/>
    <s v="ROAD 18M (BUILDINGS)"/>
    <s v="FORTH"/>
    <x v="4"/>
    <n v="0.13"/>
    <n v="2.5000000000000001E-2"/>
    <n v="0.15"/>
    <n v="0.06"/>
    <n v="2.5000000000000001E-2"/>
    <x v="152"/>
    <x v="0"/>
    <x v="2"/>
    <n v="45687.5"/>
    <n v="51062.5"/>
    <n v="5375"/>
    <n v="2096.25"/>
    <n v="47783.75"/>
    <n v="15768.637500000001"/>
    <n v="52283.75"/>
    <n v="55283.75"/>
    <n v="8123237.5"/>
    <n v="8888237.5"/>
    <n v="9398237.5"/>
    <n v="0"/>
    <n v="690475.1875"/>
    <n v="2"/>
    <n v="215000"/>
    <n v="215000"/>
    <n v="8338237.5"/>
  </r>
  <r>
    <m/>
    <s v="C"/>
    <x v="31"/>
    <s v="RESIDENTIAL"/>
    <x v="4"/>
    <n v="2"/>
    <x v="639"/>
    <x v="2"/>
    <s v="C2"/>
    <n v="141.53399999999999"/>
    <n v="158.71560217136741"/>
    <x v="22"/>
    <m/>
    <m/>
    <s v="SE"/>
    <s v="MIDDLE"/>
    <s v="LAKE C"/>
    <s v="FORTH"/>
    <x v="4"/>
    <n v="0.08"/>
    <n v="2.5000000000000001E-2"/>
    <n v="0.46"/>
    <n v="0.06"/>
    <n v="2.5000000000000001E-2"/>
    <x v="47"/>
    <x v="1"/>
    <x v="5"/>
    <n v="46750.000000000007"/>
    <n v="52250.000000000007"/>
    <n v="5500"/>
    <n v="3575"/>
    <n v="50325.000000000007"/>
    <n v="16607.250000000004"/>
    <n v="54825.000000000007"/>
    <n v="57825.000000000007"/>
    <n v="8706225.0000000019"/>
    <n v="9484725.0000000019"/>
    <n v="10003725.000000002"/>
    <n v="0"/>
    <n v="740029.12500000023"/>
    <n v="2"/>
    <n v="220000.00000000003"/>
    <n v="220000.00000000003"/>
    <n v="8926225.0000000019"/>
  </r>
  <r>
    <m/>
    <s v="C"/>
    <x v="31"/>
    <s v="RESIDENTIAL"/>
    <x v="4"/>
    <n v="3"/>
    <x v="640"/>
    <x v="2"/>
    <s v="C2"/>
    <n v="141.65899999999999"/>
    <n v="158.85577661900135"/>
    <x v="22"/>
    <m/>
    <m/>
    <s v="SE"/>
    <s v="MIDDLE"/>
    <s v="LAKE C"/>
    <s v="FORTH"/>
    <x v="4"/>
    <n v="0.08"/>
    <n v="2.5000000000000001E-2"/>
    <n v="0.46"/>
    <n v="0.06"/>
    <n v="2.5000000000000001E-2"/>
    <x v="47"/>
    <x v="1"/>
    <x v="5"/>
    <n v="46750.000000000007"/>
    <n v="52250.000000000007"/>
    <n v="5500"/>
    <n v="3575"/>
    <n v="50325.000000000007"/>
    <n v="16607.250000000004"/>
    <n v="54825.000000000007"/>
    <n v="57825.000000000007"/>
    <n v="8706225.0000000019"/>
    <n v="9484725.0000000019"/>
    <n v="10003725.000000002"/>
    <n v="0"/>
    <n v="740029.12500000023"/>
    <n v="2"/>
    <n v="220000.00000000003"/>
    <n v="220000.00000000003"/>
    <n v="8926225.0000000019"/>
  </r>
  <r>
    <m/>
    <s v="C"/>
    <x v="31"/>
    <s v="RESIDENTIAL"/>
    <x v="4"/>
    <n v="4"/>
    <x v="641"/>
    <x v="2"/>
    <s v="C2"/>
    <n v="139.31659999999999"/>
    <n v="156.22901960989958"/>
    <x v="28"/>
    <m/>
    <m/>
    <s v="NW"/>
    <s v="MIDDLE"/>
    <s v="ROAD 18M (BUILDINGS)"/>
    <s v="FORTH"/>
    <x v="4"/>
    <n v="0.13"/>
    <n v="2.5000000000000001E-2"/>
    <n v="0.15"/>
    <n v="0.06"/>
    <n v="2.5000000000000001E-2"/>
    <x v="152"/>
    <x v="0"/>
    <x v="2"/>
    <n v="45687.5"/>
    <n v="51062.5"/>
    <n v="5375"/>
    <n v="2096.25"/>
    <n v="47783.75"/>
    <n v="15768.637500000001"/>
    <n v="52283.75"/>
    <n v="55283.75"/>
    <n v="8123237.5"/>
    <n v="8888237.5"/>
    <n v="9398237.5"/>
    <n v="0"/>
    <n v="690475.1875"/>
    <n v="2"/>
    <n v="215000"/>
    <n v="215000"/>
    <n v="8338237.5"/>
  </r>
  <r>
    <s v="B3"/>
    <s v="C"/>
    <x v="32"/>
    <s v="RESIDENTIAL"/>
    <x v="0"/>
    <n v="1"/>
    <x v="642"/>
    <x v="2"/>
    <s v="C2"/>
    <n v="144.66300000000001"/>
    <n v="160.29970969584483"/>
    <x v="20"/>
    <n v="81.358699999999999"/>
    <m/>
    <s v="NW"/>
    <s v="CORNER "/>
    <s v="SEMI LAKE E"/>
    <s v="GROUND"/>
    <x v="4"/>
    <n v="0.13"/>
    <n v="0.05"/>
    <n v="0.32250000000000001"/>
    <n v="0.05"/>
    <n v="2.5000000000000001E-2"/>
    <x v="199"/>
    <x v="1"/>
    <x v="3"/>
    <n v="42500"/>
    <n v="47500"/>
    <n v="5000"/>
    <n v="2887.5"/>
    <n v="45387.5"/>
    <n v="14977.875"/>
    <n v="49887.5"/>
    <n v="52887.5"/>
    <n v="7988200"/>
    <n v="8780200"/>
    <n v="9308200"/>
    <n v="1218580.4387625"/>
    <n v="782576.33729481266"/>
    <n v="2"/>
    <n v="200000"/>
    <n v="200000"/>
    <n v="9406780.4387625009"/>
  </r>
  <r>
    <m/>
    <s v="C"/>
    <x v="32"/>
    <s v="RESIDENTIAL"/>
    <x v="0"/>
    <n v="2"/>
    <x v="643"/>
    <x v="3"/>
    <s v="C2"/>
    <n v="183.887"/>
    <n v="203.76345518093646"/>
    <x v="19"/>
    <n v="61.522199999999998"/>
    <m/>
    <s v="SE"/>
    <s v="CORNER "/>
    <s v="SEMI LAKE B-1"/>
    <s v="GROUND"/>
    <x v="3"/>
    <n v="0.08"/>
    <n v="0.05"/>
    <n v="0.48"/>
    <n v="0.05"/>
    <n v="1.4999999999999999E-2"/>
    <x v="63"/>
    <x v="1"/>
    <x v="1"/>
    <n v="48450.000000000007"/>
    <n v="54150.000000000007"/>
    <n v="5700"/>
    <n v="3847.5000000000005"/>
    <n v="52297.500000000007"/>
    <n v="17258.175000000003"/>
    <n v="56797.500000000007"/>
    <n v="59797.500000000007"/>
    <n v="11714640.000000002"/>
    <n v="12722640.000000002"/>
    <n v="13394640.000000002"/>
    <n v="1061760.8939850002"/>
    <n v="1085994.0759887253"/>
    <n v="2"/>
    <n v="228000.00000000003"/>
    <n v="228000.00000000003"/>
    <n v="13004400.893985001"/>
  </r>
  <r>
    <m/>
    <s v="C"/>
    <x v="32"/>
    <s v="RESIDENTIAL"/>
    <x v="0"/>
    <n v="3"/>
    <x v="644"/>
    <x v="2"/>
    <s v="C2"/>
    <n v="162.78100000000001"/>
    <n v="180.37609508996297"/>
    <x v="18"/>
    <n v="77.576999999999998"/>
    <m/>
    <s v="SE"/>
    <s v="MIDDLE"/>
    <s v="LAKE C"/>
    <s v="GROUND"/>
    <x v="3"/>
    <n v="0.08"/>
    <n v="2.5000000000000001E-2"/>
    <n v="0.46"/>
    <n v="0.05"/>
    <n v="1.4999999999999999E-2"/>
    <x v="190"/>
    <x v="1"/>
    <x v="6"/>
    <n v="44625"/>
    <n v="49875"/>
    <n v="5250"/>
    <n v="3307.5000000000005"/>
    <n v="47932.5"/>
    <n v="15817.725"/>
    <n v="52432.5"/>
    <n v="55432.5"/>
    <n v="9538567.5"/>
    <n v="10434067.5"/>
    <n v="11031067.5"/>
    <n v="1227091.6523249999"/>
    <n v="915081.02794762515"/>
    <n v="2"/>
    <n v="210000"/>
    <n v="210000"/>
    <n v="10975659.152325001"/>
  </r>
  <r>
    <m/>
    <s v="C"/>
    <x v="32"/>
    <s v="RESIDENTIAL"/>
    <x v="0"/>
    <n v="4"/>
    <x v="645"/>
    <x v="0"/>
    <s v="C2"/>
    <n v="95.213999999999999"/>
    <n v="105.50573788031609"/>
    <x v="17"/>
    <n v="63.183500000000002"/>
    <m/>
    <s v="NW"/>
    <s v="MIDDLE"/>
    <s v="ROAD 12M"/>
    <s v="GROUND"/>
    <x v="1"/>
    <n v="0.13"/>
    <n v="2.5000000000000001E-2"/>
    <n v="0.13"/>
    <n v="0.05"/>
    <n v="0.04"/>
    <x v="7"/>
    <x v="0"/>
    <x v="6"/>
    <n v="44625"/>
    <n v="49875"/>
    <n v="5250"/>
    <n v="1968.75"/>
    <n v="46593.75"/>
    <n v="15375.9375"/>
    <n v="51093.75"/>
    <n v="54093.75"/>
    <n v="5404875"/>
    <n v="5926875"/>
    <n v="6274875"/>
    <n v="971505.54703125008"/>
    <n v="541992.34649765631"/>
    <n v="1"/>
    <n v="210000"/>
    <n v="210000"/>
    <n v="6586380.5470312499"/>
  </r>
  <r>
    <m/>
    <s v="C"/>
    <x v="32"/>
    <s v="RESIDENTIAL"/>
    <x v="1"/>
    <n v="1"/>
    <x v="646"/>
    <x v="2"/>
    <s v="C2"/>
    <n v="141.66300000000001"/>
    <n v="156.9754379118535"/>
    <x v="22"/>
    <m/>
    <m/>
    <s v="NW"/>
    <s v="CORNER "/>
    <s v="SEMI LAKE E"/>
    <s v="FIRST"/>
    <x v="4"/>
    <n v="0.13"/>
    <n v="0.05"/>
    <n v="0.32250000000000001"/>
    <n v="7.0000000000000007E-2"/>
    <n v="2.5000000000000001E-2"/>
    <x v="200"/>
    <x v="1"/>
    <x v="0"/>
    <n v="43562.499999999993"/>
    <n v="48687.499999999993"/>
    <n v="5125"/>
    <n v="3062.1875"/>
    <n v="46624.687499999993"/>
    <n v="15386.146874999999"/>
    <n v="51124.687499999993"/>
    <n v="54124.687499999993"/>
    <n v="8066070.9374999991"/>
    <n v="8844570.9374999981"/>
    <n v="9363570.9374999981"/>
    <n v="0"/>
    <n v="685616.02968749998"/>
    <n v="2"/>
    <n v="204999.99999999997"/>
    <n v="204999.99999999997"/>
    <n v="8271070.9374999991"/>
  </r>
  <r>
    <m/>
    <s v="C"/>
    <x v="32"/>
    <s v="RESIDENTIAL"/>
    <x v="1"/>
    <n v="2"/>
    <x v="647"/>
    <x v="3"/>
    <s v="C2"/>
    <n v="183.637"/>
    <n v="203.48643253227053"/>
    <x v="19"/>
    <m/>
    <m/>
    <s v="SE"/>
    <s v="CORNER "/>
    <s v="SEMI LAKE B-1"/>
    <s v="FIRST"/>
    <x v="3"/>
    <n v="0.08"/>
    <n v="0.05"/>
    <n v="0.48"/>
    <n v="7.0000000000000007E-2"/>
    <n v="1.4999999999999999E-2"/>
    <x v="166"/>
    <x v="1"/>
    <x v="4"/>
    <n v="51850"/>
    <n v="57950"/>
    <n v="6100"/>
    <n v="4239.5"/>
    <n v="56089.5"/>
    <n v="18509.535"/>
    <n v="60589.5"/>
    <n v="63589.5"/>
    <n v="12564048"/>
    <n v="13572048"/>
    <n v="14244048"/>
    <n v="0"/>
    <n v="1067944.08"/>
    <n v="2"/>
    <n v="244000"/>
    <n v="244000"/>
    <n v="12808048"/>
  </r>
  <r>
    <m/>
    <s v="C"/>
    <x v="32"/>
    <s v="RESIDENTIAL"/>
    <x v="1"/>
    <n v="3"/>
    <x v="648"/>
    <x v="2"/>
    <s v="C2"/>
    <n v="162.53100000000001"/>
    <n v="180.09907244129704"/>
    <x v="42"/>
    <m/>
    <m/>
    <s v="SE"/>
    <s v="MIDDLE"/>
    <s v="LAKE C"/>
    <s v="FIRST"/>
    <x v="3"/>
    <n v="0.08"/>
    <n v="2.5000000000000001E-2"/>
    <n v="0.46"/>
    <n v="7.0000000000000007E-2"/>
    <n v="1.4999999999999999E-2"/>
    <x v="47"/>
    <x v="1"/>
    <x v="5"/>
    <n v="46750.000000000007"/>
    <n v="52250.000000000007"/>
    <n v="5500"/>
    <n v="3575"/>
    <n v="50325.000000000007"/>
    <n v="16607.250000000004"/>
    <n v="54825.000000000007"/>
    <n v="57825.000000000007"/>
    <n v="9964350.0000000019"/>
    <n v="10855350.000000002"/>
    <n v="11449350.000000002"/>
    <n v="0"/>
    <n v="846969.75000000023"/>
    <n v="2"/>
    <n v="220000.00000000003"/>
    <n v="220000.00000000003"/>
    <n v="10184350.000000002"/>
  </r>
  <r>
    <m/>
    <s v="C"/>
    <x v="32"/>
    <s v="RESIDENTIAL"/>
    <x v="1"/>
    <n v="4"/>
    <x v="649"/>
    <x v="0"/>
    <s v="C2"/>
    <n v="96.271000000000001"/>
    <n v="106.6769896388757"/>
    <x v="21"/>
    <m/>
    <m/>
    <s v="NW"/>
    <s v="MIDDLE"/>
    <s v="ROAD 12M"/>
    <s v="FIRST"/>
    <x v="1"/>
    <n v="0.13"/>
    <n v="2.5000000000000001E-2"/>
    <n v="0.13"/>
    <n v="7.0000000000000007E-2"/>
    <n v="0.04"/>
    <x v="53"/>
    <x v="0"/>
    <x v="2"/>
    <n v="45687.5"/>
    <n v="51062.5"/>
    <n v="5375"/>
    <n v="2123.125"/>
    <n v="47810.625"/>
    <n v="15777.50625"/>
    <n v="52310.625"/>
    <n v="55310.625"/>
    <n v="5593843.125"/>
    <n v="6120343.125"/>
    <n v="6471343.125"/>
    <n v="0"/>
    <n v="475476.66562500002"/>
    <n v="1"/>
    <n v="215000"/>
    <n v="215000"/>
    <n v="5808843.125"/>
  </r>
  <r>
    <m/>
    <s v="C"/>
    <x v="32"/>
    <s v="RESIDENTIAL"/>
    <x v="2"/>
    <n v="1"/>
    <x v="650"/>
    <x v="2"/>
    <s v="C2"/>
    <n v="143.989"/>
    <n v="159.55285663504142"/>
    <x v="20"/>
    <m/>
    <m/>
    <s v="NW"/>
    <s v="CORNER "/>
    <s v="SEMI LAKE E"/>
    <s v="SECOND"/>
    <x v="4"/>
    <n v="0.13"/>
    <n v="0.05"/>
    <n v="0.32250000000000001"/>
    <n v="0.11"/>
    <n v="2.5000000000000001E-2"/>
    <x v="201"/>
    <x v="1"/>
    <x v="2"/>
    <n v="45687.5"/>
    <n v="51062.5"/>
    <n v="5375"/>
    <n v="3426.5624999999995"/>
    <n v="49114.0625"/>
    <n v="16207.640625"/>
    <n v="53614.0625"/>
    <n v="56614.0625"/>
    <n v="8644075"/>
    <n v="9436075"/>
    <n v="9964075"/>
    <n v="0"/>
    <n v="734746.375"/>
    <n v="2"/>
    <n v="215000"/>
    <n v="215000"/>
    <n v="8859075"/>
  </r>
  <r>
    <m/>
    <s v="C"/>
    <x v="32"/>
    <s v="RESIDENTIAL"/>
    <x v="2"/>
    <n v="2"/>
    <x v="651"/>
    <x v="3"/>
    <s v="C2"/>
    <n v="187.1"/>
    <n v="207.32375026159116"/>
    <x v="25"/>
    <m/>
    <m/>
    <s v="SE"/>
    <s v="CORNER "/>
    <s v="SEMI LAKE B-1"/>
    <s v="SECOND"/>
    <x v="3"/>
    <n v="0.08"/>
    <n v="0.05"/>
    <n v="0.48"/>
    <n v="0.11"/>
    <n v="1.4999999999999999E-2"/>
    <x v="154"/>
    <x v="2"/>
    <x v="3"/>
    <n v="42500"/>
    <n v="47500"/>
    <n v="5000"/>
    <n v="3675"/>
    <n v="46175"/>
    <n v="15237.75"/>
    <n v="50675"/>
    <n v="53675"/>
    <n v="10527900"/>
    <n v="11553900"/>
    <n v="12237900"/>
    <n v="0"/>
    <n v="894871.50000000012"/>
    <n v="2"/>
    <n v="200000"/>
    <n v="200000"/>
    <n v="10727900"/>
  </r>
  <r>
    <m/>
    <s v="C"/>
    <x v="32"/>
    <s v="RESIDENTIAL"/>
    <x v="2"/>
    <n v="3"/>
    <x v="652"/>
    <x v="2"/>
    <s v="C2"/>
    <n v="167.16900000000001"/>
    <n v="185.23839661934761"/>
    <x v="43"/>
    <m/>
    <m/>
    <s v="SE"/>
    <s v="MIDDLE"/>
    <s v="LAKE C"/>
    <s v="SECOND"/>
    <x v="3"/>
    <n v="0.08"/>
    <n v="2.5000000000000001E-2"/>
    <n v="0.46"/>
    <n v="0.11"/>
    <n v="1.4999999999999999E-2"/>
    <x v="137"/>
    <x v="1"/>
    <x v="4"/>
    <n v="51850"/>
    <n v="57950"/>
    <n v="6100"/>
    <n v="4209"/>
    <n v="56059"/>
    <n v="18499.47"/>
    <n v="60559"/>
    <n v="63559"/>
    <n v="11436036"/>
    <n v="12354036"/>
    <n v="12966036"/>
    <n v="0"/>
    <n v="972063.06"/>
    <n v="2"/>
    <n v="244000"/>
    <n v="244000"/>
    <n v="11680036"/>
  </r>
  <r>
    <m/>
    <s v="C"/>
    <x v="32"/>
    <s v="RESIDENTIAL"/>
    <x v="2"/>
    <n v="4"/>
    <x v="653"/>
    <x v="2"/>
    <s v="C2"/>
    <n v="141.18700000000001"/>
    <n v="156.44798678879354"/>
    <x v="23"/>
    <m/>
    <m/>
    <s v="NW"/>
    <s v="MIDDLE"/>
    <s v="ROAD 12M"/>
    <s v="SECOND"/>
    <x v="4"/>
    <n v="0.13"/>
    <n v="2.5000000000000001E-2"/>
    <n v="0.13"/>
    <n v="0.11"/>
    <n v="2.5000000000000001E-2"/>
    <x v="192"/>
    <x v="0"/>
    <x v="12"/>
    <n v="50150"/>
    <n v="56050"/>
    <n v="5900"/>
    <n v="2478.0000000000005"/>
    <n v="52628"/>
    <n v="17367.240000000002"/>
    <n v="57128"/>
    <n v="60128"/>
    <n v="9052016"/>
    <n v="9826016"/>
    <n v="10342016"/>
    <n v="0"/>
    <n v="769421.3600000001"/>
    <n v="2"/>
    <n v="236000"/>
    <n v="236000"/>
    <n v="9288016"/>
  </r>
  <r>
    <m/>
    <s v="C"/>
    <x v="32"/>
    <s v="RESIDENTIAL"/>
    <x v="3"/>
    <n v="1"/>
    <x v="654"/>
    <x v="2"/>
    <s v="C2"/>
    <n v="143.89599999999999"/>
    <n v="159.44980420973766"/>
    <x v="20"/>
    <m/>
    <m/>
    <s v="NW"/>
    <s v="CORNER "/>
    <s v="SEMI LAKE E"/>
    <s v="THIRD"/>
    <x v="4"/>
    <n v="0.13"/>
    <n v="0.05"/>
    <n v="0.32250000000000001"/>
    <n v="0.15"/>
    <n v="2.5000000000000001E-2"/>
    <x v="202"/>
    <x v="1"/>
    <x v="1"/>
    <n v="48450.000000000007"/>
    <n v="54150.000000000007"/>
    <n v="5700"/>
    <n v="3861.75"/>
    <n v="52311.750000000007"/>
    <n v="17262.877500000002"/>
    <n v="56811.750000000007"/>
    <n v="59811.750000000007"/>
    <n v="9206868.0000000019"/>
    <n v="9998868.0000000019"/>
    <n v="10526868.000000002"/>
    <n v="0"/>
    <n v="782583.78000000026"/>
    <n v="2"/>
    <n v="228000.00000000003"/>
    <n v="228000.00000000003"/>
    <n v="9434868.0000000019"/>
  </r>
  <r>
    <m/>
    <s v="C"/>
    <x v="32"/>
    <s v="RESIDENTIAL"/>
    <x v="3"/>
    <n v="2"/>
    <x v="655"/>
    <x v="3"/>
    <s v="C2"/>
    <n v="187.20400000000001"/>
    <n v="207.4389916834362"/>
    <x v="25"/>
    <m/>
    <m/>
    <s v="SE"/>
    <s v="CORNER "/>
    <s v="SEMI LAKE B-1"/>
    <s v="THIRD"/>
    <x v="3"/>
    <n v="0.08"/>
    <n v="0.05"/>
    <n v="0.48"/>
    <n v="0.15"/>
    <n v="1.4999999999999999E-2"/>
    <x v="122"/>
    <x v="2"/>
    <x v="2"/>
    <n v="45687.5"/>
    <n v="51062.5"/>
    <n v="5375"/>
    <n v="4165.625"/>
    <n v="49853.125"/>
    <n v="16451.53125"/>
    <n v="54353.125"/>
    <n v="57353.125"/>
    <n v="11366512.5"/>
    <n v="12392512.5"/>
    <n v="13076512.5"/>
    <n v="0"/>
    <n v="966153.56250000012"/>
    <n v="2"/>
    <n v="215000"/>
    <n v="215000"/>
    <n v="11581512.5"/>
  </r>
  <r>
    <m/>
    <s v="C"/>
    <x v="32"/>
    <s v="RESIDENTIAL"/>
    <x v="3"/>
    <n v="3"/>
    <x v="656"/>
    <x v="2"/>
    <s v="C2"/>
    <n v="164.417"/>
    <n v="182.18893130283288"/>
    <x v="44"/>
    <m/>
    <m/>
    <s v="SE"/>
    <s v="MIDDLE"/>
    <s v="LAKE C"/>
    <s v="THIRD"/>
    <x v="3"/>
    <n v="0.08"/>
    <n v="2.5000000000000001E-2"/>
    <n v="0.46"/>
    <n v="0.15"/>
    <n v="1.4999999999999999E-2"/>
    <x v="195"/>
    <x v="2"/>
    <x v="3"/>
    <n v="42500"/>
    <n v="47500"/>
    <n v="5000"/>
    <n v="3650.0000000000005"/>
    <n v="46150"/>
    <n v="15229.5"/>
    <n v="50650"/>
    <n v="53650"/>
    <n v="9276150"/>
    <n v="10180650"/>
    <n v="10783650"/>
    <n v="0"/>
    <n v="788472.75"/>
    <n v="2"/>
    <n v="200000"/>
    <n v="200000"/>
    <n v="9476150"/>
  </r>
  <r>
    <m/>
    <s v="C"/>
    <x v="32"/>
    <s v="RESIDENTIAL"/>
    <x v="3"/>
    <n v="4"/>
    <x v="657"/>
    <x v="2"/>
    <s v="C2"/>
    <n v="141.07300000000001"/>
    <n v="156.32166446100189"/>
    <x v="23"/>
    <m/>
    <m/>
    <s v="NW"/>
    <s v="MIDDLE"/>
    <s v="ROAD 12M"/>
    <s v="THIRD"/>
    <x v="4"/>
    <n v="0.13"/>
    <n v="2.5000000000000001E-2"/>
    <n v="0.13"/>
    <n v="0.15"/>
    <n v="2.5000000000000001E-2"/>
    <x v="194"/>
    <x v="0"/>
    <x v="8"/>
    <n v="56100"/>
    <n v="62700"/>
    <n v="6600"/>
    <n v="3036.0000000000005"/>
    <n v="59136"/>
    <n v="19514.88"/>
    <n v="63636"/>
    <n v="66636"/>
    <n v="10171392"/>
    <n v="10945392"/>
    <n v="11461392"/>
    <n v="0"/>
    <n v="864568.32000000007"/>
    <n v="2"/>
    <n v="264000"/>
    <n v="264000"/>
    <n v="10435392"/>
  </r>
  <r>
    <m/>
    <s v="C"/>
    <x v="32"/>
    <s v="RESIDENTIAL"/>
    <x v="4"/>
    <n v="1"/>
    <x v="658"/>
    <x v="2"/>
    <s v="C2"/>
    <n v="141.929"/>
    <n v="157.27019001003407"/>
    <x v="22"/>
    <m/>
    <m/>
    <s v="NW"/>
    <s v="CORNER "/>
    <s v="SEMI LAKE E"/>
    <s v="FORTH"/>
    <x v="4"/>
    <n v="0.13"/>
    <n v="0.05"/>
    <n v="0.32250000000000001"/>
    <n v="0.06"/>
    <n v="2.5000000000000001E-2"/>
    <x v="126"/>
    <x v="1"/>
    <x v="0"/>
    <n v="43562.499999999993"/>
    <n v="48687.499999999993"/>
    <n v="5125"/>
    <n v="3010.9375"/>
    <n v="46573.437499999993"/>
    <n v="15369.234374999998"/>
    <n v="51073.437499999993"/>
    <n v="54073.437499999993"/>
    <n v="8057204.6874999991"/>
    <n v="8835704.6874999981"/>
    <n v="9354704.6874999981"/>
    <n v="0"/>
    <n v="684862.3984375"/>
    <n v="2"/>
    <n v="204999.99999999997"/>
    <n v="204999.99999999997"/>
    <n v="8262204.6874999991"/>
  </r>
  <r>
    <m/>
    <s v="C"/>
    <x v="32"/>
    <s v="RESIDENTIAL"/>
    <x v="4"/>
    <n v="2"/>
    <x v="659"/>
    <x v="3"/>
    <s v="C2"/>
    <n v="182.36099999999999"/>
    <n v="202.07250893347955"/>
    <x v="45"/>
    <m/>
    <m/>
    <s v="SE"/>
    <s v="CORNER "/>
    <s v="SEMI LAKE B-1"/>
    <s v="FORTH"/>
    <x v="3"/>
    <n v="0.08"/>
    <n v="0.05"/>
    <n v="0.48"/>
    <n v="0.06"/>
    <n v="1.4999999999999999E-2"/>
    <x v="203"/>
    <x v="1"/>
    <x v="12"/>
    <n v="50150"/>
    <n v="56050"/>
    <n v="5900"/>
    <n v="4041.4999999999995"/>
    <n v="54191.5"/>
    <n v="17883.195"/>
    <n v="58691.5"/>
    <n v="61691.5"/>
    <n v="12030513"/>
    <n v="13029513"/>
    <n v="13695513"/>
    <n v="0"/>
    <n v="1022593.6050000001"/>
    <n v="2"/>
    <n v="236000"/>
    <n v="236000"/>
    <n v="12266513"/>
  </r>
  <r>
    <m/>
    <s v="C"/>
    <x v="32"/>
    <s v="RESIDENTIAL"/>
    <x v="4"/>
    <n v="3"/>
    <x v="660"/>
    <x v="2"/>
    <s v="C2"/>
    <n v="162.44399999999999"/>
    <n v="180.00266855956127"/>
    <x v="42"/>
    <m/>
    <m/>
    <s v="SE"/>
    <s v="MIDDLE"/>
    <s v="LAKE C"/>
    <s v="FORTH"/>
    <x v="3"/>
    <n v="0.08"/>
    <n v="2.5000000000000001E-2"/>
    <n v="0.46"/>
    <n v="0.06"/>
    <n v="1.4999999999999999E-2"/>
    <x v="197"/>
    <x v="1"/>
    <x v="2"/>
    <n v="45687.5"/>
    <n v="51062.5"/>
    <n v="5375"/>
    <n v="3440"/>
    <n v="49127.5"/>
    <n v="16212.075000000001"/>
    <n v="53627.5"/>
    <n v="56627.5"/>
    <n v="9727245"/>
    <n v="10618245"/>
    <n v="11212245"/>
    <n v="0"/>
    <n v="826815.82500000007"/>
    <n v="2"/>
    <n v="215000"/>
    <n v="215000"/>
    <n v="9942245"/>
  </r>
  <r>
    <m/>
    <s v="C"/>
    <x v="32"/>
    <s v="RESIDENTIAL"/>
    <x v="4"/>
    <n v="4"/>
    <x v="661"/>
    <x v="2"/>
    <s v="C2"/>
    <n v="139.12700000000001"/>
    <n v="154.16532016378619"/>
    <x v="28"/>
    <m/>
    <m/>
    <s v="NW"/>
    <s v="MIDDLE"/>
    <s v="ROAD 12M"/>
    <s v="FORTH"/>
    <x v="4"/>
    <n v="0.13"/>
    <n v="2.5000000000000001E-2"/>
    <n v="0.13"/>
    <n v="0.06"/>
    <n v="2.5000000000000001E-2"/>
    <x v="182"/>
    <x v="0"/>
    <x v="6"/>
    <n v="44625"/>
    <n v="49875"/>
    <n v="5250"/>
    <n v="1942.5000000000002"/>
    <n v="46567.5"/>
    <n v="15367.275000000001"/>
    <n v="51067.5"/>
    <n v="54067.5"/>
    <n v="7916475"/>
    <n v="8681475"/>
    <n v="9191475"/>
    <n v="0"/>
    <n v="672900.375"/>
    <n v="2"/>
    <n v="210000"/>
    <n v="210000"/>
    <n v="8126475"/>
  </r>
  <r>
    <s v="C3"/>
    <s v="D"/>
    <x v="33"/>
    <s v="RESIDENTIAL"/>
    <x v="0"/>
    <n v="1"/>
    <x v="662"/>
    <x v="0"/>
    <s v="C3"/>
    <n v="87.23"/>
    <n v="94.72160516317075"/>
    <x v="30"/>
    <n v="66.414400000000001"/>
    <m/>
    <s v="SE"/>
    <s v="MIDDLE"/>
    <s v="ROAD 18M (VILLAS)"/>
    <s v="GROUND"/>
    <x v="1"/>
    <n v="0.08"/>
    <n v="2.5000000000000001E-2"/>
    <n v="0.16"/>
    <n v="0.05"/>
    <n v="0.04"/>
    <x v="3"/>
    <x v="0"/>
    <x v="3"/>
    <n v="42500"/>
    <n v="47500"/>
    <n v="5000"/>
    <n v="1775"/>
    <n v="44275"/>
    <n v="14610.75"/>
    <n v="48775"/>
    <n v="51775"/>
    <n v="4693150"/>
    <n v="5170150"/>
    <n v="5488150"/>
    <n v="970364.19480000006"/>
    <n v="481398.70655800001"/>
    <n v="1"/>
    <n v="200000"/>
    <n v="200000"/>
    <n v="5863514.1948000006"/>
  </r>
  <r>
    <m/>
    <s v="D"/>
    <x v="33"/>
    <s v="RESIDENTIAL"/>
    <x v="0"/>
    <n v="2"/>
    <x v="663"/>
    <x v="2"/>
    <s v="C3"/>
    <n v="125.09"/>
    <n v="135.83314902970341"/>
    <x v="31"/>
    <n v="85.619500000000002"/>
    <m/>
    <s v="NW"/>
    <s v="MIDDLE"/>
    <s v="LAKE D"/>
    <s v="GROUND"/>
    <x v="0"/>
    <n v="0.13"/>
    <n v="2.5000000000000001E-2"/>
    <n v="0.43"/>
    <n v="0.05"/>
    <n v="3.5000000000000003E-2"/>
    <x v="204"/>
    <x v="1"/>
    <x v="1"/>
    <n v="48450.000000000007"/>
    <n v="54150.000000000007"/>
    <n v="5700"/>
    <n v="3819.0000000000005"/>
    <n v="52269.000000000007"/>
    <n v="17248.770000000004"/>
    <n v="56769.000000000007"/>
    <n v="59769.000000000007"/>
    <n v="7997157.0000000009"/>
    <n v="8685657.0000000019"/>
    <n v="9144657.0000000019"/>
    <n v="1476831.0630150004"/>
    <n v="805288.98535627511"/>
    <n v="2"/>
    <n v="228000.00000000003"/>
    <n v="228000.00000000003"/>
    <n v="9701988.0630150009"/>
  </r>
  <r>
    <m/>
    <s v="D"/>
    <x v="33"/>
    <s v="RESIDENTIAL"/>
    <x v="0"/>
    <n v="3"/>
    <x v="664"/>
    <x v="2"/>
    <s v="C3"/>
    <n v="129.57"/>
    <n v="140.69790646557414"/>
    <x v="32"/>
    <n v="84.075199999999995"/>
    <m/>
    <s v="NW"/>
    <s v="CORNER "/>
    <s v="LAKE D"/>
    <s v="GROUND"/>
    <x v="0"/>
    <n v="0.13"/>
    <n v="0.05"/>
    <n v="0.43"/>
    <n v="0.05"/>
    <n v="3.5000000000000003E-2"/>
    <x v="66"/>
    <x v="1"/>
    <x v="4"/>
    <n v="51850"/>
    <n v="57950"/>
    <n v="6100"/>
    <n v="4239.5"/>
    <n v="56089.5"/>
    <n v="18509.535"/>
    <n v="60589.5"/>
    <n v="63589.5"/>
    <n v="8862141"/>
    <n v="9573141"/>
    <n v="10047141"/>
    <n v="1556192.8570319999"/>
    <n v="885558.37784771994"/>
    <n v="2"/>
    <n v="244000"/>
    <n v="244000"/>
    <n v="10662333.857031999"/>
  </r>
  <r>
    <m/>
    <s v="D"/>
    <x v="33"/>
    <s v="RESIDENTIAL"/>
    <x v="0"/>
    <n v="4"/>
    <x v="665"/>
    <x v="2"/>
    <s v="C3"/>
    <n v="131.34"/>
    <n v="142.61992000608558"/>
    <x v="33"/>
    <n v="81.358599999999996"/>
    <m/>
    <s v="SE"/>
    <s v="CORNER "/>
    <s v="ROAD 18M (VILLAS)"/>
    <s v="GROUND"/>
    <x v="4"/>
    <n v="0.08"/>
    <n v="0.05"/>
    <n v="0.16"/>
    <n v="0.05"/>
    <n v="2.5000000000000001E-2"/>
    <x v="88"/>
    <x v="0"/>
    <x v="0"/>
    <n v="43562.499999999993"/>
    <n v="48687.499999999993"/>
    <n v="5125"/>
    <n v="1870.6250000000002"/>
    <n v="45433.124999999993"/>
    <n v="14992.931249999998"/>
    <n v="49933.124999999993"/>
    <n v="52933.124999999993"/>
    <n v="7269299.9999999991"/>
    <n v="7989299.9999999991"/>
    <n v="8469299.9999999981"/>
    <n v="1219803.8963962498"/>
    <n v="721573.83119368122"/>
    <n v="2"/>
    <n v="204999.99999999997"/>
    <n v="204999.99999999997"/>
    <n v="8694103.8963962495"/>
  </r>
  <r>
    <m/>
    <s v="D"/>
    <x v="33"/>
    <s v="RESIDENTIAL"/>
    <x v="1"/>
    <n v="1"/>
    <x v="666"/>
    <x v="0"/>
    <s v="C3"/>
    <n v="88.87"/>
    <n v="96.502453867373433"/>
    <x v="34"/>
    <m/>
    <m/>
    <s v="SE"/>
    <s v="MIDDLE"/>
    <s v="ROAD 18M (VILLAS)"/>
    <s v="FIRST"/>
    <x v="1"/>
    <n v="0.08"/>
    <n v="2.5000000000000001E-2"/>
    <n v="0.16"/>
    <n v="7.0000000000000007E-2"/>
    <n v="0.04"/>
    <x v="7"/>
    <x v="0"/>
    <x v="6"/>
    <n v="44625"/>
    <n v="49875"/>
    <n v="5250"/>
    <n v="1968.75"/>
    <n v="46593.75"/>
    <n v="15375.9375"/>
    <n v="51093.75"/>
    <n v="54093.75"/>
    <n v="5032125"/>
    <n v="5518125"/>
    <n v="5842125"/>
    <n v="0"/>
    <n v="427730.62500000006"/>
    <n v="1"/>
    <n v="210000"/>
    <n v="210000"/>
    <n v="5242125"/>
  </r>
  <r>
    <m/>
    <s v="D"/>
    <x v="33"/>
    <s v="RESIDENTIAL"/>
    <x v="1"/>
    <n v="2"/>
    <x v="667"/>
    <x v="2"/>
    <s v="C3"/>
    <n v="127.14"/>
    <n v="138.05920990995676"/>
    <x v="35"/>
    <m/>
    <m/>
    <s v="NW"/>
    <s v="MIDDLE"/>
    <s v="LAKE D"/>
    <s v="FIRST"/>
    <x v="0"/>
    <n v="0.13"/>
    <n v="2.5000000000000001E-2"/>
    <n v="0.43"/>
    <n v="7.0000000000000007E-2"/>
    <n v="3.5000000000000003E-2"/>
    <x v="137"/>
    <x v="1"/>
    <x v="4"/>
    <n v="51850"/>
    <n v="57950"/>
    <n v="6100"/>
    <n v="4209"/>
    <n v="56059"/>
    <n v="18499.47"/>
    <n v="60559"/>
    <n v="63559"/>
    <n v="8689145"/>
    <n v="9386645"/>
    <n v="9851645"/>
    <n v="0"/>
    <n v="738577.32500000007"/>
    <n v="2"/>
    <n v="244000"/>
    <n v="244000"/>
    <n v="8933145"/>
  </r>
  <r>
    <m/>
    <s v="D"/>
    <x v="33"/>
    <s v="RESIDENTIAL"/>
    <x v="1"/>
    <n v="3"/>
    <x v="668"/>
    <x v="2"/>
    <s v="C3"/>
    <n v="131.43"/>
    <n v="142.71764950814548"/>
    <x v="33"/>
    <m/>
    <m/>
    <s v="NW"/>
    <s v="CORNER "/>
    <s v="LAKE D"/>
    <s v="FIRST"/>
    <x v="4"/>
    <n v="0.13"/>
    <n v="0.05"/>
    <n v="0.43"/>
    <n v="7.0000000000000007E-2"/>
    <n v="2.5000000000000001E-2"/>
    <x v="163"/>
    <x v="1"/>
    <x v="10"/>
    <n v="53550"/>
    <n v="59850"/>
    <n v="6300"/>
    <n v="4441.5"/>
    <n v="57991.5"/>
    <n v="19137.195"/>
    <n v="62491.5"/>
    <n v="65491.5"/>
    <n v="9278640"/>
    <n v="9998640"/>
    <n v="10478640"/>
    <n v="0"/>
    <n v="788684.4"/>
    <n v="2"/>
    <n v="252000"/>
    <n v="252000"/>
    <n v="9530640"/>
  </r>
  <r>
    <m/>
    <s v="D"/>
    <x v="33"/>
    <s v="RESIDENTIAL"/>
    <x v="1"/>
    <n v="4"/>
    <x v="669"/>
    <x v="2"/>
    <s v="C3"/>
    <n v="129.04"/>
    <n v="140.12238828677692"/>
    <x v="36"/>
    <m/>
    <m/>
    <s v="SE"/>
    <s v="CORNER "/>
    <s v="ROAD 18M (VILLAS)"/>
    <s v="FIRST"/>
    <x v="0"/>
    <n v="0.08"/>
    <n v="0.05"/>
    <n v="0.16"/>
    <n v="7.0000000000000007E-2"/>
    <n v="3.5000000000000003E-2"/>
    <x v="53"/>
    <x v="0"/>
    <x v="2"/>
    <n v="45687.5"/>
    <n v="51062.5"/>
    <n v="5375"/>
    <n v="2123.125"/>
    <n v="47810.625"/>
    <n v="15777.50625"/>
    <n v="52310.625"/>
    <n v="55310.625"/>
    <n v="7506268.125"/>
    <n v="8212768.125"/>
    <n v="8683768.125"/>
    <n v="0"/>
    <n v="638032.79062500002"/>
    <n v="2"/>
    <n v="215000"/>
    <n v="215000"/>
    <n v="7721268.125"/>
  </r>
  <r>
    <m/>
    <s v="D"/>
    <x v="33"/>
    <s v="RESIDENTIAL"/>
    <x v="2"/>
    <n v="1"/>
    <x v="670"/>
    <x v="2"/>
    <s v="C3"/>
    <n v="127.15"/>
    <n v="138.07006874351899"/>
    <x v="35"/>
    <m/>
    <m/>
    <s v="SE"/>
    <s v="MIDDLE"/>
    <s v="ROAD 18M (VILLAS)"/>
    <s v="SECOND"/>
    <x v="0"/>
    <n v="0.08"/>
    <n v="2.5000000000000001E-2"/>
    <n v="0.16"/>
    <n v="0.11"/>
    <n v="3.5000000000000003E-2"/>
    <x v="79"/>
    <x v="0"/>
    <x v="1"/>
    <n v="48450.000000000007"/>
    <n v="54150.000000000007"/>
    <n v="5700"/>
    <n v="2337"/>
    <n v="50787.000000000007"/>
    <n v="16759.710000000003"/>
    <n v="55287.000000000007"/>
    <n v="58287.000000000007"/>
    <n v="7871985.0000000009"/>
    <n v="8569485.0000000019"/>
    <n v="9034485.0000000019"/>
    <n v="0"/>
    <n v="669118.72500000009"/>
    <n v="2"/>
    <n v="228000.00000000003"/>
    <n v="228000.00000000003"/>
    <n v="8099985.0000000009"/>
  </r>
  <r>
    <m/>
    <s v="D"/>
    <x v="33"/>
    <s v="RESIDENTIAL"/>
    <x v="2"/>
    <n v="2"/>
    <x v="671"/>
    <x v="2"/>
    <s v="C3"/>
    <n v="126.95"/>
    <n v="137.85289207227476"/>
    <x v="35"/>
    <m/>
    <m/>
    <s v="NW"/>
    <s v="MIDDLE"/>
    <s v="LAKE D"/>
    <s v="SECOND"/>
    <x v="0"/>
    <n v="0.13"/>
    <n v="2.5000000000000001E-2"/>
    <n v="0.43"/>
    <n v="0.11"/>
    <n v="3.5000000000000003E-2"/>
    <x v="205"/>
    <x v="2"/>
    <x v="3"/>
    <n v="42500"/>
    <n v="47500"/>
    <n v="5000"/>
    <n v="3650"/>
    <n v="46150"/>
    <n v="15229.5"/>
    <n v="50650"/>
    <n v="53650"/>
    <n v="7153250"/>
    <n v="7850750"/>
    <n v="8315750"/>
    <n v="0"/>
    <n v="608026.25"/>
    <n v="2"/>
    <n v="200000"/>
    <n v="200000"/>
    <n v="7353250"/>
  </r>
  <r>
    <m/>
    <s v="D"/>
    <x v="33"/>
    <s v="RESIDENTIAL"/>
    <x v="2"/>
    <n v="3"/>
    <x v="672"/>
    <x v="2"/>
    <s v="C3"/>
    <n v="131.44"/>
    <n v="142.72850834170771"/>
    <x v="33"/>
    <m/>
    <m/>
    <s v="NW"/>
    <s v="CORNER "/>
    <s v="LAKE D"/>
    <s v="SECOND"/>
    <x v="4"/>
    <n v="0.13"/>
    <n v="0.05"/>
    <n v="0.43"/>
    <n v="0.11"/>
    <n v="2.5000000000000001E-2"/>
    <x v="102"/>
    <x v="2"/>
    <x v="3"/>
    <n v="42500"/>
    <n v="47500"/>
    <n v="5000"/>
    <n v="3725"/>
    <n v="46225"/>
    <n v="15254.25"/>
    <n v="50725"/>
    <n v="53725"/>
    <n v="7396000"/>
    <n v="8116000"/>
    <n v="8596000"/>
    <n v="0"/>
    <n v="628660"/>
    <n v="2"/>
    <n v="200000"/>
    <n v="200000"/>
    <n v="7596000"/>
  </r>
  <r>
    <m/>
    <s v="D"/>
    <x v="33"/>
    <s v="RESIDENTIAL"/>
    <x v="2"/>
    <n v="4"/>
    <x v="673"/>
    <x v="2"/>
    <s v="C3"/>
    <n v="131.43"/>
    <n v="142.71764950814548"/>
    <x v="33"/>
    <m/>
    <m/>
    <s v="SE"/>
    <s v="CORNER "/>
    <s v="ROAD 18M (VILLAS)"/>
    <s v="SECOND"/>
    <x v="4"/>
    <n v="0.08"/>
    <n v="0.05"/>
    <n v="0.16"/>
    <n v="0.11"/>
    <n v="2.5000000000000001E-2"/>
    <x v="8"/>
    <x v="0"/>
    <x v="4"/>
    <n v="51850"/>
    <n v="57950"/>
    <n v="6100"/>
    <n v="2592.5000000000005"/>
    <n v="54442.5"/>
    <n v="17966.025000000001"/>
    <n v="58942.5"/>
    <n v="61942.5"/>
    <n v="8710800"/>
    <n v="9430800"/>
    <n v="9910800"/>
    <n v="0"/>
    <n v="740418"/>
    <n v="2"/>
    <n v="244000"/>
    <n v="244000"/>
    <n v="8954800"/>
  </r>
  <r>
    <m/>
    <s v="D"/>
    <x v="33"/>
    <s v="RESIDENTIAL"/>
    <x v="3"/>
    <n v="1"/>
    <x v="674"/>
    <x v="2"/>
    <s v="C3"/>
    <n v="127.45"/>
    <n v="138.39583375038532"/>
    <x v="35"/>
    <m/>
    <m/>
    <s v="SE"/>
    <s v="MIDDLE"/>
    <s v="ROAD 18M (VILLAS)"/>
    <s v="THIRD"/>
    <x v="0"/>
    <n v="0.08"/>
    <n v="2.5000000000000001E-2"/>
    <n v="0.16"/>
    <n v="0.15"/>
    <n v="3.5000000000000003E-2"/>
    <x v="91"/>
    <x v="0"/>
    <x v="10"/>
    <n v="53550"/>
    <n v="59850"/>
    <n v="6300"/>
    <n v="2835.0000000000005"/>
    <n v="56385"/>
    <n v="18607.05"/>
    <n v="60885"/>
    <n v="63885"/>
    <n v="8739675"/>
    <n v="9437175"/>
    <n v="9902175"/>
    <n v="0"/>
    <n v="742872.375"/>
    <n v="2"/>
    <n v="252000"/>
    <n v="252000"/>
    <n v="8991675"/>
  </r>
  <r>
    <m/>
    <s v="D"/>
    <x v="33"/>
    <s v="RESIDENTIAL"/>
    <x v="3"/>
    <n v="2"/>
    <x v="675"/>
    <x v="2"/>
    <s v="C3"/>
    <n v="126.97"/>
    <n v="137.87460973939918"/>
    <x v="35"/>
    <m/>
    <m/>
    <s v="NW"/>
    <s v="MIDDLE"/>
    <s v="LAKE D"/>
    <s v="THIRD"/>
    <x v="0"/>
    <n v="0.13"/>
    <n v="2.5000000000000001E-2"/>
    <n v="0.43"/>
    <n v="0.15"/>
    <n v="3.5000000000000003E-2"/>
    <x v="156"/>
    <x v="2"/>
    <x v="6"/>
    <n v="44625"/>
    <n v="49875"/>
    <n v="5250"/>
    <n v="4042.5"/>
    <n v="48667.5"/>
    <n v="16060.275000000001"/>
    <n v="53167.5"/>
    <n v="56167.5"/>
    <n v="7543462.5"/>
    <n v="8240962.5"/>
    <n v="8705962.5"/>
    <n v="0"/>
    <n v="641194.3125"/>
    <n v="2"/>
    <n v="210000"/>
    <n v="210000"/>
    <n v="7753462.5"/>
  </r>
  <r>
    <m/>
    <s v="D"/>
    <x v="33"/>
    <s v="RESIDENTIAL"/>
    <x v="3"/>
    <n v="3"/>
    <x v="676"/>
    <x v="2"/>
    <s v="C3"/>
    <n v="131.43"/>
    <n v="142.71764950814548"/>
    <x v="33"/>
    <m/>
    <m/>
    <s v="NW"/>
    <s v="CORNER "/>
    <s v="LAKE D"/>
    <s v="THIRD"/>
    <x v="4"/>
    <n v="0.13"/>
    <n v="0.05"/>
    <n v="0.43"/>
    <n v="0.15"/>
    <n v="2.5000000000000001E-2"/>
    <x v="125"/>
    <x v="2"/>
    <x v="5"/>
    <n v="46750.000000000007"/>
    <n v="52250.000000000007"/>
    <n v="5500"/>
    <n v="4317.5"/>
    <n v="51067.500000000007"/>
    <n v="16852.275000000001"/>
    <n v="55567.500000000007"/>
    <n v="58567.500000000007"/>
    <n v="8170800.0000000009"/>
    <n v="8890800.0000000019"/>
    <n v="9370800.0000000019"/>
    <n v="0"/>
    <n v="694518.00000000012"/>
    <n v="2"/>
    <n v="220000.00000000003"/>
    <n v="220000.00000000003"/>
    <n v="8390800.0000000019"/>
  </r>
  <r>
    <m/>
    <s v="D"/>
    <x v="33"/>
    <s v="RESIDENTIAL"/>
    <x v="3"/>
    <n v="4"/>
    <x v="677"/>
    <x v="2"/>
    <s v="C3"/>
    <n v="131.88"/>
    <n v="143.20629701844501"/>
    <x v="37"/>
    <m/>
    <m/>
    <s v="SE"/>
    <s v="CORNER "/>
    <s v="ROAD 18M (VILLAS)"/>
    <s v="THIRD"/>
    <x v="4"/>
    <n v="0.08"/>
    <n v="0.05"/>
    <n v="0.16"/>
    <n v="0.15"/>
    <n v="2.5000000000000001E-2"/>
    <x v="12"/>
    <x v="0"/>
    <x v="9"/>
    <n v="58649.999999999993"/>
    <n v="65550"/>
    <n v="6900.0000000000073"/>
    <n v="3208.5000000000041"/>
    <n v="61858.5"/>
    <n v="20413.305"/>
    <n v="66358.5"/>
    <n v="69358.5"/>
    <n v="9959218.5"/>
    <n v="10683718.5"/>
    <n v="11166718.5"/>
    <n v="0"/>
    <n v="846533.57250000001"/>
    <n v="2"/>
    <n v="276000"/>
    <n v="276000"/>
    <n v="10235218.5"/>
  </r>
  <r>
    <m/>
    <s v="D"/>
    <x v="33"/>
    <s v="RESIDENTIAL"/>
    <x v="4"/>
    <n v="1"/>
    <x v="678"/>
    <x v="2"/>
    <s v="C3"/>
    <n v="125.13"/>
    <n v="135.87658436395225"/>
    <x v="31"/>
    <m/>
    <m/>
    <s v="SE"/>
    <s v="MIDDLE"/>
    <s v="ROAD 18M (VILLAS)"/>
    <s v="FORTH"/>
    <x v="0"/>
    <n v="0.08"/>
    <n v="2.5000000000000001E-2"/>
    <n v="0.16"/>
    <n v="0.06"/>
    <n v="3.5000000000000003E-2"/>
    <x v="94"/>
    <x v="0"/>
    <x v="3"/>
    <n v="42500"/>
    <n v="47500"/>
    <n v="5000"/>
    <n v="1800"/>
    <n v="44300"/>
    <n v="14619"/>
    <n v="48800"/>
    <n v="51800"/>
    <n v="6777900"/>
    <n v="7466400"/>
    <n v="7925400"/>
    <n v="0"/>
    <n v="576121.5"/>
    <n v="2"/>
    <n v="200000"/>
    <n v="200000"/>
    <n v="6977900"/>
  </r>
  <r>
    <m/>
    <s v="D"/>
    <x v="33"/>
    <s v="RESIDENTIAL"/>
    <x v="4"/>
    <n v="2"/>
    <x v="679"/>
    <x v="2"/>
    <s v="C3"/>
    <n v="127.19"/>
    <n v="138.11350407776783"/>
    <x v="35"/>
    <m/>
    <m/>
    <s v="NW"/>
    <s v="MIDDLE"/>
    <s v="LAKE D"/>
    <s v="FORTH"/>
    <x v="0"/>
    <n v="0.13"/>
    <n v="2.5000000000000001E-2"/>
    <n v="0.43"/>
    <n v="0.06"/>
    <n v="3.5000000000000003E-2"/>
    <x v="127"/>
    <x v="1"/>
    <x v="12"/>
    <n v="50150"/>
    <n v="56050"/>
    <n v="5900"/>
    <n v="4012.0000000000005"/>
    <n v="54162"/>
    <n v="17873.46"/>
    <n v="58662"/>
    <n v="61662"/>
    <n v="8395110"/>
    <n v="9092610"/>
    <n v="9557610"/>
    <n v="0"/>
    <n v="713584.35000000009"/>
    <n v="2"/>
    <n v="236000"/>
    <n v="236000"/>
    <n v="8631110"/>
  </r>
  <r>
    <m/>
    <s v="D"/>
    <x v="33"/>
    <s v="RESIDENTIAL"/>
    <x v="4"/>
    <n v="3"/>
    <x v="680"/>
    <x v="2"/>
    <s v="C3"/>
    <n v="131.38"/>
    <n v="142.66335534033442"/>
    <x v="33"/>
    <m/>
    <m/>
    <s v="NW"/>
    <s v="CORNER "/>
    <s v="LAKE D"/>
    <s v="FORTH"/>
    <x v="4"/>
    <n v="0.13"/>
    <n v="0.05"/>
    <n v="0.43"/>
    <n v="0.06"/>
    <n v="2.5000000000000001E-2"/>
    <x v="166"/>
    <x v="1"/>
    <x v="4"/>
    <n v="51850"/>
    <n v="57950"/>
    <n v="6100"/>
    <n v="4239.5"/>
    <n v="56089.5"/>
    <n v="18509.535"/>
    <n v="60589.5"/>
    <n v="63589.5"/>
    <n v="8974320"/>
    <n v="9694320"/>
    <n v="10174320"/>
    <n v="0"/>
    <n v="762817.20000000007"/>
    <n v="2"/>
    <n v="244000"/>
    <n v="244000"/>
    <n v="9218320"/>
  </r>
  <r>
    <m/>
    <s v="D"/>
    <x v="33"/>
    <s v="RESIDENTIAL"/>
    <x v="4"/>
    <n v="4"/>
    <x v="681"/>
    <x v="2"/>
    <s v="C3"/>
    <n v="129.58000000000001"/>
    <n v="140.70876529913639"/>
    <x v="32"/>
    <m/>
    <m/>
    <s v="SE"/>
    <s v="CORNER "/>
    <s v="ROAD 18M (VILLAS)"/>
    <s v="FORTH"/>
    <x v="0"/>
    <n v="0.08"/>
    <n v="0.05"/>
    <n v="0.16"/>
    <n v="0.06"/>
    <n v="3.5000000000000003E-2"/>
    <x v="4"/>
    <x v="0"/>
    <x v="2"/>
    <n v="45687.5"/>
    <n v="51062.5"/>
    <n v="5375"/>
    <n v="2069.375"/>
    <n v="47756.875"/>
    <n v="15759.768750000001"/>
    <n v="52256.875"/>
    <n v="55256.875"/>
    <n v="7545586.25"/>
    <n v="8256586.25"/>
    <n v="8730586.25"/>
    <n v="0"/>
    <n v="641374.83125000005"/>
    <n v="2"/>
    <n v="215000"/>
    <n v="215000"/>
    <n v="7760586.25"/>
  </r>
  <r>
    <s v="C3"/>
    <s v="D"/>
    <x v="34"/>
    <s v="RESIDENTIAL"/>
    <x v="0"/>
    <n v="1"/>
    <x v="682"/>
    <x v="2"/>
    <s v="C3"/>
    <n v="131.32"/>
    <n v="142.66718842094684"/>
    <x v="33"/>
    <n v="81.665000000000006"/>
    <m/>
    <s v="SE"/>
    <s v="MIDDLE"/>
    <s v="ROAD 18M (VILLAS)"/>
    <s v="GROUND"/>
    <x v="4"/>
    <n v="0.08"/>
    <n v="2.5000000000000001E-2"/>
    <n v="0.16"/>
    <n v="0.05"/>
    <n v="2.5000000000000001E-2"/>
    <x v="95"/>
    <x v="0"/>
    <x v="3"/>
    <n v="42500"/>
    <n v="47500"/>
    <n v="5000"/>
    <n v="1700.0000000000002"/>
    <n v="44200"/>
    <n v="14586"/>
    <n v="48700"/>
    <n v="51700"/>
    <n v="7072000"/>
    <n v="7792000"/>
    <n v="8272000"/>
    <n v="1191165.6900000002"/>
    <n v="702369.08365000004"/>
    <n v="2"/>
    <n v="200000"/>
    <n v="200000"/>
    <n v="8463165.6899999995"/>
  </r>
  <r>
    <m/>
    <s v="D"/>
    <x v="34"/>
    <s v="RESIDENTIAL"/>
    <x v="0"/>
    <n v="2"/>
    <x v="683"/>
    <x v="4"/>
    <s v="C3"/>
    <n v="128.28"/>
    <n v="139.36450602070562"/>
    <x v="38"/>
    <n v="86.075999999999993"/>
    <m/>
    <s v="NW"/>
    <s v="MIDDLE"/>
    <s v="LAKE D"/>
    <s v="GROUND"/>
    <x v="5"/>
    <n v="0.13"/>
    <n v="2.5000000000000001E-2"/>
    <n v="0.43"/>
    <n v="0.05"/>
    <n v="0"/>
    <x v="62"/>
    <x v="1"/>
    <x v="2"/>
    <n v="45687.5"/>
    <n v="51062.5"/>
    <n v="5375"/>
    <n v="3413.125"/>
    <n v="49100.625"/>
    <n v="16203.206250000001"/>
    <n v="53600.625"/>
    <n v="56600.625"/>
    <n v="15172093.125"/>
    <n v="16562593.125"/>
    <n v="17489593.125"/>
    <n v="1394707.181175"/>
    <n v="1408178.0260248752"/>
    <n v="2"/>
    <n v="215000"/>
    <n v="215000"/>
    <n v="16781800.306175001"/>
  </r>
  <r>
    <m/>
    <s v="D"/>
    <x v="34"/>
    <s v="RESIDENTIAL"/>
    <x v="0"/>
    <n v="3"/>
    <x v="684"/>
    <x v="4"/>
    <s v="C3"/>
    <n v="125.03"/>
    <n v="135.83367779676351"/>
    <x v="39"/>
    <n v="85.509600000000006"/>
    <m/>
    <s v="NW"/>
    <s v="MIDDLE"/>
    <s v="LAKE D"/>
    <s v="GROUND"/>
    <x v="5"/>
    <n v="0.13"/>
    <n v="2.5000000000000001E-2"/>
    <n v="0.43"/>
    <n v="0.05"/>
    <n v="0"/>
    <x v="62"/>
    <x v="1"/>
    <x v="2"/>
    <n v="45687.5"/>
    <n v="51062.5"/>
    <n v="5375"/>
    <n v="3413.125"/>
    <n v="49100.625"/>
    <n v="16203.206250000001"/>
    <n v="53600.625"/>
    <n v="56600.625"/>
    <n v="14779288.125"/>
    <n v="16133788.125"/>
    <n v="17036788.125"/>
    <n v="1385529.6851550003"/>
    <n v="1374009.5138631752"/>
    <n v="2"/>
    <n v="215000"/>
    <n v="215000"/>
    <n v="16379817.810155001"/>
  </r>
  <r>
    <m/>
    <s v="D"/>
    <x v="34"/>
    <s v="RESIDENTIAL"/>
    <x v="0"/>
    <n v="4"/>
    <x v="685"/>
    <x v="0"/>
    <s v="C3"/>
    <n v="87.23"/>
    <n v="94.767429530606108"/>
    <x v="30"/>
    <n v="66.653899999999993"/>
    <m/>
    <s v="SE"/>
    <s v="MIDDLE"/>
    <s v="ROAD 18M (VILLAS)"/>
    <s v="GROUND"/>
    <x v="1"/>
    <n v="0.08"/>
    <n v="2.5000000000000001E-2"/>
    <n v="0.16"/>
    <n v="0.05"/>
    <n v="0.04"/>
    <x v="3"/>
    <x v="0"/>
    <x v="3"/>
    <n v="42500"/>
    <n v="47500"/>
    <n v="5000"/>
    <n v="1775"/>
    <n v="44275"/>
    <n v="14610.75"/>
    <n v="48775"/>
    <n v="51775"/>
    <n v="4693150"/>
    <n v="5170150"/>
    <n v="5488150"/>
    <n v="973863.4694249999"/>
    <n v="481696.14490112505"/>
    <n v="1"/>
    <n v="200000"/>
    <n v="200000"/>
    <n v="5867013.4694250003"/>
  </r>
  <r>
    <m/>
    <s v="D"/>
    <x v="34"/>
    <s v="RESIDENTIAL"/>
    <x v="1"/>
    <n v="1"/>
    <x v="686"/>
    <x v="2"/>
    <s v="C3"/>
    <n v="132.94"/>
    <n v="144.42717048949646"/>
    <x v="40"/>
    <m/>
    <m/>
    <s v="SE"/>
    <s v="MIDDLE"/>
    <s v="ROAD 18M (VILLAS)"/>
    <s v="FIRST"/>
    <x v="4"/>
    <n v="0.08"/>
    <n v="2.5000000000000001E-2"/>
    <n v="0.16"/>
    <n v="7.0000000000000007E-2"/>
    <n v="2.5000000000000001E-2"/>
    <x v="97"/>
    <x v="0"/>
    <x v="0"/>
    <n v="43562.499999999993"/>
    <n v="48687.499999999993"/>
    <n v="5125"/>
    <n v="1845.0000000000002"/>
    <n v="45407.499999999993"/>
    <n v="14984.474999999999"/>
    <n v="49907.499999999993"/>
    <n v="52907.499999999993"/>
    <n v="7356014.9999999991"/>
    <n v="8085014.9999999991"/>
    <n v="8571014.9999999981"/>
    <n v="0"/>
    <n v="625261.27500000002"/>
    <n v="2"/>
    <n v="204999.99999999997"/>
    <n v="204999.99999999997"/>
    <n v="7561014.9999999991"/>
  </r>
  <r>
    <m/>
    <s v="D"/>
    <x v="34"/>
    <s v="RESIDENTIAL"/>
    <x v="1"/>
    <n v="4"/>
    <x v="687"/>
    <x v="0"/>
    <s v="C3"/>
    <n v="88.87"/>
    <n v="96.549139772841514"/>
    <x v="34"/>
    <m/>
    <m/>
    <s v="SE"/>
    <s v="MIDDLE"/>
    <s v="ROAD 18M (VILLAS)"/>
    <s v="FIRST"/>
    <x v="1"/>
    <n v="0.08"/>
    <n v="2.5000000000000001E-2"/>
    <n v="0.16"/>
    <n v="7.0000000000000007E-2"/>
    <n v="0.04"/>
    <x v="7"/>
    <x v="0"/>
    <x v="6"/>
    <n v="44625"/>
    <n v="49875"/>
    <n v="5250"/>
    <n v="1968.75"/>
    <n v="46593.75"/>
    <n v="15375.9375"/>
    <n v="51093.75"/>
    <n v="54093.75"/>
    <n v="5032125"/>
    <n v="5518125"/>
    <n v="5842125"/>
    <n v="0"/>
    <n v="427730.62500000006"/>
    <n v="1"/>
    <n v="210000"/>
    <n v="210000"/>
    <n v="5242125"/>
  </r>
  <r>
    <m/>
    <s v="D"/>
    <x v="34"/>
    <s v="RESIDENTIAL"/>
    <x v="2"/>
    <n v="1"/>
    <x v="688"/>
    <x v="2"/>
    <s v="C3"/>
    <n v="131.41999999999999"/>
    <n v="142.77582928937582"/>
    <x v="33"/>
    <m/>
    <m/>
    <s v="SE"/>
    <s v="MIDDLE"/>
    <s v="ROAD 18M (VILLAS)"/>
    <s v="SECOND"/>
    <x v="4"/>
    <n v="0.08"/>
    <n v="2.5000000000000001E-2"/>
    <n v="0.16"/>
    <n v="0.11"/>
    <n v="2.5000000000000001E-2"/>
    <x v="98"/>
    <x v="0"/>
    <x v="5"/>
    <n v="46750.000000000007"/>
    <n v="52250.000000000007"/>
    <n v="5500"/>
    <n v="2200"/>
    <n v="48950.000000000007"/>
    <n v="16153.500000000004"/>
    <n v="53450.000000000007"/>
    <n v="56450.000000000007"/>
    <n v="7832000.0000000009"/>
    <n v="8552000.0000000019"/>
    <n v="9032000.0000000019"/>
    <n v="0"/>
    <n v="665720.00000000012"/>
    <n v="2"/>
    <n v="220000.00000000003"/>
    <n v="220000.00000000003"/>
    <n v="8052000.0000000009"/>
  </r>
  <r>
    <m/>
    <s v="D"/>
    <x v="34"/>
    <s v="RESIDENTIAL"/>
    <x v="2"/>
    <n v="2"/>
    <x v="689"/>
    <x v="2"/>
    <s v="C3"/>
    <n v="131.03"/>
    <n v="142.35212990250278"/>
    <x v="33"/>
    <m/>
    <m/>
    <s v="NW"/>
    <s v="MIDDLE"/>
    <s v="LAKE D"/>
    <s v="SECOND"/>
    <x v="4"/>
    <n v="0.13"/>
    <n v="2.5000000000000001E-2"/>
    <n v="0.43"/>
    <n v="0.11"/>
    <n v="2.5000000000000001E-2"/>
    <x v="206"/>
    <x v="1"/>
    <x v="3"/>
    <n v="42500"/>
    <n v="47500"/>
    <n v="5000"/>
    <n v="3600"/>
    <n v="46100"/>
    <n v="15213"/>
    <n v="50600"/>
    <n v="53600"/>
    <n v="7376000"/>
    <n v="8096000"/>
    <n v="8576000"/>
    <n v="0"/>
    <n v="626960"/>
    <n v="2"/>
    <n v="200000"/>
    <n v="200000"/>
    <n v="7576000"/>
  </r>
  <r>
    <m/>
    <s v="D"/>
    <x v="34"/>
    <s v="RESIDENTIAL"/>
    <x v="2"/>
    <n v="3"/>
    <x v="690"/>
    <x v="2"/>
    <s v="C3"/>
    <n v="126.89"/>
    <n v="137.85439794954269"/>
    <x v="35"/>
    <m/>
    <m/>
    <s v="NW"/>
    <s v="MIDDLE"/>
    <s v="LAKE D"/>
    <s v="SECOND"/>
    <x v="0"/>
    <n v="0.13"/>
    <n v="2.5000000000000001E-2"/>
    <n v="0.43"/>
    <n v="0.11"/>
    <n v="3.5000000000000003E-2"/>
    <x v="205"/>
    <x v="2"/>
    <x v="3"/>
    <n v="42500"/>
    <n v="47500"/>
    <n v="5000"/>
    <n v="3650"/>
    <n v="46150"/>
    <n v="15229.5"/>
    <n v="50650"/>
    <n v="53650"/>
    <n v="7153250"/>
    <n v="7850750"/>
    <n v="8315750"/>
    <n v="0"/>
    <n v="608026.25"/>
    <n v="2"/>
    <n v="200000"/>
    <n v="200000"/>
    <n v="7353250"/>
  </r>
  <r>
    <m/>
    <s v="D"/>
    <x v="34"/>
    <s v="RESIDENTIAL"/>
    <x v="2"/>
    <n v="4"/>
    <x v="691"/>
    <x v="2"/>
    <s v="C3"/>
    <n v="126.99"/>
    <n v="137.96303881797166"/>
    <x v="35"/>
    <m/>
    <m/>
    <s v="SE"/>
    <s v="MIDDLE"/>
    <s v="ROAD 18M (VILLAS)"/>
    <s v="SECOND"/>
    <x v="0"/>
    <n v="0.08"/>
    <n v="2.5000000000000001E-2"/>
    <n v="0.16"/>
    <n v="0.11"/>
    <n v="3.5000000000000003E-2"/>
    <x v="79"/>
    <x v="0"/>
    <x v="1"/>
    <n v="48450.000000000007"/>
    <n v="54150.000000000007"/>
    <n v="5700"/>
    <n v="2337"/>
    <n v="50787.000000000007"/>
    <n v="16759.710000000003"/>
    <n v="55287.000000000007"/>
    <n v="58287.000000000007"/>
    <n v="7871985.0000000009"/>
    <n v="8569485.0000000019"/>
    <n v="9034485.0000000019"/>
    <n v="0"/>
    <n v="669118.72500000009"/>
    <n v="2"/>
    <n v="228000.00000000003"/>
    <n v="228000.00000000003"/>
    <n v="8099985.0000000009"/>
  </r>
  <r>
    <m/>
    <s v="D"/>
    <x v="34"/>
    <s v="RESIDENTIAL"/>
    <x v="3"/>
    <n v="1"/>
    <x v="692"/>
    <x v="2"/>
    <s v="C3"/>
    <n v="131.88"/>
    <n v="143.27557728414919"/>
    <x v="37"/>
    <m/>
    <m/>
    <s v="SE"/>
    <s v="MIDDLE"/>
    <s v="ROAD 18M (VILLAS)"/>
    <s v="THIRD"/>
    <x v="4"/>
    <n v="0.08"/>
    <n v="2.5000000000000001E-2"/>
    <n v="0.16"/>
    <n v="0.15"/>
    <n v="2.5000000000000001E-2"/>
    <x v="100"/>
    <x v="0"/>
    <x v="10"/>
    <n v="53550"/>
    <n v="59850"/>
    <n v="6300"/>
    <n v="2772.0000000000005"/>
    <n v="56322"/>
    <n v="18586.260000000002"/>
    <n v="60822"/>
    <n v="63822"/>
    <n v="9067842"/>
    <n v="9792342"/>
    <n v="10275342"/>
    <n v="0"/>
    <n v="770766.57000000007"/>
    <n v="2"/>
    <n v="252000"/>
    <n v="252000"/>
    <n v="9319842"/>
  </r>
  <r>
    <m/>
    <s v="D"/>
    <x v="34"/>
    <s v="RESIDENTIAL"/>
    <x v="3"/>
    <n v="2"/>
    <x v="693"/>
    <x v="2"/>
    <s v="C3"/>
    <n v="131.02000000000001"/>
    <n v="142.34126581565991"/>
    <x v="33"/>
    <m/>
    <m/>
    <s v="NW"/>
    <s v="MIDDLE"/>
    <s v="LAKE D"/>
    <s v="THIRD"/>
    <x v="4"/>
    <n v="0.13"/>
    <n v="2.5000000000000001E-2"/>
    <n v="0.43"/>
    <n v="0.15"/>
    <n v="2.5000000000000001E-2"/>
    <x v="149"/>
    <x v="2"/>
    <x v="6"/>
    <n v="44625"/>
    <n v="49875"/>
    <n v="5250"/>
    <n v="3990"/>
    <n v="48615"/>
    <n v="16042.95"/>
    <n v="53115"/>
    <n v="56115"/>
    <n v="7778400"/>
    <n v="8498400"/>
    <n v="8978400"/>
    <n v="0"/>
    <n v="661164"/>
    <n v="2"/>
    <n v="210000"/>
    <n v="210000"/>
    <n v="7988400"/>
  </r>
  <r>
    <m/>
    <s v="D"/>
    <x v="34"/>
    <s v="RESIDENTIAL"/>
    <x v="3"/>
    <n v="3"/>
    <x v="694"/>
    <x v="2"/>
    <s v="C3"/>
    <n v="126.87"/>
    <n v="137.83266977585691"/>
    <x v="35"/>
    <m/>
    <m/>
    <s v="NW"/>
    <s v="MIDDLE"/>
    <s v="LAKE D"/>
    <s v="THIRD"/>
    <x v="0"/>
    <n v="0.13"/>
    <n v="2.5000000000000001E-2"/>
    <n v="0.43"/>
    <n v="0.15"/>
    <n v="3.5000000000000003E-2"/>
    <x v="156"/>
    <x v="2"/>
    <x v="6"/>
    <n v="44625"/>
    <n v="49875"/>
    <n v="5250"/>
    <n v="4042.5"/>
    <n v="48667.5"/>
    <n v="16060.275000000001"/>
    <n v="53167.5"/>
    <n v="56167.5"/>
    <n v="7543462.5"/>
    <n v="8240962.5"/>
    <n v="8705962.5"/>
    <n v="0"/>
    <n v="641194.3125"/>
    <n v="2"/>
    <n v="210000"/>
    <n v="210000"/>
    <n v="7753462.5"/>
  </r>
  <r>
    <m/>
    <s v="D"/>
    <x v="34"/>
    <s v="RESIDENTIAL"/>
    <x v="3"/>
    <n v="4"/>
    <x v="695"/>
    <x v="2"/>
    <s v="C3"/>
    <n v="127.41"/>
    <n v="138.41933046537343"/>
    <x v="35"/>
    <m/>
    <m/>
    <s v="SE"/>
    <s v="MIDDLE"/>
    <s v="ROAD 18M (VILLAS)"/>
    <s v="THIRD"/>
    <x v="0"/>
    <n v="0.08"/>
    <n v="2.5000000000000001E-2"/>
    <n v="0.16"/>
    <n v="0.15"/>
    <n v="3.5000000000000003E-2"/>
    <x v="91"/>
    <x v="0"/>
    <x v="10"/>
    <n v="53550"/>
    <n v="59850"/>
    <n v="6300"/>
    <n v="2835.0000000000005"/>
    <n v="56385"/>
    <n v="18607.05"/>
    <n v="60885"/>
    <n v="63885"/>
    <n v="8739675"/>
    <n v="9437175"/>
    <n v="9902175"/>
    <n v="0"/>
    <n v="742872.375"/>
    <n v="2"/>
    <n v="252000"/>
    <n v="252000"/>
    <n v="8991675"/>
  </r>
  <r>
    <m/>
    <s v="D"/>
    <x v="34"/>
    <s v="RESIDENTIAL"/>
    <x v="4"/>
    <n v="1"/>
    <x v="696"/>
    <x v="2"/>
    <s v="C3"/>
    <n v="129.59"/>
    <n v="140.78770139712537"/>
    <x v="32"/>
    <m/>
    <m/>
    <s v="SE"/>
    <s v="MIDDLE"/>
    <s v="ROAD 18M (VILLAS)"/>
    <s v="FORTH"/>
    <x v="0"/>
    <n v="0.08"/>
    <n v="2.5000000000000001E-2"/>
    <n v="0.16"/>
    <n v="0.06"/>
    <n v="3.5000000000000003E-2"/>
    <x v="94"/>
    <x v="0"/>
    <x v="0"/>
    <n v="43562.499999999993"/>
    <n v="48687.499999999993"/>
    <n v="5125"/>
    <n v="1845"/>
    <n v="45407.499999999993"/>
    <n v="14984.474999999999"/>
    <n v="49907.499999999993"/>
    <n v="52907.499999999993"/>
    <n v="7174384.9999999991"/>
    <n v="7885384.9999999991"/>
    <n v="8359384.9999999991"/>
    <n v="0"/>
    <n v="609822.72499999998"/>
    <n v="2"/>
    <n v="204999.99999999997"/>
    <n v="204999.99999999997"/>
    <n v="7379384.9999999991"/>
  </r>
  <r>
    <m/>
    <s v="D"/>
    <x v="34"/>
    <s v="RESIDENTIAL"/>
    <x v="4"/>
    <n v="2"/>
    <x v="697"/>
    <x v="2"/>
    <s v="C3"/>
    <n v="131.72"/>
    <n v="143.10175189466281"/>
    <x v="37"/>
    <m/>
    <m/>
    <s v="NW"/>
    <s v="MIDDLE"/>
    <s v="LAKE D"/>
    <s v="FORTH"/>
    <x v="4"/>
    <n v="0.13"/>
    <n v="2.5000000000000001E-2"/>
    <n v="0.43"/>
    <n v="0.06"/>
    <n v="2.5000000000000001E-2"/>
    <x v="204"/>
    <x v="1"/>
    <x v="1"/>
    <n v="48450.000000000007"/>
    <n v="54150.000000000007"/>
    <n v="5700"/>
    <n v="3819.0000000000005"/>
    <n v="52269.000000000007"/>
    <n v="17248.770000000004"/>
    <n v="56769.000000000007"/>
    <n v="59769.000000000007"/>
    <n v="8415309.0000000019"/>
    <n v="9139809.0000000019"/>
    <n v="9622809.0000000019"/>
    <n v="0"/>
    <n v="715301.26500000025"/>
    <n v="2"/>
    <n v="228000.00000000003"/>
    <n v="228000.00000000003"/>
    <n v="8643309.0000000019"/>
  </r>
  <r>
    <m/>
    <s v="D"/>
    <x v="34"/>
    <s v="RESIDENTIAL"/>
    <x v="4"/>
    <n v="3"/>
    <x v="698"/>
    <x v="2"/>
    <s v="C3"/>
    <n v="127.12"/>
    <n v="138.10427194692937"/>
    <x v="35"/>
    <m/>
    <m/>
    <s v="NW"/>
    <s v="MIDDLE"/>
    <s v="LAKE D"/>
    <s v="FORTH"/>
    <x v="0"/>
    <n v="0.13"/>
    <n v="2.5000000000000001E-2"/>
    <n v="0.43"/>
    <n v="0.06"/>
    <n v="3.5000000000000003E-2"/>
    <x v="127"/>
    <x v="1"/>
    <x v="12"/>
    <n v="50150"/>
    <n v="56050"/>
    <n v="5900"/>
    <n v="4012.0000000000005"/>
    <n v="54162"/>
    <n v="17873.46"/>
    <n v="58662"/>
    <n v="61662"/>
    <n v="8395110"/>
    <n v="9092610"/>
    <n v="9557610"/>
    <n v="0"/>
    <n v="713584.35000000009"/>
    <n v="2"/>
    <n v="236000"/>
    <n v="236000"/>
    <n v="8631110"/>
  </r>
  <r>
    <m/>
    <s v="D"/>
    <x v="34"/>
    <s v="RESIDENTIAL"/>
    <x v="4"/>
    <n v="4"/>
    <x v="699"/>
    <x v="2"/>
    <s v="C3"/>
    <n v="125.12"/>
    <n v="135.93145457834962"/>
    <x v="31"/>
    <m/>
    <m/>
    <s v="SE"/>
    <s v="MIDDLE"/>
    <s v="ROAD 18M (VILLAS)"/>
    <s v="FORTH"/>
    <x v="0"/>
    <n v="0.08"/>
    <n v="2.5000000000000001E-2"/>
    <n v="0.16"/>
    <n v="0.06"/>
    <n v="3.5000000000000003E-2"/>
    <x v="94"/>
    <x v="0"/>
    <x v="0"/>
    <n v="43562.499999999993"/>
    <n v="48687.499999999993"/>
    <n v="5125"/>
    <n v="1845"/>
    <n v="45407.499999999993"/>
    <n v="14984.474999999999"/>
    <n v="49907.499999999993"/>
    <n v="52907.499999999993"/>
    <n v="6947347.4999999991"/>
    <n v="7635847.4999999991"/>
    <n v="8094847.4999999991"/>
    <n v="0"/>
    <n v="590524.53749999998"/>
    <n v="2"/>
    <n v="204999.99999999997"/>
    <n v="204999.99999999997"/>
    <n v="7152347.4999999991"/>
  </r>
  <r>
    <s v="C3"/>
    <s v="D"/>
    <x v="35"/>
    <s v="RESIDENTIAL"/>
    <x v="0"/>
    <n v="1"/>
    <x v="700"/>
    <x v="2"/>
    <s v="C3"/>
    <n v="131.34"/>
    <n v="142.61992000608555"/>
    <x v="33"/>
    <n v="66.235699999999994"/>
    <m/>
    <s v="SE"/>
    <s v="CORNER "/>
    <s v="ROAD 18M (VILLAS)"/>
    <s v="GROUND"/>
    <x v="4"/>
    <n v="0.08"/>
    <n v="0.05"/>
    <n v="0.16"/>
    <n v="0.05"/>
    <n v="2.5000000000000001E-2"/>
    <x v="88"/>
    <x v="0"/>
    <x v="0"/>
    <n v="43562.499999999993"/>
    <n v="48687.499999999993"/>
    <n v="5125"/>
    <n v="1870.6250000000002"/>
    <n v="45433.124999999993"/>
    <n v="14992.931249999998"/>
    <n v="49933.124999999993"/>
    <n v="52933.124999999993"/>
    <n v="7269299.9999999991"/>
    <n v="7989299.9999999991"/>
    <n v="8469299.9999999981"/>
    <n v="993067.29639562475"/>
    <n v="702301.22019362811"/>
    <n v="2"/>
    <n v="204999.99999999997"/>
    <n v="204999.99999999997"/>
    <n v="8467367.2963956241"/>
  </r>
  <r>
    <m/>
    <s v="D"/>
    <x v="35"/>
    <s v="RESIDENTIAL"/>
    <x v="0"/>
    <n v="2"/>
    <x v="701"/>
    <x v="2"/>
    <s v="C3"/>
    <n v="129.57"/>
    <n v="140.69790646557411"/>
    <x v="32"/>
    <n v="84.036199999999994"/>
    <m/>
    <s v="NW"/>
    <s v="CORNER "/>
    <s v="LAKE D"/>
    <s v="GROUND"/>
    <x v="0"/>
    <n v="0.13"/>
    <n v="0.05"/>
    <n v="0.43"/>
    <n v="0.05"/>
    <n v="3.5000000000000003E-2"/>
    <x v="66"/>
    <x v="1"/>
    <x v="4"/>
    <n v="51850"/>
    <n v="57950"/>
    <n v="6100"/>
    <n v="4239.5"/>
    <n v="56089.5"/>
    <n v="18509.535"/>
    <n v="60589.5"/>
    <n v="63589.5"/>
    <n v="8862141"/>
    <n v="9573141"/>
    <n v="10047141"/>
    <n v="1555470.985167"/>
    <n v="885497.01873919507"/>
    <n v="2"/>
    <n v="244000"/>
    <n v="244000"/>
    <n v="10661611.985167"/>
  </r>
  <r>
    <m/>
    <s v="D"/>
    <x v="35"/>
    <s v="RESIDENTIAL"/>
    <x v="0"/>
    <n v="3"/>
    <x v="702"/>
    <x v="2"/>
    <s v="C3"/>
    <n v="125.09"/>
    <n v="135.83314902970338"/>
    <x v="31"/>
    <n v="85.562899999999999"/>
    <m/>
    <s v="NW"/>
    <s v="MIDDLE"/>
    <s v="LAKE D"/>
    <s v="GROUND"/>
    <x v="0"/>
    <n v="0.13"/>
    <n v="2.5000000000000001E-2"/>
    <n v="0.43"/>
    <n v="0.05"/>
    <n v="3.5000000000000003E-2"/>
    <x v="204"/>
    <x v="1"/>
    <x v="1"/>
    <n v="48450.000000000007"/>
    <n v="54150.000000000007"/>
    <n v="5700"/>
    <n v="3819.0000000000005"/>
    <n v="52269.000000000007"/>
    <n v="17248.770000000004"/>
    <n v="56769.000000000007"/>
    <n v="59769.000000000007"/>
    <n v="7997157.0000000009"/>
    <n v="8685657.0000000019"/>
    <n v="9144657.0000000019"/>
    <n v="1475854.7826330003"/>
    <n v="805206.00152380508"/>
    <n v="2"/>
    <n v="228000.00000000003"/>
    <n v="228000.00000000003"/>
    <n v="9701011.782633001"/>
  </r>
  <r>
    <m/>
    <s v="D"/>
    <x v="35"/>
    <s v="RESIDENTIAL"/>
    <x v="0"/>
    <n v="4"/>
    <x v="703"/>
    <x v="0"/>
    <s v="C3"/>
    <n v="87.23"/>
    <n v="94.721605163170736"/>
    <x v="30"/>
    <n v="67.414699999999996"/>
    <m/>
    <s v="SE"/>
    <s v="MIDDLE"/>
    <s v="ROAD 18M (VILLAS)"/>
    <s v="GROUND"/>
    <x v="1"/>
    <n v="0.08"/>
    <n v="2.5000000000000001E-2"/>
    <n v="0.16"/>
    <n v="0.05"/>
    <n v="0.04"/>
    <x v="3"/>
    <x v="0"/>
    <x v="3"/>
    <n v="42500"/>
    <n v="47500"/>
    <n v="5000"/>
    <n v="1775"/>
    <n v="44275"/>
    <n v="14610.75"/>
    <n v="48775"/>
    <n v="51775"/>
    <n v="4693150"/>
    <n v="5170150"/>
    <n v="5488150"/>
    <n v="984979.32802499994"/>
    <n v="482640.99288212502"/>
    <n v="1"/>
    <n v="200000"/>
    <n v="200000"/>
    <n v="5878129.3280250002"/>
  </r>
  <r>
    <m/>
    <s v="D"/>
    <x v="35"/>
    <s v="RESIDENTIAL"/>
    <x v="1"/>
    <n v="1"/>
    <x v="704"/>
    <x v="2"/>
    <s v="C3"/>
    <n v="129.04"/>
    <n v="140.1223882867769"/>
    <x v="36"/>
    <m/>
    <m/>
    <s v="SE"/>
    <s v="CORNER "/>
    <s v="ROAD 18M (VILLAS)"/>
    <s v="FIRST"/>
    <x v="0"/>
    <n v="0.08"/>
    <n v="0.05"/>
    <n v="0.16"/>
    <n v="7.0000000000000007E-2"/>
    <n v="3.5000000000000003E-2"/>
    <x v="53"/>
    <x v="0"/>
    <x v="2"/>
    <n v="45687.5"/>
    <n v="51062.5"/>
    <n v="5375"/>
    <n v="2123.125"/>
    <n v="47810.625"/>
    <n v="15777.50625"/>
    <n v="52310.625"/>
    <n v="55310.625"/>
    <n v="7506268.125"/>
    <n v="8212768.125"/>
    <n v="8683768.125"/>
    <n v="0"/>
    <n v="638032.79062500002"/>
    <n v="2"/>
    <n v="215000"/>
    <n v="215000"/>
    <n v="7721268.125"/>
  </r>
  <r>
    <m/>
    <s v="D"/>
    <x v="35"/>
    <s v="RESIDENTIAL"/>
    <x v="1"/>
    <n v="2"/>
    <x v="705"/>
    <x v="2"/>
    <s v="C3"/>
    <n v="131.43"/>
    <n v="142.71764950814546"/>
    <x v="33"/>
    <m/>
    <m/>
    <s v="NW"/>
    <s v="CORNER "/>
    <s v="LAKE D"/>
    <s v="FIRST"/>
    <x v="4"/>
    <n v="0.13"/>
    <n v="0.05"/>
    <n v="0.43"/>
    <n v="7.0000000000000007E-2"/>
    <n v="2.5000000000000001E-2"/>
    <x v="163"/>
    <x v="1"/>
    <x v="10"/>
    <n v="53550"/>
    <n v="59850"/>
    <n v="6300"/>
    <n v="4441.5"/>
    <n v="57991.5"/>
    <n v="19137.195"/>
    <n v="62491.5"/>
    <n v="65491.5"/>
    <n v="9278640"/>
    <n v="9998640"/>
    <n v="10478640"/>
    <n v="0"/>
    <n v="788684.4"/>
    <n v="2"/>
    <n v="252000"/>
    <n v="252000"/>
    <n v="9530640"/>
  </r>
  <r>
    <m/>
    <s v="D"/>
    <x v="35"/>
    <s v="RESIDENTIAL"/>
    <x v="1"/>
    <n v="3"/>
    <x v="706"/>
    <x v="2"/>
    <s v="C3"/>
    <n v="127.14"/>
    <n v="138.05920990995673"/>
    <x v="35"/>
    <m/>
    <m/>
    <s v="NW"/>
    <s v="MIDDLE"/>
    <s v="LAKE D"/>
    <s v="FIRST"/>
    <x v="0"/>
    <n v="0.13"/>
    <n v="2.5000000000000001E-2"/>
    <n v="0.43"/>
    <n v="7.0000000000000007E-2"/>
    <n v="3.5000000000000003E-2"/>
    <x v="137"/>
    <x v="1"/>
    <x v="4"/>
    <n v="51850"/>
    <n v="57950"/>
    <n v="6100"/>
    <n v="4209"/>
    <n v="56059"/>
    <n v="18499.47"/>
    <n v="60559"/>
    <n v="63559"/>
    <n v="8689145"/>
    <n v="9386645"/>
    <n v="9851645"/>
    <n v="0"/>
    <n v="738577.32500000007"/>
    <n v="2"/>
    <n v="244000"/>
    <n v="244000"/>
    <n v="8933145"/>
  </r>
  <r>
    <m/>
    <s v="D"/>
    <x v="35"/>
    <s v="RESIDENTIAL"/>
    <x v="1"/>
    <n v="4"/>
    <x v="707"/>
    <x v="0"/>
    <s v="C3"/>
    <n v="88.87"/>
    <n v="96.502453867373418"/>
    <x v="34"/>
    <m/>
    <m/>
    <s v="SE"/>
    <s v="MIDDLE"/>
    <s v="ROAD 18M (VILLAS)"/>
    <s v="FIRST"/>
    <x v="1"/>
    <n v="0.08"/>
    <n v="2.5000000000000001E-2"/>
    <n v="0.16"/>
    <n v="7.0000000000000007E-2"/>
    <n v="0.04"/>
    <x v="7"/>
    <x v="0"/>
    <x v="6"/>
    <n v="44625"/>
    <n v="49875"/>
    <n v="5250"/>
    <n v="1968.75"/>
    <n v="46593.75"/>
    <n v="15375.9375"/>
    <n v="51093.75"/>
    <n v="54093.75"/>
    <n v="5032125"/>
    <n v="5518125"/>
    <n v="5842125"/>
    <n v="0"/>
    <n v="427730.62500000006"/>
    <n v="1"/>
    <n v="210000"/>
    <n v="210000"/>
    <n v="5242125"/>
  </r>
  <r>
    <m/>
    <s v="D"/>
    <x v="35"/>
    <s v="RESIDENTIAL"/>
    <x v="2"/>
    <n v="1"/>
    <x v="708"/>
    <x v="2"/>
    <s v="C3"/>
    <n v="131.43"/>
    <n v="142.71764950814546"/>
    <x v="33"/>
    <m/>
    <m/>
    <s v="SE"/>
    <s v="CORNER "/>
    <s v="ROAD 18M (VILLAS)"/>
    <s v="SECOND"/>
    <x v="4"/>
    <n v="0.08"/>
    <n v="0.05"/>
    <n v="0.16"/>
    <n v="0.11"/>
    <n v="2.5000000000000001E-2"/>
    <x v="8"/>
    <x v="0"/>
    <x v="4"/>
    <n v="51850"/>
    <n v="57950"/>
    <n v="6100"/>
    <n v="2592.5000000000005"/>
    <n v="54442.5"/>
    <n v="17966.025000000001"/>
    <n v="58942.5"/>
    <n v="61942.5"/>
    <n v="8710800"/>
    <n v="9430800"/>
    <n v="9910800"/>
    <n v="0"/>
    <n v="740418"/>
    <n v="2"/>
    <n v="244000"/>
    <n v="244000"/>
    <n v="8954800"/>
  </r>
  <r>
    <m/>
    <s v="D"/>
    <x v="35"/>
    <s v="RESIDENTIAL"/>
    <x v="2"/>
    <n v="2"/>
    <x v="709"/>
    <x v="2"/>
    <s v="C3"/>
    <n v="131.44"/>
    <n v="142.72850834170768"/>
    <x v="33"/>
    <m/>
    <m/>
    <s v="NW"/>
    <s v="CORNER "/>
    <s v="LAKE D"/>
    <s v="SECOND"/>
    <x v="4"/>
    <n v="0.13"/>
    <n v="0.05"/>
    <n v="0.43"/>
    <n v="0.11"/>
    <n v="2.5000000000000001E-2"/>
    <x v="102"/>
    <x v="2"/>
    <x v="3"/>
    <n v="42500"/>
    <n v="47500"/>
    <n v="5000"/>
    <n v="3725"/>
    <n v="46225"/>
    <n v="15254.25"/>
    <n v="50725"/>
    <n v="53725"/>
    <n v="7396000"/>
    <n v="8116000"/>
    <n v="8596000"/>
    <n v="0"/>
    <n v="628660"/>
    <n v="2"/>
    <n v="200000"/>
    <n v="200000"/>
    <n v="7596000"/>
  </r>
  <r>
    <m/>
    <s v="D"/>
    <x v="35"/>
    <s v="RESIDENTIAL"/>
    <x v="2"/>
    <n v="3"/>
    <x v="710"/>
    <x v="2"/>
    <s v="C3"/>
    <n v="126.95"/>
    <n v="137.85289207227473"/>
    <x v="35"/>
    <m/>
    <m/>
    <s v="NW"/>
    <s v="MIDDLE"/>
    <s v="LAKE D"/>
    <s v="SECOND"/>
    <x v="0"/>
    <n v="0.13"/>
    <n v="2.5000000000000001E-2"/>
    <n v="0.43"/>
    <n v="0.11"/>
    <n v="3.5000000000000003E-2"/>
    <x v="205"/>
    <x v="2"/>
    <x v="3"/>
    <n v="42500"/>
    <n v="47500"/>
    <n v="5000"/>
    <n v="3650"/>
    <n v="46150"/>
    <n v="15229.5"/>
    <n v="50650"/>
    <n v="53650"/>
    <n v="7153250"/>
    <n v="7850750"/>
    <n v="8315750"/>
    <n v="0"/>
    <n v="608026.25"/>
    <n v="2"/>
    <n v="200000"/>
    <n v="200000"/>
    <n v="7353250"/>
  </r>
  <r>
    <m/>
    <s v="D"/>
    <x v="35"/>
    <s v="RESIDENTIAL"/>
    <x v="2"/>
    <n v="4"/>
    <x v="711"/>
    <x v="2"/>
    <s v="C3"/>
    <n v="127.15"/>
    <n v="138.07006874351896"/>
    <x v="35"/>
    <m/>
    <m/>
    <s v="SE"/>
    <s v="MIDDLE"/>
    <s v="ROAD 18M (VILLAS)"/>
    <s v="SECOND"/>
    <x v="0"/>
    <n v="0.08"/>
    <n v="2.5000000000000001E-2"/>
    <n v="0.16"/>
    <n v="0.11"/>
    <n v="3.5000000000000003E-2"/>
    <x v="79"/>
    <x v="0"/>
    <x v="1"/>
    <n v="48450.000000000007"/>
    <n v="54150.000000000007"/>
    <n v="5700"/>
    <n v="2337"/>
    <n v="50787.000000000007"/>
    <n v="16759.710000000003"/>
    <n v="55287.000000000007"/>
    <n v="58287.000000000007"/>
    <n v="7871985.0000000009"/>
    <n v="8569485.0000000019"/>
    <n v="9034485.0000000019"/>
    <n v="0"/>
    <n v="669118.72500000009"/>
    <n v="2"/>
    <n v="228000.00000000003"/>
    <n v="228000.00000000003"/>
    <n v="8099985.0000000009"/>
  </r>
  <r>
    <m/>
    <s v="D"/>
    <x v="35"/>
    <s v="RESIDENTIAL"/>
    <x v="3"/>
    <n v="1"/>
    <x v="712"/>
    <x v="2"/>
    <s v="C3"/>
    <n v="131.88"/>
    <n v="143.20629701844499"/>
    <x v="37"/>
    <m/>
    <m/>
    <s v="SE"/>
    <s v="CORNER "/>
    <s v="ROAD 18M (VILLAS)"/>
    <s v="THIRD"/>
    <x v="4"/>
    <n v="0.08"/>
    <n v="0.05"/>
    <n v="0.16"/>
    <n v="0.15"/>
    <n v="2.5000000000000001E-2"/>
    <x v="12"/>
    <x v="0"/>
    <x v="9"/>
    <n v="58649.999999999993"/>
    <n v="65550"/>
    <n v="6900.0000000000073"/>
    <n v="3208.5000000000041"/>
    <n v="61858.5"/>
    <n v="20413.305"/>
    <n v="66358.5"/>
    <n v="69358.5"/>
    <n v="9959218.5"/>
    <n v="10683718.5"/>
    <n v="11166718.5"/>
    <n v="0"/>
    <n v="846533.57250000001"/>
    <n v="2"/>
    <n v="276000"/>
    <n v="276000"/>
    <n v="10235218.5"/>
  </r>
  <r>
    <m/>
    <s v="D"/>
    <x v="35"/>
    <s v="RESIDENTIAL"/>
    <x v="3"/>
    <n v="2"/>
    <x v="713"/>
    <x v="2"/>
    <s v="C3"/>
    <n v="131.43"/>
    <n v="142.71764950814546"/>
    <x v="33"/>
    <m/>
    <m/>
    <s v="NW"/>
    <s v="CORNER "/>
    <s v="LAKE D"/>
    <s v="THIRD"/>
    <x v="4"/>
    <n v="0.13"/>
    <n v="0.05"/>
    <n v="0.43"/>
    <n v="0.15"/>
    <n v="2.5000000000000001E-2"/>
    <x v="125"/>
    <x v="2"/>
    <x v="5"/>
    <n v="46750.000000000007"/>
    <n v="52250.000000000007"/>
    <n v="5500"/>
    <n v="4317.5"/>
    <n v="51067.500000000007"/>
    <n v="16852.275000000001"/>
    <n v="55567.500000000007"/>
    <n v="58567.500000000007"/>
    <n v="8170800.0000000009"/>
    <n v="8890800.0000000019"/>
    <n v="9370800.0000000019"/>
    <n v="0"/>
    <n v="694518.00000000012"/>
    <n v="2"/>
    <n v="220000.00000000003"/>
    <n v="220000.00000000003"/>
    <n v="8390800.0000000019"/>
  </r>
  <r>
    <m/>
    <s v="D"/>
    <x v="35"/>
    <s v="RESIDENTIAL"/>
    <x v="3"/>
    <n v="3"/>
    <x v="714"/>
    <x v="2"/>
    <s v="C3"/>
    <n v="126.97"/>
    <n v="137.87460973939915"/>
    <x v="35"/>
    <m/>
    <m/>
    <s v="NW"/>
    <s v="MIDDLE"/>
    <s v="LAKE D"/>
    <s v="THIRD"/>
    <x v="0"/>
    <n v="0.13"/>
    <n v="2.5000000000000001E-2"/>
    <n v="0.43"/>
    <n v="0.15"/>
    <n v="3.5000000000000003E-2"/>
    <x v="156"/>
    <x v="2"/>
    <x v="6"/>
    <n v="44625"/>
    <n v="49875"/>
    <n v="5250"/>
    <n v="4042.5"/>
    <n v="48667.5"/>
    <n v="16060.275000000001"/>
    <n v="53167.5"/>
    <n v="56167.5"/>
    <n v="7543462.5"/>
    <n v="8240962.5"/>
    <n v="8705962.5"/>
    <n v="0"/>
    <n v="641194.3125"/>
    <n v="2"/>
    <n v="210000"/>
    <n v="210000"/>
    <n v="7753462.5"/>
  </r>
  <r>
    <m/>
    <s v="D"/>
    <x v="35"/>
    <s v="RESIDENTIAL"/>
    <x v="3"/>
    <n v="4"/>
    <x v="715"/>
    <x v="2"/>
    <s v="C3"/>
    <n v="127.45"/>
    <n v="138.39583375038529"/>
    <x v="35"/>
    <m/>
    <m/>
    <s v="SE"/>
    <s v="MIDDLE"/>
    <s v="ROAD 18M (VILLAS)"/>
    <s v="THIRD"/>
    <x v="0"/>
    <n v="0.08"/>
    <n v="2.5000000000000001E-2"/>
    <n v="0.16"/>
    <n v="0.15"/>
    <n v="3.5000000000000003E-2"/>
    <x v="91"/>
    <x v="0"/>
    <x v="10"/>
    <n v="53550"/>
    <n v="59850"/>
    <n v="6300"/>
    <n v="2835.0000000000005"/>
    <n v="56385"/>
    <n v="18607.05"/>
    <n v="60885"/>
    <n v="63885"/>
    <n v="8739675"/>
    <n v="9437175"/>
    <n v="9902175"/>
    <n v="0"/>
    <n v="742872.375"/>
    <n v="2"/>
    <n v="252000"/>
    <n v="252000"/>
    <n v="8991675"/>
  </r>
  <r>
    <m/>
    <s v="D"/>
    <x v="35"/>
    <s v="RESIDENTIAL"/>
    <x v="4"/>
    <n v="1"/>
    <x v="716"/>
    <x v="2"/>
    <s v="C3"/>
    <n v="129.58000000000001"/>
    <n v="140.70876529913636"/>
    <x v="32"/>
    <m/>
    <m/>
    <s v="SE"/>
    <s v="CORNER "/>
    <s v="ROAD 18M (VILLAS)"/>
    <s v="FORTH"/>
    <x v="0"/>
    <n v="0.08"/>
    <n v="0.05"/>
    <n v="0.16"/>
    <n v="0.06"/>
    <n v="3.5000000000000003E-2"/>
    <x v="4"/>
    <x v="0"/>
    <x v="2"/>
    <n v="45687.5"/>
    <n v="51062.5"/>
    <n v="5375"/>
    <n v="2069.375"/>
    <n v="47756.875"/>
    <n v="15759.768750000001"/>
    <n v="52256.875"/>
    <n v="55256.875"/>
    <n v="7545586.25"/>
    <n v="8256586.25"/>
    <n v="8730586.25"/>
    <n v="0"/>
    <n v="641374.83125000005"/>
    <n v="2"/>
    <n v="215000"/>
    <n v="215000"/>
    <n v="7760586.25"/>
  </r>
  <r>
    <m/>
    <s v="D"/>
    <x v="35"/>
    <s v="RESIDENTIAL"/>
    <x v="4"/>
    <n v="2"/>
    <x v="717"/>
    <x v="2"/>
    <s v="C3"/>
    <n v="131.38"/>
    <n v="142.66335534033439"/>
    <x v="33"/>
    <m/>
    <m/>
    <s v="NW"/>
    <s v="CORNER "/>
    <s v="LAKE D"/>
    <s v="FORTH"/>
    <x v="4"/>
    <n v="0.13"/>
    <n v="0.05"/>
    <n v="0.43"/>
    <n v="0.06"/>
    <n v="2.5000000000000001E-2"/>
    <x v="166"/>
    <x v="1"/>
    <x v="4"/>
    <n v="51850"/>
    <n v="57950"/>
    <n v="6100"/>
    <n v="4239.5"/>
    <n v="56089.5"/>
    <n v="18509.535"/>
    <n v="60589.5"/>
    <n v="63589.5"/>
    <n v="8974320"/>
    <n v="9694320"/>
    <n v="10174320"/>
    <n v="0"/>
    <n v="762817.20000000007"/>
    <n v="2"/>
    <n v="244000"/>
    <n v="244000"/>
    <n v="9218320"/>
  </r>
  <r>
    <m/>
    <s v="D"/>
    <x v="35"/>
    <s v="RESIDENTIAL"/>
    <x v="4"/>
    <n v="3"/>
    <x v="718"/>
    <x v="2"/>
    <s v="C3"/>
    <n v="127.19"/>
    <n v="138.1135040777678"/>
    <x v="35"/>
    <m/>
    <m/>
    <s v="NW"/>
    <s v="MIDDLE"/>
    <s v="LAKE D"/>
    <s v="FORTH"/>
    <x v="0"/>
    <n v="0.13"/>
    <n v="2.5000000000000001E-2"/>
    <n v="0.43"/>
    <n v="0.06"/>
    <n v="3.5000000000000003E-2"/>
    <x v="127"/>
    <x v="1"/>
    <x v="12"/>
    <n v="50150"/>
    <n v="56050"/>
    <n v="5900"/>
    <n v="4012.0000000000005"/>
    <n v="54162"/>
    <n v="17873.46"/>
    <n v="58662"/>
    <n v="61662"/>
    <n v="8395110"/>
    <n v="9092610"/>
    <n v="9557610"/>
    <n v="0"/>
    <n v="713584.35000000009"/>
    <n v="2"/>
    <n v="236000"/>
    <n v="236000"/>
    <n v="8631110"/>
  </r>
  <r>
    <m/>
    <s v="D"/>
    <x v="35"/>
    <s v="RESIDENTIAL"/>
    <x v="4"/>
    <n v="4"/>
    <x v="719"/>
    <x v="2"/>
    <s v="C3"/>
    <n v="125.13"/>
    <n v="135.87658436395222"/>
    <x v="31"/>
    <m/>
    <m/>
    <s v="SE"/>
    <s v="MIDDLE"/>
    <s v="ROAD 18M (VILLAS)"/>
    <s v="FORTH"/>
    <x v="0"/>
    <n v="0.08"/>
    <n v="2.5000000000000001E-2"/>
    <n v="0.16"/>
    <n v="0.06"/>
    <n v="3.5000000000000003E-2"/>
    <x v="94"/>
    <x v="0"/>
    <x v="3"/>
    <n v="42500"/>
    <n v="47500"/>
    <n v="5000"/>
    <n v="1800"/>
    <n v="44300"/>
    <n v="14619"/>
    <n v="48800"/>
    <n v="51800"/>
    <n v="6777900"/>
    <n v="7466400"/>
    <n v="7925400"/>
    <n v="0"/>
    <n v="576121.5"/>
    <n v="2"/>
    <n v="200000"/>
    <n v="200000"/>
    <n v="6977900"/>
  </r>
  <r>
    <s v="C3"/>
    <s v="D"/>
    <x v="36"/>
    <s v="RESIDENTIAL"/>
    <x v="0"/>
    <n v="1"/>
    <x v="720"/>
    <x v="0"/>
    <s v="C3"/>
    <n v="88.49"/>
    <n v="96.199295659590803"/>
    <x v="34"/>
    <n v="67.5261"/>
    <m/>
    <s v="NW"/>
    <s v="MIDDLE"/>
    <s v="ROAD 18M (BUILDINGS)"/>
    <s v="GROUND"/>
    <x v="1"/>
    <n v="0.13"/>
    <n v="2.5000000000000001E-2"/>
    <n v="0.15"/>
    <n v="0.05"/>
    <n v="0.04"/>
    <x v="145"/>
    <x v="0"/>
    <x v="2"/>
    <n v="45687.5"/>
    <n v="51062.5"/>
    <n v="5375"/>
    <n v="2123.125"/>
    <n v="47810.625"/>
    <n v="15777.50625"/>
    <n v="52310.625"/>
    <n v="55310.625"/>
    <n v="5163547.5"/>
    <n v="5649547.5"/>
    <n v="5973547.5"/>
    <n v="1065393.4647881251"/>
    <n v="529459.9820069907"/>
    <n v="1"/>
    <n v="215000"/>
    <n v="215000"/>
    <n v="6443940.9647881249"/>
  </r>
  <r>
    <m/>
    <s v="D"/>
    <x v="36"/>
    <s v="RESIDENTIAL"/>
    <x v="0"/>
    <n v="2"/>
    <x v="721"/>
    <x v="2"/>
    <s v="C3"/>
    <n v="124.72"/>
    <n v="135.58567244506912"/>
    <x v="48"/>
    <n v="85.417599999999993"/>
    <m/>
    <s v="SE"/>
    <s v="MIDDLE"/>
    <s v="LAKE D"/>
    <s v="GROUND"/>
    <x v="0"/>
    <n v="0.08"/>
    <n v="2.5000000000000001E-2"/>
    <n v="0.43"/>
    <n v="0.05"/>
    <n v="3.5000000000000003E-2"/>
    <x v="207"/>
    <x v="1"/>
    <x v="6"/>
    <n v="44625"/>
    <n v="49875"/>
    <n v="5250"/>
    <n v="3255.0000000000005"/>
    <n v="47880"/>
    <n v="15800.400000000001"/>
    <n v="52380"/>
    <n v="55380"/>
    <n v="7277760"/>
    <n v="7961760"/>
    <n v="8417760"/>
    <n v="1349632.24704"/>
    <n v="733328.3409984"/>
    <n v="2"/>
    <n v="210000"/>
    <n v="210000"/>
    <n v="8837392.2470399998"/>
  </r>
  <r>
    <m/>
    <s v="D"/>
    <x v="36"/>
    <s v="RESIDENTIAL"/>
    <x v="0"/>
    <n v="3"/>
    <x v="722"/>
    <x v="2"/>
    <s v="C3"/>
    <n v="129.5"/>
    <n v="140.78210857630253"/>
    <x v="32"/>
    <n v="84.0732"/>
    <m/>
    <s v="SE"/>
    <s v="CORNER "/>
    <s v="LAKE D"/>
    <s v="GROUND"/>
    <x v="0"/>
    <n v="0.08"/>
    <n v="0.05"/>
    <n v="0.43"/>
    <n v="0.05"/>
    <n v="3.5000000000000003E-2"/>
    <x v="2"/>
    <x v="1"/>
    <x v="2"/>
    <n v="45687.5"/>
    <n v="51062.5"/>
    <n v="5375"/>
    <n v="3466.8750000000009"/>
    <n v="49154.375"/>
    <n v="16220.94375"/>
    <n v="53654.375"/>
    <n v="56654.375"/>
    <n v="7766391.25"/>
    <n v="8477391.25"/>
    <n v="8951391.25"/>
    <n v="1363746.6480825001"/>
    <n v="776061.7213370126"/>
    <n v="2"/>
    <n v="215000"/>
    <n v="215000"/>
    <n v="9345137.8980825003"/>
  </r>
  <r>
    <m/>
    <s v="D"/>
    <x v="36"/>
    <s v="RESIDENTIAL"/>
    <x v="0"/>
    <n v="4"/>
    <x v="723"/>
    <x v="2"/>
    <s v="C3"/>
    <n v="131.68"/>
    <n v="143.15203133071444"/>
    <x v="37"/>
    <n v="83.961500000000001"/>
    <m/>
    <s v="NW"/>
    <s v="CORNER "/>
    <s v="LAKE F"/>
    <s v="GROUND"/>
    <x v="4"/>
    <n v="0.13"/>
    <n v="0.05"/>
    <n v="0.3"/>
    <n v="0.05"/>
    <n v="2.5000000000000001E-2"/>
    <x v="22"/>
    <x v="1"/>
    <x v="3"/>
    <n v="42500"/>
    <n v="47500"/>
    <n v="5000"/>
    <n v="2775.0000000000005"/>
    <n v="45275"/>
    <n v="14940.75"/>
    <n v="49775"/>
    <n v="52775"/>
    <n v="7289275"/>
    <n v="8013775"/>
    <n v="8496775"/>
    <n v="1254447.781125"/>
    <n v="726216.436395625"/>
    <n v="2"/>
    <n v="200000"/>
    <n v="200000"/>
    <n v="8743722.7811249997"/>
  </r>
  <r>
    <m/>
    <s v="D"/>
    <x v="36"/>
    <s v="RESIDENTIAL"/>
    <x v="1"/>
    <n v="1"/>
    <x v="724"/>
    <x v="0"/>
    <s v="C3"/>
    <n v="88.79"/>
    <n v="96.525431818454848"/>
    <x v="34"/>
    <m/>
    <m/>
    <s v="NW"/>
    <s v="MIDDLE"/>
    <s v="ROAD 18M (BUILDINGS)"/>
    <s v="FIRST"/>
    <x v="1"/>
    <n v="0.13"/>
    <n v="2.5000000000000001E-2"/>
    <n v="0.15"/>
    <n v="7.0000000000000007E-2"/>
    <n v="0.04"/>
    <x v="31"/>
    <x v="0"/>
    <x v="12"/>
    <n v="50150"/>
    <n v="56050"/>
    <n v="5900"/>
    <n v="2448.5"/>
    <n v="52598.5"/>
    <n v="17357.505000000001"/>
    <n v="57098.5"/>
    <n v="60098.5"/>
    <n v="5680638"/>
    <n v="6166638"/>
    <n v="6490638"/>
    <n v="0"/>
    <n v="482854.23000000004"/>
    <n v="1"/>
    <n v="236000"/>
    <n v="236000"/>
    <n v="5916638"/>
  </r>
  <r>
    <m/>
    <s v="D"/>
    <x v="36"/>
    <s v="RESIDENTIAL"/>
    <x v="1"/>
    <n v="2"/>
    <x v="725"/>
    <x v="2"/>
    <s v="C3"/>
    <n v="126.34"/>
    <n v="137.34680770293485"/>
    <x v="49"/>
    <m/>
    <m/>
    <s v="SE"/>
    <s v="MIDDLE"/>
    <s v="LAKE D"/>
    <s v="FIRST"/>
    <x v="0"/>
    <n v="0.08"/>
    <n v="2.5000000000000001E-2"/>
    <n v="0.43"/>
    <n v="7.0000000000000007E-2"/>
    <n v="3.5000000000000003E-2"/>
    <x v="197"/>
    <x v="1"/>
    <x v="2"/>
    <n v="45687.5"/>
    <n v="51062.5"/>
    <n v="5375"/>
    <n v="3440"/>
    <n v="49127.5"/>
    <n v="16212.075000000001"/>
    <n v="53627.5"/>
    <n v="56627.5"/>
    <n v="7565635"/>
    <n v="8258635"/>
    <n v="8720635"/>
    <n v="0"/>
    <n v="643078.97500000009"/>
    <n v="2"/>
    <n v="215000"/>
    <n v="215000"/>
    <n v="7780635"/>
  </r>
  <r>
    <m/>
    <s v="D"/>
    <x v="36"/>
    <s v="RESIDENTIAL"/>
    <x v="1"/>
    <n v="3"/>
    <x v="726"/>
    <x v="2"/>
    <s v="C3"/>
    <n v="131.12"/>
    <n v="142.54324383416824"/>
    <x v="33"/>
    <m/>
    <m/>
    <s v="SE"/>
    <s v="CORNER "/>
    <s v="LAKE D"/>
    <s v="FIRST"/>
    <x v="4"/>
    <n v="0.08"/>
    <n v="0.05"/>
    <n v="0.43"/>
    <n v="7.0000000000000007E-2"/>
    <n v="2.5000000000000001E-2"/>
    <x v="208"/>
    <x v="1"/>
    <x v="1"/>
    <n v="48450.000000000007"/>
    <n v="54150.000000000007"/>
    <n v="5700"/>
    <n v="3733.5000000000009"/>
    <n v="52183.500000000007"/>
    <n v="17220.555000000004"/>
    <n v="56683.500000000007"/>
    <n v="59683.500000000007"/>
    <n v="8349360.0000000009"/>
    <n v="9069360.0000000019"/>
    <n v="9549360.0000000019"/>
    <n v="0"/>
    <n v="709695.60000000009"/>
    <n v="2"/>
    <n v="228000.00000000003"/>
    <n v="228000.00000000003"/>
    <n v="8577360.0000000019"/>
  </r>
  <r>
    <m/>
    <s v="D"/>
    <x v="36"/>
    <s v="RESIDENTIAL"/>
    <x v="1"/>
    <n v="4"/>
    <x v="727"/>
    <x v="2"/>
    <s v="C3"/>
    <n v="128.56"/>
    <n v="139.76021527852859"/>
    <x v="36"/>
    <m/>
    <m/>
    <s v="NW"/>
    <s v="CORNER "/>
    <s v="LAKE F"/>
    <s v="FIRST"/>
    <x v="0"/>
    <n v="0.13"/>
    <n v="0.05"/>
    <n v="0.3"/>
    <n v="7.0000000000000007E-2"/>
    <n v="3.5000000000000003E-2"/>
    <x v="209"/>
    <x v="1"/>
    <x v="3"/>
    <n v="42500"/>
    <n v="47500"/>
    <n v="5000"/>
    <n v="2925.0000000000005"/>
    <n v="45425"/>
    <n v="14990.25"/>
    <n v="49925"/>
    <n v="52925"/>
    <n v="7131725"/>
    <n v="7838225"/>
    <n v="8309225"/>
    <n v="0"/>
    <n v="606196.625"/>
    <n v="2"/>
    <n v="200000"/>
    <n v="200000"/>
    <n v="7331725"/>
  </r>
  <r>
    <m/>
    <s v="D"/>
    <x v="36"/>
    <s v="RESIDENTIAL"/>
    <x v="2"/>
    <n v="1"/>
    <x v="728"/>
    <x v="2"/>
    <s v="C3"/>
    <n v="127.15"/>
    <n v="138.22737533186771"/>
    <x v="35"/>
    <m/>
    <m/>
    <s v="NW"/>
    <s v="MIDDLE"/>
    <s v="ROAD 18M (BUILDINGS)"/>
    <s v="SECOND"/>
    <x v="0"/>
    <n v="0.13"/>
    <n v="2.5000000000000001E-2"/>
    <n v="0.15"/>
    <n v="0.11"/>
    <n v="3.5000000000000003E-2"/>
    <x v="164"/>
    <x v="0"/>
    <x v="10"/>
    <n v="53550"/>
    <n v="59850"/>
    <n v="6300"/>
    <n v="2834.9999999999995"/>
    <n v="56385"/>
    <n v="18607.05"/>
    <n v="60885"/>
    <n v="63885"/>
    <n v="8739675"/>
    <n v="9437175"/>
    <n v="9902175"/>
    <n v="0"/>
    <n v="742872.375"/>
    <n v="2"/>
    <n v="252000"/>
    <n v="252000"/>
    <n v="8991675"/>
  </r>
  <r>
    <m/>
    <s v="D"/>
    <x v="36"/>
    <s v="RESIDENTIAL"/>
    <x v="2"/>
    <n v="2"/>
    <x v="729"/>
    <x v="2"/>
    <s v="C3"/>
    <n v="126.78"/>
    <n v="137.82514073593541"/>
    <x v="35"/>
    <m/>
    <m/>
    <s v="SE"/>
    <s v="MIDDLE"/>
    <s v="LAKE D"/>
    <s v="SECOND"/>
    <x v="0"/>
    <n v="0.08"/>
    <n v="2.5000000000000001E-2"/>
    <n v="0.43"/>
    <n v="0.11"/>
    <n v="3.5000000000000003E-2"/>
    <x v="127"/>
    <x v="1"/>
    <x v="12"/>
    <n v="50150"/>
    <n v="56050"/>
    <n v="5900"/>
    <n v="4012.0000000000005"/>
    <n v="54162"/>
    <n v="17873.46"/>
    <n v="58662"/>
    <n v="61662"/>
    <n v="8395110"/>
    <n v="9092610"/>
    <n v="9557610"/>
    <n v="0"/>
    <n v="713584.35000000009"/>
    <n v="2"/>
    <n v="236000"/>
    <n v="236000"/>
    <n v="8631110"/>
  </r>
  <r>
    <m/>
    <s v="D"/>
    <x v="36"/>
    <s v="RESIDENTIAL"/>
    <x v="2"/>
    <n v="3"/>
    <x v="730"/>
    <x v="2"/>
    <s v="C3"/>
    <n v="131.56"/>
    <n v="143.02157686716882"/>
    <x v="37"/>
    <m/>
    <m/>
    <s v="SE"/>
    <s v="CORNER "/>
    <s v="LAKE D"/>
    <s v="SECOND"/>
    <x v="4"/>
    <n v="0.08"/>
    <n v="0.05"/>
    <n v="0.43"/>
    <n v="0.11"/>
    <n v="2.5000000000000001E-2"/>
    <x v="66"/>
    <x v="1"/>
    <x v="4"/>
    <n v="51850"/>
    <n v="57950"/>
    <n v="6100"/>
    <n v="4239.5"/>
    <n v="56089.5"/>
    <n v="18509.535"/>
    <n v="60589.5"/>
    <n v="63589.5"/>
    <n v="9030409.5"/>
    <n v="9754909.5"/>
    <n v="10237909.5"/>
    <n v="0"/>
    <n v="767584.80750000011"/>
    <n v="2"/>
    <n v="244000"/>
    <n v="244000"/>
    <n v="9274409.5"/>
  </r>
  <r>
    <m/>
    <s v="D"/>
    <x v="36"/>
    <s v="RESIDENTIAL"/>
    <x v="2"/>
    <n v="4"/>
    <x v="731"/>
    <x v="2"/>
    <s v="C3"/>
    <n v="131.56"/>
    <n v="143.02157686716882"/>
    <x v="37"/>
    <m/>
    <m/>
    <s v="NW"/>
    <s v="CORNER "/>
    <s v="LAKE F"/>
    <s v="SECOND"/>
    <x v="4"/>
    <n v="0.13"/>
    <n v="0.05"/>
    <n v="0.3"/>
    <n v="0.11"/>
    <n v="2.5000000000000001E-2"/>
    <x v="210"/>
    <x v="1"/>
    <x v="0"/>
    <n v="43562.499999999993"/>
    <n v="48687.499999999993"/>
    <n v="5125"/>
    <n v="3151.875"/>
    <n v="46714.374999999993"/>
    <n v="15415.743749999998"/>
    <n v="51214.374999999993"/>
    <n v="54214.374999999993"/>
    <n v="7521014.3749999991"/>
    <n v="8245514.3749999991"/>
    <n v="8728514.3749999981"/>
    <n v="0"/>
    <n v="639286.22187499993"/>
    <n v="2"/>
    <n v="204999.99999999997"/>
    <n v="204999.99999999997"/>
    <n v="7726014.3749999991"/>
  </r>
  <r>
    <m/>
    <s v="D"/>
    <x v="36"/>
    <s v="RESIDENTIAL"/>
    <x v="3"/>
    <n v="1"/>
    <x v="732"/>
    <x v="2"/>
    <s v="C3"/>
    <n v="127.45"/>
    <n v="138.55351149073172"/>
    <x v="35"/>
    <m/>
    <m/>
    <s v="NW"/>
    <s v="MIDDLE"/>
    <s v="ROAD 18M (BUILDINGS)"/>
    <s v="THIRD"/>
    <x v="0"/>
    <n v="0.13"/>
    <n v="2.5000000000000001E-2"/>
    <n v="0.15"/>
    <n v="0.15"/>
    <n v="3.5000000000000003E-2"/>
    <x v="35"/>
    <x v="0"/>
    <x v="7"/>
    <n v="61625"/>
    <n v="68875"/>
    <n v="7250"/>
    <n v="3552.5"/>
    <n v="65177.5"/>
    <n v="21508.575000000001"/>
    <n v="69677.5"/>
    <n v="72677.5"/>
    <n v="10102512.5"/>
    <n v="10800012.5"/>
    <n v="11265012.5"/>
    <n v="0"/>
    <n v="858713.56250000012"/>
    <n v="2"/>
    <n v="290000"/>
    <n v="290000"/>
    <n v="10392512.5"/>
  </r>
  <r>
    <m/>
    <s v="D"/>
    <x v="36"/>
    <s v="RESIDENTIAL"/>
    <x v="3"/>
    <n v="2"/>
    <x v="733"/>
    <x v="2"/>
    <s v="C3"/>
    <n v="126.88"/>
    <n v="137.93385278889008"/>
    <x v="35"/>
    <m/>
    <m/>
    <s v="SE"/>
    <s v="MIDDLE"/>
    <s v="LAKE D"/>
    <s v="THIRD"/>
    <x v="0"/>
    <n v="0.08"/>
    <n v="2.5000000000000001E-2"/>
    <n v="0.43"/>
    <n v="0.15"/>
    <n v="3.5000000000000003E-2"/>
    <x v="146"/>
    <x v="1"/>
    <x v="7"/>
    <n v="61625"/>
    <n v="68875"/>
    <n v="7250"/>
    <n v="5220.0000000000009"/>
    <n v="66845"/>
    <n v="22058.850000000002"/>
    <n v="71345"/>
    <n v="74345"/>
    <n v="10360975"/>
    <n v="11058475"/>
    <n v="11523475"/>
    <n v="0"/>
    <n v="880682.87500000012"/>
    <n v="2"/>
    <n v="290000"/>
    <n v="290000"/>
    <n v="10650975"/>
  </r>
  <r>
    <m/>
    <s v="D"/>
    <x v="36"/>
    <s v="RESIDENTIAL"/>
    <x v="3"/>
    <n v="3"/>
    <x v="734"/>
    <x v="2"/>
    <s v="C3"/>
    <n v="131.66"/>
    <n v="143.13028892012346"/>
    <x v="37"/>
    <m/>
    <m/>
    <s v="SE"/>
    <s v="CORNER "/>
    <s v="LAKE D"/>
    <s v="THIRD"/>
    <x v="4"/>
    <n v="0.08"/>
    <n v="0.05"/>
    <n v="0.43"/>
    <n v="0.15"/>
    <n v="2.5000000000000001E-2"/>
    <x v="119"/>
    <x v="2"/>
    <x v="3"/>
    <n v="42500"/>
    <n v="47500"/>
    <n v="5000"/>
    <n v="3675.0000000000005"/>
    <n v="46175"/>
    <n v="15237.75"/>
    <n v="50675"/>
    <n v="53675"/>
    <n v="7434175"/>
    <n v="8158675"/>
    <n v="8641675"/>
    <n v="0"/>
    <n v="631904.875"/>
    <n v="2"/>
    <n v="200000"/>
    <n v="200000"/>
    <n v="7634175"/>
  </r>
  <r>
    <m/>
    <s v="D"/>
    <x v="36"/>
    <s v="RESIDENTIAL"/>
    <x v="3"/>
    <n v="4"/>
    <x v="735"/>
    <x v="2"/>
    <s v="C3"/>
    <n v="131.86000000000001"/>
    <n v="143.34771302603284"/>
    <x v="37"/>
    <m/>
    <m/>
    <s v="NW"/>
    <s v="CORNER "/>
    <s v="LAKE F"/>
    <s v="THIRD"/>
    <x v="4"/>
    <n v="0.13"/>
    <n v="0.05"/>
    <n v="0.3"/>
    <n v="0.15"/>
    <n v="2.5000000000000001E-2"/>
    <x v="17"/>
    <x v="1"/>
    <x v="5"/>
    <n v="46750.000000000007"/>
    <n v="52250.000000000007"/>
    <n v="5500"/>
    <n v="3602.5"/>
    <n v="50352.500000000007"/>
    <n v="16616.325000000004"/>
    <n v="54852.500000000007"/>
    <n v="57852.500000000007"/>
    <n v="8106752.5000000009"/>
    <n v="8831252.5000000019"/>
    <n v="9314252.5000000019"/>
    <n v="0"/>
    <n v="689073.96250000014"/>
    <n v="2"/>
    <n v="220000.00000000003"/>
    <n v="220000.00000000003"/>
    <n v="8326752.5000000009"/>
  </r>
  <r>
    <m/>
    <s v="D"/>
    <x v="36"/>
    <s v="RESIDENTIAL"/>
    <x v="4"/>
    <n v="1"/>
    <x v="736"/>
    <x v="2"/>
    <s v="C3"/>
    <n v="125.09"/>
    <n v="135.98790704100142"/>
    <x v="31"/>
    <m/>
    <m/>
    <s v="NW"/>
    <s v="MIDDLE"/>
    <s v="ROAD 18M (BUILDINGS)"/>
    <s v="FORTH"/>
    <x v="0"/>
    <n v="0.13"/>
    <n v="2.5000000000000001E-2"/>
    <n v="0.15"/>
    <n v="0.06"/>
    <n v="3.5000000000000003E-2"/>
    <x v="98"/>
    <x v="0"/>
    <x v="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r>
  <r>
    <m/>
    <s v="D"/>
    <x v="36"/>
    <s v="RESIDENTIAL"/>
    <x v="4"/>
    <n v="2"/>
    <x v="737"/>
    <x v="2"/>
    <s v="C3"/>
    <n v="126.88"/>
    <n v="137.93385278889008"/>
    <x v="35"/>
    <m/>
    <m/>
    <s v="SE"/>
    <s v="MIDDLE"/>
    <s v="LAKE D"/>
    <s v="FORTH"/>
    <x v="0"/>
    <n v="0.08"/>
    <n v="2.5000000000000001E-2"/>
    <n v="0.43"/>
    <n v="0.06"/>
    <n v="3.5000000000000003E-2"/>
    <x v="211"/>
    <x v="1"/>
    <x v="6"/>
    <n v="44625"/>
    <n v="49875"/>
    <n v="5250"/>
    <n v="3307.5"/>
    <n v="47932.5"/>
    <n v="15817.725"/>
    <n v="52432.5"/>
    <n v="55432.5"/>
    <n v="7429537.5"/>
    <n v="8127037.5"/>
    <n v="8592037.5"/>
    <n v="0"/>
    <n v="631510.6875"/>
    <n v="2"/>
    <n v="210000"/>
    <n v="210000"/>
    <n v="7639537.5"/>
  </r>
  <r>
    <m/>
    <s v="D"/>
    <x v="36"/>
    <s v="RESIDENTIAL"/>
    <x v="4"/>
    <n v="3"/>
    <x v="738"/>
    <x v="2"/>
    <s v="C3"/>
    <n v="131.66"/>
    <n v="143.13028892012346"/>
    <x v="37"/>
    <m/>
    <m/>
    <s v="SE"/>
    <s v="CORNER "/>
    <s v="LAKE D"/>
    <s v="FORTH"/>
    <x v="4"/>
    <n v="0.08"/>
    <n v="0.05"/>
    <n v="0.43"/>
    <n v="0.06"/>
    <n v="2.5000000000000001E-2"/>
    <x v="2"/>
    <x v="1"/>
    <x v="2"/>
    <n v="45687.5"/>
    <n v="51062.5"/>
    <n v="5375"/>
    <n v="3466.8750000000009"/>
    <n v="49154.375"/>
    <n v="16220.94375"/>
    <n v="53654.375"/>
    <n v="56654.375"/>
    <n v="7913854.375"/>
    <n v="8638354.375"/>
    <n v="9121354.375"/>
    <n v="0"/>
    <n v="672677.62187500007"/>
    <n v="2"/>
    <n v="215000"/>
    <n v="215000"/>
    <n v="8128854.375"/>
  </r>
  <r>
    <m/>
    <s v="D"/>
    <x v="36"/>
    <s v="RESIDENTIAL"/>
    <x v="4"/>
    <n v="4"/>
    <x v="739"/>
    <x v="2"/>
    <s v="C3"/>
    <n v="129.5"/>
    <n v="140.78210857630253"/>
    <x v="32"/>
    <m/>
    <m/>
    <s v="NW"/>
    <s v="CORNER "/>
    <s v="LAKE F"/>
    <s v="FORTH"/>
    <x v="0"/>
    <n v="0.13"/>
    <n v="0.05"/>
    <n v="0.3"/>
    <n v="0.06"/>
    <n v="3.5000000000000003E-2"/>
    <x v="60"/>
    <x v="1"/>
    <x v="3"/>
    <n v="42500"/>
    <n v="47500"/>
    <n v="5000"/>
    <n v="2875.0000000000005"/>
    <n v="45375"/>
    <n v="14973.75"/>
    <n v="49875"/>
    <n v="52875"/>
    <n v="7169250"/>
    <n v="7880250"/>
    <n v="8354250"/>
    <n v="0"/>
    <n v="609386.25"/>
    <n v="2"/>
    <n v="200000"/>
    <n v="200000"/>
    <n v="7369250"/>
  </r>
  <r>
    <s v="C3"/>
    <s v="D"/>
    <x v="37"/>
    <s v="RESIDENTIAL"/>
    <x v="0"/>
    <n v="1"/>
    <x v="740"/>
    <x v="2"/>
    <s v="C3"/>
    <n v="131.68"/>
    <n v="143.16923069529381"/>
    <x v="37"/>
    <n v="84.359399999999994"/>
    <m/>
    <s v="NW"/>
    <s v="CORNER "/>
    <s v="ROAD 12M"/>
    <s v="GROUND"/>
    <x v="4"/>
    <n v="0.13"/>
    <n v="0.05"/>
    <n v="0.13"/>
    <n v="0.05"/>
    <n v="2.5000000000000001E-2"/>
    <x v="4"/>
    <x v="0"/>
    <x v="6"/>
    <n v="44625"/>
    <n v="49875"/>
    <n v="5250"/>
    <n v="2021.25"/>
    <n v="46646.25"/>
    <n v="15393.262500000001"/>
    <n v="51146.25"/>
    <n v="54146.25"/>
    <n v="7510046.25"/>
    <n v="8234546.25"/>
    <n v="8717546.25"/>
    <n v="1298566.3885424999"/>
    <n v="748732.07427611249"/>
    <n v="2"/>
    <n v="210000"/>
    <n v="210000"/>
    <n v="9018612.6385424994"/>
  </r>
  <r>
    <m/>
    <s v="D"/>
    <x v="37"/>
    <s v="RESIDENTIAL"/>
    <x v="0"/>
    <n v="2"/>
    <x v="741"/>
    <x v="2"/>
    <s v="C3"/>
    <n v="129.5"/>
    <n v="140.79902320049018"/>
    <x v="32"/>
    <n v="84.0732"/>
    <m/>
    <s v="SE"/>
    <s v="CORNER "/>
    <s v="LAKE D"/>
    <s v="GROUND"/>
    <x v="0"/>
    <n v="0.08"/>
    <n v="0.05"/>
    <n v="0.43"/>
    <n v="0.05"/>
    <n v="3.5000000000000003E-2"/>
    <x v="2"/>
    <x v="1"/>
    <x v="2"/>
    <n v="45687.5"/>
    <n v="51062.5"/>
    <n v="5375"/>
    <n v="3466.8750000000009"/>
    <n v="49154.375"/>
    <n v="16220.94375"/>
    <n v="53654.375"/>
    <n v="56654.375"/>
    <n v="7766391.25"/>
    <n v="8477391.25"/>
    <n v="8951391.25"/>
    <n v="1363746.6480825001"/>
    <n v="776061.7213370126"/>
    <n v="2"/>
    <n v="215000"/>
    <n v="215000"/>
    <n v="9345137.8980825003"/>
  </r>
  <r>
    <m/>
    <s v="D"/>
    <x v="37"/>
    <s v="RESIDENTIAL"/>
    <x v="0"/>
    <n v="3"/>
    <x v="742"/>
    <x v="2"/>
    <s v="C3"/>
    <n v="124.72"/>
    <n v="135.60196273023271"/>
    <x v="48"/>
    <n v="85.417599999999993"/>
    <m/>
    <s v="SE"/>
    <s v="MIDDLE"/>
    <s v="LAKE D"/>
    <s v="GROUND"/>
    <x v="0"/>
    <n v="0.08"/>
    <n v="2.5000000000000001E-2"/>
    <n v="0.43"/>
    <n v="0.05"/>
    <n v="3.5000000000000003E-2"/>
    <x v="207"/>
    <x v="1"/>
    <x v="6"/>
    <n v="44625"/>
    <n v="49875"/>
    <n v="5250"/>
    <n v="3255.0000000000005"/>
    <n v="47880"/>
    <n v="15800.400000000001"/>
    <n v="52380"/>
    <n v="55380"/>
    <n v="7277760"/>
    <n v="7961760"/>
    <n v="8417760"/>
    <n v="1349632.24704"/>
    <n v="733328.3409984"/>
    <n v="2"/>
    <n v="210000"/>
    <n v="210000"/>
    <n v="8837392.2470399998"/>
  </r>
  <r>
    <m/>
    <s v="D"/>
    <x v="37"/>
    <s v="RESIDENTIAL"/>
    <x v="0"/>
    <n v="4"/>
    <x v="743"/>
    <x v="0"/>
    <s v="C3"/>
    <n v="88.49"/>
    <n v="96.210853768427611"/>
    <x v="34"/>
    <n v="67.558899999999994"/>
    <m/>
    <s v="NW"/>
    <s v="MIDDLE"/>
    <s v="ROAD 12M"/>
    <s v="GROUND"/>
    <x v="1"/>
    <n v="0.13"/>
    <n v="2.5000000000000001E-2"/>
    <n v="0.13"/>
    <n v="0.05"/>
    <n v="0.04"/>
    <x v="7"/>
    <x v="0"/>
    <x v="6"/>
    <n v="44625"/>
    <n v="49875"/>
    <n v="5250"/>
    <n v="1968.75"/>
    <n v="46593.75"/>
    <n v="15375.9375"/>
    <n v="51093.75"/>
    <n v="54093.75"/>
    <n v="5032125"/>
    <n v="5518125"/>
    <n v="5842125"/>
    <n v="1038781.4239687499"/>
    <n v="516027.0460373438"/>
    <n v="1"/>
    <n v="210000"/>
    <n v="210000"/>
    <n v="6280906.4239687501"/>
  </r>
  <r>
    <m/>
    <s v="D"/>
    <x v="37"/>
    <s v="RESIDENTIAL"/>
    <x v="1"/>
    <n v="1"/>
    <x v="744"/>
    <x v="2"/>
    <s v="C3"/>
    <n v="128.56"/>
    <n v="139.77700712474919"/>
    <x v="36"/>
    <m/>
    <m/>
    <s v="NW"/>
    <s v="CORNER "/>
    <s v="ROAD 12M"/>
    <s v="FIRST"/>
    <x v="0"/>
    <n v="0.13"/>
    <n v="0.05"/>
    <n v="0.13"/>
    <n v="7.0000000000000007E-2"/>
    <n v="3.5000000000000003E-2"/>
    <x v="212"/>
    <x v="0"/>
    <x v="12"/>
    <n v="50150"/>
    <n v="56050"/>
    <n v="5900"/>
    <n v="2448.5"/>
    <n v="52598.5"/>
    <n v="17357.505000000001"/>
    <n v="57098.5"/>
    <n v="60098.5"/>
    <n v="8257964.5"/>
    <n v="8964464.5"/>
    <n v="9435464.5"/>
    <n v="0"/>
    <n v="701926.98250000004"/>
    <n v="2"/>
    <n v="236000"/>
    <n v="236000"/>
    <n v="8493964.5"/>
  </r>
  <r>
    <m/>
    <s v="D"/>
    <x v="37"/>
    <s v="RESIDENTIAL"/>
    <x v="1"/>
    <n v="2"/>
    <x v="745"/>
    <x v="2"/>
    <s v="C3"/>
    <n v="131.12"/>
    <n v="142.56037005442684"/>
    <x v="33"/>
    <m/>
    <m/>
    <s v="SE"/>
    <s v="CORNER "/>
    <s v="LAKE D"/>
    <s v="FIRST"/>
    <x v="4"/>
    <n v="0.08"/>
    <n v="0.05"/>
    <n v="0.43"/>
    <n v="7.0000000000000007E-2"/>
    <n v="2.5000000000000001E-2"/>
    <x v="208"/>
    <x v="1"/>
    <x v="1"/>
    <n v="48450.000000000007"/>
    <n v="54150.000000000007"/>
    <n v="5700"/>
    <n v="3733.5000000000009"/>
    <n v="52183.500000000007"/>
    <n v="17220.555000000004"/>
    <n v="56683.500000000007"/>
    <n v="59683.500000000007"/>
    <n v="8349360.0000000009"/>
    <n v="9069360.0000000019"/>
    <n v="9549360.0000000019"/>
    <n v="0"/>
    <n v="709695.60000000009"/>
    <n v="2"/>
    <n v="228000.00000000003"/>
    <n v="228000.00000000003"/>
    <n v="8577360.0000000019"/>
  </r>
  <r>
    <m/>
    <s v="D"/>
    <x v="37"/>
    <s v="RESIDENTIAL"/>
    <x v="1"/>
    <n v="3"/>
    <x v="746"/>
    <x v="2"/>
    <s v="C3"/>
    <n v="126.34"/>
    <n v="137.36330958416934"/>
    <x v="49"/>
    <m/>
    <m/>
    <s v="SE"/>
    <s v="MIDDLE"/>
    <s v="LAKE D"/>
    <s v="FIRST"/>
    <x v="0"/>
    <n v="0.08"/>
    <n v="2.5000000000000001E-2"/>
    <n v="0.43"/>
    <n v="7.0000000000000007E-2"/>
    <n v="3.5000000000000003E-2"/>
    <x v="197"/>
    <x v="1"/>
    <x v="2"/>
    <n v="45687.5"/>
    <n v="51062.5"/>
    <n v="5375"/>
    <n v="3440"/>
    <n v="49127.5"/>
    <n v="16212.075000000001"/>
    <n v="53627.5"/>
    <n v="56627.5"/>
    <n v="7565635"/>
    <n v="8258635"/>
    <n v="8720635"/>
    <n v="0"/>
    <n v="643078.97500000009"/>
    <n v="2"/>
    <n v="215000"/>
    <n v="215000"/>
    <n v="7780635"/>
  </r>
  <r>
    <m/>
    <s v="D"/>
    <x v="37"/>
    <s v="RESIDENTIAL"/>
    <x v="1"/>
    <n v="4"/>
    <x v="747"/>
    <x v="0"/>
    <s v="C3"/>
    <n v="88.79"/>
    <n v="96.537029111749234"/>
    <x v="34"/>
    <m/>
    <m/>
    <s v="NW"/>
    <s v="MIDDLE"/>
    <s v="ROAD 12M"/>
    <s v="FIRST"/>
    <x v="1"/>
    <n v="0.13"/>
    <n v="2.5000000000000001E-2"/>
    <n v="0.13"/>
    <n v="7.0000000000000007E-2"/>
    <n v="0.04"/>
    <x v="53"/>
    <x v="0"/>
    <x v="2"/>
    <n v="45687.5"/>
    <n v="51062.5"/>
    <n v="5375"/>
    <n v="2123.125"/>
    <n v="47810.625"/>
    <n v="15777.50625"/>
    <n v="52310.625"/>
    <n v="55310.625"/>
    <n v="5163547.5"/>
    <n v="5649547.5"/>
    <n v="5973547.5"/>
    <n v="0"/>
    <n v="438901.53750000003"/>
    <n v="1"/>
    <n v="215000"/>
    <n v="215000"/>
    <n v="5378547.5"/>
  </r>
  <r>
    <m/>
    <s v="D"/>
    <x v="37"/>
    <s v="RESIDENTIAL"/>
    <x v="2"/>
    <n v="1"/>
    <x v="748"/>
    <x v="2"/>
    <s v="C3"/>
    <n v="131.56"/>
    <n v="143.03876055796516"/>
    <x v="37"/>
    <m/>
    <m/>
    <s v="NW"/>
    <s v="CORNER "/>
    <s v="ROAD 12M"/>
    <s v="SECOND"/>
    <x v="4"/>
    <n v="0.13"/>
    <n v="0.05"/>
    <n v="0.13"/>
    <n v="0.11"/>
    <n v="2.5000000000000001E-2"/>
    <x v="15"/>
    <x v="0"/>
    <x v="10"/>
    <n v="53550"/>
    <n v="59850"/>
    <n v="6300"/>
    <n v="2803.5"/>
    <n v="56353.5"/>
    <n v="18596.655000000002"/>
    <n v="60853.5"/>
    <n v="63853.5"/>
    <n v="9072913.5"/>
    <n v="9797413.5"/>
    <n v="10280413.5"/>
    <n v="0"/>
    <n v="771197.64750000008"/>
    <n v="2"/>
    <n v="252000"/>
    <n v="252000"/>
    <n v="9324913.5"/>
  </r>
  <r>
    <m/>
    <s v="D"/>
    <x v="37"/>
    <s v="RESIDENTIAL"/>
    <x v="2"/>
    <n v="2"/>
    <x v="749"/>
    <x v="2"/>
    <s v="C3"/>
    <n v="131.56"/>
    <n v="143.03876055796516"/>
    <x v="37"/>
    <m/>
    <m/>
    <s v="SE"/>
    <s v="CORNER "/>
    <s v="LAKE D"/>
    <s v="SECOND"/>
    <x v="4"/>
    <n v="0.08"/>
    <n v="0.05"/>
    <n v="0.43"/>
    <n v="0.11"/>
    <n v="2.5000000000000001E-2"/>
    <x v="66"/>
    <x v="1"/>
    <x v="10"/>
    <n v="53550"/>
    <n v="59850"/>
    <n v="6300"/>
    <n v="4378.5"/>
    <n v="57928.5"/>
    <n v="19116.405000000002"/>
    <n v="62428.5"/>
    <n v="65428.5"/>
    <n v="9326488.5"/>
    <n v="10050988.5"/>
    <n v="10533988.5"/>
    <n v="0"/>
    <n v="792751.52250000008"/>
    <n v="2"/>
    <n v="252000"/>
    <n v="252000"/>
    <n v="9578488.5"/>
  </r>
  <r>
    <m/>
    <s v="D"/>
    <x v="37"/>
    <s v="RESIDENTIAL"/>
    <x v="2"/>
    <n v="3"/>
    <x v="750"/>
    <x v="2"/>
    <s v="C3"/>
    <n v="126.78"/>
    <n v="137.84170008770769"/>
    <x v="35"/>
    <m/>
    <m/>
    <s v="SE"/>
    <s v="MIDDLE"/>
    <s v="LAKE D"/>
    <s v="SECOND"/>
    <x v="0"/>
    <n v="0.08"/>
    <n v="2.5000000000000001E-2"/>
    <n v="0.43"/>
    <n v="0.11"/>
    <n v="3.5000000000000003E-2"/>
    <x v="127"/>
    <x v="1"/>
    <x v="12"/>
    <n v="50150"/>
    <n v="56050"/>
    <n v="5900"/>
    <n v="4012.0000000000005"/>
    <n v="54162"/>
    <n v="17873.46"/>
    <n v="58662"/>
    <n v="61662"/>
    <n v="8395110"/>
    <n v="9092610"/>
    <n v="9557610"/>
    <n v="0"/>
    <n v="713584.35000000009"/>
    <n v="2"/>
    <n v="236000"/>
    <n v="236000"/>
    <n v="8631110"/>
  </r>
  <r>
    <m/>
    <s v="D"/>
    <x v="37"/>
    <s v="RESIDENTIAL"/>
    <x v="2"/>
    <n v="4"/>
    <x v="751"/>
    <x v="2"/>
    <s v="C3"/>
    <n v="127.15"/>
    <n v="138.24398301113769"/>
    <x v="35"/>
    <m/>
    <m/>
    <s v="NW"/>
    <s v="MIDDLE"/>
    <s v="ROAD 12M"/>
    <s v="SECOND"/>
    <x v="0"/>
    <n v="0.13"/>
    <n v="2.5000000000000001E-2"/>
    <n v="0.13"/>
    <n v="0.11"/>
    <n v="3.5000000000000003E-2"/>
    <x v="187"/>
    <x v="0"/>
    <x v="4"/>
    <n v="51850"/>
    <n v="57950"/>
    <n v="6100"/>
    <n v="2623.0000000000005"/>
    <n v="54473"/>
    <n v="17976.09"/>
    <n v="58973"/>
    <n v="61973"/>
    <n v="8443315"/>
    <n v="9140815"/>
    <n v="9605815"/>
    <n v="0"/>
    <n v="717681.77500000002"/>
    <n v="2"/>
    <n v="244000"/>
    <n v="244000"/>
    <n v="8687315"/>
  </r>
  <r>
    <m/>
    <s v="D"/>
    <x v="37"/>
    <s v="RESIDENTIAL"/>
    <x v="3"/>
    <n v="1"/>
    <x v="752"/>
    <x v="2"/>
    <s v="C3"/>
    <n v="131.86000000000001"/>
    <n v="143.36493590128677"/>
    <x v="37"/>
    <m/>
    <m/>
    <s v="NW"/>
    <s v="CORNER "/>
    <s v="ROAD 12M"/>
    <s v="THIRD"/>
    <x v="4"/>
    <n v="0.13"/>
    <n v="0.05"/>
    <n v="0.13"/>
    <n v="0.15"/>
    <n v="2.5000000000000001E-2"/>
    <x v="213"/>
    <x v="0"/>
    <x v="7"/>
    <n v="61625"/>
    <n v="68875"/>
    <n v="7250"/>
    <n v="3516.25"/>
    <n v="65141.25"/>
    <n v="21496.612499999999"/>
    <n v="69641.25"/>
    <n v="72641.25"/>
    <n v="10487741.25"/>
    <n v="11212241.25"/>
    <n v="11695241.25"/>
    <n v="0"/>
    <n v="891458.00625000009"/>
    <n v="2"/>
    <n v="290000"/>
    <n v="290000"/>
    <n v="10777741.25"/>
  </r>
  <r>
    <m/>
    <s v="D"/>
    <x v="37"/>
    <s v="RESIDENTIAL"/>
    <x v="3"/>
    <n v="2"/>
    <x v="753"/>
    <x v="2"/>
    <s v="C3"/>
    <n v="131.66"/>
    <n v="143.14748567240571"/>
    <x v="37"/>
    <m/>
    <m/>
    <s v="SE"/>
    <s v="CORNER "/>
    <s v="LAKE D"/>
    <s v="THIRD"/>
    <x v="4"/>
    <n v="0.08"/>
    <n v="0.05"/>
    <n v="0.43"/>
    <n v="0.15"/>
    <n v="2.5000000000000001E-2"/>
    <x v="119"/>
    <x v="2"/>
    <x v="3"/>
    <n v="42500"/>
    <n v="47500"/>
    <n v="5000"/>
    <n v="3675.0000000000005"/>
    <n v="46175"/>
    <n v="15237.75"/>
    <n v="50675"/>
    <n v="53675"/>
    <n v="7434175"/>
    <n v="8158675"/>
    <n v="8641675"/>
    <n v="0"/>
    <n v="631904.875"/>
    <n v="2"/>
    <n v="200000"/>
    <n v="200000"/>
    <n v="7634175"/>
  </r>
  <r>
    <m/>
    <s v="D"/>
    <x v="37"/>
    <s v="RESIDENTIAL"/>
    <x v="3"/>
    <n v="3"/>
    <x v="754"/>
    <x v="2"/>
    <s v="C3"/>
    <n v="126.88"/>
    <n v="137.95042520214821"/>
    <x v="35"/>
    <m/>
    <m/>
    <s v="SE"/>
    <s v="MIDDLE"/>
    <s v="LAKE D"/>
    <s v="THIRD"/>
    <x v="0"/>
    <n v="0.08"/>
    <n v="2.5000000000000001E-2"/>
    <n v="0.43"/>
    <n v="0.15"/>
    <n v="3.5000000000000003E-2"/>
    <x v="146"/>
    <x v="1"/>
    <x v="7"/>
    <n v="61625"/>
    <n v="68875"/>
    <n v="7250"/>
    <n v="5220.0000000000009"/>
    <n v="66845"/>
    <n v="22058.850000000002"/>
    <n v="71345"/>
    <n v="74345"/>
    <n v="10360975"/>
    <n v="11058475"/>
    <n v="11523475"/>
    <n v="0"/>
    <n v="880682.87500000012"/>
    <n v="2"/>
    <n v="290000"/>
    <n v="290000"/>
    <n v="10650975"/>
  </r>
  <r>
    <m/>
    <s v="D"/>
    <x v="37"/>
    <s v="RESIDENTIAL"/>
    <x v="3"/>
    <n v="4"/>
    <x v="755"/>
    <x v="2"/>
    <s v="C3"/>
    <n v="127.15"/>
    <n v="138.24398301113769"/>
    <x v="35"/>
    <m/>
    <m/>
    <s v="NW"/>
    <s v="MIDDLE"/>
    <s v="ROAD 12M"/>
    <s v="THIRD"/>
    <x v="0"/>
    <n v="0.13"/>
    <n v="2.5000000000000001E-2"/>
    <n v="0.13"/>
    <n v="0.15"/>
    <n v="3.5000000000000003E-2"/>
    <x v="214"/>
    <x v="0"/>
    <x v="7"/>
    <n v="61625"/>
    <n v="68875"/>
    <n v="7250"/>
    <n v="3407.5000000000005"/>
    <n v="65032.5"/>
    <n v="21460.725000000002"/>
    <n v="69532.5"/>
    <n v="72532.5"/>
    <n v="10080037.5"/>
    <n v="10777537.5"/>
    <n v="11242537.5"/>
    <n v="0"/>
    <n v="856803.18750000012"/>
    <n v="2"/>
    <n v="290000"/>
    <n v="290000"/>
    <n v="10370037.5"/>
  </r>
  <r>
    <m/>
    <s v="D"/>
    <x v="37"/>
    <s v="RESIDENTIAL"/>
    <x v="4"/>
    <n v="1"/>
    <x v="756"/>
    <x v="2"/>
    <s v="C3"/>
    <n v="129.5"/>
    <n v="140.79902320049018"/>
    <x v="32"/>
    <m/>
    <m/>
    <s v="NW"/>
    <s v="CORNER "/>
    <s v="ROAD 12M"/>
    <s v="FORTH"/>
    <x v="0"/>
    <n v="0.13"/>
    <n v="0.05"/>
    <n v="0.13"/>
    <n v="0.06"/>
    <n v="3.5000000000000003E-2"/>
    <x v="42"/>
    <x v="0"/>
    <x v="1"/>
    <n v="48450.000000000007"/>
    <n v="54150.000000000007"/>
    <n v="5700"/>
    <n v="2308.5"/>
    <n v="50758.500000000007"/>
    <n v="16750.305000000004"/>
    <n v="55258.500000000007"/>
    <n v="58258.500000000007"/>
    <n v="8019843.0000000009"/>
    <n v="8730843.0000000019"/>
    <n v="9204843.0000000019"/>
    <n v="0"/>
    <n v="681686.65500000014"/>
    <n v="2"/>
    <n v="228000.00000000003"/>
    <n v="228000.00000000003"/>
    <n v="8247843.0000000009"/>
  </r>
  <r>
    <m/>
    <s v="D"/>
    <x v="37"/>
    <s v="RESIDENTIAL"/>
    <x v="4"/>
    <n v="2"/>
    <x v="757"/>
    <x v="2"/>
    <s v="C3"/>
    <n v="131.66"/>
    <n v="143.14748567240571"/>
    <x v="37"/>
    <m/>
    <m/>
    <s v="SE"/>
    <s v="CORNER "/>
    <s v="LAKE D"/>
    <s v="FORTH"/>
    <x v="4"/>
    <n v="0.08"/>
    <n v="0.05"/>
    <n v="0.43"/>
    <n v="0.06"/>
    <n v="2.5000000000000001E-2"/>
    <x v="2"/>
    <x v="1"/>
    <x v="2"/>
    <n v="45687.5"/>
    <n v="51062.5"/>
    <n v="5375"/>
    <n v="3466.8750000000009"/>
    <n v="49154.375"/>
    <n v="16220.94375"/>
    <n v="53654.375"/>
    <n v="56654.375"/>
    <n v="7913854.375"/>
    <n v="8638354.375"/>
    <n v="9121354.375"/>
    <n v="0"/>
    <n v="672677.62187500007"/>
    <n v="2"/>
    <n v="215000"/>
    <n v="215000"/>
    <n v="8128854.375"/>
  </r>
  <r>
    <m/>
    <s v="D"/>
    <x v="37"/>
    <s v="RESIDENTIAL"/>
    <x v="4"/>
    <n v="3"/>
    <x v="758"/>
    <x v="2"/>
    <s v="C3"/>
    <n v="126.88"/>
    <n v="137.95042520214821"/>
    <x v="35"/>
    <m/>
    <m/>
    <s v="SE"/>
    <s v="MIDDLE"/>
    <s v="LAKE D"/>
    <s v="FORTH"/>
    <x v="0"/>
    <n v="0.08"/>
    <n v="2.5000000000000001E-2"/>
    <n v="0.43"/>
    <n v="0.06"/>
    <n v="3.5000000000000003E-2"/>
    <x v="211"/>
    <x v="1"/>
    <x v="6"/>
    <n v="44625"/>
    <n v="49875"/>
    <n v="5250"/>
    <n v="3307.5"/>
    <n v="47932.5"/>
    <n v="15817.725"/>
    <n v="52432.5"/>
    <n v="55432.5"/>
    <n v="7429537.5"/>
    <n v="8127037.5"/>
    <n v="8592037.5"/>
    <n v="0"/>
    <n v="631510.6875"/>
    <n v="2"/>
    <n v="210000"/>
    <n v="210000"/>
    <n v="7639537.5"/>
  </r>
  <r>
    <m/>
    <s v="D"/>
    <x v="37"/>
    <s v="RESIDENTIAL"/>
    <x v="4"/>
    <n v="4"/>
    <x v="759"/>
    <x v="2"/>
    <s v="C3"/>
    <n v="125.09"/>
    <n v="136.00424565366268"/>
    <x v="31"/>
    <m/>
    <m/>
    <s v="NW"/>
    <s v="MIDDLE"/>
    <s v="ROAD 12M"/>
    <s v="FORTH"/>
    <x v="0"/>
    <n v="0.13"/>
    <n v="2.5000000000000001E-2"/>
    <n v="0.13"/>
    <n v="0.06"/>
    <n v="3.5000000000000003E-2"/>
    <x v="27"/>
    <x v="0"/>
    <x v="6"/>
    <n v="44625"/>
    <n v="49875"/>
    <n v="5250"/>
    <n v="1995"/>
    <n v="46620"/>
    <n v="15384.6"/>
    <n v="51120"/>
    <n v="54120"/>
    <n v="7132860"/>
    <n v="7821360"/>
    <n v="8280360"/>
    <n v="0"/>
    <n v="606293.10000000009"/>
    <n v="2"/>
    <n v="210000"/>
    <n v="210000"/>
    <n v="7342860"/>
  </r>
  <r>
    <s v="C3"/>
    <s v="E"/>
    <x v="38"/>
    <s v="RESIDENTIAL"/>
    <x v="0"/>
    <n v="1"/>
    <x v="760"/>
    <x v="0"/>
    <s v="C3"/>
    <n v="88.49"/>
    <n v="96.199295659590803"/>
    <x v="34"/>
    <n v="67.980199999999996"/>
    <m/>
    <s v="SE"/>
    <s v="MIDDLE"/>
    <s v="ROAD 12M"/>
    <s v="GROUND"/>
    <x v="1"/>
    <n v="0.08"/>
    <n v="2.5000000000000001E-2"/>
    <n v="0.13"/>
    <n v="0.05"/>
    <n v="0.04"/>
    <x v="180"/>
    <x v="0"/>
    <x v="3"/>
    <n v="42500"/>
    <n v="47500"/>
    <n v="5000"/>
    <n v="1625"/>
    <n v="44125"/>
    <n v="14561.25"/>
    <n v="48625"/>
    <n v="51625"/>
    <n v="4765500"/>
    <n v="5251500"/>
    <n v="5575500"/>
    <n v="989876.68724999996"/>
    <n v="489207.01841625001"/>
    <n v="1"/>
    <n v="200000"/>
    <n v="200000"/>
    <n v="5955376.6872499995"/>
  </r>
  <r>
    <m/>
    <s v="E"/>
    <x v="38"/>
    <s v="RESIDENTIAL"/>
    <x v="0"/>
    <n v="2"/>
    <x v="761"/>
    <x v="2"/>
    <s v="C3"/>
    <n v="124.72"/>
    <n v="135.58567244506912"/>
    <x v="48"/>
    <n v="85.417599999999993"/>
    <m/>
    <s v="NW"/>
    <s v="MIDDLE"/>
    <s v="LAKE E"/>
    <s v="GROUND"/>
    <x v="0"/>
    <n v="0.13"/>
    <n v="2.5000000000000001E-2"/>
    <n v="0.43"/>
    <n v="0.05"/>
    <n v="3.5000000000000003E-2"/>
    <x v="204"/>
    <x v="1"/>
    <x v="1"/>
    <n v="48450.000000000007"/>
    <n v="54150.000000000007"/>
    <n v="5700"/>
    <n v="3819.0000000000005"/>
    <n v="52269.000000000007"/>
    <n v="17248.770000000004"/>
    <n v="56769.000000000007"/>
    <n v="59769.000000000007"/>
    <n v="7944888.0000000009"/>
    <n v="8628888.0000000019"/>
    <n v="9084888.0000000019"/>
    <n v="1473348.5363520002"/>
    <n v="800550.10558992019"/>
    <n v="2"/>
    <n v="228000.00000000003"/>
    <n v="228000.00000000003"/>
    <n v="9646236.5363520011"/>
  </r>
  <r>
    <m/>
    <s v="E"/>
    <x v="38"/>
    <s v="RESIDENTIAL"/>
    <x v="0"/>
    <n v="3"/>
    <x v="762"/>
    <x v="2"/>
    <s v="C3"/>
    <n v="129.5"/>
    <n v="140.78210857630253"/>
    <x v="32"/>
    <n v="84.0732"/>
    <m/>
    <s v="NW"/>
    <s v="CORNER "/>
    <s v="LAKE E"/>
    <s v="GROUND"/>
    <x v="0"/>
    <n v="0.13"/>
    <n v="0.05"/>
    <n v="0.43"/>
    <n v="0.05"/>
    <n v="3.5000000000000003E-2"/>
    <x v="66"/>
    <x v="1"/>
    <x v="10"/>
    <n v="53550"/>
    <n v="59850"/>
    <n v="6300"/>
    <n v="4378.5"/>
    <n v="57928.5"/>
    <n v="19116.405000000002"/>
    <n v="62428.5"/>
    <n v="65428.5"/>
    <n v="9152703"/>
    <n v="9863703"/>
    <n v="10337703"/>
    <n v="1607177.3408460002"/>
    <n v="914589.82897191006"/>
    <n v="2"/>
    <n v="252000"/>
    <n v="252000"/>
    <n v="11011880.340846"/>
  </r>
  <r>
    <m/>
    <s v="E"/>
    <x v="38"/>
    <s v="RESIDENTIAL"/>
    <x v="0"/>
    <n v="4"/>
    <x v="763"/>
    <x v="2"/>
    <s v="C3"/>
    <n v="131.68"/>
    <n v="143.15203133071444"/>
    <x v="37"/>
    <n v="84.652000000000001"/>
    <m/>
    <s v="SE"/>
    <s v="CORNER "/>
    <s v="ROAD 12M"/>
    <s v="GROUND"/>
    <x v="4"/>
    <n v="0.08"/>
    <n v="0.05"/>
    <n v="0.13"/>
    <n v="0.05"/>
    <n v="2.5000000000000001E-2"/>
    <x v="72"/>
    <x v="0"/>
    <x v="3"/>
    <n v="42500"/>
    <n v="47500"/>
    <n v="5000"/>
    <n v="1675"/>
    <n v="44175"/>
    <n v="14577.75"/>
    <n v="48675"/>
    <n v="51675"/>
    <n v="7112175"/>
    <n v="7836675"/>
    <n v="8319675"/>
    <n v="1234035.693"/>
    <n v="709427.90890500008"/>
    <n v="2"/>
    <n v="200000"/>
    <n v="200000"/>
    <n v="8546210.693"/>
  </r>
  <r>
    <m/>
    <s v="E"/>
    <x v="38"/>
    <s v="RESIDENTIAL"/>
    <x v="1"/>
    <n v="1"/>
    <x v="764"/>
    <x v="0"/>
    <s v="C3"/>
    <n v="88.79"/>
    <n v="96.525431818454848"/>
    <x v="34"/>
    <m/>
    <m/>
    <s v="SE"/>
    <s v="MIDDLE"/>
    <s v="ROAD 12M"/>
    <s v="FIRST"/>
    <x v="1"/>
    <n v="0.08"/>
    <n v="2.5000000000000001E-2"/>
    <n v="0.13"/>
    <n v="7.0000000000000007E-2"/>
    <n v="0.04"/>
    <x v="86"/>
    <x v="0"/>
    <x v="3"/>
    <n v="42500"/>
    <n v="47500"/>
    <n v="5000"/>
    <n v="1725.0000000000002"/>
    <n v="44225"/>
    <n v="14594.25"/>
    <n v="48725"/>
    <n v="51725"/>
    <n v="4776300"/>
    <n v="5262300"/>
    <n v="5586300"/>
    <n v="0"/>
    <n v="405985.50000000006"/>
    <n v="1"/>
    <n v="200000"/>
    <n v="200000"/>
    <n v="4976300"/>
  </r>
  <r>
    <m/>
    <s v="E"/>
    <x v="38"/>
    <s v="RESIDENTIAL"/>
    <x v="1"/>
    <n v="2"/>
    <x v="765"/>
    <x v="2"/>
    <s v="C3"/>
    <n v="126.34"/>
    <n v="137.34680770293485"/>
    <x v="49"/>
    <m/>
    <m/>
    <s v="NW"/>
    <s v="MIDDLE"/>
    <s v="LAKE E"/>
    <s v="FIRST"/>
    <x v="0"/>
    <n v="0.13"/>
    <n v="2.5000000000000001E-2"/>
    <n v="0.43"/>
    <n v="7.0000000000000007E-2"/>
    <n v="3.5000000000000003E-2"/>
    <x v="137"/>
    <x v="1"/>
    <x v="4"/>
    <n v="51850"/>
    <n v="57950"/>
    <n v="6100"/>
    <n v="4209"/>
    <n v="56059"/>
    <n v="18499.47"/>
    <n v="60559"/>
    <n v="63559"/>
    <n v="8633086"/>
    <n v="9326086"/>
    <n v="9788086"/>
    <n v="0"/>
    <n v="733812.31"/>
    <n v="2"/>
    <n v="244000"/>
    <n v="244000"/>
    <n v="8877086"/>
  </r>
  <r>
    <m/>
    <s v="E"/>
    <x v="38"/>
    <s v="RESIDENTIAL"/>
    <x v="1"/>
    <n v="3"/>
    <x v="766"/>
    <x v="2"/>
    <s v="C3"/>
    <n v="131.12"/>
    <n v="142.54324383416824"/>
    <x v="33"/>
    <m/>
    <m/>
    <s v="NW"/>
    <s v="CORNER "/>
    <s v="LAKE E"/>
    <s v="FIRST"/>
    <x v="4"/>
    <n v="0.13"/>
    <n v="0.05"/>
    <n v="0.43"/>
    <n v="7.0000000000000007E-2"/>
    <n v="2.5000000000000001E-2"/>
    <x v="163"/>
    <x v="1"/>
    <x v="7"/>
    <n v="61625"/>
    <n v="68875"/>
    <n v="7250"/>
    <n v="5111.25"/>
    <n v="66736.25"/>
    <n v="22022.962500000001"/>
    <n v="71236.25"/>
    <n v="74236.25"/>
    <n v="10677800"/>
    <n v="11397800"/>
    <n v="11877800"/>
    <n v="0"/>
    <n v="907613.00000000012"/>
    <n v="2"/>
    <n v="290000"/>
    <n v="290000"/>
    <n v="10967800"/>
  </r>
  <r>
    <m/>
    <s v="E"/>
    <x v="38"/>
    <s v="RESIDENTIAL"/>
    <x v="1"/>
    <n v="4"/>
    <x v="767"/>
    <x v="2"/>
    <s v="C3"/>
    <n v="128.56"/>
    <n v="139.76021527852859"/>
    <x v="36"/>
    <m/>
    <m/>
    <s v="SE"/>
    <s v="CORNER "/>
    <s v="ROAD 12M"/>
    <s v="FIRST"/>
    <x v="0"/>
    <n v="0.08"/>
    <n v="0.05"/>
    <n v="0.13"/>
    <n v="7.0000000000000007E-2"/>
    <n v="3.5000000000000003E-2"/>
    <x v="0"/>
    <x v="0"/>
    <x v="0"/>
    <n v="43562.499999999993"/>
    <n v="48687.499999999993"/>
    <n v="5125"/>
    <n v="1870.625"/>
    <n v="45433.124999999993"/>
    <n v="14992.931249999998"/>
    <n v="49933.124999999993"/>
    <n v="52933.124999999993"/>
    <n v="7133000.6249999991"/>
    <n v="7839500.6249999991"/>
    <n v="8310500.6249999991"/>
    <n v="0"/>
    <n v="606305.05312499998"/>
    <n v="2"/>
    <n v="204999.99999999997"/>
    <n v="204999.99999999997"/>
    <n v="7338000.6249999991"/>
  </r>
  <r>
    <m/>
    <s v="E"/>
    <x v="38"/>
    <s v="RESIDENTIAL"/>
    <x v="2"/>
    <n v="1"/>
    <x v="768"/>
    <x v="2"/>
    <s v="C3"/>
    <n v="127.15"/>
    <n v="138.22737533186771"/>
    <x v="35"/>
    <m/>
    <m/>
    <s v="SE"/>
    <s v="MIDDLE"/>
    <s v="ROAD 12M"/>
    <s v="SECOND"/>
    <x v="0"/>
    <n v="0.08"/>
    <n v="2.5000000000000001E-2"/>
    <n v="0.13"/>
    <n v="0.11"/>
    <n v="3.5000000000000003E-2"/>
    <x v="27"/>
    <x v="0"/>
    <x v="6"/>
    <n v="44625"/>
    <n v="49875"/>
    <n v="5250"/>
    <n v="1995"/>
    <n v="46620"/>
    <n v="15384.6"/>
    <n v="51120"/>
    <n v="54120"/>
    <n v="7226100"/>
    <n v="7923600"/>
    <n v="8388600"/>
    <n v="0"/>
    <n v="614218.5"/>
    <n v="2"/>
    <n v="210000"/>
    <n v="210000"/>
    <n v="7436100"/>
  </r>
  <r>
    <m/>
    <s v="E"/>
    <x v="38"/>
    <s v="RESIDENTIAL"/>
    <x v="2"/>
    <n v="2"/>
    <x v="769"/>
    <x v="2"/>
    <s v="C3"/>
    <n v="126.78"/>
    <n v="137.82514073593541"/>
    <x v="35"/>
    <m/>
    <m/>
    <s v="NW"/>
    <s v="MIDDLE"/>
    <s v="LAKE E"/>
    <s v="SECOND"/>
    <x v="0"/>
    <n v="0.13"/>
    <n v="2.5000000000000001E-2"/>
    <n v="0.43"/>
    <n v="0.11"/>
    <n v="3.5000000000000003E-2"/>
    <x v="205"/>
    <x v="2"/>
    <x v="3"/>
    <n v="42500"/>
    <n v="47500"/>
    <n v="5000"/>
    <n v="3650"/>
    <n v="46150"/>
    <n v="15229.5"/>
    <n v="50650"/>
    <n v="53650"/>
    <n v="7153250"/>
    <n v="7850750"/>
    <n v="8315750"/>
    <n v="0"/>
    <n v="608026.25"/>
    <n v="2"/>
    <n v="200000"/>
    <n v="200000"/>
    <n v="7353250"/>
  </r>
  <r>
    <m/>
    <s v="E"/>
    <x v="38"/>
    <s v="RESIDENTIAL"/>
    <x v="2"/>
    <n v="3"/>
    <x v="770"/>
    <x v="2"/>
    <s v="C3"/>
    <n v="131.56"/>
    <n v="143.02157686716882"/>
    <x v="37"/>
    <m/>
    <m/>
    <s v="NW"/>
    <s v="CORNER "/>
    <s v="LAKE E"/>
    <s v="SECOND"/>
    <x v="4"/>
    <n v="0.13"/>
    <n v="0.05"/>
    <n v="0.43"/>
    <n v="0.11"/>
    <n v="2.5000000000000001E-2"/>
    <x v="102"/>
    <x v="2"/>
    <x v="3"/>
    <n v="42500"/>
    <n v="47500"/>
    <n v="5000"/>
    <n v="3725"/>
    <n v="46225"/>
    <n v="15254.25"/>
    <n v="50725"/>
    <n v="53725"/>
    <n v="7442225"/>
    <n v="8166725"/>
    <n v="8649725"/>
    <n v="0"/>
    <n v="632589.125"/>
    <n v="2"/>
    <n v="200000"/>
    <n v="200000"/>
    <n v="7642225"/>
  </r>
  <r>
    <m/>
    <s v="E"/>
    <x v="38"/>
    <s v="RESIDENTIAL"/>
    <x v="2"/>
    <n v="4"/>
    <x v="771"/>
    <x v="2"/>
    <s v="C3"/>
    <n v="131.56"/>
    <n v="143.02157686716882"/>
    <x v="37"/>
    <m/>
    <m/>
    <s v="SE"/>
    <s v="CORNER "/>
    <s v="ROAD 12M"/>
    <s v="SECOND"/>
    <x v="4"/>
    <n v="0.08"/>
    <n v="0.05"/>
    <n v="0.13"/>
    <n v="0.11"/>
    <n v="2.5000000000000001E-2"/>
    <x v="53"/>
    <x v="0"/>
    <x v="2"/>
    <n v="45687.5"/>
    <n v="51062.5"/>
    <n v="5375"/>
    <n v="2123.125"/>
    <n v="47810.625"/>
    <n v="15777.50625"/>
    <n v="52310.625"/>
    <n v="55310.625"/>
    <n v="7697510.625"/>
    <n v="8422010.625"/>
    <n v="8905010.625"/>
    <n v="0"/>
    <n v="654288.40312500007"/>
    <n v="2"/>
    <n v="215000"/>
    <n v="215000"/>
    <n v="7912510.625"/>
  </r>
  <r>
    <m/>
    <s v="E"/>
    <x v="38"/>
    <s v="RESIDENTIAL"/>
    <x v="3"/>
    <n v="1"/>
    <x v="772"/>
    <x v="2"/>
    <s v="C3"/>
    <n v="127.45"/>
    <n v="138.55351149073172"/>
    <x v="35"/>
    <m/>
    <m/>
    <s v="SE"/>
    <s v="MIDDLE"/>
    <s v="ROAD 12M"/>
    <s v="THIRD"/>
    <x v="0"/>
    <n v="0.08"/>
    <n v="2.5000000000000001E-2"/>
    <n v="0.13"/>
    <n v="0.15"/>
    <n v="3.5000000000000003E-2"/>
    <x v="192"/>
    <x v="0"/>
    <x v="12"/>
    <n v="50150"/>
    <n v="56050"/>
    <n v="5900"/>
    <n v="2478.0000000000005"/>
    <n v="52628"/>
    <n v="17367.240000000002"/>
    <n v="57128"/>
    <n v="60128"/>
    <n v="8157340"/>
    <n v="8854840"/>
    <n v="9319840"/>
    <n v="0"/>
    <n v="693373.9"/>
    <n v="2"/>
    <n v="236000"/>
    <n v="236000"/>
    <n v="8393340"/>
  </r>
  <r>
    <m/>
    <s v="E"/>
    <x v="38"/>
    <s v="RESIDENTIAL"/>
    <x v="3"/>
    <n v="2"/>
    <x v="773"/>
    <x v="2"/>
    <s v="C3"/>
    <n v="126.88"/>
    <n v="137.93385278889008"/>
    <x v="35"/>
    <m/>
    <m/>
    <s v="NW"/>
    <s v="MIDDLE"/>
    <s v="LAKE E"/>
    <s v="THIRD"/>
    <x v="0"/>
    <n v="0.13"/>
    <n v="2.5000000000000001E-2"/>
    <n v="0.43"/>
    <n v="0.15"/>
    <n v="3.5000000000000003E-2"/>
    <x v="156"/>
    <x v="2"/>
    <x v="6"/>
    <n v="44625"/>
    <n v="49875"/>
    <n v="5250"/>
    <n v="4042.5"/>
    <n v="48667.5"/>
    <n v="16060.275000000001"/>
    <n v="53167.5"/>
    <n v="56167.5"/>
    <n v="7543462.5"/>
    <n v="8240962.5"/>
    <n v="8705962.5"/>
    <n v="0"/>
    <n v="641194.3125"/>
    <n v="2"/>
    <n v="210000"/>
    <n v="210000"/>
    <n v="7753462.5"/>
  </r>
  <r>
    <m/>
    <s v="E"/>
    <x v="38"/>
    <s v="RESIDENTIAL"/>
    <x v="3"/>
    <n v="3"/>
    <x v="774"/>
    <x v="2"/>
    <s v="C3"/>
    <n v="131.66"/>
    <n v="143.13028892012346"/>
    <x v="37"/>
    <m/>
    <m/>
    <s v="NW"/>
    <s v="CORNER "/>
    <s v="LAKE E"/>
    <s v="THIRD"/>
    <x v="4"/>
    <n v="0.13"/>
    <n v="0.05"/>
    <n v="0.43"/>
    <n v="0.15"/>
    <n v="2.5000000000000001E-2"/>
    <x v="125"/>
    <x v="2"/>
    <x v="5"/>
    <n v="46750.000000000007"/>
    <n v="52250.000000000007"/>
    <n v="5500"/>
    <n v="4317.5"/>
    <n v="51067.500000000007"/>
    <n v="16852.275000000001"/>
    <n v="55567.500000000007"/>
    <n v="58567.500000000007"/>
    <n v="8221867.5000000009"/>
    <n v="8946367.5000000019"/>
    <n v="9429367.5000000019"/>
    <n v="0"/>
    <n v="698858.73750000016"/>
    <n v="2"/>
    <n v="220000.00000000003"/>
    <n v="220000.00000000003"/>
    <n v="8441867.5000000019"/>
  </r>
  <r>
    <m/>
    <s v="E"/>
    <x v="38"/>
    <s v="RESIDENTIAL"/>
    <x v="3"/>
    <n v="4"/>
    <x v="775"/>
    <x v="2"/>
    <s v="C3"/>
    <n v="131.86000000000001"/>
    <n v="143.34771302603284"/>
    <x v="37"/>
    <m/>
    <m/>
    <s v="SE"/>
    <s v="CORNER "/>
    <s v="ROAD 12M"/>
    <s v="THIRD"/>
    <x v="4"/>
    <n v="0.08"/>
    <n v="0.05"/>
    <n v="0.13"/>
    <n v="0.15"/>
    <n v="2.5000000000000001E-2"/>
    <x v="82"/>
    <x v="0"/>
    <x v="4"/>
    <n v="51850"/>
    <n v="57950"/>
    <n v="6100"/>
    <n v="2653.5000000000005"/>
    <n v="54503.5"/>
    <n v="17986.155000000002"/>
    <n v="59003.5"/>
    <n v="62003.5"/>
    <n v="8775063.5"/>
    <n v="9499563.5"/>
    <n v="9982563.5"/>
    <n v="0"/>
    <n v="745880.39750000008"/>
    <n v="2"/>
    <n v="244000"/>
    <n v="244000"/>
    <n v="9019063.5"/>
  </r>
  <r>
    <m/>
    <s v="E"/>
    <x v="38"/>
    <s v="RESIDENTIAL"/>
    <x v="4"/>
    <n v="1"/>
    <x v="776"/>
    <x v="2"/>
    <s v="C3"/>
    <n v="125.09"/>
    <n v="135.98790704100142"/>
    <x v="31"/>
    <m/>
    <m/>
    <s v="SE"/>
    <s v="MIDDLE"/>
    <s v="ROAD 12M"/>
    <s v="FORTH"/>
    <x v="0"/>
    <n v="0.08"/>
    <n v="2.5000000000000001E-2"/>
    <n v="0.13"/>
    <n v="0.06"/>
    <n v="3.5000000000000003E-2"/>
    <x v="215"/>
    <x v="0"/>
    <x v="3"/>
    <n v="42500"/>
    <n v="47500"/>
    <n v="5000"/>
    <n v="1650.0000000000005"/>
    <n v="44150"/>
    <n v="14569.5"/>
    <n v="48650"/>
    <n v="51650"/>
    <n v="6754950"/>
    <n v="7443450"/>
    <n v="7902450"/>
    <n v="0"/>
    <n v="574170.75"/>
    <n v="2"/>
    <n v="200000"/>
    <n v="200000"/>
    <n v="6954950"/>
  </r>
  <r>
    <m/>
    <s v="E"/>
    <x v="38"/>
    <s v="RESIDENTIAL"/>
    <x v="4"/>
    <n v="2"/>
    <x v="777"/>
    <x v="2"/>
    <s v="C3"/>
    <n v="126.88"/>
    <n v="137.93385278889008"/>
    <x v="35"/>
    <m/>
    <m/>
    <s v="NW"/>
    <s v="MIDDLE"/>
    <s v="LAKE E"/>
    <s v="FORTH"/>
    <x v="0"/>
    <n v="0.13"/>
    <n v="2.5000000000000001E-2"/>
    <n v="0.43"/>
    <n v="0.06"/>
    <n v="3.5000000000000003E-2"/>
    <x v="127"/>
    <x v="1"/>
    <x v="12"/>
    <n v="50150"/>
    <n v="56050"/>
    <n v="5900"/>
    <n v="4012.0000000000005"/>
    <n v="54162"/>
    <n v="17873.46"/>
    <n v="58662"/>
    <n v="61662"/>
    <n v="8395110"/>
    <n v="9092610"/>
    <n v="9557610"/>
    <n v="0"/>
    <n v="713584.35000000009"/>
    <n v="2"/>
    <n v="236000"/>
    <n v="236000"/>
    <n v="8631110"/>
  </r>
  <r>
    <m/>
    <s v="E"/>
    <x v="38"/>
    <s v="RESIDENTIAL"/>
    <x v="4"/>
    <n v="3"/>
    <x v="778"/>
    <x v="2"/>
    <s v="C3"/>
    <n v="131.66"/>
    <n v="143.13028892012346"/>
    <x v="37"/>
    <m/>
    <m/>
    <s v="NW"/>
    <s v="CORNER "/>
    <s v="LAKE E"/>
    <s v="FORTH"/>
    <x v="4"/>
    <n v="0.13"/>
    <n v="0.05"/>
    <n v="0.43"/>
    <n v="0.06"/>
    <n v="2.5000000000000001E-2"/>
    <x v="166"/>
    <x v="1"/>
    <x v="4"/>
    <n v="51850"/>
    <n v="57950"/>
    <n v="6100"/>
    <n v="4239.5"/>
    <n v="56089.5"/>
    <n v="18509.535"/>
    <n v="60589.5"/>
    <n v="63589.5"/>
    <n v="9030409.5"/>
    <n v="9754909.5"/>
    <n v="10237909.5"/>
    <n v="0"/>
    <n v="767584.80750000011"/>
    <n v="2"/>
    <n v="244000"/>
    <n v="244000"/>
    <n v="9274409.5"/>
  </r>
  <r>
    <m/>
    <s v="E"/>
    <x v="38"/>
    <s v="RESIDENTIAL"/>
    <x v="4"/>
    <n v="4"/>
    <x v="779"/>
    <x v="2"/>
    <s v="C3"/>
    <n v="129.5"/>
    <n v="140.78210857630253"/>
    <x v="32"/>
    <m/>
    <m/>
    <s v="SE"/>
    <s v="CORNER "/>
    <s v="ROAD 12M"/>
    <s v="FORTH"/>
    <x v="0"/>
    <n v="0.08"/>
    <n v="0.05"/>
    <n v="0.13"/>
    <n v="0.06"/>
    <n v="3.5000000000000003E-2"/>
    <x v="3"/>
    <x v="0"/>
    <x v="3"/>
    <n v="42500"/>
    <n v="47500"/>
    <n v="5000"/>
    <n v="1775"/>
    <n v="44275"/>
    <n v="14610.75"/>
    <n v="48775"/>
    <n v="51775"/>
    <n v="6995450"/>
    <n v="7706450"/>
    <n v="8180450"/>
    <n v="0"/>
    <n v="594613.25"/>
    <n v="2"/>
    <n v="200000"/>
    <n v="200000"/>
    <n v="7195450"/>
  </r>
  <r>
    <s v="C3"/>
    <s v="E"/>
    <x v="39"/>
    <s v="RESIDENTIAL"/>
    <x v="0"/>
    <n v="1"/>
    <x v="780"/>
    <x v="2"/>
    <s v="C3"/>
    <n v="131.68"/>
    <n v="143.16923069529381"/>
    <x v="37"/>
    <n v="85.031800000000004"/>
    <m/>
    <s v="SE"/>
    <s v="CORNER "/>
    <s v="ROAD 18M (VILLAS)"/>
    <s v="GROUND"/>
    <x v="4"/>
    <n v="0.08"/>
    <n v="0.05"/>
    <n v="0.16"/>
    <n v="0.05"/>
    <n v="2.5000000000000001E-2"/>
    <x v="88"/>
    <x v="0"/>
    <x v="3"/>
    <n v="42500"/>
    <n v="47500"/>
    <n v="5000"/>
    <n v="1825.0000000000002"/>
    <n v="44325"/>
    <n v="14627.25"/>
    <n v="48825"/>
    <n v="51825"/>
    <n v="7136325"/>
    <n v="7860825"/>
    <n v="8343825"/>
    <n v="1243781.3965499999"/>
    <n v="712309.04370675003"/>
    <n v="2"/>
    <n v="200000"/>
    <n v="200000"/>
    <n v="8580106.3965499997"/>
  </r>
  <r>
    <m/>
    <s v="E"/>
    <x v="39"/>
    <s v="RESIDENTIAL"/>
    <x v="0"/>
    <n v="2"/>
    <x v="781"/>
    <x v="2"/>
    <s v="C3"/>
    <n v="129.5"/>
    <n v="140.79902320049018"/>
    <x v="32"/>
    <n v="84.0732"/>
    <m/>
    <s v="NW"/>
    <s v="CORNER "/>
    <s v="LAKE E"/>
    <s v="GROUND"/>
    <x v="0"/>
    <n v="0.13"/>
    <n v="0.05"/>
    <n v="0.43"/>
    <n v="0.05"/>
    <n v="3.5000000000000003E-2"/>
    <x v="66"/>
    <x v="1"/>
    <x v="2"/>
    <n v="45687.5"/>
    <n v="51062.5"/>
    <n v="5375"/>
    <n v="3735.6250000000005"/>
    <n v="49423.125"/>
    <n v="16309.63125"/>
    <n v="53923.125"/>
    <n v="56923.125"/>
    <n v="7808853.75"/>
    <n v="8519853.75"/>
    <n v="8993853.75"/>
    <n v="1371202.8900075001"/>
    <n v="780304.81440063752"/>
    <n v="2"/>
    <n v="215000"/>
    <n v="215000"/>
    <n v="9395056.6400074996"/>
  </r>
  <r>
    <m/>
    <s v="E"/>
    <x v="39"/>
    <s v="RESIDENTIAL"/>
    <x v="0"/>
    <n v="3"/>
    <x v="782"/>
    <x v="2"/>
    <s v="C3"/>
    <n v="124.72"/>
    <n v="135.60196273023271"/>
    <x v="48"/>
    <n v="85.417599999999993"/>
    <m/>
    <s v="NW"/>
    <s v="MIDDLE"/>
    <s v="LAKE E"/>
    <s v="GROUND"/>
    <x v="0"/>
    <n v="0.13"/>
    <n v="2.5000000000000001E-2"/>
    <n v="0.43"/>
    <n v="0.05"/>
    <n v="3.5000000000000003E-2"/>
    <x v="204"/>
    <x v="1"/>
    <x v="1"/>
    <n v="48450.000000000007"/>
    <n v="54150.000000000007"/>
    <n v="5700"/>
    <n v="3819.0000000000005"/>
    <n v="52269.000000000007"/>
    <n v="17248.770000000004"/>
    <n v="56769.000000000007"/>
    <n v="59769.000000000007"/>
    <n v="7944888.0000000009"/>
    <n v="8628888.0000000019"/>
    <n v="9084888.0000000019"/>
    <n v="1473348.5363520002"/>
    <n v="800550.10558992019"/>
    <n v="2"/>
    <n v="228000.00000000003"/>
    <n v="228000.00000000003"/>
    <n v="9646236.5363520011"/>
  </r>
  <r>
    <m/>
    <s v="E"/>
    <x v="39"/>
    <s v="RESIDENTIAL"/>
    <x v="0"/>
    <n v="4"/>
    <x v="783"/>
    <x v="0"/>
    <s v="C3"/>
    <n v="88.49"/>
    <n v="96.210853768427611"/>
    <x v="34"/>
    <n v="68.089699999999993"/>
    <m/>
    <s v="SE"/>
    <s v="MIDDLE"/>
    <s v="ROAD 12M"/>
    <s v="GROUND"/>
    <x v="1"/>
    <n v="0.08"/>
    <n v="2.5000000000000001E-2"/>
    <n v="0.13"/>
    <n v="0.05"/>
    <n v="0.04"/>
    <x v="180"/>
    <x v="0"/>
    <x v="6"/>
    <n v="44625"/>
    <n v="49875"/>
    <n v="5250"/>
    <n v="1706.25"/>
    <n v="46331.25"/>
    <n v="15289.3125"/>
    <n v="50831.25"/>
    <n v="53831.25"/>
    <n v="5003775"/>
    <n v="5489775"/>
    <n v="5813775"/>
    <n v="1041044.7013312499"/>
    <n v="513809.6746131563"/>
    <n v="1"/>
    <n v="210000"/>
    <n v="210000"/>
    <n v="6254819.7013312504"/>
  </r>
  <r>
    <m/>
    <s v="E"/>
    <x v="39"/>
    <s v="RESIDENTIAL"/>
    <x v="1"/>
    <n v="1"/>
    <x v="784"/>
    <x v="2"/>
    <s v="C3"/>
    <n v="128.56"/>
    <n v="139.77700712474919"/>
    <x v="36"/>
    <m/>
    <m/>
    <s v="SE"/>
    <s v="CORNER "/>
    <s v="LAKE F"/>
    <s v="FIRST"/>
    <x v="0"/>
    <n v="0.08"/>
    <n v="0.05"/>
    <n v="0.3"/>
    <n v="7.0000000000000007E-2"/>
    <n v="3.5000000000000003E-2"/>
    <x v="67"/>
    <x v="1"/>
    <x v="3"/>
    <n v="42500"/>
    <n v="47500"/>
    <n v="5000"/>
    <n v="2675"/>
    <n v="45175"/>
    <n v="14907.75"/>
    <n v="49675"/>
    <n v="52675"/>
    <n v="7092475"/>
    <n v="7798975"/>
    <n v="8269975"/>
    <n v="0"/>
    <n v="602860.375"/>
    <n v="2"/>
    <n v="200000"/>
    <n v="200000"/>
    <n v="7292475"/>
  </r>
  <r>
    <m/>
    <s v="E"/>
    <x v="39"/>
    <s v="RESIDENTIAL"/>
    <x v="1"/>
    <n v="2"/>
    <x v="785"/>
    <x v="2"/>
    <s v="C3"/>
    <n v="131.12"/>
    <n v="142.56037005442684"/>
    <x v="33"/>
    <m/>
    <m/>
    <s v="NW"/>
    <s v="CORNER "/>
    <s v="LAKE E"/>
    <s v="FIRST"/>
    <x v="4"/>
    <n v="0.13"/>
    <n v="0.05"/>
    <n v="0.43"/>
    <n v="7.0000000000000007E-2"/>
    <n v="2.5000000000000001E-2"/>
    <x v="163"/>
    <x v="1"/>
    <x v="12"/>
    <n v="50150"/>
    <n v="56050"/>
    <n v="5900"/>
    <n v="4159.5"/>
    <n v="54309.5"/>
    <n v="17922.135000000002"/>
    <n v="58809.5"/>
    <n v="61809.5"/>
    <n v="8689520"/>
    <n v="9409520"/>
    <n v="9889520"/>
    <n v="0"/>
    <n v="738609.20000000007"/>
    <n v="2"/>
    <n v="236000"/>
    <n v="236000"/>
    <n v="8925520"/>
  </r>
  <r>
    <m/>
    <s v="E"/>
    <x v="39"/>
    <s v="RESIDENTIAL"/>
    <x v="1"/>
    <n v="3"/>
    <x v="786"/>
    <x v="2"/>
    <s v="C3"/>
    <n v="126.34"/>
    <n v="137.36330958416934"/>
    <x v="49"/>
    <m/>
    <m/>
    <s v="NW"/>
    <s v="MIDDLE"/>
    <s v="LAKE E"/>
    <s v="FIRST"/>
    <x v="0"/>
    <n v="0.13"/>
    <n v="2.5000000000000001E-2"/>
    <n v="0.43"/>
    <n v="7.0000000000000007E-2"/>
    <n v="3.5000000000000003E-2"/>
    <x v="137"/>
    <x v="1"/>
    <x v="4"/>
    <n v="51850"/>
    <n v="57950"/>
    <n v="6100"/>
    <n v="4209"/>
    <n v="56059"/>
    <n v="18499.47"/>
    <n v="60559"/>
    <n v="63559"/>
    <n v="8633086"/>
    <n v="9326086"/>
    <n v="9788086"/>
    <n v="0"/>
    <n v="733812.31"/>
    <n v="2"/>
    <n v="244000"/>
    <n v="244000"/>
    <n v="8877086"/>
  </r>
  <r>
    <m/>
    <s v="E"/>
    <x v="39"/>
    <s v="RESIDENTIAL"/>
    <x v="1"/>
    <n v="4"/>
    <x v="787"/>
    <x v="0"/>
    <s v="C3"/>
    <n v="88.79"/>
    <n v="96.537029111749234"/>
    <x v="34"/>
    <m/>
    <m/>
    <s v="SE"/>
    <s v="MIDDLE"/>
    <s v="ROAD 12M"/>
    <s v="FIRST"/>
    <x v="1"/>
    <n v="0.08"/>
    <n v="2.5000000000000001E-2"/>
    <n v="0.13"/>
    <n v="7.0000000000000007E-2"/>
    <n v="0.04"/>
    <x v="86"/>
    <x v="0"/>
    <x v="2"/>
    <n v="45687.5"/>
    <n v="51062.5"/>
    <n v="5375"/>
    <n v="1854.3750000000002"/>
    <n v="47541.875"/>
    <n v="15688.81875"/>
    <n v="52041.875"/>
    <n v="55041.875"/>
    <n v="5134522.5"/>
    <n v="5620522.5"/>
    <n v="5944522.5"/>
    <n v="0"/>
    <n v="436434.41250000003"/>
    <n v="1"/>
    <n v="215000"/>
    <n v="215000"/>
    <n v="5349522.5"/>
  </r>
  <r>
    <m/>
    <s v="E"/>
    <x v="39"/>
    <s v="RESIDENTIAL"/>
    <x v="2"/>
    <n v="1"/>
    <x v="788"/>
    <x v="2"/>
    <s v="C3"/>
    <n v="131.56"/>
    <n v="143.03876055796516"/>
    <x v="37"/>
    <m/>
    <m/>
    <s v="SE"/>
    <s v="CORNER "/>
    <s v="LAKE F"/>
    <s v="SECOND"/>
    <x v="4"/>
    <n v="0.08"/>
    <n v="0.05"/>
    <n v="0.3"/>
    <n v="0.11"/>
    <n v="2.5000000000000001E-2"/>
    <x v="177"/>
    <x v="1"/>
    <x v="3"/>
    <n v="42500"/>
    <n v="47500"/>
    <n v="5000"/>
    <n v="2825.0000000000005"/>
    <n v="45325"/>
    <n v="14957.25"/>
    <n v="49825"/>
    <n v="52825"/>
    <n v="7297325"/>
    <n v="8021825"/>
    <n v="8504825"/>
    <n v="0"/>
    <n v="620272.625"/>
    <n v="2"/>
    <n v="200000"/>
    <n v="200000"/>
    <n v="7497325"/>
  </r>
  <r>
    <m/>
    <s v="E"/>
    <x v="39"/>
    <s v="RESIDENTIAL"/>
    <x v="2"/>
    <n v="2"/>
    <x v="789"/>
    <x v="2"/>
    <s v="C3"/>
    <n v="131.56"/>
    <n v="143.03876055796516"/>
    <x v="37"/>
    <m/>
    <m/>
    <s v="NW"/>
    <s v="CORNER "/>
    <s v="LAKE E"/>
    <s v="SECOND"/>
    <x v="4"/>
    <n v="0.13"/>
    <n v="0.05"/>
    <n v="0.43"/>
    <n v="0.11"/>
    <n v="2.5000000000000001E-2"/>
    <x v="102"/>
    <x v="2"/>
    <x v="10"/>
    <n v="53550"/>
    <n v="59850"/>
    <n v="6300"/>
    <n v="4693.5"/>
    <n v="58243.5"/>
    <n v="19220.355"/>
    <n v="62743.5"/>
    <n v="65743.5"/>
    <n v="9377203.5"/>
    <n v="10101703.5"/>
    <n v="10584703.5"/>
    <n v="0"/>
    <n v="797062.2975000001"/>
    <n v="2"/>
    <n v="252000"/>
    <n v="252000"/>
    <n v="9629203.5"/>
  </r>
  <r>
    <m/>
    <s v="E"/>
    <x v="39"/>
    <s v="RESIDENTIAL"/>
    <x v="2"/>
    <n v="3"/>
    <x v="790"/>
    <x v="2"/>
    <s v="C3"/>
    <n v="126.78"/>
    <n v="137.84170008770769"/>
    <x v="35"/>
    <m/>
    <m/>
    <s v="NW"/>
    <s v="MIDDLE"/>
    <s v="LAKE E"/>
    <s v="SECOND"/>
    <x v="0"/>
    <n v="0.13"/>
    <n v="2.5000000000000001E-2"/>
    <n v="0.43"/>
    <n v="0.11"/>
    <n v="3.5000000000000003E-2"/>
    <x v="205"/>
    <x v="2"/>
    <x v="3"/>
    <n v="42500"/>
    <n v="47500"/>
    <n v="5000"/>
    <n v="3650"/>
    <n v="46150"/>
    <n v="15229.5"/>
    <n v="50650"/>
    <n v="53650"/>
    <n v="7153250"/>
    <n v="7850750"/>
    <n v="8315750"/>
    <n v="0"/>
    <n v="608026.25"/>
    <n v="2"/>
    <n v="200000"/>
    <n v="200000"/>
    <n v="7353250"/>
  </r>
  <r>
    <m/>
    <s v="E"/>
    <x v="39"/>
    <s v="RESIDENTIAL"/>
    <x v="2"/>
    <n v="4"/>
    <x v="791"/>
    <x v="2"/>
    <s v="C3"/>
    <n v="127.15"/>
    <n v="138.24398301113769"/>
    <x v="35"/>
    <m/>
    <m/>
    <s v="SE"/>
    <s v="MIDDLE"/>
    <s v="ROAD 12M"/>
    <s v="SECOND"/>
    <x v="0"/>
    <n v="0.08"/>
    <n v="2.5000000000000001E-2"/>
    <n v="0.13"/>
    <n v="0.11"/>
    <n v="3.5000000000000003E-2"/>
    <x v="27"/>
    <x v="0"/>
    <x v="12"/>
    <n v="50150"/>
    <n v="56050"/>
    <n v="5900"/>
    <n v="2242"/>
    <n v="52392"/>
    <n v="17289.36"/>
    <n v="56892"/>
    <n v="59892"/>
    <n v="8120760"/>
    <n v="8818260"/>
    <n v="9283260"/>
    <n v="0"/>
    <n v="690264.60000000009"/>
    <n v="2"/>
    <n v="236000"/>
    <n v="236000"/>
    <n v="8356760"/>
  </r>
  <r>
    <m/>
    <s v="E"/>
    <x v="39"/>
    <s v="RESIDENTIAL"/>
    <x v="3"/>
    <n v="1"/>
    <x v="792"/>
    <x v="2"/>
    <s v="C3"/>
    <n v="131.86000000000001"/>
    <n v="143.36493590128677"/>
    <x v="37"/>
    <m/>
    <m/>
    <s v="SE"/>
    <s v="CORNER "/>
    <s v="LAKE F"/>
    <s v="THIRD"/>
    <x v="4"/>
    <n v="0.08"/>
    <n v="0.05"/>
    <n v="0.3"/>
    <n v="0.15"/>
    <n v="2.5000000000000001E-2"/>
    <x v="178"/>
    <x v="1"/>
    <x v="0"/>
    <n v="43562.499999999993"/>
    <n v="48687.499999999993"/>
    <n v="5125"/>
    <n v="3100.625"/>
    <n v="46663.124999999993"/>
    <n v="15398.831249999997"/>
    <n v="51163.124999999993"/>
    <n v="54163.124999999993"/>
    <n v="7512763.1249999991"/>
    <n v="8237263.1249999991"/>
    <n v="8720263.1249999981"/>
    <n v="0"/>
    <n v="638584.86562499998"/>
    <n v="2"/>
    <n v="204999.99999999997"/>
    <n v="204999.99999999997"/>
    <n v="7717763.1249999991"/>
  </r>
  <r>
    <m/>
    <s v="E"/>
    <x v="39"/>
    <s v="RESIDENTIAL"/>
    <x v="3"/>
    <n v="2"/>
    <x v="793"/>
    <x v="2"/>
    <s v="C3"/>
    <n v="131.66"/>
    <n v="143.14748567240571"/>
    <x v="37"/>
    <m/>
    <m/>
    <s v="NW"/>
    <s v="CORNER "/>
    <s v="LAKE E"/>
    <s v="THIRD"/>
    <x v="4"/>
    <n v="0.13"/>
    <n v="0.05"/>
    <n v="0.43"/>
    <n v="0.15"/>
    <n v="2.5000000000000001E-2"/>
    <x v="125"/>
    <x v="2"/>
    <x v="7"/>
    <n v="61625"/>
    <n v="68875"/>
    <n v="7250"/>
    <n v="5691.25"/>
    <n v="67316.25"/>
    <n v="22214.362499999999"/>
    <n v="71816.25"/>
    <n v="74816.25"/>
    <n v="10837916.25"/>
    <n v="11562416.25"/>
    <n v="12045416.25"/>
    <n v="0"/>
    <n v="921222.88125000009"/>
    <n v="2"/>
    <n v="290000"/>
    <n v="290000"/>
    <n v="11127916.25"/>
  </r>
  <r>
    <m/>
    <s v="E"/>
    <x v="39"/>
    <s v="RESIDENTIAL"/>
    <x v="3"/>
    <n v="3"/>
    <x v="794"/>
    <x v="2"/>
    <s v="C3"/>
    <n v="126.88"/>
    <n v="137.95042520214821"/>
    <x v="35"/>
    <m/>
    <m/>
    <s v="NW"/>
    <s v="MIDDLE"/>
    <s v="LAKE E"/>
    <s v="THIRD"/>
    <x v="0"/>
    <n v="0.13"/>
    <n v="2.5000000000000001E-2"/>
    <n v="0.43"/>
    <n v="0.15"/>
    <n v="3.5000000000000003E-2"/>
    <x v="156"/>
    <x v="2"/>
    <x v="6"/>
    <n v="44625"/>
    <n v="49875"/>
    <n v="5250"/>
    <n v="4042.5"/>
    <n v="48667.5"/>
    <n v="16060.275000000001"/>
    <n v="53167.5"/>
    <n v="56167.5"/>
    <n v="7543462.5"/>
    <n v="8240962.5"/>
    <n v="8705962.5"/>
    <n v="0"/>
    <n v="641194.3125"/>
    <n v="2"/>
    <n v="210000"/>
    <n v="210000"/>
    <n v="7753462.5"/>
  </r>
  <r>
    <m/>
    <s v="E"/>
    <x v="39"/>
    <s v="RESIDENTIAL"/>
    <x v="3"/>
    <n v="4"/>
    <x v="795"/>
    <x v="2"/>
    <s v="C3"/>
    <n v="127.15"/>
    <n v="138.24398301113769"/>
    <x v="35"/>
    <m/>
    <m/>
    <s v="SE"/>
    <s v="MIDDLE"/>
    <s v="ROAD 12M"/>
    <s v="THIRD"/>
    <x v="0"/>
    <n v="0.08"/>
    <n v="2.5000000000000001E-2"/>
    <n v="0.13"/>
    <n v="0.15"/>
    <n v="3.5000000000000003E-2"/>
    <x v="192"/>
    <x v="0"/>
    <x v="7"/>
    <n v="61625"/>
    <n v="68875"/>
    <n v="7250"/>
    <n v="3045.0000000000005"/>
    <n v="64670"/>
    <n v="21341.100000000002"/>
    <n v="69170"/>
    <n v="72170"/>
    <n v="10023850"/>
    <n v="10721350"/>
    <n v="11186350"/>
    <n v="0"/>
    <n v="852027.25000000012"/>
    <n v="2"/>
    <n v="290000"/>
    <n v="290000"/>
    <n v="10313850"/>
  </r>
  <r>
    <m/>
    <s v="E"/>
    <x v="39"/>
    <s v="RESIDENTIAL"/>
    <x v="4"/>
    <n v="1"/>
    <x v="796"/>
    <x v="2"/>
    <s v="C3"/>
    <n v="129.5"/>
    <n v="140.79902320049018"/>
    <x v="32"/>
    <m/>
    <m/>
    <s v="SE"/>
    <s v="CORNER "/>
    <s v="LAKE F"/>
    <s v="FORTH"/>
    <x v="0"/>
    <n v="0.08"/>
    <n v="0.05"/>
    <n v="0.3"/>
    <n v="0.06"/>
    <n v="3.5000000000000003E-2"/>
    <x v="50"/>
    <x v="1"/>
    <x v="3"/>
    <n v="42500"/>
    <n v="47500"/>
    <n v="5000"/>
    <n v="2625"/>
    <n v="45125"/>
    <n v="14891.25"/>
    <n v="49625"/>
    <n v="52625"/>
    <n v="7129750"/>
    <n v="7840750"/>
    <n v="8314750"/>
    <n v="0"/>
    <n v="606028.75"/>
    <n v="2"/>
    <n v="200000"/>
    <n v="200000"/>
    <n v="7329750"/>
  </r>
  <r>
    <m/>
    <s v="E"/>
    <x v="39"/>
    <s v="RESIDENTIAL"/>
    <x v="4"/>
    <n v="2"/>
    <x v="797"/>
    <x v="2"/>
    <s v="C3"/>
    <n v="131.66"/>
    <n v="143.14748567240571"/>
    <x v="37"/>
    <m/>
    <m/>
    <s v="NW"/>
    <s v="CORNER "/>
    <s v="LAKE E"/>
    <s v="FORTH"/>
    <x v="4"/>
    <n v="0.13"/>
    <n v="0.05"/>
    <n v="0.43"/>
    <n v="0.06"/>
    <n v="2.5000000000000001E-2"/>
    <x v="166"/>
    <x v="1"/>
    <x v="2"/>
    <n v="45687.5"/>
    <n v="51062.5"/>
    <n v="5375"/>
    <n v="3735.6249999999995"/>
    <n v="49423.125"/>
    <n v="16309.63125"/>
    <n v="53923.125"/>
    <n v="56923.125"/>
    <n v="7957123.125"/>
    <n v="8681623.125"/>
    <n v="9164623.125"/>
    <n v="0"/>
    <n v="676355.46562500007"/>
    <n v="2"/>
    <n v="215000"/>
    <n v="215000"/>
    <n v="8172123.125"/>
  </r>
  <r>
    <m/>
    <s v="E"/>
    <x v="39"/>
    <s v="RESIDENTIAL"/>
    <x v="4"/>
    <n v="3"/>
    <x v="798"/>
    <x v="2"/>
    <s v="C3"/>
    <n v="126.88"/>
    <n v="137.95042520214821"/>
    <x v="35"/>
    <m/>
    <m/>
    <s v="NW"/>
    <s v="MIDDLE"/>
    <s v="LAKE E"/>
    <s v="FORTH"/>
    <x v="0"/>
    <n v="0.13"/>
    <n v="2.5000000000000001E-2"/>
    <n v="0.43"/>
    <n v="0.06"/>
    <n v="3.5000000000000003E-2"/>
    <x v="127"/>
    <x v="1"/>
    <x v="12"/>
    <n v="50150"/>
    <n v="56050"/>
    <n v="5900"/>
    <n v="4012.0000000000005"/>
    <n v="54162"/>
    <n v="17873.46"/>
    <n v="58662"/>
    <n v="61662"/>
    <n v="8395110"/>
    <n v="9092610"/>
    <n v="9557610"/>
    <n v="0"/>
    <n v="713584.35000000009"/>
    <n v="2"/>
    <n v="236000"/>
    <n v="236000"/>
    <n v="8631110"/>
  </r>
  <r>
    <m/>
    <s v="E"/>
    <x v="39"/>
    <s v="RESIDENTIAL"/>
    <x v="4"/>
    <n v="4"/>
    <x v="799"/>
    <x v="2"/>
    <s v="C3"/>
    <n v="125.09"/>
    <n v="136.00424565366268"/>
    <x v="31"/>
    <m/>
    <m/>
    <s v="SE"/>
    <s v="MIDDLE"/>
    <s v="ROAD 12M"/>
    <s v="FORTH"/>
    <x v="0"/>
    <n v="0.08"/>
    <n v="2.5000000000000001E-2"/>
    <n v="0.13"/>
    <n v="0.06"/>
    <n v="3.5000000000000003E-2"/>
    <x v="215"/>
    <x v="0"/>
    <x v="6"/>
    <n v="44625"/>
    <n v="49875"/>
    <n v="5250"/>
    <n v="1732.5000000000005"/>
    <n v="46357.5"/>
    <n v="15297.975"/>
    <n v="50857.5"/>
    <n v="53857.5"/>
    <n v="7092697.5"/>
    <n v="7781197.5"/>
    <n v="8240197.5"/>
    <n v="0"/>
    <n v="602879.28750000009"/>
    <n v="2"/>
    <n v="210000"/>
    <n v="210000"/>
    <n v="7302697.5"/>
  </r>
  <r>
    <s v="C3"/>
    <s v="E"/>
    <x v="40"/>
    <s v="RESIDENTIAL"/>
    <x v="0"/>
    <n v="1"/>
    <x v="800"/>
    <x v="0"/>
    <s v="C3"/>
    <n v="87.23"/>
    <n v="94.72160516317075"/>
    <x v="30"/>
    <n v="73.757099999999994"/>
    <m/>
    <s v="NW"/>
    <s v="MIDDLE"/>
    <s v="ROAD 18M (BUILDINGS)"/>
    <s v="GROUND"/>
    <x v="1"/>
    <n v="0.13"/>
    <n v="2.5000000000000001E-2"/>
    <n v="0.15"/>
    <n v="0.05"/>
    <n v="0.04"/>
    <x v="145"/>
    <x v="0"/>
    <x v="2"/>
    <n v="45687.5"/>
    <n v="51062.5"/>
    <n v="5375"/>
    <n v="2123.125"/>
    <n v="47810.625"/>
    <n v="15777.50625"/>
    <n v="52310.625"/>
    <n v="55310.625"/>
    <n v="5067926.25"/>
    <n v="5544926.25"/>
    <n v="5862926.25"/>
    <n v="1163703.106231875"/>
    <n v="529688.49527970934"/>
    <n v="1"/>
    <n v="215000"/>
    <n v="215000"/>
    <n v="6446629.3562318748"/>
  </r>
  <r>
    <m/>
    <s v="E"/>
    <x v="40"/>
    <s v="RESIDENTIAL"/>
    <x v="0"/>
    <n v="2"/>
    <x v="801"/>
    <x v="2"/>
    <s v="C3"/>
    <n v="125.09"/>
    <n v="135.83314902970341"/>
    <x v="31"/>
    <n v="85.619500000000002"/>
    <m/>
    <s v="SE"/>
    <s v="MIDDLE"/>
    <s v="LAKE E"/>
    <s v="GROUND"/>
    <x v="0"/>
    <n v="0.08"/>
    <n v="2.5000000000000001E-2"/>
    <n v="0.43"/>
    <n v="0.05"/>
    <n v="3.5000000000000003E-2"/>
    <x v="207"/>
    <x v="1"/>
    <x v="6"/>
    <n v="44625"/>
    <n v="49875"/>
    <n v="5250"/>
    <n v="3255.0000000000005"/>
    <n v="47880"/>
    <n v="15800.400000000001"/>
    <n v="52380"/>
    <n v="55380"/>
    <n v="7325640"/>
    <n v="8014140"/>
    <n v="8473140"/>
    <n v="1352822.3478000001"/>
    <n v="737669.29956299998"/>
    <n v="2"/>
    <n v="210000"/>
    <n v="210000"/>
    <n v="8888462.3477999996"/>
  </r>
  <r>
    <m/>
    <s v="E"/>
    <x v="40"/>
    <s v="RESIDENTIAL"/>
    <x v="0"/>
    <n v="3"/>
    <x v="802"/>
    <x v="2"/>
    <s v="C3"/>
    <n v="129.57"/>
    <n v="140.69790646557414"/>
    <x v="32"/>
    <n v="84.075199999999995"/>
    <m/>
    <s v="SE"/>
    <s v="CORNER "/>
    <s v="LAKE E"/>
    <s v="GROUND"/>
    <x v="0"/>
    <n v="0.08"/>
    <n v="0.05"/>
    <n v="0.43"/>
    <n v="0.05"/>
    <n v="3.5000000000000003E-2"/>
    <x v="2"/>
    <x v="1"/>
    <x v="2"/>
    <n v="45687.5"/>
    <n v="51062.5"/>
    <n v="5375"/>
    <n v="3466.8750000000009"/>
    <n v="49154.375"/>
    <n v="16220.94375"/>
    <n v="53654.375"/>
    <n v="56654.375"/>
    <n v="7766391.25"/>
    <n v="8477391.25"/>
    <n v="8951391.25"/>
    <n v="1363779.0899699999"/>
    <n v="776064.47889745003"/>
    <n v="2"/>
    <n v="215000"/>
    <n v="215000"/>
    <n v="9345170.3399700001"/>
  </r>
  <r>
    <m/>
    <s v="E"/>
    <x v="40"/>
    <s v="RESIDENTIAL"/>
    <x v="0"/>
    <n v="4"/>
    <x v="803"/>
    <x v="2"/>
    <s v="C3"/>
    <n v="131.34"/>
    <n v="142.61992000608558"/>
    <x v="33"/>
    <n v="88.6297"/>
    <m/>
    <s v="NW"/>
    <s v="CORNER "/>
    <s v="ROAD 18M (BUILDINGS)"/>
    <s v="GROUND"/>
    <x v="4"/>
    <n v="0.13"/>
    <n v="0.05"/>
    <n v="0.15"/>
    <n v="0.05"/>
    <n v="2.5000000000000001E-2"/>
    <x v="11"/>
    <x v="0"/>
    <x v="1"/>
    <n v="48450.000000000007"/>
    <n v="54150.000000000007"/>
    <n v="5700"/>
    <n v="2308.5"/>
    <n v="50758.500000000007"/>
    <n v="16750.305000000004"/>
    <n v="55258.500000000007"/>
    <n v="58258.500000000007"/>
    <n v="8121360.0000000009"/>
    <n v="8841360.0000000019"/>
    <n v="9321360.0000000019"/>
    <n v="1484574.5070585003"/>
    <n v="816504.43309997267"/>
    <n v="2"/>
    <n v="228000.00000000003"/>
    <n v="228000.00000000003"/>
    <n v="9833934.5070585012"/>
  </r>
  <r>
    <m/>
    <s v="E"/>
    <x v="40"/>
    <s v="RESIDENTIAL"/>
    <x v="1"/>
    <n v="1"/>
    <x v="804"/>
    <x v="0"/>
    <s v="C3"/>
    <n v="88.87"/>
    <n v="96.502453867373433"/>
    <x v="34"/>
    <m/>
    <m/>
    <s v="NW"/>
    <s v="MIDDLE"/>
    <s v="ROAD 18M (BUILDINGS)"/>
    <s v="FIRST"/>
    <x v="1"/>
    <n v="0.13"/>
    <n v="2.5000000000000001E-2"/>
    <n v="0.15"/>
    <n v="7.0000000000000007E-2"/>
    <n v="0.04"/>
    <x v="31"/>
    <x v="0"/>
    <x v="12"/>
    <n v="50150"/>
    <n v="56050"/>
    <n v="5900"/>
    <n v="2448.5"/>
    <n v="52598.5"/>
    <n v="17357.505000000001"/>
    <n v="57098.5"/>
    <n v="60098.5"/>
    <n v="5680638"/>
    <n v="6166638"/>
    <n v="6490638"/>
    <n v="0"/>
    <n v="482854.23000000004"/>
    <n v="1"/>
    <n v="236000"/>
    <n v="236000"/>
    <n v="5916638"/>
  </r>
  <r>
    <m/>
    <s v="E"/>
    <x v="40"/>
    <s v="RESIDENTIAL"/>
    <x v="1"/>
    <n v="2"/>
    <x v="805"/>
    <x v="2"/>
    <s v="C3"/>
    <n v="127.14"/>
    <n v="138.05920990995676"/>
    <x v="35"/>
    <m/>
    <m/>
    <s v="SE"/>
    <s v="MIDDLE"/>
    <s v="LAKE E"/>
    <s v="FIRST"/>
    <x v="0"/>
    <n v="0.08"/>
    <n v="2.5000000000000001E-2"/>
    <n v="0.43"/>
    <n v="7.0000000000000007E-2"/>
    <n v="3.5000000000000003E-2"/>
    <x v="197"/>
    <x v="1"/>
    <x v="2"/>
    <n v="45687.5"/>
    <n v="51062.5"/>
    <n v="5375"/>
    <n v="3440"/>
    <n v="49127.5"/>
    <n v="16212.075000000001"/>
    <n v="53627.5"/>
    <n v="56627.5"/>
    <n v="7614762.5"/>
    <n v="8312262.5"/>
    <n v="8777262.5"/>
    <n v="0"/>
    <n v="647254.8125"/>
    <n v="2"/>
    <n v="215000"/>
    <n v="215000"/>
    <n v="7829762.5"/>
  </r>
  <r>
    <m/>
    <s v="E"/>
    <x v="40"/>
    <s v="RESIDENTIAL"/>
    <x v="1"/>
    <n v="3"/>
    <x v="806"/>
    <x v="2"/>
    <s v="C3"/>
    <n v="131.43"/>
    <n v="142.71764950814548"/>
    <x v="33"/>
    <m/>
    <m/>
    <s v="SE"/>
    <s v="CORNER "/>
    <s v="LAKE E"/>
    <s v="FIRST"/>
    <x v="4"/>
    <n v="0.08"/>
    <n v="0.05"/>
    <n v="0.43"/>
    <n v="7.0000000000000007E-2"/>
    <n v="2.5000000000000001E-2"/>
    <x v="208"/>
    <x v="1"/>
    <x v="5"/>
    <n v="46750.000000000007"/>
    <n v="52250.000000000007"/>
    <n v="5500"/>
    <n v="3602.5000000000009"/>
    <n v="50352.500000000007"/>
    <n v="16616.325000000004"/>
    <n v="54852.500000000007"/>
    <n v="57852.500000000007"/>
    <n v="8056400.0000000009"/>
    <n v="8776400.0000000019"/>
    <n v="9256400.0000000019"/>
    <n v="0"/>
    <n v="684794.00000000012"/>
    <n v="2"/>
    <n v="220000.00000000003"/>
    <n v="220000.00000000003"/>
    <n v="8276400.0000000009"/>
  </r>
  <r>
    <m/>
    <s v="E"/>
    <x v="40"/>
    <s v="RESIDENTIAL"/>
    <x v="1"/>
    <n v="4"/>
    <x v="807"/>
    <x v="2"/>
    <s v="C3"/>
    <n v="129.04"/>
    <n v="140.12238828677692"/>
    <x v="36"/>
    <m/>
    <m/>
    <s v="NW"/>
    <s v="CORNER "/>
    <s v="ROAD 18M (BUILDINGS)"/>
    <s v="FIRST"/>
    <x v="0"/>
    <n v="0.13"/>
    <n v="0.05"/>
    <n v="0.15"/>
    <n v="7.0000000000000007E-2"/>
    <n v="3.5000000000000003E-2"/>
    <x v="54"/>
    <x v="0"/>
    <x v="4"/>
    <n v="51850"/>
    <n v="57950"/>
    <n v="6100"/>
    <n v="2653.4999999999995"/>
    <n v="54503.5"/>
    <n v="17986.155000000002"/>
    <n v="59003.5"/>
    <n v="62003.5"/>
    <n v="8557049.5"/>
    <n v="9263549.5"/>
    <n v="9734549.5"/>
    <n v="0"/>
    <n v="727349.20750000002"/>
    <n v="2"/>
    <n v="244000"/>
    <n v="244000"/>
    <n v="8801049.5"/>
  </r>
  <r>
    <m/>
    <s v="E"/>
    <x v="40"/>
    <s v="RESIDENTIAL"/>
    <x v="2"/>
    <n v="1"/>
    <x v="808"/>
    <x v="2"/>
    <s v="C3"/>
    <n v="127.15"/>
    <n v="138.07006874351899"/>
    <x v="35"/>
    <m/>
    <m/>
    <s v="NW"/>
    <s v="MIDDLE"/>
    <s v="ROAD 18M (BUILDINGS)"/>
    <s v="SECOND"/>
    <x v="0"/>
    <n v="0.13"/>
    <n v="2.5000000000000001E-2"/>
    <n v="0.15"/>
    <n v="0.11"/>
    <n v="3.5000000000000003E-2"/>
    <x v="164"/>
    <x v="0"/>
    <x v="10"/>
    <n v="53550"/>
    <n v="59850"/>
    <n v="6300"/>
    <n v="2834.9999999999995"/>
    <n v="56385"/>
    <n v="18607.05"/>
    <n v="60885"/>
    <n v="63885"/>
    <n v="8739675"/>
    <n v="9437175"/>
    <n v="9902175"/>
    <n v="0"/>
    <n v="742872.375"/>
    <n v="2"/>
    <n v="252000"/>
    <n v="252000"/>
    <n v="8991675"/>
  </r>
  <r>
    <m/>
    <s v="E"/>
    <x v="40"/>
    <s v="RESIDENTIAL"/>
    <x v="2"/>
    <n v="2"/>
    <x v="809"/>
    <x v="2"/>
    <s v="C3"/>
    <n v="126.95"/>
    <n v="137.85289207227476"/>
    <x v="35"/>
    <m/>
    <m/>
    <s v="SE"/>
    <s v="MIDDLE"/>
    <s v="LAKE E"/>
    <s v="SECOND"/>
    <x v="0"/>
    <n v="0.08"/>
    <n v="2.5000000000000001E-2"/>
    <n v="0.43"/>
    <n v="0.11"/>
    <n v="3.5000000000000003E-2"/>
    <x v="127"/>
    <x v="1"/>
    <x v="12"/>
    <n v="50150"/>
    <n v="56050"/>
    <n v="5900"/>
    <n v="4012.0000000000005"/>
    <n v="54162"/>
    <n v="17873.46"/>
    <n v="58662"/>
    <n v="61662"/>
    <n v="8395110"/>
    <n v="9092610"/>
    <n v="9557610"/>
    <n v="0"/>
    <n v="713584.35000000009"/>
    <n v="2"/>
    <n v="236000"/>
    <n v="236000"/>
    <n v="8631110"/>
  </r>
  <r>
    <m/>
    <s v="E"/>
    <x v="40"/>
    <s v="RESIDENTIAL"/>
    <x v="2"/>
    <n v="3"/>
    <x v="810"/>
    <x v="2"/>
    <s v="C3"/>
    <n v="131.44"/>
    <n v="142.72850834170771"/>
    <x v="33"/>
    <m/>
    <m/>
    <s v="SE"/>
    <s v="CORNER "/>
    <s v="LAKE E"/>
    <s v="SECOND"/>
    <x v="4"/>
    <n v="0.08"/>
    <n v="0.05"/>
    <n v="0.43"/>
    <n v="0.11"/>
    <n v="2.5000000000000001E-2"/>
    <x v="66"/>
    <x v="1"/>
    <x v="10"/>
    <n v="53550"/>
    <n v="59850"/>
    <n v="6300"/>
    <n v="4378.5"/>
    <n v="57928.5"/>
    <n v="19116.405000000002"/>
    <n v="62428.5"/>
    <n v="65428.5"/>
    <n v="9268560"/>
    <n v="9988560"/>
    <n v="10468560"/>
    <n v="0"/>
    <n v="787827.60000000009"/>
    <n v="2"/>
    <n v="252000"/>
    <n v="252000"/>
    <n v="9520560"/>
  </r>
  <r>
    <m/>
    <s v="E"/>
    <x v="40"/>
    <s v="RESIDENTIAL"/>
    <x v="2"/>
    <n v="4"/>
    <x v="811"/>
    <x v="2"/>
    <s v="C3"/>
    <n v="131.43"/>
    <n v="142.71764950814548"/>
    <x v="33"/>
    <m/>
    <m/>
    <s v="NW"/>
    <s v="CORNER "/>
    <s v="ROAD 18M (BUILDINGS)"/>
    <s v="SECOND"/>
    <x v="4"/>
    <n v="0.13"/>
    <n v="0.05"/>
    <n v="0.15"/>
    <n v="0.11"/>
    <n v="2.5000000000000001E-2"/>
    <x v="21"/>
    <x v="0"/>
    <x v="8"/>
    <n v="56100"/>
    <n v="62700"/>
    <n v="6600"/>
    <n v="3069"/>
    <n v="59169"/>
    <n v="19525.77"/>
    <n v="63669"/>
    <n v="66669"/>
    <n v="9467040"/>
    <n v="10187040"/>
    <n v="10667040"/>
    <n v="0"/>
    <n v="804698.4"/>
    <n v="2"/>
    <n v="264000"/>
    <n v="264000"/>
    <n v="9731040"/>
  </r>
  <r>
    <m/>
    <s v="E"/>
    <x v="40"/>
    <s v="RESIDENTIAL"/>
    <x v="3"/>
    <n v="1"/>
    <x v="812"/>
    <x v="2"/>
    <s v="C3"/>
    <n v="127.45"/>
    <n v="138.39583375038532"/>
    <x v="35"/>
    <m/>
    <m/>
    <s v="NW"/>
    <s v="MIDDLE"/>
    <s v="ROAD 18M (BUILDINGS)"/>
    <s v="THIRD"/>
    <x v="0"/>
    <n v="0.13"/>
    <n v="2.5000000000000001E-2"/>
    <n v="0.15"/>
    <n v="0.15"/>
    <n v="3.5000000000000003E-2"/>
    <x v="35"/>
    <x v="0"/>
    <x v="7"/>
    <n v="61625"/>
    <n v="68875"/>
    <n v="7250"/>
    <n v="3552.5"/>
    <n v="65177.5"/>
    <n v="21508.575000000001"/>
    <n v="69677.5"/>
    <n v="72677.5"/>
    <n v="10102512.5"/>
    <n v="10800012.5"/>
    <n v="11265012.5"/>
    <n v="0"/>
    <n v="858713.56250000012"/>
    <n v="2"/>
    <n v="290000"/>
    <n v="290000"/>
    <n v="10392512.5"/>
  </r>
  <r>
    <m/>
    <s v="E"/>
    <x v="40"/>
    <s v="RESIDENTIAL"/>
    <x v="3"/>
    <n v="2"/>
    <x v="813"/>
    <x v="2"/>
    <s v="C3"/>
    <n v="126.97"/>
    <n v="137.87460973939918"/>
    <x v="35"/>
    <m/>
    <m/>
    <s v="SE"/>
    <s v="MIDDLE"/>
    <s v="LAKE E"/>
    <s v="THIRD"/>
    <x v="0"/>
    <n v="0.08"/>
    <n v="2.5000000000000001E-2"/>
    <n v="0.43"/>
    <n v="0.15"/>
    <n v="3.5000000000000003E-2"/>
    <x v="146"/>
    <x v="1"/>
    <x v="7"/>
    <n v="61625"/>
    <n v="68875"/>
    <n v="7250"/>
    <n v="5220.0000000000009"/>
    <n v="66845"/>
    <n v="22058.850000000002"/>
    <n v="71345"/>
    <n v="74345"/>
    <n v="10360975"/>
    <n v="11058475"/>
    <n v="11523475"/>
    <n v="0"/>
    <n v="880682.87500000012"/>
    <n v="2"/>
    <n v="290000"/>
    <n v="290000"/>
    <n v="10650975"/>
  </r>
  <r>
    <m/>
    <s v="E"/>
    <x v="40"/>
    <s v="RESIDENTIAL"/>
    <x v="3"/>
    <n v="3"/>
    <x v="814"/>
    <x v="2"/>
    <s v="C3"/>
    <n v="131.43"/>
    <n v="142.71764950814548"/>
    <x v="33"/>
    <m/>
    <m/>
    <s v="SE"/>
    <s v="CORNER "/>
    <s v="LAKE E"/>
    <s v="THIRD"/>
    <x v="4"/>
    <n v="0.08"/>
    <n v="0.05"/>
    <n v="0.43"/>
    <n v="0.15"/>
    <n v="2.5000000000000001E-2"/>
    <x v="119"/>
    <x v="2"/>
    <x v="3"/>
    <n v="42500"/>
    <n v="47500"/>
    <n v="5000"/>
    <n v="3675.0000000000005"/>
    <n v="46175"/>
    <n v="15237.75"/>
    <n v="50675"/>
    <n v="53675"/>
    <n v="7388000"/>
    <n v="8108000"/>
    <n v="8588000"/>
    <n v="0"/>
    <n v="627980"/>
    <n v="2"/>
    <n v="200000"/>
    <n v="200000"/>
    <n v="7588000"/>
  </r>
  <r>
    <m/>
    <s v="E"/>
    <x v="40"/>
    <s v="RESIDENTIAL"/>
    <x v="3"/>
    <n v="4"/>
    <x v="815"/>
    <x v="2"/>
    <s v="C3"/>
    <n v="131.88"/>
    <n v="143.20629701844501"/>
    <x v="37"/>
    <m/>
    <m/>
    <s v="NW"/>
    <s v="CORNER "/>
    <s v="ROAD 18M (BUILDINGS)"/>
    <s v="THIRD"/>
    <x v="4"/>
    <n v="0.13"/>
    <n v="0.05"/>
    <n v="0.15"/>
    <n v="0.15"/>
    <n v="2.5000000000000001E-2"/>
    <x v="23"/>
    <x v="1"/>
    <x v="3"/>
    <n v="42500"/>
    <n v="47500"/>
    <n v="5000"/>
    <n v="2525"/>
    <n v="45025"/>
    <n v="14858.25"/>
    <n v="49525"/>
    <n v="52525"/>
    <n v="7249025"/>
    <n v="7973525"/>
    <n v="8456525"/>
    <n v="0"/>
    <n v="616167.125"/>
    <n v="2"/>
    <n v="200000"/>
    <n v="200000"/>
    <n v="7449025"/>
  </r>
  <r>
    <m/>
    <s v="E"/>
    <x v="40"/>
    <s v="RESIDENTIAL"/>
    <x v="4"/>
    <n v="1"/>
    <x v="816"/>
    <x v="2"/>
    <s v="C3"/>
    <n v="125.13"/>
    <n v="135.87658436395225"/>
    <x v="31"/>
    <m/>
    <m/>
    <s v="NW"/>
    <s v="MIDDLE"/>
    <s v="ROAD 18M (BUILDINGS)"/>
    <s v="FORTH"/>
    <x v="0"/>
    <n v="0.13"/>
    <n v="2.5000000000000001E-2"/>
    <n v="0.15"/>
    <n v="0.06"/>
    <n v="3.5000000000000003E-2"/>
    <x v="98"/>
    <x v="0"/>
    <x v="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r>
  <r>
    <m/>
    <s v="E"/>
    <x v="40"/>
    <s v="RESIDENTIAL"/>
    <x v="4"/>
    <n v="2"/>
    <x v="817"/>
    <x v="2"/>
    <s v="C3"/>
    <n v="127.19"/>
    <n v="138.11350407776783"/>
    <x v="35"/>
    <m/>
    <m/>
    <s v="SE"/>
    <s v="MIDDLE"/>
    <s v="LAKE E"/>
    <s v="FORTH"/>
    <x v="0"/>
    <n v="0.08"/>
    <n v="2.5000000000000001E-2"/>
    <n v="0.43"/>
    <n v="0.06"/>
    <n v="3.5000000000000003E-2"/>
    <x v="211"/>
    <x v="1"/>
    <x v="6"/>
    <n v="44625"/>
    <n v="49875"/>
    <n v="5250"/>
    <n v="3307.5"/>
    <n v="47932.5"/>
    <n v="15817.725"/>
    <n v="52432.5"/>
    <n v="55432.5"/>
    <n v="7429537.5"/>
    <n v="8127037.5"/>
    <n v="8592037.5"/>
    <n v="0"/>
    <n v="631510.6875"/>
    <n v="2"/>
    <n v="210000"/>
    <n v="210000"/>
    <n v="7639537.5"/>
  </r>
  <r>
    <m/>
    <s v="E"/>
    <x v="40"/>
    <s v="RESIDENTIAL"/>
    <x v="4"/>
    <n v="3"/>
    <x v="818"/>
    <x v="2"/>
    <s v="C3"/>
    <n v="131.38"/>
    <n v="142.66335534033442"/>
    <x v="33"/>
    <m/>
    <m/>
    <s v="SE"/>
    <s v="CORNER "/>
    <s v="LAKE E"/>
    <s v="FORTH"/>
    <x v="4"/>
    <n v="0.08"/>
    <n v="0.05"/>
    <n v="0.43"/>
    <n v="0.06"/>
    <n v="2.5000000000000001E-2"/>
    <x v="2"/>
    <x v="1"/>
    <x v="2"/>
    <n v="45687.5"/>
    <n v="51062.5"/>
    <n v="5375"/>
    <n v="3466.8750000000009"/>
    <n v="49154.375"/>
    <n v="16220.94375"/>
    <n v="53654.375"/>
    <n v="56654.375"/>
    <n v="7864700"/>
    <n v="8584700"/>
    <n v="9064700"/>
    <n v="0"/>
    <n v="668499.5"/>
    <n v="2"/>
    <n v="215000"/>
    <n v="215000"/>
    <n v="8079700"/>
  </r>
  <r>
    <m/>
    <s v="E"/>
    <x v="40"/>
    <s v="RESIDENTIAL"/>
    <x v="4"/>
    <n v="4"/>
    <x v="819"/>
    <x v="2"/>
    <s v="C3"/>
    <n v="129.58000000000001"/>
    <n v="140.70876529913639"/>
    <x v="32"/>
    <m/>
    <m/>
    <s v="NW"/>
    <s v="CORNER "/>
    <s v="ROAD 18M (BUILDINGS)"/>
    <s v="FORTH"/>
    <x v="0"/>
    <n v="0.13"/>
    <n v="0.05"/>
    <n v="0.15"/>
    <n v="0.06"/>
    <n v="3.5000000000000003E-2"/>
    <x v="39"/>
    <x v="0"/>
    <x v="12"/>
    <n v="50150"/>
    <n v="56050"/>
    <n v="5900"/>
    <n v="2507.4999999999995"/>
    <n v="52657.5"/>
    <n v="17376.975000000002"/>
    <n v="57157.5"/>
    <n v="60157.5"/>
    <n v="8319885"/>
    <n v="9030885"/>
    <n v="9504885"/>
    <n v="0"/>
    <n v="707190.22500000009"/>
    <n v="2"/>
    <n v="236000"/>
    <n v="236000"/>
    <n v="8555885"/>
  </r>
  <r>
    <s v="C3"/>
    <s v="E"/>
    <x v="41"/>
    <s v="RESIDENTIAL"/>
    <x v="0"/>
    <n v="1"/>
    <x v="820"/>
    <x v="2"/>
    <s v="C3"/>
    <n v="131.32"/>
    <n v="142.66718842094684"/>
    <x v="33"/>
    <n v="89.694999999999993"/>
    <m/>
    <s v="NW"/>
    <s v="MIDDLE"/>
    <s v="ROAD 18M (BUILDINGS)"/>
    <s v="GROUND"/>
    <x v="4"/>
    <n v="0.13"/>
    <n v="2.5000000000000001E-2"/>
    <n v="0.15"/>
    <n v="0.05"/>
    <n v="2.5000000000000001E-2"/>
    <x v="27"/>
    <x v="0"/>
    <x v="6"/>
    <n v="44625"/>
    <n v="49875"/>
    <n v="5250"/>
    <n v="1995"/>
    <n v="46620"/>
    <n v="15384.6"/>
    <n v="51120"/>
    <n v="54120"/>
    <n v="7459200"/>
    <n v="8179200"/>
    <n v="8659200"/>
    <n v="1379921.6969999999"/>
    <n v="751325.34424500016"/>
    <n v="2"/>
    <n v="210000"/>
    <n v="210000"/>
    <n v="9049121.6970000006"/>
  </r>
  <r>
    <m/>
    <s v="E"/>
    <x v="41"/>
    <s v="RESIDENTIAL"/>
    <x v="0"/>
    <n v="2"/>
    <x v="821"/>
    <x v="4"/>
    <s v="C3"/>
    <n v="128.28"/>
    <n v="139.36450602070562"/>
    <x v="38"/>
    <n v="86.075999999999993"/>
    <m/>
    <s v="SE"/>
    <s v="MIDDLE"/>
    <s v="LAKE E"/>
    <s v="GROUND"/>
    <x v="5"/>
    <n v="0.08"/>
    <n v="2.5000000000000001E-2"/>
    <n v="0.43"/>
    <n v="0.05"/>
    <n v="0"/>
    <x v="209"/>
    <x v="1"/>
    <x v="3"/>
    <n v="42500"/>
    <n v="47500"/>
    <n v="5000"/>
    <n v="2925.0000000000005"/>
    <n v="45425"/>
    <n v="14990.25"/>
    <n v="49925"/>
    <n v="52925"/>
    <n v="14036325"/>
    <n v="15426825"/>
    <n v="16353825"/>
    <n v="1290300.7589999998"/>
    <n v="1302763.189515"/>
    <n v="2"/>
    <n v="200000"/>
    <n v="200000"/>
    <n v="15526625.759"/>
  </r>
  <r>
    <m/>
    <s v="E"/>
    <x v="41"/>
    <s v="RESIDENTIAL"/>
    <x v="0"/>
    <n v="3"/>
    <x v="822"/>
    <x v="4"/>
    <s v="C3"/>
    <n v="125.03"/>
    <n v="135.83367779676351"/>
    <x v="39"/>
    <n v="85.509600000000006"/>
    <m/>
    <s v="SE"/>
    <s v="MIDDLE"/>
    <s v="LAKE E"/>
    <s v="GROUND"/>
    <x v="5"/>
    <n v="0.08"/>
    <n v="2.5000000000000001E-2"/>
    <n v="0.43"/>
    <n v="0.05"/>
    <n v="0"/>
    <x v="209"/>
    <x v="1"/>
    <x v="3"/>
    <n v="42500"/>
    <n v="47500"/>
    <n v="5000"/>
    <n v="2925.0000000000005"/>
    <n v="45425"/>
    <n v="14990.25"/>
    <n v="49925"/>
    <n v="52925"/>
    <n v="13672925"/>
    <n v="15027425"/>
    <n v="15930425"/>
    <n v="1281810.2814"/>
    <n v="1271152.4989190002"/>
    <n v="2"/>
    <n v="200000"/>
    <n v="200000"/>
    <n v="15154735.281400001"/>
  </r>
  <r>
    <m/>
    <s v="E"/>
    <x v="41"/>
    <s v="RESIDENTIAL"/>
    <x v="0"/>
    <n v="4"/>
    <x v="823"/>
    <x v="0"/>
    <s v="C3"/>
    <n v="87.23"/>
    <n v="94.767429530606108"/>
    <x v="30"/>
    <n v="73.371899999999997"/>
    <m/>
    <s v="NW"/>
    <s v="MIDDLE"/>
    <s v="ROAD 18M (BUILDINGS)"/>
    <s v="GROUND"/>
    <x v="1"/>
    <n v="0.13"/>
    <n v="2.5000000000000001E-2"/>
    <n v="0.15"/>
    <n v="0.05"/>
    <n v="0.04"/>
    <x v="145"/>
    <x v="0"/>
    <x v="2"/>
    <n v="45687.5"/>
    <n v="51062.5"/>
    <n v="5375"/>
    <n v="2123.125"/>
    <n v="47810.625"/>
    <n v="15777.50625"/>
    <n v="52310.625"/>
    <n v="55310.625"/>
    <n v="5067926.25"/>
    <n v="5544926.25"/>
    <n v="5862926.25"/>
    <n v="1157625.6108243749"/>
    <n v="529171.9081700719"/>
    <n v="1"/>
    <n v="215000"/>
    <n v="215000"/>
    <n v="6440551.8608243745"/>
  </r>
  <r>
    <m/>
    <s v="E"/>
    <x v="41"/>
    <s v="RESIDENTIAL"/>
    <x v="1"/>
    <n v="1"/>
    <x v="824"/>
    <x v="2"/>
    <s v="C3"/>
    <n v="132.94"/>
    <n v="144.42717048949646"/>
    <x v="40"/>
    <m/>
    <m/>
    <s v="NW"/>
    <s v="MIDDLE"/>
    <s v="ROAD 18M (BUILDINGS)"/>
    <s v="FIRST"/>
    <x v="4"/>
    <n v="0.13"/>
    <n v="2.5000000000000001E-2"/>
    <n v="0.15"/>
    <n v="7.0000000000000007E-2"/>
    <n v="2.5000000000000001E-2"/>
    <x v="98"/>
    <x v="0"/>
    <x v="5"/>
    <n v="46750.000000000007"/>
    <n v="52250.000000000007"/>
    <n v="5500"/>
    <n v="2200"/>
    <n v="48950.000000000007"/>
    <n v="16153.500000000004"/>
    <n v="53450.000000000007"/>
    <n v="56450.000000000007"/>
    <n v="7929900.0000000009"/>
    <n v="8658900.0000000019"/>
    <n v="9144900.0000000019"/>
    <n v="0"/>
    <n v="674041.50000000012"/>
    <n v="2"/>
    <n v="220000.00000000003"/>
    <n v="220000.00000000003"/>
    <n v="8149900.0000000009"/>
  </r>
  <r>
    <m/>
    <s v="E"/>
    <x v="41"/>
    <s v="RESIDENTIAL"/>
    <x v="1"/>
    <n v="4"/>
    <x v="825"/>
    <x v="0"/>
    <s v="C3"/>
    <n v="88.87"/>
    <n v="96.549139772841514"/>
    <x v="34"/>
    <m/>
    <m/>
    <s v="NW"/>
    <s v="MIDDLE"/>
    <s v="ROAD 18M (BUILDINGS)"/>
    <s v="FIRST"/>
    <x v="1"/>
    <n v="0.13"/>
    <n v="2.5000000000000001E-2"/>
    <n v="0.15"/>
    <n v="7.0000000000000007E-2"/>
    <n v="0.04"/>
    <x v="31"/>
    <x v="0"/>
    <x v="12"/>
    <n v="50150"/>
    <n v="56050"/>
    <n v="5900"/>
    <n v="2448.5"/>
    <n v="52598.5"/>
    <n v="17357.505000000001"/>
    <n v="57098.5"/>
    <n v="60098.5"/>
    <n v="5680638"/>
    <n v="6166638"/>
    <n v="6490638"/>
    <n v="0"/>
    <n v="482854.23000000004"/>
    <n v="1"/>
    <n v="236000"/>
    <n v="236000"/>
    <n v="5916638"/>
  </r>
  <r>
    <m/>
    <s v="E"/>
    <x v="41"/>
    <s v="RESIDENTIAL"/>
    <x v="2"/>
    <n v="1"/>
    <x v="826"/>
    <x v="2"/>
    <s v="C3"/>
    <n v="131.41999999999999"/>
    <n v="142.77582928937582"/>
    <x v="33"/>
    <m/>
    <m/>
    <s v="NW"/>
    <s v="MIDDLE"/>
    <s v="ROAD 18M (BUILDINGS)"/>
    <s v="SECOND"/>
    <x v="4"/>
    <n v="0.13"/>
    <n v="2.5000000000000001E-2"/>
    <n v="0.15"/>
    <n v="0.11"/>
    <n v="2.5000000000000001E-2"/>
    <x v="148"/>
    <x v="0"/>
    <x v="4"/>
    <n v="51850"/>
    <n v="57950"/>
    <n v="6100"/>
    <n v="2684"/>
    <n v="54534"/>
    <n v="17996.22"/>
    <n v="59034"/>
    <n v="62034"/>
    <n v="8725440"/>
    <n v="9445440"/>
    <n v="9925440"/>
    <n v="0"/>
    <n v="741662.4"/>
    <n v="2"/>
    <n v="244000"/>
    <n v="244000"/>
    <n v="8969440"/>
  </r>
  <r>
    <m/>
    <s v="E"/>
    <x v="41"/>
    <s v="RESIDENTIAL"/>
    <x v="2"/>
    <n v="2"/>
    <x v="827"/>
    <x v="2"/>
    <s v="C3"/>
    <n v="131.03"/>
    <n v="142.35212990250278"/>
    <x v="33"/>
    <m/>
    <m/>
    <s v="SE"/>
    <s v="MIDDLE"/>
    <s v="LAKE E"/>
    <s v="SECOND"/>
    <x v="4"/>
    <n v="0.08"/>
    <n v="2.5000000000000001E-2"/>
    <n v="0.43"/>
    <n v="0.11"/>
    <n v="2.5000000000000001E-2"/>
    <x v="204"/>
    <x v="1"/>
    <x v="12"/>
    <n v="50150"/>
    <n v="56050"/>
    <n v="5900"/>
    <n v="3953.0000000000005"/>
    <n v="54103"/>
    <n v="17853.990000000002"/>
    <n v="58603"/>
    <n v="61603"/>
    <n v="8656480"/>
    <n v="9376480"/>
    <n v="9856480"/>
    <n v="0"/>
    <n v="735800.8"/>
    <n v="2"/>
    <n v="236000"/>
    <n v="236000"/>
    <n v="8892480"/>
  </r>
  <r>
    <m/>
    <s v="E"/>
    <x v="41"/>
    <s v="RESIDENTIAL"/>
    <x v="2"/>
    <n v="3"/>
    <x v="828"/>
    <x v="2"/>
    <s v="C3"/>
    <n v="126.89"/>
    <n v="137.85439794954269"/>
    <x v="35"/>
    <m/>
    <m/>
    <s v="SE"/>
    <s v="MIDDLE"/>
    <s v="LAKE E"/>
    <s v="SECOND"/>
    <x v="0"/>
    <n v="0.08"/>
    <n v="2.5000000000000001E-2"/>
    <n v="0.43"/>
    <n v="0.11"/>
    <n v="3.5000000000000003E-2"/>
    <x v="127"/>
    <x v="1"/>
    <x v="12"/>
    <n v="50150"/>
    <n v="56050"/>
    <n v="5900"/>
    <n v="4012.0000000000005"/>
    <n v="54162"/>
    <n v="17873.46"/>
    <n v="58662"/>
    <n v="61662"/>
    <n v="8395110"/>
    <n v="9092610"/>
    <n v="9557610"/>
    <n v="0"/>
    <n v="713584.35000000009"/>
    <n v="2"/>
    <n v="236000"/>
    <n v="236000"/>
    <n v="8631110"/>
  </r>
  <r>
    <m/>
    <s v="E"/>
    <x v="41"/>
    <s v="RESIDENTIAL"/>
    <x v="2"/>
    <n v="4"/>
    <x v="829"/>
    <x v="2"/>
    <s v="C3"/>
    <n v="126.99"/>
    <n v="137.96303881797166"/>
    <x v="35"/>
    <m/>
    <m/>
    <s v="NW"/>
    <s v="MIDDLE"/>
    <s v="ROAD 18M (BUILDINGS)"/>
    <s v="SECOND"/>
    <x v="0"/>
    <n v="0.13"/>
    <n v="2.5000000000000001E-2"/>
    <n v="0.15"/>
    <n v="0.11"/>
    <n v="3.5000000000000003E-2"/>
    <x v="164"/>
    <x v="0"/>
    <x v="10"/>
    <n v="53550"/>
    <n v="59850"/>
    <n v="6300"/>
    <n v="2834.9999999999995"/>
    <n v="56385"/>
    <n v="18607.05"/>
    <n v="60885"/>
    <n v="63885"/>
    <n v="8739675"/>
    <n v="9437175"/>
    <n v="9902175"/>
    <n v="0"/>
    <n v="742872.375"/>
    <n v="2"/>
    <n v="252000"/>
    <n v="252000"/>
    <n v="8991675"/>
  </r>
  <r>
    <m/>
    <s v="E"/>
    <x v="41"/>
    <s v="RESIDENTIAL"/>
    <x v="3"/>
    <n v="1"/>
    <x v="830"/>
    <x v="2"/>
    <s v="C3"/>
    <n v="131.88"/>
    <n v="143.27557728414919"/>
    <x v="37"/>
    <m/>
    <m/>
    <s v="NW"/>
    <s v="MIDDLE"/>
    <s v="ROAD 18M (BUILDINGS)"/>
    <s v="THIRD"/>
    <x v="4"/>
    <n v="0.13"/>
    <n v="2.5000000000000001E-2"/>
    <n v="0.15"/>
    <n v="0.15"/>
    <n v="2.5000000000000001E-2"/>
    <x v="28"/>
    <x v="0"/>
    <x v="7"/>
    <n v="61625"/>
    <n v="68875"/>
    <n v="7250"/>
    <n v="3480"/>
    <n v="65105"/>
    <n v="21484.65"/>
    <n v="69605"/>
    <n v="72605"/>
    <n v="10481905"/>
    <n v="11206405"/>
    <n v="11689405"/>
    <n v="0"/>
    <n v="890961.92500000005"/>
    <n v="2"/>
    <n v="290000"/>
    <n v="290000"/>
    <n v="10771905"/>
  </r>
  <r>
    <m/>
    <s v="E"/>
    <x v="41"/>
    <s v="RESIDENTIAL"/>
    <x v="3"/>
    <n v="2"/>
    <x v="831"/>
    <x v="2"/>
    <s v="C3"/>
    <n v="131.02000000000001"/>
    <n v="142.34126581565991"/>
    <x v="33"/>
    <m/>
    <m/>
    <s v="SE"/>
    <s v="MIDDLE"/>
    <s v="LAKE E"/>
    <s v="THIRD"/>
    <x v="4"/>
    <n v="0.08"/>
    <n v="2.5000000000000001E-2"/>
    <n v="0.43"/>
    <n v="0.15"/>
    <n v="2.5000000000000001E-2"/>
    <x v="153"/>
    <x v="1"/>
    <x v="7"/>
    <n v="61625"/>
    <n v="68875"/>
    <n v="7250"/>
    <n v="5147.5000000000009"/>
    <n v="66772.5"/>
    <n v="22034.924999999999"/>
    <n v="71272.5"/>
    <n v="74272.5"/>
    <n v="10683600"/>
    <n v="11403600"/>
    <n v="11883600"/>
    <n v="0"/>
    <n v="908106.00000000012"/>
    <n v="2"/>
    <n v="290000"/>
    <n v="290000"/>
    <n v="10973600"/>
  </r>
  <r>
    <m/>
    <s v="E"/>
    <x v="41"/>
    <s v="RESIDENTIAL"/>
    <x v="3"/>
    <n v="3"/>
    <x v="832"/>
    <x v="2"/>
    <s v="C3"/>
    <n v="126.87"/>
    <n v="137.83266977585691"/>
    <x v="35"/>
    <m/>
    <m/>
    <s v="SE"/>
    <s v="MIDDLE"/>
    <s v="LAKE E"/>
    <s v="THIRD"/>
    <x v="0"/>
    <n v="0.08"/>
    <n v="2.5000000000000001E-2"/>
    <n v="0.43"/>
    <n v="0.15"/>
    <n v="3.5000000000000003E-2"/>
    <x v="146"/>
    <x v="1"/>
    <x v="7"/>
    <n v="61625"/>
    <n v="68875"/>
    <n v="7250"/>
    <n v="5220.0000000000009"/>
    <n v="66845"/>
    <n v="22058.850000000002"/>
    <n v="71345"/>
    <n v="74345"/>
    <n v="10360975"/>
    <n v="11058475"/>
    <n v="11523475"/>
    <n v="0"/>
    <n v="880682.87500000012"/>
    <n v="2"/>
    <n v="290000"/>
    <n v="290000"/>
    <n v="10650975"/>
  </r>
  <r>
    <m/>
    <s v="E"/>
    <x v="41"/>
    <s v="RESIDENTIAL"/>
    <x v="3"/>
    <n v="4"/>
    <x v="833"/>
    <x v="2"/>
    <s v="C3"/>
    <n v="127.41"/>
    <n v="138.41933046537343"/>
    <x v="35"/>
    <m/>
    <m/>
    <s v="NW"/>
    <s v="MIDDLE"/>
    <s v="ROAD 18M (BUILDINGS)"/>
    <s v="THIRD"/>
    <x v="0"/>
    <n v="0.13"/>
    <n v="2.5000000000000001E-2"/>
    <n v="0.15"/>
    <n v="0.15"/>
    <n v="3.5000000000000003E-2"/>
    <x v="35"/>
    <x v="0"/>
    <x v="7"/>
    <n v="61625"/>
    <n v="68875"/>
    <n v="7250"/>
    <n v="3552.5"/>
    <n v="65177.5"/>
    <n v="21508.575000000001"/>
    <n v="69677.5"/>
    <n v="72677.5"/>
    <n v="10102512.5"/>
    <n v="10800012.5"/>
    <n v="11265012.5"/>
    <n v="0"/>
    <n v="858713.56250000012"/>
    <n v="2"/>
    <n v="290000"/>
    <n v="290000"/>
    <n v="10392512.5"/>
  </r>
  <r>
    <m/>
    <s v="E"/>
    <x v="41"/>
    <s v="RESIDENTIAL"/>
    <x v="4"/>
    <n v="1"/>
    <x v="834"/>
    <x v="2"/>
    <s v="C3"/>
    <n v="129.59"/>
    <n v="140.78770139712537"/>
    <x v="32"/>
    <m/>
    <m/>
    <s v="NW"/>
    <s v="MIDDLE"/>
    <s v="ROAD 18M (BUILDINGS)"/>
    <s v="FORTH"/>
    <x v="0"/>
    <n v="0.13"/>
    <n v="2.5000000000000001E-2"/>
    <n v="0.15"/>
    <n v="0.06"/>
    <n v="3.5000000000000003E-2"/>
    <x v="98"/>
    <x v="0"/>
    <x v="5"/>
    <n v="46750.000000000007"/>
    <n v="52250.000000000007"/>
    <n v="5500"/>
    <n v="2200"/>
    <n v="48950.000000000007"/>
    <n v="16153.500000000004"/>
    <n v="53450.000000000007"/>
    <n v="56450.000000000007"/>
    <n v="7734100.0000000009"/>
    <n v="8445100.0000000019"/>
    <n v="8919100.0000000019"/>
    <n v="0"/>
    <n v="657398.50000000012"/>
    <n v="2"/>
    <n v="220000.00000000003"/>
    <n v="220000.00000000003"/>
    <n v="7954100.0000000009"/>
  </r>
  <r>
    <m/>
    <s v="E"/>
    <x v="41"/>
    <s v="RESIDENTIAL"/>
    <x v="4"/>
    <n v="2"/>
    <x v="835"/>
    <x v="2"/>
    <s v="C3"/>
    <n v="131.72"/>
    <n v="143.10175189466281"/>
    <x v="37"/>
    <m/>
    <m/>
    <s v="SE"/>
    <s v="MIDDLE"/>
    <s v="LAKE E"/>
    <s v="FORTH"/>
    <x v="4"/>
    <n v="0.08"/>
    <n v="2.5000000000000001E-2"/>
    <n v="0.43"/>
    <n v="0.06"/>
    <n v="2.5000000000000001E-2"/>
    <x v="216"/>
    <x v="1"/>
    <x v="6"/>
    <n v="44625"/>
    <n v="49875"/>
    <n v="5250"/>
    <n v="3255"/>
    <n v="47880"/>
    <n v="15800.400000000001"/>
    <n v="52380"/>
    <n v="55380"/>
    <n v="7708680"/>
    <n v="8433180"/>
    <n v="8916180"/>
    <n v="0"/>
    <n v="655237.80000000005"/>
    <n v="2"/>
    <n v="210000"/>
    <n v="210000"/>
    <n v="7918680"/>
  </r>
  <r>
    <m/>
    <s v="E"/>
    <x v="41"/>
    <s v="RESIDENTIAL"/>
    <x v="4"/>
    <n v="3"/>
    <x v="836"/>
    <x v="2"/>
    <s v="C3"/>
    <n v="127.12"/>
    <n v="138.10427194692937"/>
    <x v="35"/>
    <m/>
    <m/>
    <s v="SE"/>
    <s v="MIDDLE"/>
    <s v="LAKE E"/>
    <s v="FORTH"/>
    <x v="0"/>
    <n v="0.08"/>
    <n v="2.5000000000000001E-2"/>
    <n v="0.43"/>
    <n v="0.06"/>
    <n v="3.5000000000000003E-2"/>
    <x v="211"/>
    <x v="1"/>
    <x v="6"/>
    <n v="44625"/>
    <n v="49875"/>
    <n v="5250"/>
    <n v="3307.5"/>
    <n v="47932.5"/>
    <n v="15817.725"/>
    <n v="52432.5"/>
    <n v="55432.5"/>
    <n v="7429537.5"/>
    <n v="8127037.5"/>
    <n v="8592037.5"/>
    <n v="0"/>
    <n v="631510.6875"/>
    <n v="2"/>
    <n v="210000"/>
    <n v="210000"/>
    <n v="7639537.5"/>
  </r>
  <r>
    <m/>
    <s v="E"/>
    <x v="41"/>
    <s v="RESIDENTIAL"/>
    <x v="4"/>
    <n v="4"/>
    <x v="837"/>
    <x v="2"/>
    <s v="C3"/>
    <n v="125.12"/>
    <n v="135.93145457834962"/>
    <x v="31"/>
    <m/>
    <m/>
    <s v="NW"/>
    <s v="MIDDLE"/>
    <s v="ROAD 18M (BUILDINGS)"/>
    <s v="FORTH"/>
    <x v="0"/>
    <n v="0.13"/>
    <n v="2.5000000000000001E-2"/>
    <n v="0.15"/>
    <n v="0.06"/>
    <n v="3.5000000000000003E-2"/>
    <x v="98"/>
    <x v="0"/>
    <x v="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r>
  <r>
    <s v="C3"/>
    <s v="E"/>
    <x v="42"/>
    <s v="RESIDENTIAL"/>
    <x v="0"/>
    <n v="1"/>
    <x v="838"/>
    <x v="2"/>
    <s v="C3"/>
    <n v="131.34"/>
    <n v="142.61992000608555"/>
    <x v="33"/>
    <n v="88.345699999999994"/>
    <m/>
    <s v="NW"/>
    <s v="CORNER "/>
    <s v="ROAD 18M (BUILDINGS)"/>
    <s v="GROUND"/>
    <x v="4"/>
    <n v="0.13"/>
    <n v="0.05"/>
    <n v="0.15"/>
    <n v="0.05"/>
    <n v="2.5000000000000001E-2"/>
    <x v="11"/>
    <x v="0"/>
    <x v="1"/>
    <n v="48450.000000000007"/>
    <n v="54150.000000000007"/>
    <n v="5700"/>
    <n v="2308.5"/>
    <n v="50758.500000000007"/>
    <n v="16750.305000000004"/>
    <n v="55258.500000000007"/>
    <n v="58258.500000000007"/>
    <n v="8121360.0000000009"/>
    <n v="8841360.0000000019"/>
    <n v="9321360.0000000019"/>
    <n v="1479817.4204385004"/>
    <n v="816100.08073727274"/>
    <n v="2"/>
    <n v="228000.00000000003"/>
    <n v="228000.00000000003"/>
    <n v="9829177.420438502"/>
  </r>
  <r>
    <m/>
    <s v="E"/>
    <x v="42"/>
    <s v="RESIDENTIAL"/>
    <x v="0"/>
    <n v="2"/>
    <x v="839"/>
    <x v="2"/>
    <s v="C3"/>
    <n v="129.57"/>
    <n v="140.69790646557411"/>
    <x v="32"/>
    <n v="84.036199999999994"/>
    <m/>
    <s v="SE"/>
    <s v="CORNER "/>
    <s v="LAKE E"/>
    <s v="GROUND"/>
    <x v="0"/>
    <n v="0.08"/>
    <n v="0.05"/>
    <n v="0.43"/>
    <n v="0.05"/>
    <n v="3.5000000000000003E-2"/>
    <x v="2"/>
    <x v="1"/>
    <x v="2"/>
    <n v="45687.5"/>
    <n v="51062.5"/>
    <n v="5375"/>
    <n v="3466.8750000000009"/>
    <n v="49154.375"/>
    <n v="16220.94375"/>
    <n v="53654.375"/>
    <n v="56654.375"/>
    <n v="7766391.25"/>
    <n v="8477391.25"/>
    <n v="8951391.25"/>
    <n v="1363146.47316375"/>
    <n v="776010.70646891883"/>
    <n v="2"/>
    <n v="215000"/>
    <n v="215000"/>
    <n v="9344537.72316375"/>
  </r>
  <r>
    <m/>
    <s v="E"/>
    <x v="42"/>
    <s v="RESIDENTIAL"/>
    <x v="0"/>
    <n v="3"/>
    <x v="840"/>
    <x v="2"/>
    <s v="C3"/>
    <n v="125.09"/>
    <n v="135.83314902970338"/>
    <x v="31"/>
    <n v="85.562899999999999"/>
    <m/>
    <s v="SE"/>
    <s v="MIDDLE"/>
    <s v="LAKE E"/>
    <s v="GROUND"/>
    <x v="0"/>
    <n v="0.08"/>
    <n v="2.5000000000000001E-2"/>
    <n v="0.43"/>
    <n v="0.05"/>
    <n v="3.5000000000000003E-2"/>
    <x v="207"/>
    <x v="1"/>
    <x v="6"/>
    <n v="44625"/>
    <n v="49875"/>
    <n v="5250"/>
    <n v="3255.0000000000005"/>
    <n v="47880"/>
    <n v="15800.400000000001"/>
    <n v="52380"/>
    <n v="55380"/>
    <n v="7325640"/>
    <n v="8014140"/>
    <n v="8473140"/>
    <n v="1351928.0451600002"/>
    <n v="737593.28383860004"/>
    <n v="2"/>
    <n v="210000"/>
    <n v="210000"/>
    <n v="8887568.0451599993"/>
  </r>
  <r>
    <m/>
    <s v="E"/>
    <x v="42"/>
    <s v="RESIDENTIAL"/>
    <x v="0"/>
    <n v="4"/>
    <x v="841"/>
    <x v="0"/>
    <s v="C3"/>
    <n v="87.23"/>
    <n v="94.721605163170736"/>
    <x v="30"/>
    <n v="72.451099999999997"/>
    <m/>
    <s v="NW"/>
    <s v="MIDDLE"/>
    <s v="ROAD 18M (BUILDINGS)"/>
    <s v="GROUND"/>
    <x v="1"/>
    <n v="0.13"/>
    <n v="2.5000000000000001E-2"/>
    <n v="0.15"/>
    <n v="0.05"/>
    <n v="0.04"/>
    <x v="145"/>
    <x v="0"/>
    <x v="2"/>
    <n v="45687.5"/>
    <n v="51062.5"/>
    <n v="5375"/>
    <n v="2123.125"/>
    <n v="47810.625"/>
    <n v="15777.50625"/>
    <n v="52310.625"/>
    <n v="55310.625"/>
    <n v="5067926.25"/>
    <n v="5544926.25"/>
    <n v="5862926.25"/>
    <n v="1143097.6830693749"/>
    <n v="527937.03431089688"/>
    <n v="1"/>
    <n v="215000"/>
    <n v="215000"/>
    <n v="6426023.9330693744"/>
  </r>
  <r>
    <m/>
    <s v="E"/>
    <x v="42"/>
    <s v="RESIDENTIAL"/>
    <x v="1"/>
    <n v="1"/>
    <x v="842"/>
    <x v="2"/>
    <s v="C3"/>
    <n v="129.04"/>
    <n v="140.1223882867769"/>
    <x v="36"/>
    <m/>
    <m/>
    <s v="NW"/>
    <s v="CORNER "/>
    <s v="ROAD 18M (BUILDINGS)"/>
    <s v="FIRST"/>
    <x v="0"/>
    <n v="0.13"/>
    <n v="0.05"/>
    <n v="0.15"/>
    <n v="7.0000000000000007E-2"/>
    <n v="3.5000000000000003E-2"/>
    <x v="54"/>
    <x v="0"/>
    <x v="4"/>
    <n v="51850"/>
    <n v="57950"/>
    <n v="6100"/>
    <n v="2653.4999999999995"/>
    <n v="54503.5"/>
    <n v="17986.155000000002"/>
    <n v="59003.5"/>
    <n v="62003.5"/>
    <n v="8557049.5"/>
    <n v="9263549.5"/>
    <n v="9734549.5"/>
    <n v="0"/>
    <n v="727349.20750000002"/>
    <n v="2"/>
    <n v="244000"/>
    <n v="244000"/>
    <n v="8801049.5"/>
  </r>
  <r>
    <m/>
    <s v="E"/>
    <x v="42"/>
    <s v="RESIDENTIAL"/>
    <x v="1"/>
    <n v="2"/>
    <x v="843"/>
    <x v="2"/>
    <s v="C3"/>
    <n v="131.43"/>
    <n v="142.71764950814546"/>
    <x v="33"/>
    <m/>
    <m/>
    <s v="SE"/>
    <s v="CORNER "/>
    <s v="LAKE E"/>
    <s v="FIRST"/>
    <x v="4"/>
    <n v="0.08"/>
    <n v="0.05"/>
    <n v="0.43"/>
    <n v="7.0000000000000007E-2"/>
    <n v="2.5000000000000001E-2"/>
    <x v="208"/>
    <x v="1"/>
    <x v="5"/>
    <n v="46750.000000000007"/>
    <n v="52250.000000000007"/>
    <n v="5500"/>
    <n v="3602.5000000000009"/>
    <n v="50352.500000000007"/>
    <n v="16616.325000000004"/>
    <n v="54852.500000000007"/>
    <n v="57852.500000000007"/>
    <n v="8056400.0000000009"/>
    <n v="8776400.0000000019"/>
    <n v="9256400.0000000019"/>
    <n v="0"/>
    <n v="684794.00000000012"/>
    <n v="2"/>
    <n v="220000.00000000003"/>
    <n v="220000.00000000003"/>
    <n v="8276400.0000000009"/>
  </r>
  <r>
    <m/>
    <s v="E"/>
    <x v="42"/>
    <s v="RESIDENTIAL"/>
    <x v="1"/>
    <n v="3"/>
    <x v="844"/>
    <x v="2"/>
    <s v="C3"/>
    <n v="127.14"/>
    <n v="138.05920990995673"/>
    <x v="35"/>
    <m/>
    <m/>
    <s v="SE"/>
    <s v="MIDDLE"/>
    <s v="LAKE E"/>
    <s v="FIRST"/>
    <x v="0"/>
    <n v="0.08"/>
    <n v="2.5000000000000001E-2"/>
    <n v="0.43"/>
    <n v="7.0000000000000007E-2"/>
    <n v="3.5000000000000003E-2"/>
    <x v="197"/>
    <x v="1"/>
    <x v="2"/>
    <n v="45687.5"/>
    <n v="51062.5"/>
    <n v="5375"/>
    <n v="3440"/>
    <n v="49127.5"/>
    <n v="16212.075000000001"/>
    <n v="53627.5"/>
    <n v="56627.5"/>
    <n v="7614762.5"/>
    <n v="8312262.5"/>
    <n v="8777262.5"/>
    <n v="0"/>
    <n v="647254.8125"/>
    <n v="2"/>
    <n v="215000"/>
    <n v="215000"/>
    <n v="7829762.5"/>
  </r>
  <r>
    <m/>
    <s v="E"/>
    <x v="42"/>
    <s v="RESIDENTIAL"/>
    <x v="1"/>
    <n v="4"/>
    <x v="845"/>
    <x v="0"/>
    <s v="C3"/>
    <n v="88.87"/>
    <n v="96.502453867373418"/>
    <x v="34"/>
    <m/>
    <m/>
    <s v="NW"/>
    <s v="MIDDLE"/>
    <s v="ROAD 18M (BUILDINGS)"/>
    <s v="FIRST"/>
    <x v="1"/>
    <n v="0.13"/>
    <n v="2.5000000000000001E-2"/>
    <n v="0.15"/>
    <n v="7.0000000000000007E-2"/>
    <n v="0.04"/>
    <x v="31"/>
    <x v="0"/>
    <x v="12"/>
    <n v="50150"/>
    <n v="56050"/>
    <n v="5900"/>
    <n v="2448.5"/>
    <n v="52598.5"/>
    <n v="17357.505000000001"/>
    <n v="57098.5"/>
    <n v="60098.5"/>
    <n v="5680638"/>
    <n v="6166638"/>
    <n v="6490638"/>
    <n v="0"/>
    <n v="482854.23000000004"/>
    <n v="1"/>
    <n v="236000"/>
    <n v="236000"/>
    <n v="5916638"/>
  </r>
  <r>
    <m/>
    <s v="E"/>
    <x v="42"/>
    <s v="RESIDENTIAL"/>
    <x v="2"/>
    <n v="1"/>
    <x v="846"/>
    <x v="2"/>
    <s v="C3"/>
    <n v="131.43"/>
    <n v="142.71764950814546"/>
    <x v="33"/>
    <m/>
    <m/>
    <s v="NW"/>
    <s v="CORNER "/>
    <s v="ROAD 18M (BUILDINGS)"/>
    <s v="SECOND"/>
    <x v="4"/>
    <n v="0.13"/>
    <n v="0.05"/>
    <n v="0.15"/>
    <n v="0.11"/>
    <n v="2.5000000000000001E-2"/>
    <x v="21"/>
    <x v="0"/>
    <x v="8"/>
    <n v="56100"/>
    <n v="62700"/>
    <n v="6600"/>
    <n v="3069"/>
    <n v="59169"/>
    <n v="19525.77"/>
    <n v="63669"/>
    <n v="66669"/>
    <n v="9467040"/>
    <n v="10187040"/>
    <n v="10667040"/>
    <n v="0"/>
    <n v="804698.4"/>
    <n v="2"/>
    <n v="264000"/>
    <n v="264000"/>
    <n v="9731040"/>
  </r>
  <r>
    <m/>
    <s v="E"/>
    <x v="42"/>
    <s v="RESIDENTIAL"/>
    <x v="2"/>
    <n v="2"/>
    <x v="847"/>
    <x v="2"/>
    <s v="C3"/>
    <n v="131.44"/>
    <n v="142.72850834170768"/>
    <x v="33"/>
    <m/>
    <m/>
    <s v="SE"/>
    <s v="CORNER "/>
    <s v="LAKE E"/>
    <s v="SECOND"/>
    <x v="4"/>
    <n v="0.08"/>
    <n v="0.05"/>
    <n v="0.43"/>
    <n v="0.11"/>
    <n v="2.5000000000000001E-2"/>
    <x v="66"/>
    <x v="1"/>
    <x v="4"/>
    <n v="51850"/>
    <n v="57950"/>
    <n v="6100"/>
    <n v="4239.5"/>
    <n v="56089.5"/>
    <n v="18509.535"/>
    <n v="60589.5"/>
    <n v="63589.5"/>
    <n v="8974320"/>
    <n v="9694320"/>
    <n v="10174320"/>
    <n v="0"/>
    <n v="762817.20000000007"/>
    <n v="2"/>
    <n v="244000"/>
    <n v="244000"/>
    <n v="9218320"/>
  </r>
  <r>
    <m/>
    <s v="E"/>
    <x v="42"/>
    <s v="RESIDENTIAL"/>
    <x v="2"/>
    <n v="3"/>
    <x v="848"/>
    <x v="2"/>
    <s v="C3"/>
    <n v="126.95"/>
    <n v="137.85289207227473"/>
    <x v="35"/>
    <m/>
    <m/>
    <s v="SE"/>
    <s v="MIDDLE"/>
    <s v="LAKE E"/>
    <s v="SECOND"/>
    <x v="0"/>
    <n v="0.08"/>
    <n v="2.5000000000000001E-2"/>
    <n v="0.43"/>
    <n v="0.11"/>
    <n v="3.5000000000000003E-2"/>
    <x v="127"/>
    <x v="1"/>
    <x v="12"/>
    <n v="50150"/>
    <n v="56050"/>
    <n v="5900"/>
    <n v="4012.0000000000005"/>
    <n v="54162"/>
    <n v="17873.46"/>
    <n v="58662"/>
    <n v="61662"/>
    <n v="8395110"/>
    <n v="9092610"/>
    <n v="9557610"/>
    <n v="0"/>
    <n v="713584.35000000009"/>
    <n v="2"/>
    <n v="236000"/>
    <n v="236000"/>
    <n v="8631110"/>
  </r>
  <r>
    <m/>
    <s v="E"/>
    <x v="42"/>
    <s v="RESIDENTIAL"/>
    <x v="2"/>
    <n v="4"/>
    <x v="849"/>
    <x v="2"/>
    <s v="C3"/>
    <n v="127.15"/>
    <n v="138.07006874351896"/>
    <x v="35"/>
    <m/>
    <m/>
    <s v="NW"/>
    <s v="MIDDLE"/>
    <s v="ROAD 18M (BUILDINGS)"/>
    <s v="SECOND"/>
    <x v="0"/>
    <n v="0.13"/>
    <n v="2.5000000000000001E-2"/>
    <n v="0.15"/>
    <n v="0.11"/>
    <n v="3.5000000000000003E-2"/>
    <x v="164"/>
    <x v="0"/>
    <x v="10"/>
    <n v="53550"/>
    <n v="59850"/>
    <n v="6300"/>
    <n v="2834.9999999999995"/>
    <n v="56385"/>
    <n v="18607.05"/>
    <n v="60885"/>
    <n v="63885"/>
    <n v="8739675"/>
    <n v="9437175"/>
    <n v="9902175"/>
    <n v="0"/>
    <n v="742872.375"/>
    <n v="2"/>
    <n v="252000"/>
    <n v="252000"/>
    <n v="8991675"/>
  </r>
  <r>
    <m/>
    <s v="E"/>
    <x v="42"/>
    <s v="RESIDENTIAL"/>
    <x v="3"/>
    <n v="1"/>
    <x v="850"/>
    <x v="2"/>
    <s v="C3"/>
    <n v="131.88"/>
    <n v="143.20629701844499"/>
    <x v="37"/>
    <m/>
    <m/>
    <s v="NW"/>
    <s v="CORNER "/>
    <s v="ROAD 18M (BUILDINGS)"/>
    <s v="THIRD"/>
    <x v="4"/>
    <n v="0.13"/>
    <n v="0.05"/>
    <n v="0.15"/>
    <n v="0.15"/>
    <n v="2.5000000000000001E-2"/>
    <x v="23"/>
    <x v="1"/>
    <x v="3"/>
    <n v="42500"/>
    <n v="47500"/>
    <n v="5000"/>
    <n v="2525"/>
    <n v="45025"/>
    <n v="14858.25"/>
    <n v="49525"/>
    <n v="52525"/>
    <n v="7249025"/>
    <n v="7973525"/>
    <n v="8456525"/>
    <n v="0"/>
    <n v="616167.125"/>
    <n v="2"/>
    <n v="200000"/>
    <n v="200000"/>
    <n v="7449025"/>
  </r>
  <r>
    <m/>
    <s v="E"/>
    <x v="42"/>
    <s v="RESIDENTIAL"/>
    <x v="3"/>
    <n v="2"/>
    <x v="851"/>
    <x v="2"/>
    <s v="C3"/>
    <n v="131.43"/>
    <n v="142.71764950814546"/>
    <x v="33"/>
    <m/>
    <m/>
    <s v="SE"/>
    <s v="CORNER "/>
    <s v="LAKE E"/>
    <s v="THIRD"/>
    <x v="4"/>
    <n v="0.08"/>
    <n v="0.05"/>
    <n v="0.43"/>
    <n v="0.15"/>
    <n v="2.5000000000000001E-2"/>
    <x v="119"/>
    <x v="2"/>
    <x v="3"/>
    <n v="42500"/>
    <n v="47500"/>
    <n v="5000"/>
    <n v="3675.0000000000005"/>
    <n v="46175"/>
    <n v="15237.75"/>
    <n v="50675"/>
    <n v="53675"/>
    <n v="7388000"/>
    <n v="8108000"/>
    <n v="8588000"/>
    <n v="0"/>
    <n v="627980"/>
    <n v="2"/>
    <n v="200000"/>
    <n v="200000"/>
    <n v="7588000"/>
  </r>
  <r>
    <m/>
    <s v="E"/>
    <x v="42"/>
    <s v="RESIDENTIAL"/>
    <x v="3"/>
    <n v="3"/>
    <x v="852"/>
    <x v="2"/>
    <s v="C3"/>
    <n v="126.97"/>
    <n v="137.87460973939915"/>
    <x v="35"/>
    <m/>
    <m/>
    <s v="SE"/>
    <s v="MIDDLE"/>
    <s v="LAKE E"/>
    <s v="THIRD"/>
    <x v="0"/>
    <n v="0.08"/>
    <n v="2.5000000000000001E-2"/>
    <n v="0.43"/>
    <n v="0.15"/>
    <n v="3.5000000000000003E-2"/>
    <x v="146"/>
    <x v="1"/>
    <x v="7"/>
    <n v="61625"/>
    <n v="68875"/>
    <n v="7250"/>
    <n v="5220.0000000000009"/>
    <n v="66845"/>
    <n v="22058.850000000002"/>
    <n v="71345"/>
    <n v="74345"/>
    <n v="10360975"/>
    <n v="11058475"/>
    <n v="11523475"/>
    <n v="0"/>
    <n v="880682.87500000012"/>
    <n v="2"/>
    <n v="290000"/>
    <n v="290000"/>
    <n v="10650975"/>
  </r>
  <r>
    <m/>
    <s v="E"/>
    <x v="42"/>
    <s v="RESIDENTIAL"/>
    <x v="3"/>
    <n v="4"/>
    <x v="853"/>
    <x v="2"/>
    <s v="C3"/>
    <n v="127.45"/>
    <n v="138.39583375038529"/>
    <x v="35"/>
    <m/>
    <m/>
    <s v="NW"/>
    <s v="MIDDLE"/>
    <s v="ROAD 18M (BUILDINGS)"/>
    <s v="THIRD"/>
    <x v="0"/>
    <n v="0.13"/>
    <n v="2.5000000000000001E-2"/>
    <n v="0.15"/>
    <n v="0.15"/>
    <n v="3.5000000000000003E-2"/>
    <x v="35"/>
    <x v="0"/>
    <x v="7"/>
    <n v="61625"/>
    <n v="68875"/>
    <n v="7250"/>
    <n v="3552.5"/>
    <n v="65177.5"/>
    <n v="21508.575000000001"/>
    <n v="69677.5"/>
    <n v="72677.5"/>
    <n v="10102512.5"/>
    <n v="10800012.5"/>
    <n v="11265012.5"/>
    <n v="0"/>
    <n v="858713.56250000012"/>
    <n v="2"/>
    <n v="290000"/>
    <n v="290000"/>
    <n v="10392512.5"/>
  </r>
  <r>
    <m/>
    <s v="E"/>
    <x v="42"/>
    <s v="RESIDENTIAL"/>
    <x v="4"/>
    <n v="1"/>
    <x v="854"/>
    <x v="2"/>
    <s v="C3"/>
    <n v="129.58000000000001"/>
    <n v="140.70876529913636"/>
    <x v="32"/>
    <m/>
    <m/>
    <s v="NW"/>
    <s v="CORNER "/>
    <s v="ROAD 18M (BUILDINGS)"/>
    <s v="FORTH"/>
    <x v="0"/>
    <n v="0.13"/>
    <n v="0.05"/>
    <n v="0.15"/>
    <n v="0.06"/>
    <n v="3.5000000000000003E-2"/>
    <x v="39"/>
    <x v="0"/>
    <x v="12"/>
    <n v="50150"/>
    <n v="56050"/>
    <n v="5900"/>
    <n v="2507.4999999999995"/>
    <n v="52657.5"/>
    <n v="17376.975000000002"/>
    <n v="57157.5"/>
    <n v="60157.5"/>
    <n v="8319885"/>
    <n v="9030885"/>
    <n v="9504885"/>
    <n v="0"/>
    <n v="707190.22500000009"/>
    <n v="2"/>
    <n v="236000"/>
    <n v="236000"/>
    <n v="8555885"/>
  </r>
  <r>
    <m/>
    <s v="E"/>
    <x v="42"/>
    <s v="RESIDENTIAL"/>
    <x v="4"/>
    <n v="2"/>
    <x v="855"/>
    <x v="2"/>
    <s v="C3"/>
    <n v="131.38"/>
    <n v="142.66335534033439"/>
    <x v="33"/>
    <m/>
    <m/>
    <s v="SE"/>
    <s v="CORNER "/>
    <s v="LAKE E"/>
    <s v="FORTH"/>
    <x v="4"/>
    <n v="0.08"/>
    <n v="0.05"/>
    <n v="0.43"/>
    <n v="0.06"/>
    <n v="2.5000000000000001E-2"/>
    <x v="2"/>
    <x v="1"/>
    <x v="2"/>
    <n v="45687.5"/>
    <n v="51062.5"/>
    <n v="5375"/>
    <n v="3466.8750000000009"/>
    <n v="49154.375"/>
    <n v="16220.94375"/>
    <n v="53654.375"/>
    <n v="56654.375"/>
    <n v="7864700"/>
    <n v="8584700"/>
    <n v="9064700"/>
    <n v="0"/>
    <n v="668499.5"/>
    <n v="2"/>
    <n v="215000"/>
    <n v="215000"/>
    <n v="8079700"/>
  </r>
  <r>
    <m/>
    <s v="E"/>
    <x v="42"/>
    <s v="RESIDENTIAL"/>
    <x v="4"/>
    <n v="3"/>
    <x v="856"/>
    <x v="2"/>
    <s v="C3"/>
    <n v="127.19"/>
    <n v="138.1135040777678"/>
    <x v="35"/>
    <m/>
    <m/>
    <s v="SE"/>
    <s v="MIDDLE"/>
    <s v="LAKE E"/>
    <s v="FORTH"/>
    <x v="0"/>
    <n v="0.08"/>
    <n v="2.5000000000000001E-2"/>
    <n v="0.43"/>
    <n v="0.06"/>
    <n v="3.5000000000000003E-2"/>
    <x v="211"/>
    <x v="1"/>
    <x v="6"/>
    <n v="44625"/>
    <n v="49875"/>
    <n v="5250"/>
    <n v="3307.5"/>
    <n v="47932.5"/>
    <n v="15817.725"/>
    <n v="52432.5"/>
    <n v="55432.5"/>
    <n v="7429537.5"/>
    <n v="8127037.5"/>
    <n v="8592037.5"/>
    <n v="0"/>
    <n v="631510.6875"/>
    <n v="2"/>
    <n v="210000"/>
    <n v="210000"/>
    <n v="7639537.5"/>
  </r>
  <r>
    <m/>
    <s v="E"/>
    <x v="42"/>
    <s v="RESIDENTIAL"/>
    <x v="4"/>
    <n v="4"/>
    <x v="857"/>
    <x v="2"/>
    <s v="C3"/>
    <n v="125.13"/>
    <n v="135.87658436395222"/>
    <x v="31"/>
    <m/>
    <m/>
    <s v="NW"/>
    <s v="MIDDLE"/>
    <s v="ROAD 18M (BUILDINGS)"/>
    <s v="FORTH"/>
    <x v="0"/>
    <n v="0.13"/>
    <n v="2.5000000000000001E-2"/>
    <n v="0.15"/>
    <n v="0.06"/>
    <n v="3.5000000000000003E-2"/>
    <x v="98"/>
    <x v="0"/>
    <x v="5"/>
    <n v="46750.000000000007"/>
    <n v="52250.000000000007"/>
    <n v="5500"/>
    <n v="2200"/>
    <n v="48950.000000000007"/>
    <n v="16153.500000000004"/>
    <n v="53450.000000000007"/>
    <n v="56450.000000000007"/>
    <n v="7489350.0000000009"/>
    <n v="8177850.0000000009"/>
    <n v="8636850.0000000019"/>
    <n v="0"/>
    <n v="636594.75000000012"/>
    <n v="2"/>
    <n v="220000.00000000003"/>
    <n v="220000.00000000003"/>
    <n v="7709350.00000000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86F30A-4718-4036-B913-5A3B13EF0B53}"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7" rowHeaderCaption="Phases">
  <location ref="A1:J15" firstHeaderRow="0" firstDataRow="1" firstDataCol="1"/>
  <pivotFields count="48">
    <pivotField showAll="0"/>
    <pivotField showAll="0"/>
    <pivotField showAll="0"/>
    <pivotField showAll="0"/>
    <pivotField numFmtId="1" showAll="0"/>
    <pivotField numFmtId="1" showAll="0"/>
    <pivotField showAll="0"/>
    <pivotField showAll="0"/>
    <pivotField showAll="0"/>
    <pivotField showAll="0"/>
    <pivotField numFmtId="2" showAll="0"/>
    <pivotField numFmtId="2"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0" showAll="0"/>
    <pivotField showAll="0"/>
    <pivotField axis="axisRow" showAll="0" sortType="ascending">
      <items count="14">
        <item x="3"/>
        <item x="8"/>
        <item x="9"/>
        <item x="7"/>
        <item x="0"/>
        <item x="6"/>
        <item x="2"/>
        <item x="5"/>
        <item x="1"/>
        <item x="12"/>
        <item x="4"/>
        <item x="1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dataField="1" showAll="0"/>
    <pivotField dataField="1" showAll="0"/>
    <pivotField showAll="0"/>
    <pivotField showAll="0"/>
    <pivotField showAll="0"/>
    <pivotField showAll="0"/>
    <pivotField showAll="0"/>
    <pivotField numFmtId="1" showAll="0"/>
    <pivotField showAll="0"/>
    <pivotField showAll="0"/>
    <pivotField showAll="0"/>
    <pivotField numFmtId="165" showAll="0"/>
    <pivotField numFmtId="165" showAll="0"/>
    <pivotField numFmtId="168" showAll="0"/>
    <pivotField numFmtId="168" showAll="0"/>
  </pivotFields>
  <rowFields count="1">
    <field x="26"/>
  </rowFields>
  <rowItems count="14">
    <i>
      <x/>
    </i>
    <i>
      <x v="4"/>
    </i>
    <i>
      <x v="5"/>
    </i>
    <i>
      <x v="6"/>
    </i>
    <i>
      <x v="7"/>
    </i>
    <i>
      <x v="8"/>
    </i>
    <i>
      <x v="9"/>
    </i>
    <i>
      <x v="10"/>
    </i>
    <i>
      <x v="11"/>
    </i>
    <i>
      <x v="1"/>
    </i>
    <i>
      <x v="2"/>
    </i>
    <i>
      <x v="3"/>
    </i>
    <i>
      <x v="12"/>
    </i>
    <i t="grand">
      <x/>
    </i>
  </rowItems>
  <colFields count="1">
    <field x="-2"/>
  </colFields>
  <colItems count="9">
    <i>
      <x/>
    </i>
    <i i="1">
      <x v="1"/>
    </i>
    <i i="2">
      <x v="2"/>
    </i>
    <i i="3">
      <x v="3"/>
    </i>
    <i i="4">
      <x v="4"/>
    </i>
    <i i="5">
      <x v="5"/>
    </i>
    <i i="6">
      <x v="6"/>
    </i>
    <i i="7">
      <x v="7"/>
    </i>
    <i i="8">
      <x v="8"/>
    </i>
  </colItems>
  <dataFields count="9">
    <dataField name="Min of UNIT (BUILDING) RATE (SEMI FINISHED)" fld="31" subtotal="min" baseField="27" baseItem="4"/>
    <dataField name="Max of UNIT (BUILDING) RATE (SEMI FINISHED)" fld="31" subtotal="max" baseField="27" baseItem="4"/>
    <dataField name="Average of UNIT (BUILDING) RATE (SEMI FINISHED)" fld="31" subtotal="average" baseField="26" baseItem="0"/>
    <dataField name="Min of UNIT (BUILDING) RATE (BASIC FINISH)2" fld="33" subtotal="min" baseField="26" baseItem="6"/>
    <dataField name="Max of UNIT (BUILDING) RATE (BASIC FINISH)" fld="33" subtotal="max" baseField="26" baseItem="6"/>
    <dataField name="Average of UNIT (BUILDING) RATE (BASIC FINISH)" fld="33" subtotal="average" baseField="26" baseItem="11"/>
    <dataField name="Min of UNIT (BUILDING) RATE (FULLY FINISH)" fld="34" subtotal="min" baseField="26" baseItem="0"/>
    <dataField name="Max of UNIT (BUILDING) RATE (FULLY FINISH)" fld="34" subtotal="max" baseField="26" baseItem="0"/>
    <dataField name="Average of UNIT (BUILDING) RATE (FULLY FINISH)" fld="34" subtotal="average" baseField="26" baseItem="9"/>
  </dataFields>
  <formats count="19">
    <format dxfId="845">
      <pivotArea outline="0" collapsedLevelsAreSubtotals="1" fieldPosition="0"/>
    </format>
    <format dxfId="844">
      <pivotArea dataOnly="0" labelOnly="1" outline="0" axis="axisValues" fieldPosition="0"/>
    </format>
    <format dxfId="843">
      <pivotArea type="all" dataOnly="0" outline="0" fieldPosition="0"/>
    </format>
    <format dxfId="842">
      <pivotArea outline="0" collapsedLevelsAreSubtotals="1" fieldPosition="0"/>
    </format>
    <format dxfId="841">
      <pivotArea field="26" type="button" dataOnly="0" labelOnly="1" outline="0" axis="axisRow" fieldPosition="0"/>
    </format>
    <format dxfId="840">
      <pivotArea dataOnly="0" labelOnly="1" fieldPosition="0">
        <references count="1">
          <reference field="26" count="0"/>
        </references>
      </pivotArea>
    </format>
    <format dxfId="839">
      <pivotArea dataOnly="0" labelOnly="1" grandRow="1" outline="0" fieldPosition="0"/>
    </format>
    <format dxfId="838">
      <pivotArea type="all" dataOnly="0" outline="0" fieldPosition="0"/>
    </format>
    <format dxfId="837">
      <pivotArea outline="0" collapsedLevelsAreSubtotals="1" fieldPosition="0"/>
    </format>
    <format dxfId="836">
      <pivotArea field="26" type="button" dataOnly="0" labelOnly="1" outline="0" axis="axisRow" fieldPosition="0"/>
    </format>
    <format dxfId="835">
      <pivotArea dataOnly="0" labelOnly="1" fieldPosition="0">
        <references count="1">
          <reference field="26" count="0"/>
        </references>
      </pivotArea>
    </format>
    <format dxfId="834">
      <pivotArea dataOnly="0" labelOnly="1" grandRow="1" outline="0" fieldPosition="0"/>
    </format>
    <format dxfId="833">
      <pivotArea dataOnly="0" labelOnly="1" outline="0" fieldPosition="0">
        <references count="1">
          <reference field="4294967294" count="2">
            <x v="0"/>
            <x v="1"/>
          </reference>
        </references>
      </pivotArea>
    </format>
    <format dxfId="832">
      <pivotArea field="26" type="button" dataOnly="0" labelOnly="1" outline="0" axis="axisRow" fieldPosition="0"/>
    </format>
    <format dxfId="831">
      <pivotArea dataOnly="0" labelOnly="1" outline="0" fieldPosition="0">
        <references count="1">
          <reference field="4294967294" count="2">
            <x v="0"/>
            <x v="1"/>
          </reference>
        </references>
      </pivotArea>
    </format>
    <format dxfId="830">
      <pivotArea dataOnly="0" labelOnly="1" outline="0" fieldPosition="0">
        <references count="1">
          <reference field="4294967294" count="2">
            <x v="6"/>
            <x v="7"/>
          </reference>
        </references>
      </pivotArea>
    </format>
    <format dxfId="829">
      <pivotArea dataOnly="0" labelOnly="1" outline="0" fieldPosition="0">
        <references count="1">
          <reference field="4294967294" count="1">
            <x v="2"/>
          </reference>
        </references>
      </pivotArea>
    </format>
    <format dxfId="828">
      <pivotArea dataOnly="0" labelOnly="1" outline="0" fieldPosition="0">
        <references count="1">
          <reference field="4294967294" count="1">
            <x v="8"/>
          </reference>
        </references>
      </pivotArea>
    </format>
    <format dxfId="827">
      <pivotArea dataOnly="0" labelOnly="1" outline="0" fieldPosition="0">
        <references count="1">
          <reference field="4294967294" count="3">
            <x v="3"/>
            <x v="4"/>
            <x v="5"/>
          </reference>
        </references>
      </pivotArea>
    </format>
  </formats>
  <chartFormats count="9">
    <chartFormat chart="4" format="20" series="1">
      <pivotArea type="data" outline="0" fieldPosition="0">
        <references count="1">
          <reference field="4294967294" count="1" selected="0">
            <x v="0"/>
          </reference>
        </references>
      </pivotArea>
    </chartFormat>
    <chartFormat chart="4" format="21" series="1">
      <pivotArea type="data" outline="0" fieldPosition="0">
        <references count="1">
          <reference field="4294967294" count="1" selected="0">
            <x v="1"/>
          </reference>
        </references>
      </pivotArea>
    </chartFormat>
    <chartFormat chart="4" format="22" series="1">
      <pivotArea type="data" outline="0" fieldPosition="0">
        <references count="1">
          <reference field="4294967294" count="1" selected="0">
            <x v="6"/>
          </reference>
        </references>
      </pivotArea>
    </chartFormat>
    <chartFormat chart="4" format="23" series="1">
      <pivotArea type="data" outline="0" fieldPosition="0">
        <references count="1">
          <reference field="4294967294" count="1" selected="0">
            <x v="7"/>
          </reference>
        </references>
      </pivotArea>
    </chartFormat>
    <chartFormat chart="4" format="24" series="1">
      <pivotArea type="data" outline="0" fieldPosition="0">
        <references count="1">
          <reference field="4294967294" count="1" selected="0">
            <x v="2"/>
          </reference>
        </references>
      </pivotArea>
    </chartFormat>
    <chartFormat chart="4" format="25" series="1">
      <pivotArea type="data" outline="0" fieldPosition="0">
        <references count="1">
          <reference field="4294967294" count="1" selected="0">
            <x v="4"/>
          </reference>
        </references>
      </pivotArea>
    </chartFormat>
    <chartFormat chart="4" format="26" series="1">
      <pivotArea type="data" outline="0" fieldPosition="0">
        <references count="1">
          <reference field="4294967294" count="1" selected="0">
            <x v="3"/>
          </reference>
        </references>
      </pivotArea>
    </chartFormat>
    <chartFormat chart="4" format="27" series="1">
      <pivotArea type="data" outline="0" fieldPosition="0">
        <references count="1">
          <reference field="4294967294" count="1" selected="0">
            <x v="5"/>
          </reference>
        </references>
      </pivotArea>
    </chartFormat>
    <chartFormat chart="4" format="28" series="1">
      <pivotArea type="data" outline="0" fieldPosition="0">
        <references count="1">
          <reference field="4294967294" count="1" selected="0">
            <x v="8"/>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C82E56-0A34-4B26-A7F7-98DC3CA2C1EE}"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C7" firstHeaderRow="0" firstDataRow="1" firstDataCol="1"/>
  <pivotFields count="44">
    <pivotField showAll="0"/>
    <pivotField showAll="0"/>
    <pivotField showAll="0"/>
    <pivotField showAll="0"/>
    <pivotField numFmtId="1" showAll="0"/>
    <pivotField numFmtId="1" showAll="0"/>
    <pivotField showAll="0"/>
    <pivotField axis="axisRow" showAll="0">
      <items count="6">
        <item x="1"/>
        <item x="0"/>
        <item x="2"/>
        <item x="3"/>
        <item x="4"/>
        <item t="default"/>
      </items>
    </pivotField>
    <pivotField showAll="0"/>
    <pivotField showAll="0"/>
    <pivotField numFmtId="2" showAll="0"/>
    <pivotField dataField="1" numFmtId="2" showAll="0" measureFilter="1"/>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0" showAll="0"/>
    <pivotField showAll="0"/>
    <pivotField showAll="0" sortType="ascending">
      <items count="27">
        <item x="3"/>
        <item x="8"/>
        <item x="9"/>
        <item x="7"/>
        <item x="0"/>
        <item x="6"/>
        <item x="2"/>
        <item x="5"/>
        <item x="1"/>
        <item x="12"/>
        <item x="4"/>
        <item x="10"/>
        <item m="1" x="14"/>
        <item m="1" x="19"/>
        <item m="1" x="20"/>
        <item m="1" x="21"/>
        <item m="1" x="22"/>
        <item m="1" x="15"/>
        <item m="1" x="23"/>
        <item m="1" x="16"/>
        <item m="1" x="24"/>
        <item m="1" x="17"/>
        <item m="1" x="25"/>
        <item m="1" x="18"/>
        <item x="11"/>
        <item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7"/>
  </rowFields>
  <rowItems count="6">
    <i>
      <x/>
    </i>
    <i>
      <x v="1"/>
    </i>
    <i>
      <x v="2"/>
    </i>
    <i>
      <x v="3"/>
    </i>
    <i>
      <x v="4"/>
    </i>
    <i t="grand">
      <x/>
    </i>
  </rowItems>
  <colFields count="1">
    <field x="-2"/>
  </colFields>
  <colItems count="2">
    <i>
      <x/>
    </i>
    <i i="1">
      <x v="1"/>
    </i>
  </colItems>
  <dataFields count="2">
    <dataField name="Count of Unit Selling Area" fld="11" subtotal="count" baseField="11" baseItem="0"/>
    <dataField name="Count of Unit Selling Area2" fld="11" subtotal="count" showDataAs="percentOfTotal" baseField="7" baseItem="0" numFmtId="10"/>
  </dataFields>
  <formats count="13">
    <format dxfId="826">
      <pivotArea outline="0" collapsedLevelsAreSubtotals="1" fieldPosition="0"/>
    </format>
    <format dxfId="825">
      <pivotArea dataOnly="0" labelOnly="1" outline="0" axis="axisValues" fieldPosition="0"/>
    </format>
    <format dxfId="824">
      <pivotArea type="all" dataOnly="0" outline="0" fieldPosition="0"/>
    </format>
    <format dxfId="823">
      <pivotArea outline="0" collapsedLevelsAreSubtotals="1" fieldPosition="0"/>
    </format>
    <format dxfId="822">
      <pivotArea field="26" type="button" dataOnly="0" labelOnly="1" outline="0"/>
    </format>
    <format dxfId="821">
      <pivotArea dataOnly="0" labelOnly="1" grandRow="1" outline="0" fieldPosition="0"/>
    </format>
    <format dxfId="820">
      <pivotArea type="all" dataOnly="0" outline="0" fieldPosition="0"/>
    </format>
    <format dxfId="819">
      <pivotArea outline="0" collapsedLevelsAreSubtotals="1" fieldPosition="0"/>
    </format>
    <format dxfId="818">
      <pivotArea field="7" type="button" dataOnly="0" labelOnly="1" outline="0" axis="axisRow" fieldPosition="0"/>
    </format>
    <format dxfId="817">
      <pivotArea dataOnly="0" labelOnly="1" fieldPosition="0">
        <references count="1">
          <reference field="7" count="0"/>
        </references>
      </pivotArea>
    </format>
    <format dxfId="816">
      <pivotArea dataOnly="0" labelOnly="1" grandRow="1" outline="0" fieldPosition="0"/>
    </format>
    <format dxfId="815">
      <pivotArea dataOnly="0" labelOnly="1" outline="0" axis="axisValues" fieldPosition="0"/>
    </format>
    <format dxfId="814">
      <pivotArea outline="0" fieldPosition="0">
        <references count="1">
          <reference field="4294967294" count="1">
            <x v="1"/>
          </reference>
        </references>
      </pivotArea>
    </format>
  </formats>
  <chartFormats count="4">
    <chartFormat chart="4" format="1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s>
  <pivotTableStyleInfo name="PivotStyleLight20" showRowHeaders="1" showColHeaders="1" showRowStripes="0" showColStripes="0" showLastColumn="1"/>
  <filters count="1">
    <filter fld="11"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9B416B-F84F-47E6-9585-6D675D36631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rowHeaderCaption="Unit Area">
  <location ref="A1:B27" firstHeaderRow="1" firstDataRow="1" firstDataCol="1"/>
  <pivotFields count="48">
    <pivotField showAll="0"/>
    <pivotField showAll="0"/>
    <pivotField showAll="0"/>
    <pivotField showAll="0"/>
    <pivotField numFmtId="1" showAll="0"/>
    <pivotField numFmtId="1" showAll="0"/>
    <pivotField showAll="0"/>
    <pivotField showAll="0"/>
    <pivotField showAll="0"/>
    <pivotField showAll="0"/>
    <pivotField numFmtId="2" showAll="0"/>
    <pivotField axis="axisRow" dataField="1" numFmtId="2" showAll="0" measureFilter="1" sortType="ascending">
      <items count="51">
        <item x="13"/>
        <item x="3"/>
        <item x="5"/>
        <item x="16"/>
        <item x="12"/>
        <item x="14"/>
        <item x="15"/>
        <item x="30"/>
        <item x="34"/>
        <item x="4"/>
        <item x="2"/>
        <item x="7"/>
        <item x="17"/>
        <item x="21"/>
        <item x="10"/>
        <item x="9"/>
        <item x="8"/>
        <item x="11"/>
        <item x="1"/>
        <item x="0"/>
        <item x="6"/>
        <item x="48"/>
        <item x="31"/>
        <item x="49"/>
        <item x="35"/>
        <item x="36"/>
        <item x="32"/>
        <item x="33"/>
        <item x="37"/>
        <item x="40"/>
        <item x="28"/>
        <item x="23"/>
        <item x="22"/>
        <item x="47"/>
        <item x="20"/>
        <item x="41"/>
        <item x="42"/>
        <item x="18"/>
        <item x="44"/>
        <item x="26"/>
        <item x="43"/>
        <item x="24"/>
        <item x="45"/>
        <item x="29"/>
        <item x="19"/>
        <item x="25"/>
        <item x="27"/>
        <item x="39"/>
        <item x="38"/>
        <item x="46"/>
        <item t="default"/>
      </items>
    </pivotField>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0" showAll="0"/>
    <pivotField showAll="0"/>
    <pivotField showAll="0" sortType="ascending">
      <items count="14">
        <item x="3"/>
        <item x="8"/>
        <item x="9"/>
        <item x="7"/>
        <item x="0"/>
        <item x="6"/>
        <item x="2"/>
        <item x="5"/>
        <item x="1"/>
        <item x="12"/>
        <item x="4"/>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numFmtId="165" showAll="0"/>
    <pivotField numFmtId="165" showAll="0"/>
    <pivotField numFmtId="168" showAll="0"/>
    <pivotField numFmtId="168" showAll="0"/>
  </pivotFields>
  <rowFields count="1">
    <field x="11"/>
  </rowFields>
  <rowItems count="26">
    <i>
      <x/>
    </i>
    <i>
      <x v="5"/>
    </i>
    <i>
      <x v="7"/>
    </i>
    <i>
      <x v="8"/>
    </i>
    <i>
      <x v="9"/>
    </i>
    <i>
      <x v="11"/>
    </i>
    <i>
      <x v="12"/>
    </i>
    <i>
      <x v="13"/>
    </i>
    <i>
      <x v="14"/>
    </i>
    <i>
      <x v="16"/>
    </i>
    <i>
      <x v="22"/>
    </i>
    <i>
      <x v="24"/>
    </i>
    <i>
      <x v="25"/>
    </i>
    <i>
      <x v="26"/>
    </i>
    <i>
      <x v="27"/>
    </i>
    <i>
      <x v="28"/>
    </i>
    <i>
      <x v="30"/>
    </i>
    <i>
      <x v="31"/>
    </i>
    <i>
      <x v="32"/>
    </i>
    <i>
      <x v="33"/>
    </i>
    <i>
      <x v="34"/>
    </i>
    <i>
      <x v="36"/>
    </i>
    <i>
      <x v="37"/>
    </i>
    <i>
      <x v="44"/>
    </i>
    <i>
      <x v="45"/>
    </i>
    <i t="grand">
      <x/>
    </i>
  </rowItems>
  <colItems count="1">
    <i/>
  </colItems>
  <dataFields count="1">
    <dataField name="Count of Unit Selling Area" fld="11" subtotal="count" baseField="11" baseItem="0"/>
  </dataFields>
  <formats count="12">
    <format dxfId="813">
      <pivotArea outline="0" collapsedLevelsAreSubtotals="1" fieldPosition="0"/>
    </format>
    <format dxfId="812">
      <pivotArea dataOnly="0" labelOnly="1" outline="0" axis="axisValues" fieldPosition="0"/>
    </format>
    <format dxfId="811">
      <pivotArea type="all" dataOnly="0" outline="0" fieldPosition="0"/>
    </format>
    <format dxfId="810">
      <pivotArea outline="0" collapsedLevelsAreSubtotals="1" fieldPosition="0"/>
    </format>
    <format dxfId="809">
      <pivotArea field="26" type="button" dataOnly="0" labelOnly="1" outline="0"/>
    </format>
    <format dxfId="808">
      <pivotArea dataOnly="0" labelOnly="1" grandRow="1" outline="0" fieldPosition="0"/>
    </format>
    <format dxfId="807">
      <pivotArea type="all" dataOnly="0" outline="0" fieldPosition="0"/>
    </format>
    <format dxfId="806">
      <pivotArea outline="0" collapsedLevelsAreSubtotals="1" fieldPosition="0"/>
    </format>
    <format dxfId="805">
      <pivotArea field="11" type="button" dataOnly="0" labelOnly="1" outline="0" axis="axisRow" fieldPosition="0"/>
    </format>
    <format dxfId="804">
      <pivotArea dataOnly="0" labelOnly="1" fieldPosition="0">
        <references count="1">
          <reference field="11" count="25">
            <x v="0"/>
            <x v="5"/>
            <x v="7"/>
            <x v="8"/>
            <x v="9"/>
            <x v="11"/>
            <x v="12"/>
            <x v="13"/>
            <x v="14"/>
            <x v="16"/>
            <x v="22"/>
            <x v="24"/>
            <x v="25"/>
            <x v="26"/>
            <x v="27"/>
            <x v="28"/>
            <x v="30"/>
            <x v="31"/>
            <x v="32"/>
            <x v="33"/>
            <x v="34"/>
            <x v="36"/>
            <x v="37"/>
            <x v="44"/>
            <x v="45"/>
          </reference>
        </references>
      </pivotArea>
    </format>
    <format dxfId="803">
      <pivotArea dataOnly="0" labelOnly="1" grandRow="1" outline="0" fieldPosition="0"/>
    </format>
    <format dxfId="802">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filters count="1">
    <filter fld="11" type="count" evalOrder="-1" id="6" iMeasureFld="0">
      <autoFilter ref="A1">
        <filterColumn colId="0">
          <top10 val="22" filterVal="2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0FFF98-AAE6-43D9-B5CE-D43A4F14AF4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Premium Category">
  <location ref="D3:E7" firstHeaderRow="1" firstDataRow="1" firstDataCol="1" rowPageCount="1" colPageCount="1"/>
  <pivotFields count="44">
    <pivotField showAll="0"/>
    <pivotField showAll="0"/>
    <pivotField showAll="0"/>
    <pivotField showAll="0"/>
    <pivotField numFmtId="1" showAll="0"/>
    <pivotField numFmtId="1" showAll="0"/>
    <pivotField showAll="0"/>
    <pivotField showAll="0"/>
    <pivotField showAll="0"/>
    <pivotField showAll="0"/>
    <pivotField numFmtId="2" showAll="0"/>
    <pivotField dataField="1" numFmtId="2" showAll="0" sortType="ascending"/>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0" showAll="0"/>
    <pivotField axis="axisRow" showAll="0">
      <items count="6">
        <item x="2"/>
        <item x="1"/>
        <item x="0"/>
        <item x="3"/>
        <item m="1" x="4"/>
        <item t="default"/>
      </items>
    </pivotField>
    <pivotField axis="axisPage" showAll="0" sortType="ascending">
      <items count="27">
        <item x="3"/>
        <item x="8"/>
        <item x="9"/>
        <item x="7"/>
        <item x="0"/>
        <item x="6"/>
        <item x="2"/>
        <item x="5"/>
        <item x="1"/>
        <item x="12"/>
        <item x="4"/>
        <item x="10"/>
        <item m="1" x="14"/>
        <item m="1" x="19"/>
        <item m="1" x="20"/>
        <item m="1" x="21"/>
        <item m="1" x="22"/>
        <item m="1" x="15"/>
        <item m="1" x="23"/>
        <item m="1" x="16"/>
        <item m="1" x="24"/>
        <item m="1" x="17"/>
        <item m="1" x="25"/>
        <item m="1" x="18"/>
        <item x="11"/>
        <item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25"/>
  </rowFields>
  <rowItems count="4">
    <i>
      <x/>
    </i>
    <i>
      <x v="1"/>
    </i>
    <i>
      <x v="2"/>
    </i>
    <i t="grand">
      <x/>
    </i>
  </rowItems>
  <colItems count="1">
    <i/>
  </colItems>
  <pageFields count="1">
    <pageField fld="26" item="9" hier="-1"/>
  </pageFields>
  <dataFields count="1">
    <dataField name="Count of Unit Selling Area" fld="11" subtotal="count" baseField="25" baseItem="0"/>
  </dataFields>
  <formats count="12">
    <format dxfId="669">
      <pivotArea outline="0" collapsedLevelsAreSubtotals="1" fieldPosition="0"/>
    </format>
    <format dxfId="668">
      <pivotArea dataOnly="0" labelOnly="1" outline="0" axis="axisValues" fieldPosition="0"/>
    </format>
    <format dxfId="667">
      <pivotArea type="all" dataOnly="0" outline="0" fieldPosition="0"/>
    </format>
    <format dxfId="666">
      <pivotArea outline="0" collapsedLevelsAreSubtotals="1" fieldPosition="0"/>
    </format>
    <format dxfId="665">
      <pivotArea field="26" type="button" dataOnly="0" labelOnly="1" outline="0" axis="axisPage" fieldPosition="0"/>
    </format>
    <format dxfId="664">
      <pivotArea dataOnly="0" labelOnly="1" grandRow="1" outline="0" fieldPosition="0"/>
    </format>
    <format dxfId="663">
      <pivotArea type="all" dataOnly="0" outline="0" fieldPosition="0"/>
    </format>
    <format dxfId="662">
      <pivotArea outline="0" collapsedLevelsAreSubtotals="1" fieldPosition="0"/>
    </format>
    <format dxfId="661">
      <pivotArea field="25" type="button" dataOnly="0" labelOnly="1" outline="0" axis="axisRow" fieldPosition="0"/>
    </format>
    <format dxfId="660">
      <pivotArea dataOnly="0" labelOnly="1" fieldPosition="0">
        <references count="1">
          <reference field="25" count="3">
            <x v="0"/>
            <x v="1"/>
            <x v="2"/>
          </reference>
        </references>
      </pivotArea>
    </format>
    <format dxfId="659">
      <pivotArea dataOnly="0" labelOnly="1" grandRow="1" outline="0" fieldPosition="0"/>
    </format>
    <format dxfId="658">
      <pivotArea dataOnly="0" labelOnly="1" outline="0" axis="axisValues" fieldPosition="0"/>
    </format>
  </formats>
  <chartFormats count="7">
    <chartFormat chart="20" format="8"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 chart="28" format="10" series="1">
      <pivotArea type="data" outline="0" fieldPosition="0">
        <references count="1">
          <reference field="4294967294" count="1" selected="0">
            <x v="0"/>
          </reference>
        </references>
      </pivotArea>
    </chartFormat>
    <chartFormat chart="30" format="10" series="1">
      <pivotArea type="data" outline="0" fieldPosition="0">
        <references count="1">
          <reference field="4294967294" count="1" selected="0">
            <x v="0"/>
          </reference>
        </references>
      </pivotArea>
    </chartFormat>
    <chartFormat chart="32" format="10"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0"/>
          </reference>
        </references>
      </pivotArea>
    </chartFormat>
    <chartFormat chart="36" format="1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EE6543-D73A-44B7-9E04-98E85715D80D}"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Premium Category">
  <location ref="A42:B46" firstHeaderRow="1" firstDataRow="1" firstDataCol="1" rowPageCount="1" colPageCount="1"/>
  <pivotFields count="44">
    <pivotField showAll="0"/>
    <pivotField showAll="0"/>
    <pivotField showAll="0"/>
    <pivotField showAll="0"/>
    <pivotField numFmtId="1" showAll="0"/>
    <pivotField numFmtId="1" showAll="0"/>
    <pivotField showAll="0"/>
    <pivotField showAll="0"/>
    <pivotField showAll="0"/>
    <pivotField showAll="0"/>
    <pivotField numFmtId="2" showAll="0"/>
    <pivotField dataField="1" numFmtId="2" showAll="0" sortType="ascending"/>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0" showAll="0"/>
    <pivotField axis="axisRow" showAll="0">
      <items count="6">
        <item x="2"/>
        <item x="1"/>
        <item x="0"/>
        <item x="3"/>
        <item m="1" x="4"/>
        <item t="default"/>
      </items>
    </pivotField>
    <pivotField axis="axisPage" showAll="0" sortType="ascending">
      <items count="27">
        <item x="3"/>
        <item x="8"/>
        <item x="9"/>
        <item x="7"/>
        <item x="0"/>
        <item x="6"/>
        <item x="2"/>
        <item x="5"/>
        <item x="1"/>
        <item x="12"/>
        <item x="4"/>
        <item x="10"/>
        <item m="1" x="14"/>
        <item m="1" x="19"/>
        <item m="1" x="20"/>
        <item m="1" x="21"/>
        <item m="1" x="22"/>
        <item m="1" x="15"/>
        <item m="1" x="23"/>
        <item m="1" x="16"/>
        <item m="1" x="24"/>
        <item m="1" x="17"/>
        <item m="1" x="25"/>
        <item m="1" x="18"/>
        <item x="11"/>
        <item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25"/>
  </rowFields>
  <rowItems count="4">
    <i>
      <x/>
    </i>
    <i>
      <x v="1"/>
    </i>
    <i>
      <x v="2"/>
    </i>
    <i t="grand">
      <x/>
    </i>
  </rowItems>
  <colItems count="1">
    <i/>
  </colItems>
  <pageFields count="1">
    <pageField fld="26" item="8" hier="-1"/>
  </pageFields>
  <dataFields count="1">
    <dataField name="Count of Unit Selling Area" fld="11" subtotal="count" baseField="25" baseItem="0"/>
  </dataFields>
  <formats count="12">
    <format dxfId="681">
      <pivotArea outline="0" collapsedLevelsAreSubtotals="1" fieldPosition="0"/>
    </format>
    <format dxfId="680">
      <pivotArea dataOnly="0" labelOnly="1" outline="0" axis="axisValues" fieldPosition="0"/>
    </format>
    <format dxfId="679">
      <pivotArea type="all" dataOnly="0" outline="0" fieldPosition="0"/>
    </format>
    <format dxfId="678">
      <pivotArea outline="0" collapsedLevelsAreSubtotals="1" fieldPosition="0"/>
    </format>
    <format dxfId="677">
      <pivotArea field="26" type="button" dataOnly="0" labelOnly="1" outline="0" axis="axisPage" fieldPosition="0"/>
    </format>
    <format dxfId="676">
      <pivotArea dataOnly="0" labelOnly="1" grandRow="1" outline="0" fieldPosition="0"/>
    </format>
    <format dxfId="675">
      <pivotArea type="all" dataOnly="0" outline="0" fieldPosition="0"/>
    </format>
    <format dxfId="674">
      <pivotArea outline="0" collapsedLevelsAreSubtotals="1" fieldPosition="0"/>
    </format>
    <format dxfId="673">
      <pivotArea field="25" type="button" dataOnly="0" labelOnly="1" outline="0" axis="axisRow" fieldPosition="0"/>
    </format>
    <format dxfId="672">
      <pivotArea dataOnly="0" labelOnly="1" fieldPosition="0">
        <references count="1">
          <reference field="25" count="3">
            <x v="0"/>
            <x v="1"/>
            <x v="2"/>
          </reference>
        </references>
      </pivotArea>
    </format>
    <format dxfId="671">
      <pivotArea dataOnly="0" labelOnly="1" grandRow="1" outline="0" fieldPosition="0"/>
    </format>
    <format dxfId="670">
      <pivotArea dataOnly="0" labelOnly="1" outline="0" axis="axisValues" fieldPosition="0"/>
    </format>
  </formats>
  <chartFormats count="6">
    <chartFormat chart="20" format="8"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 chart="28" format="10" series="1">
      <pivotArea type="data" outline="0" fieldPosition="0">
        <references count="1">
          <reference field="4294967294" count="1" selected="0">
            <x v="0"/>
          </reference>
        </references>
      </pivotArea>
    </chartFormat>
    <chartFormat chart="30" format="10" series="1">
      <pivotArea type="data" outline="0" fieldPosition="0">
        <references count="1">
          <reference field="4294967294" count="1" selected="0">
            <x v="0"/>
          </reference>
        </references>
      </pivotArea>
    </chartFormat>
    <chartFormat chart="32" format="10"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99949C-8613-4061-81A2-922C03D68566}"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Premium Category">
  <location ref="D11:E15" firstHeaderRow="1" firstDataRow="1" firstDataCol="1" rowPageCount="1" colPageCount="1"/>
  <pivotFields count="44">
    <pivotField showAll="0"/>
    <pivotField showAll="0"/>
    <pivotField showAll="0"/>
    <pivotField showAll="0"/>
    <pivotField numFmtId="1" showAll="0"/>
    <pivotField numFmtId="1" showAll="0"/>
    <pivotField showAll="0"/>
    <pivotField showAll="0"/>
    <pivotField showAll="0"/>
    <pivotField showAll="0"/>
    <pivotField numFmtId="2" showAll="0"/>
    <pivotField dataField="1" numFmtId="2" showAll="0" sortType="ascending"/>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0" showAll="0"/>
    <pivotField axis="axisRow" showAll="0">
      <items count="6">
        <item x="2"/>
        <item x="1"/>
        <item x="0"/>
        <item x="3"/>
        <item m="1" x="4"/>
        <item t="default"/>
      </items>
    </pivotField>
    <pivotField axis="axisPage" showAll="0" sortType="ascending">
      <items count="27">
        <item x="3"/>
        <item x="8"/>
        <item x="9"/>
        <item x="7"/>
        <item x="0"/>
        <item x="6"/>
        <item x="2"/>
        <item x="5"/>
        <item x="1"/>
        <item x="12"/>
        <item x="4"/>
        <item x="10"/>
        <item m="1" x="14"/>
        <item m="1" x="19"/>
        <item m="1" x="20"/>
        <item m="1" x="21"/>
        <item m="1" x="22"/>
        <item m="1" x="15"/>
        <item m="1" x="23"/>
        <item m="1" x="16"/>
        <item m="1" x="24"/>
        <item m="1" x="17"/>
        <item m="1" x="25"/>
        <item m="1" x="18"/>
        <item x="11"/>
        <item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25"/>
  </rowFields>
  <rowItems count="4">
    <i>
      <x/>
    </i>
    <i>
      <x v="1"/>
    </i>
    <i>
      <x v="2"/>
    </i>
    <i t="grand">
      <x/>
    </i>
  </rowItems>
  <colItems count="1">
    <i/>
  </colItems>
  <pageFields count="1">
    <pageField fld="26" item="10" hier="-1"/>
  </pageFields>
  <dataFields count="1">
    <dataField name="Count of Unit Selling Area" fld="11" subtotal="count" baseField="25" baseItem="0"/>
  </dataFields>
  <formats count="12">
    <format dxfId="693">
      <pivotArea outline="0" collapsedLevelsAreSubtotals="1" fieldPosition="0"/>
    </format>
    <format dxfId="692">
      <pivotArea dataOnly="0" labelOnly="1" outline="0" axis="axisValues" fieldPosition="0"/>
    </format>
    <format dxfId="691">
      <pivotArea type="all" dataOnly="0" outline="0" fieldPosition="0"/>
    </format>
    <format dxfId="690">
      <pivotArea outline="0" collapsedLevelsAreSubtotals="1" fieldPosition="0"/>
    </format>
    <format dxfId="689">
      <pivotArea field="26" type="button" dataOnly="0" labelOnly="1" outline="0" axis="axisPage" fieldPosition="0"/>
    </format>
    <format dxfId="688">
      <pivotArea dataOnly="0" labelOnly="1" grandRow="1" outline="0" fieldPosition="0"/>
    </format>
    <format dxfId="687">
      <pivotArea type="all" dataOnly="0" outline="0" fieldPosition="0"/>
    </format>
    <format dxfId="686">
      <pivotArea outline="0" collapsedLevelsAreSubtotals="1" fieldPosition="0"/>
    </format>
    <format dxfId="685">
      <pivotArea field="25" type="button" dataOnly="0" labelOnly="1" outline="0" axis="axisRow" fieldPosition="0"/>
    </format>
    <format dxfId="684">
      <pivotArea dataOnly="0" labelOnly="1" fieldPosition="0">
        <references count="1">
          <reference field="25" count="3">
            <x v="0"/>
            <x v="1"/>
            <x v="2"/>
          </reference>
        </references>
      </pivotArea>
    </format>
    <format dxfId="683">
      <pivotArea dataOnly="0" labelOnly="1" grandRow="1" outline="0" fieldPosition="0"/>
    </format>
    <format dxfId="682">
      <pivotArea dataOnly="0" labelOnly="1" outline="0" axis="axisValues" fieldPosition="0"/>
    </format>
  </formats>
  <chartFormats count="8">
    <chartFormat chart="20" format="8"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 chart="28" format="10" series="1">
      <pivotArea type="data" outline="0" fieldPosition="0">
        <references count="1">
          <reference field="4294967294" count="1" selected="0">
            <x v="0"/>
          </reference>
        </references>
      </pivotArea>
    </chartFormat>
    <chartFormat chart="30" format="10" series="1">
      <pivotArea type="data" outline="0" fieldPosition="0">
        <references count="1">
          <reference field="4294967294" count="1" selected="0">
            <x v="0"/>
          </reference>
        </references>
      </pivotArea>
    </chartFormat>
    <chartFormat chart="32" format="10"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0"/>
          </reference>
        </references>
      </pivotArea>
    </chartFormat>
    <chartFormat chart="36" format="10" series="1">
      <pivotArea type="data" outline="0" fieldPosition="0">
        <references count="1">
          <reference field="4294967294" count="1" selected="0">
            <x v="0"/>
          </reference>
        </references>
      </pivotArea>
    </chartFormat>
    <chartFormat chart="38" format="1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A0C004-1992-4AA3-86B0-AF6507881AD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Premium Category">
  <location ref="A34:B38" firstHeaderRow="1" firstDataRow="1" firstDataCol="1" rowPageCount="1" colPageCount="1"/>
  <pivotFields count="44">
    <pivotField showAll="0"/>
    <pivotField showAll="0"/>
    <pivotField showAll="0"/>
    <pivotField showAll="0"/>
    <pivotField numFmtId="1" showAll="0"/>
    <pivotField numFmtId="1" showAll="0"/>
    <pivotField showAll="0"/>
    <pivotField showAll="0"/>
    <pivotField showAll="0"/>
    <pivotField showAll="0"/>
    <pivotField numFmtId="2" showAll="0"/>
    <pivotField dataField="1" numFmtId="2" showAll="0" sortType="ascending"/>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0" showAll="0"/>
    <pivotField axis="axisRow" showAll="0">
      <items count="6">
        <item x="2"/>
        <item x="1"/>
        <item x="0"/>
        <item x="3"/>
        <item m="1" x="4"/>
        <item t="default"/>
      </items>
    </pivotField>
    <pivotField axis="axisPage" showAll="0" sortType="ascending">
      <items count="27">
        <item x="3"/>
        <item x="8"/>
        <item x="9"/>
        <item x="7"/>
        <item x="0"/>
        <item x="6"/>
        <item x="2"/>
        <item x="5"/>
        <item x="1"/>
        <item x="12"/>
        <item x="4"/>
        <item x="10"/>
        <item m="1" x="14"/>
        <item m="1" x="19"/>
        <item m="1" x="20"/>
        <item m="1" x="21"/>
        <item m="1" x="22"/>
        <item m="1" x="15"/>
        <item m="1" x="23"/>
        <item m="1" x="16"/>
        <item m="1" x="24"/>
        <item m="1" x="17"/>
        <item m="1" x="25"/>
        <item m="1" x="18"/>
        <item x="11"/>
        <item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25"/>
  </rowFields>
  <rowItems count="4">
    <i>
      <x/>
    </i>
    <i>
      <x v="1"/>
    </i>
    <i>
      <x v="2"/>
    </i>
    <i t="grand">
      <x/>
    </i>
  </rowItems>
  <colItems count="1">
    <i/>
  </colItems>
  <pageFields count="1">
    <pageField fld="26" item="7" hier="-1"/>
  </pageFields>
  <dataFields count="1">
    <dataField name="Count of Unit Selling Area" fld="11" subtotal="count" baseField="25" baseItem="0"/>
  </dataFields>
  <formats count="12">
    <format dxfId="705">
      <pivotArea outline="0" collapsedLevelsAreSubtotals="1" fieldPosition="0"/>
    </format>
    <format dxfId="704">
      <pivotArea dataOnly="0" labelOnly="1" outline="0" axis="axisValues" fieldPosition="0"/>
    </format>
    <format dxfId="703">
      <pivotArea type="all" dataOnly="0" outline="0" fieldPosition="0"/>
    </format>
    <format dxfId="702">
      <pivotArea outline="0" collapsedLevelsAreSubtotals="1" fieldPosition="0"/>
    </format>
    <format dxfId="701">
      <pivotArea field="26" type="button" dataOnly="0" labelOnly="1" outline="0" axis="axisPage" fieldPosition="0"/>
    </format>
    <format dxfId="700">
      <pivotArea dataOnly="0" labelOnly="1" grandRow="1" outline="0" fieldPosition="0"/>
    </format>
    <format dxfId="699">
      <pivotArea type="all" dataOnly="0" outline="0" fieldPosition="0"/>
    </format>
    <format dxfId="698">
      <pivotArea outline="0" collapsedLevelsAreSubtotals="1" fieldPosition="0"/>
    </format>
    <format dxfId="697">
      <pivotArea field="25" type="button" dataOnly="0" labelOnly="1" outline="0" axis="axisRow" fieldPosition="0"/>
    </format>
    <format dxfId="696">
      <pivotArea dataOnly="0" labelOnly="1" fieldPosition="0">
        <references count="1">
          <reference field="25" count="3">
            <x v="0"/>
            <x v="1"/>
            <x v="2"/>
          </reference>
        </references>
      </pivotArea>
    </format>
    <format dxfId="695">
      <pivotArea dataOnly="0" labelOnly="1" grandRow="1" outline="0" fieldPosition="0"/>
    </format>
    <format dxfId="694">
      <pivotArea dataOnly="0" labelOnly="1" outline="0" axis="axisValues" fieldPosition="0"/>
    </format>
  </formats>
  <chartFormats count="5">
    <chartFormat chart="20" format="8"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 chart="28" format="10" series="1">
      <pivotArea type="data" outline="0" fieldPosition="0">
        <references count="1">
          <reference field="4294967294" count="1" selected="0">
            <x v="0"/>
          </reference>
        </references>
      </pivotArea>
    </chartFormat>
    <chartFormat chart="30" format="10" series="1">
      <pivotArea type="data" outline="0" fieldPosition="0">
        <references count="1">
          <reference field="4294967294" count="1" selected="0">
            <x v="0"/>
          </reference>
        </references>
      </pivotArea>
    </chartFormat>
    <chartFormat chart="32" format="1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522C7F-E706-4FD8-927E-F563F39ECD16}"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Premium Category">
  <location ref="D35:E39" firstHeaderRow="1" firstDataRow="1" firstDataCol="1" rowPageCount="1" colPageCount="1"/>
  <pivotFields count="44">
    <pivotField showAll="0"/>
    <pivotField showAll="0"/>
    <pivotField showAll="0"/>
    <pivotField showAll="0"/>
    <pivotField numFmtId="1" showAll="0"/>
    <pivotField numFmtId="1" showAll="0"/>
    <pivotField showAll="0"/>
    <pivotField showAll="0"/>
    <pivotField showAll="0"/>
    <pivotField showAll="0"/>
    <pivotField numFmtId="2" showAll="0"/>
    <pivotField dataField="1" numFmtId="2" showAll="0" sortType="ascending"/>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0" showAll="0"/>
    <pivotField axis="axisRow" showAll="0">
      <items count="6">
        <item x="2"/>
        <item x="1"/>
        <item x="0"/>
        <item x="3"/>
        <item m="1" x="4"/>
        <item t="default"/>
      </items>
    </pivotField>
    <pivotField axis="axisPage" showAll="0" sortType="ascending">
      <items count="27">
        <item x="3"/>
        <item x="8"/>
        <item x="9"/>
        <item x="7"/>
        <item x="0"/>
        <item x="6"/>
        <item x="2"/>
        <item x="5"/>
        <item x="1"/>
        <item x="12"/>
        <item x="4"/>
        <item x="10"/>
        <item m="1" x="14"/>
        <item m="1" x="19"/>
        <item m="1" x="20"/>
        <item m="1" x="21"/>
        <item m="1" x="22"/>
        <item m="1" x="15"/>
        <item m="1" x="23"/>
        <item m="1" x="16"/>
        <item m="1" x="24"/>
        <item m="1" x="17"/>
        <item m="1" x="25"/>
        <item m="1" x="18"/>
        <item x="11"/>
        <item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25"/>
  </rowFields>
  <rowItems count="4">
    <i>
      <x/>
    </i>
    <i>
      <x v="1"/>
    </i>
    <i>
      <x v="2"/>
    </i>
    <i t="grand">
      <x/>
    </i>
  </rowItems>
  <colItems count="1">
    <i/>
  </colItems>
  <pageFields count="1">
    <pageField fld="26" item="2" hier="-1"/>
  </pageFields>
  <dataFields count="1">
    <dataField name="Count of Unit Selling Area" fld="11" subtotal="count" baseField="25" baseItem="0"/>
  </dataFields>
  <formats count="12">
    <format dxfId="717">
      <pivotArea outline="0" collapsedLevelsAreSubtotals="1" fieldPosition="0"/>
    </format>
    <format dxfId="716">
      <pivotArea dataOnly="0" labelOnly="1" outline="0" axis="axisValues" fieldPosition="0"/>
    </format>
    <format dxfId="715">
      <pivotArea type="all" dataOnly="0" outline="0" fieldPosition="0"/>
    </format>
    <format dxfId="714">
      <pivotArea outline="0" collapsedLevelsAreSubtotals="1" fieldPosition="0"/>
    </format>
    <format dxfId="713">
      <pivotArea field="26" type="button" dataOnly="0" labelOnly="1" outline="0" axis="axisPage" fieldPosition="0"/>
    </format>
    <format dxfId="712">
      <pivotArea dataOnly="0" labelOnly="1" grandRow="1" outline="0" fieldPosition="0"/>
    </format>
    <format dxfId="711">
      <pivotArea type="all" dataOnly="0" outline="0" fieldPosition="0"/>
    </format>
    <format dxfId="710">
      <pivotArea outline="0" collapsedLevelsAreSubtotals="1" fieldPosition="0"/>
    </format>
    <format dxfId="709">
      <pivotArea field="25" type="button" dataOnly="0" labelOnly="1" outline="0" axis="axisRow" fieldPosition="0"/>
    </format>
    <format dxfId="708">
      <pivotArea dataOnly="0" labelOnly="1" fieldPosition="0">
        <references count="1">
          <reference field="25" count="3">
            <x v="0"/>
            <x v="1"/>
            <x v="2"/>
          </reference>
        </references>
      </pivotArea>
    </format>
    <format dxfId="707">
      <pivotArea dataOnly="0" labelOnly="1" grandRow="1" outline="0" fieldPosition="0"/>
    </format>
    <format dxfId="706">
      <pivotArea dataOnly="0" labelOnly="1" outline="0" axis="axisValues" fieldPosition="0"/>
    </format>
  </formats>
  <chartFormats count="9">
    <chartFormat chart="20" format="8"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 chart="28" format="10" series="1">
      <pivotArea type="data" outline="0" fieldPosition="0">
        <references count="1">
          <reference field="4294967294" count="1" selected="0">
            <x v="0"/>
          </reference>
        </references>
      </pivotArea>
    </chartFormat>
    <chartFormat chart="30" format="10" series="1">
      <pivotArea type="data" outline="0" fieldPosition="0">
        <references count="1">
          <reference field="4294967294" count="1" selected="0">
            <x v="0"/>
          </reference>
        </references>
      </pivotArea>
    </chartFormat>
    <chartFormat chart="32" format="10"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0"/>
          </reference>
        </references>
      </pivotArea>
    </chartFormat>
    <chartFormat chart="36" format="10" series="1">
      <pivotArea type="data" outline="0" fieldPosition="0">
        <references count="1">
          <reference field="4294967294" count="1" selected="0">
            <x v="0"/>
          </reference>
        </references>
      </pivotArea>
    </chartFormat>
    <chartFormat chart="38" format="10" series="1">
      <pivotArea type="data" outline="0" fieldPosition="0">
        <references count="1">
          <reference field="4294967294" count="1" selected="0">
            <x v="0"/>
          </reference>
        </references>
      </pivotArea>
    </chartFormat>
    <chartFormat chart="40" format="1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698F2E-601F-4406-8764-9FD4AF700C7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Premium Category">
  <location ref="A18:B22" firstHeaderRow="1" firstDataRow="1" firstDataCol="1" rowPageCount="1" colPageCount="1"/>
  <pivotFields count="44">
    <pivotField showAll="0"/>
    <pivotField showAll="0"/>
    <pivotField showAll="0"/>
    <pivotField showAll="0"/>
    <pivotField numFmtId="1" showAll="0"/>
    <pivotField numFmtId="1" showAll="0"/>
    <pivotField showAll="0"/>
    <pivotField showAll="0"/>
    <pivotField showAll="0"/>
    <pivotField showAll="0"/>
    <pivotField numFmtId="2" showAll="0"/>
    <pivotField dataField="1" numFmtId="2" showAll="0" sortType="ascending"/>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0" showAll="0"/>
    <pivotField axis="axisRow" showAll="0">
      <items count="6">
        <item x="2"/>
        <item x="1"/>
        <item x="0"/>
        <item x="3"/>
        <item m="1" x="4"/>
        <item t="default"/>
      </items>
    </pivotField>
    <pivotField axis="axisPage" showAll="0" sortType="ascending">
      <items count="27">
        <item x="3"/>
        <item x="8"/>
        <item x="9"/>
        <item x="7"/>
        <item x="0"/>
        <item x="6"/>
        <item x="2"/>
        <item x="5"/>
        <item x="1"/>
        <item x="12"/>
        <item x="4"/>
        <item x="10"/>
        <item m="1" x="14"/>
        <item m="1" x="19"/>
        <item m="1" x="20"/>
        <item m="1" x="21"/>
        <item m="1" x="22"/>
        <item m="1" x="15"/>
        <item m="1" x="23"/>
        <item m="1" x="16"/>
        <item m="1" x="24"/>
        <item m="1" x="17"/>
        <item m="1" x="25"/>
        <item m="1" x="18"/>
        <item x="11"/>
        <item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25"/>
  </rowFields>
  <rowItems count="4">
    <i>
      <x/>
    </i>
    <i>
      <x v="1"/>
    </i>
    <i>
      <x v="2"/>
    </i>
    <i t="grand">
      <x/>
    </i>
  </rowItems>
  <colItems count="1">
    <i/>
  </colItems>
  <pageFields count="1">
    <pageField fld="26" item="5" hier="-1"/>
  </pageFields>
  <dataFields count="1">
    <dataField name="Count of Unit Selling Area" fld="11" subtotal="count" baseField="25" baseItem="0"/>
  </dataFields>
  <formats count="12">
    <format dxfId="729">
      <pivotArea outline="0" collapsedLevelsAreSubtotals="1" fieldPosition="0"/>
    </format>
    <format dxfId="728">
      <pivotArea dataOnly="0" labelOnly="1" outline="0" axis="axisValues" fieldPosition="0"/>
    </format>
    <format dxfId="727">
      <pivotArea type="all" dataOnly="0" outline="0" fieldPosition="0"/>
    </format>
    <format dxfId="726">
      <pivotArea outline="0" collapsedLevelsAreSubtotals="1" fieldPosition="0"/>
    </format>
    <format dxfId="725">
      <pivotArea field="26" type="button" dataOnly="0" labelOnly="1" outline="0" axis="axisPage" fieldPosition="0"/>
    </format>
    <format dxfId="724">
      <pivotArea dataOnly="0" labelOnly="1" grandRow="1" outline="0" fieldPosition="0"/>
    </format>
    <format dxfId="723">
      <pivotArea type="all" dataOnly="0" outline="0" fieldPosition="0"/>
    </format>
    <format dxfId="722">
      <pivotArea outline="0" collapsedLevelsAreSubtotals="1" fieldPosition="0"/>
    </format>
    <format dxfId="721">
      <pivotArea field="25" type="button" dataOnly="0" labelOnly="1" outline="0" axis="axisRow" fieldPosition="0"/>
    </format>
    <format dxfId="720">
      <pivotArea dataOnly="0" labelOnly="1" fieldPosition="0">
        <references count="1">
          <reference field="25" count="3">
            <x v="0"/>
            <x v="1"/>
            <x v="2"/>
          </reference>
        </references>
      </pivotArea>
    </format>
    <format dxfId="719">
      <pivotArea dataOnly="0" labelOnly="1" grandRow="1" outline="0" fieldPosition="0"/>
    </format>
    <format dxfId="718">
      <pivotArea dataOnly="0" labelOnly="1" outline="0" axis="axisValues" fieldPosition="0"/>
    </format>
  </formats>
  <chartFormats count="3">
    <chartFormat chart="20" format="8"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 chart="28" format="1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F9FC2C-FFF4-4AA6-8227-952AED8C65F2}"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Premium Category">
  <location ref="D27:E31" firstHeaderRow="1" firstDataRow="1" firstDataCol="1" rowPageCount="1" colPageCount="1"/>
  <pivotFields count="44">
    <pivotField showAll="0"/>
    <pivotField showAll="0"/>
    <pivotField showAll="0"/>
    <pivotField showAll="0"/>
    <pivotField numFmtId="1" showAll="0"/>
    <pivotField numFmtId="1" showAll="0"/>
    <pivotField showAll="0"/>
    <pivotField showAll="0"/>
    <pivotField showAll="0"/>
    <pivotField showAll="0"/>
    <pivotField numFmtId="2" showAll="0"/>
    <pivotField dataField="1" numFmtId="2" showAll="0" sortType="ascending"/>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0" showAll="0"/>
    <pivotField axis="axisRow" showAll="0">
      <items count="6">
        <item x="2"/>
        <item x="1"/>
        <item x="0"/>
        <item x="3"/>
        <item m="1" x="4"/>
        <item t="default"/>
      </items>
    </pivotField>
    <pivotField axis="axisPage" showAll="0" sortType="ascending">
      <items count="27">
        <item x="3"/>
        <item x="8"/>
        <item x="9"/>
        <item x="7"/>
        <item x="0"/>
        <item x="6"/>
        <item x="2"/>
        <item x="5"/>
        <item x="1"/>
        <item x="12"/>
        <item x="4"/>
        <item x="10"/>
        <item m="1" x="14"/>
        <item m="1" x="19"/>
        <item m="1" x="20"/>
        <item m="1" x="21"/>
        <item m="1" x="22"/>
        <item m="1" x="15"/>
        <item m="1" x="23"/>
        <item m="1" x="16"/>
        <item m="1" x="24"/>
        <item m="1" x="17"/>
        <item m="1" x="25"/>
        <item m="1" x="18"/>
        <item x="11"/>
        <item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25"/>
  </rowFields>
  <rowItems count="4">
    <i>
      <x/>
    </i>
    <i>
      <x v="1"/>
    </i>
    <i>
      <x v="2"/>
    </i>
    <i t="grand">
      <x/>
    </i>
  </rowItems>
  <colItems count="1">
    <i/>
  </colItems>
  <pageFields count="1">
    <pageField fld="26" item="1" hier="-1"/>
  </pageFields>
  <dataFields count="1">
    <dataField name="Count of Unit Selling Area" fld="11" subtotal="count" baseField="25" baseItem="0"/>
  </dataFields>
  <formats count="12">
    <format dxfId="741">
      <pivotArea outline="0" collapsedLevelsAreSubtotals="1" fieldPosition="0"/>
    </format>
    <format dxfId="740">
      <pivotArea dataOnly="0" labelOnly="1" outline="0" axis="axisValues" fieldPosition="0"/>
    </format>
    <format dxfId="739">
      <pivotArea type="all" dataOnly="0" outline="0" fieldPosition="0"/>
    </format>
    <format dxfId="738">
      <pivotArea outline="0" collapsedLevelsAreSubtotals="1" fieldPosition="0"/>
    </format>
    <format dxfId="737">
      <pivotArea field="26" type="button" dataOnly="0" labelOnly="1" outline="0" axis="axisPage" fieldPosition="0"/>
    </format>
    <format dxfId="736">
      <pivotArea dataOnly="0" labelOnly="1" grandRow="1" outline="0" fieldPosition="0"/>
    </format>
    <format dxfId="735">
      <pivotArea type="all" dataOnly="0" outline="0" fieldPosition="0"/>
    </format>
    <format dxfId="734">
      <pivotArea outline="0" collapsedLevelsAreSubtotals="1" fieldPosition="0"/>
    </format>
    <format dxfId="733">
      <pivotArea field="25" type="button" dataOnly="0" labelOnly="1" outline="0" axis="axisRow" fieldPosition="0"/>
    </format>
    <format dxfId="732">
      <pivotArea dataOnly="0" labelOnly="1" fieldPosition="0">
        <references count="1">
          <reference field="25" count="3">
            <x v="0"/>
            <x v="1"/>
            <x v="2"/>
          </reference>
        </references>
      </pivotArea>
    </format>
    <format dxfId="731">
      <pivotArea dataOnly="0" labelOnly="1" grandRow="1" outline="0" fieldPosition="0"/>
    </format>
    <format dxfId="730">
      <pivotArea dataOnly="0" labelOnly="1" outline="0" axis="axisValues" fieldPosition="0"/>
    </format>
  </formats>
  <chartFormats count="9">
    <chartFormat chart="20" format="8"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 chart="28" format="10" series="1">
      <pivotArea type="data" outline="0" fieldPosition="0">
        <references count="1">
          <reference field="4294967294" count="1" selected="0">
            <x v="0"/>
          </reference>
        </references>
      </pivotArea>
    </chartFormat>
    <chartFormat chart="30" format="10" series="1">
      <pivotArea type="data" outline="0" fieldPosition="0">
        <references count="1">
          <reference field="4294967294" count="1" selected="0">
            <x v="0"/>
          </reference>
        </references>
      </pivotArea>
    </chartFormat>
    <chartFormat chart="32" format="10"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0"/>
          </reference>
        </references>
      </pivotArea>
    </chartFormat>
    <chartFormat chart="36" format="10" series="1">
      <pivotArea type="data" outline="0" fieldPosition="0">
        <references count="1">
          <reference field="4294967294" count="1" selected="0">
            <x v="0"/>
          </reference>
        </references>
      </pivotArea>
    </chartFormat>
    <chartFormat chart="38" format="10" series="1">
      <pivotArea type="data" outline="0" fieldPosition="0">
        <references count="1">
          <reference field="4294967294" count="1" selected="0">
            <x v="0"/>
          </reference>
        </references>
      </pivotArea>
    </chartFormat>
    <chartFormat chart="40" format="1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15B110-07C9-419E-838B-5E8133D1E78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Premium Category">
  <location ref="A11:B15" firstHeaderRow="1" firstDataRow="1" firstDataCol="1" rowPageCount="1" colPageCount="1"/>
  <pivotFields count="44">
    <pivotField showAll="0"/>
    <pivotField showAll="0"/>
    <pivotField showAll="0"/>
    <pivotField showAll="0"/>
    <pivotField numFmtId="1" showAll="0"/>
    <pivotField numFmtId="1" showAll="0"/>
    <pivotField showAll="0"/>
    <pivotField showAll="0"/>
    <pivotField showAll="0"/>
    <pivotField showAll="0"/>
    <pivotField numFmtId="2" showAll="0"/>
    <pivotField dataField="1" numFmtId="2" showAll="0" sortType="ascending"/>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0" showAll="0"/>
    <pivotField axis="axisRow" showAll="0">
      <items count="6">
        <item x="2"/>
        <item x="1"/>
        <item x="0"/>
        <item x="3"/>
        <item m="1" x="4"/>
        <item t="default"/>
      </items>
    </pivotField>
    <pivotField axis="axisPage" showAll="0" sortType="ascending">
      <items count="27">
        <item x="3"/>
        <item x="8"/>
        <item x="9"/>
        <item x="7"/>
        <item x="0"/>
        <item x="6"/>
        <item x="2"/>
        <item x="5"/>
        <item x="1"/>
        <item x="12"/>
        <item x="4"/>
        <item x="10"/>
        <item m="1" x="14"/>
        <item m="1" x="19"/>
        <item m="1" x="20"/>
        <item m="1" x="21"/>
        <item m="1" x="22"/>
        <item m="1" x="15"/>
        <item m="1" x="23"/>
        <item m="1" x="16"/>
        <item m="1" x="24"/>
        <item m="1" x="17"/>
        <item m="1" x="25"/>
        <item m="1" x="18"/>
        <item x="11"/>
        <item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25"/>
  </rowFields>
  <rowItems count="4">
    <i>
      <x/>
    </i>
    <i>
      <x v="1"/>
    </i>
    <i>
      <x v="2"/>
    </i>
    <i t="grand">
      <x/>
    </i>
  </rowItems>
  <colItems count="1">
    <i/>
  </colItems>
  <pageFields count="1">
    <pageField fld="26" item="4" hier="-1"/>
  </pageFields>
  <dataFields count="1">
    <dataField name="Count of Unit Selling Area" fld="11" subtotal="count" baseField="25" baseItem="0"/>
  </dataFields>
  <formats count="12">
    <format dxfId="753">
      <pivotArea outline="0" collapsedLevelsAreSubtotals="1" fieldPosition="0"/>
    </format>
    <format dxfId="752">
      <pivotArea dataOnly="0" labelOnly="1" outline="0" axis="axisValues" fieldPosition="0"/>
    </format>
    <format dxfId="751">
      <pivotArea type="all" dataOnly="0" outline="0" fieldPosition="0"/>
    </format>
    <format dxfId="750">
      <pivotArea outline="0" collapsedLevelsAreSubtotals="1" fieldPosition="0"/>
    </format>
    <format dxfId="749">
      <pivotArea field="26" type="button" dataOnly="0" labelOnly="1" outline="0" axis="axisPage" fieldPosition="0"/>
    </format>
    <format dxfId="748">
      <pivotArea dataOnly="0" labelOnly="1" grandRow="1" outline="0" fieldPosition="0"/>
    </format>
    <format dxfId="747">
      <pivotArea type="all" dataOnly="0" outline="0" fieldPosition="0"/>
    </format>
    <format dxfId="746">
      <pivotArea outline="0" collapsedLevelsAreSubtotals="1" fieldPosition="0"/>
    </format>
    <format dxfId="745">
      <pivotArea field="25" type="button" dataOnly="0" labelOnly="1" outline="0" axis="axisRow" fieldPosition="0"/>
    </format>
    <format dxfId="744">
      <pivotArea dataOnly="0" labelOnly="1" fieldPosition="0">
        <references count="1">
          <reference field="25" count="3">
            <x v="0"/>
            <x v="1"/>
            <x v="2"/>
          </reference>
        </references>
      </pivotArea>
    </format>
    <format dxfId="743">
      <pivotArea dataOnly="0" labelOnly="1" grandRow="1" outline="0" fieldPosition="0"/>
    </format>
    <format dxfId="742">
      <pivotArea dataOnly="0" labelOnly="1" outline="0" axis="axisValues" fieldPosition="0"/>
    </format>
  </formats>
  <chartFormats count="2">
    <chartFormat chart="20" format="8"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42E7F8-475D-47DA-A6FD-6ABFA1B2D96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Premium Category">
  <location ref="A26:B30" firstHeaderRow="1" firstDataRow="1" firstDataCol="1" rowPageCount="1" colPageCount="1"/>
  <pivotFields count="44">
    <pivotField showAll="0"/>
    <pivotField showAll="0"/>
    <pivotField showAll="0"/>
    <pivotField showAll="0"/>
    <pivotField numFmtId="1" showAll="0"/>
    <pivotField numFmtId="1" showAll="0"/>
    <pivotField showAll="0"/>
    <pivotField showAll="0"/>
    <pivotField showAll="0"/>
    <pivotField showAll="0"/>
    <pivotField numFmtId="2" showAll="0"/>
    <pivotField dataField="1" numFmtId="2" showAll="0" sortType="ascending"/>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0" showAll="0"/>
    <pivotField axis="axisRow" showAll="0">
      <items count="6">
        <item x="2"/>
        <item x="1"/>
        <item x="0"/>
        <item x="3"/>
        <item m="1" x="4"/>
        <item t="default"/>
      </items>
    </pivotField>
    <pivotField axis="axisPage" showAll="0" sortType="ascending">
      <items count="27">
        <item x="3"/>
        <item x="8"/>
        <item x="9"/>
        <item x="7"/>
        <item x="0"/>
        <item x="6"/>
        <item x="2"/>
        <item x="5"/>
        <item x="1"/>
        <item x="12"/>
        <item x="4"/>
        <item x="10"/>
        <item m="1" x="14"/>
        <item m="1" x="19"/>
        <item m="1" x="20"/>
        <item m="1" x="21"/>
        <item m="1" x="22"/>
        <item m="1" x="15"/>
        <item m="1" x="23"/>
        <item m="1" x="16"/>
        <item m="1" x="24"/>
        <item m="1" x="17"/>
        <item m="1" x="25"/>
        <item m="1" x="18"/>
        <item x="11"/>
        <item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25"/>
  </rowFields>
  <rowItems count="4">
    <i>
      <x/>
    </i>
    <i>
      <x v="1"/>
    </i>
    <i>
      <x v="2"/>
    </i>
    <i t="grand">
      <x/>
    </i>
  </rowItems>
  <colItems count="1">
    <i/>
  </colItems>
  <pageFields count="1">
    <pageField fld="26" item="6" hier="-1"/>
  </pageFields>
  <dataFields count="1">
    <dataField name="Count of Unit Selling Area" fld="11" subtotal="count" baseField="25" baseItem="0"/>
  </dataFields>
  <formats count="12">
    <format dxfId="765">
      <pivotArea outline="0" collapsedLevelsAreSubtotals="1" fieldPosition="0"/>
    </format>
    <format dxfId="764">
      <pivotArea dataOnly="0" labelOnly="1" outline="0" axis="axisValues" fieldPosition="0"/>
    </format>
    <format dxfId="763">
      <pivotArea type="all" dataOnly="0" outline="0" fieldPosition="0"/>
    </format>
    <format dxfId="762">
      <pivotArea outline="0" collapsedLevelsAreSubtotals="1" fieldPosition="0"/>
    </format>
    <format dxfId="761">
      <pivotArea field="26" type="button" dataOnly="0" labelOnly="1" outline="0" axis="axisPage" fieldPosition="0"/>
    </format>
    <format dxfId="760">
      <pivotArea dataOnly="0" labelOnly="1" grandRow="1" outline="0" fieldPosition="0"/>
    </format>
    <format dxfId="759">
      <pivotArea type="all" dataOnly="0" outline="0" fieldPosition="0"/>
    </format>
    <format dxfId="758">
      <pivotArea outline="0" collapsedLevelsAreSubtotals="1" fieldPosition="0"/>
    </format>
    <format dxfId="757">
      <pivotArea field="25" type="button" dataOnly="0" labelOnly="1" outline="0" axis="axisRow" fieldPosition="0"/>
    </format>
    <format dxfId="756">
      <pivotArea dataOnly="0" labelOnly="1" fieldPosition="0">
        <references count="1">
          <reference field="25" count="3">
            <x v="0"/>
            <x v="1"/>
            <x v="2"/>
          </reference>
        </references>
      </pivotArea>
    </format>
    <format dxfId="755">
      <pivotArea dataOnly="0" labelOnly="1" grandRow="1" outline="0" fieldPosition="0"/>
    </format>
    <format dxfId="754">
      <pivotArea dataOnly="0" labelOnly="1" outline="0" axis="axisValues" fieldPosition="0"/>
    </format>
  </formats>
  <chartFormats count="4">
    <chartFormat chart="20" format="8"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 chart="28" format="10" series="1">
      <pivotArea type="data" outline="0" fieldPosition="0">
        <references count="1">
          <reference field="4294967294" count="1" selected="0">
            <x v="0"/>
          </reference>
        </references>
      </pivotArea>
    </chartFormat>
    <chartFormat chart="30" format="1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E935A69-D5FC-48F0-9048-69EF0187891D}"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Premium Category">
  <location ref="D19:E23" firstHeaderRow="1" firstDataRow="1" firstDataCol="1" rowPageCount="1" colPageCount="1"/>
  <pivotFields count="44">
    <pivotField showAll="0"/>
    <pivotField showAll="0"/>
    <pivotField showAll="0"/>
    <pivotField showAll="0"/>
    <pivotField numFmtId="1" showAll="0"/>
    <pivotField numFmtId="1" showAll="0"/>
    <pivotField showAll="0"/>
    <pivotField showAll="0"/>
    <pivotField showAll="0"/>
    <pivotField showAll="0"/>
    <pivotField numFmtId="2" showAll="0"/>
    <pivotField dataField="1" numFmtId="2" showAll="0" sortType="ascending"/>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0" showAll="0"/>
    <pivotField axis="axisRow" showAll="0">
      <items count="6">
        <item x="2"/>
        <item x="1"/>
        <item x="0"/>
        <item x="3"/>
        <item m="1" x="4"/>
        <item t="default"/>
      </items>
    </pivotField>
    <pivotField axis="axisPage" showAll="0" sortType="ascending">
      <items count="27">
        <item x="3"/>
        <item x="8"/>
        <item x="9"/>
        <item x="7"/>
        <item x="0"/>
        <item x="6"/>
        <item x="2"/>
        <item x="5"/>
        <item x="1"/>
        <item x="12"/>
        <item x="4"/>
        <item x="10"/>
        <item m="1" x="14"/>
        <item m="1" x="19"/>
        <item m="1" x="20"/>
        <item m="1" x="21"/>
        <item m="1" x="22"/>
        <item m="1" x="15"/>
        <item m="1" x="23"/>
        <item m="1" x="16"/>
        <item m="1" x="24"/>
        <item m="1" x="17"/>
        <item m="1" x="25"/>
        <item m="1" x="18"/>
        <item x="11"/>
        <item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25"/>
  </rowFields>
  <rowItems count="4">
    <i>
      <x/>
    </i>
    <i>
      <x v="1"/>
    </i>
    <i>
      <x v="2"/>
    </i>
    <i t="grand">
      <x/>
    </i>
  </rowItems>
  <colItems count="1">
    <i/>
  </colItems>
  <pageFields count="1">
    <pageField fld="26" item="11" hier="-1"/>
  </pageFields>
  <dataFields count="1">
    <dataField name="Count of Unit Selling Area" fld="11" subtotal="count" baseField="25" baseItem="0"/>
  </dataFields>
  <formats count="12">
    <format dxfId="777">
      <pivotArea outline="0" collapsedLevelsAreSubtotals="1" fieldPosition="0"/>
    </format>
    <format dxfId="776">
      <pivotArea dataOnly="0" labelOnly="1" outline="0" axis="axisValues" fieldPosition="0"/>
    </format>
    <format dxfId="775">
      <pivotArea type="all" dataOnly="0" outline="0" fieldPosition="0"/>
    </format>
    <format dxfId="774">
      <pivotArea outline="0" collapsedLevelsAreSubtotals="1" fieldPosition="0"/>
    </format>
    <format dxfId="773">
      <pivotArea field="26" type="button" dataOnly="0" labelOnly="1" outline="0" axis="axisPage" fieldPosition="0"/>
    </format>
    <format dxfId="772">
      <pivotArea dataOnly="0" labelOnly="1" grandRow="1" outline="0" fieldPosition="0"/>
    </format>
    <format dxfId="771">
      <pivotArea type="all" dataOnly="0" outline="0" fieldPosition="0"/>
    </format>
    <format dxfId="770">
      <pivotArea outline="0" collapsedLevelsAreSubtotals="1" fieldPosition="0"/>
    </format>
    <format dxfId="769">
      <pivotArea field="25" type="button" dataOnly="0" labelOnly="1" outline="0" axis="axisRow" fieldPosition="0"/>
    </format>
    <format dxfId="768">
      <pivotArea dataOnly="0" labelOnly="1" fieldPosition="0">
        <references count="1">
          <reference field="25" count="3">
            <x v="0"/>
            <x v="1"/>
            <x v="2"/>
          </reference>
        </references>
      </pivotArea>
    </format>
    <format dxfId="767">
      <pivotArea dataOnly="0" labelOnly="1" grandRow="1" outline="0" fieldPosition="0"/>
    </format>
    <format dxfId="766">
      <pivotArea dataOnly="0" labelOnly="1" outline="0" axis="axisValues" fieldPosition="0"/>
    </format>
  </formats>
  <chartFormats count="9">
    <chartFormat chart="20" format="8"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 chart="28" format="10" series="1">
      <pivotArea type="data" outline="0" fieldPosition="0">
        <references count="1">
          <reference field="4294967294" count="1" selected="0">
            <x v="0"/>
          </reference>
        </references>
      </pivotArea>
    </chartFormat>
    <chartFormat chart="30" format="10" series="1">
      <pivotArea type="data" outline="0" fieldPosition="0">
        <references count="1">
          <reference field="4294967294" count="1" selected="0">
            <x v="0"/>
          </reference>
        </references>
      </pivotArea>
    </chartFormat>
    <chartFormat chart="32" format="10"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0"/>
          </reference>
        </references>
      </pivotArea>
    </chartFormat>
    <chartFormat chart="36" format="10" series="1">
      <pivotArea type="data" outline="0" fieldPosition="0">
        <references count="1">
          <reference field="4294967294" count="1" selected="0">
            <x v="0"/>
          </reference>
        </references>
      </pivotArea>
    </chartFormat>
    <chartFormat chart="38" format="10" series="1">
      <pivotArea type="data" outline="0" fieldPosition="0">
        <references count="1">
          <reference field="4294967294" count="1" selected="0">
            <x v="0"/>
          </reference>
        </references>
      </pivotArea>
    </chartFormat>
    <chartFormat chart="40" format="1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D24571F-326B-450C-BFE9-2E60DC2976A7}"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Premium Category">
  <location ref="D43:E47" firstHeaderRow="1" firstDataRow="1" firstDataCol="1" rowPageCount="1" colPageCount="1"/>
  <pivotFields count="44">
    <pivotField showAll="0"/>
    <pivotField showAll="0"/>
    <pivotField showAll="0"/>
    <pivotField showAll="0"/>
    <pivotField numFmtId="1" showAll="0"/>
    <pivotField numFmtId="1" showAll="0"/>
    <pivotField showAll="0"/>
    <pivotField showAll="0"/>
    <pivotField showAll="0"/>
    <pivotField showAll="0"/>
    <pivotField numFmtId="2" showAll="0"/>
    <pivotField dataField="1" numFmtId="2" showAll="0" sortType="ascending"/>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0" showAll="0"/>
    <pivotField axis="axisRow" showAll="0">
      <items count="6">
        <item x="2"/>
        <item x="1"/>
        <item x="0"/>
        <item x="3"/>
        <item m="1" x="4"/>
        <item t="default"/>
      </items>
    </pivotField>
    <pivotField axis="axisPage" showAll="0" sortType="ascending">
      <items count="27">
        <item x="3"/>
        <item x="8"/>
        <item x="9"/>
        <item x="7"/>
        <item x="0"/>
        <item x="6"/>
        <item x="2"/>
        <item x="5"/>
        <item x="1"/>
        <item x="12"/>
        <item x="4"/>
        <item x="10"/>
        <item m="1" x="14"/>
        <item m="1" x="19"/>
        <item m="1" x="20"/>
        <item m="1" x="21"/>
        <item m="1" x="22"/>
        <item m="1" x="15"/>
        <item m="1" x="23"/>
        <item m="1" x="16"/>
        <item m="1" x="24"/>
        <item m="1" x="17"/>
        <item m="1" x="25"/>
        <item m="1" x="18"/>
        <item x="11"/>
        <item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25"/>
  </rowFields>
  <rowItems count="4">
    <i>
      <x/>
    </i>
    <i>
      <x v="1"/>
    </i>
    <i>
      <x v="2"/>
    </i>
    <i t="grand">
      <x/>
    </i>
  </rowItems>
  <colItems count="1">
    <i/>
  </colItems>
  <pageFields count="1">
    <pageField fld="26" item="3" hier="-1"/>
  </pageFields>
  <dataFields count="1">
    <dataField name="Count of Unit Selling Area" fld="11" subtotal="count" baseField="25" baseItem="0"/>
  </dataFields>
  <formats count="12">
    <format dxfId="789">
      <pivotArea outline="0" collapsedLevelsAreSubtotals="1" fieldPosition="0"/>
    </format>
    <format dxfId="788">
      <pivotArea dataOnly="0" labelOnly="1" outline="0" axis="axisValues" fieldPosition="0"/>
    </format>
    <format dxfId="787">
      <pivotArea type="all" dataOnly="0" outline="0" fieldPosition="0"/>
    </format>
    <format dxfId="786">
      <pivotArea outline="0" collapsedLevelsAreSubtotals="1" fieldPosition="0"/>
    </format>
    <format dxfId="785">
      <pivotArea field="26" type="button" dataOnly="0" labelOnly="1" outline="0" axis="axisPage" fieldPosition="0"/>
    </format>
    <format dxfId="784">
      <pivotArea dataOnly="0" labelOnly="1" grandRow="1" outline="0" fieldPosition="0"/>
    </format>
    <format dxfId="783">
      <pivotArea type="all" dataOnly="0" outline="0" fieldPosition="0"/>
    </format>
    <format dxfId="782">
      <pivotArea outline="0" collapsedLevelsAreSubtotals="1" fieldPosition="0"/>
    </format>
    <format dxfId="781">
      <pivotArea field="25" type="button" dataOnly="0" labelOnly="1" outline="0" axis="axisRow" fieldPosition="0"/>
    </format>
    <format dxfId="780">
      <pivotArea dataOnly="0" labelOnly="1" fieldPosition="0">
        <references count="1">
          <reference field="25" count="3">
            <x v="0"/>
            <x v="1"/>
            <x v="2"/>
          </reference>
        </references>
      </pivotArea>
    </format>
    <format dxfId="779">
      <pivotArea dataOnly="0" labelOnly="1" grandRow="1" outline="0" fieldPosition="0"/>
    </format>
    <format dxfId="778">
      <pivotArea dataOnly="0" labelOnly="1" outline="0" axis="axisValues" fieldPosition="0"/>
    </format>
  </formats>
  <chartFormats count="9">
    <chartFormat chart="20" format="8"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 chart="28" format="10" series="1">
      <pivotArea type="data" outline="0" fieldPosition="0">
        <references count="1">
          <reference field="4294967294" count="1" selected="0">
            <x v="0"/>
          </reference>
        </references>
      </pivotArea>
    </chartFormat>
    <chartFormat chart="30" format="10" series="1">
      <pivotArea type="data" outline="0" fieldPosition="0">
        <references count="1">
          <reference field="4294967294" count="1" selected="0">
            <x v="0"/>
          </reference>
        </references>
      </pivotArea>
    </chartFormat>
    <chartFormat chart="32" format="10"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0"/>
          </reference>
        </references>
      </pivotArea>
    </chartFormat>
    <chartFormat chart="36" format="10" series="1">
      <pivotArea type="data" outline="0" fieldPosition="0">
        <references count="1">
          <reference field="4294967294" count="1" selected="0">
            <x v="0"/>
          </reference>
        </references>
      </pivotArea>
    </chartFormat>
    <chartFormat chart="38" format="10" series="1">
      <pivotArea type="data" outline="0" fieldPosition="0">
        <references count="1">
          <reference field="4294967294" count="1" selected="0">
            <x v="0"/>
          </reference>
        </references>
      </pivotArea>
    </chartFormat>
    <chartFormat chart="40" format="1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8C3245A-1ECF-4C91-A5DA-0CFC96C7D22B}"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Premium Category">
  <location ref="A3:B7" firstHeaderRow="1" firstDataRow="1" firstDataCol="1" rowPageCount="1" colPageCount="1"/>
  <pivotFields count="44">
    <pivotField showAll="0"/>
    <pivotField showAll="0"/>
    <pivotField showAll="0"/>
    <pivotField showAll="0"/>
    <pivotField numFmtId="1" showAll="0"/>
    <pivotField numFmtId="1" showAll="0"/>
    <pivotField showAll="0"/>
    <pivotField showAll="0"/>
    <pivotField showAll="0"/>
    <pivotField showAll="0"/>
    <pivotField numFmtId="2" showAll="0"/>
    <pivotField dataField="1" numFmtId="2" showAll="0" sortType="ascending"/>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0" showAll="0"/>
    <pivotField axis="axisRow" showAll="0">
      <items count="6">
        <item x="2"/>
        <item x="1"/>
        <item x="0"/>
        <item x="3"/>
        <item m="1" x="4"/>
        <item t="default"/>
      </items>
    </pivotField>
    <pivotField axis="axisPage" showAll="0" sortType="ascending">
      <items count="27">
        <item x="3"/>
        <item x="8"/>
        <item x="9"/>
        <item x="7"/>
        <item x="0"/>
        <item x="6"/>
        <item x="2"/>
        <item x="5"/>
        <item x="1"/>
        <item x="12"/>
        <item x="4"/>
        <item x="10"/>
        <item m="1" x="14"/>
        <item m="1" x="19"/>
        <item m="1" x="20"/>
        <item m="1" x="21"/>
        <item m="1" x="22"/>
        <item m="1" x="15"/>
        <item m="1" x="23"/>
        <item m="1" x="16"/>
        <item m="1" x="24"/>
        <item m="1" x="17"/>
        <item m="1" x="25"/>
        <item m="1" x="18"/>
        <item x="11"/>
        <item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25"/>
  </rowFields>
  <rowItems count="4">
    <i>
      <x/>
    </i>
    <i>
      <x v="1"/>
    </i>
    <i>
      <x v="2"/>
    </i>
    <i t="grand">
      <x/>
    </i>
  </rowItems>
  <colItems count="1">
    <i/>
  </colItems>
  <pageFields count="1">
    <pageField fld="26" item="0" hier="-1"/>
  </pageFields>
  <dataFields count="1">
    <dataField name="Count of Unit Selling Area" fld="11" subtotal="count" baseField="25" baseItem="0"/>
  </dataFields>
  <formats count="12">
    <format dxfId="801">
      <pivotArea outline="0" collapsedLevelsAreSubtotals="1" fieldPosition="0"/>
    </format>
    <format dxfId="800">
      <pivotArea dataOnly="0" labelOnly="1" outline="0" axis="axisValues" fieldPosition="0"/>
    </format>
    <format dxfId="799">
      <pivotArea type="all" dataOnly="0" outline="0" fieldPosition="0"/>
    </format>
    <format dxfId="798">
      <pivotArea outline="0" collapsedLevelsAreSubtotals="1" fieldPosition="0"/>
    </format>
    <format dxfId="797">
      <pivotArea field="26" type="button" dataOnly="0" labelOnly="1" outline="0" axis="axisPage" fieldPosition="0"/>
    </format>
    <format dxfId="796">
      <pivotArea dataOnly="0" labelOnly="1" grandRow="1" outline="0" fieldPosition="0"/>
    </format>
    <format dxfId="795">
      <pivotArea type="all" dataOnly="0" outline="0" fieldPosition="0"/>
    </format>
    <format dxfId="794">
      <pivotArea outline="0" collapsedLevelsAreSubtotals="1" fieldPosition="0"/>
    </format>
    <format dxfId="793">
      <pivotArea field="25" type="button" dataOnly="0" labelOnly="1" outline="0" axis="axisRow" fieldPosition="0"/>
    </format>
    <format dxfId="792">
      <pivotArea dataOnly="0" labelOnly="1" fieldPosition="0">
        <references count="1">
          <reference field="25" count="3">
            <x v="0"/>
            <x v="1"/>
            <x v="2"/>
          </reference>
        </references>
      </pivotArea>
    </format>
    <format dxfId="791">
      <pivotArea dataOnly="0" labelOnly="1" grandRow="1" outline="0" fieldPosition="0"/>
    </format>
    <format dxfId="790">
      <pivotArea dataOnly="0" labelOnly="1" outline="0" axis="axisValues"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D4DFE20-98D6-4196-BBC1-46AD628240E7}"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36" firstHeaderRow="1" firstDataRow="1" firstDataCol="1" rowPageCount="1" colPageCount="1"/>
  <pivotFields count="44">
    <pivotField showAll="0"/>
    <pivotField showAll="0"/>
    <pivotField showAll="0"/>
    <pivotField showAll="0"/>
    <pivotField numFmtId="1" showAll="0"/>
    <pivotField numFmtId="1" showAll="0"/>
    <pivotField showAll="0"/>
    <pivotField showAll="0"/>
    <pivotField showAll="0"/>
    <pivotField showAll="0"/>
    <pivotField numFmtId="2" showAll="0"/>
    <pivotField axis="axisRow" dataField="1" numFmtId="2" showAll="0" sortType="ascending">
      <items count="223">
        <item x="13"/>
        <item m="1" x="124"/>
        <item m="1" x="159"/>
        <item m="1" x="61"/>
        <item m="1" x="88"/>
        <item m="1" x="206"/>
        <item m="1" x="78"/>
        <item m="1" x="98"/>
        <item m="1" x="62"/>
        <item x="3"/>
        <item m="1" x="137"/>
        <item x="5"/>
        <item x="16"/>
        <item x="12"/>
        <item m="1" x="191"/>
        <item m="1" x="117"/>
        <item m="1" x="52"/>
        <item m="1" x="89"/>
        <item m="1" x="200"/>
        <item m="1" x="84"/>
        <item m="1" x="79"/>
        <item m="1" x="150"/>
        <item m="1" x="66"/>
        <item m="1" x="118"/>
        <item x="14"/>
        <item x="15"/>
        <item m="1" x="57"/>
        <item m="1" x="188"/>
        <item m="1" x="134"/>
        <item m="1" x="95"/>
        <item m="1" x="207"/>
        <item m="1" x="92"/>
        <item m="1" x="201"/>
        <item m="1" x="194"/>
        <item m="1" x="161"/>
        <item x="30"/>
        <item m="1" x="119"/>
        <item m="1" x="160"/>
        <item x="34"/>
        <item m="1" x="128"/>
        <item m="1" x="172"/>
        <item m="1" x="155"/>
        <item m="1" x="179"/>
        <item m="1" x="202"/>
        <item m="1" x="105"/>
        <item x="4"/>
        <item m="1" x="100"/>
        <item m="1" x="120"/>
        <item m="1" x="153"/>
        <item x="2"/>
        <item x="7"/>
        <item m="1" x="67"/>
        <item x="17"/>
        <item m="1" x="151"/>
        <item m="1" x="102"/>
        <item x="21"/>
        <item m="1" x="131"/>
        <item m="1" x="80"/>
        <item m="1" x="81"/>
        <item m="1" x="170"/>
        <item m="1" x="129"/>
        <item m="1" x="53"/>
        <item m="1" x="106"/>
        <item x="10"/>
        <item m="1" x="107"/>
        <item m="1" x="114"/>
        <item x="9"/>
        <item m="1" x="189"/>
        <item m="1" x="154"/>
        <item m="1" x="203"/>
        <item x="8"/>
        <item x="11"/>
        <item m="1" x="156"/>
        <item m="1" x="162"/>
        <item m="1" x="219"/>
        <item m="1" x="68"/>
        <item m="1" x="197"/>
        <item x="1"/>
        <item x="0"/>
        <item m="1" x="101"/>
        <item m="1" x="174"/>
        <item x="6"/>
        <item m="1" x="108"/>
        <item x="48"/>
        <item m="1" x="216"/>
        <item m="1" x="220"/>
        <item m="1" x="195"/>
        <item m="1" x="126"/>
        <item m="1" x="73"/>
        <item m="1" x="164"/>
        <item x="31"/>
        <item x="49"/>
        <item m="1" x="217"/>
        <item m="1" x="146"/>
        <item m="1" x="165"/>
        <item m="1" x="103"/>
        <item m="1" x="198"/>
        <item m="1" x="104"/>
        <item m="1" x="147"/>
        <item m="1" x="166"/>
        <item x="35"/>
        <item m="1" x="77"/>
        <item m="1" x="127"/>
        <item m="1" x="54"/>
        <item m="1" x="109"/>
        <item m="1" x="58"/>
        <item m="1" x="115"/>
        <item m="1" x="142"/>
        <item m="1" x="193"/>
        <item x="36"/>
        <item m="1" x="171"/>
        <item m="1" x="121"/>
        <item x="32"/>
        <item m="1" x="135"/>
        <item m="1" x="63"/>
        <item m="1" x="158"/>
        <item m="1" x="157"/>
        <item m="1" x="82"/>
        <item m="1" x="116"/>
        <item x="33"/>
        <item m="1" x="59"/>
        <item m="1" x="85"/>
        <item m="1" x="136"/>
        <item m="1" x="183"/>
        <item m="1" x="122"/>
        <item m="1" x="210"/>
        <item m="1" x="212"/>
        <item m="1" x="184"/>
        <item m="1" x="213"/>
        <item m="1" x="93"/>
        <item m="1" x="123"/>
        <item m="1" x="139"/>
        <item x="37"/>
        <item x="40"/>
        <item m="1" x="60"/>
        <item m="1" x="215"/>
        <item m="1" x="190"/>
        <item m="1" x="110"/>
        <item m="1" x="204"/>
        <item m="1" x="221"/>
        <item x="28"/>
        <item m="1" x="148"/>
        <item m="1" x="167"/>
        <item x="23"/>
        <item m="1" x="56"/>
        <item m="1" x="180"/>
        <item m="1" x="143"/>
        <item m="1" x="181"/>
        <item m="1" x="133"/>
        <item m="1" x="192"/>
        <item m="1" x="144"/>
        <item m="1" x="149"/>
        <item m="1" x="196"/>
        <item m="1" x="74"/>
        <item m="1" x="50"/>
        <item m="1" x="168"/>
        <item m="1" x="75"/>
        <item m="1" x="186"/>
        <item m="1" x="96"/>
        <item x="22"/>
        <item m="1" x="94"/>
        <item m="1" x="173"/>
        <item m="1" x="140"/>
        <item m="1" x="208"/>
        <item m="1" x="125"/>
        <item m="1" x="205"/>
        <item m="1" x="86"/>
        <item x="47"/>
        <item m="1" x="175"/>
        <item m="1" x="176"/>
        <item m="1" x="69"/>
        <item m="1" x="112"/>
        <item m="1" x="70"/>
        <item m="1" x="90"/>
        <item x="20"/>
        <item m="1" x="132"/>
        <item x="41"/>
        <item m="1" x="99"/>
        <item x="42"/>
        <item m="1" x="182"/>
        <item m="1" x="91"/>
        <item m="1" x="199"/>
        <item m="1" x="64"/>
        <item m="1" x="130"/>
        <item m="1" x="141"/>
        <item m="1" x="163"/>
        <item x="18"/>
        <item m="1" x="71"/>
        <item m="1" x="76"/>
        <item m="1" x="214"/>
        <item x="44"/>
        <item x="26"/>
        <item m="1" x="83"/>
        <item m="1" x="138"/>
        <item x="43"/>
        <item m="1" x="152"/>
        <item m="1" x="65"/>
        <item x="24"/>
        <item x="45"/>
        <item m="1" x="145"/>
        <item m="1" x="218"/>
        <item m="1" x="87"/>
        <item x="29"/>
        <item m="1" x="55"/>
        <item x="19"/>
        <item m="1" x="187"/>
        <item m="1" x="97"/>
        <item m="1" x="111"/>
        <item x="25"/>
        <item m="1" x="72"/>
        <item m="1" x="169"/>
        <item m="1" x="185"/>
        <item m="1" x="51"/>
        <item x="27"/>
        <item m="1" x="177"/>
        <item m="1" x="113"/>
        <item x="39"/>
        <item m="1" x="211"/>
        <item x="38"/>
        <item m="1" x="209"/>
        <item m="1" x="178"/>
        <item x="46"/>
        <item t="default"/>
      </items>
    </pivotField>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0" showAll="0"/>
    <pivotField showAll="0"/>
    <pivotField axis="axisPage" showAll="0" sortType="ascending">
      <items count="27">
        <item x="3"/>
        <item x="8"/>
        <item x="9"/>
        <item x="7"/>
        <item x="0"/>
        <item x="6"/>
        <item x="2"/>
        <item x="5"/>
        <item x="1"/>
        <item x="12"/>
        <item x="4"/>
        <item x="10"/>
        <item m="1" x="14"/>
        <item m="1" x="19"/>
        <item m="1" x="20"/>
        <item m="1" x="21"/>
        <item m="1" x="22"/>
        <item m="1" x="15"/>
        <item m="1" x="23"/>
        <item m="1" x="16"/>
        <item m="1" x="24"/>
        <item m="1" x="17"/>
        <item m="1" x="25"/>
        <item m="1" x="18"/>
        <item x="11"/>
        <item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11"/>
  </rowFields>
  <rowItems count="33">
    <i>
      <x v="9"/>
    </i>
    <i>
      <x v="35"/>
    </i>
    <i>
      <x v="38"/>
    </i>
    <i>
      <x v="45"/>
    </i>
    <i>
      <x v="49"/>
    </i>
    <i>
      <x v="50"/>
    </i>
    <i>
      <x v="52"/>
    </i>
    <i>
      <x v="55"/>
    </i>
    <i>
      <x v="63"/>
    </i>
    <i>
      <x v="66"/>
    </i>
    <i>
      <x v="70"/>
    </i>
    <i>
      <x v="71"/>
    </i>
    <i>
      <x v="77"/>
    </i>
    <i>
      <x v="90"/>
    </i>
    <i>
      <x v="100"/>
    </i>
    <i>
      <x v="109"/>
    </i>
    <i>
      <x v="112"/>
    </i>
    <i>
      <x v="119"/>
    </i>
    <i>
      <x v="132"/>
    </i>
    <i>
      <x v="140"/>
    </i>
    <i>
      <x v="143"/>
    </i>
    <i>
      <x v="159"/>
    </i>
    <i>
      <x v="167"/>
    </i>
    <i>
      <x v="174"/>
    </i>
    <i>
      <x v="190"/>
    </i>
    <i>
      <x v="194"/>
    </i>
    <i>
      <x v="198"/>
    </i>
    <i>
      <x v="204"/>
    </i>
    <i>
      <x v="208"/>
    </i>
    <i>
      <x v="216"/>
    </i>
    <i>
      <x v="218"/>
    </i>
    <i>
      <x v="221"/>
    </i>
    <i t="grand">
      <x/>
    </i>
  </rowItems>
  <colItems count="1">
    <i/>
  </colItems>
  <pageFields count="1">
    <pageField fld="26" item="0" hier="-1"/>
  </pageFields>
  <dataFields count="1">
    <dataField name="Count of Unit Selling Area" fld="11" subtotal="count" baseField="11" baseItem="0"/>
  </dataFields>
  <formats count="13">
    <format dxfId="657">
      <pivotArea outline="0" collapsedLevelsAreSubtotals="1" fieldPosition="0"/>
    </format>
    <format dxfId="656">
      <pivotArea dataOnly="0" labelOnly="1" outline="0" axis="axisValues" fieldPosition="0"/>
    </format>
    <format dxfId="655">
      <pivotArea type="all" dataOnly="0" outline="0" fieldPosition="0"/>
    </format>
    <format dxfId="654">
      <pivotArea outline="0" collapsedLevelsAreSubtotals="1" fieldPosition="0"/>
    </format>
    <format dxfId="653">
      <pivotArea field="26" type="button" dataOnly="0" labelOnly="1" outline="0" axis="axisPage" fieldPosition="0"/>
    </format>
    <format dxfId="652">
      <pivotArea dataOnly="0" labelOnly="1" grandRow="1" outline="0" fieldPosition="0"/>
    </format>
    <format dxfId="651">
      <pivotArea type="all" dataOnly="0" outline="0" fieldPosition="0"/>
    </format>
    <format dxfId="650">
      <pivotArea outline="0" collapsedLevelsAreSubtotals="1" fieldPosition="0"/>
    </format>
    <format dxfId="649">
      <pivotArea field="11" type="button" dataOnly="0" labelOnly="1" outline="0" axis="axisRow" fieldPosition="0"/>
    </format>
    <format dxfId="648">
      <pivotArea dataOnly="0" labelOnly="1" fieldPosition="0">
        <references count="1">
          <reference field="11" count="50">
            <x v="1"/>
            <x v="6"/>
            <x v="7"/>
            <x v="9"/>
            <x v="14"/>
            <x v="21"/>
            <x v="23"/>
            <x v="30"/>
            <x v="34"/>
            <x v="35"/>
            <x v="38"/>
            <x v="43"/>
            <x v="45"/>
            <x v="49"/>
            <x v="52"/>
            <x v="55"/>
            <x v="59"/>
            <x v="63"/>
            <x v="66"/>
            <x v="70"/>
            <x v="72"/>
            <x v="77"/>
            <x v="80"/>
            <x v="83"/>
            <x v="90"/>
            <x v="91"/>
            <x v="100"/>
            <x v="109"/>
            <x v="112"/>
            <x v="119"/>
            <x v="132"/>
            <x v="133"/>
            <x v="140"/>
            <x v="143"/>
            <x v="159"/>
            <x v="167"/>
            <x v="174"/>
            <x v="176"/>
            <x v="178"/>
            <x v="186"/>
            <x v="190"/>
            <x v="191"/>
            <x v="194"/>
            <x v="197"/>
            <x v="198"/>
            <x v="202"/>
            <x v="204"/>
            <x v="208"/>
            <x v="213"/>
            <x v="216"/>
          </reference>
        </references>
      </pivotArea>
    </format>
    <format dxfId="647">
      <pivotArea dataOnly="0" labelOnly="1" fieldPosition="0">
        <references count="1">
          <reference field="11" count="2">
            <x v="218"/>
            <x v="221"/>
          </reference>
        </references>
      </pivotArea>
    </format>
    <format dxfId="646">
      <pivotArea dataOnly="0" labelOnly="1" grandRow="1" outline="0" fieldPosition="0"/>
    </format>
    <format dxfId="645">
      <pivotArea dataOnly="0" labelOnly="1" outline="0" fieldPosition="0">
        <references count="1">
          <reference field="4294967294" count="1">
            <x v="0"/>
          </reference>
        </references>
      </pivotArea>
    </format>
  </formats>
  <chartFormats count="4">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9575C3C-5D9A-432A-9938-6EE8A07C3F30}"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rowHeaderCaption="Premium Category">
  <location ref="A1:D6" firstHeaderRow="0" firstDataRow="1" firstDataCol="1"/>
  <pivotFields count="44">
    <pivotField showAll="0"/>
    <pivotField showAll="0"/>
    <pivotField showAll="0"/>
    <pivotField showAll="0"/>
    <pivotField numFmtId="1" showAll="0"/>
    <pivotField numFmtId="1" showAll="0"/>
    <pivotField showAll="0"/>
    <pivotField showAll="0"/>
    <pivotField showAll="0"/>
    <pivotField showAll="0"/>
    <pivotField numFmtId="2" showAll="0"/>
    <pivotField numFmtId="2" showAll="0" sortType="ascending">
      <items count="223">
        <item x="13"/>
        <item m="1" x="124"/>
        <item m="1" x="159"/>
        <item m="1" x="61"/>
        <item m="1" x="88"/>
        <item m="1" x="206"/>
        <item m="1" x="78"/>
        <item m="1" x="98"/>
        <item m="1" x="62"/>
        <item x="3"/>
        <item m="1" x="137"/>
        <item x="5"/>
        <item x="16"/>
        <item x="12"/>
        <item m="1" x="191"/>
        <item m="1" x="117"/>
        <item m="1" x="52"/>
        <item m="1" x="89"/>
        <item m="1" x="200"/>
        <item m="1" x="84"/>
        <item m="1" x="79"/>
        <item m="1" x="150"/>
        <item m="1" x="66"/>
        <item m="1" x="118"/>
        <item x="14"/>
        <item x="15"/>
        <item m="1" x="57"/>
        <item m="1" x="188"/>
        <item m="1" x="134"/>
        <item m="1" x="95"/>
        <item m="1" x="207"/>
        <item m="1" x="92"/>
        <item m="1" x="201"/>
        <item m="1" x="194"/>
        <item m="1" x="161"/>
        <item x="30"/>
        <item m="1" x="119"/>
        <item m="1" x="160"/>
        <item x="34"/>
        <item m="1" x="128"/>
        <item m="1" x="172"/>
        <item m="1" x="155"/>
        <item m="1" x="179"/>
        <item m="1" x="202"/>
        <item m="1" x="105"/>
        <item x="4"/>
        <item m="1" x="100"/>
        <item m="1" x="120"/>
        <item m="1" x="153"/>
        <item x="2"/>
        <item x="7"/>
        <item m="1" x="67"/>
        <item x="17"/>
        <item m="1" x="151"/>
        <item m="1" x="102"/>
        <item x="21"/>
        <item m="1" x="131"/>
        <item m="1" x="80"/>
        <item m="1" x="81"/>
        <item m="1" x="170"/>
        <item m="1" x="129"/>
        <item m="1" x="53"/>
        <item m="1" x="106"/>
        <item x="10"/>
        <item m="1" x="107"/>
        <item m="1" x="114"/>
        <item x="9"/>
        <item m="1" x="189"/>
        <item m="1" x="154"/>
        <item m="1" x="203"/>
        <item x="8"/>
        <item x="11"/>
        <item m="1" x="156"/>
        <item m="1" x="162"/>
        <item m="1" x="219"/>
        <item m="1" x="68"/>
        <item m="1" x="197"/>
        <item x="1"/>
        <item x="0"/>
        <item m="1" x="101"/>
        <item m="1" x="174"/>
        <item x="6"/>
        <item m="1" x="108"/>
        <item x="48"/>
        <item m="1" x="216"/>
        <item m="1" x="220"/>
        <item m="1" x="195"/>
        <item m="1" x="126"/>
        <item m="1" x="73"/>
        <item m="1" x="164"/>
        <item x="31"/>
        <item x="49"/>
        <item m="1" x="217"/>
        <item m="1" x="146"/>
        <item m="1" x="165"/>
        <item m="1" x="103"/>
        <item m="1" x="198"/>
        <item m="1" x="104"/>
        <item m="1" x="147"/>
        <item m="1" x="166"/>
        <item x="35"/>
        <item m="1" x="77"/>
        <item m="1" x="127"/>
        <item m="1" x="54"/>
        <item m="1" x="109"/>
        <item m="1" x="58"/>
        <item m="1" x="115"/>
        <item m="1" x="142"/>
        <item m="1" x="193"/>
        <item x="36"/>
        <item m="1" x="171"/>
        <item m="1" x="121"/>
        <item x="32"/>
        <item m="1" x="135"/>
        <item m="1" x="63"/>
        <item m="1" x="158"/>
        <item m="1" x="157"/>
        <item m="1" x="82"/>
        <item m="1" x="116"/>
        <item x="33"/>
        <item m="1" x="59"/>
        <item m="1" x="85"/>
        <item m="1" x="136"/>
        <item m="1" x="183"/>
        <item m="1" x="122"/>
        <item m="1" x="210"/>
        <item m="1" x="212"/>
        <item m="1" x="184"/>
        <item m="1" x="213"/>
        <item m="1" x="93"/>
        <item m="1" x="123"/>
        <item m="1" x="139"/>
        <item x="37"/>
        <item x="40"/>
        <item m="1" x="60"/>
        <item m="1" x="215"/>
        <item m="1" x="190"/>
        <item m="1" x="110"/>
        <item m="1" x="204"/>
        <item m="1" x="221"/>
        <item x="28"/>
        <item m="1" x="148"/>
        <item m="1" x="167"/>
        <item x="23"/>
        <item m="1" x="56"/>
        <item m="1" x="180"/>
        <item m="1" x="143"/>
        <item m="1" x="181"/>
        <item m="1" x="133"/>
        <item m="1" x="192"/>
        <item m="1" x="144"/>
        <item m="1" x="149"/>
        <item m="1" x="196"/>
        <item m="1" x="74"/>
        <item m="1" x="50"/>
        <item m="1" x="168"/>
        <item m="1" x="75"/>
        <item m="1" x="186"/>
        <item m="1" x="96"/>
        <item x="22"/>
        <item m="1" x="94"/>
        <item m="1" x="173"/>
        <item m="1" x="140"/>
        <item m="1" x="208"/>
        <item m="1" x="125"/>
        <item m="1" x="205"/>
        <item m="1" x="86"/>
        <item x="47"/>
        <item m="1" x="175"/>
        <item m="1" x="176"/>
        <item m="1" x="69"/>
        <item m="1" x="112"/>
        <item m="1" x="70"/>
        <item m="1" x="90"/>
        <item x="20"/>
        <item m="1" x="132"/>
        <item x="41"/>
        <item m="1" x="99"/>
        <item x="42"/>
        <item m="1" x="182"/>
        <item m="1" x="91"/>
        <item m="1" x="199"/>
        <item m="1" x="64"/>
        <item m="1" x="130"/>
        <item m="1" x="141"/>
        <item m="1" x="163"/>
        <item x="18"/>
        <item m="1" x="71"/>
        <item m="1" x="76"/>
        <item m="1" x="214"/>
        <item x="44"/>
        <item x="26"/>
        <item m="1" x="83"/>
        <item m="1" x="138"/>
        <item x="43"/>
        <item m="1" x="152"/>
        <item m="1" x="65"/>
        <item x="24"/>
        <item x="45"/>
        <item m="1" x="145"/>
        <item m="1" x="218"/>
        <item m="1" x="87"/>
        <item x="29"/>
        <item m="1" x="55"/>
        <item x="19"/>
        <item m="1" x="187"/>
        <item m="1" x="97"/>
        <item m="1" x="111"/>
        <item x="25"/>
        <item m="1" x="72"/>
        <item m="1" x="169"/>
        <item m="1" x="185"/>
        <item m="1" x="51"/>
        <item x="27"/>
        <item m="1" x="177"/>
        <item m="1" x="113"/>
        <item x="39"/>
        <item m="1" x="211"/>
        <item x="38"/>
        <item m="1" x="209"/>
        <item m="1" x="178"/>
        <item x="46"/>
        <item t="default"/>
      </items>
    </pivotField>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dataField="1" numFmtId="10" showAll="0"/>
    <pivotField axis="axisRow" dataField="1" showAll="0">
      <items count="6">
        <item x="2"/>
        <item x="1"/>
        <item x="0"/>
        <item x="3"/>
        <item m="1" x="4"/>
        <item t="default"/>
      </items>
    </pivotField>
    <pivotField showAll="0" sortType="ascending">
      <items count="27">
        <item x="3"/>
        <item x="8"/>
        <item x="9"/>
        <item x="7"/>
        <item x="0"/>
        <item x="6"/>
        <item x="2"/>
        <item x="5"/>
        <item x="1"/>
        <item x="12"/>
        <item x="4"/>
        <item x="10"/>
        <item m="1" x="14"/>
        <item m="1" x="19"/>
        <item m="1" x="20"/>
        <item m="1" x="21"/>
        <item m="1" x="22"/>
        <item m="1" x="15"/>
        <item m="1" x="23"/>
        <item m="1" x="16"/>
        <item m="1" x="24"/>
        <item m="1" x="17"/>
        <item m="1" x="25"/>
        <item m="1" x="18"/>
        <item x="11"/>
        <item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25"/>
  </rowFields>
  <rowItems count="5">
    <i>
      <x/>
    </i>
    <i>
      <x v="1"/>
    </i>
    <i>
      <x v="2"/>
    </i>
    <i>
      <x v="3"/>
    </i>
    <i t="grand">
      <x/>
    </i>
  </rowItems>
  <colFields count="1">
    <field x="-2"/>
  </colFields>
  <colItems count="3">
    <i>
      <x/>
    </i>
    <i i="1">
      <x v="1"/>
    </i>
    <i i="2">
      <x v="2"/>
    </i>
  </colItems>
  <dataFields count="3">
    <dataField name="Count of PREMIUM CATEGORY" fld="25" subtotal="count" baseField="25" baseItem="0"/>
    <dataField name="Min of TOTAL PREMIUM %" fld="24" subtotal="min" baseField="25" baseItem="0"/>
    <dataField name="Max of TOTAL PREMIUM %" fld="24" subtotal="max" baseField="25" baseItem="0"/>
  </dataFields>
  <formats count="16">
    <format dxfId="644">
      <pivotArea outline="0" collapsedLevelsAreSubtotals="1" fieldPosition="0"/>
    </format>
    <format dxfId="643">
      <pivotArea dataOnly="0" labelOnly="1" outline="0" axis="axisValues" fieldPosition="0"/>
    </format>
    <format dxfId="642">
      <pivotArea type="all" dataOnly="0" outline="0" fieldPosition="0"/>
    </format>
    <format dxfId="641">
      <pivotArea outline="0" collapsedLevelsAreSubtotals="1" fieldPosition="0"/>
    </format>
    <format dxfId="640">
      <pivotArea field="26" type="button" dataOnly="0" labelOnly="1" outline="0"/>
    </format>
    <format dxfId="639">
      <pivotArea dataOnly="0" labelOnly="1" grandRow="1" outline="0" fieldPosition="0"/>
    </format>
    <format dxfId="638">
      <pivotArea type="all" dataOnly="0" outline="0" fieldPosition="0"/>
    </format>
    <format dxfId="637">
      <pivotArea field="11" type="button" dataOnly="0" labelOnly="1" outline="0"/>
    </format>
    <format dxfId="636">
      <pivotArea collapsedLevelsAreSubtotals="1" fieldPosition="0">
        <references count="2">
          <reference field="4294967294" count="1" selected="0">
            <x v="1"/>
          </reference>
          <reference field="25" count="0"/>
        </references>
      </pivotArea>
    </format>
    <format dxfId="635">
      <pivotArea collapsedLevelsAreSubtotals="1" fieldPosition="0">
        <references count="2">
          <reference field="4294967294" count="1" selected="0">
            <x v="2"/>
          </reference>
          <reference field="25" count="0"/>
        </references>
      </pivotArea>
    </format>
    <format dxfId="634">
      <pivotArea type="all" dataOnly="0" outline="0" fieldPosition="0"/>
    </format>
    <format dxfId="633">
      <pivotArea outline="0" collapsedLevelsAreSubtotals="1" fieldPosition="0"/>
    </format>
    <format dxfId="632">
      <pivotArea field="25" type="button" dataOnly="0" labelOnly="1" outline="0" axis="axisRow" fieldPosition="0"/>
    </format>
    <format dxfId="631">
      <pivotArea dataOnly="0" labelOnly="1" fieldPosition="0">
        <references count="1">
          <reference field="25" count="0"/>
        </references>
      </pivotArea>
    </format>
    <format dxfId="630">
      <pivotArea dataOnly="0" labelOnly="1" grandRow="1" outline="0" fieldPosition="0"/>
    </format>
    <format dxfId="629">
      <pivotArea dataOnly="0" labelOnly="1" outline="0" fieldPosition="0">
        <references count="1">
          <reference field="4294967294" count="3">
            <x v="0"/>
            <x v="1"/>
            <x v="2"/>
          </reference>
        </references>
      </pivotArea>
    </format>
  </formats>
  <chartFormats count="3">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C12E1EB-264E-45C6-9D90-00040EC1E548}"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D36" firstHeaderRow="0" firstDataRow="1" firstDataCol="1" rowPageCount="1" colPageCount="1"/>
  <pivotFields count="44">
    <pivotField showAll="0"/>
    <pivotField showAll="0"/>
    <pivotField showAll="0"/>
    <pivotField showAll="0"/>
    <pivotField numFmtId="1" showAll="0"/>
    <pivotField numFmtId="1" showAll="0"/>
    <pivotField showAll="0"/>
    <pivotField showAll="0"/>
    <pivotField showAll="0"/>
    <pivotField showAll="0"/>
    <pivotField numFmtId="2" showAll="0"/>
    <pivotField axis="axisRow" dataField="1" numFmtId="2" showAll="0" sortType="ascending">
      <items count="223">
        <item x="13"/>
        <item m="1" x="124"/>
        <item m="1" x="159"/>
        <item m="1" x="61"/>
        <item m="1" x="88"/>
        <item m="1" x="206"/>
        <item m="1" x="78"/>
        <item m="1" x="98"/>
        <item m="1" x="62"/>
        <item x="3"/>
        <item m="1" x="137"/>
        <item x="5"/>
        <item x="16"/>
        <item x="12"/>
        <item m="1" x="191"/>
        <item m="1" x="117"/>
        <item m="1" x="52"/>
        <item m="1" x="89"/>
        <item m="1" x="200"/>
        <item m="1" x="84"/>
        <item m="1" x="79"/>
        <item m="1" x="150"/>
        <item m="1" x="66"/>
        <item m="1" x="118"/>
        <item x="14"/>
        <item x="15"/>
        <item m="1" x="57"/>
        <item m="1" x="188"/>
        <item m="1" x="134"/>
        <item m="1" x="95"/>
        <item m="1" x="207"/>
        <item m="1" x="92"/>
        <item m="1" x="201"/>
        <item m="1" x="194"/>
        <item m="1" x="161"/>
        <item x="30"/>
        <item m="1" x="119"/>
        <item m="1" x="160"/>
        <item x="34"/>
        <item m="1" x="128"/>
        <item m="1" x="172"/>
        <item m="1" x="155"/>
        <item m="1" x="179"/>
        <item m="1" x="202"/>
        <item m="1" x="105"/>
        <item x="4"/>
        <item m="1" x="100"/>
        <item m="1" x="120"/>
        <item m="1" x="153"/>
        <item x="2"/>
        <item x="7"/>
        <item m="1" x="67"/>
        <item x="17"/>
        <item m="1" x="151"/>
        <item m="1" x="102"/>
        <item x="21"/>
        <item m="1" x="131"/>
        <item m="1" x="80"/>
        <item m="1" x="81"/>
        <item m="1" x="170"/>
        <item m="1" x="129"/>
        <item m="1" x="53"/>
        <item m="1" x="106"/>
        <item x="10"/>
        <item m="1" x="107"/>
        <item m="1" x="114"/>
        <item x="9"/>
        <item m="1" x="189"/>
        <item m="1" x="154"/>
        <item m="1" x="203"/>
        <item x="8"/>
        <item x="11"/>
        <item m="1" x="156"/>
        <item m="1" x="162"/>
        <item m="1" x="219"/>
        <item m="1" x="68"/>
        <item m="1" x="197"/>
        <item x="1"/>
        <item x="0"/>
        <item m="1" x="101"/>
        <item m="1" x="174"/>
        <item x="6"/>
        <item m="1" x="108"/>
        <item x="48"/>
        <item m="1" x="216"/>
        <item m="1" x="220"/>
        <item m="1" x="195"/>
        <item m="1" x="126"/>
        <item m="1" x="73"/>
        <item m="1" x="164"/>
        <item x="31"/>
        <item x="49"/>
        <item m="1" x="217"/>
        <item m="1" x="146"/>
        <item m="1" x="165"/>
        <item m="1" x="103"/>
        <item m="1" x="198"/>
        <item m="1" x="104"/>
        <item m="1" x="147"/>
        <item m="1" x="166"/>
        <item x="35"/>
        <item m="1" x="77"/>
        <item m="1" x="127"/>
        <item m="1" x="54"/>
        <item m="1" x="109"/>
        <item m="1" x="58"/>
        <item m="1" x="115"/>
        <item m="1" x="142"/>
        <item m="1" x="193"/>
        <item x="36"/>
        <item m="1" x="171"/>
        <item m="1" x="121"/>
        <item x="32"/>
        <item m="1" x="135"/>
        <item m="1" x="63"/>
        <item m="1" x="158"/>
        <item m="1" x="157"/>
        <item m="1" x="82"/>
        <item m="1" x="116"/>
        <item x="33"/>
        <item m="1" x="59"/>
        <item m="1" x="85"/>
        <item m="1" x="136"/>
        <item m="1" x="183"/>
        <item m="1" x="122"/>
        <item m="1" x="210"/>
        <item m="1" x="212"/>
        <item m="1" x="184"/>
        <item m="1" x="213"/>
        <item m="1" x="93"/>
        <item m="1" x="123"/>
        <item m="1" x="139"/>
        <item x="37"/>
        <item x="40"/>
        <item m="1" x="60"/>
        <item m="1" x="215"/>
        <item m="1" x="190"/>
        <item m="1" x="110"/>
        <item m="1" x="204"/>
        <item m="1" x="221"/>
        <item x="28"/>
        <item m="1" x="148"/>
        <item m="1" x="167"/>
        <item x="23"/>
        <item m="1" x="56"/>
        <item m="1" x="180"/>
        <item m="1" x="143"/>
        <item m="1" x="181"/>
        <item m="1" x="133"/>
        <item m="1" x="192"/>
        <item m="1" x="144"/>
        <item m="1" x="149"/>
        <item m="1" x="196"/>
        <item m="1" x="74"/>
        <item m="1" x="50"/>
        <item m="1" x="168"/>
        <item m="1" x="75"/>
        <item m="1" x="186"/>
        <item m="1" x="96"/>
        <item x="22"/>
        <item m="1" x="94"/>
        <item m="1" x="173"/>
        <item m="1" x="140"/>
        <item m="1" x="208"/>
        <item m="1" x="125"/>
        <item m="1" x="205"/>
        <item m="1" x="86"/>
        <item x="47"/>
        <item m="1" x="175"/>
        <item m="1" x="176"/>
        <item m="1" x="69"/>
        <item m="1" x="112"/>
        <item m="1" x="70"/>
        <item m="1" x="90"/>
        <item x="20"/>
        <item m="1" x="132"/>
        <item x="41"/>
        <item m="1" x="99"/>
        <item x="42"/>
        <item m="1" x="182"/>
        <item m="1" x="91"/>
        <item m="1" x="199"/>
        <item m="1" x="64"/>
        <item m="1" x="130"/>
        <item m="1" x="141"/>
        <item m="1" x="163"/>
        <item x="18"/>
        <item m="1" x="71"/>
        <item m="1" x="76"/>
        <item m="1" x="214"/>
        <item x="44"/>
        <item x="26"/>
        <item m="1" x="83"/>
        <item m="1" x="138"/>
        <item x="43"/>
        <item m="1" x="152"/>
        <item m="1" x="65"/>
        <item x="24"/>
        <item x="45"/>
        <item m="1" x="145"/>
        <item m="1" x="218"/>
        <item m="1" x="87"/>
        <item x="29"/>
        <item m="1" x="55"/>
        <item x="19"/>
        <item m="1" x="187"/>
        <item m="1" x="97"/>
        <item m="1" x="111"/>
        <item x="25"/>
        <item m="1" x="72"/>
        <item m="1" x="169"/>
        <item m="1" x="185"/>
        <item m="1" x="51"/>
        <item x="27"/>
        <item m="1" x="177"/>
        <item m="1" x="113"/>
        <item x="39"/>
        <item m="1" x="211"/>
        <item x="38"/>
        <item m="1" x="209"/>
        <item m="1" x="178"/>
        <item x="46"/>
        <item t="default"/>
      </items>
    </pivotField>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dataField="1" numFmtId="10" showAll="0"/>
    <pivotField showAll="0"/>
    <pivotField axis="axisPage" showAll="0" sortType="ascending">
      <items count="27">
        <item x="3"/>
        <item x="8"/>
        <item x="9"/>
        <item x="7"/>
        <item x="0"/>
        <item x="6"/>
        <item x="2"/>
        <item x="5"/>
        <item x="1"/>
        <item x="12"/>
        <item x="4"/>
        <item x="10"/>
        <item m="1" x="14"/>
        <item m="1" x="19"/>
        <item m="1" x="20"/>
        <item m="1" x="21"/>
        <item m="1" x="22"/>
        <item m="1" x="15"/>
        <item m="1" x="23"/>
        <item m="1" x="16"/>
        <item m="1" x="24"/>
        <item m="1" x="17"/>
        <item m="1" x="25"/>
        <item m="1" x="18"/>
        <item x="11"/>
        <item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11"/>
  </rowFields>
  <rowItems count="33">
    <i>
      <x v="9"/>
    </i>
    <i>
      <x v="35"/>
    </i>
    <i>
      <x v="38"/>
    </i>
    <i>
      <x v="45"/>
    </i>
    <i>
      <x v="49"/>
    </i>
    <i>
      <x v="50"/>
    </i>
    <i>
      <x v="52"/>
    </i>
    <i>
      <x v="55"/>
    </i>
    <i>
      <x v="63"/>
    </i>
    <i>
      <x v="66"/>
    </i>
    <i>
      <x v="70"/>
    </i>
    <i>
      <x v="71"/>
    </i>
    <i>
      <x v="77"/>
    </i>
    <i>
      <x v="90"/>
    </i>
    <i>
      <x v="100"/>
    </i>
    <i>
      <x v="109"/>
    </i>
    <i>
      <x v="112"/>
    </i>
    <i>
      <x v="119"/>
    </i>
    <i>
      <x v="132"/>
    </i>
    <i>
      <x v="140"/>
    </i>
    <i>
      <x v="143"/>
    </i>
    <i>
      <x v="159"/>
    </i>
    <i>
      <x v="167"/>
    </i>
    <i>
      <x v="174"/>
    </i>
    <i>
      <x v="190"/>
    </i>
    <i>
      <x v="194"/>
    </i>
    <i>
      <x v="198"/>
    </i>
    <i>
      <x v="204"/>
    </i>
    <i>
      <x v="208"/>
    </i>
    <i>
      <x v="216"/>
    </i>
    <i>
      <x v="218"/>
    </i>
    <i>
      <x v="221"/>
    </i>
    <i t="grand">
      <x/>
    </i>
  </rowItems>
  <colFields count="1">
    <field x="-2"/>
  </colFields>
  <colItems count="3">
    <i>
      <x/>
    </i>
    <i i="1">
      <x v="1"/>
    </i>
    <i i="2">
      <x v="2"/>
    </i>
  </colItems>
  <pageFields count="1">
    <pageField fld="26" item="0" hier="-1"/>
  </pageFields>
  <dataFields count="3">
    <dataField name="Count of Unit Selling Area" fld="11" subtotal="count" baseField="11" baseItem="0"/>
    <dataField name="Min of TOTAL PREMIUM %" fld="24" subtotal="min" baseField="11" baseItem="6"/>
    <dataField name="Max of TOTAL PREMIUM %" fld="24" subtotal="max" baseField="11" baseItem="6"/>
  </dataFields>
  <formats count="13">
    <format dxfId="628">
      <pivotArea outline="0" collapsedLevelsAreSubtotals="1" fieldPosition="0"/>
    </format>
    <format dxfId="627">
      <pivotArea dataOnly="0" labelOnly="1" outline="0" axis="axisValues" fieldPosition="0"/>
    </format>
    <format dxfId="626">
      <pivotArea type="all" dataOnly="0" outline="0" fieldPosition="0"/>
    </format>
    <format dxfId="625">
      <pivotArea outline="0" collapsedLevelsAreSubtotals="1" fieldPosition="0"/>
    </format>
    <format dxfId="624">
      <pivotArea field="26" type="button" dataOnly="0" labelOnly="1" outline="0" axis="axisPage" fieldPosition="0"/>
    </format>
    <format dxfId="623">
      <pivotArea dataOnly="0" labelOnly="1" grandRow="1" outline="0" fieldPosition="0"/>
    </format>
    <format dxfId="622">
      <pivotArea type="all" dataOnly="0" outline="0" fieldPosition="0"/>
    </format>
    <format dxfId="621">
      <pivotArea outline="0" collapsedLevelsAreSubtotals="1" fieldPosition="0"/>
    </format>
    <format dxfId="620">
      <pivotArea field="11" type="button" dataOnly="0" labelOnly="1" outline="0" axis="axisRow" fieldPosition="0"/>
    </format>
    <format dxfId="619">
      <pivotArea dataOnly="0" labelOnly="1" fieldPosition="0">
        <references count="1">
          <reference field="11" count="50">
            <x v="1"/>
            <x v="6"/>
            <x v="7"/>
            <x v="9"/>
            <x v="14"/>
            <x v="21"/>
            <x v="23"/>
            <x v="30"/>
            <x v="34"/>
            <x v="35"/>
            <x v="38"/>
            <x v="43"/>
            <x v="45"/>
            <x v="49"/>
            <x v="52"/>
            <x v="55"/>
            <x v="59"/>
            <x v="63"/>
            <x v="66"/>
            <x v="70"/>
            <x v="72"/>
            <x v="77"/>
            <x v="80"/>
            <x v="83"/>
            <x v="90"/>
            <x v="91"/>
            <x v="100"/>
            <x v="109"/>
            <x v="112"/>
            <x v="119"/>
            <x v="132"/>
            <x v="133"/>
            <x v="140"/>
            <x v="143"/>
            <x v="159"/>
            <x v="167"/>
            <x v="174"/>
            <x v="176"/>
            <x v="178"/>
            <x v="186"/>
            <x v="190"/>
            <x v="191"/>
            <x v="194"/>
            <x v="197"/>
            <x v="198"/>
            <x v="202"/>
            <x v="204"/>
            <x v="208"/>
            <x v="213"/>
            <x v="216"/>
          </reference>
        </references>
      </pivotArea>
    </format>
    <format dxfId="618">
      <pivotArea dataOnly="0" labelOnly="1" fieldPosition="0">
        <references count="1">
          <reference field="11" count="2">
            <x v="218"/>
            <x v="221"/>
          </reference>
        </references>
      </pivotArea>
    </format>
    <format dxfId="617">
      <pivotArea dataOnly="0" labelOnly="1" grandRow="1" outline="0" fieldPosition="0"/>
    </format>
    <format dxfId="616">
      <pivotArea dataOnly="0" labelOnly="1" outline="0" fieldPosition="0">
        <references count="1">
          <reference field="4294967294" count="1">
            <x v="0"/>
          </reference>
        </references>
      </pivotArea>
    </format>
  </formats>
  <chartFormats count="3">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0C1D5B9-9659-4D71-9961-12EBDC71EAD8}"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EMIUM %">
  <location ref="A1065:C1072" firstHeaderRow="0" firstDataRow="1" firstDataCol="1"/>
  <pivotFields count="44">
    <pivotField showAll="0"/>
    <pivotField showAll="0"/>
    <pivotField showAll="0"/>
    <pivotField showAll="0"/>
    <pivotField numFmtId="1" showAll="0"/>
    <pivotField numFmtId="1" showAll="0"/>
    <pivotField dataField="1" showAll="0"/>
    <pivotField showAll="0"/>
    <pivotField showAll="0"/>
    <pivotField showAll="0"/>
    <pivotField numFmtId="2" showAll="0"/>
    <pivotField dataField="1" numFmtId="2" showAll="0"/>
    <pivotField showAll="0"/>
    <pivotField showAll="0"/>
    <pivotField showAll="0"/>
    <pivotField showAll="0"/>
    <pivotField showAll="0"/>
    <pivotField showAll="0"/>
    <pivotField axis="axisRow" showAll="0">
      <items count="9">
        <item x="2"/>
        <item x="1"/>
        <item x="0"/>
        <item x="4"/>
        <item x="3"/>
        <item m="1" x="7"/>
        <item x="5"/>
        <item m="1" x="6"/>
        <item t="default"/>
      </items>
    </pivotField>
    <pivotField numFmtId="164" showAll="0"/>
    <pivotField numFmtId="164" showAll="0"/>
    <pivotField numFmtId="164" showAll="0"/>
    <pivotField numFmtId="164" showAll="0"/>
    <pivotField numFmtId="164" showAll="0"/>
    <pivotField numFmtId="1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18"/>
  </rowFields>
  <rowItems count="7">
    <i>
      <x/>
    </i>
    <i>
      <x v="1"/>
    </i>
    <i>
      <x v="2"/>
    </i>
    <i>
      <x v="3"/>
    </i>
    <i>
      <x v="4"/>
    </i>
    <i>
      <x v="6"/>
    </i>
    <i t="grand">
      <x/>
    </i>
  </rowItems>
  <colFields count="1">
    <field x="-2"/>
  </colFields>
  <colItems count="2">
    <i>
      <x/>
    </i>
    <i i="1">
      <x v="1"/>
    </i>
  </colItems>
  <dataFields count="2">
    <dataField name="Count of Unit Number" fld="6" subtotal="count" showDataAs="percentOfTotal" baseField="0" baseItem="0" numFmtId="10"/>
    <dataField name="Sum of Unit Selling Area2" fld="11" showDataAs="percentOfTotal" baseField="0" baseItem="0" numFmtId="10"/>
  </dataFields>
  <formats count="10">
    <format dxfId="358">
      <pivotArea outline="0" collapsedLevelsAreSubtotals="1" fieldPosition="0"/>
    </format>
    <format dxfId="357">
      <pivotArea dataOnly="0" labelOnly="1" outline="0" axis="axisValues" fieldPosition="0"/>
    </format>
    <format dxfId="356">
      <pivotArea outline="0" fieldPosition="0">
        <references count="1">
          <reference field="4294967294" count="1">
            <x v="1"/>
          </reference>
        </references>
      </pivotArea>
    </format>
    <format dxfId="355">
      <pivotArea outline="0" fieldPosition="0">
        <references count="1">
          <reference field="4294967294" count="1">
            <x v="0"/>
          </reference>
        </references>
      </pivotArea>
    </format>
    <format dxfId="354">
      <pivotArea type="all" dataOnly="0" outline="0" fieldPosition="0"/>
    </format>
    <format dxfId="353">
      <pivotArea outline="0" collapsedLevelsAreSubtotals="1" fieldPosition="0"/>
    </format>
    <format dxfId="352">
      <pivotArea field="18" type="button" dataOnly="0" labelOnly="1" outline="0" axis="axisRow" fieldPosition="0"/>
    </format>
    <format dxfId="351">
      <pivotArea dataOnly="0" labelOnly="1" fieldPosition="0">
        <references count="1">
          <reference field="18" count="0"/>
        </references>
      </pivotArea>
    </format>
    <format dxfId="350">
      <pivotArea dataOnly="0" labelOnly="1" grandRow="1" outline="0" fieldPosition="0"/>
    </format>
    <format dxfId="349">
      <pivotArea dataOnly="0" labelOnly="1" outline="0" fieldPosition="0">
        <references count="1">
          <reference field="4294967294" count="2">
            <x v="0"/>
            <x v="1"/>
          </reference>
        </references>
      </pivotArea>
    </format>
  </formats>
  <chartFormats count="14">
    <chartFormat chart="1"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1"/>
          </reference>
          <reference field="18" count="1" selected="0">
            <x v="2"/>
          </reference>
        </references>
      </pivotArea>
    </chartFormat>
    <chartFormat chart="3" format="3">
      <pivotArea type="data" outline="0" fieldPosition="0">
        <references count="2">
          <reference field="4294967294" count="1" selected="0">
            <x v="0"/>
          </reference>
          <reference field="18" count="1" selected="0">
            <x v="3"/>
          </reference>
        </references>
      </pivotArea>
    </chartFormat>
    <chartFormat chart="3" format="4">
      <pivotArea type="data" outline="0" fieldPosition="0">
        <references count="2">
          <reference field="4294967294" count="1" selected="0">
            <x v="0"/>
          </reference>
          <reference field="18" count="1" selected="0">
            <x v="1"/>
          </reference>
        </references>
      </pivotArea>
    </chartFormat>
    <chartFormat chart="3" format="5">
      <pivotArea type="data" outline="0" fieldPosition="0">
        <references count="2">
          <reference field="4294967294" count="1" selected="0">
            <x v="1"/>
          </reference>
          <reference field="18" count="1" selected="0">
            <x v="1"/>
          </reference>
        </references>
      </pivotArea>
    </chartFormat>
    <chartFormat chart="3" format="6">
      <pivotArea type="data" outline="0" fieldPosition="0">
        <references count="2">
          <reference field="4294967294" count="1" selected="0">
            <x v="1"/>
          </reference>
          <reference field="18" count="1" selected="0">
            <x v="0"/>
          </reference>
        </references>
      </pivotArea>
    </chartFormat>
    <chartFormat chart="3" format="7">
      <pivotArea type="data" outline="0" fieldPosition="0">
        <references count="2">
          <reference field="4294967294" count="1" selected="0">
            <x v="0"/>
          </reference>
          <reference field="18" count="1" selected="0">
            <x v="0"/>
          </reference>
        </references>
      </pivotArea>
    </chartFormat>
    <chartFormat chart="3" format="8">
      <pivotArea type="data" outline="0" fieldPosition="0">
        <references count="2">
          <reference field="4294967294" count="1" selected="0">
            <x v="1"/>
          </reference>
          <reference field="18" count="1" selected="0">
            <x v="4"/>
          </reference>
        </references>
      </pivotArea>
    </chartFormat>
    <chartFormat chart="3" format="9">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7621C4E-1DC1-434D-85EB-6DD87252EF18}"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EMIUM %">
  <location ref="A896:B947" firstHeaderRow="1" firstDataRow="1" firstDataCol="1"/>
  <pivotFields count="44">
    <pivotField showAll="0"/>
    <pivotField showAll="0"/>
    <pivotField showAll="0"/>
    <pivotField showAll="0"/>
    <pivotField numFmtId="1" showAll="0"/>
    <pivotField numFmtId="1" showAll="0"/>
    <pivotField dataField="1" showAll="0"/>
    <pivotField showAll="0"/>
    <pivotField showAll="0"/>
    <pivotField showAll="0"/>
    <pivotField numFmtId="2" showAll="0"/>
    <pivotField axis="axisRow" numFmtId="2" showAll="0">
      <items count="223">
        <item m="1" x="159"/>
        <item m="1" x="61"/>
        <item m="1" x="88"/>
        <item m="1" x="206"/>
        <item m="1" x="62"/>
        <item m="1" x="137"/>
        <item m="1" x="117"/>
        <item m="1" x="52"/>
        <item m="1" x="89"/>
        <item m="1" x="200"/>
        <item m="1" x="84"/>
        <item m="1" x="79"/>
        <item m="1" x="66"/>
        <item m="1" x="57"/>
        <item m="1" x="188"/>
        <item m="1" x="134"/>
        <item m="1" x="95"/>
        <item m="1" x="92"/>
        <item m="1" x="201"/>
        <item m="1" x="194"/>
        <item m="1" x="119"/>
        <item m="1" x="160"/>
        <item m="1" x="128"/>
        <item m="1" x="172"/>
        <item m="1" x="155"/>
        <item m="1" x="179"/>
        <item m="1" x="105"/>
        <item m="1" x="100"/>
        <item m="1" x="120"/>
        <item m="1" x="153"/>
        <item m="1" x="67"/>
        <item m="1" x="151"/>
        <item m="1" x="102"/>
        <item m="1" x="131"/>
        <item m="1" x="80"/>
        <item m="1" x="81"/>
        <item m="1" x="129"/>
        <item m="1" x="53"/>
        <item m="1" x="106"/>
        <item m="1" x="107"/>
        <item m="1" x="114"/>
        <item m="1" x="189"/>
        <item m="1" x="154"/>
        <item m="1" x="203"/>
        <item m="1" x="162"/>
        <item m="1" x="219"/>
        <item m="1" x="68"/>
        <item m="1" x="197"/>
        <item m="1" x="101"/>
        <item m="1" x="108"/>
        <item m="1" x="216"/>
        <item m="1" x="220"/>
        <item m="1" x="195"/>
        <item m="1" x="126"/>
        <item m="1" x="73"/>
        <item m="1" x="164"/>
        <item m="1" x="217"/>
        <item m="1" x="146"/>
        <item m="1" x="165"/>
        <item m="1" x="103"/>
        <item m="1" x="198"/>
        <item m="1" x="104"/>
        <item m="1" x="147"/>
        <item m="1" x="166"/>
        <item m="1" x="77"/>
        <item m="1" x="127"/>
        <item m="1" x="54"/>
        <item m="1" x="109"/>
        <item m="1" x="58"/>
        <item m="1" x="115"/>
        <item m="1" x="142"/>
        <item m="1" x="193"/>
        <item m="1" x="171"/>
        <item m="1" x="121"/>
        <item m="1" x="135"/>
        <item m="1" x="63"/>
        <item m="1" x="158"/>
        <item m="1" x="157"/>
        <item m="1" x="82"/>
        <item m="1" x="116"/>
        <item m="1" x="59"/>
        <item m="1" x="85"/>
        <item m="1" x="136"/>
        <item m="1" x="183"/>
        <item m="1" x="122"/>
        <item m="1" x="210"/>
        <item m="1" x="212"/>
        <item m="1" x="184"/>
        <item m="1" x="213"/>
        <item m="1" x="93"/>
        <item m="1" x="123"/>
        <item m="1" x="139"/>
        <item m="1" x="60"/>
        <item m="1" x="215"/>
        <item m="1" x="190"/>
        <item m="1" x="110"/>
        <item m="1" x="204"/>
        <item m="1" x="221"/>
        <item m="1" x="148"/>
        <item m="1" x="167"/>
        <item m="1" x="56"/>
        <item m="1" x="180"/>
        <item m="1" x="143"/>
        <item m="1" x="181"/>
        <item m="1" x="133"/>
        <item m="1" x="192"/>
        <item m="1" x="144"/>
        <item m="1" x="149"/>
        <item m="1" x="196"/>
        <item m="1" x="74"/>
        <item m="1" x="50"/>
        <item m="1" x="168"/>
        <item m="1" x="75"/>
        <item m="1" x="186"/>
        <item m="1" x="96"/>
        <item m="1" x="94"/>
        <item m="1" x="173"/>
        <item m="1" x="140"/>
        <item m="1" x="208"/>
        <item m="1" x="125"/>
        <item m="1" x="205"/>
        <item m="1" x="86"/>
        <item m="1" x="175"/>
        <item m="1" x="176"/>
        <item m="1" x="69"/>
        <item m="1" x="112"/>
        <item m="1" x="70"/>
        <item m="1" x="90"/>
        <item m="1" x="132"/>
        <item m="1" x="99"/>
        <item m="1" x="182"/>
        <item m="1" x="91"/>
        <item m="1" x="199"/>
        <item m="1" x="64"/>
        <item m="1" x="130"/>
        <item m="1" x="141"/>
        <item m="1" x="163"/>
        <item m="1" x="71"/>
        <item m="1" x="76"/>
        <item m="1" x="214"/>
        <item m="1" x="83"/>
        <item m="1" x="138"/>
        <item m="1" x="152"/>
        <item m="1" x="65"/>
        <item m="1" x="145"/>
        <item m="1" x="218"/>
        <item m="1" x="87"/>
        <item m="1" x="55"/>
        <item m="1" x="187"/>
        <item m="1" x="97"/>
        <item m="1" x="111"/>
        <item m="1" x="72"/>
        <item m="1" x="169"/>
        <item m="1" x="185"/>
        <item m="1" x="51"/>
        <item m="1" x="177"/>
        <item m="1" x="211"/>
        <item m="1" x="113"/>
        <item m="1" x="209"/>
        <item m="1" x="178"/>
        <item x="1"/>
        <item m="1" x="156"/>
        <item x="4"/>
        <item m="1" x="98"/>
        <item m="1" x="202"/>
        <item x="3"/>
        <item m="1" x="174"/>
        <item x="2"/>
        <item x="9"/>
        <item m="1" x="170"/>
        <item x="8"/>
        <item x="10"/>
        <item m="1" x="118"/>
        <item m="1" x="150"/>
        <item m="1" x="124"/>
        <item m="1" x="207"/>
        <item m="1" x="161"/>
        <item m="1" x="78"/>
        <item m="1" x="191"/>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0"/>
        <item x="5"/>
        <item x="6"/>
        <item x="7"/>
        <item x="11"/>
        <item x="12"/>
        <item x="13"/>
        <item x="14"/>
        <item x="15"/>
        <item x="16"/>
        <item t="default"/>
      </items>
    </pivotField>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11"/>
  </rowFields>
  <rowItems count="51">
    <i>
      <x v="160"/>
    </i>
    <i>
      <x v="162"/>
    </i>
    <i>
      <x v="165"/>
    </i>
    <i>
      <x v="167"/>
    </i>
    <i>
      <x v="168"/>
    </i>
    <i>
      <x v="170"/>
    </i>
    <i>
      <x v="171"/>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t="grand">
      <x/>
    </i>
  </rowItems>
  <colItems count="1">
    <i/>
  </colItems>
  <dataFields count="1">
    <dataField name="Count of Unit Number" fld="6" subtotal="count" baseField="0" baseItem="0"/>
  </dataFields>
  <formats count="11">
    <format dxfId="369">
      <pivotArea outline="0" collapsedLevelsAreSubtotals="1" fieldPosition="0"/>
    </format>
    <format dxfId="368">
      <pivotArea dataOnly="0" labelOnly="1" outline="0" axis="axisValues" fieldPosition="0"/>
    </format>
    <format dxfId="367">
      <pivotArea type="all" dataOnly="0" outline="0" fieldPosition="0"/>
    </format>
    <format dxfId="366">
      <pivotArea outline="0" collapsedLevelsAreSubtotals="1" fieldPosition="0"/>
    </format>
    <format dxfId="365">
      <pivotArea field="11" type="button" dataOnly="0" labelOnly="1" outline="0" axis="axisRow" fieldPosition="0"/>
    </format>
    <format dxfId="364">
      <pivotArea dataOnly="0" labelOnly="1"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63">
      <pivotArea dataOnly="0" labelOnly="1" fieldPosition="0">
        <references count="1">
          <reference field="1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62">
      <pivotArea dataOnly="0" labelOnly="1" fieldPosition="0">
        <references count="1">
          <reference field="1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61">
      <pivotArea dataOnly="0" labelOnly="1" fieldPosition="0">
        <references count="1">
          <reference field="11" count="6">
            <x v="150"/>
            <x v="151"/>
            <x v="152"/>
            <x v="153"/>
            <x v="154"/>
            <x v="155"/>
          </reference>
        </references>
      </pivotArea>
    </format>
    <format dxfId="360">
      <pivotArea dataOnly="0" labelOnly="1" grandRow="1" outline="0" fieldPosition="0"/>
    </format>
    <format dxfId="359">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C5F2250-F2E6-43EA-BA85-F6226FE568FE}"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EMIUM %">
  <location ref="A1080:B1091" firstHeaderRow="1" firstDataRow="1" firstDataCol="1" rowPageCount="1" colPageCount="1"/>
  <pivotFields count="44">
    <pivotField showAll="0"/>
    <pivotField showAll="0"/>
    <pivotField axis="axisRow" showAll="0">
      <items count="44">
        <item h="1" x="0"/>
        <item h="1" x="1"/>
        <item h="1" x="2"/>
        <item h="1" x="3"/>
        <item h="1" x="4"/>
        <item h="1" x="5"/>
        <item h="1" x="6"/>
        <item h="1" x="7"/>
        <item h="1" x="8"/>
        <item h="1" x="17"/>
        <item h="1" x="18"/>
        <item h="1" x="19"/>
        <item h="1" x="20"/>
        <item h="1" x="21"/>
        <item h="1" x="22"/>
        <item x="23"/>
        <item x="24"/>
        <item h="1" x="25"/>
        <item h="1" x="26"/>
        <item h="1" x="9"/>
        <item h="1" x="10"/>
        <item h="1" x="11"/>
        <item h="1" x="12"/>
        <item h="1" x="13"/>
        <item h="1" x="14"/>
        <item h="1" x="15"/>
        <item h="1" x="16"/>
        <item h="1" x="27"/>
        <item h="1" x="28"/>
        <item h="1" x="29"/>
        <item h="1" x="30"/>
        <item h="1" x="31"/>
        <item h="1" x="32"/>
        <item h="1" x="33"/>
        <item h="1" x="34"/>
        <item h="1" x="35"/>
        <item h="1" x="36"/>
        <item h="1" x="37"/>
        <item h="1" x="38"/>
        <item h="1" x="39"/>
        <item h="1" x="40"/>
        <item h="1" x="41"/>
        <item h="1" x="42"/>
        <item t="default"/>
      </items>
    </pivotField>
    <pivotField showAll="0"/>
    <pivotField axis="axisPage" numFmtId="1" showAll="0">
      <items count="6">
        <item x="0"/>
        <item x="1"/>
        <item x="2"/>
        <item x="3"/>
        <item x="4"/>
        <item t="default"/>
      </items>
    </pivotField>
    <pivotField numFmtId="1" showAll="0"/>
    <pivotField axis="axisRow" showAll="0">
      <items count="8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352"/>
        <item x="353"/>
        <item x="354"/>
        <item x="355"/>
        <item x="176"/>
        <item x="356"/>
        <item m="1" x="866"/>
        <item m="1" x="870"/>
        <item x="357"/>
        <item x="177"/>
        <item x="358"/>
        <item x="359"/>
        <item x="360"/>
        <item x="361"/>
        <item x="178"/>
        <item x="362"/>
        <item x="363"/>
        <item x="364"/>
        <item x="365"/>
        <item x="179"/>
        <item x="366"/>
        <item x="367"/>
        <item x="368"/>
        <item x="369"/>
        <item x="370"/>
        <item x="371"/>
        <item x="372"/>
        <item x="373"/>
        <item x="180"/>
        <item x="374"/>
        <item x="375"/>
        <item x="376"/>
        <item x="377"/>
        <item x="181"/>
        <item x="378"/>
        <item x="379"/>
        <item x="380"/>
        <item x="381"/>
        <item x="182"/>
        <item x="382"/>
        <item x="383"/>
        <item x="384"/>
        <item x="385"/>
        <item x="183"/>
        <item x="386"/>
        <item x="387"/>
        <item x="388"/>
        <item x="389"/>
        <item x="390"/>
        <item x="391"/>
        <item x="392"/>
        <item x="393"/>
        <item x="184"/>
        <item x="394"/>
        <item x="395"/>
        <item x="396"/>
        <item x="397"/>
        <item x="185"/>
        <item x="398"/>
        <item x="399"/>
        <item x="400"/>
        <item x="401"/>
        <item x="186"/>
        <item x="402"/>
        <item x="403"/>
        <item x="404"/>
        <item x="405"/>
        <item x="187"/>
        <item x="406"/>
        <item x="407"/>
        <item x="408"/>
        <item x="409"/>
        <item x="410"/>
        <item x="411"/>
        <item x="412"/>
        <item x="413"/>
        <item x="188"/>
        <item x="414"/>
        <item m="1" x="868"/>
        <item m="1" x="872"/>
        <item x="415"/>
        <item x="189"/>
        <item x="416"/>
        <item x="417"/>
        <item x="418"/>
        <item x="419"/>
        <item x="190"/>
        <item x="420"/>
        <item x="421"/>
        <item x="422"/>
        <item x="423"/>
        <item x="191"/>
        <item x="424"/>
        <item x="425"/>
        <item x="426"/>
        <item x="427"/>
        <item x="428"/>
        <item x="429"/>
        <item x="430"/>
        <item x="431"/>
        <item x="192"/>
        <item x="432"/>
        <item x="433"/>
        <item x="434"/>
        <item x="435"/>
        <item x="193"/>
        <item x="436"/>
        <item x="437"/>
        <item x="438"/>
        <item x="439"/>
        <item x="194"/>
        <item x="440"/>
        <item x="441"/>
        <item x="442"/>
        <item x="443"/>
        <item x="195"/>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m="1" x="869"/>
        <item m="1" x="873"/>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m="1" x="867"/>
        <item m="1" x="874"/>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m="1" x="862"/>
        <item m="1" x="864"/>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546"/>
        <item x="547"/>
        <item x="548"/>
        <item x="549"/>
        <item x="550"/>
        <item x="551"/>
        <item x="552"/>
        <item x="553"/>
        <item x="554"/>
        <item x="555"/>
        <item x="556"/>
        <item x="557"/>
        <item x="558"/>
        <item x="559"/>
        <item x="560"/>
        <item x="561"/>
        <item x="562"/>
        <item x="563"/>
        <item x="564"/>
        <item x="565"/>
        <item x="566"/>
        <item x="567"/>
        <item x="568"/>
        <item x="569"/>
        <item x="570"/>
        <item m="1" x="871"/>
        <item m="1" x="875"/>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m="1" x="863"/>
        <item m="1" x="865"/>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m="1" x="859"/>
        <item m="1" x="861"/>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m="1" x="858"/>
        <item m="1" x="860"/>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showAll="0"/>
    <pivotField showAll="0"/>
    <pivotField showAll="0"/>
    <pivotField numFmtId="2" showAll="0"/>
    <pivotField dataField="1" numFmtId="2" showAll="0"/>
    <pivotField showAll="0"/>
    <pivotField showAll="0"/>
    <pivotField showAll="0"/>
    <pivotField showAll="0"/>
    <pivotField showAll="0"/>
    <pivotField showAll="0"/>
    <pivotField showAll="0">
      <items count="9">
        <item x="2"/>
        <item x="1"/>
        <item x="0"/>
        <item x="4"/>
        <item x="3"/>
        <item m="1" x="7"/>
        <item x="5"/>
        <item m="1" x="6"/>
        <item t="default"/>
      </items>
    </pivotField>
    <pivotField numFmtId="164" showAll="0"/>
    <pivotField numFmtId="164" showAll="0"/>
    <pivotField numFmtId="164" showAll="0"/>
    <pivotField numFmtId="164" showAll="0"/>
    <pivotField numFmtId="164" showAll="0"/>
    <pivotField numFmtId="1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2">
    <field x="2"/>
    <field x="6"/>
  </rowFields>
  <rowItems count="11">
    <i>
      <x v="15"/>
    </i>
    <i r="1">
      <x v="324"/>
    </i>
    <i r="1">
      <x v="325"/>
    </i>
    <i r="1">
      <x v="326"/>
    </i>
    <i r="1">
      <x v="327"/>
    </i>
    <i>
      <x v="16"/>
    </i>
    <i r="1">
      <x v="344"/>
    </i>
    <i r="1">
      <x v="345"/>
    </i>
    <i r="1">
      <x v="346"/>
    </i>
    <i r="1">
      <x v="347"/>
    </i>
    <i t="grand">
      <x/>
    </i>
  </rowItems>
  <colItems count="1">
    <i/>
  </colItems>
  <pageFields count="1">
    <pageField fld="4" item="2" hier="-1"/>
  </pageFields>
  <dataFields count="1">
    <dataField name="Sum of Unit Selling Area" fld="11" baseField="0" baseItem="0"/>
  </dataFields>
  <formats count="6">
    <format dxfId="375">
      <pivotArea outline="0" collapsedLevelsAreSubtotals="1" fieldPosition="0"/>
    </format>
    <format dxfId="374">
      <pivotArea dataOnly="0" labelOnly="1" outline="0" axis="axisValues" fieldPosition="0"/>
    </format>
    <format dxfId="373">
      <pivotArea type="all" dataOnly="0" outline="0" fieldPosition="0"/>
    </format>
    <format dxfId="372">
      <pivotArea outline="0" collapsedLevelsAreSubtotals="1" fieldPosition="0"/>
    </format>
    <format dxfId="371">
      <pivotArea field="18" type="button" dataOnly="0" labelOnly="1" outline="0"/>
    </format>
    <format dxfId="37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DAA1F3E-D143-42BE-B6F3-8C5FB8BD4B8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REMIUM %">
  <location ref="A227:D231" firstHeaderRow="0" firstDataRow="1" firstDataCol="1"/>
  <pivotFields count="44">
    <pivotField showAll="0"/>
    <pivotField showAll="0"/>
    <pivotField showAll="0"/>
    <pivotField showAll="0"/>
    <pivotField numFmtId="1" showAll="0"/>
    <pivotField numFmtId="1" showAll="0"/>
    <pivotField dataField="1" showAll="0"/>
    <pivotField showAll="0"/>
    <pivotField showAll="0"/>
    <pivotField showAll="0"/>
    <pivotField numFmtId="2" showAll="0"/>
    <pivotField dataField="1" numFmtId="2"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0" showAll="0"/>
    <pivotField axis="axisRow" showAll="0">
      <items count="6">
        <item x="2"/>
        <item x="1"/>
        <item x="0"/>
        <item h="1" x="3"/>
        <item h="1"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25"/>
  </rowFields>
  <rowItems count="4">
    <i>
      <x/>
    </i>
    <i>
      <x v="1"/>
    </i>
    <i>
      <x v="2"/>
    </i>
    <i t="grand">
      <x/>
    </i>
  </rowItems>
  <colFields count="1">
    <field x="-2"/>
  </colFields>
  <colItems count="3">
    <i>
      <x/>
    </i>
    <i i="1">
      <x v="1"/>
    </i>
    <i i="2">
      <x v="2"/>
    </i>
  </colItems>
  <dataFields count="3">
    <dataField name="Count of Unit Number" fld="6" subtotal="count" baseField="0" baseItem="0"/>
    <dataField name="Sum of Unit Selling Area" fld="11" baseField="0" baseItem="0" numFmtId="165"/>
    <dataField name="Sum of Unit Selling Area2" fld="11" showDataAs="percentOfTotal" baseField="0" baseItem="0" numFmtId="10"/>
  </dataFields>
  <formats count="12">
    <format dxfId="387">
      <pivotArea outline="0" collapsedLevelsAreSubtotals="1" fieldPosition="0"/>
    </format>
    <format dxfId="386">
      <pivotArea dataOnly="0" labelOnly="1" outline="0" axis="axisValues" fieldPosition="0"/>
    </format>
    <format dxfId="385">
      <pivotArea outline="0" collapsedLevelsAreSubtotals="1" fieldPosition="0">
        <references count="1">
          <reference field="4294967294" count="1" selected="0">
            <x v="1"/>
          </reference>
        </references>
      </pivotArea>
    </format>
    <format dxfId="384">
      <pivotArea outline="0" fieldPosition="0">
        <references count="1">
          <reference field="4294967294" count="1">
            <x v="2"/>
          </reference>
        </references>
      </pivotArea>
    </format>
    <format dxfId="383">
      <pivotArea type="all" dataOnly="0" outline="0" fieldPosition="0"/>
    </format>
    <format dxfId="382">
      <pivotArea outline="0" collapsedLevelsAreSubtotals="1" fieldPosition="0"/>
    </format>
    <format dxfId="381">
      <pivotArea field="25" type="button" dataOnly="0" labelOnly="1" outline="0" axis="axisRow" fieldPosition="0"/>
    </format>
    <format dxfId="380">
      <pivotArea dataOnly="0" labelOnly="1" fieldPosition="0">
        <references count="1">
          <reference field="25" count="0"/>
        </references>
      </pivotArea>
    </format>
    <format dxfId="379">
      <pivotArea dataOnly="0" labelOnly="1" grandRow="1" outline="0" fieldPosition="0"/>
    </format>
    <format dxfId="378">
      <pivotArea dataOnly="0" labelOnly="1" outline="0" fieldPosition="0">
        <references count="1">
          <reference field="4294967294" count="3">
            <x v="0"/>
            <x v="1"/>
            <x v="2"/>
          </reference>
        </references>
      </pivotArea>
    </format>
    <format dxfId="377">
      <pivotArea collapsedLevelsAreSubtotals="1" fieldPosition="0">
        <references count="2">
          <reference field="4294967294" count="1" selected="0">
            <x v="2"/>
          </reference>
          <reference field="25" count="1">
            <x v="1"/>
          </reference>
        </references>
      </pivotArea>
    </format>
    <format dxfId="376">
      <pivotArea collapsedLevelsAreSubtotals="1" fieldPosition="0">
        <references count="2">
          <reference field="4294967294" count="1" selected="0">
            <x v="1"/>
          </reference>
          <reference field="2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F309E81-7514-4794-9AC6-CCEDC708F6F7}"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EMIUM %">
  <location ref="A1056:C1063" firstHeaderRow="0" firstDataRow="1" firstDataCol="1"/>
  <pivotFields count="44">
    <pivotField showAll="0"/>
    <pivotField showAll="0"/>
    <pivotField showAll="0"/>
    <pivotField showAll="0"/>
    <pivotField numFmtId="1" showAll="0"/>
    <pivotField numFmtId="1" showAll="0"/>
    <pivotField dataField="1" showAll="0"/>
    <pivotField showAll="0"/>
    <pivotField showAll="0"/>
    <pivotField showAll="0"/>
    <pivotField numFmtId="2" showAll="0"/>
    <pivotField dataField="1" numFmtId="2" showAll="0"/>
    <pivotField showAll="0"/>
    <pivotField showAll="0"/>
    <pivotField showAll="0"/>
    <pivotField showAll="0"/>
    <pivotField showAll="0"/>
    <pivotField showAll="0"/>
    <pivotField axis="axisRow" showAll="0">
      <items count="9">
        <item x="2"/>
        <item x="1"/>
        <item x="0"/>
        <item x="4"/>
        <item x="3"/>
        <item m="1" x="7"/>
        <item x="5"/>
        <item m="1" x="6"/>
        <item t="default"/>
      </items>
    </pivotField>
    <pivotField numFmtId="164" showAll="0"/>
    <pivotField numFmtId="164" showAll="0"/>
    <pivotField numFmtId="164" showAll="0"/>
    <pivotField numFmtId="164" showAll="0"/>
    <pivotField numFmtId="164" showAll="0"/>
    <pivotField numFmtId="1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18"/>
  </rowFields>
  <rowItems count="7">
    <i>
      <x/>
    </i>
    <i>
      <x v="1"/>
    </i>
    <i>
      <x v="2"/>
    </i>
    <i>
      <x v="3"/>
    </i>
    <i>
      <x v="4"/>
    </i>
    <i>
      <x v="6"/>
    </i>
    <i t="grand">
      <x/>
    </i>
  </rowItems>
  <colFields count="1">
    <field x="-2"/>
  </colFields>
  <colItems count="2">
    <i>
      <x/>
    </i>
    <i i="1">
      <x v="1"/>
    </i>
  </colItems>
  <dataFields count="2">
    <dataField name="Count of Unit Number" fld="6" subtotal="count" baseField="0" baseItem="0"/>
    <dataField name="Sum of Unit Selling Area2" fld="11" baseField="0" baseItem="0"/>
  </dataFields>
  <formats count="10">
    <format dxfId="397">
      <pivotArea outline="0" collapsedLevelsAreSubtotals="1" fieldPosition="0"/>
    </format>
    <format dxfId="396">
      <pivotArea dataOnly="0" labelOnly="1" outline="0" axis="axisValues" fieldPosition="0"/>
    </format>
    <format dxfId="395">
      <pivotArea outline="0" fieldPosition="0">
        <references count="1">
          <reference field="4294967294" count="1">
            <x v="0"/>
          </reference>
        </references>
      </pivotArea>
    </format>
    <format dxfId="394">
      <pivotArea type="all" dataOnly="0" outline="0" fieldPosition="0"/>
    </format>
    <format dxfId="393">
      <pivotArea outline="0" collapsedLevelsAreSubtotals="1" fieldPosition="0"/>
    </format>
    <format dxfId="392">
      <pivotArea field="18" type="button" dataOnly="0" labelOnly="1" outline="0" axis="axisRow" fieldPosition="0"/>
    </format>
    <format dxfId="391">
      <pivotArea dataOnly="0" labelOnly="1" fieldPosition="0">
        <references count="1">
          <reference field="18" count="0"/>
        </references>
      </pivotArea>
    </format>
    <format dxfId="390">
      <pivotArea dataOnly="0" labelOnly="1" grandRow="1" outline="0" fieldPosition="0"/>
    </format>
    <format dxfId="389">
      <pivotArea dataOnly="0" labelOnly="1" outline="0" fieldPosition="0">
        <references count="1">
          <reference field="4294967294" count="2">
            <x v="0"/>
            <x v="1"/>
          </reference>
        </references>
      </pivotArea>
    </format>
    <format dxfId="388">
      <pivotArea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3829685-EA64-4D31-982B-674935EB978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REMIUM %">
  <location ref="A3:B221" firstHeaderRow="1" firstDataRow="1" firstDataCol="1"/>
  <pivotFields count="44">
    <pivotField showAll="0"/>
    <pivotField showAll="0"/>
    <pivotField showAll="0"/>
    <pivotField showAll="0"/>
    <pivotField numFmtId="1" showAll="0"/>
    <pivotField numFmtId="1" showAll="0"/>
    <pivotField dataField="1" showAll="0"/>
    <pivotField showAll="0"/>
    <pivotField showAll="0"/>
    <pivotField showAll="0"/>
    <pivotField numFmtId="2" showAll="0"/>
    <pivotField numFmtId="2"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axis="axisRow" numFmtId="10" showAll="0">
      <items count="227">
        <item x="55"/>
        <item x="38"/>
        <item x="37"/>
        <item x="83"/>
        <item x="184"/>
        <item x="69"/>
        <item x="180"/>
        <item x="186"/>
        <item x="215"/>
        <item x="72"/>
        <item x="95"/>
        <item x="18"/>
        <item x="86"/>
        <item x="115"/>
        <item x="3"/>
        <item x="75"/>
        <item x="94"/>
        <item x="97"/>
        <item x="0"/>
        <item x="88"/>
        <item x="76"/>
        <item x="182"/>
        <item x="7"/>
        <item x="118"/>
        <item x="27"/>
        <item x="4"/>
        <item x="110"/>
        <item x="152"/>
        <item x="145"/>
        <item x="53"/>
        <item x="139"/>
        <item x="98"/>
        <item x="11"/>
        <item x="42"/>
        <item x="79"/>
        <item x="56"/>
        <item x="31"/>
        <item x="212"/>
        <item x="52"/>
        <item x="192"/>
        <item x="39"/>
        <item x="147"/>
        <item x="8"/>
        <item x="41"/>
        <item x="187"/>
        <item x="54"/>
        <item x="58"/>
        <item x="82"/>
        <item x="148"/>
        <item x="100"/>
        <item x="43"/>
        <item x="15"/>
        <item x="164"/>
        <item x="91"/>
        <item x="26"/>
        <item x="33"/>
        <item x="194"/>
        <item x="21"/>
        <item x="12"/>
        <item x="45"/>
        <item x="214"/>
        <item x="57"/>
        <item x="29"/>
        <item x="59"/>
        <item x="28"/>
        <item x="46"/>
        <item x="213"/>
        <item x="49"/>
        <item x="35"/>
        <item x="179"/>
        <item x="19"/>
        <item x="30"/>
        <item x="23"/>
        <item x="48"/>
        <item x="20"/>
        <item x="50"/>
        <item x="67"/>
        <item x="32"/>
        <item x="25"/>
        <item x="36"/>
        <item x="22"/>
        <item x="144"/>
        <item x="51"/>
        <item x="177"/>
        <item x="140"/>
        <item x="40"/>
        <item x="60"/>
        <item x="199"/>
        <item x="34"/>
        <item x="136"/>
        <item x="64"/>
        <item x="209"/>
        <item x="126"/>
        <item x="61"/>
        <item x="24"/>
        <item x="200"/>
        <item x="178"/>
        <item x="68"/>
        <item x="128"/>
        <item x="141"/>
        <item x="44"/>
        <item x="210"/>
        <item x="65"/>
        <item x="157"/>
        <item x="216"/>
        <item x="207"/>
        <item m="1" x="217"/>
        <item x="161"/>
        <item x="211"/>
        <item x="190"/>
        <item x="131"/>
        <item x="62"/>
        <item x="201"/>
        <item x="158"/>
        <item x="197"/>
        <item m="1" x="221"/>
        <item m="1" x="218"/>
        <item x="2"/>
        <item x="188"/>
        <item x="47"/>
        <item x="17"/>
        <item x="208"/>
        <item m="1" x="225"/>
        <item x="6"/>
        <item x="1"/>
        <item x="107"/>
        <item x="204"/>
        <item x="134"/>
        <item x="63"/>
        <item x="16"/>
        <item x="202"/>
        <item x="159"/>
        <item x="117"/>
        <item x="127"/>
        <item x="203"/>
        <item x="155"/>
        <item x="5"/>
        <item x="189"/>
        <item x="109"/>
        <item x="137"/>
        <item x="166"/>
        <item x="66"/>
        <item x="191"/>
        <item x="129"/>
        <item x="163"/>
        <item x="10"/>
        <item x="153"/>
        <item x="138"/>
        <item x="160"/>
        <item x="146"/>
        <item x="130"/>
        <item x="9"/>
        <item x="112"/>
        <item x="205"/>
        <item x="195"/>
        <item x="154"/>
        <item x="119"/>
        <item x="193"/>
        <item x="132"/>
        <item x="198"/>
        <item x="102"/>
        <item x="14"/>
        <item x="142"/>
        <item x="106"/>
        <item x="103"/>
        <item x="149"/>
        <item x="116"/>
        <item x="133"/>
        <item x="13"/>
        <item x="114"/>
        <item x="156"/>
        <item x="108"/>
        <item x="122"/>
        <item x="196"/>
        <item x="176"/>
        <item x="135"/>
        <item m="1" x="224"/>
        <item x="125"/>
        <item x="168"/>
        <item x="143"/>
        <item x="104"/>
        <item x="123"/>
        <item x="165"/>
        <item x="150"/>
        <item x="96"/>
        <item x="162"/>
        <item x="111"/>
        <item x="169"/>
        <item x="120"/>
        <item x="151"/>
        <item x="172"/>
        <item x="105"/>
        <item x="70"/>
        <item x="87"/>
        <item x="181"/>
        <item x="84"/>
        <item x="113"/>
        <item x="173"/>
        <item x="185"/>
        <item x="73"/>
        <item x="121"/>
        <item x="170"/>
        <item x="71"/>
        <item x="174"/>
        <item x="124"/>
        <item x="85"/>
        <item x="74"/>
        <item x="99"/>
        <item x="175"/>
        <item x="77"/>
        <item x="89"/>
        <item x="171"/>
        <item x="90"/>
        <item x="78"/>
        <item x="80"/>
        <item x="92"/>
        <item x="183"/>
        <item x="93"/>
        <item x="81"/>
        <item m="1" x="222"/>
        <item m="1" x="223"/>
        <item m="1" x="219"/>
        <item m="1" x="220"/>
        <item x="101"/>
        <item x="167"/>
        <item x="20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1">
    <field x="24"/>
  </rowFields>
  <rowItems count="21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7"/>
    </i>
    <i>
      <x v="108"/>
    </i>
    <i>
      <x v="109"/>
    </i>
    <i>
      <x v="110"/>
    </i>
    <i>
      <x v="111"/>
    </i>
    <i>
      <x v="112"/>
    </i>
    <i>
      <x v="113"/>
    </i>
    <i>
      <x v="114"/>
    </i>
    <i>
      <x v="117"/>
    </i>
    <i>
      <x v="118"/>
    </i>
    <i>
      <x v="119"/>
    </i>
    <i>
      <x v="120"/>
    </i>
    <i>
      <x v="121"/>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23"/>
    </i>
    <i>
      <x v="224"/>
    </i>
    <i>
      <x v="225"/>
    </i>
    <i t="grand">
      <x/>
    </i>
  </rowItems>
  <colItems count="1">
    <i/>
  </colItems>
  <dataFields count="1">
    <dataField name="Count of UnitS" fld="6" subtotal="count" baseField="0" baseItem="0"/>
  </dataFields>
  <formats count="12">
    <format dxfId="409">
      <pivotArea outline="0" collapsedLevelsAreSubtotals="1" fieldPosition="0"/>
    </format>
    <format dxfId="408">
      <pivotArea dataOnly="0" labelOnly="1" outline="0" axis="axisValues" fieldPosition="0"/>
    </format>
    <format dxfId="407">
      <pivotArea type="all" dataOnly="0" outline="0" fieldPosition="0"/>
    </format>
    <format dxfId="406">
      <pivotArea outline="0" collapsedLevelsAreSubtotals="1" fieldPosition="0"/>
    </format>
    <format dxfId="405">
      <pivotArea field="24" type="button" dataOnly="0" labelOnly="1" outline="0" axis="axisRow" fieldPosition="0"/>
    </format>
    <format dxfId="404">
      <pivotArea dataOnly="0" labelOnly="1" fieldPosition="0">
        <references count="1">
          <reference field="2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03">
      <pivotArea dataOnly="0" labelOnly="1" fieldPosition="0">
        <references count="1">
          <reference field="24"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02">
      <pivotArea dataOnly="0" labelOnly="1" fieldPosition="0">
        <references count="1">
          <reference field="24"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01">
      <pivotArea dataOnly="0" labelOnly="1" fieldPosition="0">
        <references count="1">
          <reference field="24"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00">
      <pivotArea dataOnly="0" labelOnly="1" fieldPosition="0">
        <references count="1">
          <reference field="24" count="19">
            <x v="200"/>
            <x v="201"/>
            <x v="202"/>
            <x v="203"/>
            <x v="204"/>
            <x v="205"/>
            <x v="206"/>
            <x v="207"/>
            <x v="208"/>
            <x v="209"/>
            <x v="210"/>
            <x v="211"/>
            <x v="212"/>
            <x v="213"/>
            <x v="214"/>
            <x v="215"/>
            <x v="216"/>
            <x v="217"/>
            <x v="218"/>
          </reference>
        </references>
      </pivotArea>
    </format>
    <format dxfId="399">
      <pivotArea dataOnly="0" labelOnly="1" grandRow="1" outline="0" fieldPosition="0"/>
    </format>
    <format dxfId="39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2D6B7C7-DA89-43C4-BA02-242CEA647BD3}" name="PivotTable7" cacheId="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 rowHeaderCaption="PREMIUM %">
  <location ref="A235:B644" firstHeaderRow="1" firstDataRow="1" firstDataCol="1" rowPageCount="1" colPageCount="1"/>
  <pivotFields count="44">
    <pivotField showAll="0"/>
    <pivotField showAll="0"/>
    <pivotField showAll="0"/>
    <pivotField showAll="0"/>
    <pivotField numFmtId="1" showAll="0"/>
    <pivotField numFmtId="1" showAll="0"/>
    <pivotField axis="axisRow" showAll="0">
      <items count="8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352"/>
        <item x="353"/>
        <item x="354"/>
        <item x="355"/>
        <item x="176"/>
        <item x="356"/>
        <item m="1" x="866"/>
        <item m="1" x="870"/>
        <item x="357"/>
        <item x="177"/>
        <item x="358"/>
        <item x="359"/>
        <item x="360"/>
        <item x="361"/>
        <item x="178"/>
        <item x="362"/>
        <item x="363"/>
        <item x="364"/>
        <item x="365"/>
        <item x="179"/>
        <item x="366"/>
        <item x="367"/>
        <item x="368"/>
        <item x="369"/>
        <item x="370"/>
        <item x="371"/>
        <item x="372"/>
        <item x="373"/>
        <item x="180"/>
        <item x="374"/>
        <item x="375"/>
        <item x="376"/>
        <item x="377"/>
        <item x="181"/>
        <item x="378"/>
        <item x="379"/>
        <item x="380"/>
        <item x="381"/>
        <item x="182"/>
        <item x="382"/>
        <item x="383"/>
        <item x="384"/>
        <item x="385"/>
        <item x="183"/>
        <item x="386"/>
        <item x="387"/>
        <item x="388"/>
        <item x="389"/>
        <item x="390"/>
        <item x="391"/>
        <item x="392"/>
        <item x="393"/>
        <item x="184"/>
        <item x="394"/>
        <item x="395"/>
        <item x="396"/>
        <item x="397"/>
        <item x="185"/>
        <item x="398"/>
        <item x="399"/>
        <item x="400"/>
        <item x="401"/>
        <item x="186"/>
        <item x="402"/>
        <item x="403"/>
        <item x="404"/>
        <item x="405"/>
        <item x="187"/>
        <item x="406"/>
        <item x="407"/>
        <item x="408"/>
        <item x="409"/>
        <item x="410"/>
        <item x="411"/>
        <item x="412"/>
        <item x="413"/>
        <item x="188"/>
        <item x="414"/>
        <item m="1" x="868"/>
        <item m="1" x="872"/>
        <item x="415"/>
        <item x="189"/>
        <item x="416"/>
        <item x="417"/>
        <item x="418"/>
        <item x="419"/>
        <item x="190"/>
        <item x="420"/>
        <item x="421"/>
        <item x="422"/>
        <item x="423"/>
        <item x="191"/>
        <item x="424"/>
        <item x="425"/>
        <item x="426"/>
        <item x="427"/>
        <item x="428"/>
        <item x="429"/>
        <item x="430"/>
        <item x="431"/>
        <item x="192"/>
        <item x="432"/>
        <item x="433"/>
        <item x="434"/>
        <item x="435"/>
        <item x="193"/>
        <item x="436"/>
        <item x="437"/>
        <item x="438"/>
        <item x="439"/>
        <item x="194"/>
        <item x="440"/>
        <item x="441"/>
        <item x="442"/>
        <item x="443"/>
        <item x="195"/>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m="1" x="869"/>
        <item m="1" x="873"/>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m="1" x="867"/>
        <item m="1" x="874"/>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m="1" x="862"/>
        <item m="1" x="864"/>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546"/>
        <item x="547"/>
        <item x="548"/>
        <item x="549"/>
        <item x="550"/>
        <item x="551"/>
        <item x="552"/>
        <item x="553"/>
        <item x="554"/>
        <item x="555"/>
        <item x="556"/>
        <item x="557"/>
        <item x="558"/>
        <item x="559"/>
        <item x="560"/>
        <item x="561"/>
        <item x="562"/>
        <item x="563"/>
        <item x="564"/>
        <item x="565"/>
        <item x="566"/>
        <item x="567"/>
        <item x="568"/>
        <item x="569"/>
        <item x="570"/>
        <item m="1" x="871"/>
        <item m="1" x="875"/>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m="1" x="863"/>
        <item m="1" x="865"/>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m="1" x="859"/>
        <item m="1" x="861"/>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m="1" x="858"/>
        <item m="1" x="860"/>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showAll="0"/>
    <pivotField showAll="0"/>
    <pivotField showAll="0"/>
    <pivotField numFmtId="2" showAll="0"/>
    <pivotField dataField="1" numFmtId="2"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axis="axisRow" numFmtId="10" showAll="0">
      <items count="227">
        <item x="55"/>
        <item x="38"/>
        <item x="37"/>
        <item x="83"/>
        <item x="184"/>
        <item x="69"/>
        <item x="180"/>
        <item x="186"/>
        <item x="215"/>
        <item x="72"/>
        <item x="95"/>
        <item x="18"/>
        <item x="86"/>
        <item x="115"/>
        <item x="3"/>
        <item x="75"/>
        <item x="94"/>
        <item x="97"/>
        <item x="0"/>
        <item x="88"/>
        <item x="76"/>
        <item x="182"/>
        <item x="7"/>
        <item x="118"/>
        <item x="27"/>
        <item x="4"/>
        <item x="110"/>
        <item x="152"/>
        <item x="145"/>
        <item x="53"/>
        <item x="139"/>
        <item x="98"/>
        <item x="11"/>
        <item x="42"/>
        <item x="79"/>
        <item x="56"/>
        <item x="31"/>
        <item x="212"/>
        <item x="52"/>
        <item x="192"/>
        <item x="39"/>
        <item x="147"/>
        <item x="8"/>
        <item x="41"/>
        <item x="187"/>
        <item x="54"/>
        <item x="58"/>
        <item x="82"/>
        <item x="148"/>
        <item x="100"/>
        <item x="43"/>
        <item x="15"/>
        <item x="164"/>
        <item x="91"/>
        <item x="26"/>
        <item x="33"/>
        <item x="194"/>
        <item x="21"/>
        <item x="12"/>
        <item x="45"/>
        <item x="214"/>
        <item x="57"/>
        <item x="29"/>
        <item x="59"/>
        <item x="28"/>
        <item x="46"/>
        <item x="213"/>
        <item x="49"/>
        <item x="35"/>
        <item x="179"/>
        <item x="19"/>
        <item x="30"/>
        <item x="23"/>
        <item x="48"/>
        <item x="20"/>
        <item x="50"/>
        <item x="67"/>
        <item x="32"/>
        <item x="25"/>
        <item x="36"/>
        <item x="22"/>
        <item x="144"/>
        <item x="51"/>
        <item x="177"/>
        <item x="140"/>
        <item x="40"/>
        <item x="60"/>
        <item x="199"/>
        <item x="34"/>
        <item x="136"/>
        <item x="64"/>
        <item x="209"/>
        <item x="126"/>
        <item x="61"/>
        <item x="24"/>
        <item x="200"/>
        <item x="178"/>
        <item x="68"/>
        <item x="128"/>
        <item x="141"/>
        <item x="44"/>
        <item x="210"/>
        <item x="65"/>
        <item x="157"/>
        <item x="216"/>
        <item x="207"/>
        <item m="1" x="217"/>
        <item x="161"/>
        <item x="211"/>
        <item x="190"/>
        <item x="131"/>
        <item x="62"/>
        <item x="201"/>
        <item x="158"/>
        <item x="197"/>
        <item m="1" x="221"/>
        <item m="1" x="218"/>
        <item x="2"/>
        <item x="188"/>
        <item x="47"/>
        <item x="17"/>
        <item x="208"/>
        <item m="1" x="225"/>
        <item x="6"/>
        <item x="1"/>
        <item x="107"/>
        <item x="204"/>
        <item x="134"/>
        <item x="63"/>
        <item x="16"/>
        <item x="202"/>
        <item x="159"/>
        <item x="117"/>
        <item x="127"/>
        <item x="203"/>
        <item x="155"/>
        <item x="5"/>
        <item x="189"/>
        <item x="109"/>
        <item x="137"/>
        <item x="166"/>
        <item x="66"/>
        <item x="191"/>
        <item x="129"/>
        <item x="163"/>
        <item x="10"/>
        <item x="153"/>
        <item x="138"/>
        <item x="160"/>
        <item x="146"/>
        <item x="130"/>
        <item x="9"/>
        <item x="112"/>
        <item x="205"/>
        <item x="195"/>
        <item x="154"/>
        <item x="119"/>
        <item x="193"/>
        <item x="132"/>
        <item x="198"/>
        <item x="102"/>
        <item x="14"/>
        <item x="142"/>
        <item x="106"/>
        <item x="103"/>
        <item x="149"/>
        <item x="116"/>
        <item x="133"/>
        <item x="13"/>
        <item x="114"/>
        <item x="156"/>
        <item x="108"/>
        <item x="122"/>
        <item x="196"/>
        <item x="176"/>
        <item x="135"/>
        <item m="1" x="224"/>
        <item x="125"/>
        <item x="168"/>
        <item x="143"/>
        <item x="104"/>
        <item x="123"/>
        <item x="165"/>
        <item x="150"/>
        <item x="96"/>
        <item x="162"/>
        <item x="111"/>
        <item x="169"/>
        <item x="120"/>
        <item x="151"/>
        <item x="172"/>
        <item x="105"/>
        <item x="70"/>
        <item x="87"/>
        <item x="181"/>
        <item x="84"/>
        <item x="113"/>
        <item x="173"/>
        <item x="185"/>
        <item x="73"/>
        <item x="121"/>
        <item x="170"/>
        <item x="71"/>
        <item x="174"/>
        <item x="124"/>
        <item x="85"/>
        <item x="74"/>
        <item x="99"/>
        <item x="175"/>
        <item x="77"/>
        <item x="89"/>
        <item x="171"/>
        <item x="90"/>
        <item x="78"/>
        <item x="80"/>
        <item x="92"/>
        <item x="183"/>
        <item x="93"/>
        <item x="81"/>
        <item m="1" x="222"/>
        <item m="1" x="223"/>
        <item m="1" x="219"/>
        <item m="1" x="220"/>
        <item x="101"/>
        <item x="167"/>
        <item x="206"/>
        <item t="default"/>
      </items>
    </pivotField>
    <pivotField axis="axisPage" showAll="0">
      <items count="6">
        <item x="2"/>
        <item x="1"/>
        <item x="0"/>
        <item x="3"/>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s>
  <rowFields count="2">
    <field x="24"/>
    <field x="6"/>
  </rowFields>
  <rowItems count="409">
    <i>
      <x/>
    </i>
    <i r="1">
      <x v="117"/>
    </i>
    <i>
      <x v="3"/>
    </i>
    <i r="1">
      <x v="276"/>
    </i>
    <i r="1">
      <x v="415"/>
    </i>
    <i>
      <x v="4"/>
    </i>
    <i r="1">
      <x v="572"/>
    </i>
    <i r="1">
      <x v="615"/>
    </i>
    <i>
      <x v="5"/>
    </i>
    <i r="1">
      <x v="180"/>
    </i>
    <i r="1">
      <x v="399"/>
    </i>
    <i>
      <x v="6"/>
    </i>
    <i r="1">
      <x v="556"/>
    </i>
    <i r="1">
      <x v="599"/>
    </i>
    <i r="1">
      <x v="776"/>
    </i>
    <i r="1">
      <x v="799"/>
    </i>
    <i>
      <x v="7"/>
    </i>
    <i r="1">
      <x v="576"/>
    </i>
    <i>
      <x v="8"/>
    </i>
    <i r="1">
      <x v="792"/>
    </i>
    <i r="1">
      <x v="815"/>
    </i>
    <i>
      <x v="9"/>
    </i>
    <i r="1">
      <x v="195"/>
    </i>
    <i r="1">
      <x v="396"/>
    </i>
    <i r="1">
      <x v="779"/>
    </i>
    <i>
      <x v="10"/>
    </i>
    <i r="1">
      <x v="436"/>
    </i>
    <i r="1">
      <x v="496"/>
    </i>
    <i r="1">
      <x v="592"/>
    </i>
    <i r="1">
      <x v="595"/>
    </i>
    <i r="1">
      <x v="696"/>
    </i>
    <i>
      <x v="11"/>
    </i>
    <i r="1">
      <x v="23"/>
    </i>
    <i r="1">
      <x v="40"/>
    </i>
    <i r="1">
      <x v="42"/>
    </i>
    <i r="1">
      <x v="204"/>
    </i>
    <i r="1">
      <x v="403"/>
    </i>
    <i r="1">
      <x v="579"/>
    </i>
    <i>
      <x v="12"/>
    </i>
    <i r="1">
      <x v="291"/>
    </i>
    <i r="1">
      <x v="412"/>
    </i>
    <i r="1">
      <x v="560"/>
    </i>
    <i r="1">
      <x v="603"/>
    </i>
    <i r="1">
      <x v="780"/>
    </i>
    <i r="1">
      <x v="803"/>
    </i>
    <i>
      <x v="13"/>
    </i>
    <i r="1">
      <x v="492"/>
    </i>
    <i r="1">
      <x v="512"/>
    </i>
    <i r="1">
      <x v="515"/>
    </i>
    <i r="1">
      <x v="535"/>
    </i>
    <i r="1">
      <x v="580"/>
    </i>
    <i>
      <x v="14"/>
    </i>
    <i r="1">
      <x v="3"/>
    </i>
    <i r="1">
      <x v="19"/>
    </i>
    <i r="1">
      <x v="20"/>
    </i>
    <i r="1">
      <x v="36"/>
    </i>
    <i r="1">
      <x v="39"/>
    </i>
    <i r="1">
      <x v="43"/>
    </i>
    <i r="1">
      <x v="56"/>
    </i>
    <i r="1">
      <x v="59"/>
    </i>
    <i r="1">
      <x v="416"/>
    </i>
    <i r="1">
      <x v="439"/>
    </i>
    <i r="1">
      <x v="459"/>
    </i>
    <i r="1">
      <x v="476"/>
    </i>
    <i r="1">
      <x v="499"/>
    </i>
    <i r="1">
      <x v="519"/>
    </i>
    <i r="1">
      <x v="676"/>
    </i>
    <i r="1">
      <x v="699"/>
    </i>
    <i r="1">
      <x v="719"/>
    </i>
    <i r="1">
      <x v="795"/>
    </i>
    <i>
      <x v="15"/>
    </i>
    <i r="1">
      <x v="219"/>
    </i>
    <i r="1">
      <x v="400"/>
    </i>
    <i>
      <x v="16"/>
    </i>
    <i r="1">
      <x v="432"/>
    </i>
    <i r="1">
      <x v="452"/>
    </i>
    <i r="1">
      <x v="455"/>
    </i>
    <i r="1">
      <x v="475"/>
    </i>
    <i r="1">
      <x v="692"/>
    </i>
    <i r="1">
      <x v="712"/>
    </i>
    <i r="1">
      <x v="715"/>
    </i>
    <i r="1">
      <x v="735"/>
    </i>
    <i>
      <x v="17"/>
    </i>
    <i r="1">
      <x v="440"/>
    </i>
    <i r="1">
      <x v="500"/>
    </i>
    <i r="1">
      <x v="700"/>
    </i>
    <i>
      <x v="18"/>
    </i>
    <i r="1">
      <x/>
    </i>
    <i r="1">
      <x v="27"/>
    </i>
    <i r="1">
      <x v="44"/>
    </i>
    <i r="1">
      <x v="583"/>
    </i>
    <i r="1">
      <x v="783"/>
    </i>
    <i>
      <x v="19"/>
    </i>
    <i r="1">
      <x v="419"/>
    </i>
    <i r="1">
      <x v="456"/>
    </i>
    <i r="1">
      <x v="479"/>
    </i>
    <i r="1">
      <x v="516"/>
    </i>
    <i r="1">
      <x v="679"/>
    </i>
    <i r="1">
      <x v="716"/>
    </i>
    <i r="1">
      <x v="796"/>
    </i>
    <i>
      <x v="20"/>
    </i>
    <i r="1">
      <x v="228"/>
    </i>
    <i r="1">
      <x v="407"/>
    </i>
    <i>
      <x v="21"/>
    </i>
    <i r="1">
      <x v="564"/>
    </i>
    <i r="1">
      <x v="607"/>
    </i>
    <i r="1">
      <x v="632"/>
    </i>
    <i r="1">
      <x v="675"/>
    </i>
    <i>
      <x v="22"/>
    </i>
    <i r="1">
      <x v="7"/>
    </i>
    <i r="1">
      <x v="16"/>
    </i>
    <i r="1">
      <x v="24"/>
    </i>
    <i r="1">
      <x v="47"/>
    </i>
    <i r="1">
      <x v="420"/>
    </i>
    <i r="1">
      <x v="443"/>
    </i>
    <i r="1">
      <x v="463"/>
    </i>
    <i r="1">
      <x v="480"/>
    </i>
    <i r="1">
      <x v="503"/>
    </i>
    <i r="1">
      <x v="523"/>
    </i>
    <i r="1">
      <x v="616"/>
    </i>
    <i r="1">
      <x v="659"/>
    </i>
    <i r="1">
      <x v="680"/>
    </i>
    <i r="1">
      <x v="703"/>
    </i>
    <i r="1">
      <x v="723"/>
    </i>
    <i r="1">
      <x v="759"/>
    </i>
    <i>
      <x v="23"/>
    </i>
    <i r="1">
      <x v="495"/>
    </i>
    <i r="1">
      <x v="532"/>
    </i>
    <i>
      <x v="24"/>
    </i>
    <i r="1">
      <x v="248"/>
    </i>
    <i r="1">
      <x v="316"/>
    </i>
    <i r="1">
      <x v="636"/>
    </i>
    <i r="1">
      <x v="775"/>
    </i>
    <i r="1">
      <x v="784"/>
    </i>
    <i r="1">
      <x v="807"/>
    </i>
    <i r="1">
      <x v="836"/>
    </i>
    <i>
      <x v="25"/>
    </i>
    <i r="1">
      <x v="4"/>
    </i>
    <i r="1">
      <x v="133"/>
    </i>
    <i r="1">
      <x v="435"/>
    </i>
    <i r="1">
      <x v="472"/>
    </i>
    <i r="1">
      <x v="695"/>
    </i>
    <i r="1">
      <x v="732"/>
    </i>
    <i r="1">
      <x v="756"/>
    </i>
    <i>
      <x v="26"/>
    </i>
    <i r="1">
      <x v="483"/>
    </i>
    <i r="1">
      <x v="520"/>
    </i>
    <i>
      <x v="27"/>
    </i>
    <i r="1">
      <x v="244"/>
    </i>
    <i r="1">
      <x v="268"/>
    </i>
    <i r="1">
      <x v="271"/>
    </i>
    <i r="1">
      <x v="295"/>
    </i>
    <i r="1">
      <x v="372"/>
    </i>
    <i r="1">
      <x v="584"/>
    </i>
    <i r="1">
      <x v="587"/>
    </i>
    <i r="1">
      <x v="652"/>
    </i>
    <i r="1">
      <x v="655"/>
    </i>
    <i>
      <x v="28"/>
    </i>
    <i r="1">
      <x v="224"/>
    </i>
    <i r="1">
      <x v="251"/>
    </i>
    <i r="1">
      <x v="275"/>
    </i>
    <i r="1">
      <x v="296"/>
    </i>
    <i r="1">
      <x v="319"/>
    </i>
    <i r="1">
      <x v="339"/>
    </i>
    <i r="1">
      <x v="356"/>
    </i>
    <i r="1">
      <x v="639"/>
    </i>
    <i r="1">
      <x v="736"/>
    </i>
    <i r="1">
      <x v="816"/>
    </i>
    <i r="1">
      <x v="839"/>
    </i>
    <i r="1">
      <x v="859"/>
    </i>
    <i>
      <x v="29"/>
    </i>
    <i r="1">
      <x v="121"/>
    </i>
    <i r="1">
      <x v="243"/>
    </i>
    <i r="1">
      <x v="404"/>
    </i>
    <i r="1">
      <x v="423"/>
    </i>
    <i r="1">
      <x v="460"/>
    </i>
    <i r="1">
      <x v="620"/>
    </i>
    <i r="1">
      <x v="663"/>
    </i>
    <i r="1">
      <x v="683"/>
    </i>
    <i r="1">
      <x v="720"/>
    </i>
    <i r="1">
      <x v="763"/>
    </i>
    <i r="1">
      <x v="787"/>
    </i>
    <i>
      <x v="30"/>
    </i>
    <i r="1">
      <x v="176"/>
    </i>
    <i>
      <x v="31"/>
    </i>
    <i r="1">
      <x v="253"/>
    </i>
    <i r="1">
      <x v="312"/>
    </i>
    <i r="1">
      <x v="320"/>
    </i>
    <i r="1">
      <x v="332"/>
    </i>
    <i r="1">
      <x v="335"/>
    </i>
    <i r="1">
      <x v="355"/>
    </i>
    <i r="1">
      <x v="444"/>
    </i>
    <i r="1">
      <x v="484"/>
    </i>
    <i r="1">
      <x v="504"/>
    </i>
    <i r="1">
      <x v="507"/>
    </i>
    <i r="1">
      <x v="527"/>
    </i>
    <i r="1">
      <x v="640"/>
    </i>
    <i r="1">
      <x v="704"/>
    </i>
    <i r="1">
      <x v="752"/>
    </i>
    <i r="1">
      <x v="832"/>
    </i>
    <i r="1">
      <x v="840"/>
    </i>
    <i r="1">
      <x v="852"/>
    </i>
    <i r="1">
      <x v="855"/>
    </i>
    <i r="1">
      <x v="875"/>
    </i>
    <i>
      <x v="32"/>
    </i>
    <i r="1">
      <x v="11"/>
    </i>
    <i r="1">
      <x v="28"/>
    </i>
    <i r="1">
      <x v="31"/>
    </i>
    <i r="1">
      <x v="48"/>
    </i>
    <i r="1">
      <x v="51"/>
    </i>
    <i r="1">
      <x v="227"/>
    </i>
    <i r="1">
      <x v="272"/>
    </i>
    <i r="1">
      <x v="299"/>
    </i>
    <i r="1">
      <x v="336"/>
    </i>
    <i r="1">
      <x v="359"/>
    </i>
    <i r="1">
      <x v="819"/>
    </i>
    <i r="1">
      <x v="856"/>
    </i>
    <i>
      <x v="33"/>
    </i>
    <i r="1">
      <x v="772"/>
    </i>
    <i>
      <x v="34"/>
    </i>
    <i r="1">
      <x v="252"/>
    </i>
    <i r="1">
      <x v="411"/>
    </i>
    <i r="1">
      <x v="424"/>
    </i>
    <i r="1">
      <x v="447"/>
    </i>
    <i r="1">
      <x v="467"/>
    </i>
    <i r="1">
      <x v="568"/>
    </i>
    <i r="1">
      <x v="611"/>
    </i>
    <i r="1">
      <x v="684"/>
    </i>
    <i r="1">
      <x v="707"/>
    </i>
    <i r="1">
      <x v="727"/>
    </i>
    <i>
      <x v="35"/>
    </i>
    <i r="1">
      <x v="119"/>
    </i>
    <i r="1">
      <x v="136"/>
    </i>
    <i r="1">
      <x v="179"/>
    </i>
    <i>
      <x v="36"/>
    </i>
    <i r="1">
      <x v="229"/>
    </i>
    <i r="1">
      <x v="247"/>
    </i>
    <i r="1">
      <x v="256"/>
    </i>
    <i r="1">
      <x v="280"/>
    </i>
    <i r="1">
      <x v="292"/>
    </i>
    <i r="1">
      <x v="300"/>
    </i>
    <i r="1">
      <x v="323"/>
    </i>
    <i r="1">
      <x v="343"/>
    </i>
    <i r="1">
      <x v="360"/>
    </i>
    <i r="1">
      <x v="375"/>
    </i>
    <i r="1">
      <x v="643"/>
    </i>
    <i r="1">
      <x v="740"/>
    </i>
    <i r="1">
      <x v="820"/>
    </i>
    <i r="1">
      <x v="843"/>
    </i>
    <i r="1">
      <x v="863"/>
    </i>
    <i>
      <x v="37"/>
    </i>
    <i r="1">
      <x v="760"/>
    </i>
    <i>
      <x v="39"/>
    </i>
    <i r="1">
      <x v="624"/>
    </i>
    <i r="1">
      <x v="667"/>
    </i>
    <i r="1">
      <x v="788"/>
    </i>
    <i r="1">
      <x v="811"/>
    </i>
    <i>
      <x v="40"/>
    </i>
    <i r="1">
      <x v="116"/>
    </i>
    <i r="1">
      <x v="118"/>
    </i>
    <i r="1">
      <x v="132"/>
    </i>
    <i r="1">
      <x v="135"/>
    </i>
    <i r="1">
      <x v="139"/>
    </i>
    <i r="1">
      <x v="152"/>
    </i>
    <i r="1">
      <x v="155"/>
    </i>
    <i r="1">
      <x v="156"/>
    </i>
    <i r="1">
      <x v="172"/>
    </i>
    <i r="1">
      <x v="315"/>
    </i>
    <i r="1">
      <x v="352"/>
    </i>
    <i r="1">
      <x v="835"/>
    </i>
    <i r="1">
      <x v="872"/>
    </i>
    <i>
      <x v="41"/>
    </i>
    <i r="1">
      <x v="232"/>
    </i>
    <i r="1">
      <x v="277"/>
    </i>
    <i r="1">
      <x v="363"/>
    </i>
    <i>
      <x v="42"/>
    </i>
    <i r="1">
      <x v="8"/>
    </i>
    <i r="1">
      <x v="427"/>
    </i>
    <i r="1">
      <x v="464"/>
    </i>
    <i r="1">
      <x v="487"/>
    </i>
    <i r="1">
      <x v="524"/>
    </i>
    <i r="1">
      <x v="687"/>
    </i>
    <i r="1">
      <x v="724"/>
    </i>
    <i>
      <x v="44"/>
    </i>
    <i r="1">
      <x v="588"/>
    </i>
    <i r="1">
      <x v="591"/>
    </i>
    <i r="1">
      <x v="767"/>
    </i>
    <i>
      <x v="45"/>
    </i>
    <i r="1">
      <x v="123"/>
    </i>
    <i r="1">
      <x v="134"/>
    </i>
    <i r="1">
      <x v="140"/>
    </i>
    <i r="1">
      <x v="159"/>
    </i>
    <i r="1">
      <x v="303"/>
    </i>
    <i r="1">
      <x v="340"/>
    </i>
    <i r="1">
      <x v="823"/>
    </i>
    <i r="1">
      <x v="860"/>
    </i>
    <i>
      <x v="46"/>
    </i>
    <i r="1">
      <x v="125"/>
    </i>
    <i>
      <x v="47"/>
    </i>
    <i r="1">
      <x v="267"/>
    </i>
    <i r="1">
      <x v="408"/>
    </i>
    <i r="1">
      <x v="791"/>
    </i>
    <i>
      <x v="48"/>
    </i>
    <i r="1">
      <x v="234"/>
    </i>
    <i r="1">
      <x v="258"/>
    </i>
    <i r="1">
      <x v="261"/>
    </i>
    <i r="1">
      <x v="285"/>
    </i>
    <i r="1">
      <x v="324"/>
    </i>
    <i r="1">
      <x v="364"/>
    </i>
    <i r="1">
      <x v="644"/>
    </i>
    <i r="1">
      <x v="647"/>
    </i>
    <i r="1">
      <x v="844"/>
    </i>
    <i>
      <x v="49"/>
    </i>
    <i r="1">
      <x v="448"/>
    </i>
    <i r="1">
      <x v="488"/>
    </i>
    <i r="1">
      <x v="508"/>
    </i>
    <i r="1">
      <x v="511"/>
    </i>
    <i r="1">
      <x v="531"/>
    </i>
    <i r="1">
      <x v="708"/>
    </i>
    <i>
      <x v="50"/>
    </i>
    <i r="1">
      <x v="120"/>
    </i>
    <i r="1">
      <x v="122"/>
    </i>
    <i r="1">
      <x v="143"/>
    </i>
    <i r="1">
      <x v="160"/>
    </i>
    <i r="1">
      <x v="175"/>
    </i>
    <i>
      <x v="51"/>
    </i>
    <i r="1">
      <x v="15"/>
    </i>
    <i r="1">
      <x v="32"/>
    </i>
    <i r="1">
      <x v="35"/>
    </i>
    <i r="1">
      <x v="52"/>
    </i>
    <i r="1">
      <x v="55"/>
    </i>
    <i r="1">
      <x v="764"/>
    </i>
    <i>
      <x v="52"/>
    </i>
    <i r="1">
      <x v="304"/>
    </i>
    <i r="1">
      <x v="327"/>
    </i>
    <i r="1">
      <x v="347"/>
    </i>
    <i r="1">
      <x v="744"/>
    </i>
    <i r="1">
      <x v="824"/>
    </i>
    <i r="1">
      <x v="847"/>
    </i>
    <i r="1">
      <x v="867"/>
    </i>
    <i>
      <x v="53"/>
    </i>
    <i r="1">
      <x v="428"/>
    </i>
    <i r="1">
      <x v="451"/>
    </i>
    <i r="1">
      <x v="471"/>
    </i>
    <i r="1">
      <x v="688"/>
    </i>
    <i r="1">
      <x v="711"/>
    </i>
    <i r="1">
      <x v="731"/>
    </i>
    <i>
      <x v="54"/>
    </i>
    <i r="1">
      <x v="58"/>
    </i>
    <i r="1">
      <x v="163"/>
    </i>
    <i>
      <x v="56"/>
    </i>
    <i r="1">
      <x v="628"/>
    </i>
    <i r="1">
      <x v="671"/>
    </i>
    <i>
      <x v="57"/>
    </i>
    <i r="1">
      <x v="46"/>
    </i>
    <i r="1">
      <x v="237"/>
    </i>
    <i r="1">
      <x v="282"/>
    </i>
    <i r="1">
      <x v="307"/>
    </i>
    <i r="1">
      <x v="344"/>
    </i>
    <i r="1">
      <x v="367"/>
    </i>
    <i r="1">
      <x v="827"/>
    </i>
    <i r="1">
      <x v="864"/>
    </i>
    <i>
      <x v="58"/>
    </i>
    <i r="1">
      <x v="12"/>
    </i>
    <i r="1">
      <x v="431"/>
    </i>
    <i r="1">
      <x v="468"/>
    </i>
    <i r="1">
      <x v="491"/>
    </i>
    <i r="1">
      <x v="528"/>
    </i>
    <i r="1">
      <x v="691"/>
    </i>
    <i r="1">
      <x v="728"/>
    </i>
    <i>
      <x v="60"/>
    </i>
    <i r="1">
      <x v="771"/>
    </i>
    <i>
      <x v="61"/>
    </i>
    <i r="1">
      <x v="124"/>
    </i>
    <i r="1">
      <x v="127"/>
    </i>
    <i r="1">
      <x v="144"/>
    </i>
    <i r="1">
      <x v="147"/>
    </i>
    <i r="1">
      <x v="164"/>
    </i>
    <i>
      <x v="63"/>
    </i>
    <i r="1">
      <x v="129"/>
    </i>
    <i>
      <x v="64"/>
    </i>
    <i r="1">
      <x v="239"/>
    </i>
    <i r="1">
      <x v="263"/>
    </i>
    <i r="1">
      <x v="266"/>
    </i>
    <i r="1">
      <x v="290"/>
    </i>
    <i r="1">
      <x v="328"/>
    </i>
    <i r="1">
      <x v="368"/>
    </i>
    <i r="1">
      <x v="648"/>
    </i>
    <i r="1">
      <x v="651"/>
    </i>
    <i r="1">
      <x v="848"/>
    </i>
    <i>
      <x v="65"/>
    </i>
    <i r="1">
      <x v="126"/>
    </i>
    <i>
      <x v="66"/>
    </i>
    <i r="1">
      <x v="768"/>
    </i>
    <i>
      <x v="68"/>
    </i>
    <i r="1">
      <x v="308"/>
    </i>
    <i r="1">
      <x v="331"/>
    </i>
    <i r="1">
      <x v="351"/>
    </i>
    <i r="1">
      <x v="748"/>
    </i>
    <i r="1">
      <x v="828"/>
    </i>
    <i r="1">
      <x v="851"/>
    </i>
    <i r="1">
      <x v="871"/>
    </i>
    <i>
      <x v="69"/>
    </i>
    <i r="1">
      <x v="395"/>
    </i>
    <i>
      <x v="70"/>
    </i>
    <i r="1">
      <x v="41"/>
    </i>
    <i r="1">
      <x v="167"/>
    </i>
    <i r="1">
      <x v="379"/>
    </i>
    <i t="grand">
      <x/>
    </i>
  </rowItems>
  <colItems count="1">
    <i/>
  </colItems>
  <pageFields count="1">
    <pageField fld="25" item="2" hier="-1"/>
  </pageFields>
  <dataFields count="1">
    <dataField name="Sum of Unit Selling Area" fld="11" baseField="0" baseItem="0"/>
  </dataFields>
  <formats count="202">
    <format dxfId="611">
      <pivotArea outline="0" collapsedLevelsAreSubtotals="1" fieldPosition="0"/>
    </format>
    <format dxfId="610">
      <pivotArea dataOnly="0" labelOnly="1" outline="0" axis="axisValues" fieldPosition="0"/>
    </format>
    <format dxfId="609">
      <pivotArea collapsedLevelsAreSubtotals="1" fieldPosition="0">
        <references count="2">
          <reference field="6" count="1">
            <x v="44"/>
          </reference>
          <reference field="24" count="1" selected="0">
            <x v="18"/>
          </reference>
        </references>
      </pivotArea>
    </format>
    <format dxfId="608">
      <pivotArea dataOnly="0" labelOnly="1" fieldPosition="0">
        <references count="2">
          <reference field="6" count="1">
            <x v="44"/>
          </reference>
          <reference field="24" count="1" selected="0">
            <x v="18"/>
          </reference>
        </references>
      </pivotArea>
    </format>
    <format dxfId="607">
      <pivotArea collapsedLevelsAreSubtotals="1" fieldPosition="0">
        <references count="1">
          <reference field="24" count="1">
            <x v="84"/>
          </reference>
        </references>
      </pivotArea>
    </format>
    <format dxfId="606">
      <pivotArea collapsedLevelsAreSubtotals="1" fieldPosition="0">
        <references count="2">
          <reference field="6" count="1">
            <x v="181"/>
          </reference>
          <reference field="24" count="1" selected="0">
            <x v="84"/>
          </reference>
        </references>
      </pivotArea>
    </format>
    <format dxfId="605">
      <pivotArea collapsedLevelsAreSubtotals="1" fieldPosition="0">
        <references count="1">
          <reference field="24" count="1">
            <x v="85"/>
          </reference>
        </references>
      </pivotArea>
    </format>
    <format dxfId="604">
      <pivotArea collapsedLevelsAreSubtotals="1" fieldPosition="0">
        <references count="2">
          <reference field="6" count="1">
            <x v="93"/>
          </reference>
          <reference field="24" count="1" selected="0">
            <x v="85"/>
          </reference>
        </references>
      </pivotArea>
    </format>
    <format dxfId="603">
      <pivotArea collapsedLevelsAreSubtotals="1" fieldPosition="0">
        <references count="1">
          <reference field="24" count="1">
            <x v="86"/>
          </reference>
        </references>
      </pivotArea>
    </format>
    <format dxfId="602">
      <pivotArea collapsedLevelsAreSubtotals="1" fieldPosition="0">
        <references count="2">
          <reference field="6" count="4">
            <x v="137"/>
            <x v="138"/>
            <x v="157"/>
            <x v="755"/>
          </reference>
          <reference field="24" count="1" selected="0">
            <x v="86"/>
          </reference>
        </references>
      </pivotArea>
    </format>
    <format dxfId="601">
      <pivotArea collapsedLevelsAreSubtotals="1" fieldPosition="0">
        <references count="1">
          <reference field="24" count="1">
            <x v="87"/>
          </reference>
        </references>
      </pivotArea>
    </format>
    <format dxfId="600">
      <pivotArea collapsedLevelsAreSubtotals="1" fieldPosition="0">
        <references count="2">
          <reference field="6" count="1">
            <x v="656"/>
          </reference>
          <reference field="24" count="1" selected="0">
            <x v="87"/>
          </reference>
        </references>
      </pivotArea>
    </format>
    <format dxfId="599">
      <pivotArea collapsedLevelsAreSubtotals="1" fieldPosition="0">
        <references count="1">
          <reference field="24" count="1">
            <x v="88"/>
          </reference>
        </references>
      </pivotArea>
    </format>
    <format dxfId="598">
      <pivotArea collapsedLevelsAreSubtotals="1" fieldPosition="0">
        <references count="2">
          <reference field="6" count="3">
            <x v="79"/>
            <x v="80"/>
            <x v="391"/>
          </reference>
          <reference field="24" count="1" selected="0">
            <x v="88"/>
          </reference>
        </references>
      </pivotArea>
    </format>
    <format dxfId="597">
      <pivotArea collapsedLevelsAreSubtotals="1" fieldPosition="0">
        <references count="1">
          <reference field="24" count="1">
            <x v="89"/>
          </reference>
        </references>
      </pivotArea>
    </format>
    <format dxfId="596">
      <pivotArea collapsedLevelsAreSubtotals="1" fieldPosition="0">
        <references count="2">
          <reference field="6" count="2">
            <x v="223"/>
            <x v="552"/>
          </reference>
          <reference field="24" count="1" selected="0">
            <x v="89"/>
          </reference>
        </references>
      </pivotArea>
    </format>
    <format dxfId="595">
      <pivotArea collapsedLevelsAreSubtotals="1" fieldPosition="0">
        <references count="1">
          <reference field="24" count="1">
            <x v="90"/>
          </reference>
        </references>
      </pivotArea>
    </format>
    <format dxfId="594">
      <pivotArea collapsedLevelsAreSubtotals="1" fieldPosition="0">
        <references count="2">
          <reference field="6" count="4">
            <x v="153"/>
            <x v="154"/>
            <x v="173"/>
            <x v="184"/>
          </reference>
          <reference field="24" count="1" selected="0">
            <x v="90"/>
          </reference>
        </references>
      </pivotArea>
    </format>
    <format dxfId="593">
      <pivotArea collapsedLevelsAreSubtotals="1" fieldPosition="0">
        <references count="1">
          <reference field="24" count="1">
            <x v="91"/>
          </reference>
        </references>
      </pivotArea>
    </format>
    <format dxfId="592">
      <pivotArea collapsedLevelsAreSubtotals="1" fieldPosition="0">
        <references count="2">
          <reference field="6" count="1">
            <x v="743"/>
          </reference>
          <reference field="24" count="1" selected="0">
            <x v="91"/>
          </reference>
        </references>
      </pivotArea>
    </format>
    <format dxfId="591">
      <pivotArea collapsedLevelsAreSubtotals="1" fieldPosition="0">
        <references count="1">
          <reference field="24" count="1">
            <x v="92"/>
          </reference>
        </references>
      </pivotArea>
    </format>
    <format dxfId="590">
      <pivotArea collapsedLevelsAreSubtotals="1" fieldPosition="0">
        <references count="2">
          <reference field="6" count="3">
            <x v="203"/>
            <x v="536"/>
            <x v="672"/>
          </reference>
          <reference field="24" count="1" selected="0">
            <x v="92"/>
          </reference>
        </references>
      </pivotArea>
    </format>
    <format dxfId="589">
      <pivotArea collapsedLevelsAreSubtotals="1" fieldPosition="0">
        <references count="1">
          <reference field="24" count="1">
            <x v="93"/>
          </reference>
        </references>
      </pivotArea>
    </format>
    <format dxfId="588">
      <pivotArea collapsedLevelsAreSubtotals="1" fieldPosition="0">
        <references count="2">
          <reference field="6" count="3">
            <x v="141"/>
            <x v="142"/>
            <x v="161"/>
          </reference>
          <reference field="24" count="1" selected="0">
            <x v="93"/>
          </reference>
        </references>
      </pivotArea>
    </format>
    <format dxfId="587">
      <pivotArea collapsedLevelsAreSubtotals="1" fieldPosition="0">
        <references count="1">
          <reference field="24" count="1">
            <x v="94"/>
          </reference>
        </references>
      </pivotArea>
    </format>
    <format dxfId="586">
      <pivotArea collapsedLevelsAreSubtotals="1" fieldPosition="0">
        <references count="2">
          <reference field="6" count="2">
            <x v="53"/>
            <x v="158"/>
          </reference>
          <reference field="24" count="1" selected="0">
            <x v="94"/>
          </reference>
        </references>
      </pivotArea>
    </format>
    <format dxfId="585">
      <pivotArea collapsedLevelsAreSubtotals="1" fieldPosition="0">
        <references count="1">
          <reference field="24" count="1">
            <x v="95"/>
          </reference>
        </references>
      </pivotArea>
    </format>
    <format dxfId="584">
      <pivotArea collapsedLevelsAreSubtotals="1" fieldPosition="0">
        <references count="2">
          <reference field="6" count="1">
            <x v="660"/>
          </reference>
          <reference field="24" count="1" selected="0">
            <x v="95"/>
          </reference>
        </references>
      </pivotArea>
    </format>
    <format dxfId="583">
      <pivotArea collapsedLevelsAreSubtotals="1" fieldPosition="0">
        <references count="1">
          <reference field="24" count="1">
            <x v="96"/>
          </reference>
        </references>
      </pivotArea>
    </format>
    <format dxfId="582">
      <pivotArea collapsedLevelsAreSubtotals="1" fieldPosition="0">
        <references count="2">
          <reference field="6" count="2">
            <x v="388"/>
            <x v="808"/>
          </reference>
          <reference field="24" count="1" selected="0">
            <x v="96"/>
          </reference>
        </references>
      </pivotArea>
    </format>
    <format dxfId="581">
      <pivotArea collapsedLevelsAreSubtotals="1" fieldPosition="0">
        <references count="1">
          <reference field="24" count="1">
            <x v="97"/>
          </reference>
        </references>
      </pivotArea>
    </format>
    <format dxfId="580">
      <pivotArea collapsedLevelsAreSubtotals="1" fieldPosition="0">
        <references count="2">
          <reference field="6" count="1">
            <x v="174"/>
          </reference>
          <reference field="24" count="1" selected="0">
            <x v="97"/>
          </reference>
        </references>
      </pivotArea>
    </format>
    <format dxfId="579">
      <pivotArea collapsedLevelsAreSubtotals="1" fieldPosition="0">
        <references count="1">
          <reference field="24" count="1">
            <x v="98"/>
          </reference>
        </references>
      </pivotArea>
    </format>
    <format dxfId="578">
      <pivotArea collapsedLevelsAreSubtotals="1" fieldPosition="0">
        <references count="2">
          <reference field="6" count="2">
            <x v="208"/>
            <x v="540"/>
          </reference>
          <reference field="24" count="1" selected="0">
            <x v="98"/>
          </reference>
        </references>
      </pivotArea>
    </format>
    <format dxfId="577">
      <pivotArea collapsedLevelsAreSubtotals="1" fieldPosition="0">
        <references count="1">
          <reference field="24" count="1">
            <x v="99"/>
          </reference>
        </references>
      </pivotArea>
    </format>
    <format dxfId="576">
      <pivotArea collapsedLevelsAreSubtotals="1" fieldPosition="0">
        <references count="2">
          <reference field="6" count="2">
            <x v="186"/>
            <x v="189"/>
          </reference>
          <reference field="24" count="1" selected="0">
            <x v="99"/>
          </reference>
        </references>
      </pivotArea>
    </format>
    <format dxfId="575">
      <pivotArea collapsedLevelsAreSubtotals="1" fieldPosition="0">
        <references count="1">
          <reference field="24" count="1">
            <x v="100"/>
          </reference>
        </references>
      </pivotArea>
    </format>
    <format dxfId="574">
      <pivotArea collapsedLevelsAreSubtotals="1" fieldPosition="0">
        <references count="2">
          <reference field="6" count="1">
            <x v="98"/>
          </reference>
          <reference field="24" count="1" selected="0">
            <x v="100"/>
          </reference>
        </references>
      </pivotArea>
    </format>
    <format dxfId="573">
      <pivotArea collapsedLevelsAreSubtotals="1" fieldPosition="0">
        <references count="1">
          <reference field="24" count="1">
            <x v="101"/>
          </reference>
        </references>
      </pivotArea>
    </format>
    <format dxfId="572">
      <pivotArea collapsedLevelsAreSubtotals="1" fieldPosition="0">
        <references count="2">
          <reference field="6" count="1">
            <x v="747"/>
          </reference>
          <reference field="24" count="1" selected="0">
            <x v="101"/>
          </reference>
        </references>
      </pivotArea>
    </format>
    <format dxfId="571">
      <pivotArea collapsedLevelsAreSubtotals="1" fieldPosition="0">
        <references count="1">
          <reference field="24" count="1">
            <x v="102"/>
          </reference>
        </references>
      </pivotArea>
    </format>
    <format dxfId="570">
      <pivotArea collapsedLevelsAreSubtotals="1" fieldPosition="0">
        <references count="2">
          <reference field="6" count="1">
            <x v="162"/>
          </reference>
          <reference field="24" count="1" selected="0">
            <x v="102"/>
          </reference>
        </references>
      </pivotArea>
    </format>
    <format dxfId="569">
      <pivotArea collapsedLevelsAreSubtotals="1" fieldPosition="0">
        <references count="1">
          <reference field="24" count="1">
            <x v="103"/>
          </reference>
        </references>
      </pivotArea>
    </format>
    <format dxfId="568">
      <pivotArea collapsedLevelsAreSubtotals="1" fieldPosition="0">
        <references count="2">
          <reference field="6" count="1">
            <x v="273"/>
          </reference>
          <reference field="24" count="1" selected="0">
            <x v="103"/>
          </reference>
        </references>
      </pivotArea>
    </format>
    <format dxfId="567">
      <pivotArea collapsedLevelsAreSubtotals="1" fieldPosition="0">
        <references count="1">
          <reference field="24" count="1">
            <x v="104"/>
          </reference>
        </references>
      </pivotArea>
    </format>
    <format dxfId="566">
      <pivotArea collapsedLevelsAreSubtotals="1" fieldPosition="0">
        <references count="2">
          <reference field="6" count="1">
            <x v="853"/>
          </reference>
          <reference field="24" count="1" selected="0">
            <x v="104"/>
          </reference>
        </references>
      </pivotArea>
    </format>
    <format dxfId="565">
      <pivotArea collapsedLevelsAreSubtotals="1" fieldPosition="0">
        <references count="1">
          <reference field="24" count="1">
            <x v="105"/>
          </reference>
        </references>
      </pivotArea>
    </format>
    <format dxfId="564">
      <pivotArea collapsedLevelsAreSubtotals="1" fieldPosition="0">
        <references count="2">
          <reference field="6" count="6">
            <x v="737"/>
            <x v="758"/>
            <x v="817"/>
            <x v="837"/>
            <x v="838"/>
            <x v="858"/>
          </reference>
          <reference field="24" count="1" selected="0">
            <x v="105"/>
          </reference>
        </references>
      </pivotArea>
    </format>
    <format dxfId="563">
      <pivotArea collapsedLevelsAreSubtotals="1" fieldPosition="0">
        <references count="1">
          <reference field="24" count="1">
            <x v="106"/>
          </reference>
        </references>
      </pivotArea>
    </format>
    <format dxfId="562">
      <pivotArea collapsedLevelsAreSubtotals="1" fieldPosition="0">
        <references count="2">
          <reference field="6" count="1">
            <x v="799"/>
          </reference>
          <reference field="24" count="1" selected="0">
            <x v="106"/>
          </reference>
        </references>
      </pivotArea>
    </format>
    <format dxfId="561">
      <pivotArea collapsedLevelsAreSubtotals="1" fieldPosition="0">
        <references count="1">
          <reference field="24" count="1">
            <x v="107"/>
          </reference>
        </references>
      </pivotArea>
    </format>
    <format dxfId="560">
      <pivotArea collapsedLevelsAreSubtotals="1" fieldPosition="0">
        <references count="2">
          <reference field="6" count="2">
            <x v="293"/>
            <x v="596"/>
          </reference>
          <reference field="24" count="1" selected="0">
            <x v="107"/>
          </reference>
        </references>
      </pivotArea>
    </format>
    <format dxfId="559">
      <pivotArea collapsedLevelsAreSubtotals="1" fieldPosition="0">
        <references count="1">
          <reference field="24" count="1">
            <x v="108"/>
          </reference>
        </references>
      </pivotArea>
    </format>
    <format dxfId="558">
      <pivotArea collapsedLevelsAreSubtotals="1" fieldPosition="0">
        <references count="2">
          <reference field="6" count="6">
            <x v="753"/>
            <x v="774"/>
            <x v="815"/>
            <x v="833"/>
            <x v="854"/>
            <x v="874"/>
          </reference>
          <reference field="24" count="1" selected="0">
            <x v="108"/>
          </reference>
        </references>
      </pivotArea>
    </format>
    <format dxfId="557">
      <pivotArea collapsedLevelsAreSubtotals="1" fieldPosition="0">
        <references count="1">
          <reference field="24" count="1">
            <x v="109"/>
          </reference>
        </references>
      </pivotArea>
    </format>
    <format dxfId="556">
      <pivotArea collapsedLevelsAreSubtotals="1" fieldPosition="0">
        <references count="2">
          <reference field="6" count="2">
            <x v="617"/>
            <x v="658"/>
          </reference>
          <reference field="24" count="1" selected="0">
            <x v="109"/>
          </reference>
        </references>
      </pivotArea>
    </format>
    <format dxfId="555">
      <pivotArea collapsedLevelsAreSubtotals="1" fieldPosition="0">
        <references count="1">
          <reference field="24" count="1">
            <x v="110"/>
          </reference>
        </references>
      </pivotArea>
    </format>
    <format dxfId="554">
      <pivotArea collapsedLevelsAreSubtotals="1" fieldPosition="0">
        <references count="2">
          <reference field="6" count="2">
            <x v="213"/>
            <x v="544"/>
          </reference>
          <reference field="24" count="1" selected="0">
            <x v="110"/>
          </reference>
        </references>
      </pivotArea>
    </format>
    <format dxfId="553">
      <pivotArea collapsedLevelsAreSubtotals="1" fieldPosition="0">
        <references count="1">
          <reference field="24" count="1">
            <x v="111"/>
          </reference>
        </references>
      </pivotArea>
    </format>
    <format dxfId="552">
      <pivotArea collapsedLevelsAreSubtotals="1" fieldPosition="0">
        <references count="2">
          <reference field="6" count="3">
            <x v="145"/>
            <x v="146"/>
            <x v="165"/>
          </reference>
          <reference field="24" count="1" selected="0">
            <x v="111"/>
          </reference>
        </references>
      </pivotArea>
    </format>
    <format dxfId="551">
      <pivotArea collapsedLevelsAreSubtotals="1" fieldPosition="0">
        <references count="1">
          <reference field="24" count="1">
            <x v="112"/>
          </reference>
        </references>
      </pivotArea>
    </format>
    <format dxfId="550">
      <pivotArea collapsedLevelsAreSubtotals="1" fieldPosition="0">
        <references count="2">
          <reference field="6" count="1">
            <x v="664"/>
          </reference>
          <reference field="24" count="1" selected="0">
            <x v="112"/>
          </reference>
        </references>
      </pivotArea>
    </format>
    <format dxfId="549">
      <pivotArea dataOnly="0" labelOnly="1" fieldPosition="0">
        <references count="1">
          <reference field="24" count="29">
            <x v="84"/>
            <x v="85"/>
            <x v="86"/>
            <x v="87"/>
            <x v="88"/>
            <x v="89"/>
            <x v="90"/>
            <x v="91"/>
            <x v="92"/>
            <x v="93"/>
            <x v="94"/>
            <x v="95"/>
            <x v="96"/>
            <x v="97"/>
            <x v="98"/>
            <x v="99"/>
            <x v="100"/>
            <x v="101"/>
            <x v="102"/>
            <x v="103"/>
            <x v="104"/>
            <x v="105"/>
            <x v="106"/>
            <x v="107"/>
            <x v="108"/>
            <x v="109"/>
            <x v="110"/>
            <x v="111"/>
            <x v="112"/>
          </reference>
        </references>
      </pivotArea>
    </format>
    <format dxfId="548">
      <pivotArea dataOnly="0" labelOnly="1" fieldPosition="0">
        <references count="2">
          <reference field="6" count="1">
            <x v="181"/>
          </reference>
          <reference field="24" count="1" selected="0">
            <x v="84"/>
          </reference>
        </references>
      </pivotArea>
    </format>
    <format dxfId="547">
      <pivotArea dataOnly="0" labelOnly="1" fieldPosition="0">
        <references count="2">
          <reference field="6" count="1">
            <x v="93"/>
          </reference>
          <reference field="24" count="1" selected="0">
            <x v="85"/>
          </reference>
        </references>
      </pivotArea>
    </format>
    <format dxfId="546">
      <pivotArea dataOnly="0" labelOnly="1" fieldPosition="0">
        <references count="2">
          <reference field="6" count="4">
            <x v="137"/>
            <x v="138"/>
            <x v="157"/>
            <x v="755"/>
          </reference>
          <reference field="24" count="1" selected="0">
            <x v="86"/>
          </reference>
        </references>
      </pivotArea>
    </format>
    <format dxfId="545">
      <pivotArea dataOnly="0" labelOnly="1" fieldPosition="0">
        <references count="2">
          <reference field="6" count="1">
            <x v="656"/>
          </reference>
          <reference field="24" count="1" selected="0">
            <x v="87"/>
          </reference>
        </references>
      </pivotArea>
    </format>
    <format dxfId="544">
      <pivotArea dataOnly="0" labelOnly="1" fieldPosition="0">
        <references count="2">
          <reference field="6" count="3">
            <x v="79"/>
            <x v="80"/>
            <x v="391"/>
          </reference>
          <reference field="24" count="1" selected="0">
            <x v="88"/>
          </reference>
        </references>
      </pivotArea>
    </format>
    <format dxfId="543">
      <pivotArea dataOnly="0" labelOnly="1" fieldPosition="0">
        <references count="2">
          <reference field="6" count="2">
            <x v="223"/>
            <x v="552"/>
          </reference>
          <reference field="24" count="1" selected="0">
            <x v="89"/>
          </reference>
        </references>
      </pivotArea>
    </format>
    <format dxfId="542">
      <pivotArea dataOnly="0" labelOnly="1" fieldPosition="0">
        <references count="2">
          <reference field="6" count="4">
            <x v="153"/>
            <x v="154"/>
            <x v="173"/>
            <x v="184"/>
          </reference>
          <reference field="24" count="1" selected="0">
            <x v="90"/>
          </reference>
        </references>
      </pivotArea>
    </format>
    <format dxfId="541">
      <pivotArea dataOnly="0" labelOnly="1" fieldPosition="0">
        <references count="2">
          <reference field="6" count="1">
            <x v="743"/>
          </reference>
          <reference field="24" count="1" selected="0">
            <x v="91"/>
          </reference>
        </references>
      </pivotArea>
    </format>
    <format dxfId="540">
      <pivotArea dataOnly="0" labelOnly="1" fieldPosition="0">
        <references count="2">
          <reference field="6" count="3">
            <x v="203"/>
            <x v="536"/>
            <x v="672"/>
          </reference>
          <reference field="24" count="1" selected="0">
            <x v="92"/>
          </reference>
        </references>
      </pivotArea>
    </format>
    <format dxfId="539">
      <pivotArea dataOnly="0" labelOnly="1" fieldPosition="0">
        <references count="2">
          <reference field="6" count="3">
            <x v="141"/>
            <x v="142"/>
            <x v="161"/>
          </reference>
          <reference field="24" count="1" selected="0">
            <x v="93"/>
          </reference>
        </references>
      </pivotArea>
    </format>
    <format dxfId="538">
      <pivotArea dataOnly="0" labelOnly="1" fieldPosition="0">
        <references count="2">
          <reference field="6" count="2">
            <x v="53"/>
            <x v="158"/>
          </reference>
          <reference field="24" count="1" selected="0">
            <x v="94"/>
          </reference>
        </references>
      </pivotArea>
    </format>
    <format dxfId="537">
      <pivotArea dataOnly="0" labelOnly="1" fieldPosition="0">
        <references count="2">
          <reference field="6" count="1">
            <x v="660"/>
          </reference>
          <reference field="24" count="1" selected="0">
            <x v="95"/>
          </reference>
        </references>
      </pivotArea>
    </format>
    <format dxfId="536">
      <pivotArea dataOnly="0" labelOnly="1" fieldPosition="0">
        <references count="2">
          <reference field="6" count="2">
            <x v="388"/>
            <x v="808"/>
          </reference>
          <reference field="24" count="1" selected="0">
            <x v="96"/>
          </reference>
        </references>
      </pivotArea>
    </format>
    <format dxfId="535">
      <pivotArea dataOnly="0" labelOnly="1" fieldPosition="0">
        <references count="2">
          <reference field="6" count="1">
            <x v="174"/>
          </reference>
          <reference field="24" count="1" selected="0">
            <x v="97"/>
          </reference>
        </references>
      </pivotArea>
    </format>
    <format dxfId="534">
      <pivotArea dataOnly="0" labelOnly="1" fieldPosition="0">
        <references count="2">
          <reference field="6" count="2">
            <x v="208"/>
            <x v="540"/>
          </reference>
          <reference field="24" count="1" selected="0">
            <x v="98"/>
          </reference>
        </references>
      </pivotArea>
    </format>
    <format dxfId="533">
      <pivotArea dataOnly="0" labelOnly="1" fieldPosition="0">
        <references count="2">
          <reference field="6" count="2">
            <x v="186"/>
            <x v="189"/>
          </reference>
          <reference field="24" count="1" selected="0">
            <x v="99"/>
          </reference>
        </references>
      </pivotArea>
    </format>
    <format dxfId="532">
      <pivotArea dataOnly="0" labelOnly="1" fieldPosition="0">
        <references count="2">
          <reference field="6" count="1">
            <x v="98"/>
          </reference>
          <reference field="24" count="1" selected="0">
            <x v="100"/>
          </reference>
        </references>
      </pivotArea>
    </format>
    <format dxfId="531">
      <pivotArea dataOnly="0" labelOnly="1" fieldPosition="0">
        <references count="2">
          <reference field="6" count="1">
            <x v="747"/>
          </reference>
          <reference field="24" count="1" selected="0">
            <x v="101"/>
          </reference>
        </references>
      </pivotArea>
    </format>
    <format dxfId="530">
      <pivotArea dataOnly="0" labelOnly="1" fieldPosition="0">
        <references count="2">
          <reference field="6" count="1">
            <x v="162"/>
          </reference>
          <reference field="24" count="1" selected="0">
            <x v="102"/>
          </reference>
        </references>
      </pivotArea>
    </format>
    <format dxfId="529">
      <pivotArea dataOnly="0" labelOnly="1" fieldPosition="0">
        <references count="2">
          <reference field="6" count="1">
            <x v="273"/>
          </reference>
          <reference field="24" count="1" selected="0">
            <x v="103"/>
          </reference>
        </references>
      </pivotArea>
    </format>
    <format dxfId="528">
      <pivotArea dataOnly="0" labelOnly="1" fieldPosition="0">
        <references count="2">
          <reference field="6" count="1">
            <x v="853"/>
          </reference>
          <reference field="24" count="1" selected="0">
            <x v="104"/>
          </reference>
        </references>
      </pivotArea>
    </format>
    <format dxfId="527">
      <pivotArea dataOnly="0" labelOnly="1" fieldPosition="0">
        <references count="2">
          <reference field="6" count="6">
            <x v="737"/>
            <x v="758"/>
            <x v="817"/>
            <x v="837"/>
            <x v="838"/>
            <x v="858"/>
          </reference>
          <reference field="24" count="1" selected="0">
            <x v="105"/>
          </reference>
        </references>
      </pivotArea>
    </format>
    <format dxfId="526">
      <pivotArea dataOnly="0" labelOnly="1" fieldPosition="0">
        <references count="2">
          <reference field="6" count="1">
            <x v="799"/>
          </reference>
          <reference field="24" count="1" selected="0">
            <x v="106"/>
          </reference>
        </references>
      </pivotArea>
    </format>
    <format dxfId="525">
      <pivotArea dataOnly="0" labelOnly="1" fieldPosition="0">
        <references count="2">
          <reference field="6" count="2">
            <x v="293"/>
            <x v="596"/>
          </reference>
          <reference field="24" count="1" selected="0">
            <x v="107"/>
          </reference>
        </references>
      </pivotArea>
    </format>
    <format dxfId="524">
      <pivotArea dataOnly="0" labelOnly="1" fieldPosition="0">
        <references count="2">
          <reference field="6" count="6">
            <x v="753"/>
            <x v="774"/>
            <x v="815"/>
            <x v="833"/>
            <x v="854"/>
            <x v="874"/>
          </reference>
          <reference field="24" count="1" selected="0">
            <x v="108"/>
          </reference>
        </references>
      </pivotArea>
    </format>
    <format dxfId="523">
      <pivotArea dataOnly="0" labelOnly="1" fieldPosition="0">
        <references count="2">
          <reference field="6" count="2">
            <x v="617"/>
            <x v="658"/>
          </reference>
          <reference field="24" count="1" selected="0">
            <x v="109"/>
          </reference>
        </references>
      </pivotArea>
    </format>
    <format dxfId="522">
      <pivotArea dataOnly="0" labelOnly="1" fieldPosition="0">
        <references count="2">
          <reference field="6" count="2">
            <x v="213"/>
            <x v="544"/>
          </reference>
          <reference field="24" count="1" selected="0">
            <x v="110"/>
          </reference>
        </references>
      </pivotArea>
    </format>
    <format dxfId="521">
      <pivotArea dataOnly="0" labelOnly="1" fieldPosition="0">
        <references count="2">
          <reference field="6" count="3">
            <x v="145"/>
            <x v="146"/>
            <x v="165"/>
          </reference>
          <reference field="24" count="1" selected="0">
            <x v="111"/>
          </reference>
        </references>
      </pivotArea>
    </format>
    <format dxfId="520">
      <pivotArea dataOnly="0" labelOnly="1" fieldPosition="0">
        <references count="2">
          <reference field="6" count="1">
            <x v="664"/>
          </reference>
          <reference field="24" count="1" selected="0">
            <x v="112"/>
          </reference>
        </references>
      </pivotArea>
    </format>
    <format dxfId="519">
      <pivotArea collapsedLevelsAreSubtotals="1" fieldPosition="0">
        <references count="1">
          <reference field="24" count="1">
            <x v="174"/>
          </reference>
        </references>
      </pivotArea>
    </format>
    <format dxfId="518">
      <pivotArea collapsedLevelsAreSubtotals="1" fieldPosition="0">
        <references count="2">
          <reference field="6" count="2">
            <x v="373"/>
            <x v="394"/>
          </reference>
          <reference field="24" count="1" selected="0">
            <x v="174"/>
          </reference>
        </references>
      </pivotArea>
    </format>
    <format dxfId="517">
      <pivotArea collapsedLevelsAreSubtotals="1" fieldPosition="0">
        <references count="1">
          <reference field="24" count="1">
            <x v="175"/>
          </reference>
        </references>
      </pivotArea>
    </format>
    <format dxfId="516">
      <pivotArea collapsedLevelsAreSubtotals="1" fieldPosition="0">
        <references count="2">
          <reference field="6" count="4">
            <x v="217"/>
            <x v="549"/>
            <x v="569"/>
            <x v="610"/>
          </reference>
          <reference field="24" count="1" selected="0">
            <x v="175"/>
          </reference>
        </references>
      </pivotArea>
    </format>
    <format dxfId="515">
      <pivotArea collapsedLevelsAreSubtotals="1" fieldPosition="0">
        <references count="1">
          <reference field="24" count="1">
            <x v="176"/>
          </reference>
        </references>
      </pivotArea>
    </format>
    <format dxfId="514">
      <pivotArea collapsedLevelsAreSubtotals="1" fieldPosition="0">
        <references count="2">
          <reference field="6" count="2">
            <x v="501"/>
            <x v="502"/>
          </reference>
          <reference field="24" count="1" selected="0">
            <x v="176"/>
          </reference>
        </references>
      </pivotArea>
    </format>
    <format dxfId="513">
      <pivotArea collapsedLevelsAreSubtotals="1" fieldPosition="0">
        <references count="1">
          <reference field="24" count="1">
            <x v="177"/>
          </reference>
        </references>
      </pivotArea>
    </format>
    <format dxfId="512">
      <pivotArea collapsedLevelsAreSubtotals="1" fieldPosition="0">
        <references count="2">
          <reference field="6" count="9">
            <x v="236"/>
            <x v="310"/>
            <x v="533"/>
            <x v="571"/>
            <x v="613"/>
            <x v="626"/>
            <x v="690"/>
            <x v="729"/>
            <x v="790"/>
          </reference>
          <reference field="24" count="1" selected="0">
            <x v="177"/>
          </reference>
        </references>
      </pivotArea>
    </format>
    <format dxfId="511">
      <pivotArea collapsedLevelsAreSubtotals="1" fieldPosition="0">
        <references count="1">
          <reference field="24" count="1">
            <x v="178"/>
          </reference>
        </references>
      </pivotArea>
    </format>
    <format dxfId="510">
      <pivotArea collapsedLevelsAreSubtotals="1" fieldPosition="0">
        <references count="2">
          <reference field="6" count="3">
            <x v="333"/>
            <x v="361"/>
            <x v="382"/>
          </reference>
          <reference field="24" count="1" selected="0">
            <x v="178"/>
          </reference>
        </references>
      </pivotArea>
    </format>
    <format dxfId="509">
      <pivotArea collapsedLevelsAreSubtotals="1" fieldPosition="0">
        <references count="1">
          <reference field="24" count="1">
            <x v="179"/>
          </reference>
        </references>
      </pivotArea>
    </format>
    <format dxfId="508">
      <pivotArea collapsedLevelsAreSubtotals="1" fieldPosition="0">
        <references count="2">
          <reference field="6" count="4">
            <x v="192"/>
            <x v="193"/>
            <x v="297"/>
            <x v="317"/>
          </reference>
          <reference field="24" count="1" selected="0">
            <x v="179"/>
          </reference>
        </references>
      </pivotArea>
    </format>
    <format dxfId="507">
      <pivotArea dataOnly="0" labelOnly="1" fieldPosition="0">
        <references count="1">
          <reference field="24" count="6">
            <x v="174"/>
            <x v="175"/>
            <x v="176"/>
            <x v="177"/>
            <x v="178"/>
            <x v="179"/>
          </reference>
        </references>
      </pivotArea>
    </format>
    <format dxfId="506">
      <pivotArea dataOnly="0" labelOnly="1" fieldPosition="0">
        <references count="2">
          <reference field="6" count="2">
            <x v="373"/>
            <x v="394"/>
          </reference>
          <reference field="24" count="1" selected="0">
            <x v="174"/>
          </reference>
        </references>
      </pivotArea>
    </format>
    <format dxfId="505">
      <pivotArea dataOnly="0" labelOnly="1" fieldPosition="0">
        <references count="2">
          <reference field="6" count="4">
            <x v="217"/>
            <x v="549"/>
            <x v="569"/>
            <x v="610"/>
          </reference>
          <reference field="24" count="1" selected="0">
            <x v="175"/>
          </reference>
        </references>
      </pivotArea>
    </format>
    <format dxfId="504">
      <pivotArea dataOnly="0" labelOnly="1" fieldPosition="0">
        <references count="2">
          <reference field="6" count="2">
            <x v="501"/>
            <x v="502"/>
          </reference>
          <reference field="24" count="1" selected="0">
            <x v="176"/>
          </reference>
        </references>
      </pivotArea>
    </format>
    <format dxfId="503">
      <pivotArea dataOnly="0" labelOnly="1" fieldPosition="0">
        <references count="2">
          <reference field="6" count="9">
            <x v="236"/>
            <x v="310"/>
            <x v="533"/>
            <x v="571"/>
            <x v="613"/>
            <x v="626"/>
            <x v="690"/>
            <x v="729"/>
            <x v="790"/>
          </reference>
          <reference field="24" count="1" selected="0">
            <x v="177"/>
          </reference>
        </references>
      </pivotArea>
    </format>
    <format dxfId="502">
      <pivotArea dataOnly="0" labelOnly="1" fieldPosition="0">
        <references count="2">
          <reference field="6" count="3">
            <x v="333"/>
            <x v="361"/>
            <x v="382"/>
          </reference>
          <reference field="24" count="1" selected="0">
            <x v="178"/>
          </reference>
        </references>
      </pivotArea>
    </format>
    <format dxfId="501">
      <pivotArea dataOnly="0" labelOnly="1" fieldPosition="0">
        <references count="2">
          <reference field="6" count="4">
            <x v="192"/>
            <x v="193"/>
            <x v="297"/>
            <x v="317"/>
          </reference>
          <reference field="24" count="1" selected="0">
            <x v="179"/>
          </reference>
        </references>
      </pivotArea>
    </format>
    <format dxfId="500">
      <pivotArea type="all" dataOnly="0" outline="0" fieldPosition="0"/>
    </format>
    <format dxfId="499">
      <pivotArea outline="0" collapsedLevelsAreSubtotals="1" fieldPosition="0"/>
    </format>
    <format dxfId="498">
      <pivotArea field="24" type="button" dataOnly="0" labelOnly="1" outline="0" axis="axisRow" fieldPosition="0"/>
    </format>
    <format dxfId="497">
      <pivotArea dataOnly="0" labelOnly="1" fieldPosition="0">
        <references count="1">
          <reference field="2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96">
      <pivotArea dataOnly="0" labelOnly="1" fieldPosition="0">
        <references count="1">
          <reference field="24" count="34">
            <x v="50"/>
            <x v="51"/>
            <x v="52"/>
            <x v="53"/>
            <x v="54"/>
            <x v="55"/>
            <x v="56"/>
            <x v="57"/>
            <x v="58"/>
            <x v="59"/>
            <x v="60"/>
            <x v="61"/>
            <x v="62"/>
            <x v="63"/>
            <x v="64"/>
            <x v="65"/>
            <x v="66"/>
            <x v="67"/>
            <x v="68"/>
            <x v="69"/>
            <x v="70"/>
            <x v="71"/>
            <x v="72"/>
            <x v="73"/>
            <x v="74"/>
            <x v="75"/>
            <x v="76"/>
            <x v="77"/>
            <x v="78"/>
            <x v="79"/>
            <x v="80"/>
            <x v="81"/>
            <x v="82"/>
            <x v="83"/>
          </reference>
        </references>
      </pivotArea>
    </format>
    <format dxfId="495">
      <pivotArea dataOnly="0" labelOnly="1" grandRow="1" outline="0" fieldPosition="0"/>
    </format>
    <format dxfId="494">
      <pivotArea dataOnly="0" labelOnly="1" fieldPosition="0">
        <references count="2">
          <reference field="6" count="1">
            <x v="117"/>
          </reference>
          <reference field="24" count="1" selected="0">
            <x v="0"/>
          </reference>
        </references>
      </pivotArea>
    </format>
    <format dxfId="493">
      <pivotArea dataOnly="0" labelOnly="1" fieldPosition="0">
        <references count="2">
          <reference field="6" count="2">
            <x v="90"/>
            <x v="91"/>
          </reference>
          <reference field="24" count="1" selected="0">
            <x v="1"/>
          </reference>
        </references>
      </pivotArea>
    </format>
    <format dxfId="492">
      <pivotArea dataOnly="0" labelOnly="1" fieldPosition="0">
        <references count="2">
          <reference field="6" count="1">
            <x v="89"/>
          </reference>
          <reference field="24" count="1" selected="0">
            <x v="2"/>
          </reference>
        </references>
      </pivotArea>
    </format>
    <format dxfId="491">
      <pivotArea dataOnly="0" labelOnly="1" fieldPosition="0">
        <references count="2">
          <reference field="6" count="2">
            <x v="276"/>
            <x v="415"/>
          </reference>
          <reference field="24" count="1" selected="0">
            <x v="3"/>
          </reference>
        </references>
      </pivotArea>
    </format>
    <format dxfId="490">
      <pivotArea dataOnly="0" labelOnly="1" fieldPosition="0">
        <references count="2">
          <reference field="6" count="2">
            <x v="572"/>
            <x v="615"/>
          </reference>
          <reference field="24" count="1" selected="0">
            <x v="4"/>
          </reference>
        </references>
      </pivotArea>
    </format>
    <format dxfId="489">
      <pivotArea dataOnly="0" labelOnly="1" fieldPosition="0">
        <references count="2">
          <reference field="6" count="2">
            <x v="180"/>
            <x v="399"/>
          </reference>
          <reference field="24" count="1" selected="0">
            <x v="5"/>
          </reference>
        </references>
      </pivotArea>
    </format>
    <format dxfId="488">
      <pivotArea dataOnly="0" labelOnly="1" fieldPosition="0">
        <references count="2">
          <reference field="6" count="3">
            <x v="556"/>
            <x v="599"/>
            <x v="776"/>
          </reference>
          <reference field="24" count="1" selected="0">
            <x v="6"/>
          </reference>
        </references>
      </pivotArea>
    </format>
    <format dxfId="487">
      <pivotArea dataOnly="0" labelOnly="1" fieldPosition="0">
        <references count="2">
          <reference field="6" count="1">
            <x v="576"/>
          </reference>
          <reference field="24" count="1" selected="0">
            <x v="7"/>
          </reference>
        </references>
      </pivotArea>
    </format>
    <format dxfId="486">
      <pivotArea dataOnly="0" labelOnly="1" fieldPosition="0">
        <references count="2">
          <reference field="6" count="1">
            <x v="792"/>
          </reference>
          <reference field="24" count="1" selected="0">
            <x v="8"/>
          </reference>
        </references>
      </pivotArea>
    </format>
    <format dxfId="485">
      <pivotArea dataOnly="0" labelOnly="1" fieldPosition="0">
        <references count="2">
          <reference field="6" count="3">
            <x v="195"/>
            <x v="396"/>
            <x v="779"/>
          </reference>
          <reference field="24" count="1" selected="0">
            <x v="9"/>
          </reference>
        </references>
      </pivotArea>
    </format>
    <format dxfId="484">
      <pivotArea dataOnly="0" labelOnly="1" fieldPosition="0">
        <references count="2">
          <reference field="6" count="5">
            <x v="436"/>
            <x v="496"/>
            <x v="592"/>
            <x v="595"/>
            <x v="696"/>
          </reference>
          <reference field="24" count="1" selected="0">
            <x v="10"/>
          </reference>
        </references>
      </pivotArea>
    </format>
    <format dxfId="483">
      <pivotArea dataOnly="0" labelOnly="1" fieldPosition="0">
        <references count="2">
          <reference field="6" count="6">
            <x v="23"/>
            <x v="40"/>
            <x v="42"/>
            <x v="204"/>
            <x v="403"/>
            <x v="579"/>
          </reference>
          <reference field="24" count="1" selected="0">
            <x v="11"/>
          </reference>
        </references>
      </pivotArea>
    </format>
    <format dxfId="482">
      <pivotArea dataOnly="0" labelOnly="1" fieldPosition="0">
        <references count="2">
          <reference field="6" count="5">
            <x v="291"/>
            <x v="412"/>
            <x v="560"/>
            <x v="603"/>
            <x v="780"/>
          </reference>
          <reference field="24" count="1" selected="0">
            <x v="12"/>
          </reference>
        </references>
      </pivotArea>
    </format>
    <format dxfId="481">
      <pivotArea dataOnly="0" labelOnly="1" fieldPosition="0">
        <references count="2">
          <reference field="6" count="5">
            <x v="492"/>
            <x v="512"/>
            <x v="515"/>
            <x v="535"/>
            <x v="580"/>
          </reference>
          <reference field="24" count="1" selected="0">
            <x v="13"/>
          </reference>
        </references>
      </pivotArea>
    </format>
    <format dxfId="480">
      <pivotArea dataOnly="0" labelOnly="1" fieldPosition="0">
        <references count="2">
          <reference field="6" count="21">
            <x v="3"/>
            <x v="19"/>
            <x v="20"/>
            <x v="36"/>
            <x v="39"/>
            <x v="43"/>
            <x v="56"/>
            <x v="59"/>
            <x v="60"/>
            <x v="61"/>
            <x v="62"/>
            <x v="416"/>
            <x v="439"/>
            <x v="459"/>
            <x v="476"/>
            <x v="499"/>
            <x v="519"/>
            <x v="676"/>
            <x v="699"/>
            <x v="719"/>
            <x v="795"/>
          </reference>
          <reference field="24" count="1" selected="0">
            <x v="14"/>
          </reference>
        </references>
      </pivotArea>
    </format>
    <format dxfId="479">
      <pivotArea dataOnly="0" labelOnly="1" fieldPosition="0">
        <references count="2">
          <reference field="6" count="2">
            <x v="219"/>
            <x v="400"/>
          </reference>
          <reference field="24" count="1" selected="0">
            <x v="15"/>
          </reference>
        </references>
      </pivotArea>
    </format>
    <format dxfId="478">
      <pivotArea dataOnly="0" labelOnly="1" fieldPosition="0">
        <references count="2">
          <reference field="6" count="8">
            <x v="432"/>
            <x v="452"/>
            <x v="455"/>
            <x v="475"/>
            <x v="692"/>
            <x v="712"/>
            <x v="715"/>
            <x v="735"/>
          </reference>
          <reference field="24" count="1" selected="0">
            <x v="16"/>
          </reference>
        </references>
      </pivotArea>
    </format>
    <format dxfId="477">
      <pivotArea dataOnly="0" labelOnly="1" fieldPosition="0">
        <references count="2">
          <reference field="6" count="3">
            <x v="440"/>
            <x v="500"/>
            <x v="700"/>
          </reference>
          <reference field="24" count="1" selected="0">
            <x v="17"/>
          </reference>
        </references>
      </pivotArea>
    </format>
    <format dxfId="476">
      <pivotArea dataOnly="0" labelOnly="1" fieldPosition="0">
        <references count="2">
          <reference field="6" count="6">
            <x v="0"/>
            <x v="27"/>
            <x v="44"/>
            <x v="82"/>
            <x v="583"/>
            <x v="783"/>
          </reference>
          <reference field="24" count="1" selected="0">
            <x v="18"/>
          </reference>
        </references>
      </pivotArea>
    </format>
    <format dxfId="475">
      <pivotArea dataOnly="0" labelOnly="1" fieldPosition="0">
        <references count="2">
          <reference field="6" count="6">
            <x v="419"/>
            <x v="456"/>
            <x v="479"/>
            <x v="516"/>
            <x v="679"/>
            <x v="716"/>
          </reference>
          <reference field="24" count="1" selected="0">
            <x v="19"/>
          </reference>
        </references>
      </pivotArea>
    </format>
    <format dxfId="474">
      <pivotArea dataOnly="0" labelOnly="1" fieldPosition="0">
        <references count="2">
          <reference field="6" count="2">
            <x v="228"/>
            <x v="407"/>
          </reference>
          <reference field="24" count="1" selected="0">
            <x v="20"/>
          </reference>
        </references>
      </pivotArea>
    </format>
    <format dxfId="473">
      <pivotArea dataOnly="0" labelOnly="1" fieldPosition="0">
        <references count="2">
          <reference field="6" count="4">
            <x v="564"/>
            <x v="607"/>
            <x v="632"/>
            <x v="675"/>
          </reference>
          <reference field="24" count="1" selected="0">
            <x v="21"/>
          </reference>
        </references>
      </pivotArea>
    </format>
    <format dxfId="472">
      <pivotArea dataOnly="0" labelOnly="1" fieldPosition="0">
        <references count="2">
          <reference field="6" count="17">
            <x v="7"/>
            <x v="16"/>
            <x v="24"/>
            <x v="47"/>
            <x v="65"/>
            <x v="420"/>
            <x v="443"/>
            <x v="463"/>
            <x v="480"/>
            <x v="503"/>
            <x v="523"/>
            <x v="616"/>
            <x v="659"/>
            <x v="680"/>
            <x v="703"/>
            <x v="723"/>
            <x v="759"/>
          </reference>
          <reference field="24" count="1" selected="0">
            <x v="22"/>
          </reference>
        </references>
      </pivotArea>
    </format>
    <format dxfId="471">
      <pivotArea dataOnly="0" labelOnly="1" fieldPosition="0">
        <references count="2">
          <reference field="6" count="2">
            <x v="495"/>
            <x v="532"/>
          </reference>
          <reference field="24" count="1" selected="0">
            <x v="23"/>
          </reference>
        </references>
      </pivotArea>
    </format>
    <format dxfId="470">
      <pivotArea dataOnly="0" labelOnly="1" fieldPosition="0">
        <references count="2">
          <reference field="6" count="7">
            <x v="63"/>
            <x v="248"/>
            <x v="316"/>
            <x v="636"/>
            <x v="775"/>
            <x v="784"/>
            <x v="836"/>
          </reference>
          <reference field="24" count="1" selected="0">
            <x v="24"/>
          </reference>
        </references>
      </pivotArea>
    </format>
    <format dxfId="469">
      <pivotArea dataOnly="0" labelOnly="1" fieldPosition="0">
        <references count="2">
          <reference field="6" count="7">
            <x v="4"/>
            <x v="133"/>
            <x v="435"/>
            <x v="472"/>
            <x v="695"/>
            <x v="732"/>
            <x v="756"/>
          </reference>
          <reference field="24" count="1" selected="0">
            <x v="25"/>
          </reference>
        </references>
      </pivotArea>
    </format>
    <format dxfId="468">
      <pivotArea dataOnly="0" labelOnly="1" fieldPosition="0">
        <references count="2">
          <reference field="6" count="2">
            <x v="483"/>
            <x v="520"/>
          </reference>
          <reference field="24" count="1" selected="0">
            <x v="26"/>
          </reference>
        </references>
      </pivotArea>
    </format>
    <format dxfId="467">
      <pivotArea dataOnly="0" labelOnly="1" fieldPosition="0">
        <references count="2">
          <reference field="6" count="9">
            <x v="244"/>
            <x v="268"/>
            <x v="271"/>
            <x v="295"/>
            <x v="372"/>
            <x v="584"/>
            <x v="587"/>
            <x v="652"/>
            <x v="655"/>
          </reference>
          <reference field="24" count="1" selected="0">
            <x v="27"/>
          </reference>
        </references>
      </pivotArea>
    </format>
    <format dxfId="466">
      <pivotArea dataOnly="0" labelOnly="1" fieldPosition="0">
        <references count="2">
          <reference field="6" count="12">
            <x v="224"/>
            <x v="251"/>
            <x v="275"/>
            <x v="296"/>
            <x v="319"/>
            <x v="339"/>
            <x v="356"/>
            <x v="639"/>
            <x v="736"/>
            <x v="816"/>
            <x v="839"/>
            <x v="859"/>
          </reference>
          <reference field="24" count="1" selected="0">
            <x v="28"/>
          </reference>
        </references>
      </pivotArea>
    </format>
    <format dxfId="465">
      <pivotArea dataOnly="0" labelOnly="1" fieldPosition="0">
        <references count="2">
          <reference field="6" count="15">
            <x v="112"/>
            <x v="113"/>
            <x v="121"/>
            <x v="243"/>
            <x v="404"/>
            <x v="423"/>
            <x v="460"/>
            <x v="620"/>
            <x v="663"/>
            <x v="683"/>
            <x v="720"/>
            <x v="763"/>
            <x v="787"/>
            <x v="797"/>
            <x v="813"/>
          </reference>
          <reference field="24" count="1" selected="0">
            <x v="29"/>
          </reference>
        </references>
      </pivotArea>
    </format>
    <format dxfId="464">
      <pivotArea dataOnly="0" labelOnly="1" fieldPosition="0">
        <references count="2">
          <reference field="6" count="1">
            <x v="176"/>
          </reference>
          <reference field="24" count="1" selected="0">
            <x v="30"/>
          </reference>
        </references>
      </pivotArea>
    </format>
    <format dxfId="463">
      <pivotArea dataOnly="0" labelOnly="1" fieldPosition="0">
        <references count="2">
          <reference field="6" count="19">
            <x v="253"/>
            <x v="312"/>
            <x v="320"/>
            <x v="332"/>
            <x v="335"/>
            <x v="355"/>
            <x v="444"/>
            <x v="484"/>
            <x v="504"/>
            <x v="507"/>
            <x v="527"/>
            <x v="640"/>
            <x v="704"/>
            <x v="752"/>
            <x v="832"/>
            <x v="840"/>
            <x v="852"/>
            <x v="855"/>
            <x v="875"/>
          </reference>
          <reference field="24" count="1" selected="0">
            <x v="31"/>
          </reference>
        </references>
      </pivotArea>
    </format>
    <format dxfId="462">
      <pivotArea dataOnly="0" labelOnly="1" fieldPosition="0">
        <references count="2">
          <reference field="6" count="12">
            <x v="11"/>
            <x v="28"/>
            <x v="31"/>
            <x v="48"/>
            <x v="51"/>
            <x v="227"/>
            <x v="272"/>
            <x v="299"/>
            <x v="336"/>
            <x v="359"/>
            <x v="819"/>
            <x v="856"/>
          </reference>
          <reference field="24" count="1" selected="0">
            <x v="32"/>
          </reference>
        </references>
      </pivotArea>
    </format>
    <format dxfId="461">
      <pivotArea dataOnly="0" labelOnly="1" fieldPosition="0">
        <references count="2">
          <reference field="6" count="3">
            <x v="95"/>
            <x v="96"/>
            <x v="772"/>
          </reference>
          <reference field="24" count="1" selected="0">
            <x v="33"/>
          </reference>
        </references>
      </pivotArea>
    </format>
    <format dxfId="460">
      <pivotArea dataOnly="0" labelOnly="1" fieldPosition="0">
        <references count="2">
          <reference field="6" count="10">
            <x v="252"/>
            <x v="411"/>
            <x v="424"/>
            <x v="447"/>
            <x v="467"/>
            <x v="568"/>
            <x v="611"/>
            <x v="684"/>
            <x v="707"/>
            <x v="727"/>
          </reference>
          <reference field="24" count="1" selected="0">
            <x v="34"/>
          </reference>
        </references>
      </pivotArea>
    </format>
    <format dxfId="459">
      <pivotArea dataOnly="0" labelOnly="1" fieldPosition="0">
        <references count="2">
          <reference field="6" count="3">
            <x v="119"/>
            <x v="136"/>
            <x v="179"/>
          </reference>
          <reference field="24" count="1" selected="0">
            <x v="35"/>
          </reference>
        </references>
      </pivotArea>
    </format>
    <format dxfId="458">
      <pivotArea dataOnly="0" labelOnly="1" fieldPosition="0">
        <references count="2">
          <reference field="6" count="16">
            <x v="70"/>
            <x v="229"/>
            <x v="247"/>
            <x v="256"/>
            <x v="280"/>
            <x v="292"/>
            <x v="300"/>
            <x v="323"/>
            <x v="343"/>
            <x v="360"/>
            <x v="375"/>
            <x v="643"/>
            <x v="740"/>
            <x v="820"/>
            <x v="843"/>
            <x v="863"/>
          </reference>
          <reference field="24" count="1" selected="0">
            <x v="36"/>
          </reference>
        </references>
      </pivotArea>
    </format>
    <format dxfId="457">
      <pivotArea dataOnly="0" labelOnly="1" fieldPosition="0">
        <references count="2">
          <reference field="6" count="2">
            <x v="760"/>
            <x v="801"/>
          </reference>
          <reference field="24" count="1" selected="0">
            <x v="37"/>
          </reference>
        </references>
      </pivotArea>
    </format>
    <format dxfId="456">
      <pivotArea dataOnly="0" labelOnly="1" fieldPosition="0">
        <references count="2">
          <reference field="6" count="1">
            <x v="111"/>
          </reference>
          <reference field="24" count="1" selected="0">
            <x v="38"/>
          </reference>
        </references>
      </pivotArea>
    </format>
    <format dxfId="455">
      <pivotArea dataOnly="0" labelOnly="1" fieldPosition="0">
        <references count="2">
          <reference field="6" count="3">
            <x v="624"/>
            <x v="667"/>
            <x v="788"/>
          </reference>
          <reference field="24" count="1" selected="0">
            <x v="39"/>
          </reference>
        </references>
      </pivotArea>
    </format>
    <format dxfId="454">
      <pivotArea dataOnly="0" labelOnly="1" fieldPosition="0">
        <references count="2">
          <reference field="6" count="14">
            <x v="92"/>
            <x v="116"/>
            <x v="118"/>
            <x v="132"/>
            <x v="135"/>
            <x v="139"/>
            <x v="152"/>
            <x v="155"/>
            <x v="156"/>
            <x v="172"/>
            <x v="315"/>
            <x v="352"/>
            <x v="835"/>
            <x v="872"/>
          </reference>
          <reference field="24" count="1" selected="0">
            <x v="40"/>
          </reference>
        </references>
      </pivotArea>
    </format>
    <format dxfId="453">
      <pivotArea dataOnly="0" labelOnly="1" fieldPosition="0">
        <references count="2">
          <reference field="6" count="3">
            <x v="232"/>
            <x v="277"/>
            <x v="363"/>
          </reference>
          <reference field="24" count="1" selected="0">
            <x v="41"/>
          </reference>
        </references>
      </pivotArea>
    </format>
    <format dxfId="452">
      <pivotArea dataOnly="0" labelOnly="1" fieldPosition="0">
        <references count="2">
          <reference field="6" count="7">
            <x v="8"/>
            <x v="427"/>
            <x v="464"/>
            <x v="487"/>
            <x v="524"/>
            <x v="687"/>
            <x v="724"/>
          </reference>
          <reference field="24" count="1" selected="0">
            <x v="42"/>
          </reference>
        </references>
      </pivotArea>
    </format>
    <format dxfId="451">
      <pivotArea dataOnly="0" labelOnly="1" fieldPosition="0">
        <references count="2">
          <reference field="6" count="1">
            <x v="94"/>
          </reference>
          <reference field="24" count="1" selected="0">
            <x v="43"/>
          </reference>
        </references>
      </pivotArea>
    </format>
    <format dxfId="450">
      <pivotArea dataOnly="0" labelOnly="1" fieldPosition="0">
        <references count="2">
          <reference field="6" count="3">
            <x v="588"/>
            <x v="591"/>
            <x v="767"/>
          </reference>
          <reference field="24" count="1" selected="0">
            <x v="44"/>
          </reference>
        </references>
      </pivotArea>
    </format>
    <format dxfId="449">
      <pivotArea dataOnly="0" labelOnly="1" fieldPosition="0">
        <references count="2">
          <reference field="6" count="10">
            <x v="114"/>
            <x v="115"/>
            <x v="123"/>
            <x v="134"/>
            <x v="140"/>
            <x v="159"/>
            <x v="303"/>
            <x v="340"/>
            <x v="823"/>
            <x v="860"/>
          </reference>
          <reference field="24" count="1" selected="0">
            <x v="45"/>
          </reference>
        </references>
      </pivotArea>
    </format>
    <format dxfId="448">
      <pivotArea dataOnly="0" labelOnly="1" fieldPosition="0">
        <references count="2">
          <reference field="6" count="1">
            <x v="125"/>
          </reference>
          <reference field="24" count="1" selected="0">
            <x v="46"/>
          </reference>
        </references>
      </pivotArea>
    </format>
    <format dxfId="447">
      <pivotArea dataOnly="0" labelOnly="1" fieldPosition="0">
        <references count="2">
          <reference field="6" count="3">
            <x v="267"/>
            <x v="408"/>
            <x v="791"/>
          </reference>
          <reference field="24" count="1" selected="0">
            <x v="47"/>
          </reference>
        </references>
      </pivotArea>
    </format>
    <format dxfId="446">
      <pivotArea dataOnly="0" labelOnly="1" fieldPosition="0">
        <references count="2">
          <reference field="6" count="9">
            <x v="234"/>
            <x v="258"/>
            <x v="261"/>
            <x v="285"/>
            <x v="324"/>
            <x v="364"/>
            <x v="644"/>
            <x v="647"/>
            <x v="844"/>
          </reference>
          <reference field="24" count="1" selected="0">
            <x v="48"/>
          </reference>
        </references>
      </pivotArea>
    </format>
    <format dxfId="445">
      <pivotArea dataOnly="0" labelOnly="1" fieldPosition="0">
        <references count="2">
          <reference field="6" count="6">
            <x v="448"/>
            <x v="488"/>
            <x v="508"/>
            <x v="511"/>
            <x v="531"/>
            <x v="708"/>
          </reference>
          <reference field="24" count="1" selected="0">
            <x v="49"/>
          </reference>
        </references>
      </pivotArea>
    </format>
    <format dxfId="444">
      <pivotArea dataOnly="0" labelOnly="1" fieldPosition="0">
        <references count="2">
          <reference field="6" count="6">
            <x v="97"/>
            <x v="120"/>
            <x v="122"/>
            <x v="143"/>
            <x v="160"/>
            <x v="175"/>
          </reference>
          <reference field="24" count="1" selected="0">
            <x v="50"/>
          </reference>
        </references>
      </pivotArea>
    </format>
    <format dxfId="443">
      <pivotArea dataOnly="0" labelOnly="1" fieldPosition="0">
        <references count="2">
          <reference field="6" count="9">
            <x v="15"/>
            <x v="32"/>
            <x v="35"/>
            <x v="52"/>
            <x v="55"/>
            <x v="100"/>
            <x v="101"/>
            <x v="764"/>
            <x v="805"/>
          </reference>
          <reference field="24" count="1" selected="0">
            <x v="51"/>
          </reference>
        </references>
      </pivotArea>
    </format>
    <format dxfId="442">
      <pivotArea dataOnly="0" labelOnly="1" fieldPosition="0">
        <references count="2">
          <reference field="6" count="7">
            <x v="304"/>
            <x v="327"/>
            <x v="347"/>
            <x v="744"/>
            <x v="824"/>
            <x v="847"/>
            <x v="867"/>
          </reference>
          <reference field="24" count="1" selected="0">
            <x v="52"/>
          </reference>
        </references>
      </pivotArea>
    </format>
    <format dxfId="441">
      <pivotArea dataOnly="0" labelOnly="1" fieldPosition="0">
        <references count="2">
          <reference field="6" count="6">
            <x v="428"/>
            <x v="451"/>
            <x v="471"/>
            <x v="688"/>
            <x v="711"/>
            <x v="731"/>
          </reference>
          <reference field="24" count="1" selected="0">
            <x v="53"/>
          </reference>
        </references>
      </pivotArea>
    </format>
    <format dxfId="440">
      <pivotArea dataOnly="0" labelOnly="1" fieldPosition="0">
        <references count="2">
          <reference field="6" count="2">
            <x v="58"/>
            <x v="163"/>
          </reference>
          <reference field="24" count="1" selected="0">
            <x v="54"/>
          </reference>
        </references>
      </pivotArea>
    </format>
    <format dxfId="439">
      <pivotArea dataOnly="0" labelOnly="1" fieldPosition="0">
        <references count="2">
          <reference field="6" count="1">
            <x v="76"/>
          </reference>
          <reference field="24" count="1" selected="0">
            <x v="55"/>
          </reference>
        </references>
      </pivotArea>
    </format>
    <format dxfId="438">
      <pivotArea dataOnly="0" labelOnly="1" fieldPosition="0">
        <references count="2">
          <reference field="6" count="2">
            <x v="628"/>
            <x v="671"/>
          </reference>
          <reference field="24" count="1" selected="0">
            <x v="56"/>
          </reference>
        </references>
      </pivotArea>
    </format>
    <format dxfId="437">
      <pivotArea dataOnly="0" labelOnly="1" fieldPosition="0">
        <references count="2">
          <reference field="6" count="11">
            <x v="46"/>
            <x v="83"/>
            <x v="84"/>
            <x v="87"/>
            <x v="237"/>
            <x v="282"/>
            <x v="307"/>
            <x v="344"/>
            <x v="367"/>
            <x v="827"/>
            <x v="864"/>
          </reference>
          <reference field="24" count="1" selected="0">
            <x v="57"/>
          </reference>
        </references>
      </pivotArea>
    </format>
    <format dxfId="436">
      <pivotArea dataOnly="0" labelOnly="1" fieldPosition="0">
        <references count="2">
          <reference field="6" count="7">
            <x v="12"/>
            <x v="431"/>
            <x v="468"/>
            <x v="491"/>
            <x v="528"/>
            <x v="691"/>
            <x v="728"/>
          </reference>
          <reference field="24" count="1" selected="0">
            <x v="58"/>
          </reference>
        </references>
      </pivotArea>
    </format>
    <format dxfId="435">
      <pivotArea dataOnly="0" labelOnly="1" fieldPosition="0">
        <references count="2">
          <reference field="6" count="1">
            <x v="99"/>
          </reference>
          <reference field="24" count="1" selected="0">
            <x v="59"/>
          </reference>
        </references>
      </pivotArea>
    </format>
    <format dxfId="434">
      <pivotArea dataOnly="0" labelOnly="1" fieldPosition="0">
        <references count="2">
          <reference field="6" count="1">
            <x v="771"/>
          </reference>
          <reference field="24" count="1" selected="0">
            <x v="60"/>
          </reference>
        </references>
      </pivotArea>
    </format>
    <format dxfId="433">
      <pivotArea dataOnly="0" labelOnly="1" fieldPosition="0">
        <references count="2">
          <reference field="6" count="5">
            <x v="124"/>
            <x v="127"/>
            <x v="144"/>
            <x v="147"/>
            <x v="164"/>
          </reference>
          <reference field="24" count="1" selected="0">
            <x v="61"/>
          </reference>
        </references>
      </pivotArea>
    </format>
    <format dxfId="432">
      <pivotArea dataOnly="0" labelOnly="1" fieldPosition="0">
        <references count="2">
          <reference field="6" count="2">
            <x v="66"/>
            <x v="67"/>
          </reference>
          <reference field="24" count="1" selected="0">
            <x v="62"/>
          </reference>
        </references>
      </pivotArea>
    </format>
    <format dxfId="431">
      <pivotArea dataOnly="0" labelOnly="1" fieldPosition="0">
        <references count="2">
          <reference field="6" count="1">
            <x v="129"/>
          </reference>
          <reference field="24" count="1" selected="0">
            <x v="63"/>
          </reference>
        </references>
      </pivotArea>
    </format>
    <format dxfId="430">
      <pivotArea dataOnly="0" labelOnly="1" fieldPosition="0">
        <references count="2">
          <reference field="6" count="10">
            <x v="64"/>
            <x v="239"/>
            <x v="263"/>
            <x v="266"/>
            <x v="290"/>
            <x v="328"/>
            <x v="368"/>
            <x v="648"/>
            <x v="651"/>
            <x v="848"/>
          </reference>
          <reference field="24" count="1" selected="0">
            <x v="64"/>
          </reference>
        </references>
      </pivotArea>
    </format>
    <format dxfId="429">
      <pivotArea dataOnly="0" labelOnly="1" fieldPosition="0">
        <references count="2">
          <reference field="6" count="3">
            <x v="102"/>
            <x v="103"/>
            <x v="126"/>
          </reference>
          <reference field="24" count="1" selected="0">
            <x v="65"/>
          </reference>
        </references>
      </pivotArea>
    </format>
    <format dxfId="428">
      <pivotArea dataOnly="0" labelOnly="1" fieldPosition="0">
        <references count="2">
          <reference field="6" count="2">
            <x v="768"/>
            <x v="809"/>
          </reference>
          <reference field="24" count="1" selected="0">
            <x v="66"/>
          </reference>
        </references>
      </pivotArea>
    </format>
    <format dxfId="427">
      <pivotArea dataOnly="0" labelOnly="1" fieldPosition="0">
        <references count="2">
          <reference field="6" count="2">
            <x v="106"/>
            <x v="107"/>
          </reference>
          <reference field="24" count="1" selected="0">
            <x v="67"/>
          </reference>
        </references>
      </pivotArea>
    </format>
    <format dxfId="426">
      <pivotArea dataOnly="0" labelOnly="1" fieldPosition="0">
        <references count="2">
          <reference field="6" count="9">
            <x v="85"/>
            <x v="86"/>
            <x v="308"/>
            <x v="331"/>
            <x v="351"/>
            <x v="748"/>
            <x v="828"/>
            <x v="851"/>
            <x v="871"/>
          </reference>
          <reference field="24" count="1" selected="0">
            <x v="68"/>
          </reference>
        </references>
      </pivotArea>
    </format>
    <format dxfId="425">
      <pivotArea dataOnly="0" labelOnly="1" fieldPosition="0">
        <references count="2">
          <reference field="6" count="1">
            <x v="395"/>
          </reference>
          <reference field="24" count="1" selected="0">
            <x v="69"/>
          </reference>
        </references>
      </pivotArea>
    </format>
    <format dxfId="424">
      <pivotArea dataOnly="0" labelOnly="1" fieldPosition="0">
        <references count="2">
          <reference field="6" count="3">
            <x v="41"/>
            <x v="167"/>
            <x v="379"/>
          </reference>
          <reference field="24" count="1" selected="0">
            <x v="70"/>
          </reference>
        </references>
      </pivotArea>
    </format>
    <format dxfId="423">
      <pivotArea dataOnly="0" labelOnly="1" fieldPosition="0">
        <references count="2">
          <reference field="6" count="2">
            <x v="68"/>
            <x v="69"/>
          </reference>
          <reference field="24" count="1" selected="0">
            <x v="71"/>
          </reference>
        </references>
      </pivotArea>
    </format>
    <format dxfId="422">
      <pivotArea dataOnly="0" labelOnly="1" fieldPosition="0">
        <references count="2">
          <reference field="6" count="11">
            <x v="50"/>
            <x v="57"/>
            <x v="242"/>
            <x v="287"/>
            <x v="311"/>
            <x v="348"/>
            <x v="371"/>
            <x v="376"/>
            <x v="796"/>
            <x v="831"/>
            <x v="868"/>
          </reference>
          <reference field="24" count="1" selected="0">
            <x v="72"/>
          </reference>
        </references>
      </pivotArea>
    </format>
    <format dxfId="421">
      <pivotArea dataOnly="0" labelOnly="1" fieldPosition="0">
        <references count="2">
          <reference field="6" count="1">
            <x v="105"/>
          </reference>
          <reference field="24" count="1" selected="0">
            <x v="73"/>
          </reference>
        </references>
      </pivotArea>
    </format>
    <format dxfId="420">
      <pivotArea dataOnly="0" labelOnly="1" fieldPosition="0">
        <references count="2">
          <reference field="6" count="11">
            <x v="45"/>
            <x v="71"/>
            <x v="72"/>
            <x v="75"/>
            <x v="128"/>
            <x v="131"/>
            <x v="148"/>
            <x v="151"/>
            <x v="168"/>
            <x v="383"/>
            <x v="392"/>
          </reference>
          <reference field="24" count="1" selected="0">
            <x v="74"/>
          </reference>
        </references>
      </pivotArea>
    </format>
    <format dxfId="419">
      <pivotArea dataOnly="0" labelOnly="1" fieldPosition="0">
        <references count="2">
          <reference field="6" count="5">
            <x v="108"/>
            <x v="109"/>
            <x v="130"/>
            <x v="380"/>
            <x v="812"/>
          </reference>
          <reference field="24" count="1" selected="0">
            <x v="75"/>
          </reference>
        </references>
      </pivotArea>
    </format>
    <format dxfId="418">
      <pivotArea dataOnly="0" labelOnly="1" fieldPosition="0">
        <references count="2">
          <reference field="6" count="2">
            <x v="171"/>
            <x v="800"/>
          </reference>
          <reference field="24" count="1" selected="0">
            <x v="76"/>
          </reference>
        </references>
      </pivotArea>
    </format>
    <format dxfId="417">
      <pivotArea dataOnly="0" labelOnly="1" fieldPosition="0">
        <references count="2">
          <reference field="6" count="3">
            <x v="73"/>
            <x v="74"/>
            <x v="387"/>
          </reference>
          <reference field="24" count="1" selected="0">
            <x v="77"/>
          </reference>
        </references>
      </pivotArea>
    </format>
    <format dxfId="416">
      <pivotArea dataOnly="0" labelOnly="1" fieldPosition="0">
        <references count="2">
          <reference field="6" count="1">
            <x v="54"/>
          </reference>
          <reference field="24" count="1" selected="0">
            <x v="78"/>
          </reference>
        </references>
      </pivotArea>
    </format>
    <format dxfId="415">
      <pivotArea dataOnly="0" labelOnly="1" fieldPosition="0">
        <references count="2">
          <reference field="6" count="1">
            <x v="88"/>
          </reference>
          <reference field="24" count="1" selected="0">
            <x v="79"/>
          </reference>
        </references>
      </pivotArea>
    </format>
    <format dxfId="414">
      <pivotArea dataOnly="0" labelOnly="1" fieldPosition="0">
        <references count="2">
          <reference field="6" count="5">
            <x v="49"/>
            <x v="77"/>
            <x v="78"/>
            <x v="81"/>
            <x v="739"/>
          </reference>
          <reference field="24" count="1" selected="0">
            <x v="80"/>
          </reference>
        </references>
      </pivotArea>
    </format>
    <format dxfId="413">
      <pivotArea dataOnly="0" labelOnly="1" fieldPosition="0">
        <references count="2">
          <reference field="6" count="2">
            <x v="196"/>
            <x v="199"/>
          </reference>
          <reference field="24" count="1" selected="0">
            <x v="81"/>
          </reference>
        </references>
      </pivotArea>
    </format>
    <format dxfId="412">
      <pivotArea dataOnly="0" labelOnly="1" fieldPosition="0">
        <references count="2">
          <reference field="6" count="1">
            <x v="110"/>
          </reference>
          <reference field="24" count="1" selected="0">
            <x v="82"/>
          </reference>
        </references>
      </pivotArea>
    </format>
    <format dxfId="411">
      <pivotArea dataOnly="0" labelOnly="1" fieldPosition="0">
        <references count="2">
          <reference field="6" count="2">
            <x v="384"/>
            <x v="804"/>
          </reference>
          <reference field="24" count="1" selected="0">
            <x v="83"/>
          </reference>
        </references>
      </pivotArea>
    </format>
    <format dxfId="4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97B10BF-08C7-4D6E-BCC7-6FF5E2CB02B2}"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J353" firstHeaderRow="0" firstDataRow="1" firstDataCol="1"/>
  <pivotFields count="44">
    <pivotField showAll="0"/>
    <pivotField showAll="0"/>
    <pivotField showAll="0">
      <items count="45">
        <item x="0"/>
        <item x="1"/>
        <item x="2"/>
        <item x="3"/>
        <item x="4"/>
        <item x="5"/>
        <item x="6"/>
        <item x="7"/>
        <item x="8"/>
        <item x="17"/>
        <item x="18"/>
        <item x="19"/>
        <item x="20"/>
        <item x="21"/>
        <item x="22"/>
        <item x="23"/>
        <item x="24"/>
        <item x="25"/>
        <item x="26"/>
        <item x="9"/>
        <item x="10"/>
        <item x="11"/>
        <item x="12"/>
        <item x="13"/>
        <item x="14"/>
        <item x="15"/>
        <item x="16"/>
        <item x="27"/>
        <item x="28"/>
        <item x="29"/>
        <item x="30"/>
        <item x="31"/>
        <item x="32"/>
        <item x="33"/>
        <item x="34"/>
        <item x="35"/>
        <item x="36"/>
        <item x="37"/>
        <item x="38"/>
        <item x="39"/>
        <item x="40"/>
        <item x="41"/>
        <item x="42"/>
        <item x="43"/>
        <item t="default"/>
      </items>
    </pivotField>
    <pivotField showAll="0">
      <items count="4">
        <item h="1" x="1"/>
        <item x="0"/>
        <item h="1" x="2"/>
        <item t="default"/>
      </items>
    </pivotField>
    <pivotField numFmtId="1" showAll="0"/>
    <pivotField numFmtId="1" showAll="0"/>
    <pivotField axis="axisRow" showAll="0" sortType="ascending">
      <items count="8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352"/>
        <item x="353"/>
        <item x="354"/>
        <item x="355"/>
        <item x="176"/>
        <item x="356"/>
        <item x="357"/>
        <item x="177"/>
        <item x="358"/>
        <item x="359"/>
        <item x="360"/>
        <item x="361"/>
        <item x="178"/>
        <item x="362"/>
        <item x="363"/>
        <item x="364"/>
        <item x="365"/>
        <item x="179"/>
        <item x="366"/>
        <item x="367"/>
        <item x="368"/>
        <item x="369"/>
        <item x="370"/>
        <item x="371"/>
        <item x="372"/>
        <item x="373"/>
        <item x="180"/>
        <item x="374"/>
        <item x="375"/>
        <item x="376"/>
        <item x="377"/>
        <item x="181"/>
        <item x="378"/>
        <item x="379"/>
        <item x="380"/>
        <item x="381"/>
        <item x="182"/>
        <item x="382"/>
        <item x="383"/>
        <item x="384"/>
        <item x="385"/>
        <item x="183"/>
        <item x="386"/>
        <item x="387"/>
        <item x="388"/>
        <item x="389"/>
        <item x="390"/>
        <item x="391"/>
        <item x="392"/>
        <item x="393"/>
        <item x="184"/>
        <item x="394"/>
        <item x="395"/>
        <item x="396"/>
        <item x="397"/>
        <item x="185"/>
        <item x="398"/>
        <item x="399"/>
        <item x="400"/>
        <item x="401"/>
        <item x="186"/>
        <item x="402"/>
        <item x="403"/>
        <item x="404"/>
        <item x="405"/>
        <item x="187"/>
        <item x="406"/>
        <item x="407"/>
        <item x="408"/>
        <item x="409"/>
        <item x="410"/>
        <item x="411"/>
        <item x="412"/>
        <item x="413"/>
        <item x="188"/>
        <item x="414"/>
        <item x="415"/>
        <item x="189"/>
        <item x="416"/>
        <item x="417"/>
        <item x="418"/>
        <item x="419"/>
        <item x="190"/>
        <item x="420"/>
        <item x="421"/>
        <item x="422"/>
        <item x="423"/>
        <item x="191"/>
        <item x="424"/>
        <item x="425"/>
        <item x="426"/>
        <item x="427"/>
        <item x="428"/>
        <item x="429"/>
        <item x="430"/>
        <item x="431"/>
        <item x="192"/>
        <item x="432"/>
        <item x="433"/>
        <item x="434"/>
        <item x="435"/>
        <item x="193"/>
        <item x="436"/>
        <item x="437"/>
        <item x="438"/>
        <item x="439"/>
        <item x="194"/>
        <item x="440"/>
        <item x="441"/>
        <item x="442"/>
        <item x="443"/>
        <item x="195"/>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t="default"/>
      </items>
      <autoSortScope>
        <pivotArea dataOnly="0" outline="0" fieldPosition="0">
          <references count="1">
            <reference field="4294967294" count="1" selected="0">
              <x v="1"/>
            </reference>
          </references>
        </pivotArea>
      </autoSortScope>
    </pivotField>
    <pivotField showAll="0"/>
    <pivotField showAll="0">
      <items count="5">
        <item x="0"/>
        <item x="1"/>
        <item x="2"/>
        <item x="3"/>
        <item t="default"/>
      </items>
    </pivotField>
    <pivotField showAll="0"/>
    <pivotField numFmtId="2" showAll="0"/>
    <pivotField dataField="1" numFmtId="2"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dataField="1" numFmtId="10" showAll="0"/>
    <pivotField showAll="0">
      <items count="7">
        <item h="1" x="2"/>
        <item h="1" x="1"/>
        <item x="0"/>
        <item h="1" x="3"/>
        <item h="1" m="1" x="5"/>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46">
    <i>
      <x v="117"/>
    </i>
    <i>
      <x v="409"/>
    </i>
    <i>
      <x v="272"/>
    </i>
    <i>
      <x v="562"/>
    </i>
    <i>
      <x v="603"/>
    </i>
    <i>
      <x v="393"/>
    </i>
    <i>
      <x v="180"/>
    </i>
    <i>
      <x v="546"/>
    </i>
    <i>
      <x v="587"/>
    </i>
    <i>
      <x v="783"/>
    </i>
    <i>
      <x v="760"/>
    </i>
    <i>
      <x v="566"/>
    </i>
    <i>
      <x v="799"/>
    </i>
    <i>
      <x v="776"/>
    </i>
    <i>
      <x v="193"/>
    </i>
    <i>
      <x v="390"/>
    </i>
    <i>
      <x v="763"/>
    </i>
    <i>
      <x v="580"/>
    </i>
    <i>
      <x v="583"/>
    </i>
    <i>
      <x v="430"/>
    </i>
    <i>
      <x v="488"/>
    </i>
    <i>
      <x v="682"/>
    </i>
    <i>
      <x v="40"/>
    </i>
    <i>
      <x v="569"/>
    </i>
    <i>
      <x v="202"/>
    </i>
    <i>
      <x v="23"/>
    </i>
    <i>
      <x v="42"/>
    </i>
    <i>
      <x v="397"/>
    </i>
    <i>
      <x v="287"/>
    </i>
    <i>
      <x v="764"/>
    </i>
    <i>
      <x v="591"/>
    </i>
    <i>
      <x v="550"/>
    </i>
    <i>
      <x v="787"/>
    </i>
    <i>
      <x v="406"/>
    </i>
    <i>
      <x v="484"/>
    </i>
    <i>
      <x v="502"/>
    </i>
    <i>
      <x v="505"/>
    </i>
    <i>
      <x v="570"/>
    </i>
    <i>
      <x v="525"/>
    </i>
    <i>
      <x v="19"/>
    </i>
    <i>
      <x v="3"/>
    </i>
    <i>
      <x v="410"/>
    </i>
    <i>
      <x v="20"/>
    </i>
    <i>
      <x v="468"/>
    </i>
    <i>
      <x v="451"/>
    </i>
    <i>
      <x v="59"/>
    </i>
    <i>
      <x v="36"/>
    </i>
    <i>
      <x v="433"/>
    </i>
    <i>
      <x v="39"/>
    </i>
    <i>
      <x v="779"/>
    </i>
    <i>
      <x v="662"/>
    </i>
    <i>
      <x v="491"/>
    </i>
    <i>
      <x v="685"/>
    </i>
    <i>
      <x v="56"/>
    </i>
    <i>
      <x v="703"/>
    </i>
    <i>
      <x v="509"/>
    </i>
    <i>
      <x v="43"/>
    </i>
    <i>
      <x v="217"/>
    </i>
    <i>
      <x v="394"/>
    </i>
    <i>
      <x v="447"/>
    </i>
    <i>
      <x v="426"/>
    </i>
    <i>
      <x v="678"/>
    </i>
    <i>
      <x v="696"/>
    </i>
    <i>
      <x v="444"/>
    </i>
    <i>
      <x v="699"/>
    </i>
    <i>
      <x v="467"/>
    </i>
    <i>
      <x v="719"/>
    </i>
    <i>
      <x v="686"/>
    </i>
    <i>
      <x v="492"/>
    </i>
    <i>
      <x v="434"/>
    </i>
    <i>
      <x v="571"/>
    </i>
    <i>
      <x/>
    </i>
    <i>
      <x v="27"/>
    </i>
    <i>
      <x v="44"/>
    </i>
    <i>
      <x v="767"/>
    </i>
    <i>
      <x v="413"/>
    </i>
    <i>
      <x v="471"/>
    </i>
    <i>
      <x v="506"/>
    </i>
    <i>
      <x v="665"/>
    </i>
    <i>
      <x v="700"/>
    </i>
    <i>
      <x v="780"/>
    </i>
    <i>
      <x v="448"/>
    </i>
    <i>
      <x v="226"/>
    </i>
    <i>
      <x v="401"/>
    </i>
    <i>
      <x v="554"/>
    </i>
    <i>
      <x v="661"/>
    </i>
    <i>
      <x v="620"/>
    </i>
    <i>
      <x v="595"/>
    </i>
    <i>
      <x v="687"/>
    </i>
    <i>
      <x v="513"/>
    </i>
    <i>
      <x v="47"/>
    </i>
    <i>
      <x v="435"/>
    </i>
    <i>
      <x v="24"/>
    </i>
    <i>
      <x v="645"/>
    </i>
    <i>
      <x v="493"/>
    </i>
    <i>
      <x v="604"/>
    </i>
    <i>
      <x v="16"/>
    </i>
    <i>
      <x v="414"/>
    </i>
    <i>
      <x v="707"/>
    </i>
    <i>
      <x v="455"/>
    </i>
    <i>
      <x v="666"/>
    </i>
    <i>
      <x v="472"/>
    </i>
    <i>
      <x v="743"/>
    </i>
    <i>
      <x v="7"/>
    </i>
    <i>
      <x v="487"/>
    </i>
    <i>
      <x v="522"/>
    </i>
    <i>
      <x v="820"/>
    </i>
    <i>
      <x v="791"/>
    </i>
    <i>
      <x v="759"/>
    </i>
    <i>
      <x v="246"/>
    </i>
    <i>
      <x v="312"/>
    </i>
    <i>
      <x v="624"/>
    </i>
    <i>
      <x v="768"/>
    </i>
    <i>
      <x v="716"/>
    </i>
    <i>
      <x v="429"/>
    </i>
    <i>
      <x v="133"/>
    </i>
    <i>
      <x v="464"/>
    </i>
    <i>
      <x v="681"/>
    </i>
    <i>
      <x v="740"/>
    </i>
    <i>
      <x v="4"/>
    </i>
    <i>
      <x v="475"/>
    </i>
    <i>
      <x v="510"/>
    </i>
    <i>
      <x v="575"/>
    </i>
    <i>
      <x v="267"/>
    </i>
    <i>
      <x v="366"/>
    </i>
    <i>
      <x v="242"/>
    </i>
    <i>
      <x v="641"/>
    </i>
    <i>
      <x v="264"/>
    </i>
    <i>
      <x v="572"/>
    </i>
    <i>
      <x v="291"/>
    </i>
    <i>
      <x v="638"/>
    </i>
    <i>
      <x v="222"/>
    </i>
    <i>
      <x v="627"/>
    </i>
    <i>
      <x v="841"/>
    </i>
    <i>
      <x v="292"/>
    </i>
    <i>
      <x v="333"/>
    </i>
    <i>
      <x v="271"/>
    </i>
    <i>
      <x v="249"/>
    </i>
    <i>
      <x v="800"/>
    </i>
    <i>
      <x v="350"/>
    </i>
    <i>
      <x v="720"/>
    </i>
    <i>
      <x v="315"/>
    </i>
    <i>
      <x v="823"/>
    </i>
    <i>
      <x v="452"/>
    </i>
    <i>
      <x v="669"/>
    </i>
    <i>
      <x v="398"/>
    </i>
    <i>
      <x v="417"/>
    </i>
    <i>
      <x v="608"/>
    </i>
    <i>
      <x v="704"/>
    </i>
    <i>
      <x v="649"/>
    </i>
    <i>
      <x v="241"/>
    </i>
    <i>
      <x v="771"/>
    </i>
    <i>
      <x v="121"/>
    </i>
    <i>
      <x v="747"/>
    </i>
    <i>
      <x v="176"/>
    </i>
    <i>
      <x v="476"/>
    </i>
    <i>
      <x v="736"/>
    </i>
    <i>
      <x v="436"/>
    </i>
    <i>
      <x v="316"/>
    </i>
    <i>
      <x v="497"/>
    </i>
    <i>
      <x v="494"/>
    </i>
    <i>
      <x v="628"/>
    </i>
    <i>
      <x v="326"/>
    </i>
    <i>
      <x v="251"/>
    </i>
    <i>
      <x v="349"/>
    </i>
    <i>
      <x v="517"/>
    </i>
    <i>
      <x v="837"/>
    </i>
    <i>
      <x v="857"/>
    </i>
    <i>
      <x v="329"/>
    </i>
    <i>
      <x v="816"/>
    </i>
    <i>
      <x v="688"/>
    </i>
    <i>
      <x v="824"/>
    </i>
    <i>
      <x v="308"/>
    </i>
    <i>
      <x v="834"/>
    </i>
    <i>
      <x v="31"/>
    </i>
    <i>
      <x v="803"/>
    </i>
    <i>
      <x v="330"/>
    </i>
    <i>
      <x v="353"/>
    </i>
    <i>
      <x v="268"/>
    </i>
    <i>
      <x v="11"/>
    </i>
    <i>
      <x v="51"/>
    </i>
    <i>
      <x v="28"/>
    </i>
    <i>
      <x v="838"/>
    </i>
    <i>
      <x v="295"/>
    </i>
    <i>
      <x v="48"/>
    </i>
    <i>
      <x v="225"/>
    </i>
    <i>
      <x v="756"/>
    </i>
    <i>
      <x v="405"/>
    </i>
    <i>
      <x v="439"/>
    </i>
    <i>
      <x v="418"/>
    </i>
    <i>
      <x v="599"/>
    </i>
    <i>
      <x v="711"/>
    </i>
    <i>
      <x v="670"/>
    </i>
    <i>
      <x v="558"/>
    </i>
    <i>
      <x v="691"/>
    </i>
    <i>
      <x v="459"/>
    </i>
    <i>
      <x v="250"/>
    </i>
    <i>
      <x v="119"/>
    </i>
    <i>
      <x v="136"/>
    </i>
    <i>
      <x v="179"/>
    </i>
    <i>
      <x v="245"/>
    </i>
    <i>
      <x v="252"/>
    </i>
    <i>
      <x v="369"/>
    </i>
    <i>
      <x v="227"/>
    </i>
    <i>
      <x v="296"/>
    </i>
    <i>
      <x v="629"/>
    </i>
    <i>
      <x v="845"/>
    </i>
    <i>
      <x v="337"/>
    </i>
    <i>
      <x v="276"/>
    </i>
    <i>
      <x v="825"/>
    </i>
    <i>
      <x v="804"/>
    </i>
    <i>
      <x v="288"/>
    </i>
    <i>
      <x v="724"/>
    </i>
    <i>
      <x v="317"/>
    </i>
    <i>
      <x v="354"/>
    </i>
    <i>
      <x v="744"/>
    </i>
    <i>
      <x v="653"/>
    </i>
    <i>
      <x v="795"/>
    </i>
    <i>
      <x v="772"/>
    </i>
    <i>
      <x v="612"/>
    </i>
    <i>
      <x v="118"/>
    </i>
    <i>
      <x v="132"/>
    </i>
    <i>
      <x v="156"/>
    </i>
    <i>
      <x v="311"/>
    </i>
    <i>
      <x v="139"/>
    </i>
    <i>
      <x v="116"/>
    </i>
    <i>
      <x v="172"/>
    </i>
    <i>
      <x v="346"/>
    </i>
    <i>
      <x v="135"/>
    </i>
    <i>
      <x v="854"/>
    </i>
    <i>
      <x v="152"/>
    </i>
    <i>
      <x v="155"/>
    </i>
    <i>
      <x v="819"/>
    </i>
    <i>
      <x v="230"/>
    </i>
    <i>
      <x v="273"/>
    </i>
    <i>
      <x v="357"/>
    </i>
    <i>
      <x v="456"/>
    </i>
    <i>
      <x v="421"/>
    </i>
    <i>
      <x v="708"/>
    </i>
    <i>
      <x v="479"/>
    </i>
    <i>
      <x v="8"/>
    </i>
    <i>
      <x v="673"/>
    </i>
    <i>
      <x v="514"/>
    </i>
    <i>
      <x v="579"/>
    </i>
    <i>
      <x v="576"/>
    </i>
    <i>
      <x v="751"/>
    </i>
    <i>
      <x v="334"/>
    </i>
    <i>
      <x v="807"/>
    </i>
    <i>
      <x v="842"/>
    </i>
    <i>
      <x v="299"/>
    </i>
    <i>
      <x v="123"/>
    </i>
    <i>
      <x v="140"/>
    </i>
    <i>
      <x v="134"/>
    </i>
    <i>
      <x v="159"/>
    </i>
    <i>
      <x v="125"/>
    </i>
    <i>
      <x v="402"/>
    </i>
    <i>
      <x v="263"/>
    </i>
    <i>
      <x v="775"/>
    </i>
    <i>
      <x v="630"/>
    </i>
    <i>
      <x v="358"/>
    </i>
    <i>
      <x v="318"/>
    </i>
    <i>
      <x v="633"/>
    </i>
    <i>
      <x v="281"/>
    </i>
    <i>
      <x v="826"/>
    </i>
    <i>
      <x v="254"/>
    </i>
    <i>
      <x v="232"/>
    </i>
    <i>
      <x v="257"/>
    </i>
    <i>
      <x v="440"/>
    </i>
    <i>
      <x v="521"/>
    </i>
    <i>
      <x v="501"/>
    </i>
    <i>
      <x v="480"/>
    </i>
    <i>
      <x v="692"/>
    </i>
    <i>
      <x v="498"/>
    </i>
    <i>
      <x v="175"/>
    </i>
    <i>
      <x v="143"/>
    </i>
    <i>
      <x v="122"/>
    </i>
    <i>
      <x v="120"/>
    </i>
    <i>
      <x v="160"/>
    </i>
    <i>
      <x v="32"/>
    </i>
    <i>
      <x v="15"/>
    </i>
    <i>
      <x v="52"/>
    </i>
    <i>
      <x v="55"/>
    </i>
    <i>
      <x v="748"/>
    </i>
    <i>
      <x v="35"/>
    </i>
    <i>
      <x v="321"/>
    </i>
    <i>
      <x v="341"/>
    </i>
    <i>
      <x v="808"/>
    </i>
    <i>
      <x v="728"/>
    </i>
    <i>
      <x v="829"/>
    </i>
    <i>
      <x v="849"/>
    </i>
    <i>
      <x v="300"/>
    </i>
    <i>
      <x v="695"/>
    </i>
    <i>
      <x v="443"/>
    </i>
    <i>
      <x v="715"/>
    </i>
    <i>
      <x v="463"/>
    </i>
    <i>
      <x v="422"/>
    </i>
    <i>
      <x v="674"/>
    </i>
    <i>
      <x v="58"/>
    </i>
    <i>
      <x v="163"/>
    </i>
    <i>
      <x v="657"/>
    </i>
    <i>
      <x v="616"/>
    </i>
    <i>
      <x v="811"/>
    </i>
    <i>
      <x v="46"/>
    </i>
    <i>
      <x v="278"/>
    </i>
    <i>
      <x v="338"/>
    </i>
    <i>
      <x v="235"/>
    </i>
    <i>
      <x v="846"/>
    </i>
    <i>
      <x v="361"/>
    </i>
    <i>
      <x v="303"/>
    </i>
    <i>
      <x v="518"/>
    </i>
    <i>
      <x v="12"/>
    </i>
    <i>
      <x v="712"/>
    </i>
    <i>
      <x v="677"/>
    </i>
    <i>
      <x v="425"/>
    </i>
    <i>
      <x v="483"/>
    </i>
    <i>
      <x v="460"/>
    </i>
    <i>
      <x v="755"/>
    </i>
    <i>
      <x v="127"/>
    </i>
    <i>
      <x v="144"/>
    </i>
    <i>
      <x v="147"/>
    </i>
    <i>
      <x v="124"/>
    </i>
    <i>
      <x v="164"/>
    </i>
    <i>
      <x v="129"/>
    </i>
    <i>
      <x v="634"/>
    </i>
    <i>
      <x v="286"/>
    </i>
    <i>
      <x v="637"/>
    </i>
    <i>
      <x v="322"/>
    </i>
    <i>
      <x v="362"/>
    </i>
    <i>
      <x v="259"/>
    </i>
    <i>
      <x v="830"/>
    </i>
    <i>
      <x v="237"/>
    </i>
    <i>
      <x v="262"/>
    </i>
    <i>
      <x v="126"/>
    </i>
    <i>
      <x v="752"/>
    </i>
    <i>
      <x v="345"/>
    </i>
    <i>
      <x v="304"/>
    </i>
    <i>
      <x v="812"/>
    </i>
    <i>
      <x v="325"/>
    </i>
    <i>
      <x v="732"/>
    </i>
    <i>
      <x v="833"/>
    </i>
    <i>
      <x v="853"/>
    </i>
    <i>
      <x v="389"/>
    </i>
    <i>
      <x v="41"/>
    </i>
    <i>
      <x v="373"/>
    </i>
    <i>
      <x v="167"/>
    </i>
    <i t="grand">
      <x/>
    </i>
  </rowItems>
  <colFields count="1">
    <field x="-2"/>
  </colFields>
  <colItems count="2">
    <i>
      <x/>
    </i>
    <i i="1">
      <x v="1"/>
    </i>
  </colItems>
  <dataFields count="2">
    <dataField name="Sum of Unit Selling Area" fld="11" baseField="0" baseItem="0"/>
    <dataField name="Sum of TOTAL PREMIUM %"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6C5BBEF1-BA22-48F6-AE91-99D9C622FDEC}"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J212" firstHeaderRow="0" firstDataRow="1" firstDataCol="1"/>
  <pivotFields count="44">
    <pivotField showAll="0"/>
    <pivotField showAll="0"/>
    <pivotField showAll="0">
      <items count="45">
        <item x="0"/>
        <item x="1"/>
        <item x="2"/>
        <item x="3"/>
        <item x="4"/>
        <item x="5"/>
        <item x="6"/>
        <item x="7"/>
        <item x="8"/>
        <item x="17"/>
        <item x="18"/>
        <item x="19"/>
        <item x="20"/>
        <item x="21"/>
        <item x="22"/>
        <item x="23"/>
        <item x="24"/>
        <item x="25"/>
        <item x="26"/>
        <item x="9"/>
        <item x="10"/>
        <item x="11"/>
        <item x="12"/>
        <item x="13"/>
        <item x="14"/>
        <item x="15"/>
        <item x="16"/>
        <item x="27"/>
        <item x="28"/>
        <item x="29"/>
        <item x="30"/>
        <item x="31"/>
        <item x="32"/>
        <item x="33"/>
        <item x="34"/>
        <item x="35"/>
        <item x="36"/>
        <item x="37"/>
        <item x="38"/>
        <item x="39"/>
        <item x="40"/>
        <item x="41"/>
        <item x="42"/>
        <item x="43"/>
        <item t="default"/>
      </items>
    </pivotField>
    <pivotField showAll="0">
      <items count="4">
        <item h="1" x="1"/>
        <item x="0"/>
        <item h="1" x="2"/>
        <item t="default"/>
      </items>
    </pivotField>
    <pivotField numFmtId="1" showAll="0"/>
    <pivotField numFmtId="1" showAll="0"/>
    <pivotField axis="axisRow" showAll="0" sortType="ascending">
      <items count="8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352"/>
        <item x="353"/>
        <item x="354"/>
        <item x="355"/>
        <item x="176"/>
        <item x="356"/>
        <item x="357"/>
        <item x="177"/>
        <item x="358"/>
        <item x="359"/>
        <item x="360"/>
        <item x="361"/>
        <item x="178"/>
        <item x="362"/>
        <item x="363"/>
        <item x="364"/>
        <item x="365"/>
        <item x="179"/>
        <item x="366"/>
        <item x="367"/>
        <item x="368"/>
        <item x="369"/>
        <item x="370"/>
        <item x="371"/>
        <item x="372"/>
        <item x="373"/>
        <item x="180"/>
        <item x="374"/>
        <item x="375"/>
        <item x="376"/>
        <item x="377"/>
        <item x="181"/>
        <item x="378"/>
        <item x="379"/>
        <item x="380"/>
        <item x="381"/>
        <item x="182"/>
        <item x="382"/>
        <item x="383"/>
        <item x="384"/>
        <item x="385"/>
        <item x="183"/>
        <item x="386"/>
        <item x="387"/>
        <item x="388"/>
        <item x="389"/>
        <item x="390"/>
        <item x="391"/>
        <item x="392"/>
        <item x="393"/>
        <item x="184"/>
        <item x="394"/>
        <item x="395"/>
        <item x="396"/>
        <item x="397"/>
        <item x="185"/>
        <item x="398"/>
        <item x="399"/>
        <item x="400"/>
        <item x="401"/>
        <item x="186"/>
        <item x="402"/>
        <item x="403"/>
        <item x="404"/>
        <item x="405"/>
        <item x="187"/>
        <item x="406"/>
        <item x="407"/>
        <item x="408"/>
        <item x="409"/>
        <item x="410"/>
        <item x="411"/>
        <item x="412"/>
        <item x="413"/>
        <item x="188"/>
        <item x="414"/>
        <item x="415"/>
        <item x="189"/>
        <item x="416"/>
        <item x="417"/>
        <item x="418"/>
        <item x="419"/>
        <item x="190"/>
        <item x="420"/>
        <item x="421"/>
        <item x="422"/>
        <item x="423"/>
        <item x="191"/>
        <item x="424"/>
        <item x="425"/>
        <item x="426"/>
        <item x="427"/>
        <item x="428"/>
        <item x="429"/>
        <item x="430"/>
        <item x="431"/>
        <item x="192"/>
        <item x="432"/>
        <item x="433"/>
        <item x="434"/>
        <item x="435"/>
        <item x="193"/>
        <item x="436"/>
        <item x="437"/>
        <item x="438"/>
        <item x="439"/>
        <item x="194"/>
        <item x="440"/>
        <item x="441"/>
        <item x="442"/>
        <item x="443"/>
        <item x="195"/>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t="default"/>
      </items>
      <autoSortScope>
        <pivotArea dataOnly="0" outline="0" fieldPosition="0">
          <references count="1">
            <reference field="4294967294" count="1" selected="0">
              <x v="1"/>
            </reference>
          </references>
        </pivotArea>
      </autoSortScope>
    </pivotField>
    <pivotField showAll="0"/>
    <pivotField showAll="0">
      <items count="5">
        <item x="0"/>
        <item x="1"/>
        <item x="2"/>
        <item x="3"/>
        <item t="default"/>
      </items>
    </pivotField>
    <pivotField showAll="0"/>
    <pivotField numFmtId="2" showAll="0"/>
    <pivotField dataField="1" numFmtId="2"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dataField="1" numFmtId="10" showAll="0"/>
    <pivotField showAll="0">
      <items count="7">
        <item x="2"/>
        <item h="1" x="1"/>
        <item h="1" x="0"/>
        <item h="1" x="3"/>
        <item h="1" m="1" x="5"/>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05">
    <i>
      <x v="769"/>
    </i>
    <i>
      <x v="710"/>
    </i>
    <i>
      <x v="671"/>
    </i>
    <i>
      <x v="790"/>
    </i>
    <i>
      <x v="690"/>
    </i>
    <i>
      <x v="617"/>
    </i>
    <i>
      <x v="656"/>
    </i>
    <i>
      <x v="244"/>
    </i>
    <i>
      <x v="651"/>
    </i>
    <i>
      <x v="622"/>
    </i>
    <i>
      <x v="490"/>
    </i>
    <i>
      <x v="851"/>
    </i>
    <i>
      <x v="814"/>
    </i>
    <i>
      <x v="489"/>
    </i>
    <i>
      <x v="734"/>
    </i>
    <i>
      <x v="753"/>
    </i>
    <i>
      <x v="615"/>
    </i>
    <i>
      <x v="594"/>
    </i>
    <i>
      <x v="210"/>
    </i>
    <i>
      <x v="535"/>
    </i>
    <i>
      <x v="555"/>
    </i>
    <i>
      <x v="635"/>
    </i>
    <i>
      <x v="636"/>
    </i>
    <i>
      <x v="672"/>
    </i>
    <i>
      <x v="709"/>
    </i>
    <i>
      <x v="465"/>
    </i>
    <i>
      <x v="610"/>
    </i>
    <i>
      <x v="789"/>
    </i>
    <i>
      <x v="557"/>
    </i>
    <i>
      <x v="449"/>
    </i>
    <i>
      <x v="229"/>
    </i>
    <i>
      <x v="302"/>
    </i>
    <i>
      <x v="770"/>
    </i>
    <i>
      <x v="34"/>
    </i>
    <i>
      <x v="33"/>
    </i>
    <i>
      <x v="14"/>
    </i>
    <i>
      <x v="574"/>
    </i>
    <i>
      <x v="186"/>
    </i>
    <i>
      <x v="185"/>
    </i>
    <i>
      <x v="573"/>
    </i>
    <i>
      <x v="508"/>
    </i>
    <i>
      <x v="469"/>
    </i>
    <i>
      <x v="314"/>
    </i>
    <i>
      <x v="313"/>
    </i>
    <i>
      <x v="453"/>
    </i>
    <i>
      <x v="693"/>
    </i>
    <i>
      <x v="233"/>
    </i>
    <i>
      <x v="280"/>
    </i>
    <i>
      <x v="524"/>
    </i>
    <i>
      <x v="485"/>
    </i>
    <i>
      <x v="537"/>
    </i>
    <i>
      <x v="209"/>
    </i>
    <i>
      <x v="208"/>
    </i>
    <i>
      <x v="536"/>
    </i>
    <i>
      <x v="13"/>
    </i>
    <i>
      <x v="482"/>
    </i>
    <i>
      <x v="256"/>
    </i>
    <i>
      <x v="675"/>
    </i>
    <i>
      <x v="351"/>
    </i>
    <i>
      <x v="794"/>
    </i>
    <i>
      <x v="694"/>
    </i>
    <i>
      <x v="773"/>
    </i>
    <i>
      <x v="714"/>
    </i>
    <i>
      <x v="255"/>
    </i>
    <i>
      <x v="372"/>
    </i>
    <i>
      <x v="503"/>
    </i>
    <i>
      <x v="512"/>
    </i>
    <i>
      <x v="504"/>
    </i>
    <i>
      <x v="473"/>
    </i>
    <i>
      <x v="655"/>
    </i>
    <i>
      <x v="507"/>
    </i>
    <i>
      <x v="585"/>
    </i>
    <i>
      <x v="619"/>
    </i>
    <i>
      <x v="367"/>
    </i>
    <i>
      <x v="388"/>
    </i>
    <i>
      <x v="598"/>
    </i>
    <i>
      <x v="539"/>
    </i>
    <i>
      <x v="559"/>
    </i>
    <i>
      <x v="215"/>
    </i>
    <i>
      <x v="601"/>
    </i>
    <i>
      <x v="713"/>
    </i>
    <i>
      <x v="523"/>
    </i>
    <i>
      <x v="561"/>
    </i>
    <i>
      <x v="676"/>
    </i>
    <i>
      <x v="614"/>
    </i>
    <i>
      <x v="234"/>
    </i>
    <i>
      <x v="774"/>
    </i>
    <i>
      <x v="793"/>
    </i>
    <i>
      <x v="306"/>
    </i>
    <i>
      <x v="376"/>
    </i>
    <i>
      <x v="327"/>
    </i>
    <i>
      <x v="355"/>
    </i>
    <i>
      <x v="190"/>
    </i>
    <i>
      <x v="578"/>
    </i>
    <i>
      <x v="577"/>
    </i>
    <i>
      <x v="332"/>
    </i>
    <i>
      <x v="191"/>
    </i>
    <i>
      <x v="293"/>
    </i>
    <i>
      <x v="457"/>
    </i>
    <i>
      <x v="352"/>
    </i>
    <i>
      <x v="511"/>
    </i>
    <i>
      <x v="589"/>
    </i>
    <i>
      <x v="371"/>
    </i>
    <i>
      <x v="309"/>
    </i>
    <i>
      <x v="348"/>
    </i>
    <i>
      <x v="328"/>
    </i>
    <i>
      <x v="238"/>
    </i>
    <i>
      <x v="285"/>
    </i>
    <i>
      <x v="431"/>
    </i>
    <i>
      <x v="432"/>
    </i>
    <i>
      <x v="387"/>
    </i>
    <i>
      <x v="540"/>
    </i>
    <i>
      <x v="214"/>
    </i>
    <i>
      <x v="541"/>
    </i>
    <i>
      <x v="213"/>
    </i>
    <i>
      <x v="368"/>
    </i>
    <i>
      <x v="336"/>
    </i>
    <i>
      <x v="297"/>
    </i>
    <i>
      <x v="516"/>
    </i>
    <i>
      <x v="261"/>
    </i>
    <i>
      <x v="477"/>
    </i>
    <i>
      <x v="260"/>
    </i>
    <i>
      <x v="375"/>
    </i>
    <i>
      <x v="356"/>
    </i>
    <i>
      <x v="347"/>
    </i>
    <i>
      <x v="331"/>
    </i>
    <i>
      <x v="496"/>
    </i>
    <i>
      <x v="495"/>
    </i>
    <i>
      <x v="335"/>
    </i>
    <i>
      <x v="618"/>
    </i>
    <i>
      <x v="239"/>
    </i>
    <i>
      <x v="359"/>
    </i>
    <i>
      <x v="380"/>
    </i>
    <i>
      <x v="515"/>
    </i>
    <i>
      <x v="593"/>
    </i>
    <i>
      <x v="461"/>
    </i>
    <i>
      <x v="445"/>
    </i>
    <i>
      <x v="183"/>
    </i>
    <i>
      <x v="319"/>
    </i>
    <i>
      <x v="392"/>
    </i>
    <i>
      <x v="411"/>
    </i>
    <i>
      <x v="450"/>
    </i>
    <i>
      <x v="548"/>
    </i>
    <i>
      <x v="446"/>
    </i>
    <i>
      <x v="427"/>
    </i>
    <i>
      <x v="408"/>
    </i>
    <i>
      <x v="340"/>
    </i>
    <i>
      <x v="466"/>
    </i>
    <i>
      <x v="301"/>
    </i>
    <i>
      <x v="320"/>
    </i>
    <i>
      <x v="277"/>
    </i>
    <i>
      <x v="520"/>
    </i>
    <i>
      <x v="481"/>
    </i>
    <i>
      <x v="379"/>
    </i>
    <i>
      <x v="360"/>
    </i>
    <i>
      <x v="564"/>
    </i>
    <i>
      <x v="207"/>
    </i>
    <i>
      <x v="454"/>
    </i>
    <i>
      <x v="415"/>
    </i>
    <i>
      <x v="396"/>
    </i>
    <i>
      <x v="500"/>
    </i>
    <i>
      <x v="499"/>
    </i>
    <i>
      <x v="339"/>
    </i>
    <i>
      <x v="552"/>
    </i>
    <i>
      <x v="391"/>
    </i>
    <i>
      <x v="412"/>
    </i>
    <i>
      <x v="428"/>
    </i>
    <i>
      <x v="188"/>
    </i>
    <i>
      <x v="363"/>
    </i>
    <i>
      <x v="384"/>
    </i>
    <i>
      <x v="519"/>
    </i>
    <i>
      <x v="597"/>
    </i>
    <i>
      <x v="416"/>
    </i>
    <i>
      <x v="282"/>
    </i>
    <i>
      <x v="407"/>
    </i>
    <i>
      <x v="323"/>
    </i>
    <i>
      <x v="395"/>
    </i>
    <i>
      <x v="212"/>
    </i>
    <i>
      <x v="344"/>
    </i>
    <i>
      <x v="305"/>
    </i>
    <i>
      <x v="324"/>
    </i>
    <i>
      <x v="437"/>
    </i>
    <i>
      <x v="364"/>
    </i>
    <i>
      <x v="383"/>
    </i>
    <i>
      <x v="400"/>
    </i>
    <i>
      <x v="231"/>
    </i>
    <i>
      <x v="458"/>
    </i>
    <i>
      <x v="438"/>
    </i>
    <i>
      <x v="419"/>
    </i>
    <i>
      <x v="556"/>
    </i>
    <i>
      <x v="343"/>
    </i>
    <i>
      <x v="420"/>
    </i>
    <i>
      <x v="236"/>
    </i>
    <i>
      <x v="399"/>
    </i>
    <i>
      <x v="441"/>
    </i>
    <i>
      <x v="404"/>
    </i>
    <i>
      <x v="253"/>
    </i>
    <i>
      <x v="423"/>
    </i>
    <i>
      <x v="442"/>
    </i>
    <i>
      <x v="462"/>
    </i>
    <i>
      <x v="560"/>
    </i>
    <i>
      <x v="424"/>
    </i>
    <i>
      <x v="403"/>
    </i>
    <i>
      <x v="258"/>
    </i>
    <i t="grand">
      <x/>
    </i>
  </rowItems>
  <colFields count="1">
    <field x="-2"/>
  </colFields>
  <colItems count="2">
    <i>
      <x/>
    </i>
    <i i="1">
      <x v="1"/>
    </i>
  </colItems>
  <dataFields count="2">
    <dataField name="Sum of Unit Selling Area" fld="11" baseField="0" baseItem="0"/>
    <dataField name="Sum of TOTAL PREMIUM %"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523697A-554C-4C4A-8A79-FA9BCCFDE616}"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J261" firstHeaderRow="0" firstDataRow="1" firstDataCol="1"/>
  <pivotFields count="44">
    <pivotField showAll="0"/>
    <pivotField showAll="0"/>
    <pivotField showAll="0">
      <items count="45">
        <item x="0"/>
        <item x="1"/>
        <item x="2"/>
        <item x="3"/>
        <item x="4"/>
        <item x="5"/>
        <item x="6"/>
        <item x="7"/>
        <item x="8"/>
        <item x="17"/>
        <item x="18"/>
        <item x="19"/>
        <item x="20"/>
        <item x="21"/>
        <item x="22"/>
        <item x="23"/>
        <item x="24"/>
        <item x="25"/>
        <item x="26"/>
        <item x="9"/>
        <item x="10"/>
        <item x="11"/>
        <item x="12"/>
        <item x="13"/>
        <item x="14"/>
        <item x="15"/>
        <item x="16"/>
        <item x="27"/>
        <item x="28"/>
        <item x="29"/>
        <item x="30"/>
        <item x="31"/>
        <item x="32"/>
        <item x="33"/>
        <item x="34"/>
        <item x="35"/>
        <item x="36"/>
        <item x="37"/>
        <item x="38"/>
        <item x="39"/>
        <item x="40"/>
        <item x="41"/>
        <item x="42"/>
        <item x="43"/>
        <item t="default"/>
      </items>
    </pivotField>
    <pivotField showAll="0">
      <items count="4">
        <item h="1" x="1"/>
        <item x="0"/>
        <item h="1" x="2"/>
        <item t="default"/>
      </items>
    </pivotField>
    <pivotField numFmtId="1" showAll="0"/>
    <pivotField numFmtId="1" showAll="0"/>
    <pivotField axis="axisRow" showAll="0" sortType="ascending">
      <items count="8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352"/>
        <item x="353"/>
        <item x="354"/>
        <item x="355"/>
        <item x="176"/>
        <item x="356"/>
        <item x="357"/>
        <item x="177"/>
        <item x="358"/>
        <item x="359"/>
        <item x="360"/>
        <item x="361"/>
        <item x="178"/>
        <item x="362"/>
        <item x="363"/>
        <item x="364"/>
        <item x="365"/>
        <item x="179"/>
        <item x="366"/>
        <item x="367"/>
        <item x="368"/>
        <item x="369"/>
        <item x="370"/>
        <item x="371"/>
        <item x="372"/>
        <item x="373"/>
        <item x="180"/>
        <item x="374"/>
        <item x="375"/>
        <item x="376"/>
        <item x="377"/>
        <item x="181"/>
        <item x="378"/>
        <item x="379"/>
        <item x="380"/>
        <item x="381"/>
        <item x="182"/>
        <item x="382"/>
        <item x="383"/>
        <item x="384"/>
        <item x="385"/>
        <item x="183"/>
        <item x="386"/>
        <item x="387"/>
        <item x="388"/>
        <item x="389"/>
        <item x="390"/>
        <item x="391"/>
        <item x="392"/>
        <item x="393"/>
        <item x="184"/>
        <item x="394"/>
        <item x="395"/>
        <item x="396"/>
        <item x="397"/>
        <item x="185"/>
        <item x="398"/>
        <item x="399"/>
        <item x="400"/>
        <item x="401"/>
        <item x="186"/>
        <item x="402"/>
        <item x="403"/>
        <item x="404"/>
        <item x="405"/>
        <item x="187"/>
        <item x="406"/>
        <item x="407"/>
        <item x="408"/>
        <item x="409"/>
        <item x="410"/>
        <item x="411"/>
        <item x="412"/>
        <item x="413"/>
        <item x="188"/>
        <item x="414"/>
        <item x="415"/>
        <item x="189"/>
        <item x="416"/>
        <item x="417"/>
        <item x="418"/>
        <item x="419"/>
        <item x="190"/>
        <item x="420"/>
        <item x="421"/>
        <item x="422"/>
        <item x="423"/>
        <item x="191"/>
        <item x="424"/>
        <item x="425"/>
        <item x="426"/>
        <item x="427"/>
        <item x="428"/>
        <item x="429"/>
        <item x="430"/>
        <item x="431"/>
        <item x="192"/>
        <item x="432"/>
        <item x="433"/>
        <item x="434"/>
        <item x="435"/>
        <item x="193"/>
        <item x="436"/>
        <item x="437"/>
        <item x="438"/>
        <item x="439"/>
        <item x="194"/>
        <item x="440"/>
        <item x="441"/>
        <item x="442"/>
        <item x="443"/>
        <item x="195"/>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t="default"/>
      </items>
      <autoSortScope>
        <pivotArea dataOnly="0" outline="0" fieldPosition="0">
          <references count="1">
            <reference field="4294967294" count="1" selected="0">
              <x v="1"/>
            </reference>
          </references>
        </pivotArea>
      </autoSortScope>
    </pivotField>
    <pivotField showAll="0"/>
    <pivotField showAll="0">
      <items count="5">
        <item x="0"/>
        <item x="1"/>
        <item x="2"/>
        <item x="3"/>
        <item t="default"/>
      </items>
    </pivotField>
    <pivotField showAll="0"/>
    <pivotField numFmtId="2" showAll="0"/>
    <pivotField dataField="1" numFmtId="2"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dataField="1" numFmtId="10" showAll="0"/>
    <pivotField showAll="0">
      <items count="7">
        <item h="1" x="2"/>
        <item x="1"/>
        <item h="1" x="0"/>
        <item h="1" x="3"/>
        <item h="1" m="1" x="5"/>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54">
    <i>
      <x v="240"/>
    </i>
    <i>
      <x v="815"/>
    </i>
    <i>
      <x v="283"/>
    </i>
    <i>
      <x v="307"/>
    </i>
    <i>
      <x v="850"/>
    </i>
    <i>
      <x v="342"/>
    </i>
    <i>
      <x v="50"/>
    </i>
    <i>
      <x v="365"/>
    </i>
    <i>
      <x v="57"/>
    </i>
    <i>
      <x v="370"/>
    </i>
    <i>
      <x v="45"/>
    </i>
    <i>
      <x v="131"/>
    </i>
    <i>
      <x v="148"/>
    </i>
    <i>
      <x v="168"/>
    </i>
    <i>
      <x v="386"/>
    </i>
    <i>
      <x v="128"/>
    </i>
    <i>
      <x v="151"/>
    </i>
    <i>
      <x v="377"/>
    </i>
    <i>
      <x v="796"/>
    </i>
    <i>
      <x v="130"/>
    </i>
    <i>
      <x v="374"/>
    </i>
    <i>
      <x v="171"/>
    </i>
    <i>
      <x v="784"/>
    </i>
    <i>
      <x v="381"/>
    </i>
    <i>
      <x v="54"/>
    </i>
    <i>
      <x v="49"/>
    </i>
    <i>
      <x v="723"/>
    </i>
    <i>
      <x v="197"/>
    </i>
    <i>
      <x v="194"/>
    </i>
    <i>
      <x v="378"/>
    </i>
    <i>
      <x v="788"/>
    </i>
    <i>
      <x v="181"/>
    </i>
    <i>
      <x v="138"/>
    </i>
    <i>
      <x v="137"/>
    </i>
    <i>
      <x v="739"/>
    </i>
    <i>
      <x v="157"/>
    </i>
    <i>
      <x v="642"/>
    </i>
    <i>
      <x v="385"/>
    </i>
    <i>
      <x v="542"/>
    </i>
    <i>
      <x v="221"/>
    </i>
    <i>
      <x v="153"/>
    </i>
    <i>
      <x v="173"/>
    </i>
    <i>
      <x v="182"/>
    </i>
    <i>
      <x v="154"/>
    </i>
    <i>
      <x v="821"/>
    </i>
    <i>
      <x v="727"/>
    </i>
    <i>
      <x v="822"/>
    </i>
    <i>
      <x v="526"/>
    </i>
    <i>
      <x v="201"/>
    </i>
    <i>
      <x v="658"/>
    </i>
    <i>
      <x v="142"/>
    </i>
    <i>
      <x v="141"/>
    </i>
    <i>
      <x v="161"/>
    </i>
    <i>
      <x v="53"/>
    </i>
    <i>
      <x v="158"/>
    </i>
    <i>
      <x v="646"/>
    </i>
    <i>
      <x v="382"/>
    </i>
    <i>
      <x v="792"/>
    </i>
    <i>
      <x v="174"/>
    </i>
    <i>
      <x v="530"/>
    </i>
    <i>
      <x v="206"/>
    </i>
    <i>
      <x v="187"/>
    </i>
    <i>
      <x v="184"/>
    </i>
    <i>
      <x v="731"/>
    </i>
    <i>
      <x v="626"/>
    </i>
    <i>
      <x v="625"/>
    </i>
    <i>
      <x v="162"/>
    </i>
    <i>
      <x v="269"/>
    </i>
    <i>
      <x v="835"/>
    </i>
    <i>
      <x v="840"/>
    </i>
    <i>
      <x v="742"/>
    </i>
    <i>
      <x v="721"/>
    </i>
    <i>
      <x v="801"/>
    </i>
    <i>
      <x v="584"/>
    </i>
    <i>
      <x v="289"/>
    </i>
    <i>
      <x v="758"/>
    </i>
    <i>
      <x v="737"/>
    </i>
    <i>
      <x v="836"/>
    </i>
    <i>
      <x v="856"/>
    </i>
    <i>
      <x v="817"/>
    </i>
    <i>
      <x v="644"/>
    </i>
    <i>
      <x v="605"/>
    </i>
    <i>
      <x v="211"/>
    </i>
    <i>
      <x v="534"/>
    </i>
    <i>
      <x v="684"/>
    </i>
    <i>
      <x v="146"/>
    </i>
    <i>
      <x v="145"/>
    </i>
    <i>
      <x v="683"/>
    </i>
    <i>
      <x v="165"/>
    </i>
    <i>
      <x v="650"/>
    </i>
    <i>
      <x v="600"/>
    </i>
    <i>
      <x v="274"/>
    </i>
    <i>
      <x v="660"/>
    </i>
    <i>
      <x v="746"/>
    </i>
    <i>
      <x v="844"/>
    </i>
    <i>
      <x v="621"/>
    </i>
    <i>
      <x v="725"/>
    </i>
    <i>
      <x v="805"/>
    </i>
    <i>
      <x v="757"/>
    </i>
    <i>
      <x v="802"/>
    </i>
    <i>
      <x v="722"/>
    </i>
    <i>
      <x v="22"/>
    </i>
    <i>
      <x v="855"/>
    </i>
    <i>
      <x v="738"/>
    </i>
    <i>
      <x v="21"/>
    </i>
    <i>
      <x v="741"/>
    </i>
    <i>
      <x v="2"/>
    </i>
    <i>
      <x v="839"/>
    </i>
    <i>
      <x v="818"/>
    </i>
    <i>
      <x v="588"/>
    </i>
    <i>
      <x v="640"/>
    </i>
    <i>
      <x v="648"/>
    </i>
    <i>
      <x v="639"/>
    </i>
    <i>
      <x v="609"/>
    </i>
    <i>
      <x v="192"/>
    </i>
    <i>
      <x v="189"/>
    </i>
    <i>
      <x v="38"/>
    </i>
    <i>
      <x v="37"/>
    </i>
    <i>
      <x v="166"/>
    </i>
    <i>
      <x v="18"/>
    </i>
    <i>
      <x v="735"/>
    </i>
    <i>
      <x v="806"/>
    </i>
    <i>
      <x v="726"/>
    </i>
    <i>
      <x v="745"/>
    </i>
    <i>
      <x v="843"/>
    </i>
    <i>
      <x v="567"/>
    </i>
    <i>
      <x v="568"/>
    </i>
    <i>
      <x v="6"/>
    </i>
    <i>
      <x v="25"/>
    </i>
    <i>
      <x v="26"/>
    </i>
    <i>
      <x v="177"/>
    </i>
    <i>
      <x v="178"/>
    </i>
    <i>
      <x v="1"/>
    </i>
    <i>
      <x v="470"/>
    </i>
    <i>
      <x v="663"/>
    </i>
    <i>
      <x v="697"/>
    </i>
    <i>
      <x v="702"/>
    </i>
    <i>
      <x v="827"/>
    </i>
    <i>
      <x v="782"/>
    </i>
    <i>
      <x v="761"/>
    </i>
    <i>
      <x v="538"/>
    </i>
    <i>
      <x v="216"/>
    </i>
    <i>
      <x v="149"/>
    </i>
    <i>
      <x v="169"/>
    </i>
    <i>
      <x v="643"/>
    </i>
    <i>
      <x v="150"/>
    </i>
    <i>
      <x v="17"/>
    </i>
    <i>
      <x v="654"/>
    </i>
    <i>
      <x v="279"/>
    </i>
    <i>
      <x v="607"/>
    </i>
    <i>
      <x v="486"/>
    </i>
    <i>
      <x v="679"/>
    </i>
    <i>
      <x v="750"/>
    </i>
    <i>
      <x v="698"/>
    </i>
    <i>
      <x v="586"/>
    </i>
    <i>
      <x v="809"/>
    </i>
    <i>
      <x v="798"/>
    </i>
    <i>
      <x v="718"/>
    </i>
    <i>
      <x v="527"/>
    </i>
    <i>
      <x v="777"/>
    </i>
    <i>
      <x v="547"/>
    </i>
    <i>
      <x v="848"/>
    </i>
    <i>
      <x v="729"/>
    </i>
    <i>
      <x v="200"/>
    </i>
    <i>
      <x v="828"/>
    </i>
    <i>
      <x v="659"/>
    </i>
    <i>
      <x v="549"/>
    </i>
    <i>
      <x v="248"/>
    </i>
    <i>
      <x v="247"/>
    </i>
    <i>
      <x v="5"/>
    </i>
    <i>
      <x v="592"/>
    </i>
    <i>
      <x v="474"/>
    </i>
    <i>
      <x v="623"/>
    </i>
    <i>
      <x v="765"/>
    </i>
    <i>
      <x v="786"/>
    </i>
    <i>
      <x v="602"/>
    </i>
    <i>
      <x v="563"/>
    </i>
    <i>
      <x v="706"/>
    </i>
    <i>
      <x v="543"/>
    </i>
    <i>
      <x v="652"/>
    </i>
    <i>
      <x v="667"/>
    </i>
    <i>
      <x v="220"/>
    </i>
    <i>
      <x v="613"/>
    </i>
    <i>
      <x v="797"/>
    </i>
    <i>
      <x v="310"/>
    </i>
    <i>
      <x v="680"/>
    </i>
    <i>
      <x v="717"/>
    </i>
    <i>
      <x v="647"/>
    </i>
    <i>
      <x v="565"/>
    </i>
    <i>
      <x v="778"/>
    </i>
    <i>
      <x v="762"/>
    </i>
    <i>
      <x v="664"/>
    </i>
    <i>
      <x v="847"/>
    </i>
    <i>
      <x v="170"/>
    </i>
    <i>
      <x v="294"/>
    </i>
    <i>
      <x v="701"/>
    </i>
    <i>
      <x v="781"/>
    </i>
    <i>
      <x v="749"/>
    </i>
    <i>
      <x v="730"/>
    </i>
    <i>
      <x v="810"/>
    </i>
    <i>
      <x v="611"/>
    </i>
    <i>
      <x v="581"/>
    </i>
    <i>
      <x v="631"/>
    </i>
    <i>
      <x v="223"/>
    </i>
    <i>
      <x v="632"/>
    </i>
    <i>
      <x v="590"/>
    </i>
    <i>
      <x v="205"/>
    </i>
    <i>
      <x v="196"/>
    </i>
    <i>
      <x v="270"/>
    </i>
    <i>
      <x v="582"/>
    </i>
    <i>
      <x v="195"/>
    </i>
    <i>
      <x v="531"/>
    </i>
    <i>
      <x v="551"/>
    </i>
    <i>
      <x v="668"/>
    </i>
    <i>
      <x v="766"/>
    </i>
    <i>
      <x v="785"/>
    </i>
    <i>
      <x v="553"/>
    </i>
    <i>
      <x v="298"/>
    </i>
    <i>
      <x v="705"/>
    </i>
    <i>
      <x v="528"/>
    </i>
    <i>
      <x v="29"/>
    </i>
    <i>
      <x v="529"/>
    </i>
    <i>
      <x v="10"/>
    </i>
    <i>
      <x v="30"/>
    </i>
    <i>
      <x v="199"/>
    </i>
    <i>
      <x v="198"/>
    </i>
    <i>
      <x v="243"/>
    </i>
    <i>
      <x v="290"/>
    </i>
    <i>
      <x v="831"/>
    </i>
    <i>
      <x v="218"/>
    </i>
    <i>
      <x v="544"/>
    </i>
    <i>
      <x v="219"/>
    </i>
    <i>
      <x v="545"/>
    </i>
    <i>
      <x v="284"/>
    </i>
    <i>
      <x v="689"/>
    </i>
    <i>
      <x v="275"/>
    </i>
    <i>
      <x v="832"/>
    </i>
    <i>
      <x v="265"/>
    </i>
    <i>
      <x v="266"/>
    </i>
    <i>
      <x v="733"/>
    </i>
    <i>
      <x v="754"/>
    </i>
    <i>
      <x v="813"/>
    </i>
    <i>
      <x v="228"/>
    </i>
    <i>
      <x v="852"/>
    </i>
    <i>
      <x v="533"/>
    </i>
    <i>
      <x v="532"/>
    </i>
    <i>
      <x v="204"/>
    </i>
    <i>
      <x v="203"/>
    </i>
    <i>
      <x v="9"/>
    </i>
    <i>
      <x v="606"/>
    </i>
    <i>
      <x v="224"/>
    </i>
    <i>
      <x v="596"/>
    </i>
    <i>
      <x v="478"/>
    </i>
    <i t="grand">
      <x/>
    </i>
  </rowItems>
  <colFields count="1">
    <field x="-2"/>
  </colFields>
  <colItems count="2">
    <i>
      <x/>
    </i>
    <i i="1">
      <x v="1"/>
    </i>
  </colItems>
  <dataFields count="2">
    <dataField name="Sum of Unit Selling Area" fld="11" baseField="0" baseItem="0"/>
    <dataField name="Sum of TOTAL PREMIUM %"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85EB2EF-8A4E-4975-A836-17310AFEF7BA}" name="R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I163" firstHeaderRow="0" firstDataRow="1" firstDataCol="1"/>
  <pivotFields count="48">
    <pivotField showAll="0"/>
    <pivotField showAll="0"/>
    <pivotField showAll="0"/>
    <pivotField showAll="0"/>
    <pivotField numFmtId="1" showAll="0"/>
    <pivotField numFmtId="1" showAll="0"/>
    <pivotField axis="axisRow" showAll="0">
      <items count="8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352"/>
        <item x="353"/>
        <item x="354"/>
        <item x="355"/>
        <item x="176"/>
        <item x="356"/>
        <item x="357"/>
        <item x="177"/>
        <item x="358"/>
        <item x="359"/>
        <item x="360"/>
        <item x="361"/>
        <item x="178"/>
        <item x="362"/>
        <item x="363"/>
        <item x="364"/>
        <item x="365"/>
        <item x="179"/>
        <item x="366"/>
        <item x="367"/>
        <item x="368"/>
        <item x="369"/>
        <item x="370"/>
        <item x="371"/>
        <item x="372"/>
        <item x="373"/>
        <item x="180"/>
        <item x="374"/>
        <item x="375"/>
        <item x="376"/>
        <item x="377"/>
        <item x="181"/>
        <item x="378"/>
        <item x="379"/>
        <item x="380"/>
        <item x="381"/>
        <item x="182"/>
        <item x="382"/>
        <item x="383"/>
        <item x="384"/>
        <item x="385"/>
        <item x="183"/>
        <item x="386"/>
        <item x="387"/>
        <item x="388"/>
        <item x="389"/>
        <item x="390"/>
        <item x="391"/>
        <item x="392"/>
        <item x="393"/>
        <item x="184"/>
        <item x="394"/>
        <item x="395"/>
        <item x="396"/>
        <item x="397"/>
        <item x="185"/>
        <item x="398"/>
        <item x="399"/>
        <item x="400"/>
        <item x="401"/>
        <item x="186"/>
        <item x="402"/>
        <item x="403"/>
        <item x="404"/>
        <item x="405"/>
        <item x="187"/>
        <item x="406"/>
        <item x="407"/>
        <item x="408"/>
        <item x="409"/>
        <item x="410"/>
        <item x="411"/>
        <item x="412"/>
        <item x="413"/>
        <item x="188"/>
        <item x="414"/>
        <item x="415"/>
        <item x="189"/>
        <item x="416"/>
        <item x="417"/>
        <item x="418"/>
        <item x="419"/>
        <item x="190"/>
        <item x="420"/>
        <item x="421"/>
        <item x="422"/>
        <item x="423"/>
        <item x="191"/>
        <item x="424"/>
        <item x="425"/>
        <item x="426"/>
        <item x="427"/>
        <item x="428"/>
        <item x="429"/>
        <item x="430"/>
        <item x="431"/>
        <item x="192"/>
        <item x="432"/>
        <item x="433"/>
        <item x="434"/>
        <item x="435"/>
        <item x="193"/>
        <item x="436"/>
        <item x="437"/>
        <item x="438"/>
        <item x="439"/>
        <item x="194"/>
        <item x="440"/>
        <item x="441"/>
        <item x="442"/>
        <item x="443"/>
        <item x="195"/>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showAll="0"/>
    <pivotField showAll="0"/>
    <pivotField showAll="0"/>
    <pivotField numFmtId="2" showAll="0"/>
    <pivotField dataField="1" numFmtId="2" showAll="0"/>
    <pivotField dataField="1" showAll="0"/>
    <pivotField showAll="0"/>
    <pivotField showAll="0"/>
    <pivotField showAll="0"/>
    <pivotField showAll="0"/>
    <pivotField showAll="0"/>
    <pivotField showAll="0">
      <items count="7">
        <item x="2"/>
        <item x="1"/>
        <item x="0"/>
        <item x="4"/>
        <item x="3"/>
        <item x="5"/>
        <item t="default"/>
      </items>
    </pivotField>
    <pivotField numFmtId="164" showAll="0"/>
    <pivotField numFmtId="164" showAll="0"/>
    <pivotField numFmtId="164" showAll="0"/>
    <pivotField numFmtId="164" showAll="0"/>
    <pivotField numFmtId="164" showAll="0"/>
    <pivotField numFmtId="10" showAll="0"/>
    <pivotField showAll="0">
      <items count="5">
        <item x="2"/>
        <item x="1"/>
        <item x="0"/>
        <item x="3"/>
        <item t="default"/>
      </items>
    </pivotField>
    <pivotField showAll="0">
      <items count="14">
        <item x="3"/>
        <item h="1" x="8"/>
        <item h="1" x="9"/>
        <item h="1" x="7"/>
        <item h="1" x="0"/>
        <item h="1" x="6"/>
        <item h="1" x="2"/>
        <item h="1" x="5"/>
        <item h="1" x="1"/>
        <item h="1" x="12"/>
        <item h="1" x="4"/>
        <item h="1" x="10"/>
        <item h="1" x="11"/>
        <item t="default"/>
      </items>
    </pivotField>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numFmtId="1" showAll="0"/>
    <pivotField showAll="0"/>
    <pivotField showAll="0"/>
    <pivotField dataField="1" showAll="0"/>
    <pivotField dataField="1" numFmtId="165" showAll="0"/>
    <pivotField dataField="1" numFmtId="165" showAll="0"/>
    <pivotField numFmtId="168" showAll="0"/>
    <pivotField numFmtId="168" showAll="0"/>
  </pivotFields>
  <rowFields count="1">
    <field x="6"/>
  </rowFields>
  <rowItems count="145">
    <i>
      <x v="3"/>
    </i>
    <i>
      <x v="19"/>
    </i>
    <i>
      <x v="20"/>
    </i>
    <i>
      <x v="23"/>
    </i>
    <i>
      <x v="33"/>
    </i>
    <i>
      <x v="34"/>
    </i>
    <i>
      <x v="36"/>
    </i>
    <i>
      <x v="39"/>
    </i>
    <i>
      <x v="40"/>
    </i>
    <i>
      <x v="42"/>
    </i>
    <i>
      <x v="43"/>
    </i>
    <i>
      <x v="45"/>
    </i>
    <i>
      <x v="49"/>
    </i>
    <i>
      <x v="50"/>
    </i>
    <i>
      <x v="54"/>
    </i>
    <i>
      <x v="56"/>
    </i>
    <i>
      <x v="57"/>
    </i>
    <i>
      <x v="59"/>
    </i>
    <i>
      <x v="117"/>
    </i>
    <i>
      <x v="128"/>
    </i>
    <i>
      <x v="130"/>
    </i>
    <i>
      <x v="131"/>
    </i>
    <i>
      <x v="137"/>
    </i>
    <i>
      <x v="138"/>
    </i>
    <i>
      <x v="148"/>
    </i>
    <i>
      <x v="151"/>
    </i>
    <i>
      <x v="153"/>
    </i>
    <i>
      <x v="154"/>
    </i>
    <i>
      <x v="157"/>
    </i>
    <i>
      <x v="168"/>
    </i>
    <i>
      <x v="171"/>
    </i>
    <i>
      <x v="173"/>
    </i>
    <i>
      <x v="180"/>
    </i>
    <i>
      <x v="181"/>
    </i>
    <i>
      <x v="182"/>
    </i>
    <i>
      <x v="193"/>
    </i>
    <i>
      <x v="194"/>
    </i>
    <i>
      <x v="197"/>
    </i>
    <i>
      <x v="202"/>
    </i>
    <i>
      <x v="210"/>
    </i>
    <i>
      <x v="217"/>
    </i>
    <i>
      <x v="221"/>
    </i>
    <i>
      <x v="229"/>
    </i>
    <i>
      <x v="240"/>
    </i>
    <i>
      <x v="244"/>
    </i>
    <i>
      <x v="247"/>
    </i>
    <i>
      <x v="272"/>
    </i>
    <i>
      <x v="283"/>
    </i>
    <i>
      <x v="287"/>
    </i>
    <i>
      <x v="302"/>
    </i>
    <i>
      <x v="307"/>
    </i>
    <i>
      <x v="342"/>
    </i>
    <i>
      <x v="365"/>
    </i>
    <i>
      <x v="370"/>
    </i>
    <i>
      <x v="374"/>
    </i>
    <i>
      <x v="377"/>
    </i>
    <i>
      <x v="378"/>
    </i>
    <i>
      <x v="381"/>
    </i>
    <i>
      <x v="385"/>
    </i>
    <i>
      <x v="386"/>
    </i>
    <i>
      <x v="390"/>
    </i>
    <i>
      <x v="393"/>
    </i>
    <i>
      <x v="394"/>
    </i>
    <i>
      <x v="397"/>
    </i>
    <i>
      <x v="406"/>
    </i>
    <i>
      <x v="409"/>
    </i>
    <i>
      <x v="410"/>
    </i>
    <i>
      <x v="430"/>
    </i>
    <i>
      <x v="433"/>
    </i>
    <i>
      <x v="444"/>
    </i>
    <i>
      <x v="447"/>
    </i>
    <i>
      <x v="449"/>
    </i>
    <i>
      <x v="451"/>
    </i>
    <i>
      <x v="465"/>
    </i>
    <i>
      <x v="467"/>
    </i>
    <i>
      <x v="468"/>
    </i>
    <i>
      <x v="484"/>
    </i>
    <i>
      <x v="488"/>
    </i>
    <i>
      <x v="489"/>
    </i>
    <i>
      <x v="491"/>
    </i>
    <i>
      <x v="502"/>
    </i>
    <i>
      <x v="505"/>
    </i>
    <i>
      <x v="509"/>
    </i>
    <i>
      <x v="525"/>
    </i>
    <i>
      <x v="535"/>
    </i>
    <i>
      <x v="542"/>
    </i>
    <i>
      <x v="546"/>
    </i>
    <i>
      <x v="550"/>
    </i>
    <i>
      <x v="555"/>
    </i>
    <i>
      <x v="557"/>
    </i>
    <i>
      <x v="562"/>
    </i>
    <i>
      <x v="566"/>
    </i>
    <i>
      <x v="569"/>
    </i>
    <i>
      <x v="570"/>
    </i>
    <i>
      <x v="580"/>
    </i>
    <i>
      <x v="583"/>
    </i>
    <i>
      <x v="587"/>
    </i>
    <i>
      <x v="591"/>
    </i>
    <i>
      <x v="594"/>
    </i>
    <i>
      <x v="603"/>
    </i>
    <i>
      <x v="610"/>
    </i>
    <i>
      <x v="615"/>
    </i>
    <i>
      <x v="617"/>
    </i>
    <i>
      <x v="622"/>
    </i>
    <i>
      <x v="635"/>
    </i>
    <i>
      <x v="636"/>
    </i>
    <i>
      <x v="642"/>
    </i>
    <i>
      <x v="651"/>
    </i>
    <i>
      <x v="656"/>
    </i>
    <i>
      <x v="662"/>
    </i>
    <i>
      <x v="671"/>
    </i>
    <i>
      <x v="672"/>
    </i>
    <i>
      <x v="678"/>
    </i>
    <i>
      <x v="682"/>
    </i>
    <i>
      <x v="685"/>
    </i>
    <i>
      <x v="689"/>
    </i>
    <i>
      <x v="690"/>
    </i>
    <i>
      <x v="703"/>
    </i>
    <i>
      <x v="709"/>
    </i>
    <i>
      <x v="710"/>
    </i>
    <i>
      <x v="719"/>
    </i>
    <i>
      <x v="723"/>
    </i>
    <i>
      <x v="727"/>
    </i>
    <i>
      <x v="734"/>
    </i>
    <i>
      <x v="739"/>
    </i>
    <i>
      <x v="753"/>
    </i>
    <i>
      <x v="760"/>
    </i>
    <i>
      <x v="763"/>
    </i>
    <i>
      <x v="764"/>
    </i>
    <i>
      <x v="769"/>
    </i>
    <i>
      <x v="770"/>
    </i>
    <i>
      <x v="776"/>
    </i>
    <i>
      <x v="779"/>
    </i>
    <i>
      <x v="780"/>
    </i>
    <i>
      <x v="784"/>
    </i>
    <i>
      <x v="788"/>
    </i>
    <i>
      <x v="790"/>
    </i>
    <i>
      <x v="796"/>
    </i>
    <i>
      <x v="814"/>
    </i>
    <i>
      <x v="815"/>
    </i>
    <i>
      <x v="821"/>
    </i>
    <i>
      <x v="822"/>
    </i>
    <i>
      <x v="850"/>
    </i>
    <i>
      <x v="851"/>
    </i>
    <i t="grand">
      <x/>
    </i>
  </rowItems>
  <colFields count="1">
    <field x="-2"/>
  </colFields>
  <colItems count="8">
    <i>
      <x/>
    </i>
    <i i="1">
      <x v="1"/>
    </i>
    <i i="2">
      <x v="2"/>
    </i>
    <i i="3">
      <x v="3"/>
    </i>
    <i i="4">
      <x v="4"/>
    </i>
    <i i="5">
      <x v="5"/>
    </i>
    <i i="6">
      <x v="6"/>
    </i>
    <i i="7">
      <x v="7"/>
    </i>
  </colItems>
  <dataFields count="8">
    <dataField name="Sum of UNIT (BUILDING) RATE (SEMI FINISHED)" fld="31" baseField="0" baseItem="0"/>
    <dataField name="Sum of Unit Selling Area" fld="11" baseField="0" baseItem="0" numFmtId="1"/>
    <dataField name="Sum of Private Garden Area" fld="12" baseField="0" baseItem="0"/>
    <dataField name="Sum of UNIT (GARDEN) VALUE" fld="38" baseField="7" baseItem="481" numFmtId="165"/>
    <dataField name="Sum of MAINTENANCE VALUE" fld="39" baseField="7" baseItem="293" numFmtId="165"/>
    <dataField name="Sum of TOTAL UNIT VALUE (SEMI FINISHED)" fld="43" baseField="0" baseItem="0" numFmtId="165"/>
    <dataField name="Sum of TOTAL UNIT VALUE (BASIC FINISHED)" fld="44" baseField="0" baseItem="0" numFmtId="165"/>
    <dataField name="Sum of TOTAL UNIT VALUE (FULLY FINISHED)" fld="45" baseField="0" baseItem="0" numFmtId="165"/>
  </dataFields>
  <formats count="26">
    <format dxfId="296">
      <pivotArea outline="0" collapsedLevelsAreSubtotals="1" fieldPosition="0"/>
    </format>
    <format dxfId="295">
      <pivotArea dataOnly="0" labelOnly="1" outline="0" axis="axisValues" fieldPosition="0"/>
    </format>
    <format dxfId="294">
      <pivotArea outline="0" collapsedLevelsAreSubtotals="1" fieldPosition="0">
        <references count="1">
          <reference field="4294967294" count="1" selected="0">
            <x v="3"/>
          </reference>
        </references>
      </pivotArea>
    </format>
    <format dxfId="293">
      <pivotArea dataOnly="0" labelOnly="1" outline="0" fieldPosition="0">
        <references count="1">
          <reference field="4294967294" count="1">
            <x v="3"/>
          </reference>
        </references>
      </pivotArea>
    </format>
    <format dxfId="292">
      <pivotArea outline="0" collapsedLevelsAreSubtotals="1" fieldPosition="0">
        <references count="1">
          <reference field="4294967294" count="1" selected="0">
            <x v="4"/>
          </reference>
        </references>
      </pivotArea>
    </format>
    <format dxfId="291">
      <pivotArea dataOnly="0" labelOnly="1" outline="0" fieldPosition="0">
        <references count="1">
          <reference field="4294967294" count="1">
            <x v="4"/>
          </reference>
        </references>
      </pivotArea>
    </format>
    <format dxfId="290">
      <pivotArea type="all" dataOnly="0" outline="0" fieldPosition="0"/>
    </format>
    <format dxfId="289">
      <pivotArea outline="0" collapsedLevelsAreSubtotals="1" fieldPosition="0"/>
    </format>
    <format dxfId="288">
      <pivotArea field="6" type="button" dataOnly="0" labelOnly="1" outline="0" axis="axisRow" fieldPosition="0"/>
    </format>
    <format dxfId="287">
      <pivotArea dataOnly="0" labelOnly="1" fieldPosition="0">
        <references count="1">
          <reference field="6" count="7">
            <x v="289"/>
            <x v="351"/>
            <x v="372"/>
            <x v="473"/>
            <x v="482"/>
            <x v="605"/>
            <x v="644"/>
          </reference>
        </references>
      </pivotArea>
    </format>
    <format dxfId="286">
      <pivotArea dataOnly="0" labelOnly="1" grandRow="1" outline="0" fieldPosition="0"/>
    </format>
    <format dxfId="285">
      <pivotArea dataOnly="0" labelOnly="1" outline="0" fieldPosition="0">
        <references count="1">
          <reference field="4294967294" count="3">
            <x v="1"/>
            <x v="3"/>
            <x v="4"/>
          </reference>
        </references>
      </pivotArea>
    </format>
    <format dxfId="284">
      <pivotArea field="6" type="button" dataOnly="0" labelOnly="1" outline="0" axis="axisRow" fieldPosition="0"/>
    </format>
    <format dxfId="283">
      <pivotArea dataOnly="0" labelOnly="1" outline="0" fieldPosition="0">
        <references count="1">
          <reference field="4294967294" count="3">
            <x v="1"/>
            <x v="3"/>
            <x v="4"/>
          </reference>
        </references>
      </pivotArea>
    </format>
    <format dxfId="282">
      <pivotArea dataOnly="0" labelOnly="1" outline="0" fieldPosition="0">
        <references count="1">
          <reference field="4294967294" count="1">
            <x v="2"/>
          </reference>
        </references>
      </pivotArea>
    </format>
    <format dxfId="281">
      <pivotArea dataOnly="0" labelOnly="1" outline="0" fieldPosition="0">
        <references count="1">
          <reference field="4294967294" count="3">
            <x v="5"/>
            <x v="6"/>
            <x v="7"/>
          </reference>
        </references>
      </pivotArea>
    </format>
    <format dxfId="280">
      <pivotArea outline="0" collapsedLevelsAreSubtotals="1" fieldPosition="0">
        <references count="1">
          <reference field="4294967294" count="3" selected="0">
            <x v="5"/>
            <x v="6"/>
            <x v="7"/>
          </reference>
        </references>
      </pivotArea>
    </format>
    <format dxfId="279">
      <pivotArea dataOnly="0" labelOnly="1" outline="0" fieldPosition="0">
        <references count="1">
          <reference field="4294967294" count="1">
            <x v="0"/>
          </reference>
        </references>
      </pivotArea>
    </format>
    <format dxfId="278">
      <pivotArea collapsedLevelsAreSubtotals="1" fieldPosition="0">
        <references count="2">
          <reference field="4294967294" count="1" selected="0">
            <x v="0"/>
          </reference>
          <reference field="6" count="144">
            <x v="3"/>
            <x v="19"/>
            <x v="20"/>
            <x v="23"/>
            <x v="33"/>
            <x v="34"/>
            <x v="36"/>
            <x v="39"/>
            <x v="40"/>
            <x v="42"/>
            <x v="43"/>
            <x v="45"/>
            <x v="49"/>
            <x v="50"/>
            <x v="54"/>
            <x v="56"/>
            <x v="57"/>
            <x v="59"/>
            <x v="117"/>
            <x v="128"/>
            <x v="130"/>
            <x v="131"/>
            <x v="137"/>
            <x v="138"/>
            <x v="148"/>
            <x v="151"/>
            <x v="153"/>
            <x v="154"/>
            <x v="157"/>
            <x v="168"/>
            <x v="171"/>
            <x v="173"/>
            <x v="180"/>
            <x v="181"/>
            <x v="182"/>
            <x v="193"/>
            <x v="194"/>
            <x v="197"/>
            <x v="202"/>
            <x v="210"/>
            <x v="217"/>
            <x v="221"/>
            <x v="229"/>
            <x v="240"/>
            <x v="244"/>
            <x v="272"/>
            <x v="283"/>
            <x v="287"/>
            <x v="302"/>
            <x v="307"/>
            <x v="342"/>
            <x v="365"/>
            <x v="370"/>
            <x v="374"/>
            <x v="377"/>
            <x v="378"/>
            <x v="381"/>
            <x v="385"/>
            <x v="386"/>
            <x v="390"/>
            <x v="393"/>
            <x v="394"/>
            <x v="397"/>
            <x v="406"/>
            <x v="409"/>
            <x v="410"/>
            <x v="430"/>
            <x v="433"/>
            <x v="444"/>
            <x v="447"/>
            <x v="449"/>
            <x v="451"/>
            <x v="465"/>
            <x v="467"/>
            <x v="468"/>
            <x v="484"/>
            <x v="488"/>
            <x v="489"/>
            <x v="490"/>
            <x v="491"/>
            <x v="502"/>
            <x v="505"/>
            <x v="509"/>
            <x v="525"/>
            <x v="535"/>
            <x v="542"/>
            <x v="546"/>
            <x v="550"/>
            <x v="555"/>
            <x v="557"/>
            <x v="562"/>
            <x v="566"/>
            <x v="569"/>
            <x v="570"/>
            <x v="580"/>
            <x v="583"/>
            <x v="587"/>
            <x v="591"/>
            <x v="594"/>
            <x v="603"/>
            <x v="610"/>
            <x v="615"/>
            <x v="617"/>
            <x v="622"/>
            <x v="635"/>
            <x v="636"/>
            <x v="642"/>
            <x v="651"/>
            <x v="656"/>
            <x v="662"/>
            <x v="671"/>
            <x v="672"/>
            <x v="678"/>
            <x v="682"/>
            <x v="685"/>
            <x v="689"/>
            <x v="690"/>
            <x v="703"/>
            <x v="709"/>
            <x v="710"/>
            <x v="719"/>
            <x v="723"/>
            <x v="727"/>
            <x v="734"/>
            <x v="739"/>
            <x v="753"/>
            <x v="760"/>
            <x v="763"/>
            <x v="764"/>
            <x v="769"/>
            <x v="770"/>
            <x v="776"/>
            <x v="779"/>
            <x v="780"/>
            <x v="784"/>
            <x v="788"/>
            <x v="790"/>
            <x v="796"/>
            <x v="814"/>
            <x v="815"/>
            <x v="821"/>
            <x v="822"/>
            <x v="850"/>
            <x v="851"/>
          </reference>
        </references>
      </pivotArea>
    </format>
    <format dxfId="277">
      <pivotArea field="6" grandRow="1" outline="0" collapsedLevelsAreSubtotals="1" axis="axisRow" fieldPosition="0">
        <references count="1">
          <reference field="4294967294" count="1" selected="0">
            <x v="0"/>
          </reference>
        </references>
      </pivotArea>
    </format>
    <format dxfId="276">
      <pivotArea field="6" grandRow="1" outline="0" collapsedLevelsAreSubtotals="1" axis="axisRow" fieldPosition="0">
        <references count="1">
          <reference field="4294967294" count="2" selected="0">
            <x v="1"/>
            <x v="2"/>
          </reference>
        </references>
      </pivotArea>
    </format>
    <format dxfId="275">
      <pivotArea collapsedLevelsAreSubtotals="1" fieldPosition="0">
        <references count="2">
          <reference field="4294967294" count="1" selected="0">
            <x v="0"/>
          </reference>
          <reference field="6" count="1">
            <x v="247"/>
          </reference>
        </references>
      </pivotArea>
    </format>
    <format dxfId="274">
      <pivotArea field="6" type="button" dataOnly="0" labelOnly="1" outline="0" axis="axisRow" fieldPosition="0"/>
    </format>
    <format dxfId="273">
      <pivotArea dataOnly="0" labelOnly="1" outline="0" fieldPosition="0">
        <references count="1">
          <reference field="4294967294" count="8">
            <x v="0"/>
            <x v="1"/>
            <x v="2"/>
            <x v="3"/>
            <x v="4"/>
            <x v="5"/>
            <x v="6"/>
            <x v="7"/>
          </reference>
        </references>
      </pivotArea>
    </format>
    <format dxfId="272">
      <pivotArea field="6" type="button" dataOnly="0" labelOnly="1" outline="0" axis="axisRow" fieldPosition="0"/>
    </format>
    <format dxfId="271">
      <pivotArea dataOnly="0" labelOnly="1" outline="0" fieldPosition="0">
        <references count="1">
          <reference field="4294967294" count="8">
            <x v="0"/>
            <x v="1"/>
            <x v="2"/>
            <x v="3"/>
            <x v="4"/>
            <x v="5"/>
            <x v="6"/>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4D47629-A14B-454B-B189-D8736E4881B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I74" firstHeaderRow="0" firstDataRow="1" firstDataCol="1"/>
  <pivotFields count="48">
    <pivotField showAll="0"/>
    <pivotField showAll="0"/>
    <pivotField showAll="0"/>
    <pivotField showAll="0"/>
    <pivotField numFmtId="1" showAll="0"/>
    <pivotField numFmtId="1" showAll="0"/>
    <pivotField axis="axisRow" showAll="0">
      <items count="8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352"/>
        <item x="353"/>
        <item x="354"/>
        <item x="355"/>
        <item x="176"/>
        <item x="356"/>
        <item x="357"/>
        <item x="177"/>
        <item x="358"/>
        <item x="359"/>
        <item x="360"/>
        <item x="361"/>
        <item x="178"/>
        <item x="362"/>
        <item x="363"/>
        <item x="364"/>
        <item x="365"/>
        <item x="179"/>
        <item x="366"/>
        <item x="367"/>
        <item x="368"/>
        <item x="369"/>
        <item x="370"/>
        <item x="371"/>
        <item x="372"/>
        <item x="373"/>
        <item x="180"/>
        <item x="374"/>
        <item x="375"/>
        <item x="376"/>
        <item x="377"/>
        <item x="181"/>
        <item x="378"/>
        <item x="379"/>
        <item x="380"/>
        <item x="381"/>
        <item x="182"/>
        <item x="382"/>
        <item x="383"/>
        <item x="384"/>
        <item x="385"/>
        <item x="183"/>
        <item x="386"/>
        <item x="387"/>
        <item x="388"/>
        <item x="389"/>
        <item x="390"/>
        <item x="391"/>
        <item x="392"/>
        <item x="393"/>
        <item x="184"/>
        <item x="394"/>
        <item x="395"/>
        <item x="396"/>
        <item x="397"/>
        <item x="185"/>
        <item x="398"/>
        <item x="399"/>
        <item x="400"/>
        <item x="401"/>
        <item x="186"/>
        <item x="402"/>
        <item x="403"/>
        <item x="404"/>
        <item x="405"/>
        <item x="187"/>
        <item x="406"/>
        <item x="407"/>
        <item x="408"/>
        <item x="409"/>
        <item x="410"/>
        <item x="411"/>
        <item x="412"/>
        <item x="413"/>
        <item x="188"/>
        <item x="414"/>
        <item x="415"/>
        <item x="189"/>
        <item x="416"/>
        <item x="417"/>
        <item x="418"/>
        <item x="419"/>
        <item x="190"/>
        <item x="420"/>
        <item x="421"/>
        <item x="422"/>
        <item x="423"/>
        <item x="191"/>
        <item x="424"/>
        <item x="425"/>
        <item x="426"/>
        <item x="427"/>
        <item x="428"/>
        <item x="429"/>
        <item x="430"/>
        <item x="431"/>
        <item x="192"/>
        <item x="432"/>
        <item x="433"/>
        <item x="434"/>
        <item x="435"/>
        <item x="193"/>
        <item x="436"/>
        <item x="437"/>
        <item x="438"/>
        <item x="439"/>
        <item x="194"/>
        <item x="440"/>
        <item x="441"/>
        <item x="442"/>
        <item x="443"/>
        <item x="195"/>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showAll="0"/>
    <pivotField showAll="0"/>
    <pivotField showAll="0"/>
    <pivotField numFmtId="2" showAll="0"/>
    <pivotField dataField="1" numFmtId="2" showAll="0"/>
    <pivotField dataField="1" showAll="0"/>
    <pivotField showAll="0"/>
    <pivotField showAll="0"/>
    <pivotField showAll="0"/>
    <pivotField showAll="0"/>
    <pivotField showAll="0"/>
    <pivotField showAll="0">
      <items count="7">
        <item x="2"/>
        <item x="1"/>
        <item x="0"/>
        <item x="4"/>
        <item x="3"/>
        <item x="5"/>
        <item t="default"/>
      </items>
    </pivotField>
    <pivotField numFmtId="164" showAll="0"/>
    <pivotField numFmtId="164" showAll="0"/>
    <pivotField numFmtId="164" showAll="0"/>
    <pivotField numFmtId="164" showAll="0"/>
    <pivotField numFmtId="164" showAll="0"/>
    <pivotField numFmtId="10" showAll="0"/>
    <pivotField showAll="0">
      <items count="5">
        <item x="2"/>
        <item x="1"/>
        <item x="0"/>
        <item h="1" x="3"/>
        <item t="default"/>
      </items>
    </pivotField>
    <pivotField showAll="0">
      <items count="14">
        <item h="1" x="3"/>
        <item h="1" x="8"/>
        <item h="1" x="9"/>
        <item h="1" x="7"/>
        <item x="0"/>
        <item h="1" x="6"/>
        <item h="1" x="2"/>
        <item h="1" x="5"/>
        <item h="1" x="1"/>
        <item h="1" x="12"/>
        <item h="1" x="4"/>
        <item h="1" x="10"/>
        <item h="1" x="11"/>
        <item t="default"/>
      </items>
    </pivotField>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numFmtId="1" showAll="0"/>
    <pivotField showAll="0"/>
    <pivotField showAll="0"/>
    <pivotField dataField="1" showAll="0"/>
    <pivotField dataField="1" numFmtId="165" showAll="0"/>
    <pivotField dataField="1" numFmtId="165" showAll="0"/>
    <pivotField numFmtId="168" showAll="0"/>
    <pivotField numFmtId="168" showAll="0"/>
  </pivotFields>
  <rowFields count="1">
    <field x="6"/>
  </rowFields>
  <rowItems count="56">
    <i>
      <x/>
    </i>
    <i>
      <x v="14"/>
    </i>
    <i>
      <x v="27"/>
    </i>
    <i>
      <x v="44"/>
    </i>
    <i>
      <x v="53"/>
    </i>
    <i>
      <x v="141"/>
    </i>
    <i>
      <x v="142"/>
    </i>
    <i>
      <x v="158"/>
    </i>
    <i>
      <x v="161"/>
    </i>
    <i>
      <x v="174"/>
    </i>
    <i>
      <x v="184"/>
    </i>
    <i>
      <x v="185"/>
    </i>
    <i>
      <x v="186"/>
    </i>
    <i>
      <x v="187"/>
    </i>
    <i>
      <x v="201"/>
    </i>
    <i>
      <x v="206"/>
    </i>
    <i>
      <x v="226"/>
    </i>
    <i>
      <x v="233"/>
    </i>
    <i>
      <x v="280"/>
    </i>
    <i>
      <x v="313"/>
    </i>
    <i>
      <x v="314"/>
    </i>
    <i>
      <x v="382"/>
    </i>
    <i>
      <x v="401"/>
    </i>
    <i>
      <x v="413"/>
    </i>
    <i>
      <x v="426"/>
    </i>
    <i>
      <x v="434"/>
    </i>
    <i>
      <x v="448"/>
    </i>
    <i>
      <x v="453"/>
    </i>
    <i>
      <x v="469"/>
    </i>
    <i>
      <x v="471"/>
    </i>
    <i>
      <x v="490"/>
    </i>
    <i>
      <x v="492"/>
    </i>
    <i>
      <x v="506"/>
    </i>
    <i>
      <x v="508"/>
    </i>
    <i>
      <x v="524"/>
    </i>
    <i>
      <x v="526"/>
    </i>
    <i>
      <x v="530"/>
    </i>
    <i>
      <x v="554"/>
    </i>
    <i>
      <x v="571"/>
    </i>
    <i>
      <x v="573"/>
    </i>
    <i>
      <x v="574"/>
    </i>
    <i>
      <x v="595"/>
    </i>
    <i>
      <x v="620"/>
    </i>
    <i>
      <x v="625"/>
    </i>
    <i>
      <x v="626"/>
    </i>
    <i>
      <x v="646"/>
    </i>
    <i>
      <x v="658"/>
    </i>
    <i>
      <x v="665"/>
    </i>
    <i>
      <x v="686"/>
    </i>
    <i>
      <x v="696"/>
    </i>
    <i>
      <x v="699"/>
    </i>
    <i>
      <x v="700"/>
    </i>
    <i>
      <x v="731"/>
    </i>
    <i>
      <x v="767"/>
    </i>
    <i>
      <x v="792"/>
    </i>
    <i t="grand">
      <x/>
    </i>
  </rowItems>
  <colFields count="1">
    <field x="-2"/>
  </colFields>
  <colItems count="8">
    <i>
      <x/>
    </i>
    <i i="1">
      <x v="1"/>
    </i>
    <i i="2">
      <x v="2"/>
    </i>
    <i i="3">
      <x v="3"/>
    </i>
    <i i="4">
      <x v="4"/>
    </i>
    <i i="5">
      <x v="5"/>
    </i>
    <i i="6">
      <x v="6"/>
    </i>
    <i i="7">
      <x v="7"/>
    </i>
  </colItems>
  <dataFields count="8">
    <dataField name="Sum of UNIT (BUILDING) RATE (SEMI FINISHED)" fld="31" baseField="0" baseItem="0"/>
    <dataField name="Sum of Unit Selling Area" fld="11" baseField="0" baseItem="0" numFmtId="1"/>
    <dataField name="Sum of Private Garden Area" fld="12" baseField="0" baseItem="0"/>
    <dataField name="Sum of UNIT (GARDEN) VALUE" fld="38" baseField="7" baseItem="481" numFmtId="165"/>
    <dataField name="Sum of MAINTENANCE VALUE" fld="39" baseField="7" baseItem="293" numFmtId="165"/>
    <dataField name="Sum of TOTAL UNIT VALUE (SEMI FINISHED)" fld="43" baseField="0" baseItem="0" numFmtId="165"/>
    <dataField name="Sum of TOTAL UNIT VALUE (BASIC FINISHED)" fld="44" baseField="0" baseItem="0" numFmtId="165"/>
    <dataField name="Sum of TOTAL UNIT VALUE (FULLY FINISHED)" fld="45" baseField="0" baseItem="0" numFmtId="165"/>
  </dataFields>
  <formats count="21">
    <format dxfId="270">
      <pivotArea outline="0" collapsedLevelsAreSubtotals="1" fieldPosition="0"/>
    </format>
    <format dxfId="269">
      <pivotArea dataOnly="0" labelOnly="1" outline="0" axis="axisValues" fieldPosition="0"/>
    </format>
    <format dxfId="268">
      <pivotArea outline="0" collapsedLevelsAreSubtotals="1" fieldPosition="0">
        <references count="1">
          <reference field="4294967294" count="1" selected="0">
            <x v="3"/>
          </reference>
        </references>
      </pivotArea>
    </format>
    <format dxfId="267">
      <pivotArea dataOnly="0" labelOnly="1" outline="0" fieldPosition="0">
        <references count="1">
          <reference field="4294967294" count="1">
            <x v="3"/>
          </reference>
        </references>
      </pivotArea>
    </format>
    <format dxfId="266">
      <pivotArea outline="0" collapsedLevelsAreSubtotals="1" fieldPosition="0">
        <references count="1">
          <reference field="4294967294" count="1" selected="0">
            <x v="4"/>
          </reference>
        </references>
      </pivotArea>
    </format>
    <format dxfId="265">
      <pivotArea dataOnly="0" labelOnly="1" outline="0" fieldPosition="0">
        <references count="1">
          <reference field="4294967294" count="1">
            <x v="4"/>
          </reference>
        </references>
      </pivotArea>
    </format>
    <format dxfId="264">
      <pivotArea type="all" dataOnly="0" outline="0" fieldPosition="0"/>
    </format>
    <format dxfId="263">
      <pivotArea outline="0" collapsedLevelsAreSubtotals="1" fieldPosition="0"/>
    </format>
    <format dxfId="262">
      <pivotArea field="6" type="button" dataOnly="0" labelOnly="1" outline="0" axis="axisRow" fieldPosition="0"/>
    </format>
    <format dxfId="261">
      <pivotArea dataOnly="0" labelOnly="1" fieldPosition="0">
        <references count="1">
          <reference field="6" count="7">
            <x v="289"/>
            <x v="351"/>
            <x v="372"/>
            <x v="473"/>
            <x v="482"/>
            <x v="605"/>
            <x v="644"/>
          </reference>
        </references>
      </pivotArea>
    </format>
    <format dxfId="260">
      <pivotArea dataOnly="0" labelOnly="1" grandRow="1" outline="0" fieldPosition="0"/>
    </format>
    <format dxfId="259">
      <pivotArea dataOnly="0" labelOnly="1" outline="0" fieldPosition="0">
        <references count="1">
          <reference field="4294967294" count="3">
            <x v="1"/>
            <x v="3"/>
            <x v="4"/>
          </reference>
        </references>
      </pivotArea>
    </format>
    <format dxfId="258">
      <pivotArea field="6" type="button" dataOnly="0" labelOnly="1" outline="0" axis="axisRow" fieldPosition="0"/>
    </format>
    <format dxfId="257">
      <pivotArea dataOnly="0" labelOnly="1" outline="0" fieldPosition="0">
        <references count="1">
          <reference field="4294967294" count="3">
            <x v="1"/>
            <x v="3"/>
            <x v="4"/>
          </reference>
        </references>
      </pivotArea>
    </format>
    <format dxfId="256">
      <pivotArea dataOnly="0" labelOnly="1" outline="0" fieldPosition="0">
        <references count="1">
          <reference field="4294967294" count="1">
            <x v="2"/>
          </reference>
        </references>
      </pivotArea>
    </format>
    <format dxfId="255">
      <pivotArea dataOnly="0" labelOnly="1" outline="0" fieldPosition="0">
        <references count="1">
          <reference field="4294967294" count="3">
            <x v="5"/>
            <x v="6"/>
            <x v="7"/>
          </reference>
        </references>
      </pivotArea>
    </format>
    <format dxfId="254">
      <pivotArea outline="0" collapsedLevelsAreSubtotals="1" fieldPosition="0">
        <references count="1">
          <reference field="4294967294" count="3" selected="0">
            <x v="5"/>
            <x v="6"/>
            <x v="7"/>
          </reference>
        </references>
      </pivotArea>
    </format>
    <format dxfId="253">
      <pivotArea dataOnly="0" labelOnly="1" outline="0" fieldPosition="0">
        <references count="1">
          <reference field="4294967294" count="1">
            <x v="0"/>
          </reference>
        </references>
      </pivotArea>
    </format>
    <format dxfId="252">
      <pivotArea collapsedLevelsAreSubtotals="1" fieldPosition="0">
        <references count="2">
          <reference field="4294967294" count="1" selected="0">
            <x v="0"/>
          </reference>
          <reference field="6" count="144">
            <x v="3"/>
            <x v="19"/>
            <x v="20"/>
            <x v="23"/>
            <x v="33"/>
            <x v="34"/>
            <x v="36"/>
            <x v="39"/>
            <x v="40"/>
            <x v="42"/>
            <x v="43"/>
            <x v="45"/>
            <x v="49"/>
            <x v="50"/>
            <x v="54"/>
            <x v="56"/>
            <x v="57"/>
            <x v="59"/>
            <x v="117"/>
            <x v="128"/>
            <x v="130"/>
            <x v="131"/>
            <x v="137"/>
            <x v="138"/>
            <x v="148"/>
            <x v="151"/>
            <x v="153"/>
            <x v="154"/>
            <x v="157"/>
            <x v="168"/>
            <x v="171"/>
            <x v="173"/>
            <x v="180"/>
            <x v="181"/>
            <x v="182"/>
            <x v="193"/>
            <x v="194"/>
            <x v="197"/>
            <x v="202"/>
            <x v="210"/>
            <x v="217"/>
            <x v="221"/>
            <x v="229"/>
            <x v="240"/>
            <x v="244"/>
            <x v="272"/>
            <x v="283"/>
            <x v="287"/>
            <x v="302"/>
            <x v="307"/>
            <x v="342"/>
            <x v="365"/>
            <x v="370"/>
            <x v="374"/>
            <x v="377"/>
            <x v="378"/>
            <x v="381"/>
            <x v="385"/>
            <x v="386"/>
            <x v="390"/>
            <x v="393"/>
            <x v="394"/>
            <x v="397"/>
            <x v="406"/>
            <x v="409"/>
            <x v="410"/>
            <x v="430"/>
            <x v="433"/>
            <x v="444"/>
            <x v="447"/>
            <x v="449"/>
            <x v="451"/>
            <x v="465"/>
            <x v="467"/>
            <x v="468"/>
            <x v="484"/>
            <x v="488"/>
            <x v="489"/>
            <x v="490"/>
            <x v="491"/>
            <x v="502"/>
            <x v="505"/>
            <x v="509"/>
            <x v="525"/>
            <x v="535"/>
            <x v="542"/>
            <x v="546"/>
            <x v="550"/>
            <x v="555"/>
            <x v="557"/>
            <x v="562"/>
            <x v="566"/>
            <x v="569"/>
            <x v="570"/>
            <x v="580"/>
            <x v="583"/>
            <x v="587"/>
            <x v="591"/>
            <x v="594"/>
            <x v="603"/>
            <x v="610"/>
            <x v="615"/>
            <x v="617"/>
            <x v="622"/>
            <x v="635"/>
            <x v="636"/>
            <x v="642"/>
            <x v="651"/>
            <x v="656"/>
            <x v="662"/>
            <x v="671"/>
            <x v="672"/>
            <x v="678"/>
            <x v="682"/>
            <x v="685"/>
            <x v="689"/>
            <x v="690"/>
            <x v="703"/>
            <x v="709"/>
            <x v="710"/>
            <x v="719"/>
            <x v="723"/>
            <x v="727"/>
            <x v="734"/>
            <x v="739"/>
            <x v="753"/>
            <x v="760"/>
            <x v="763"/>
            <x v="764"/>
            <x v="769"/>
            <x v="770"/>
            <x v="776"/>
            <x v="779"/>
            <x v="780"/>
            <x v="784"/>
            <x v="788"/>
            <x v="790"/>
            <x v="796"/>
            <x v="814"/>
            <x v="815"/>
            <x v="821"/>
            <x v="822"/>
            <x v="850"/>
            <x v="851"/>
          </reference>
        </references>
      </pivotArea>
    </format>
    <format dxfId="251">
      <pivotArea field="6" grandRow="1" outline="0" collapsedLevelsAreSubtotals="1" axis="axisRow" fieldPosition="0">
        <references count="1">
          <reference field="4294967294" count="1" selected="0">
            <x v="0"/>
          </reference>
        </references>
      </pivotArea>
    </format>
    <format dxfId="250">
      <pivotArea field="6" grandRow="1" outline="0" collapsedLevelsAreSubtotals="1" axis="axisRow"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6BC1DDFC-EF92-49AC-8917-5A6939496A2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I81" firstHeaderRow="0" firstDataRow="1" firstDataCol="1"/>
  <pivotFields count="48">
    <pivotField showAll="0"/>
    <pivotField showAll="0"/>
    <pivotField showAll="0"/>
    <pivotField showAll="0"/>
    <pivotField numFmtId="1" showAll="0"/>
    <pivotField numFmtId="1" showAll="0"/>
    <pivotField axis="axisRow" showAll="0">
      <items count="8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352"/>
        <item x="353"/>
        <item x="354"/>
        <item x="355"/>
        <item x="176"/>
        <item x="356"/>
        <item x="357"/>
        <item x="177"/>
        <item x="358"/>
        <item x="359"/>
        <item x="360"/>
        <item x="361"/>
        <item x="178"/>
        <item x="362"/>
        <item x="363"/>
        <item x="364"/>
        <item x="365"/>
        <item x="179"/>
        <item x="366"/>
        <item x="367"/>
        <item x="368"/>
        <item x="369"/>
        <item x="370"/>
        <item x="371"/>
        <item x="372"/>
        <item x="373"/>
        <item x="180"/>
        <item x="374"/>
        <item x="375"/>
        <item x="376"/>
        <item x="377"/>
        <item x="181"/>
        <item x="378"/>
        <item x="379"/>
        <item x="380"/>
        <item x="381"/>
        <item x="182"/>
        <item x="382"/>
        <item x="383"/>
        <item x="384"/>
        <item x="385"/>
        <item x="183"/>
        <item x="386"/>
        <item x="387"/>
        <item x="388"/>
        <item x="389"/>
        <item x="390"/>
        <item x="391"/>
        <item x="392"/>
        <item x="393"/>
        <item x="184"/>
        <item x="394"/>
        <item x="395"/>
        <item x="396"/>
        <item x="397"/>
        <item x="185"/>
        <item x="398"/>
        <item x="399"/>
        <item x="400"/>
        <item x="401"/>
        <item x="186"/>
        <item x="402"/>
        <item x="403"/>
        <item x="404"/>
        <item x="405"/>
        <item x="187"/>
        <item x="406"/>
        <item x="407"/>
        <item x="408"/>
        <item x="409"/>
        <item x="410"/>
        <item x="411"/>
        <item x="412"/>
        <item x="413"/>
        <item x="188"/>
        <item x="414"/>
        <item x="415"/>
        <item x="189"/>
        <item x="416"/>
        <item x="417"/>
        <item x="418"/>
        <item x="419"/>
        <item x="190"/>
        <item x="420"/>
        <item x="421"/>
        <item x="422"/>
        <item x="423"/>
        <item x="191"/>
        <item x="424"/>
        <item x="425"/>
        <item x="426"/>
        <item x="427"/>
        <item x="428"/>
        <item x="429"/>
        <item x="430"/>
        <item x="431"/>
        <item x="192"/>
        <item x="432"/>
        <item x="433"/>
        <item x="434"/>
        <item x="435"/>
        <item x="193"/>
        <item x="436"/>
        <item x="437"/>
        <item x="438"/>
        <item x="439"/>
        <item x="194"/>
        <item x="440"/>
        <item x="441"/>
        <item x="442"/>
        <item x="443"/>
        <item x="195"/>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showAll="0"/>
    <pivotField showAll="0"/>
    <pivotField showAll="0"/>
    <pivotField numFmtId="2" showAll="0"/>
    <pivotField dataField="1" numFmtId="2" showAll="0"/>
    <pivotField dataField="1" showAll="0"/>
    <pivotField showAll="0"/>
    <pivotField showAll="0"/>
    <pivotField showAll="0"/>
    <pivotField showAll="0"/>
    <pivotField showAll="0"/>
    <pivotField showAll="0">
      <items count="7">
        <item x="2"/>
        <item x="1"/>
        <item x="0"/>
        <item x="4"/>
        <item x="3"/>
        <item x="5"/>
        <item t="default"/>
      </items>
    </pivotField>
    <pivotField numFmtId="164" showAll="0"/>
    <pivotField numFmtId="164" showAll="0"/>
    <pivotField numFmtId="164" showAll="0"/>
    <pivotField numFmtId="164" showAll="0"/>
    <pivotField numFmtId="164" showAll="0"/>
    <pivotField numFmtId="10" showAll="0"/>
    <pivotField showAll="0">
      <items count="5">
        <item x="2"/>
        <item x="1"/>
        <item x="0"/>
        <item x="3"/>
        <item t="default"/>
      </items>
    </pivotField>
    <pivotField showAll="0">
      <items count="14">
        <item h="1" x="3"/>
        <item h="1" x="8"/>
        <item h="1" x="9"/>
        <item h="1" x="7"/>
        <item h="1" x="0"/>
        <item x="6"/>
        <item h="1" x="2"/>
        <item h="1" x="5"/>
        <item h="1" x="1"/>
        <item h="1" x="12"/>
        <item h="1" x="4"/>
        <item h="1" x="10"/>
        <item h="1" x="11"/>
        <item t="default"/>
      </items>
    </pivotField>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numFmtId="1" showAll="0"/>
    <pivotField showAll="0"/>
    <pivotField showAll="0"/>
    <pivotField dataField="1" showAll="0"/>
    <pivotField dataField="1" numFmtId="165" showAll="0"/>
    <pivotField dataField="1" numFmtId="165" showAll="0"/>
    <pivotField numFmtId="168" showAll="0"/>
    <pivotField numFmtId="168" showAll="0"/>
  </pivotFields>
  <rowFields count="1">
    <field x="6"/>
  </rowFields>
  <rowItems count="63">
    <i>
      <x v="7"/>
    </i>
    <i>
      <x v="13"/>
    </i>
    <i>
      <x v="16"/>
    </i>
    <i>
      <x v="24"/>
    </i>
    <i>
      <x v="47"/>
    </i>
    <i>
      <x v="133"/>
    </i>
    <i>
      <x v="162"/>
    </i>
    <i>
      <x v="208"/>
    </i>
    <i>
      <x v="209"/>
    </i>
    <i>
      <x v="246"/>
    </i>
    <i>
      <x v="255"/>
    </i>
    <i>
      <x v="256"/>
    </i>
    <i>
      <x v="269"/>
    </i>
    <i>
      <x v="289"/>
    </i>
    <i>
      <x v="312"/>
    </i>
    <i>
      <x v="351"/>
    </i>
    <i>
      <x v="414"/>
    </i>
    <i>
      <x v="435"/>
    </i>
    <i>
      <x v="455"/>
    </i>
    <i>
      <x v="464"/>
    </i>
    <i>
      <x v="472"/>
    </i>
    <i>
      <x v="482"/>
    </i>
    <i>
      <x v="485"/>
    </i>
    <i>
      <x v="487"/>
    </i>
    <i>
      <x v="493"/>
    </i>
    <i>
      <x v="513"/>
    </i>
    <i>
      <x v="522"/>
    </i>
    <i>
      <x v="536"/>
    </i>
    <i>
      <x v="537"/>
    </i>
    <i>
      <x v="584"/>
    </i>
    <i>
      <x v="604"/>
    </i>
    <i>
      <x v="605"/>
    </i>
    <i>
      <x v="624"/>
    </i>
    <i>
      <x v="644"/>
    </i>
    <i>
      <x v="645"/>
    </i>
    <i>
      <x v="661"/>
    </i>
    <i>
      <x v="666"/>
    </i>
    <i>
      <x v="675"/>
    </i>
    <i>
      <x v="687"/>
    </i>
    <i>
      <x v="693"/>
    </i>
    <i>
      <x v="694"/>
    </i>
    <i>
      <x v="707"/>
    </i>
    <i>
      <x v="714"/>
    </i>
    <i>
      <x v="721"/>
    </i>
    <i>
      <x v="737"/>
    </i>
    <i>
      <x v="740"/>
    </i>
    <i>
      <x v="742"/>
    </i>
    <i>
      <x v="743"/>
    </i>
    <i>
      <x v="758"/>
    </i>
    <i>
      <x v="759"/>
    </i>
    <i>
      <x v="768"/>
    </i>
    <i>
      <x v="773"/>
    </i>
    <i>
      <x v="783"/>
    </i>
    <i>
      <x v="794"/>
    </i>
    <i>
      <x v="799"/>
    </i>
    <i>
      <x v="801"/>
    </i>
    <i>
      <x v="817"/>
    </i>
    <i>
      <x v="820"/>
    </i>
    <i>
      <x v="835"/>
    </i>
    <i>
      <x v="836"/>
    </i>
    <i>
      <x v="840"/>
    </i>
    <i>
      <x v="856"/>
    </i>
    <i t="grand">
      <x/>
    </i>
  </rowItems>
  <colFields count="1">
    <field x="-2"/>
  </colFields>
  <colItems count="8">
    <i>
      <x/>
    </i>
    <i i="1">
      <x v="1"/>
    </i>
    <i i="2">
      <x v="2"/>
    </i>
    <i i="3">
      <x v="3"/>
    </i>
    <i i="4">
      <x v="4"/>
    </i>
    <i i="5">
      <x v="5"/>
    </i>
    <i i="6">
      <x v="6"/>
    </i>
    <i i="7">
      <x v="7"/>
    </i>
  </colItems>
  <dataFields count="8">
    <dataField name="Sum of UNIT (BUILDING) RATE (SEMI FINISHED)" fld="31" baseField="0" baseItem="0"/>
    <dataField name="Sum of Unit Selling Area" fld="11" baseField="0" baseItem="0" numFmtId="1"/>
    <dataField name="Sum of Private Garden Area" fld="12" baseField="0" baseItem="0"/>
    <dataField name="Sum of UNIT (GARDEN) VALUE" fld="38" baseField="7" baseItem="481" numFmtId="165"/>
    <dataField name="Sum of MAINTENANCE VALUE" fld="39" baseField="7" baseItem="293" numFmtId="165"/>
    <dataField name="Sum of TOTAL UNIT VALUE (SEMI FINISHED)" fld="43" baseField="0" baseItem="0" numFmtId="165"/>
    <dataField name="Sum of TOTAL UNIT VALUE (BASIC FINISHED)" fld="44" baseField="0" baseItem="0" numFmtId="165"/>
    <dataField name="Sum of TOTAL UNIT VALUE (FULLY FINISHED)" fld="45" baseField="0" baseItem="0" numFmtId="165"/>
  </dataFields>
  <formats count="21">
    <format dxfId="249">
      <pivotArea outline="0" collapsedLevelsAreSubtotals="1" fieldPosition="0"/>
    </format>
    <format dxfId="248">
      <pivotArea dataOnly="0" labelOnly="1" outline="0" axis="axisValues" fieldPosition="0"/>
    </format>
    <format dxfId="247">
      <pivotArea outline="0" collapsedLevelsAreSubtotals="1" fieldPosition="0">
        <references count="1">
          <reference field="4294967294" count="1" selected="0">
            <x v="3"/>
          </reference>
        </references>
      </pivotArea>
    </format>
    <format dxfId="246">
      <pivotArea dataOnly="0" labelOnly="1" outline="0" fieldPosition="0">
        <references count="1">
          <reference field="4294967294" count="1">
            <x v="3"/>
          </reference>
        </references>
      </pivotArea>
    </format>
    <format dxfId="245">
      <pivotArea outline="0" collapsedLevelsAreSubtotals="1" fieldPosition="0">
        <references count="1">
          <reference field="4294967294" count="1" selected="0">
            <x v="4"/>
          </reference>
        </references>
      </pivotArea>
    </format>
    <format dxfId="244">
      <pivotArea dataOnly="0" labelOnly="1" outline="0" fieldPosition="0">
        <references count="1">
          <reference field="4294967294" count="1">
            <x v="4"/>
          </reference>
        </references>
      </pivotArea>
    </format>
    <format dxfId="243">
      <pivotArea type="all" dataOnly="0" outline="0" fieldPosition="0"/>
    </format>
    <format dxfId="242">
      <pivotArea outline="0" collapsedLevelsAreSubtotals="1" fieldPosition="0"/>
    </format>
    <format dxfId="241">
      <pivotArea field="6" type="button" dataOnly="0" labelOnly="1" outline="0" axis="axisRow" fieldPosition="0"/>
    </format>
    <format dxfId="240">
      <pivotArea dataOnly="0" labelOnly="1" fieldPosition="0">
        <references count="1">
          <reference field="6" count="7">
            <x v="289"/>
            <x v="351"/>
            <x v="372"/>
            <x v="473"/>
            <x v="482"/>
            <x v="605"/>
            <x v="644"/>
          </reference>
        </references>
      </pivotArea>
    </format>
    <format dxfId="239">
      <pivotArea dataOnly="0" labelOnly="1" grandRow="1" outline="0" fieldPosition="0"/>
    </format>
    <format dxfId="238">
      <pivotArea dataOnly="0" labelOnly="1" outline="0" fieldPosition="0">
        <references count="1">
          <reference field="4294967294" count="3">
            <x v="1"/>
            <x v="3"/>
            <x v="4"/>
          </reference>
        </references>
      </pivotArea>
    </format>
    <format dxfId="237">
      <pivotArea field="6" type="button" dataOnly="0" labelOnly="1" outline="0" axis="axisRow" fieldPosition="0"/>
    </format>
    <format dxfId="236">
      <pivotArea dataOnly="0" labelOnly="1" outline="0" fieldPosition="0">
        <references count="1">
          <reference field="4294967294" count="3">
            <x v="1"/>
            <x v="3"/>
            <x v="4"/>
          </reference>
        </references>
      </pivotArea>
    </format>
    <format dxfId="235">
      <pivotArea dataOnly="0" labelOnly="1" outline="0" fieldPosition="0">
        <references count="1">
          <reference field="4294967294" count="1">
            <x v="2"/>
          </reference>
        </references>
      </pivotArea>
    </format>
    <format dxfId="234">
      <pivotArea dataOnly="0" labelOnly="1" outline="0" fieldPosition="0">
        <references count="1">
          <reference field="4294967294" count="3">
            <x v="5"/>
            <x v="6"/>
            <x v="7"/>
          </reference>
        </references>
      </pivotArea>
    </format>
    <format dxfId="233">
      <pivotArea outline="0" collapsedLevelsAreSubtotals="1" fieldPosition="0">
        <references count="1">
          <reference field="4294967294" count="3" selected="0">
            <x v="5"/>
            <x v="6"/>
            <x v="7"/>
          </reference>
        </references>
      </pivotArea>
    </format>
    <format dxfId="232">
      <pivotArea dataOnly="0" labelOnly="1" outline="0" fieldPosition="0">
        <references count="1">
          <reference field="4294967294" count="1">
            <x v="0"/>
          </reference>
        </references>
      </pivotArea>
    </format>
    <format dxfId="231">
      <pivotArea collapsedLevelsAreSubtotals="1" fieldPosition="0">
        <references count="2">
          <reference field="4294967294" count="1" selected="0">
            <x v="0"/>
          </reference>
          <reference field="6" count="144">
            <x v="3"/>
            <x v="19"/>
            <x v="20"/>
            <x v="23"/>
            <x v="33"/>
            <x v="34"/>
            <x v="36"/>
            <x v="39"/>
            <x v="40"/>
            <x v="42"/>
            <x v="43"/>
            <x v="45"/>
            <x v="49"/>
            <x v="50"/>
            <x v="54"/>
            <x v="56"/>
            <x v="57"/>
            <x v="59"/>
            <x v="117"/>
            <x v="128"/>
            <x v="130"/>
            <x v="131"/>
            <x v="137"/>
            <x v="138"/>
            <x v="148"/>
            <x v="151"/>
            <x v="153"/>
            <x v="154"/>
            <x v="157"/>
            <x v="168"/>
            <x v="171"/>
            <x v="173"/>
            <x v="180"/>
            <x v="181"/>
            <x v="182"/>
            <x v="193"/>
            <x v="194"/>
            <x v="197"/>
            <x v="202"/>
            <x v="210"/>
            <x v="217"/>
            <x v="221"/>
            <x v="229"/>
            <x v="240"/>
            <x v="244"/>
            <x v="272"/>
            <x v="283"/>
            <x v="287"/>
            <x v="302"/>
            <x v="307"/>
            <x v="342"/>
            <x v="365"/>
            <x v="370"/>
            <x v="374"/>
            <x v="377"/>
            <x v="378"/>
            <x v="381"/>
            <x v="385"/>
            <x v="386"/>
            <x v="390"/>
            <x v="393"/>
            <x v="394"/>
            <x v="397"/>
            <x v="406"/>
            <x v="409"/>
            <x v="410"/>
            <x v="430"/>
            <x v="433"/>
            <x v="444"/>
            <x v="447"/>
            <x v="449"/>
            <x v="451"/>
            <x v="465"/>
            <x v="467"/>
            <x v="468"/>
            <x v="484"/>
            <x v="488"/>
            <x v="489"/>
            <x v="490"/>
            <x v="491"/>
            <x v="502"/>
            <x v="505"/>
            <x v="509"/>
            <x v="525"/>
            <x v="535"/>
            <x v="542"/>
            <x v="546"/>
            <x v="550"/>
            <x v="555"/>
            <x v="557"/>
            <x v="562"/>
            <x v="566"/>
            <x v="569"/>
            <x v="570"/>
            <x v="580"/>
            <x v="583"/>
            <x v="587"/>
            <x v="591"/>
            <x v="594"/>
            <x v="603"/>
            <x v="610"/>
            <x v="615"/>
            <x v="617"/>
            <x v="622"/>
            <x v="635"/>
            <x v="636"/>
            <x v="642"/>
            <x v="651"/>
            <x v="656"/>
            <x v="662"/>
            <x v="671"/>
            <x v="672"/>
            <x v="678"/>
            <x v="682"/>
            <x v="685"/>
            <x v="689"/>
            <x v="690"/>
            <x v="703"/>
            <x v="709"/>
            <x v="710"/>
            <x v="719"/>
            <x v="723"/>
            <x v="727"/>
            <x v="734"/>
            <x v="739"/>
            <x v="753"/>
            <x v="760"/>
            <x v="763"/>
            <x v="764"/>
            <x v="769"/>
            <x v="770"/>
            <x v="776"/>
            <x v="779"/>
            <x v="780"/>
            <x v="784"/>
            <x v="788"/>
            <x v="790"/>
            <x v="796"/>
            <x v="814"/>
            <x v="815"/>
            <x v="821"/>
            <x v="822"/>
            <x v="850"/>
            <x v="851"/>
          </reference>
        </references>
      </pivotArea>
    </format>
    <format dxfId="230">
      <pivotArea field="6" grandRow="1" outline="0" collapsedLevelsAreSubtotals="1" axis="axisRow" fieldPosition="0">
        <references count="1">
          <reference field="4294967294" count="1" selected="0">
            <x v="0"/>
          </reference>
        </references>
      </pivotArea>
    </format>
    <format dxfId="229">
      <pivotArea field="6" grandRow="1" outline="0" collapsedLevelsAreSubtotals="1" axis="axisRow"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3B38F447-2FE0-4C39-B782-6DFF13643FE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I107" firstHeaderRow="0" firstDataRow="1" firstDataCol="1"/>
  <pivotFields count="48">
    <pivotField showAll="0"/>
    <pivotField showAll="0"/>
    <pivotField showAll="0"/>
    <pivotField showAll="0"/>
    <pivotField numFmtId="1" showAll="0"/>
    <pivotField numFmtId="1" showAll="0"/>
    <pivotField axis="axisRow" showAll="0">
      <items count="8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352"/>
        <item x="353"/>
        <item x="354"/>
        <item x="355"/>
        <item x="176"/>
        <item x="356"/>
        <item x="357"/>
        <item x="177"/>
        <item x="358"/>
        <item x="359"/>
        <item x="360"/>
        <item x="361"/>
        <item x="178"/>
        <item x="362"/>
        <item x="363"/>
        <item x="364"/>
        <item x="365"/>
        <item x="179"/>
        <item x="366"/>
        <item x="367"/>
        <item x="368"/>
        <item x="369"/>
        <item x="370"/>
        <item x="371"/>
        <item x="372"/>
        <item x="373"/>
        <item x="180"/>
        <item x="374"/>
        <item x="375"/>
        <item x="376"/>
        <item x="377"/>
        <item x="181"/>
        <item x="378"/>
        <item x="379"/>
        <item x="380"/>
        <item x="381"/>
        <item x="182"/>
        <item x="382"/>
        <item x="383"/>
        <item x="384"/>
        <item x="385"/>
        <item x="183"/>
        <item x="386"/>
        <item x="387"/>
        <item x="388"/>
        <item x="389"/>
        <item x="390"/>
        <item x="391"/>
        <item x="392"/>
        <item x="393"/>
        <item x="184"/>
        <item x="394"/>
        <item x="395"/>
        <item x="396"/>
        <item x="397"/>
        <item x="185"/>
        <item x="398"/>
        <item x="399"/>
        <item x="400"/>
        <item x="401"/>
        <item x="186"/>
        <item x="402"/>
        <item x="403"/>
        <item x="404"/>
        <item x="405"/>
        <item x="187"/>
        <item x="406"/>
        <item x="407"/>
        <item x="408"/>
        <item x="409"/>
        <item x="410"/>
        <item x="411"/>
        <item x="412"/>
        <item x="413"/>
        <item x="188"/>
        <item x="414"/>
        <item x="415"/>
        <item x="189"/>
        <item x="416"/>
        <item x="417"/>
        <item x="418"/>
        <item x="419"/>
        <item x="190"/>
        <item x="420"/>
        <item x="421"/>
        <item x="422"/>
        <item x="423"/>
        <item x="191"/>
        <item x="424"/>
        <item x="425"/>
        <item x="426"/>
        <item x="427"/>
        <item x="428"/>
        <item x="429"/>
        <item x="430"/>
        <item x="431"/>
        <item x="192"/>
        <item x="432"/>
        <item x="433"/>
        <item x="434"/>
        <item x="435"/>
        <item x="193"/>
        <item x="436"/>
        <item x="437"/>
        <item x="438"/>
        <item x="439"/>
        <item x="194"/>
        <item x="440"/>
        <item x="441"/>
        <item x="442"/>
        <item x="443"/>
        <item x="195"/>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showAll="0"/>
    <pivotField showAll="0"/>
    <pivotField showAll="0"/>
    <pivotField numFmtId="2" showAll="0"/>
    <pivotField dataField="1" numFmtId="2" showAll="0"/>
    <pivotField dataField="1" showAll="0"/>
    <pivotField showAll="0"/>
    <pivotField showAll="0"/>
    <pivotField showAll="0"/>
    <pivotField showAll="0"/>
    <pivotField showAll="0"/>
    <pivotField showAll="0">
      <items count="7">
        <item x="2"/>
        <item x="1"/>
        <item x="0"/>
        <item x="4"/>
        <item x="3"/>
        <item x="5"/>
        <item t="default"/>
      </items>
    </pivotField>
    <pivotField numFmtId="164" showAll="0"/>
    <pivotField numFmtId="164" showAll="0"/>
    <pivotField numFmtId="164" showAll="0"/>
    <pivotField numFmtId="164" showAll="0"/>
    <pivotField numFmtId="164" showAll="0"/>
    <pivotField numFmtId="10" showAll="0"/>
    <pivotField showAll="0">
      <items count="5">
        <item x="2"/>
        <item x="1"/>
        <item x="0"/>
        <item x="3"/>
        <item t="default"/>
      </items>
    </pivotField>
    <pivotField showAll="0">
      <items count="14">
        <item h="1" x="3"/>
        <item h="1" x="8"/>
        <item h="1" x="9"/>
        <item h="1" x="7"/>
        <item h="1" x="0"/>
        <item h="1" x="6"/>
        <item x="2"/>
        <item h="1" x="5"/>
        <item h="1" x="1"/>
        <item h="1" x="12"/>
        <item h="1" x="4"/>
        <item h="1" x="10"/>
        <item h="1" x="11"/>
        <item t="default"/>
      </items>
    </pivotField>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numFmtId="1" showAll="0"/>
    <pivotField showAll="0"/>
    <pivotField showAll="0"/>
    <pivotField dataField="1" showAll="0"/>
    <pivotField dataField="1" numFmtId="165" showAll="0"/>
    <pivotField dataField="1" numFmtId="165" showAll="0"/>
    <pivotField numFmtId="168" showAll="0"/>
    <pivotField numFmtId="168" showAll="0"/>
  </pivotFields>
  <rowFields count="1">
    <field x="6"/>
  </rowFields>
  <rowItems count="89">
    <i>
      <x v="2"/>
    </i>
    <i>
      <x v="4"/>
    </i>
    <i>
      <x v="21"/>
    </i>
    <i>
      <x v="22"/>
    </i>
    <i>
      <x v="145"/>
    </i>
    <i>
      <x v="146"/>
    </i>
    <i>
      <x v="165"/>
    </i>
    <i>
      <x v="211"/>
    </i>
    <i>
      <x v="215"/>
    </i>
    <i>
      <x v="222"/>
    </i>
    <i>
      <x v="234"/>
    </i>
    <i>
      <x v="241"/>
    </i>
    <i>
      <x v="242"/>
    </i>
    <i>
      <x v="249"/>
    </i>
    <i>
      <x v="264"/>
    </i>
    <i>
      <x v="267"/>
    </i>
    <i>
      <x v="271"/>
    </i>
    <i>
      <x v="274"/>
    </i>
    <i>
      <x v="291"/>
    </i>
    <i>
      <x v="292"/>
    </i>
    <i>
      <x v="306"/>
    </i>
    <i>
      <x v="315"/>
    </i>
    <i>
      <x v="333"/>
    </i>
    <i>
      <x v="350"/>
    </i>
    <i>
      <x v="366"/>
    </i>
    <i>
      <x v="367"/>
    </i>
    <i>
      <x v="372"/>
    </i>
    <i>
      <x v="388"/>
    </i>
    <i>
      <x v="417"/>
    </i>
    <i>
      <x v="429"/>
    </i>
    <i>
      <x v="452"/>
    </i>
    <i>
      <x v="473"/>
    </i>
    <i>
      <x v="475"/>
    </i>
    <i>
      <x v="503"/>
    </i>
    <i>
      <x v="504"/>
    </i>
    <i>
      <x v="507"/>
    </i>
    <i>
      <x v="510"/>
    </i>
    <i>
      <x v="512"/>
    </i>
    <i>
      <x v="523"/>
    </i>
    <i>
      <x v="534"/>
    </i>
    <i>
      <x v="539"/>
    </i>
    <i>
      <x v="559"/>
    </i>
    <i>
      <x v="561"/>
    </i>
    <i>
      <x v="572"/>
    </i>
    <i>
      <x v="575"/>
    </i>
    <i>
      <x v="585"/>
    </i>
    <i>
      <x v="588"/>
    </i>
    <i>
      <x v="598"/>
    </i>
    <i>
      <x v="600"/>
    </i>
    <i>
      <x v="601"/>
    </i>
    <i>
      <x v="608"/>
    </i>
    <i>
      <x v="614"/>
    </i>
    <i>
      <x v="619"/>
    </i>
    <i>
      <x v="621"/>
    </i>
    <i>
      <x v="627"/>
    </i>
    <i>
      <x v="638"/>
    </i>
    <i>
      <x v="641"/>
    </i>
    <i>
      <x v="649"/>
    </i>
    <i>
      <x v="650"/>
    </i>
    <i>
      <x v="655"/>
    </i>
    <i>
      <x v="660"/>
    </i>
    <i>
      <x v="669"/>
    </i>
    <i>
      <x v="681"/>
    </i>
    <i>
      <x v="683"/>
    </i>
    <i>
      <x v="684"/>
    </i>
    <i>
      <x v="704"/>
    </i>
    <i>
      <x v="716"/>
    </i>
    <i>
      <x v="720"/>
    </i>
    <i>
      <x v="722"/>
    </i>
    <i>
      <x v="725"/>
    </i>
    <i>
      <x v="738"/>
    </i>
    <i>
      <x v="741"/>
    </i>
    <i>
      <x v="746"/>
    </i>
    <i>
      <x v="747"/>
    </i>
    <i>
      <x v="757"/>
    </i>
    <i>
      <x v="771"/>
    </i>
    <i>
      <x v="781"/>
    </i>
    <i>
      <x v="787"/>
    </i>
    <i>
      <x v="797"/>
    </i>
    <i>
      <x v="800"/>
    </i>
    <i>
      <x v="802"/>
    </i>
    <i>
      <x v="805"/>
    </i>
    <i>
      <x v="818"/>
    </i>
    <i>
      <x v="823"/>
    </i>
    <i>
      <x v="839"/>
    </i>
    <i>
      <x v="841"/>
    </i>
    <i>
      <x v="844"/>
    </i>
    <i>
      <x v="855"/>
    </i>
    <i t="grand">
      <x/>
    </i>
  </rowItems>
  <colFields count="1">
    <field x="-2"/>
  </colFields>
  <colItems count="8">
    <i>
      <x/>
    </i>
    <i i="1">
      <x v="1"/>
    </i>
    <i i="2">
      <x v="2"/>
    </i>
    <i i="3">
      <x v="3"/>
    </i>
    <i i="4">
      <x v="4"/>
    </i>
    <i i="5">
      <x v="5"/>
    </i>
    <i i="6">
      <x v="6"/>
    </i>
    <i i="7">
      <x v="7"/>
    </i>
  </colItems>
  <dataFields count="8">
    <dataField name="Sum of UNIT (BUILDING) RATE (SEMI FINISHED)" fld="31" baseField="0" baseItem="0"/>
    <dataField name="Sum of Unit Selling Area" fld="11" baseField="0" baseItem="0" numFmtId="1"/>
    <dataField name="Sum of Private Garden Area" fld="12" baseField="0" baseItem="0"/>
    <dataField name="Sum of UNIT (GARDEN) VALUE" fld="38" baseField="7" baseItem="481" numFmtId="165"/>
    <dataField name="Sum of MAINTENANCE VALUE" fld="39" baseField="7" baseItem="293" numFmtId="165"/>
    <dataField name="Sum of TOTAL UNIT VALUE (SEMI FINISHED)" fld="43" baseField="0" baseItem="0" numFmtId="165"/>
    <dataField name="Sum of TOTAL UNIT VALUE (BASIC FINISHED)" fld="44" baseField="0" baseItem="0" numFmtId="165"/>
    <dataField name="Sum of TOTAL UNIT VALUE (FULLY FINISHED)" fld="45" baseField="0" baseItem="0" numFmtId="165"/>
  </dataFields>
  <formats count="21">
    <format dxfId="228">
      <pivotArea outline="0" collapsedLevelsAreSubtotals="1" fieldPosition="0"/>
    </format>
    <format dxfId="227">
      <pivotArea dataOnly="0" labelOnly="1" outline="0" axis="axisValues" fieldPosition="0"/>
    </format>
    <format dxfId="226">
      <pivotArea outline="0" collapsedLevelsAreSubtotals="1" fieldPosition="0">
        <references count="1">
          <reference field="4294967294" count="1" selected="0">
            <x v="3"/>
          </reference>
        </references>
      </pivotArea>
    </format>
    <format dxfId="225">
      <pivotArea dataOnly="0" labelOnly="1" outline="0" fieldPosition="0">
        <references count="1">
          <reference field="4294967294" count="1">
            <x v="3"/>
          </reference>
        </references>
      </pivotArea>
    </format>
    <format dxfId="224">
      <pivotArea outline="0" collapsedLevelsAreSubtotals="1" fieldPosition="0">
        <references count="1">
          <reference field="4294967294" count="1" selected="0">
            <x v="4"/>
          </reference>
        </references>
      </pivotArea>
    </format>
    <format dxfId="223">
      <pivotArea dataOnly="0" labelOnly="1" outline="0" fieldPosition="0">
        <references count="1">
          <reference field="4294967294" count="1">
            <x v="4"/>
          </reference>
        </references>
      </pivotArea>
    </format>
    <format dxfId="222">
      <pivotArea type="all" dataOnly="0" outline="0" fieldPosition="0"/>
    </format>
    <format dxfId="221">
      <pivotArea outline="0" collapsedLevelsAreSubtotals="1" fieldPosition="0"/>
    </format>
    <format dxfId="220">
      <pivotArea field="6" type="button" dataOnly="0" labelOnly="1" outline="0" axis="axisRow" fieldPosition="0"/>
    </format>
    <format dxfId="219">
      <pivotArea dataOnly="0" labelOnly="1" fieldPosition="0">
        <references count="1">
          <reference field="6" count="7">
            <x v="289"/>
            <x v="351"/>
            <x v="372"/>
            <x v="473"/>
            <x v="482"/>
            <x v="605"/>
            <x v="644"/>
          </reference>
        </references>
      </pivotArea>
    </format>
    <format dxfId="218">
      <pivotArea dataOnly="0" labelOnly="1" grandRow="1" outline="0" fieldPosition="0"/>
    </format>
    <format dxfId="217">
      <pivotArea dataOnly="0" labelOnly="1" outline="0" fieldPosition="0">
        <references count="1">
          <reference field="4294967294" count="3">
            <x v="1"/>
            <x v="3"/>
            <x v="4"/>
          </reference>
        </references>
      </pivotArea>
    </format>
    <format dxfId="216">
      <pivotArea field="6" type="button" dataOnly="0" labelOnly="1" outline="0" axis="axisRow" fieldPosition="0"/>
    </format>
    <format dxfId="215">
      <pivotArea dataOnly="0" labelOnly="1" outline="0" fieldPosition="0">
        <references count="1">
          <reference field="4294967294" count="3">
            <x v="1"/>
            <x v="3"/>
            <x v="4"/>
          </reference>
        </references>
      </pivotArea>
    </format>
    <format dxfId="214">
      <pivotArea dataOnly="0" labelOnly="1" outline="0" fieldPosition="0">
        <references count="1">
          <reference field="4294967294" count="1">
            <x v="2"/>
          </reference>
        </references>
      </pivotArea>
    </format>
    <format dxfId="213">
      <pivotArea dataOnly="0" labelOnly="1" outline="0" fieldPosition="0">
        <references count="1">
          <reference field="4294967294" count="3">
            <x v="5"/>
            <x v="6"/>
            <x v="7"/>
          </reference>
        </references>
      </pivotArea>
    </format>
    <format dxfId="212">
      <pivotArea outline="0" collapsedLevelsAreSubtotals="1" fieldPosition="0">
        <references count="1">
          <reference field="4294967294" count="3" selected="0">
            <x v="5"/>
            <x v="6"/>
            <x v="7"/>
          </reference>
        </references>
      </pivotArea>
    </format>
    <format dxfId="211">
      <pivotArea dataOnly="0" labelOnly="1" outline="0" fieldPosition="0">
        <references count="1">
          <reference field="4294967294" count="1">
            <x v="0"/>
          </reference>
        </references>
      </pivotArea>
    </format>
    <format dxfId="210">
      <pivotArea collapsedLevelsAreSubtotals="1" fieldPosition="0">
        <references count="2">
          <reference field="4294967294" count="1" selected="0">
            <x v="0"/>
          </reference>
          <reference field="6" count="144">
            <x v="3"/>
            <x v="19"/>
            <x v="20"/>
            <x v="23"/>
            <x v="33"/>
            <x v="34"/>
            <x v="36"/>
            <x v="39"/>
            <x v="40"/>
            <x v="42"/>
            <x v="43"/>
            <x v="45"/>
            <x v="49"/>
            <x v="50"/>
            <x v="54"/>
            <x v="56"/>
            <x v="57"/>
            <x v="59"/>
            <x v="117"/>
            <x v="128"/>
            <x v="130"/>
            <x v="131"/>
            <x v="137"/>
            <x v="138"/>
            <x v="148"/>
            <x v="151"/>
            <x v="153"/>
            <x v="154"/>
            <x v="157"/>
            <x v="168"/>
            <x v="171"/>
            <x v="173"/>
            <x v="180"/>
            <x v="181"/>
            <x v="182"/>
            <x v="193"/>
            <x v="194"/>
            <x v="197"/>
            <x v="202"/>
            <x v="210"/>
            <x v="217"/>
            <x v="221"/>
            <x v="229"/>
            <x v="240"/>
            <x v="244"/>
            <x v="272"/>
            <x v="283"/>
            <x v="287"/>
            <x v="302"/>
            <x v="307"/>
            <x v="342"/>
            <x v="365"/>
            <x v="370"/>
            <x v="374"/>
            <x v="377"/>
            <x v="378"/>
            <x v="381"/>
            <x v="385"/>
            <x v="386"/>
            <x v="390"/>
            <x v="393"/>
            <x v="394"/>
            <x v="397"/>
            <x v="406"/>
            <x v="409"/>
            <x v="410"/>
            <x v="430"/>
            <x v="433"/>
            <x v="444"/>
            <x v="447"/>
            <x v="449"/>
            <x v="451"/>
            <x v="465"/>
            <x v="467"/>
            <x v="468"/>
            <x v="484"/>
            <x v="488"/>
            <x v="489"/>
            <x v="490"/>
            <x v="491"/>
            <x v="502"/>
            <x v="505"/>
            <x v="509"/>
            <x v="525"/>
            <x v="535"/>
            <x v="542"/>
            <x v="546"/>
            <x v="550"/>
            <x v="555"/>
            <x v="557"/>
            <x v="562"/>
            <x v="566"/>
            <x v="569"/>
            <x v="570"/>
            <x v="580"/>
            <x v="583"/>
            <x v="587"/>
            <x v="591"/>
            <x v="594"/>
            <x v="603"/>
            <x v="610"/>
            <x v="615"/>
            <x v="617"/>
            <x v="622"/>
            <x v="635"/>
            <x v="636"/>
            <x v="642"/>
            <x v="651"/>
            <x v="656"/>
            <x v="662"/>
            <x v="671"/>
            <x v="672"/>
            <x v="678"/>
            <x v="682"/>
            <x v="685"/>
            <x v="689"/>
            <x v="690"/>
            <x v="703"/>
            <x v="709"/>
            <x v="710"/>
            <x v="719"/>
            <x v="723"/>
            <x v="727"/>
            <x v="734"/>
            <x v="739"/>
            <x v="753"/>
            <x v="760"/>
            <x v="763"/>
            <x v="764"/>
            <x v="769"/>
            <x v="770"/>
            <x v="776"/>
            <x v="779"/>
            <x v="780"/>
            <x v="784"/>
            <x v="788"/>
            <x v="790"/>
            <x v="796"/>
            <x v="814"/>
            <x v="815"/>
            <x v="821"/>
            <x v="822"/>
            <x v="850"/>
            <x v="851"/>
          </reference>
        </references>
      </pivotArea>
    </format>
    <format dxfId="209">
      <pivotArea field="6" grandRow="1" outline="0" collapsedLevelsAreSubtotals="1" axis="axisRow" fieldPosition="0">
        <references count="1">
          <reference field="4294967294" count="1" selected="0">
            <x v="0"/>
          </reference>
        </references>
      </pivotArea>
    </format>
    <format dxfId="208">
      <pivotArea field="6" grandRow="1" outline="0" collapsedLevelsAreSubtotals="1" axis="axisRow"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75BE7138-7719-4750-9D05-E98903A1DDBA}"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I80" firstHeaderRow="0" firstDataRow="1" firstDataCol="1"/>
  <pivotFields count="48">
    <pivotField showAll="0"/>
    <pivotField showAll="0"/>
    <pivotField showAll="0"/>
    <pivotField showAll="0"/>
    <pivotField numFmtId="1" showAll="0"/>
    <pivotField numFmtId="1" showAll="0"/>
    <pivotField axis="axisRow" showAll="0">
      <items count="8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352"/>
        <item x="353"/>
        <item x="354"/>
        <item x="355"/>
        <item x="176"/>
        <item x="356"/>
        <item x="357"/>
        <item x="177"/>
        <item x="358"/>
        <item x="359"/>
        <item x="360"/>
        <item x="361"/>
        <item x="178"/>
        <item x="362"/>
        <item x="363"/>
        <item x="364"/>
        <item x="365"/>
        <item x="179"/>
        <item x="366"/>
        <item x="367"/>
        <item x="368"/>
        <item x="369"/>
        <item x="370"/>
        <item x="371"/>
        <item x="372"/>
        <item x="373"/>
        <item x="180"/>
        <item x="374"/>
        <item x="375"/>
        <item x="376"/>
        <item x="377"/>
        <item x="181"/>
        <item x="378"/>
        <item x="379"/>
        <item x="380"/>
        <item x="381"/>
        <item x="182"/>
        <item x="382"/>
        <item x="383"/>
        <item x="384"/>
        <item x="385"/>
        <item x="183"/>
        <item x="386"/>
        <item x="387"/>
        <item x="388"/>
        <item x="389"/>
        <item x="390"/>
        <item x="391"/>
        <item x="392"/>
        <item x="393"/>
        <item x="184"/>
        <item x="394"/>
        <item x="395"/>
        <item x="396"/>
        <item x="397"/>
        <item x="185"/>
        <item x="398"/>
        <item x="399"/>
        <item x="400"/>
        <item x="401"/>
        <item x="186"/>
        <item x="402"/>
        <item x="403"/>
        <item x="404"/>
        <item x="405"/>
        <item x="187"/>
        <item x="406"/>
        <item x="407"/>
        <item x="408"/>
        <item x="409"/>
        <item x="410"/>
        <item x="411"/>
        <item x="412"/>
        <item x="413"/>
        <item x="188"/>
        <item x="414"/>
        <item x="415"/>
        <item x="189"/>
        <item x="416"/>
        <item x="417"/>
        <item x="418"/>
        <item x="419"/>
        <item x="190"/>
        <item x="420"/>
        <item x="421"/>
        <item x="422"/>
        <item x="423"/>
        <item x="191"/>
        <item x="424"/>
        <item x="425"/>
        <item x="426"/>
        <item x="427"/>
        <item x="428"/>
        <item x="429"/>
        <item x="430"/>
        <item x="431"/>
        <item x="192"/>
        <item x="432"/>
        <item x="433"/>
        <item x="434"/>
        <item x="435"/>
        <item x="193"/>
        <item x="436"/>
        <item x="437"/>
        <item x="438"/>
        <item x="439"/>
        <item x="194"/>
        <item x="440"/>
        <item x="441"/>
        <item x="442"/>
        <item x="443"/>
        <item x="195"/>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showAll="0"/>
    <pivotField showAll="0"/>
    <pivotField showAll="0"/>
    <pivotField numFmtId="2" showAll="0"/>
    <pivotField dataField="1" numFmtId="2" showAll="0"/>
    <pivotField dataField="1" showAll="0"/>
    <pivotField showAll="0"/>
    <pivotField showAll="0"/>
    <pivotField showAll="0"/>
    <pivotField showAll="0"/>
    <pivotField showAll="0"/>
    <pivotField showAll="0">
      <items count="7">
        <item x="2"/>
        <item x="1"/>
        <item x="0"/>
        <item x="4"/>
        <item x="3"/>
        <item x="5"/>
        <item t="default"/>
      </items>
    </pivotField>
    <pivotField numFmtId="164" showAll="0"/>
    <pivotField numFmtId="164" showAll="0"/>
    <pivotField numFmtId="164" showAll="0"/>
    <pivotField numFmtId="164" showAll="0"/>
    <pivotField numFmtId="164" showAll="0"/>
    <pivotField numFmtId="10" showAll="0"/>
    <pivotField showAll="0">
      <items count="5">
        <item x="2"/>
        <item x="1"/>
        <item x="0"/>
        <item x="3"/>
        <item t="default"/>
      </items>
    </pivotField>
    <pivotField showAll="0">
      <items count="14">
        <item h="1" x="3"/>
        <item h="1" x="8"/>
        <item h="1" x="9"/>
        <item h="1" x="7"/>
        <item h="1" x="0"/>
        <item h="1" x="6"/>
        <item h="1" x="2"/>
        <item x="5"/>
        <item h="1" x="1"/>
        <item h="1" x="12"/>
        <item h="1" x="4"/>
        <item h="1" x="10"/>
        <item h="1" x="11"/>
        <item t="default"/>
      </items>
    </pivotField>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numFmtId="1" showAll="0"/>
    <pivotField showAll="0"/>
    <pivotField showAll="0"/>
    <pivotField dataField="1" showAll="0"/>
    <pivotField dataField="1" numFmtId="165" showAll="0"/>
    <pivotField dataField="1" numFmtId="165" showAll="0"/>
    <pivotField numFmtId="168" showAll="0"/>
    <pivotField numFmtId="168" showAll="0"/>
  </pivotFields>
  <rowFields count="1">
    <field x="6"/>
  </rowFields>
  <rowItems count="62">
    <i>
      <x v="6"/>
    </i>
    <i>
      <x v="11"/>
    </i>
    <i>
      <x v="18"/>
    </i>
    <i>
      <x v="25"/>
    </i>
    <i>
      <x v="26"/>
    </i>
    <i>
      <x v="37"/>
    </i>
    <i>
      <x v="38"/>
    </i>
    <i>
      <x v="51"/>
    </i>
    <i>
      <x v="121"/>
    </i>
    <i>
      <x v="166"/>
    </i>
    <i>
      <x v="176"/>
    </i>
    <i>
      <x v="177"/>
    </i>
    <i>
      <x v="178"/>
    </i>
    <i>
      <x v="189"/>
    </i>
    <i>
      <x v="190"/>
    </i>
    <i>
      <x v="191"/>
    </i>
    <i>
      <x v="192"/>
    </i>
    <i>
      <x v="251"/>
    </i>
    <i>
      <x v="293"/>
    </i>
    <i>
      <x v="295"/>
    </i>
    <i>
      <x v="308"/>
    </i>
    <i>
      <x v="316"/>
    </i>
    <i>
      <x v="326"/>
    </i>
    <i>
      <x v="327"/>
    </i>
    <i>
      <x v="329"/>
    </i>
    <i>
      <x v="332"/>
    </i>
    <i>
      <x v="349"/>
    </i>
    <i>
      <x v="352"/>
    </i>
    <i>
      <x v="355"/>
    </i>
    <i>
      <x v="371"/>
    </i>
    <i>
      <x v="376"/>
    </i>
    <i>
      <x v="398"/>
    </i>
    <i>
      <x v="436"/>
    </i>
    <i>
      <x v="457"/>
    </i>
    <i>
      <x v="476"/>
    </i>
    <i>
      <x v="494"/>
    </i>
    <i>
      <x v="497"/>
    </i>
    <i>
      <x v="511"/>
    </i>
    <i>
      <x v="517"/>
    </i>
    <i>
      <x v="568"/>
    </i>
    <i>
      <x v="577"/>
    </i>
    <i>
      <x v="578"/>
    </i>
    <i>
      <x v="589"/>
    </i>
    <i>
      <x v="609"/>
    </i>
    <i>
      <x v="628"/>
    </i>
    <i>
      <x v="639"/>
    </i>
    <i>
      <x v="640"/>
    </i>
    <i>
      <x v="648"/>
    </i>
    <i>
      <x v="676"/>
    </i>
    <i>
      <x v="688"/>
    </i>
    <i>
      <x v="713"/>
    </i>
    <i>
      <x v="735"/>
    </i>
    <i>
      <x v="736"/>
    </i>
    <i>
      <x v="774"/>
    </i>
    <i>
      <x v="806"/>
    </i>
    <i>
      <x v="816"/>
    </i>
    <i>
      <x v="824"/>
    </i>
    <i>
      <x v="834"/>
    </i>
    <i>
      <x v="837"/>
    </i>
    <i>
      <x v="843"/>
    </i>
    <i>
      <x v="857"/>
    </i>
    <i t="grand">
      <x/>
    </i>
  </rowItems>
  <colFields count="1">
    <field x="-2"/>
  </colFields>
  <colItems count="8">
    <i>
      <x/>
    </i>
    <i i="1">
      <x v="1"/>
    </i>
    <i i="2">
      <x v="2"/>
    </i>
    <i i="3">
      <x v="3"/>
    </i>
    <i i="4">
      <x v="4"/>
    </i>
    <i i="5">
      <x v="5"/>
    </i>
    <i i="6">
      <x v="6"/>
    </i>
    <i i="7">
      <x v="7"/>
    </i>
  </colItems>
  <dataFields count="8">
    <dataField name="Sum of UNIT (BUILDING) RATE (SEMI FINISHED)" fld="31" baseField="0" baseItem="0"/>
    <dataField name="Sum of Unit Selling Area" fld="11" baseField="0" baseItem="0" numFmtId="1"/>
    <dataField name="Sum of Private Garden Area" fld="12" baseField="0" baseItem="0"/>
    <dataField name="Sum of UNIT (GARDEN) VALUE" fld="38" baseField="7" baseItem="481" numFmtId="165"/>
    <dataField name="Sum of MAINTENANCE VALUE" fld="39" baseField="7" baseItem="293" numFmtId="165"/>
    <dataField name="Sum of TOTAL UNIT VALUE (SEMI FINISHED)" fld="43" baseField="0" baseItem="0" numFmtId="165"/>
    <dataField name="Sum of TOTAL UNIT VALUE (BASIC FINISHED)" fld="44" baseField="0" baseItem="0" numFmtId="165"/>
    <dataField name="Sum of TOTAL UNIT VALUE (FULLY FINISHED)" fld="45" baseField="0" baseItem="0" numFmtId="165"/>
  </dataFields>
  <formats count="21">
    <format dxfId="207">
      <pivotArea outline="0" collapsedLevelsAreSubtotals="1" fieldPosition="0"/>
    </format>
    <format dxfId="206">
      <pivotArea dataOnly="0" labelOnly="1" outline="0" axis="axisValues" fieldPosition="0"/>
    </format>
    <format dxfId="205">
      <pivotArea outline="0" collapsedLevelsAreSubtotals="1" fieldPosition="0">
        <references count="1">
          <reference field="4294967294" count="1" selected="0">
            <x v="3"/>
          </reference>
        </references>
      </pivotArea>
    </format>
    <format dxfId="204">
      <pivotArea dataOnly="0" labelOnly="1" outline="0" fieldPosition="0">
        <references count="1">
          <reference field="4294967294" count="1">
            <x v="3"/>
          </reference>
        </references>
      </pivotArea>
    </format>
    <format dxfId="203">
      <pivotArea outline="0" collapsedLevelsAreSubtotals="1" fieldPosition="0">
        <references count="1">
          <reference field="4294967294" count="1" selected="0">
            <x v="4"/>
          </reference>
        </references>
      </pivotArea>
    </format>
    <format dxfId="202">
      <pivotArea dataOnly="0" labelOnly="1" outline="0" fieldPosition="0">
        <references count="1">
          <reference field="4294967294" count="1">
            <x v="4"/>
          </reference>
        </references>
      </pivotArea>
    </format>
    <format dxfId="201">
      <pivotArea type="all" dataOnly="0" outline="0" fieldPosition="0"/>
    </format>
    <format dxfId="200">
      <pivotArea outline="0" collapsedLevelsAreSubtotals="1" fieldPosition="0"/>
    </format>
    <format dxfId="199">
      <pivotArea field="6" type="button" dataOnly="0" labelOnly="1" outline="0" axis="axisRow" fieldPosition="0"/>
    </format>
    <format dxfId="198">
      <pivotArea dataOnly="0" labelOnly="1" fieldPosition="0">
        <references count="1">
          <reference field="6" count="7">
            <x v="289"/>
            <x v="351"/>
            <x v="372"/>
            <x v="473"/>
            <x v="482"/>
            <x v="605"/>
            <x v="644"/>
          </reference>
        </references>
      </pivotArea>
    </format>
    <format dxfId="197">
      <pivotArea dataOnly="0" labelOnly="1" grandRow="1" outline="0" fieldPosition="0"/>
    </format>
    <format dxfId="196">
      <pivotArea dataOnly="0" labelOnly="1" outline="0" fieldPosition="0">
        <references count="1">
          <reference field="4294967294" count="3">
            <x v="1"/>
            <x v="3"/>
            <x v="4"/>
          </reference>
        </references>
      </pivotArea>
    </format>
    <format dxfId="195">
      <pivotArea field="6" type="button" dataOnly="0" labelOnly="1" outline="0" axis="axisRow" fieldPosition="0"/>
    </format>
    <format dxfId="194">
      <pivotArea dataOnly="0" labelOnly="1" outline="0" fieldPosition="0">
        <references count="1">
          <reference field="4294967294" count="3">
            <x v="1"/>
            <x v="3"/>
            <x v="4"/>
          </reference>
        </references>
      </pivotArea>
    </format>
    <format dxfId="193">
      <pivotArea dataOnly="0" labelOnly="1" outline="0" fieldPosition="0">
        <references count="1">
          <reference field="4294967294" count="1">
            <x v="2"/>
          </reference>
        </references>
      </pivotArea>
    </format>
    <format dxfId="192">
      <pivotArea dataOnly="0" labelOnly="1" outline="0" fieldPosition="0">
        <references count="1">
          <reference field="4294967294" count="3">
            <x v="5"/>
            <x v="6"/>
            <x v="7"/>
          </reference>
        </references>
      </pivotArea>
    </format>
    <format dxfId="191">
      <pivotArea outline="0" collapsedLevelsAreSubtotals="1" fieldPosition="0">
        <references count="1">
          <reference field="4294967294" count="3" selected="0">
            <x v="5"/>
            <x v="6"/>
            <x v="7"/>
          </reference>
        </references>
      </pivotArea>
    </format>
    <format dxfId="190">
      <pivotArea dataOnly="0" labelOnly="1" outline="0" fieldPosition="0">
        <references count="1">
          <reference field="4294967294" count="1">
            <x v="0"/>
          </reference>
        </references>
      </pivotArea>
    </format>
    <format dxfId="189">
      <pivotArea collapsedLevelsAreSubtotals="1" fieldPosition="0">
        <references count="2">
          <reference field="4294967294" count="1" selected="0">
            <x v="0"/>
          </reference>
          <reference field="6" count="144">
            <x v="3"/>
            <x v="19"/>
            <x v="20"/>
            <x v="23"/>
            <x v="33"/>
            <x v="34"/>
            <x v="36"/>
            <x v="39"/>
            <x v="40"/>
            <x v="42"/>
            <x v="43"/>
            <x v="45"/>
            <x v="49"/>
            <x v="50"/>
            <x v="54"/>
            <x v="56"/>
            <x v="57"/>
            <x v="59"/>
            <x v="117"/>
            <x v="128"/>
            <x v="130"/>
            <x v="131"/>
            <x v="137"/>
            <x v="138"/>
            <x v="148"/>
            <x v="151"/>
            <x v="153"/>
            <x v="154"/>
            <x v="157"/>
            <x v="168"/>
            <x v="171"/>
            <x v="173"/>
            <x v="180"/>
            <x v="181"/>
            <x v="182"/>
            <x v="193"/>
            <x v="194"/>
            <x v="197"/>
            <x v="202"/>
            <x v="210"/>
            <x v="217"/>
            <x v="221"/>
            <x v="229"/>
            <x v="240"/>
            <x v="244"/>
            <x v="272"/>
            <x v="283"/>
            <x v="287"/>
            <x v="302"/>
            <x v="307"/>
            <x v="342"/>
            <x v="365"/>
            <x v="370"/>
            <x v="374"/>
            <x v="377"/>
            <x v="378"/>
            <x v="381"/>
            <x v="385"/>
            <x v="386"/>
            <x v="390"/>
            <x v="393"/>
            <x v="394"/>
            <x v="397"/>
            <x v="406"/>
            <x v="409"/>
            <x v="410"/>
            <x v="430"/>
            <x v="433"/>
            <x v="444"/>
            <x v="447"/>
            <x v="449"/>
            <x v="451"/>
            <x v="465"/>
            <x v="467"/>
            <x v="468"/>
            <x v="484"/>
            <x v="488"/>
            <x v="489"/>
            <x v="490"/>
            <x v="491"/>
            <x v="502"/>
            <x v="505"/>
            <x v="509"/>
            <x v="525"/>
            <x v="535"/>
            <x v="542"/>
            <x v="546"/>
            <x v="550"/>
            <x v="555"/>
            <x v="557"/>
            <x v="562"/>
            <x v="566"/>
            <x v="569"/>
            <x v="570"/>
            <x v="580"/>
            <x v="583"/>
            <x v="587"/>
            <x v="591"/>
            <x v="594"/>
            <x v="603"/>
            <x v="610"/>
            <x v="615"/>
            <x v="617"/>
            <x v="622"/>
            <x v="635"/>
            <x v="636"/>
            <x v="642"/>
            <x v="651"/>
            <x v="656"/>
            <x v="662"/>
            <x v="671"/>
            <x v="672"/>
            <x v="678"/>
            <x v="682"/>
            <x v="685"/>
            <x v="689"/>
            <x v="690"/>
            <x v="703"/>
            <x v="709"/>
            <x v="710"/>
            <x v="719"/>
            <x v="723"/>
            <x v="727"/>
            <x v="734"/>
            <x v="739"/>
            <x v="753"/>
            <x v="760"/>
            <x v="763"/>
            <x v="764"/>
            <x v="769"/>
            <x v="770"/>
            <x v="776"/>
            <x v="779"/>
            <x v="780"/>
            <x v="784"/>
            <x v="788"/>
            <x v="790"/>
            <x v="796"/>
            <x v="814"/>
            <x v="815"/>
            <x v="821"/>
            <x v="822"/>
            <x v="850"/>
            <x v="851"/>
          </reference>
        </references>
      </pivotArea>
    </format>
    <format dxfId="188">
      <pivotArea field="6" grandRow="1" outline="0" collapsedLevelsAreSubtotals="1" axis="axisRow" fieldPosition="0">
        <references count="1">
          <reference field="4294967294" count="1" selected="0">
            <x v="0"/>
          </reference>
        </references>
      </pivotArea>
    </format>
    <format dxfId="187">
      <pivotArea field="6" grandRow="1" outline="0" collapsedLevelsAreSubtotals="1" axis="axisRow"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2DB68CCE-30F1-48D6-86C9-EED1526980E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I73" firstHeaderRow="0" firstDataRow="1" firstDataCol="1"/>
  <pivotFields count="48">
    <pivotField showAll="0"/>
    <pivotField showAll="0"/>
    <pivotField showAll="0"/>
    <pivotField showAll="0"/>
    <pivotField numFmtId="1" showAll="0"/>
    <pivotField numFmtId="1" showAll="0"/>
    <pivotField axis="axisRow" showAll="0">
      <items count="8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352"/>
        <item x="353"/>
        <item x="354"/>
        <item x="355"/>
        <item x="176"/>
        <item x="356"/>
        <item x="357"/>
        <item x="177"/>
        <item x="358"/>
        <item x="359"/>
        <item x="360"/>
        <item x="361"/>
        <item x="178"/>
        <item x="362"/>
        <item x="363"/>
        <item x="364"/>
        <item x="365"/>
        <item x="179"/>
        <item x="366"/>
        <item x="367"/>
        <item x="368"/>
        <item x="369"/>
        <item x="370"/>
        <item x="371"/>
        <item x="372"/>
        <item x="373"/>
        <item x="180"/>
        <item x="374"/>
        <item x="375"/>
        <item x="376"/>
        <item x="377"/>
        <item x="181"/>
        <item x="378"/>
        <item x="379"/>
        <item x="380"/>
        <item x="381"/>
        <item x="182"/>
        <item x="382"/>
        <item x="383"/>
        <item x="384"/>
        <item x="385"/>
        <item x="183"/>
        <item x="386"/>
        <item x="387"/>
        <item x="388"/>
        <item x="389"/>
        <item x="390"/>
        <item x="391"/>
        <item x="392"/>
        <item x="393"/>
        <item x="184"/>
        <item x="394"/>
        <item x="395"/>
        <item x="396"/>
        <item x="397"/>
        <item x="185"/>
        <item x="398"/>
        <item x="399"/>
        <item x="400"/>
        <item x="401"/>
        <item x="186"/>
        <item x="402"/>
        <item x="403"/>
        <item x="404"/>
        <item x="405"/>
        <item x="187"/>
        <item x="406"/>
        <item x="407"/>
        <item x="408"/>
        <item x="409"/>
        <item x="410"/>
        <item x="411"/>
        <item x="412"/>
        <item x="413"/>
        <item x="188"/>
        <item x="414"/>
        <item x="415"/>
        <item x="189"/>
        <item x="416"/>
        <item x="417"/>
        <item x="418"/>
        <item x="419"/>
        <item x="190"/>
        <item x="420"/>
        <item x="421"/>
        <item x="422"/>
        <item x="423"/>
        <item x="191"/>
        <item x="424"/>
        <item x="425"/>
        <item x="426"/>
        <item x="427"/>
        <item x="428"/>
        <item x="429"/>
        <item x="430"/>
        <item x="431"/>
        <item x="192"/>
        <item x="432"/>
        <item x="433"/>
        <item x="434"/>
        <item x="435"/>
        <item x="193"/>
        <item x="436"/>
        <item x="437"/>
        <item x="438"/>
        <item x="439"/>
        <item x="194"/>
        <item x="440"/>
        <item x="441"/>
        <item x="442"/>
        <item x="443"/>
        <item x="195"/>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showAll="0"/>
    <pivotField showAll="0"/>
    <pivotField showAll="0"/>
    <pivotField numFmtId="2" showAll="0"/>
    <pivotField dataField="1" numFmtId="2" showAll="0"/>
    <pivotField dataField="1" showAll="0"/>
    <pivotField showAll="0"/>
    <pivotField showAll="0"/>
    <pivotField showAll="0"/>
    <pivotField showAll="0"/>
    <pivotField showAll="0"/>
    <pivotField showAll="0">
      <items count="7">
        <item x="2"/>
        <item x="1"/>
        <item x="0"/>
        <item x="4"/>
        <item x="3"/>
        <item x="5"/>
        <item t="default"/>
      </items>
    </pivotField>
    <pivotField numFmtId="164" showAll="0"/>
    <pivotField numFmtId="164" showAll="0"/>
    <pivotField numFmtId="164" showAll="0"/>
    <pivotField numFmtId="164" showAll="0"/>
    <pivotField numFmtId="164" showAll="0"/>
    <pivotField numFmtId="10" showAll="0"/>
    <pivotField showAll="0">
      <items count="5">
        <item x="2"/>
        <item x="1"/>
        <item x="0"/>
        <item x="3"/>
        <item t="default"/>
      </items>
    </pivotField>
    <pivotField showAll="0">
      <items count="14">
        <item h="1" x="3"/>
        <item h="1" x="8"/>
        <item h="1" x="9"/>
        <item h="1" x="7"/>
        <item h="1" x="0"/>
        <item h="1" x="6"/>
        <item h="1" x="2"/>
        <item h="1" x="5"/>
        <item x="1"/>
        <item h="1" x="12"/>
        <item h="1" x="4"/>
        <item h="1" x="10"/>
        <item h="1" x="11"/>
        <item t="default"/>
      </items>
    </pivotField>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numFmtId="1" showAll="0"/>
    <pivotField showAll="0"/>
    <pivotField showAll="0"/>
    <pivotField dataField="1" showAll="0"/>
    <pivotField dataField="1" numFmtId="165" showAll="0"/>
    <pivotField dataField="1" numFmtId="165" showAll="0"/>
    <pivotField numFmtId="168" showAll="0"/>
    <pivotField numFmtId="168" showAll="0"/>
  </pivotFields>
  <rowFields count="1">
    <field x="6"/>
  </rowFields>
  <rowItems count="55">
    <i>
      <x v="1"/>
    </i>
    <i>
      <x v="17"/>
    </i>
    <i>
      <x v="28"/>
    </i>
    <i>
      <x v="31"/>
    </i>
    <i>
      <x v="48"/>
    </i>
    <i>
      <x v="119"/>
    </i>
    <i>
      <x v="136"/>
    </i>
    <i>
      <x v="149"/>
    </i>
    <i>
      <x v="150"/>
    </i>
    <i>
      <x v="169"/>
    </i>
    <i>
      <x v="179"/>
    </i>
    <i>
      <x v="213"/>
    </i>
    <i>
      <x v="214"/>
    </i>
    <i>
      <x v="216"/>
    </i>
    <i>
      <x v="225"/>
    </i>
    <i>
      <x v="238"/>
    </i>
    <i>
      <x v="250"/>
    </i>
    <i>
      <x v="268"/>
    </i>
    <i>
      <x v="285"/>
    </i>
    <i>
      <x v="309"/>
    </i>
    <i>
      <x v="328"/>
    </i>
    <i>
      <x v="330"/>
    </i>
    <i>
      <x v="348"/>
    </i>
    <i>
      <x v="353"/>
    </i>
    <i>
      <x v="368"/>
    </i>
    <i>
      <x v="387"/>
    </i>
    <i>
      <x v="405"/>
    </i>
    <i>
      <x v="418"/>
    </i>
    <i>
      <x v="431"/>
    </i>
    <i>
      <x v="432"/>
    </i>
    <i>
      <x v="439"/>
    </i>
    <i>
      <x v="459"/>
    </i>
    <i>
      <x v="470"/>
    </i>
    <i>
      <x v="538"/>
    </i>
    <i>
      <x v="540"/>
    </i>
    <i>
      <x v="541"/>
    </i>
    <i>
      <x v="558"/>
    </i>
    <i>
      <x v="567"/>
    </i>
    <i>
      <x v="599"/>
    </i>
    <i>
      <x v="643"/>
    </i>
    <i>
      <x v="654"/>
    </i>
    <i>
      <x v="663"/>
    </i>
    <i>
      <x v="670"/>
    </i>
    <i>
      <x v="691"/>
    </i>
    <i>
      <x v="697"/>
    </i>
    <i>
      <x v="702"/>
    </i>
    <i>
      <x v="711"/>
    </i>
    <i>
      <x v="726"/>
    </i>
    <i>
      <x v="745"/>
    </i>
    <i>
      <x v="756"/>
    </i>
    <i>
      <x v="761"/>
    </i>
    <i>
      <x v="782"/>
    </i>
    <i>
      <x v="803"/>
    </i>
    <i>
      <x v="838"/>
    </i>
    <i t="grand">
      <x/>
    </i>
  </rowItems>
  <colFields count="1">
    <field x="-2"/>
  </colFields>
  <colItems count="8">
    <i>
      <x/>
    </i>
    <i i="1">
      <x v="1"/>
    </i>
    <i i="2">
      <x v="2"/>
    </i>
    <i i="3">
      <x v="3"/>
    </i>
    <i i="4">
      <x v="4"/>
    </i>
    <i i="5">
      <x v="5"/>
    </i>
    <i i="6">
      <x v="6"/>
    </i>
    <i i="7">
      <x v="7"/>
    </i>
  </colItems>
  <dataFields count="8">
    <dataField name="Sum of UNIT (BUILDING) RATE (SEMI FINISHED)" fld="31" baseField="0" baseItem="0"/>
    <dataField name="Sum of Unit Selling Area" fld="11" baseField="0" baseItem="0" numFmtId="1"/>
    <dataField name="Sum of Private Garden Area" fld="12" baseField="0" baseItem="0"/>
    <dataField name="Sum of UNIT (GARDEN) VALUE" fld="38" baseField="7" baseItem="481" numFmtId="165"/>
    <dataField name="Sum of MAINTENANCE VALUE" fld="39" baseField="7" baseItem="293" numFmtId="165"/>
    <dataField name="Sum of TOTAL UNIT VALUE (SEMI FINISHED)" fld="43" baseField="0" baseItem="0" numFmtId="165"/>
    <dataField name="Sum of TOTAL UNIT VALUE (BASIC FINISHED)" fld="44" baseField="0" baseItem="0" numFmtId="165"/>
    <dataField name="Sum of TOTAL UNIT VALUE (FULLY FINISHED)" fld="45" baseField="0" baseItem="0" numFmtId="165"/>
  </dataFields>
  <formats count="21">
    <format dxfId="186">
      <pivotArea outline="0" collapsedLevelsAreSubtotals="1" fieldPosition="0"/>
    </format>
    <format dxfId="185">
      <pivotArea dataOnly="0" labelOnly="1" outline="0" axis="axisValues" fieldPosition="0"/>
    </format>
    <format dxfId="184">
      <pivotArea outline="0" collapsedLevelsAreSubtotals="1" fieldPosition="0">
        <references count="1">
          <reference field="4294967294" count="1" selected="0">
            <x v="3"/>
          </reference>
        </references>
      </pivotArea>
    </format>
    <format dxfId="183">
      <pivotArea dataOnly="0" labelOnly="1" outline="0" fieldPosition="0">
        <references count="1">
          <reference field="4294967294" count="1">
            <x v="3"/>
          </reference>
        </references>
      </pivotArea>
    </format>
    <format dxfId="182">
      <pivotArea outline="0" collapsedLevelsAreSubtotals="1" fieldPosition="0">
        <references count="1">
          <reference field="4294967294" count="1" selected="0">
            <x v="4"/>
          </reference>
        </references>
      </pivotArea>
    </format>
    <format dxfId="181">
      <pivotArea dataOnly="0" labelOnly="1" outline="0" fieldPosition="0">
        <references count="1">
          <reference field="4294967294" count="1">
            <x v="4"/>
          </reference>
        </references>
      </pivotArea>
    </format>
    <format dxfId="180">
      <pivotArea type="all" dataOnly="0" outline="0" fieldPosition="0"/>
    </format>
    <format dxfId="179">
      <pivotArea outline="0" collapsedLevelsAreSubtotals="1" fieldPosition="0"/>
    </format>
    <format dxfId="178">
      <pivotArea field="6" type="button" dataOnly="0" labelOnly="1" outline="0" axis="axisRow" fieldPosition="0"/>
    </format>
    <format dxfId="177">
      <pivotArea dataOnly="0" labelOnly="1" fieldPosition="0">
        <references count="1">
          <reference field="6" count="7">
            <x v="289"/>
            <x v="351"/>
            <x v="372"/>
            <x v="473"/>
            <x v="482"/>
            <x v="605"/>
            <x v="644"/>
          </reference>
        </references>
      </pivotArea>
    </format>
    <format dxfId="176">
      <pivotArea dataOnly="0" labelOnly="1" grandRow="1" outline="0" fieldPosition="0"/>
    </format>
    <format dxfId="175">
      <pivotArea dataOnly="0" labelOnly="1" outline="0" fieldPosition="0">
        <references count="1">
          <reference field="4294967294" count="3">
            <x v="1"/>
            <x v="3"/>
            <x v="4"/>
          </reference>
        </references>
      </pivotArea>
    </format>
    <format dxfId="174">
      <pivotArea field="6" type="button" dataOnly="0" labelOnly="1" outline="0" axis="axisRow" fieldPosition="0"/>
    </format>
    <format dxfId="173">
      <pivotArea dataOnly="0" labelOnly="1" outline="0" fieldPosition="0">
        <references count="1">
          <reference field="4294967294" count="3">
            <x v="1"/>
            <x v="3"/>
            <x v="4"/>
          </reference>
        </references>
      </pivotArea>
    </format>
    <format dxfId="172">
      <pivotArea dataOnly="0" labelOnly="1" outline="0" fieldPosition="0">
        <references count="1">
          <reference field="4294967294" count="1">
            <x v="2"/>
          </reference>
        </references>
      </pivotArea>
    </format>
    <format dxfId="171">
      <pivotArea dataOnly="0" labelOnly="1" outline="0" fieldPosition="0">
        <references count="1">
          <reference field="4294967294" count="3">
            <x v="5"/>
            <x v="6"/>
            <x v="7"/>
          </reference>
        </references>
      </pivotArea>
    </format>
    <format dxfId="170">
      <pivotArea outline="0" collapsedLevelsAreSubtotals="1" fieldPosition="0">
        <references count="1">
          <reference field="4294967294" count="3" selected="0">
            <x v="5"/>
            <x v="6"/>
            <x v="7"/>
          </reference>
        </references>
      </pivotArea>
    </format>
    <format dxfId="169">
      <pivotArea dataOnly="0" labelOnly="1" outline="0" fieldPosition="0">
        <references count="1">
          <reference field="4294967294" count="1">
            <x v="0"/>
          </reference>
        </references>
      </pivotArea>
    </format>
    <format dxfId="168">
      <pivotArea collapsedLevelsAreSubtotals="1" fieldPosition="0">
        <references count="2">
          <reference field="4294967294" count="1" selected="0">
            <x v="0"/>
          </reference>
          <reference field="6" count="144">
            <x v="3"/>
            <x v="19"/>
            <x v="20"/>
            <x v="23"/>
            <x v="33"/>
            <x v="34"/>
            <x v="36"/>
            <x v="39"/>
            <x v="40"/>
            <x v="42"/>
            <x v="43"/>
            <x v="45"/>
            <x v="49"/>
            <x v="50"/>
            <x v="54"/>
            <x v="56"/>
            <x v="57"/>
            <x v="59"/>
            <x v="117"/>
            <x v="128"/>
            <x v="130"/>
            <x v="131"/>
            <x v="137"/>
            <x v="138"/>
            <x v="148"/>
            <x v="151"/>
            <x v="153"/>
            <x v="154"/>
            <x v="157"/>
            <x v="168"/>
            <x v="171"/>
            <x v="173"/>
            <x v="180"/>
            <x v="181"/>
            <x v="182"/>
            <x v="193"/>
            <x v="194"/>
            <x v="197"/>
            <x v="202"/>
            <x v="210"/>
            <x v="217"/>
            <x v="221"/>
            <x v="229"/>
            <x v="240"/>
            <x v="244"/>
            <x v="272"/>
            <x v="283"/>
            <x v="287"/>
            <x v="302"/>
            <x v="307"/>
            <x v="342"/>
            <x v="365"/>
            <x v="370"/>
            <x v="374"/>
            <x v="377"/>
            <x v="378"/>
            <x v="381"/>
            <x v="385"/>
            <x v="386"/>
            <x v="390"/>
            <x v="393"/>
            <x v="394"/>
            <x v="397"/>
            <x v="406"/>
            <x v="409"/>
            <x v="410"/>
            <x v="430"/>
            <x v="433"/>
            <x v="444"/>
            <x v="447"/>
            <x v="449"/>
            <x v="451"/>
            <x v="465"/>
            <x v="467"/>
            <x v="468"/>
            <x v="484"/>
            <x v="488"/>
            <x v="489"/>
            <x v="490"/>
            <x v="491"/>
            <x v="502"/>
            <x v="505"/>
            <x v="509"/>
            <x v="525"/>
            <x v="535"/>
            <x v="542"/>
            <x v="546"/>
            <x v="550"/>
            <x v="555"/>
            <x v="557"/>
            <x v="562"/>
            <x v="566"/>
            <x v="569"/>
            <x v="570"/>
            <x v="580"/>
            <x v="583"/>
            <x v="587"/>
            <x v="591"/>
            <x v="594"/>
            <x v="603"/>
            <x v="610"/>
            <x v="615"/>
            <x v="617"/>
            <x v="622"/>
            <x v="635"/>
            <x v="636"/>
            <x v="642"/>
            <x v="651"/>
            <x v="656"/>
            <x v="662"/>
            <x v="671"/>
            <x v="672"/>
            <x v="678"/>
            <x v="682"/>
            <x v="685"/>
            <x v="689"/>
            <x v="690"/>
            <x v="703"/>
            <x v="709"/>
            <x v="710"/>
            <x v="719"/>
            <x v="723"/>
            <x v="727"/>
            <x v="734"/>
            <x v="739"/>
            <x v="753"/>
            <x v="760"/>
            <x v="763"/>
            <x v="764"/>
            <x v="769"/>
            <x v="770"/>
            <x v="776"/>
            <x v="779"/>
            <x v="780"/>
            <x v="784"/>
            <x v="788"/>
            <x v="790"/>
            <x v="796"/>
            <x v="814"/>
            <x v="815"/>
            <x v="821"/>
            <x v="822"/>
            <x v="850"/>
            <x v="851"/>
          </reference>
        </references>
      </pivotArea>
    </format>
    <format dxfId="167">
      <pivotArea field="6" grandRow="1" outline="0" collapsedLevelsAreSubtotals="1" axis="axisRow" fieldPosition="0">
        <references count="1">
          <reference field="4294967294" count="1" selected="0">
            <x v="0"/>
          </reference>
        </references>
      </pivotArea>
    </format>
    <format dxfId="166">
      <pivotArea field="6" grandRow="1" outline="0" collapsedLevelsAreSubtotals="1" axis="axisRow"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5BA56B6D-F06D-4E57-AFB7-A4521A725C7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I85" firstHeaderRow="0" firstDataRow="1" firstDataCol="1"/>
  <pivotFields count="48">
    <pivotField showAll="0"/>
    <pivotField showAll="0"/>
    <pivotField showAll="0"/>
    <pivotField showAll="0"/>
    <pivotField numFmtId="1" showAll="0"/>
    <pivotField numFmtId="1" showAll="0"/>
    <pivotField axis="axisRow" showAll="0">
      <items count="8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352"/>
        <item x="353"/>
        <item x="354"/>
        <item x="355"/>
        <item x="176"/>
        <item x="356"/>
        <item x="357"/>
        <item x="177"/>
        <item x="358"/>
        <item x="359"/>
        <item x="360"/>
        <item x="361"/>
        <item x="178"/>
        <item x="362"/>
        <item x="363"/>
        <item x="364"/>
        <item x="365"/>
        <item x="179"/>
        <item x="366"/>
        <item x="367"/>
        <item x="368"/>
        <item x="369"/>
        <item x="370"/>
        <item x="371"/>
        <item x="372"/>
        <item x="373"/>
        <item x="180"/>
        <item x="374"/>
        <item x="375"/>
        <item x="376"/>
        <item x="377"/>
        <item x="181"/>
        <item x="378"/>
        <item x="379"/>
        <item x="380"/>
        <item x="381"/>
        <item x="182"/>
        <item x="382"/>
        <item x="383"/>
        <item x="384"/>
        <item x="385"/>
        <item x="183"/>
        <item x="386"/>
        <item x="387"/>
        <item x="388"/>
        <item x="389"/>
        <item x="390"/>
        <item x="391"/>
        <item x="392"/>
        <item x="393"/>
        <item x="184"/>
        <item x="394"/>
        <item x="395"/>
        <item x="396"/>
        <item x="397"/>
        <item x="185"/>
        <item x="398"/>
        <item x="399"/>
        <item x="400"/>
        <item x="401"/>
        <item x="186"/>
        <item x="402"/>
        <item x="403"/>
        <item x="404"/>
        <item x="405"/>
        <item x="187"/>
        <item x="406"/>
        <item x="407"/>
        <item x="408"/>
        <item x="409"/>
        <item x="410"/>
        <item x="411"/>
        <item x="412"/>
        <item x="413"/>
        <item x="188"/>
        <item x="414"/>
        <item x="415"/>
        <item x="189"/>
        <item x="416"/>
        <item x="417"/>
        <item x="418"/>
        <item x="419"/>
        <item x="190"/>
        <item x="420"/>
        <item x="421"/>
        <item x="422"/>
        <item x="423"/>
        <item x="191"/>
        <item x="424"/>
        <item x="425"/>
        <item x="426"/>
        <item x="427"/>
        <item x="428"/>
        <item x="429"/>
        <item x="430"/>
        <item x="431"/>
        <item x="192"/>
        <item x="432"/>
        <item x="433"/>
        <item x="434"/>
        <item x="435"/>
        <item x="193"/>
        <item x="436"/>
        <item x="437"/>
        <item x="438"/>
        <item x="439"/>
        <item x="194"/>
        <item x="440"/>
        <item x="441"/>
        <item x="442"/>
        <item x="443"/>
        <item x="195"/>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showAll="0"/>
    <pivotField showAll="0"/>
    <pivotField showAll="0"/>
    <pivotField numFmtId="2" showAll="0"/>
    <pivotField dataField="1" numFmtId="2" showAll="0"/>
    <pivotField dataField="1" showAll="0"/>
    <pivotField showAll="0"/>
    <pivotField showAll="0"/>
    <pivotField showAll="0"/>
    <pivotField showAll="0"/>
    <pivotField showAll="0"/>
    <pivotField showAll="0">
      <items count="7">
        <item x="2"/>
        <item x="1"/>
        <item x="0"/>
        <item x="4"/>
        <item x="3"/>
        <item x="5"/>
        <item t="default"/>
      </items>
    </pivotField>
    <pivotField numFmtId="164" showAll="0"/>
    <pivotField numFmtId="164" showAll="0"/>
    <pivotField numFmtId="164" showAll="0"/>
    <pivotField numFmtId="164" showAll="0"/>
    <pivotField numFmtId="164" showAll="0"/>
    <pivotField numFmtId="10" showAll="0"/>
    <pivotField showAll="0">
      <items count="5">
        <item x="2"/>
        <item x="1"/>
        <item x="0"/>
        <item x="3"/>
        <item t="default"/>
      </items>
    </pivotField>
    <pivotField showAll="0">
      <items count="14">
        <item h="1" x="3"/>
        <item h="1" x="8"/>
        <item h="1" x="9"/>
        <item h="1" x="7"/>
        <item h="1" x="0"/>
        <item h="1" x="6"/>
        <item h="1" x="2"/>
        <item h="1" x="5"/>
        <item h="1" x="1"/>
        <item x="12"/>
        <item h="1" x="4"/>
        <item h="1" x="10"/>
        <item h="1" x="11"/>
        <item t="default"/>
      </items>
    </pivotField>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numFmtId="1" showAll="0"/>
    <pivotField showAll="0"/>
    <pivotField showAll="0"/>
    <pivotField dataField="1" showAll="0"/>
    <pivotField dataField="1" numFmtId="165" showAll="0"/>
    <pivotField dataField="1" numFmtId="165" showAll="0"/>
    <pivotField numFmtId="168" showAll="0"/>
    <pivotField numFmtId="168" showAll="0"/>
  </pivotFields>
  <rowFields count="1">
    <field x="6"/>
  </rowFields>
  <rowItems count="67">
    <i>
      <x v="116"/>
    </i>
    <i>
      <x v="118"/>
    </i>
    <i>
      <x v="132"/>
    </i>
    <i>
      <x v="135"/>
    </i>
    <i>
      <x v="152"/>
    </i>
    <i>
      <x v="172"/>
    </i>
    <i>
      <x v="200"/>
    </i>
    <i>
      <x v="227"/>
    </i>
    <i>
      <x v="239"/>
    </i>
    <i>
      <x v="245"/>
    </i>
    <i>
      <x v="252"/>
    </i>
    <i>
      <x v="260"/>
    </i>
    <i>
      <x v="261"/>
    </i>
    <i>
      <x v="276"/>
    </i>
    <i>
      <x v="279"/>
    </i>
    <i>
      <x v="288"/>
    </i>
    <i>
      <x v="296"/>
    </i>
    <i>
      <x v="297"/>
    </i>
    <i>
      <x v="311"/>
    </i>
    <i>
      <x v="317"/>
    </i>
    <i>
      <x v="331"/>
    </i>
    <i>
      <x v="335"/>
    </i>
    <i>
      <x v="336"/>
    </i>
    <i>
      <x v="337"/>
    </i>
    <i>
      <x v="346"/>
    </i>
    <i>
      <x v="347"/>
    </i>
    <i>
      <x v="354"/>
    </i>
    <i>
      <x v="356"/>
    </i>
    <i>
      <x v="359"/>
    </i>
    <i>
      <x v="369"/>
    </i>
    <i>
      <x v="375"/>
    </i>
    <i>
      <x v="477"/>
    </i>
    <i>
      <x v="486"/>
    </i>
    <i>
      <x v="495"/>
    </i>
    <i>
      <x v="496"/>
    </i>
    <i>
      <x v="516"/>
    </i>
    <i>
      <x v="527"/>
    </i>
    <i>
      <x v="547"/>
    </i>
    <i>
      <x v="586"/>
    </i>
    <i>
      <x v="607"/>
    </i>
    <i>
      <x v="612"/>
    </i>
    <i>
      <x v="618"/>
    </i>
    <i>
      <x v="629"/>
    </i>
    <i>
      <x v="653"/>
    </i>
    <i>
      <x v="659"/>
    </i>
    <i>
      <x v="679"/>
    </i>
    <i>
      <x v="698"/>
    </i>
    <i>
      <x v="718"/>
    </i>
    <i>
      <x v="724"/>
    </i>
    <i>
      <x v="729"/>
    </i>
    <i>
      <x v="744"/>
    </i>
    <i>
      <x v="750"/>
    </i>
    <i>
      <x v="772"/>
    </i>
    <i>
      <x v="777"/>
    </i>
    <i>
      <x v="785"/>
    </i>
    <i>
      <x v="791"/>
    </i>
    <i>
      <x v="798"/>
    </i>
    <i>
      <x v="804"/>
    </i>
    <i>
      <x v="809"/>
    </i>
    <i>
      <x v="819"/>
    </i>
    <i>
      <x v="825"/>
    </i>
    <i>
      <x v="827"/>
    </i>
    <i>
      <x v="828"/>
    </i>
    <i>
      <x v="845"/>
    </i>
    <i>
      <x v="848"/>
    </i>
    <i>
      <x v="854"/>
    </i>
    <i t="grand">
      <x/>
    </i>
  </rowItems>
  <colFields count="1">
    <field x="-2"/>
  </colFields>
  <colItems count="8">
    <i>
      <x/>
    </i>
    <i i="1">
      <x v="1"/>
    </i>
    <i i="2">
      <x v="2"/>
    </i>
    <i i="3">
      <x v="3"/>
    </i>
    <i i="4">
      <x v="4"/>
    </i>
    <i i="5">
      <x v="5"/>
    </i>
    <i i="6">
      <x v="6"/>
    </i>
    <i i="7">
      <x v="7"/>
    </i>
  </colItems>
  <dataFields count="8">
    <dataField name="Sum of UNIT (BUILDING) RATE (SEMI FINISHED)" fld="31" baseField="0" baseItem="0"/>
    <dataField name="Sum of Unit Selling Area" fld="11" baseField="0" baseItem="0" numFmtId="1"/>
    <dataField name="Sum of Private Garden Area" fld="12" baseField="0" baseItem="0"/>
    <dataField name="Sum of UNIT (GARDEN) VALUE" fld="38" baseField="7" baseItem="481" numFmtId="165"/>
    <dataField name="Sum of MAINTENANCE VALUE" fld="39" baseField="7" baseItem="293" numFmtId="165"/>
    <dataField name="Sum of TOTAL UNIT VALUE (SEMI FINISHED)" fld="43" baseField="0" baseItem="0" numFmtId="165"/>
    <dataField name="Sum of TOTAL UNIT VALUE (BASIC FINISHED)" fld="44" baseField="0" baseItem="0" numFmtId="165"/>
    <dataField name="Sum of TOTAL UNIT VALUE (FULLY FINISHED)" fld="45" baseField="0" baseItem="0" numFmtId="165"/>
  </dataFields>
  <formats count="21">
    <format dxfId="165">
      <pivotArea outline="0" collapsedLevelsAreSubtotals="1" fieldPosition="0"/>
    </format>
    <format dxfId="164">
      <pivotArea dataOnly="0" labelOnly="1" outline="0" axis="axisValues" fieldPosition="0"/>
    </format>
    <format dxfId="163">
      <pivotArea outline="0" collapsedLevelsAreSubtotals="1" fieldPosition="0">
        <references count="1">
          <reference field="4294967294" count="1" selected="0">
            <x v="3"/>
          </reference>
        </references>
      </pivotArea>
    </format>
    <format dxfId="162">
      <pivotArea dataOnly="0" labelOnly="1" outline="0" fieldPosition="0">
        <references count="1">
          <reference field="4294967294" count="1">
            <x v="3"/>
          </reference>
        </references>
      </pivotArea>
    </format>
    <format dxfId="161">
      <pivotArea outline="0" collapsedLevelsAreSubtotals="1" fieldPosition="0">
        <references count="1">
          <reference field="4294967294" count="1" selected="0">
            <x v="4"/>
          </reference>
        </references>
      </pivotArea>
    </format>
    <format dxfId="160">
      <pivotArea dataOnly="0" labelOnly="1" outline="0" fieldPosition="0">
        <references count="1">
          <reference field="4294967294" count="1">
            <x v="4"/>
          </reference>
        </references>
      </pivotArea>
    </format>
    <format dxfId="159">
      <pivotArea type="all" dataOnly="0" outline="0" fieldPosition="0"/>
    </format>
    <format dxfId="158">
      <pivotArea outline="0" collapsedLevelsAreSubtotals="1" fieldPosition="0"/>
    </format>
    <format dxfId="157">
      <pivotArea field="6" type="button" dataOnly="0" labelOnly="1" outline="0" axis="axisRow" fieldPosition="0"/>
    </format>
    <format dxfId="156">
      <pivotArea dataOnly="0" labelOnly="1" fieldPosition="0">
        <references count="1">
          <reference field="6" count="7">
            <x v="289"/>
            <x v="351"/>
            <x v="372"/>
            <x v="473"/>
            <x v="482"/>
            <x v="605"/>
            <x v="644"/>
          </reference>
        </references>
      </pivotArea>
    </format>
    <format dxfId="155">
      <pivotArea dataOnly="0" labelOnly="1" grandRow="1" outline="0" fieldPosition="0"/>
    </format>
    <format dxfId="154">
      <pivotArea dataOnly="0" labelOnly="1" outline="0" fieldPosition="0">
        <references count="1">
          <reference field="4294967294" count="3">
            <x v="1"/>
            <x v="3"/>
            <x v="4"/>
          </reference>
        </references>
      </pivotArea>
    </format>
    <format dxfId="153">
      <pivotArea field="6" type="button" dataOnly="0" labelOnly="1" outline="0" axis="axisRow" fieldPosition="0"/>
    </format>
    <format dxfId="152">
      <pivotArea dataOnly="0" labelOnly="1" outline="0" fieldPosition="0">
        <references count="1">
          <reference field="4294967294" count="3">
            <x v="1"/>
            <x v="3"/>
            <x v="4"/>
          </reference>
        </references>
      </pivotArea>
    </format>
    <format dxfId="151">
      <pivotArea dataOnly="0" labelOnly="1" outline="0" fieldPosition="0">
        <references count="1">
          <reference field="4294967294" count="1">
            <x v="2"/>
          </reference>
        </references>
      </pivotArea>
    </format>
    <format dxfId="150">
      <pivotArea dataOnly="0" labelOnly="1" outline="0" fieldPosition="0">
        <references count="1">
          <reference field="4294967294" count="3">
            <x v="5"/>
            <x v="6"/>
            <x v="7"/>
          </reference>
        </references>
      </pivotArea>
    </format>
    <format dxfId="149">
      <pivotArea outline="0" collapsedLevelsAreSubtotals="1" fieldPosition="0">
        <references count="1">
          <reference field="4294967294" count="3" selected="0">
            <x v="5"/>
            <x v="6"/>
            <x v="7"/>
          </reference>
        </references>
      </pivotArea>
    </format>
    <format dxfId="148">
      <pivotArea dataOnly="0" labelOnly="1" outline="0" fieldPosition="0">
        <references count="1">
          <reference field="4294967294" count="1">
            <x v="0"/>
          </reference>
        </references>
      </pivotArea>
    </format>
    <format dxfId="147">
      <pivotArea collapsedLevelsAreSubtotals="1" fieldPosition="0">
        <references count="2">
          <reference field="4294967294" count="1" selected="0">
            <x v="0"/>
          </reference>
          <reference field="6" count="144">
            <x v="3"/>
            <x v="19"/>
            <x v="20"/>
            <x v="23"/>
            <x v="33"/>
            <x v="34"/>
            <x v="36"/>
            <x v="39"/>
            <x v="40"/>
            <x v="42"/>
            <x v="43"/>
            <x v="45"/>
            <x v="49"/>
            <x v="50"/>
            <x v="54"/>
            <x v="56"/>
            <x v="57"/>
            <x v="59"/>
            <x v="117"/>
            <x v="128"/>
            <x v="130"/>
            <x v="131"/>
            <x v="137"/>
            <x v="138"/>
            <x v="148"/>
            <x v="151"/>
            <x v="153"/>
            <x v="154"/>
            <x v="157"/>
            <x v="168"/>
            <x v="171"/>
            <x v="173"/>
            <x v="180"/>
            <x v="181"/>
            <x v="182"/>
            <x v="193"/>
            <x v="194"/>
            <x v="197"/>
            <x v="202"/>
            <x v="210"/>
            <x v="217"/>
            <x v="221"/>
            <x v="229"/>
            <x v="240"/>
            <x v="244"/>
            <x v="272"/>
            <x v="283"/>
            <x v="287"/>
            <x v="302"/>
            <x v="307"/>
            <x v="342"/>
            <x v="365"/>
            <x v="370"/>
            <x v="374"/>
            <x v="377"/>
            <x v="378"/>
            <x v="381"/>
            <x v="385"/>
            <x v="386"/>
            <x v="390"/>
            <x v="393"/>
            <x v="394"/>
            <x v="397"/>
            <x v="406"/>
            <x v="409"/>
            <x v="410"/>
            <x v="430"/>
            <x v="433"/>
            <x v="444"/>
            <x v="447"/>
            <x v="449"/>
            <x v="451"/>
            <x v="465"/>
            <x v="467"/>
            <x v="468"/>
            <x v="484"/>
            <x v="488"/>
            <x v="489"/>
            <x v="490"/>
            <x v="491"/>
            <x v="502"/>
            <x v="505"/>
            <x v="509"/>
            <x v="525"/>
            <x v="535"/>
            <x v="542"/>
            <x v="546"/>
            <x v="550"/>
            <x v="555"/>
            <x v="557"/>
            <x v="562"/>
            <x v="566"/>
            <x v="569"/>
            <x v="570"/>
            <x v="580"/>
            <x v="583"/>
            <x v="587"/>
            <x v="591"/>
            <x v="594"/>
            <x v="603"/>
            <x v="610"/>
            <x v="615"/>
            <x v="617"/>
            <x v="622"/>
            <x v="635"/>
            <x v="636"/>
            <x v="642"/>
            <x v="651"/>
            <x v="656"/>
            <x v="662"/>
            <x v="671"/>
            <x v="672"/>
            <x v="678"/>
            <x v="682"/>
            <x v="685"/>
            <x v="689"/>
            <x v="690"/>
            <x v="703"/>
            <x v="709"/>
            <x v="710"/>
            <x v="719"/>
            <x v="723"/>
            <x v="727"/>
            <x v="734"/>
            <x v="739"/>
            <x v="753"/>
            <x v="760"/>
            <x v="763"/>
            <x v="764"/>
            <x v="769"/>
            <x v="770"/>
            <x v="776"/>
            <x v="779"/>
            <x v="780"/>
            <x v="784"/>
            <x v="788"/>
            <x v="790"/>
            <x v="796"/>
            <x v="814"/>
            <x v="815"/>
            <x v="821"/>
            <x v="822"/>
            <x v="850"/>
            <x v="851"/>
          </reference>
        </references>
      </pivotArea>
    </format>
    <format dxfId="146">
      <pivotArea field="6" grandRow="1" outline="0" collapsedLevelsAreSubtotals="1" axis="axisRow" fieldPosition="0">
        <references count="1">
          <reference field="4294967294" count="1" selected="0">
            <x v="0"/>
          </reference>
        </references>
      </pivotArea>
    </format>
    <format dxfId="145">
      <pivotArea field="6" grandRow="1" outline="0" collapsedLevelsAreSubtotals="1" axis="axisRow"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A68BAAF9-7C6C-4A98-9527-E3FE4042A66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I110" firstHeaderRow="0" firstDataRow="1" firstDataCol="1"/>
  <pivotFields count="48">
    <pivotField showAll="0"/>
    <pivotField showAll="0"/>
    <pivotField showAll="0"/>
    <pivotField showAll="0"/>
    <pivotField numFmtId="1" showAll="0"/>
    <pivotField numFmtId="1" showAll="0"/>
    <pivotField axis="axisRow" showAll="0">
      <items count="8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352"/>
        <item x="353"/>
        <item x="354"/>
        <item x="355"/>
        <item x="176"/>
        <item x="356"/>
        <item x="357"/>
        <item x="177"/>
        <item x="358"/>
        <item x="359"/>
        <item x="360"/>
        <item x="361"/>
        <item x="178"/>
        <item x="362"/>
        <item x="363"/>
        <item x="364"/>
        <item x="365"/>
        <item x="179"/>
        <item x="366"/>
        <item x="367"/>
        <item x="368"/>
        <item x="369"/>
        <item x="370"/>
        <item x="371"/>
        <item x="372"/>
        <item x="373"/>
        <item x="180"/>
        <item x="374"/>
        <item x="375"/>
        <item x="376"/>
        <item x="377"/>
        <item x="181"/>
        <item x="378"/>
        <item x="379"/>
        <item x="380"/>
        <item x="381"/>
        <item x="182"/>
        <item x="382"/>
        <item x="383"/>
        <item x="384"/>
        <item x="385"/>
        <item x="183"/>
        <item x="386"/>
        <item x="387"/>
        <item x="388"/>
        <item x="389"/>
        <item x="390"/>
        <item x="391"/>
        <item x="392"/>
        <item x="393"/>
        <item x="184"/>
        <item x="394"/>
        <item x="395"/>
        <item x="396"/>
        <item x="397"/>
        <item x="185"/>
        <item x="398"/>
        <item x="399"/>
        <item x="400"/>
        <item x="401"/>
        <item x="186"/>
        <item x="402"/>
        <item x="403"/>
        <item x="404"/>
        <item x="405"/>
        <item x="187"/>
        <item x="406"/>
        <item x="407"/>
        <item x="408"/>
        <item x="409"/>
        <item x="410"/>
        <item x="411"/>
        <item x="412"/>
        <item x="413"/>
        <item x="188"/>
        <item x="414"/>
        <item x="415"/>
        <item x="189"/>
        <item x="416"/>
        <item x="417"/>
        <item x="418"/>
        <item x="419"/>
        <item x="190"/>
        <item x="420"/>
        <item x="421"/>
        <item x="422"/>
        <item x="423"/>
        <item x="191"/>
        <item x="424"/>
        <item x="425"/>
        <item x="426"/>
        <item x="427"/>
        <item x="428"/>
        <item x="429"/>
        <item x="430"/>
        <item x="431"/>
        <item x="192"/>
        <item x="432"/>
        <item x="433"/>
        <item x="434"/>
        <item x="435"/>
        <item x="193"/>
        <item x="436"/>
        <item x="437"/>
        <item x="438"/>
        <item x="439"/>
        <item x="194"/>
        <item x="440"/>
        <item x="441"/>
        <item x="442"/>
        <item x="443"/>
        <item x="195"/>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showAll="0"/>
    <pivotField showAll="0"/>
    <pivotField showAll="0"/>
    <pivotField numFmtId="2" showAll="0"/>
    <pivotField dataField="1" numFmtId="2" showAll="0"/>
    <pivotField dataField="1" showAll="0"/>
    <pivotField showAll="0"/>
    <pivotField showAll="0"/>
    <pivotField showAll="0"/>
    <pivotField showAll="0"/>
    <pivotField showAll="0"/>
    <pivotField showAll="0">
      <items count="7">
        <item x="2"/>
        <item x="1"/>
        <item x="0"/>
        <item x="4"/>
        <item x="3"/>
        <item x="5"/>
        <item t="default"/>
      </items>
    </pivotField>
    <pivotField numFmtId="164" showAll="0"/>
    <pivotField numFmtId="164" showAll="0"/>
    <pivotField numFmtId="164" showAll="0"/>
    <pivotField numFmtId="164" showAll="0"/>
    <pivotField numFmtId="164" showAll="0"/>
    <pivotField numFmtId="10" showAll="0"/>
    <pivotField showAll="0">
      <items count="5">
        <item x="2"/>
        <item x="1"/>
        <item x="0"/>
        <item x="3"/>
        <item t="default"/>
      </items>
    </pivotField>
    <pivotField showAll="0">
      <items count="14">
        <item h="1" x="3"/>
        <item h="1" x="8"/>
        <item h="1" x="9"/>
        <item h="1" x="7"/>
        <item h="1" x="0"/>
        <item h="1" x="6"/>
        <item h="1" x="2"/>
        <item h="1" x="5"/>
        <item h="1" x="1"/>
        <item h="1" x="12"/>
        <item x="4"/>
        <item h="1" x="10"/>
        <item h="1" x="11"/>
        <item t="default"/>
      </items>
    </pivotField>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numFmtId="1" showAll="0"/>
    <pivotField showAll="0"/>
    <pivotField showAll="0"/>
    <pivotField dataField="1" showAll="0"/>
    <pivotField dataField="1" numFmtId="165" showAll="0"/>
    <pivotField dataField="1" numFmtId="165" showAll="0"/>
    <pivotField numFmtId="168" showAll="0"/>
    <pivotField numFmtId="168" showAll="0"/>
  </pivotFields>
  <rowFields count="1">
    <field x="6"/>
  </rowFields>
  <rowItems count="92">
    <i>
      <x v="5"/>
    </i>
    <i>
      <x v="8"/>
    </i>
    <i>
      <x v="123"/>
    </i>
    <i>
      <x v="125"/>
    </i>
    <i>
      <x v="134"/>
    </i>
    <i>
      <x v="139"/>
    </i>
    <i>
      <x v="140"/>
    </i>
    <i>
      <x v="155"/>
    </i>
    <i>
      <x v="156"/>
    </i>
    <i>
      <x v="159"/>
    </i>
    <i>
      <x v="170"/>
    </i>
    <i>
      <x v="183"/>
    </i>
    <i>
      <x v="220"/>
    </i>
    <i>
      <x v="230"/>
    </i>
    <i>
      <x v="232"/>
    </i>
    <i>
      <x v="248"/>
    </i>
    <i>
      <x v="254"/>
    </i>
    <i>
      <x v="257"/>
    </i>
    <i>
      <x v="263"/>
    </i>
    <i>
      <x v="273"/>
    </i>
    <i>
      <x v="277"/>
    </i>
    <i>
      <x v="281"/>
    </i>
    <i>
      <x v="299"/>
    </i>
    <i>
      <x v="301"/>
    </i>
    <i>
      <x v="310"/>
    </i>
    <i>
      <x v="318"/>
    </i>
    <i>
      <x v="319"/>
    </i>
    <i>
      <x v="320"/>
    </i>
    <i>
      <x v="334"/>
    </i>
    <i>
      <x v="340"/>
    </i>
    <i>
      <x v="357"/>
    </i>
    <i>
      <x v="358"/>
    </i>
    <i>
      <x v="360"/>
    </i>
    <i>
      <x v="379"/>
    </i>
    <i>
      <x v="380"/>
    </i>
    <i>
      <x v="392"/>
    </i>
    <i>
      <x v="402"/>
    </i>
    <i>
      <x v="408"/>
    </i>
    <i>
      <x v="411"/>
    </i>
    <i>
      <x v="415"/>
    </i>
    <i>
      <x v="421"/>
    </i>
    <i>
      <x v="427"/>
    </i>
    <i>
      <x v="440"/>
    </i>
    <i>
      <x v="445"/>
    </i>
    <i>
      <x v="446"/>
    </i>
    <i>
      <x v="450"/>
    </i>
    <i>
      <x v="456"/>
    </i>
    <i>
      <x v="461"/>
    </i>
    <i>
      <x v="466"/>
    </i>
    <i>
      <x v="474"/>
    </i>
    <i>
      <x v="479"/>
    </i>
    <i>
      <x v="480"/>
    </i>
    <i>
      <x v="481"/>
    </i>
    <i>
      <x v="514"/>
    </i>
    <i>
      <x v="515"/>
    </i>
    <i>
      <x v="520"/>
    </i>
    <i>
      <x v="543"/>
    </i>
    <i>
      <x v="548"/>
    </i>
    <i>
      <x v="549"/>
    </i>
    <i>
      <x v="563"/>
    </i>
    <i>
      <x v="564"/>
    </i>
    <i>
      <x v="565"/>
    </i>
    <i>
      <x v="576"/>
    </i>
    <i>
      <x v="579"/>
    </i>
    <i>
      <x v="592"/>
    </i>
    <i>
      <x v="593"/>
    </i>
    <i>
      <x v="602"/>
    </i>
    <i>
      <x v="613"/>
    </i>
    <i>
      <x v="623"/>
    </i>
    <i>
      <x v="630"/>
    </i>
    <i>
      <x v="633"/>
    </i>
    <i>
      <x v="647"/>
    </i>
    <i>
      <x v="652"/>
    </i>
    <i>
      <x v="664"/>
    </i>
    <i>
      <x v="667"/>
    </i>
    <i>
      <x v="673"/>
    </i>
    <i>
      <x v="680"/>
    </i>
    <i>
      <x v="701"/>
    </i>
    <i>
      <x v="706"/>
    </i>
    <i>
      <x v="708"/>
    </i>
    <i>
      <x v="717"/>
    </i>
    <i>
      <x v="730"/>
    </i>
    <i>
      <x v="751"/>
    </i>
    <i>
      <x v="765"/>
    </i>
    <i>
      <x v="775"/>
    </i>
    <i>
      <x v="778"/>
    </i>
    <i>
      <x v="786"/>
    </i>
    <i>
      <x v="807"/>
    </i>
    <i>
      <x v="826"/>
    </i>
    <i>
      <x v="842"/>
    </i>
    <i>
      <x v="847"/>
    </i>
    <i t="grand">
      <x/>
    </i>
  </rowItems>
  <colFields count="1">
    <field x="-2"/>
  </colFields>
  <colItems count="8">
    <i>
      <x/>
    </i>
    <i i="1">
      <x v="1"/>
    </i>
    <i i="2">
      <x v="2"/>
    </i>
    <i i="3">
      <x v="3"/>
    </i>
    <i i="4">
      <x v="4"/>
    </i>
    <i i="5">
      <x v="5"/>
    </i>
    <i i="6">
      <x v="6"/>
    </i>
    <i i="7">
      <x v="7"/>
    </i>
  </colItems>
  <dataFields count="8">
    <dataField name="Sum of UNIT (BUILDING) RATE (SEMI FINISHED)" fld="31" baseField="0" baseItem="0"/>
    <dataField name="Sum of Unit Selling Area" fld="11" baseField="0" baseItem="0" numFmtId="1"/>
    <dataField name="Sum of Private Garden Area" fld="12" baseField="0" baseItem="0"/>
    <dataField name="Sum of UNIT (GARDEN) VALUE" fld="38" baseField="7" baseItem="481" numFmtId="165"/>
    <dataField name="Sum of MAINTENANCE VALUE" fld="39" baseField="7" baseItem="293" numFmtId="165"/>
    <dataField name="Sum of TOTAL UNIT VALUE (SEMI FINISHED)" fld="43" baseField="0" baseItem="0" numFmtId="165"/>
    <dataField name="Sum of TOTAL UNIT VALUE (BASIC FINISHED)" fld="44" baseField="0" baseItem="0" numFmtId="165"/>
    <dataField name="Sum of TOTAL UNIT VALUE (FULLY FINISHED)" fld="45" baseField="0" baseItem="0" numFmtId="165"/>
  </dataFields>
  <formats count="21">
    <format dxfId="144">
      <pivotArea outline="0" collapsedLevelsAreSubtotals="1" fieldPosition="0"/>
    </format>
    <format dxfId="143">
      <pivotArea dataOnly="0" labelOnly="1" outline="0" axis="axisValues" fieldPosition="0"/>
    </format>
    <format dxfId="142">
      <pivotArea outline="0" collapsedLevelsAreSubtotals="1" fieldPosition="0">
        <references count="1">
          <reference field="4294967294" count="1" selected="0">
            <x v="3"/>
          </reference>
        </references>
      </pivotArea>
    </format>
    <format dxfId="141">
      <pivotArea dataOnly="0" labelOnly="1" outline="0" fieldPosition="0">
        <references count="1">
          <reference field="4294967294" count="1">
            <x v="3"/>
          </reference>
        </references>
      </pivotArea>
    </format>
    <format dxfId="140">
      <pivotArea outline="0" collapsedLevelsAreSubtotals="1" fieldPosition="0">
        <references count="1">
          <reference field="4294967294" count="1" selected="0">
            <x v="4"/>
          </reference>
        </references>
      </pivotArea>
    </format>
    <format dxfId="139">
      <pivotArea dataOnly="0" labelOnly="1" outline="0" fieldPosition="0">
        <references count="1">
          <reference field="4294967294" count="1">
            <x v="4"/>
          </reference>
        </references>
      </pivotArea>
    </format>
    <format dxfId="138">
      <pivotArea type="all" dataOnly="0" outline="0" fieldPosition="0"/>
    </format>
    <format dxfId="137">
      <pivotArea outline="0" collapsedLevelsAreSubtotals="1" fieldPosition="0"/>
    </format>
    <format dxfId="136">
      <pivotArea field="6" type="button" dataOnly="0" labelOnly="1" outline="0" axis="axisRow" fieldPosition="0"/>
    </format>
    <format dxfId="135">
      <pivotArea dataOnly="0" labelOnly="1" fieldPosition="0">
        <references count="1">
          <reference field="6" count="7">
            <x v="289"/>
            <x v="351"/>
            <x v="372"/>
            <x v="473"/>
            <x v="482"/>
            <x v="605"/>
            <x v="644"/>
          </reference>
        </references>
      </pivotArea>
    </format>
    <format dxfId="134">
      <pivotArea dataOnly="0" labelOnly="1" grandRow="1" outline="0" fieldPosition="0"/>
    </format>
    <format dxfId="133">
      <pivotArea dataOnly="0" labelOnly="1" outline="0" fieldPosition="0">
        <references count="1">
          <reference field="4294967294" count="3">
            <x v="1"/>
            <x v="3"/>
            <x v="4"/>
          </reference>
        </references>
      </pivotArea>
    </format>
    <format dxfId="132">
      <pivotArea field="6" type="button" dataOnly="0" labelOnly="1" outline="0" axis="axisRow" fieldPosition="0"/>
    </format>
    <format dxfId="131">
      <pivotArea dataOnly="0" labelOnly="1" outline="0" fieldPosition="0">
        <references count="1">
          <reference field="4294967294" count="3">
            <x v="1"/>
            <x v="3"/>
            <x v="4"/>
          </reference>
        </references>
      </pivotArea>
    </format>
    <format dxfId="130">
      <pivotArea dataOnly="0" labelOnly="1" outline="0" fieldPosition="0">
        <references count="1">
          <reference field="4294967294" count="1">
            <x v="2"/>
          </reference>
        </references>
      </pivotArea>
    </format>
    <format dxfId="129">
      <pivotArea dataOnly="0" labelOnly="1" outline="0" fieldPosition="0">
        <references count="1">
          <reference field="4294967294" count="3">
            <x v="5"/>
            <x v="6"/>
            <x v="7"/>
          </reference>
        </references>
      </pivotArea>
    </format>
    <format dxfId="128">
      <pivotArea outline="0" collapsedLevelsAreSubtotals="1" fieldPosition="0">
        <references count="1">
          <reference field="4294967294" count="3" selected="0">
            <x v="5"/>
            <x v="6"/>
            <x v="7"/>
          </reference>
        </references>
      </pivotArea>
    </format>
    <format dxfId="127">
      <pivotArea dataOnly="0" labelOnly="1" outline="0" fieldPosition="0">
        <references count="1">
          <reference field="4294967294" count="1">
            <x v="0"/>
          </reference>
        </references>
      </pivotArea>
    </format>
    <format dxfId="126">
      <pivotArea collapsedLevelsAreSubtotals="1" fieldPosition="0">
        <references count="2">
          <reference field="4294967294" count="1" selected="0">
            <x v="0"/>
          </reference>
          <reference field="6" count="144">
            <x v="3"/>
            <x v="19"/>
            <x v="20"/>
            <x v="23"/>
            <x v="33"/>
            <x v="34"/>
            <x v="36"/>
            <x v="39"/>
            <x v="40"/>
            <x v="42"/>
            <x v="43"/>
            <x v="45"/>
            <x v="49"/>
            <x v="50"/>
            <x v="54"/>
            <x v="56"/>
            <x v="57"/>
            <x v="59"/>
            <x v="117"/>
            <x v="128"/>
            <x v="130"/>
            <x v="131"/>
            <x v="137"/>
            <x v="138"/>
            <x v="148"/>
            <x v="151"/>
            <x v="153"/>
            <x v="154"/>
            <x v="157"/>
            <x v="168"/>
            <x v="171"/>
            <x v="173"/>
            <x v="180"/>
            <x v="181"/>
            <x v="182"/>
            <x v="193"/>
            <x v="194"/>
            <x v="197"/>
            <x v="202"/>
            <x v="210"/>
            <x v="217"/>
            <x v="221"/>
            <x v="229"/>
            <x v="240"/>
            <x v="244"/>
            <x v="272"/>
            <x v="283"/>
            <x v="287"/>
            <x v="302"/>
            <x v="307"/>
            <x v="342"/>
            <x v="365"/>
            <x v="370"/>
            <x v="374"/>
            <x v="377"/>
            <x v="378"/>
            <x v="381"/>
            <x v="385"/>
            <x v="386"/>
            <x v="390"/>
            <x v="393"/>
            <x v="394"/>
            <x v="397"/>
            <x v="406"/>
            <x v="409"/>
            <x v="410"/>
            <x v="430"/>
            <x v="433"/>
            <x v="444"/>
            <x v="447"/>
            <x v="449"/>
            <x v="451"/>
            <x v="465"/>
            <x v="467"/>
            <x v="468"/>
            <x v="484"/>
            <x v="488"/>
            <x v="489"/>
            <x v="490"/>
            <x v="491"/>
            <x v="502"/>
            <x v="505"/>
            <x v="509"/>
            <x v="525"/>
            <x v="535"/>
            <x v="542"/>
            <x v="546"/>
            <x v="550"/>
            <x v="555"/>
            <x v="557"/>
            <x v="562"/>
            <x v="566"/>
            <x v="569"/>
            <x v="570"/>
            <x v="580"/>
            <x v="583"/>
            <x v="587"/>
            <x v="591"/>
            <x v="594"/>
            <x v="603"/>
            <x v="610"/>
            <x v="615"/>
            <x v="617"/>
            <x v="622"/>
            <x v="635"/>
            <x v="636"/>
            <x v="642"/>
            <x v="651"/>
            <x v="656"/>
            <x v="662"/>
            <x v="671"/>
            <x v="672"/>
            <x v="678"/>
            <x v="682"/>
            <x v="685"/>
            <x v="689"/>
            <x v="690"/>
            <x v="703"/>
            <x v="709"/>
            <x v="710"/>
            <x v="719"/>
            <x v="723"/>
            <x v="727"/>
            <x v="734"/>
            <x v="739"/>
            <x v="753"/>
            <x v="760"/>
            <x v="763"/>
            <x v="764"/>
            <x v="769"/>
            <x v="770"/>
            <x v="776"/>
            <x v="779"/>
            <x v="780"/>
            <x v="784"/>
            <x v="788"/>
            <x v="790"/>
            <x v="796"/>
            <x v="814"/>
            <x v="815"/>
            <x v="821"/>
            <x v="822"/>
            <x v="850"/>
            <x v="851"/>
          </reference>
        </references>
      </pivotArea>
    </format>
    <format dxfId="125">
      <pivotArea field="6" grandRow="1" outline="0" collapsedLevelsAreSubtotals="1" axis="axisRow" fieldPosition="0">
        <references count="1">
          <reference field="4294967294" count="1" selected="0">
            <x v="0"/>
          </reference>
        </references>
      </pivotArea>
    </format>
    <format dxfId="124">
      <pivotArea field="6" grandRow="1" outline="0" collapsedLevelsAreSubtotals="1" axis="axisRow"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F98B59D0-D10A-44D9-B4B8-CAD163C681D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I83" firstHeaderRow="0" firstDataRow="1" firstDataCol="1"/>
  <pivotFields count="48">
    <pivotField showAll="0"/>
    <pivotField showAll="0"/>
    <pivotField showAll="0"/>
    <pivotField showAll="0"/>
    <pivotField numFmtId="1" showAll="0"/>
    <pivotField numFmtId="1" showAll="0"/>
    <pivotField axis="axisRow" showAll="0">
      <items count="8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352"/>
        <item x="353"/>
        <item x="354"/>
        <item x="355"/>
        <item x="176"/>
        <item x="356"/>
        <item x="357"/>
        <item x="177"/>
        <item x="358"/>
        <item x="359"/>
        <item x="360"/>
        <item x="361"/>
        <item x="178"/>
        <item x="362"/>
        <item x="363"/>
        <item x="364"/>
        <item x="365"/>
        <item x="179"/>
        <item x="366"/>
        <item x="367"/>
        <item x="368"/>
        <item x="369"/>
        <item x="370"/>
        <item x="371"/>
        <item x="372"/>
        <item x="373"/>
        <item x="180"/>
        <item x="374"/>
        <item x="375"/>
        <item x="376"/>
        <item x="377"/>
        <item x="181"/>
        <item x="378"/>
        <item x="379"/>
        <item x="380"/>
        <item x="381"/>
        <item x="182"/>
        <item x="382"/>
        <item x="383"/>
        <item x="384"/>
        <item x="385"/>
        <item x="183"/>
        <item x="386"/>
        <item x="387"/>
        <item x="388"/>
        <item x="389"/>
        <item x="390"/>
        <item x="391"/>
        <item x="392"/>
        <item x="393"/>
        <item x="184"/>
        <item x="394"/>
        <item x="395"/>
        <item x="396"/>
        <item x="397"/>
        <item x="185"/>
        <item x="398"/>
        <item x="399"/>
        <item x="400"/>
        <item x="401"/>
        <item x="186"/>
        <item x="402"/>
        <item x="403"/>
        <item x="404"/>
        <item x="405"/>
        <item x="187"/>
        <item x="406"/>
        <item x="407"/>
        <item x="408"/>
        <item x="409"/>
        <item x="410"/>
        <item x="411"/>
        <item x="412"/>
        <item x="413"/>
        <item x="188"/>
        <item x="414"/>
        <item x="415"/>
        <item x="189"/>
        <item x="416"/>
        <item x="417"/>
        <item x="418"/>
        <item x="419"/>
        <item x="190"/>
        <item x="420"/>
        <item x="421"/>
        <item x="422"/>
        <item x="423"/>
        <item x="191"/>
        <item x="424"/>
        <item x="425"/>
        <item x="426"/>
        <item x="427"/>
        <item x="428"/>
        <item x="429"/>
        <item x="430"/>
        <item x="431"/>
        <item x="192"/>
        <item x="432"/>
        <item x="433"/>
        <item x="434"/>
        <item x="435"/>
        <item x="193"/>
        <item x="436"/>
        <item x="437"/>
        <item x="438"/>
        <item x="439"/>
        <item x="194"/>
        <item x="440"/>
        <item x="441"/>
        <item x="442"/>
        <item x="443"/>
        <item x="195"/>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showAll="0"/>
    <pivotField showAll="0"/>
    <pivotField showAll="0"/>
    <pivotField numFmtId="2" showAll="0"/>
    <pivotField dataField="1" numFmtId="2" showAll="0"/>
    <pivotField dataField="1" showAll="0"/>
    <pivotField showAll="0"/>
    <pivotField showAll="0"/>
    <pivotField showAll="0"/>
    <pivotField showAll="0"/>
    <pivotField showAll="0"/>
    <pivotField showAll="0">
      <items count="7">
        <item x="2"/>
        <item x="1"/>
        <item x="0"/>
        <item x="4"/>
        <item x="3"/>
        <item x="5"/>
        <item t="default"/>
      </items>
    </pivotField>
    <pivotField numFmtId="164" showAll="0"/>
    <pivotField numFmtId="164" showAll="0"/>
    <pivotField numFmtId="164" showAll="0"/>
    <pivotField numFmtId="164" showAll="0"/>
    <pivotField numFmtId="164" showAll="0"/>
    <pivotField numFmtId="10" showAll="0"/>
    <pivotField showAll="0">
      <items count="5">
        <item x="2"/>
        <item x="1"/>
        <item x="0"/>
        <item x="3"/>
        <item t="default"/>
      </items>
    </pivotField>
    <pivotField showAll="0">
      <items count="14">
        <item h="1" x="3"/>
        <item h="1" x="8"/>
        <item h="1" x="9"/>
        <item h="1" x="7"/>
        <item h="1" x="0"/>
        <item h="1" x="6"/>
        <item h="1" x="2"/>
        <item h="1" x="5"/>
        <item h="1" x="1"/>
        <item h="1" x="12"/>
        <item h="1" x="4"/>
        <item x="10"/>
        <item h="1" x="11"/>
        <item t="default"/>
      </items>
    </pivotField>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numFmtId="1" showAll="0"/>
    <pivotField showAll="0"/>
    <pivotField showAll="0"/>
    <pivotField dataField="1" showAll="0"/>
    <pivotField dataField="1" numFmtId="165" showAll="0"/>
    <pivotField dataField="1" numFmtId="165" showAll="0"/>
    <pivotField numFmtId="168" showAll="0"/>
    <pivotField numFmtId="168" showAll="0"/>
  </pivotFields>
  <rowFields count="1">
    <field x="6"/>
  </rowFields>
  <rowItems count="65">
    <i>
      <x v="15"/>
    </i>
    <i>
      <x v="32"/>
    </i>
    <i>
      <x v="35"/>
    </i>
    <i>
      <x v="52"/>
    </i>
    <i>
      <x v="55"/>
    </i>
    <i>
      <x v="120"/>
    </i>
    <i>
      <x v="122"/>
    </i>
    <i>
      <x v="143"/>
    </i>
    <i>
      <x v="160"/>
    </i>
    <i>
      <x v="175"/>
    </i>
    <i>
      <x v="188"/>
    </i>
    <i>
      <x v="195"/>
    </i>
    <i>
      <x v="196"/>
    </i>
    <i>
      <x v="205"/>
    </i>
    <i>
      <x v="207"/>
    </i>
    <i>
      <x v="223"/>
    </i>
    <i>
      <x v="270"/>
    </i>
    <i>
      <x v="282"/>
    </i>
    <i>
      <x v="294"/>
    </i>
    <i>
      <x v="298"/>
    </i>
    <i>
      <x v="300"/>
    </i>
    <i>
      <x v="321"/>
    </i>
    <i>
      <x v="339"/>
    </i>
    <i>
      <x v="341"/>
    </i>
    <i>
      <x v="363"/>
    </i>
    <i>
      <x v="384"/>
    </i>
    <i>
      <x v="391"/>
    </i>
    <i>
      <x v="396"/>
    </i>
    <i>
      <x v="412"/>
    </i>
    <i>
      <x v="422"/>
    </i>
    <i>
      <x v="428"/>
    </i>
    <i>
      <x v="443"/>
    </i>
    <i>
      <x v="454"/>
    </i>
    <i>
      <x v="498"/>
    </i>
    <i>
      <x v="499"/>
    </i>
    <i>
      <x v="500"/>
    </i>
    <i>
      <x v="501"/>
    </i>
    <i>
      <x v="519"/>
    </i>
    <i>
      <x v="521"/>
    </i>
    <i>
      <x v="531"/>
    </i>
    <i>
      <x v="551"/>
    </i>
    <i>
      <x v="552"/>
    </i>
    <i>
      <x v="581"/>
    </i>
    <i>
      <x v="582"/>
    </i>
    <i>
      <x v="590"/>
    </i>
    <i>
      <x v="597"/>
    </i>
    <i>
      <x v="611"/>
    </i>
    <i>
      <x v="631"/>
    </i>
    <i>
      <x v="632"/>
    </i>
    <i>
      <x v="668"/>
    </i>
    <i>
      <x v="674"/>
    </i>
    <i>
      <x v="692"/>
    </i>
    <i>
      <x v="695"/>
    </i>
    <i>
      <x v="705"/>
    </i>
    <i>
      <x v="715"/>
    </i>
    <i>
      <x v="728"/>
    </i>
    <i>
      <x v="748"/>
    </i>
    <i>
      <x v="749"/>
    </i>
    <i>
      <x v="762"/>
    </i>
    <i>
      <x v="789"/>
    </i>
    <i>
      <x v="808"/>
    </i>
    <i>
      <x v="810"/>
    </i>
    <i>
      <x v="829"/>
    </i>
    <i>
      <x v="849"/>
    </i>
    <i t="grand">
      <x/>
    </i>
  </rowItems>
  <colFields count="1">
    <field x="-2"/>
  </colFields>
  <colItems count="8">
    <i>
      <x/>
    </i>
    <i i="1">
      <x v="1"/>
    </i>
    <i i="2">
      <x v="2"/>
    </i>
    <i i="3">
      <x v="3"/>
    </i>
    <i i="4">
      <x v="4"/>
    </i>
    <i i="5">
      <x v="5"/>
    </i>
    <i i="6">
      <x v="6"/>
    </i>
    <i i="7">
      <x v="7"/>
    </i>
  </colItems>
  <dataFields count="8">
    <dataField name="Sum of UNIT (BUILDING) RATE (SEMI FINISHED)" fld="31" baseField="0" baseItem="0"/>
    <dataField name="Sum of Unit Selling Area" fld="11" baseField="0" baseItem="0" numFmtId="1"/>
    <dataField name="Sum of Private Garden Area" fld="12" baseField="0" baseItem="0"/>
    <dataField name="Sum of UNIT (GARDEN) VALUE" fld="38" baseField="7" baseItem="481" numFmtId="165"/>
    <dataField name="Sum of MAINTENANCE VALUE" fld="39" baseField="7" baseItem="293" numFmtId="165"/>
    <dataField name="Sum of TOTAL UNIT VALUE (SEMI FINISHED)" fld="43" baseField="0" baseItem="0" numFmtId="165"/>
    <dataField name="Sum of TOTAL UNIT VALUE (BASIC FINISHED)" fld="44" baseField="0" baseItem="0" numFmtId="165"/>
    <dataField name="Sum of TOTAL UNIT VALUE (FULLY FINISHED)" fld="45" baseField="0" baseItem="0" numFmtId="165"/>
  </dataFields>
  <formats count="21">
    <format dxfId="123">
      <pivotArea outline="0" collapsedLevelsAreSubtotals="1" fieldPosition="0"/>
    </format>
    <format dxfId="122">
      <pivotArea dataOnly="0" labelOnly="1" outline="0" axis="axisValues" fieldPosition="0"/>
    </format>
    <format dxfId="121">
      <pivotArea outline="0" collapsedLevelsAreSubtotals="1" fieldPosition="0">
        <references count="1">
          <reference field="4294967294" count="1" selected="0">
            <x v="3"/>
          </reference>
        </references>
      </pivotArea>
    </format>
    <format dxfId="120">
      <pivotArea dataOnly="0" labelOnly="1" outline="0" fieldPosition="0">
        <references count="1">
          <reference field="4294967294" count="1">
            <x v="3"/>
          </reference>
        </references>
      </pivotArea>
    </format>
    <format dxfId="119">
      <pivotArea outline="0" collapsedLevelsAreSubtotals="1" fieldPosition="0">
        <references count="1">
          <reference field="4294967294" count="1" selected="0">
            <x v="4"/>
          </reference>
        </references>
      </pivotArea>
    </format>
    <format dxfId="118">
      <pivotArea dataOnly="0" labelOnly="1" outline="0" fieldPosition="0">
        <references count="1">
          <reference field="4294967294" count="1">
            <x v="4"/>
          </reference>
        </references>
      </pivotArea>
    </format>
    <format dxfId="117">
      <pivotArea type="all" dataOnly="0" outline="0" fieldPosition="0"/>
    </format>
    <format dxfId="116">
      <pivotArea outline="0" collapsedLevelsAreSubtotals="1" fieldPosition="0"/>
    </format>
    <format dxfId="115">
      <pivotArea field="6" type="button" dataOnly="0" labelOnly="1" outline="0" axis="axisRow" fieldPosition="0"/>
    </format>
    <format dxfId="114">
      <pivotArea dataOnly="0" labelOnly="1" fieldPosition="0">
        <references count="1">
          <reference field="6" count="7">
            <x v="289"/>
            <x v="351"/>
            <x v="372"/>
            <x v="473"/>
            <x v="482"/>
            <x v="605"/>
            <x v="644"/>
          </reference>
        </references>
      </pivotArea>
    </format>
    <format dxfId="113">
      <pivotArea dataOnly="0" labelOnly="1" grandRow="1" outline="0" fieldPosition="0"/>
    </format>
    <format dxfId="112">
      <pivotArea dataOnly="0" labelOnly="1" outline="0" fieldPosition="0">
        <references count="1">
          <reference field="4294967294" count="3">
            <x v="1"/>
            <x v="3"/>
            <x v="4"/>
          </reference>
        </references>
      </pivotArea>
    </format>
    <format dxfId="111">
      <pivotArea field="6" type="button" dataOnly="0" labelOnly="1" outline="0" axis="axisRow" fieldPosition="0"/>
    </format>
    <format dxfId="110">
      <pivotArea dataOnly="0" labelOnly="1" outline="0" fieldPosition="0">
        <references count="1">
          <reference field="4294967294" count="3">
            <x v="1"/>
            <x v="3"/>
            <x v="4"/>
          </reference>
        </references>
      </pivotArea>
    </format>
    <format dxfId="109">
      <pivotArea dataOnly="0" labelOnly="1" outline="0" fieldPosition="0">
        <references count="1">
          <reference field="4294967294" count="1">
            <x v="2"/>
          </reference>
        </references>
      </pivotArea>
    </format>
    <format dxfId="108">
      <pivotArea dataOnly="0" labelOnly="1" outline="0" fieldPosition="0">
        <references count="1">
          <reference field="4294967294" count="3">
            <x v="5"/>
            <x v="6"/>
            <x v="7"/>
          </reference>
        </references>
      </pivotArea>
    </format>
    <format dxfId="107">
      <pivotArea outline="0" collapsedLevelsAreSubtotals="1" fieldPosition="0">
        <references count="1">
          <reference field="4294967294" count="3" selected="0">
            <x v="5"/>
            <x v="6"/>
            <x v="7"/>
          </reference>
        </references>
      </pivotArea>
    </format>
    <format dxfId="106">
      <pivotArea dataOnly="0" labelOnly="1" outline="0" fieldPosition="0">
        <references count="1">
          <reference field="4294967294" count="1">
            <x v="0"/>
          </reference>
        </references>
      </pivotArea>
    </format>
    <format dxfId="105">
      <pivotArea collapsedLevelsAreSubtotals="1" fieldPosition="0">
        <references count="2">
          <reference field="4294967294" count="1" selected="0">
            <x v="0"/>
          </reference>
          <reference field="6" count="144">
            <x v="3"/>
            <x v="19"/>
            <x v="20"/>
            <x v="23"/>
            <x v="33"/>
            <x v="34"/>
            <x v="36"/>
            <x v="39"/>
            <x v="40"/>
            <x v="42"/>
            <x v="43"/>
            <x v="45"/>
            <x v="49"/>
            <x v="50"/>
            <x v="54"/>
            <x v="56"/>
            <x v="57"/>
            <x v="59"/>
            <x v="117"/>
            <x v="128"/>
            <x v="130"/>
            <x v="131"/>
            <x v="137"/>
            <x v="138"/>
            <x v="148"/>
            <x v="151"/>
            <x v="153"/>
            <x v="154"/>
            <x v="157"/>
            <x v="168"/>
            <x v="171"/>
            <x v="173"/>
            <x v="180"/>
            <x v="181"/>
            <x v="182"/>
            <x v="193"/>
            <x v="194"/>
            <x v="197"/>
            <x v="202"/>
            <x v="210"/>
            <x v="217"/>
            <x v="221"/>
            <x v="229"/>
            <x v="240"/>
            <x v="244"/>
            <x v="272"/>
            <x v="283"/>
            <x v="287"/>
            <x v="302"/>
            <x v="307"/>
            <x v="342"/>
            <x v="365"/>
            <x v="370"/>
            <x v="374"/>
            <x v="377"/>
            <x v="378"/>
            <x v="381"/>
            <x v="385"/>
            <x v="386"/>
            <x v="390"/>
            <x v="393"/>
            <x v="394"/>
            <x v="397"/>
            <x v="406"/>
            <x v="409"/>
            <x v="410"/>
            <x v="430"/>
            <x v="433"/>
            <x v="444"/>
            <x v="447"/>
            <x v="449"/>
            <x v="451"/>
            <x v="465"/>
            <x v="467"/>
            <x v="468"/>
            <x v="484"/>
            <x v="488"/>
            <x v="489"/>
            <x v="490"/>
            <x v="491"/>
            <x v="502"/>
            <x v="505"/>
            <x v="509"/>
            <x v="525"/>
            <x v="535"/>
            <x v="542"/>
            <x v="546"/>
            <x v="550"/>
            <x v="555"/>
            <x v="557"/>
            <x v="562"/>
            <x v="566"/>
            <x v="569"/>
            <x v="570"/>
            <x v="580"/>
            <x v="583"/>
            <x v="587"/>
            <x v="591"/>
            <x v="594"/>
            <x v="603"/>
            <x v="610"/>
            <x v="615"/>
            <x v="617"/>
            <x v="622"/>
            <x v="635"/>
            <x v="636"/>
            <x v="642"/>
            <x v="651"/>
            <x v="656"/>
            <x v="662"/>
            <x v="671"/>
            <x v="672"/>
            <x v="678"/>
            <x v="682"/>
            <x v="685"/>
            <x v="689"/>
            <x v="690"/>
            <x v="703"/>
            <x v="709"/>
            <x v="710"/>
            <x v="719"/>
            <x v="723"/>
            <x v="727"/>
            <x v="734"/>
            <x v="739"/>
            <x v="753"/>
            <x v="760"/>
            <x v="763"/>
            <x v="764"/>
            <x v="769"/>
            <x v="770"/>
            <x v="776"/>
            <x v="779"/>
            <x v="780"/>
            <x v="784"/>
            <x v="788"/>
            <x v="790"/>
            <x v="796"/>
            <x v="814"/>
            <x v="815"/>
            <x v="821"/>
            <x v="822"/>
            <x v="850"/>
            <x v="851"/>
          </reference>
        </references>
      </pivotArea>
    </format>
    <format dxfId="104">
      <pivotArea field="6" grandRow="1" outline="0" collapsedLevelsAreSubtotals="1" axis="axisRow" fieldPosition="0">
        <references count="1">
          <reference field="4294967294" count="1" selected="0">
            <x v="0"/>
          </reference>
        </references>
      </pivotArea>
    </format>
    <format dxfId="103">
      <pivotArea field="6" grandRow="1" outline="0" collapsedLevelsAreSubtotals="1" axis="axisRow"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7AFFD8B9-EC68-489B-AAAC-6A9B900A9F5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I43" firstHeaderRow="0" firstDataRow="1" firstDataCol="1"/>
  <pivotFields count="48">
    <pivotField showAll="0"/>
    <pivotField showAll="0"/>
    <pivotField showAll="0"/>
    <pivotField showAll="0"/>
    <pivotField numFmtId="1" showAll="0"/>
    <pivotField numFmtId="1" showAll="0"/>
    <pivotField axis="axisRow" showAll="0">
      <items count="8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352"/>
        <item x="353"/>
        <item x="354"/>
        <item x="355"/>
        <item x="176"/>
        <item x="356"/>
        <item x="357"/>
        <item x="177"/>
        <item x="358"/>
        <item x="359"/>
        <item x="360"/>
        <item x="361"/>
        <item x="178"/>
        <item x="362"/>
        <item x="363"/>
        <item x="364"/>
        <item x="365"/>
        <item x="179"/>
        <item x="366"/>
        <item x="367"/>
        <item x="368"/>
        <item x="369"/>
        <item x="370"/>
        <item x="371"/>
        <item x="372"/>
        <item x="373"/>
        <item x="180"/>
        <item x="374"/>
        <item x="375"/>
        <item x="376"/>
        <item x="377"/>
        <item x="181"/>
        <item x="378"/>
        <item x="379"/>
        <item x="380"/>
        <item x="381"/>
        <item x="182"/>
        <item x="382"/>
        <item x="383"/>
        <item x="384"/>
        <item x="385"/>
        <item x="183"/>
        <item x="386"/>
        <item x="387"/>
        <item x="388"/>
        <item x="389"/>
        <item x="390"/>
        <item x="391"/>
        <item x="392"/>
        <item x="393"/>
        <item x="184"/>
        <item x="394"/>
        <item x="395"/>
        <item x="396"/>
        <item x="397"/>
        <item x="185"/>
        <item x="398"/>
        <item x="399"/>
        <item x="400"/>
        <item x="401"/>
        <item x="186"/>
        <item x="402"/>
        <item x="403"/>
        <item x="404"/>
        <item x="405"/>
        <item x="187"/>
        <item x="406"/>
        <item x="407"/>
        <item x="408"/>
        <item x="409"/>
        <item x="410"/>
        <item x="411"/>
        <item x="412"/>
        <item x="413"/>
        <item x="188"/>
        <item x="414"/>
        <item x="415"/>
        <item x="189"/>
        <item x="416"/>
        <item x="417"/>
        <item x="418"/>
        <item x="419"/>
        <item x="190"/>
        <item x="420"/>
        <item x="421"/>
        <item x="422"/>
        <item x="423"/>
        <item x="191"/>
        <item x="424"/>
        <item x="425"/>
        <item x="426"/>
        <item x="427"/>
        <item x="428"/>
        <item x="429"/>
        <item x="430"/>
        <item x="431"/>
        <item x="192"/>
        <item x="432"/>
        <item x="433"/>
        <item x="434"/>
        <item x="435"/>
        <item x="193"/>
        <item x="436"/>
        <item x="437"/>
        <item x="438"/>
        <item x="439"/>
        <item x="194"/>
        <item x="440"/>
        <item x="441"/>
        <item x="442"/>
        <item x="443"/>
        <item x="195"/>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showAll="0"/>
    <pivotField showAll="0"/>
    <pivotField showAll="0"/>
    <pivotField numFmtId="2" showAll="0"/>
    <pivotField dataField="1" numFmtId="2" showAll="0"/>
    <pivotField dataField="1" showAll="0"/>
    <pivotField showAll="0"/>
    <pivotField showAll="0"/>
    <pivotField showAll="0"/>
    <pivotField showAll="0"/>
    <pivotField showAll="0"/>
    <pivotField showAll="0">
      <items count="7">
        <item x="2"/>
        <item x="1"/>
        <item x="0"/>
        <item x="4"/>
        <item x="3"/>
        <item x="5"/>
        <item t="default"/>
      </items>
    </pivotField>
    <pivotField numFmtId="164" showAll="0"/>
    <pivotField numFmtId="164" showAll="0"/>
    <pivotField numFmtId="164" showAll="0"/>
    <pivotField numFmtId="164" showAll="0"/>
    <pivotField numFmtId="164" showAll="0"/>
    <pivotField numFmtId="10" showAll="0"/>
    <pivotField showAll="0">
      <items count="5">
        <item x="2"/>
        <item x="1"/>
        <item x="0"/>
        <item x="3"/>
        <item t="default"/>
      </items>
    </pivotField>
    <pivotField showAll="0">
      <items count="14">
        <item h="1" x="3"/>
        <item x="8"/>
        <item h="1" x="9"/>
        <item h="1" x="7"/>
        <item h="1" x="0"/>
        <item h="1" x="6"/>
        <item h="1" x="2"/>
        <item h="1" x="5"/>
        <item h="1" x="1"/>
        <item h="1" x="12"/>
        <item h="1" x="4"/>
        <item h="1" x="10"/>
        <item h="1" x="11"/>
        <item t="default"/>
      </items>
    </pivotField>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numFmtId="1" showAll="0"/>
    <pivotField showAll="0"/>
    <pivotField showAll="0"/>
    <pivotField dataField="1" showAll="0"/>
    <pivotField dataField="1" numFmtId="165" showAll="0"/>
    <pivotField dataField="1" numFmtId="165" showAll="0"/>
    <pivotField numFmtId="168" showAll="0"/>
    <pivotField numFmtId="168" showAll="0"/>
  </pivotFields>
  <rowFields count="1">
    <field x="6"/>
  </rowFields>
  <rowItems count="25">
    <i>
      <x v="10"/>
    </i>
    <i>
      <x v="29"/>
    </i>
    <i>
      <x v="30"/>
    </i>
    <i>
      <x v="46"/>
    </i>
    <i>
      <x v="58"/>
    </i>
    <i>
      <x v="163"/>
    </i>
    <i>
      <x v="198"/>
    </i>
    <i>
      <x v="199"/>
    </i>
    <i>
      <x v="212"/>
    </i>
    <i>
      <x v="235"/>
    </i>
    <i>
      <x v="323"/>
    </i>
    <i>
      <x v="324"/>
    </i>
    <i>
      <x v="338"/>
    </i>
    <i>
      <x v="395"/>
    </i>
    <i>
      <x v="407"/>
    </i>
    <i>
      <x v="416"/>
    </i>
    <i>
      <x v="463"/>
    </i>
    <i>
      <x v="528"/>
    </i>
    <i>
      <x v="529"/>
    </i>
    <i>
      <x v="553"/>
    </i>
    <i>
      <x v="616"/>
    </i>
    <i>
      <x v="657"/>
    </i>
    <i>
      <x v="811"/>
    </i>
    <i>
      <x v="846"/>
    </i>
    <i t="grand">
      <x/>
    </i>
  </rowItems>
  <colFields count="1">
    <field x="-2"/>
  </colFields>
  <colItems count="8">
    <i>
      <x/>
    </i>
    <i i="1">
      <x v="1"/>
    </i>
    <i i="2">
      <x v="2"/>
    </i>
    <i i="3">
      <x v="3"/>
    </i>
    <i i="4">
      <x v="4"/>
    </i>
    <i i="5">
      <x v="5"/>
    </i>
    <i i="6">
      <x v="6"/>
    </i>
    <i i="7">
      <x v="7"/>
    </i>
  </colItems>
  <dataFields count="8">
    <dataField name="Sum of UNIT (BUILDING) RATE (SEMI FINISHED)" fld="31" baseField="0" baseItem="0"/>
    <dataField name="Sum of Unit Selling Area" fld="11" baseField="0" baseItem="0" numFmtId="1"/>
    <dataField name="Sum of Private Garden Area" fld="12" baseField="0" baseItem="0"/>
    <dataField name="Sum of UNIT (GARDEN) VALUE" fld="38" baseField="7" baseItem="481" numFmtId="165"/>
    <dataField name="Sum of MAINTENANCE VALUE" fld="39" baseField="7" baseItem="293" numFmtId="165"/>
    <dataField name="Sum of TOTAL UNIT VALUE (SEMI FINISHED)" fld="43" baseField="0" baseItem="0" numFmtId="165"/>
    <dataField name="Sum of TOTAL UNIT VALUE (BASIC FINISHED)" fld="44" baseField="0" baseItem="0" numFmtId="165"/>
    <dataField name="Sum of TOTAL UNIT VALUE (FULLY FINISHED)" fld="45" baseField="0" baseItem="0" numFmtId="165"/>
  </dataFields>
  <formats count="21">
    <format dxfId="102">
      <pivotArea outline="0" collapsedLevelsAreSubtotals="1" fieldPosition="0"/>
    </format>
    <format dxfId="101">
      <pivotArea dataOnly="0" labelOnly="1" outline="0" axis="axisValues" fieldPosition="0"/>
    </format>
    <format dxfId="100">
      <pivotArea outline="0" collapsedLevelsAreSubtotals="1" fieldPosition="0">
        <references count="1">
          <reference field="4294967294" count="1" selected="0">
            <x v="3"/>
          </reference>
        </references>
      </pivotArea>
    </format>
    <format dxfId="99">
      <pivotArea dataOnly="0" labelOnly="1" outline="0" fieldPosition="0">
        <references count="1">
          <reference field="4294967294" count="1">
            <x v="3"/>
          </reference>
        </references>
      </pivotArea>
    </format>
    <format dxfId="98">
      <pivotArea outline="0" collapsedLevelsAreSubtotals="1" fieldPosition="0">
        <references count="1">
          <reference field="4294967294" count="1" selected="0">
            <x v="4"/>
          </reference>
        </references>
      </pivotArea>
    </format>
    <format dxfId="97">
      <pivotArea dataOnly="0" labelOnly="1" outline="0" fieldPosition="0">
        <references count="1">
          <reference field="4294967294" count="1">
            <x v="4"/>
          </reference>
        </references>
      </pivotArea>
    </format>
    <format dxfId="96">
      <pivotArea type="all" dataOnly="0" outline="0" fieldPosition="0"/>
    </format>
    <format dxfId="95">
      <pivotArea outline="0" collapsedLevelsAreSubtotals="1" fieldPosition="0"/>
    </format>
    <format dxfId="94">
      <pivotArea field="6" type="button" dataOnly="0" labelOnly="1" outline="0" axis="axisRow" fieldPosition="0"/>
    </format>
    <format dxfId="93">
      <pivotArea dataOnly="0" labelOnly="1" fieldPosition="0">
        <references count="1">
          <reference field="6" count="7">
            <x v="289"/>
            <x v="351"/>
            <x v="372"/>
            <x v="473"/>
            <x v="482"/>
            <x v="605"/>
            <x v="644"/>
          </reference>
        </references>
      </pivotArea>
    </format>
    <format dxfId="92">
      <pivotArea dataOnly="0" labelOnly="1" grandRow="1" outline="0" fieldPosition="0"/>
    </format>
    <format dxfId="91">
      <pivotArea dataOnly="0" labelOnly="1" outline="0" fieldPosition="0">
        <references count="1">
          <reference field="4294967294" count="3">
            <x v="1"/>
            <x v="3"/>
            <x v="4"/>
          </reference>
        </references>
      </pivotArea>
    </format>
    <format dxfId="90">
      <pivotArea field="6" type="button" dataOnly="0" labelOnly="1" outline="0" axis="axisRow" fieldPosition="0"/>
    </format>
    <format dxfId="89">
      <pivotArea dataOnly="0" labelOnly="1" outline="0" fieldPosition="0">
        <references count="1">
          <reference field="4294967294" count="3">
            <x v="1"/>
            <x v="3"/>
            <x v="4"/>
          </reference>
        </references>
      </pivotArea>
    </format>
    <format dxfId="88">
      <pivotArea dataOnly="0" labelOnly="1" outline="0" fieldPosition="0">
        <references count="1">
          <reference field="4294967294" count="1">
            <x v="2"/>
          </reference>
        </references>
      </pivotArea>
    </format>
    <format dxfId="87">
      <pivotArea dataOnly="0" labelOnly="1" outline="0" fieldPosition="0">
        <references count="1">
          <reference field="4294967294" count="3">
            <x v="5"/>
            <x v="6"/>
            <x v="7"/>
          </reference>
        </references>
      </pivotArea>
    </format>
    <format dxfId="86">
      <pivotArea outline="0" collapsedLevelsAreSubtotals="1" fieldPosition="0">
        <references count="1">
          <reference field="4294967294" count="3" selected="0">
            <x v="5"/>
            <x v="6"/>
            <x v="7"/>
          </reference>
        </references>
      </pivotArea>
    </format>
    <format dxfId="85">
      <pivotArea dataOnly="0" labelOnly="1" outline="0" fieldPosition="0">
        <references count="1">
          <reference field="4294967294" count="1">
            <x v="0"/>
          </reference>
        </references>
      </pivotArea>
    </format>
    <format dxfId="84">
      <pivotArea collapsedLevelsAreSubtotals="1" fieldPosition="0">
        <references count="2">
          <reference field="4294967294" count="1" selected="0">
            <x v="0"/>
          </reference>
          <reference field="6" count="144">
            <x v="3"/>
            <x v="19"/>
            <x v="20"/>
            <x v="23"/>
            <x v="33"/>
            <x v="34"/>
            <x v="36"/>
            <x v="39"/>
            <x v="40"/>
            <x v="42"/>
            <x v="43"/>
            <x v="45"/>
            <x v="49"/>
            <x v="50"/>
            <x v="54"/>
            <x v="56"/>
            <x v="57"/>
            <x v="59"/>
            <x v="117"/>
            <x v="128"/>
            <x v="130"/>
            <x v="131"/>
            <x v="137"/>
            <x v="138"/>
            <x v="148"/>
            <x v="151"/>
            <x v="153"/>
            <x v="154"/>
            <x v="157"/>
            <x v="168"/>
            <x v="171"/>
            <x v="173"/>
            <x v="180"/>
            <x v="181"/>
            <x v="182"/>
            <x v="193"/>
            <x v="194"/>
            <x v="197"/>
            <x v="202"/>
            <x v="210"/>
            <x v="217"/>
            <x v="221"/>
            <x v="229"/>
            <x v="240"/>
            <x v="244"/>
            <x v="272"/>
            <x v="283"/>
            <x v="287"/>
            <x v="302"/>
            <x v="307"/>
            <x v="342"/>
            <x v="365"/>
            <x v="370"/>
            <x v="374"/>
            <x v="377"/>
            <x v="378"/>
            <x v="381"/>
            <x v="385"/>
            <x v="386"/>
            <x v="390"/>
            <x v="393"/>
            <x v="394"/>
            <x v="397"/>
            <x v="406"/>
            <x v="409"/>
            <x v="410"/>
            <x v="430"/>
            <x v="433"/>
            <x v="444"/>
            <x v="447"/>
            <x v="449"/>
            <x v="451"/>
            <x v="465"/>
            <x v="467"/>
            <x v="468"/>
            <x v="484"/>
            <x v="488"/>
            <x v="489"/>
            <x v="490"/>
            <x v="491"/>
            <x v="502"/>
            <x v="505"/>
            <x v="509"/>
            <x v="525"/>
            <x v="535"/>
            <x v="542"/>
            <x v="546"/>
            <x v="550"/>
            <x v="555"/>
            <x v="557"/>
            <x v="562"/>
            <x v="566"/>
            <x v="569"/>
            <x v="570"/>
            <x v="580"/>
            <x v="583"/>
            <x v="587"/>
            <x v="591"/>
            <x v="594"/>
            <x v="603"/>
            <x v="610"/>
            <x v="615"/>
            <x v="617"/>
            <x v="622"/>
            <x v="635"/>
            <x v="636"/>
            <x v="642"/>
            <x v="651"/>
            <x v="656"/>
            <x v="662"/>
            <x v="671"/>
            <x v="672"/>
            <x v="678"/>
            <x v="682"/>
            <x v="685"/>
            <x v="689"/>
            <x v="690"/>
            <x v="703"/>
            <x v="709"/>
            <x v="710"/>
            <x v="719"/>
            <x v="723"/>
            <x v="727"/>
            <x v="734"/>
            <x v="739"/>
            <x v="753"/>
            <x v="760"/>
            <x v="763"/>
            <x v="764"/>
            <x v="769"/>
            <x v="770"/>
            <x v="776"/>
            <x v="779"/>
            <x v="780"/>
            <x v="784"/>
            <x v="788"/>
            <x v="790"/>
            <x v="796"/>
            <x v="814"/>
            <x v="815"/>
            <x v="821"/>
            <x v="822"/>
            <x v="850"/>
            <x v="851"/>
          </reference>
        </references>
      </pivotArea>
    </format>
    <format dxfId="83">
      <pivotArea field="6" grandRow="1" outline="0" collapsedLevelsAreSubtotals="1" axis="axisRow" fieldPosition="0">
        <references count="1">
          <reference field="4294967294" count="1" selected="0">
            <x v="0"/>
          </reference>
        </references>
      </pivotArea>
    </format>
    <format dxfId="82">
      <pivotArea field="6" grandRow="1" outline="0" collapsedLevelsAreSubtotals="1" axis="axisRow"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EC9875A4-2D10-41A1-AC36-A23FA3A099F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I40" firstHeaderRow="0" firstDataRow="1" firstDataCol="1"/>
  <pivotFields count="48">
    <pivotField showAll="0"/>
    <pivotField showAll="0"/>
    <pivotField showAll="0"/>
    <pivotField showAll="0"/>
    <pivotField numFmtId="1" showAll="0"/>
    <pivotField numFmtId="1" showAll="0"/>
    <pivotField axis="axisRow" showAll="0">
      <items count="8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352"/>
        <item x="353"/>
        <item x="354"/>
        <item x="355"/>
        <item x="176"/>
        <item x="356"/>
        <item x="357"/>
        <item x="177"/>
        <item x="358"/>
        <item x="359"/>
        <item x="360"/>
        <item x="361"/>
        <item x="178"/>
        <item x="362"/>
        <item x="363"/>
        <item x="364"/>
        <item x="365"/>
        <item x="179"/>
        <item x="366"/>
        <item x="367"/>
        <item x="368"/>
        <item x="369"/>
        <item x="370"/>
        <item x="371"/>
        <item x="372"/>
        <item x="373"/>
        <item x="180"/>
        <item x="374"/>
        <item x="375"/>
        <item x="376"/>
        <item x="377"/>
        <item x="181"/>
        <item x="378"/>
        <item x="379"/>
        <item x="380"/>
        <item x="381"/>
        <item x="182"/>
        <item x="382"/>
        <item x="383"/>
        <item x="384"/>
        <item x="385"/>
        <item x="183"/>
        <item x="386"/>
        <item x="387"/>
        <item x="388"/>
        <item x="389"/>
        <item x="390"/>
        <item x="391"/>
        <item x="392"/>
        <item x="393"/>
        <item x="184"/>
        <item x="394"/>
        <item x="395"/>
        <item x="396"/>
        <item x="397"/>
        <item x="185"/>
        <item x="398"/>
        <item x="399"/>
        <item x="400"/>
        <item x="401"/>
        <item x="186"/>
        <item x="402"/>
        <item x="403"/>
        <item x="404"/>
        <item x="405"/>
        <item x="187"/>
        <item x="406"/>
        <item x="407"/>
        <item x="408"/>
        <item x="409"/>
        <item x="410"/>
        <item x="411"/>
        <item x="412"/>
        <item x="413"/>
        <item x="188"/>
        <item x="414"/>
        <item x="415"/>
        <item x="189"/>
        <item x="416"/>
        <item x="417"/>
        <item x="418"/>
        <item x="419"/>
        <item x="190"/>
        <item x="420"/>
        <item x="421"/>
        <item x="422"/>
        <item x="423"/>
        <item x="191"/>
        <item x="424"/>
        <item x="425"/>
        <item x="426"/>
        <item x="427"/>
        <item x="428"/>
        <item x="429"/>
        <item x="430"/>
        <item x="431"/>
        <item x="192"/>
        <item x="432"/>
        <item x="433"/>
        <item x="434"/>
        <item x="435"/>
        <item x="193"/>
        <item x="436"/>
        <item x="437"/>
        <item x="438"/>
        <item x="439"/>
        <item x="194"/>
        <item x="440"/>
        <item x="441"/>
        <item x="442"/>
        <item x="443"/>
        <item x="195"/>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showAll="0"/>
    <pivotField showAll="0"/>
    <pivotField showAll="0"/>
    <pivotField numFmtId="2" showAll="0"/>
    <pivotField dataField="1" numFmtId="2" showAll="0"/>
    <pivotField dataField="1" showAll="0"/>
    <pivotField showAll="0"/>
    <pivotField showAll="0"/>
    <pivotField showAll="0"/>
    <pivotField showAll="0"/>
    <pivotField showAll="0"/>
    <pivotField showAll="0">
      <items count="7">
        <item x="2"/>
        <item x="1"/>
        <item x="0"/>
        <item x="4"/>
        <item x="3"/>
        <item x="5"/>
        <item t="default"/>
      </items>
    </pivotField>
    <pivotField numFmtId="164" showAll="0"/>
    <pivotField numFmtId="164" showAll="0"/>
    <pivotField numFmtId="164" showAll="0"/>
    <pivotField numFmtId="164" showAll="0"/>
    <pivotField numFmtId="164" showAll="0"/>
    <pivotField numFmtId="10" showAll="0"/>
    <pivotField showAll="0">
      <items count="5">
        <item x="2"/>
        <item x="1"/>
        <item x="0"/>
        <item x="3"/>
        <item t="default"/>
      </items>
    </pivotField>
    <pivotField showAll="0">
      <items count="14">
        <item h="1" x="3"/>
        <item h="1" x="8"/>
        <item x="9"/>
        <item h="1" x="7"/>
        <item h="1" x="0"/>
        <item h="1" x="6"/>
        <item h="1" x="2"/>
        <item h="1" x="5"/>
        <item h="1" x="1"/>
        <item h="1" x="12"/>
        <item h="1" x="4"/>
        <item h="1" x="10"/>
        <item h="1" x="11"/>
        <item t="default"/>
      </items>
    </pivotField>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numFmtId="1" showAll="0"/>
    <pivotField showAll="0"/>
    <pivotField showAll="0"/>
    <pivotField dataField="1" showAll="0"/>
    <pivotField dataField="1" numFmtId="165" showAll="0"/>
    <pivotField dataField="1" numFmtId="165" showAll="0"/>
    <pivotField numFmtId="168" showAll="0"/>
    <pivotField numFmtId="168" showAll="0"/>
  </pivotFields>
  <rowFields count="1">
    <field x="6"/>
  </rowFields>
  <rowItems count="22">
    <i>
      <x v="12"/>
    </i>
    <i>
      <x v="218"/>
    </i>
    <i>
      <x v="219"/>
    </i>
    <i>
      <x v="231"/>
    </i>
    <i>
      <x v="243"/>
    </i>
    <i>
      <x v="278"/>
    </i>
    <i>
      <x v="290"/>
    </i>
    <i>
      <x v="303"/>
    </i>
    <i>
      <x v="305"/>
    </i>
    <i>
      <x v="344"/>
    </i>
    <i>
      <x v="361"/>
    </i>
    <i>
      <x v="364"/>
    </i>
    <i>
      <x v="383"/>
    </i>
    <i>
      <x v="400"/>
    </i>
    <i>
      <x v="425"/>
    </i>
    <i>
      <x v="483"/>
    </i>
    <i>
      <x v="518"/>
    </i>
    <i>
      <x v="544"/>
    </i>
    <i>
      <x v="545"/>
    </i>
    <i>
      <x v="677"/>
    </i>
    <i>
      <x v="712"/>
    </i>
    <i t="grand">
      <x/>
    </i>
  </rowItems>
  <colFields count="1">
    <field x="-2"/>
  </colFields>
  <colItems count="8">
    <i>
      <x/>
    </i>
    <i i="1">
      <x v="1"/>
    </i>
    <i i="2">
      <x v="2"/>
    </i>
    <i i="3">
      <x v="3"/>
    </i>
    <i i="4">
      <x v="4"/>
    </i>
    <i i="5">
      <x v="5"/>
    </i>
    <i i="6">
      <x v="6"/>
    </i>
    <i i="7">
      <x v="7"/>
    </i>
  </colItems>
  <dataFields count="8">
    <dataField name="Sum of UNIT (BUILDING) RATE (SEMI FINISHED)" fld="31" baseField="0" baseItem="0"/>
    <dataField name="Sum of Unit Selling Area" fld="11" baseField="0" baseItem="0" numFmtId="1"/>
    <dataField name="Sum of Private Garden Area" fld="12" baseField="0" baseItem="0"/>
    <dataField name="Sum of UNIT (GARDEN) VALUE" fld="38" baseField="7" baseItem="481" numFmtId="165"/>
    <dataField name="Sum of MAINTENANCE VALUE" fld="39" baseField="7" baseItem="293" numFmtId="165"/>
    <dataField name="Sum of TOTAL UNIT VALUE (SEMI FINISHED)" fld="43" baseField="0" baseItem="0" numFmtId="165"/>
    <dataField name="Sum of TOTAL UNIT VALUE (BASIC FINISHED)" fld="44" baseField="0" baseItem="0" numFmtId="165"/>
    <dataField name="Sum of TOTAL UNIT VALUE (FULLY FINISHED)" fld="45" baseField="0" baseItem="0" numFmtId="165"/>
  </dataFields>
  <formats count="21">
    <format dxfId="81">
      <pivotArea outline="0" collapsedLevelsAreSubtotals="1" fieldPosition="0"/>
    </format>
    <format dxfId="80">
      <pivotArea dataOnly="0" labelOnly="1" outline="0" axis="axisValues" fieldPosition="0"/>
    </format>
    <format dxfId="79">
      <pivotArea outline="0" collapsedLevelsAreSubtotals="1" fieldPosition="0">
        <references count="1">
          <reference field="4294967294" count="1" selected="0">
            <x v="3"/>
          </reference>
        </references>
      </pivotArea>
    </format>
    <format dxfId="78">
      <pivotArea dataOnly="0" labelOnly="1" outline="0" fieldPosition="0">
        <references count="1">
          <reference field="4294967294" count="1">
            <x v="3"/>
          </reference>
        </references>
      </pivotArea>
    </format>
    <format dxfId="77">
      <pivotArea outline="0" collapsedLevelsAreSubtotals="1" fieldPosition="0">
        <references count="1">
          <reference field="4294967294" count="1" selected="0">
            <x v="4"/>
          </reference>
        </references>
      </pivotArea>
    </format>
    <format dxfId="76">
      <pivotArea dataOnly="0" labelOnly="1" outline="0" fieldPosition="0">
        <references count="1">
          <reference field="4294967294" count="1">
            <x v="4"/>
          </reference>
        </references>
      </pivotArea>
    </format>
    <format dxfId="75">
      <pivotArea type="all" dataOnly="0" outline="0" fieldPosition="0"/>
    </format>
    <format dxfId="74">
      <pivotArea outline="0" collapsedLevelsAreSubtotals="1" fieldPosition="0"/>
    </format>
    <format dxfId="73">
      <pivotArea field="6" type="button" dataOnly="0" labelOnly="1" outline="0" axis="axisRow" fieldPosition="0"/>
    </format>
    <format dxfId="72">
      <pivotArea dataOnly="0" labelOnly="1" fieldPosition="0">
        <references count="1">
          <reference field="6" count="7">
            <x v="289"/>
            <x v="351"/>
            <x v="372"/>
            <x v="473"/>
            <x v="482"/>
            <x v="605"/>
            <x v="644"/>
          </reference>
        </references>
      </pivotArea>
    </format>
    <format dxfId="71">
      <pivotArea dataOnly="0" labelOnly="1" grandRow="1" outline="0" fieldPosition="0"/>
    </format>
    <format dxfId="70">
      <pivotArea dataOnly="0" labelOnly="1" outline="0" fieldPosition="0">
        <references count="1">
          <reference field="4294967294" count="3">
            <x v="1"/>
            <x v="3"/>
            <x v="4"/>
          </reference>
        </references>
      </pivotArea>
    </format>
    <format dxfId="69">
      <pivotArea field="6" type="button" dataOnly="0" labelOnly="1" outline="0" axis="axisRow" fieldPosition="0"/>
    </format>
    <format dxfId="68">
      <pivotArea dataOnly="0" labelOnly="1" outline="0" fieldPosition="0">
        <references count="1">
          <reference field="4294967294" count="3">
            <x v="1"/>
            <x v="3"/>
            <x v="4"/>
          </reference>
        </references>
      </pivotArea>
    </format>
    <format dxfId="67">
      <pivotArea dataOnly="0" labelOnly="1" outline="0" fieldPosition="0">
        <references count="1">
          <reference field="4294967294" count="1">
            <x v="2"/>
          </reference>
        </references>
      </pivotArea>
    </format>
    <format dxfId="66">
      <pivotArea dataOnly="0" labelOnly="1" outline="0" fieldPosition="0">
        <references count="1">
          <reference field="4294967294" count="3">
            <x v="5"/>
            <x v="6"/>
            <x v="7"/>
          </reference>
        </references>
      </pivotArea>
    </format>
    <format dxfId="65">
      <pivotArea outline="0" collapsedLevelsAreSubtotals="1" fieldPosition="0">
        <references count="1">
          <reference field="4294967294" count="3" selected="0">
            <x v="5"/>
            <x v="6"/>
            <x v="7"/>
          </reference>
        </references>
      </pivotArea>
    </format>
    <format dxfId="64">
      <pivotArea dataOnly="0" labelOnly="1" outline="0" fieldPosition="0">
        <references count="1">
          <reference field="4294967294" count="1">
            <x v="0"/>
          </reference>
        </references>
      </pivotArea>
    </format>
    <format dxfId="63">
      <pivotArea collapsedLevelsAreSubtotals="1" fieldPosition="0">
        <references count="2">
          <reference field="4294967294" count="1" selected="0">
            <x v="0"/>
          </reference>
          <reference field="6" count="144">
            <x v="3"/>
            <x v="19"/>
            <x v="20"/>
            <x v="23"/>
            <x v="33"/>
            <x v="34"/>
            <x v="36"/>
            <x v="39"/>
            <x v="40"/>
            <x v="42"/>
            <x v="43"/>
            <x v="45"/>
            <x v="49"/>
            <x v="50"/>
            <x v="54"/>
            <x v="56"/>
            <x v="57"/>
            <x v="59"/>
            <x v="117"/>
            <x v="128"/>
            <x v="130"/>
            <x v="131"/>
            <x v="137"/>
            <x v="138"/>
            <x v="148"/>
            <x v="151"/>
            <x v="153"/>
            <x v="154"/>
            <x v="157"/>
            <x v="168"/>
            <x v="171"/>
            <x v="173"/>
            <x v="180"/>
            <x v="181"/>
            <x v="182"/>
            <x v="193"/>
            <x v="194"/>
            <x v="197"/>
            <x v="202"/>
            <x v="210"/>
            <x v="217"/>
            <x v="221"/>
            <x v="229"/>
            <x v="240"/>
            <x v="244"/>
            <x v="272"/>
            <x v="283"/>
            <x v="287"/>
            <x v="302"/>
            <x v="307"/>
            <x v="342"/>
            <x v="365"/>
            <x v="370"/>
            <x v="374"/>
            <x v="377"/>
            <x v="378"/>
            <x v="381"/>
            <x v="385"/>
            <x v="386"/>
            <x v="390"/>
            <x v="393"/>
            <x v="394"/>
            <x v="397"/>
            <x v="406"/>
            <x v="409"/>
            <x v="410"/>
            <x v="430"/>
            <x v="433"/>
            <x v="444"/>
            <x v="447"/>
            <x v="449"/>
            <x v="451"/>
            <x v="465"/>
            <x v="467"/>
            <x v="468"/>
            <x v="484"/>
            <x v="488"/>
            <x v="489"/>
            <x v="490"/>
            <x v="491"/>
            <x v="502"/>
            <x v="505"/>
            <x v="509"/>
            <x v="525"/>
            <x v="535"/>
            <x v="542"/>
            <x v="546"/>
            <x v="550"/>
            <x v="555"/>
            <x v="557"/>
            <x v="562"/>
            <x v="566"/>
            <x v="569"/>
            <x v="570"/>
            <x v="580"/>
            <x v="583"/>
            <x v="587"/>
            <x v="591"/>
            <x v="594"/>
            <x v="603"/>
            <x v="610"/>
            <x v="615"/>
            <x v="617"/>
            <x v="622"/>
            <x v="635"/>
            <x v="636"/>
            <x v="642"/>
            <x v="651"/>
            <x v="656"/>
            <x v="662"/>
            <x v="671"/>
            <x v="672"/>
            <x v="678"/>
            <x v="682"/>
            <x v="685"/>
            <x v="689"/>
            <x v="690"/>
            <x v="703"/>
            <x v="709"/>
            <x v="710"/>
            <x v="719"/>
            <x v="723"/>
            <x v="727"/>
            <x v="734"/>
            <x v="739"/>
            <x v="753"/>
            <x v="760"/>
            <x v="763"/>
            <x v="764"/>
            <x v="769"/>
            <x v="770"/>
            <x v="776"/>
            <x v="779"/>
            <x v="780"/>
            <x v="784"/>
            <x v="788"/>
            <x v="790"/>
            <x v="796"/>
            <x v="814"/>
            <x v="815"/>
            <x v="821"/>
            <x v="822"/>
            <x v="850"/>
            <x v="851"/>
          </reference>
        </references>
      </pivotArea>
    </format>
    <format dxfId="62">
      <pivotArea field="6" grandRow="1" outline="0" collapsedLevelsAreSubtotals="1" axis="axisRow" fieldPosition="0">
        <references count="1">
          <reference field="4294967294" count="1" selected="0">
            <x v="0"/>
          </reference>
        </references>
      </pivotArea>
    </format>
    <format dxfId="61">
      <pivotArea field="6" grandRow="1" outline="0" collapsedLevelsAreSubtotals="1" axis="axisRow"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A230583B-D201-4E66-B94C-3D9FD2564433}"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I91" firstHeaderRow="0" firstDataRow="1" firstDataCol="1"/>
  <pivotFields count="48">
    <pivotField showAll="0"/>
    <pivotField showAll="0"/>
    <pivotField showAll="0"/>
    <pivotField showAll="0"/>
    <pivotField numFmtId="1" showAll="0"/>
    <pivotField numFmtId="1" showAll="0"/>
    <pivotField axis="axisRow" showAll="0">
      <items count="8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352"/>
        <item x="353"/>
        <item x="354"/>
        <item x="355"/>
        <item x="176"/>
        <item x="356"/>
        <item x="357"/>
        <item x="177"/>
        <item x="358"/>
        <item x="359"/>
        <item x="360"/>
        <item x="361"/>
        <item x="178"/>
        <item x="362"/>
        <item x="363"/>
        <item x="364"/>
        <item x="365"/>
        <item x="179"/>
        <item x="366"/>
        <item x="367"/>
        <item x="368"/>
        <item x="369"/>
        <item x="370"/>
        <item x="371"/>
        <item x="372"/>
        <item x="373"/>
        <item x="180"/>
        <item x="374"/>
        <item x="375"/>
        <item x="376"/>
        <item x="377"/>
        <item x="181"/>
        <item x="378"/>
        <item x="379"/>
        <item x="380"/>
        <item x="381"/>
        <item x="182"/>
        <item x="382"/>
        <item x="383"/>
        <item x="384"/>
        <item x="385"/>
        <item x="183"/>
        <item x="386"/>
        <item x="387"/>
        <item x="388"/>
        <item x="389"/>
        <item x="390"/>
        <item x="391"/>
        <item x="392"/>
        <item x="393"/>
        <item x="184"/>
        <item x="394"/>
        <item x="395"/>
        <item x="396"/>
        <item x="397"/>
        <item x="185"/>
        <item x="398"/>
        <item x="399"/>
        <item x="400"/>
        <item x="401"/>
        <item x="186"/>
        <item x="402"/>
        <item x="403"/>
        <item x="404"/>
        <item x="405"/>
        <item x="187"/>
        <item x="406"/>
        <item x="407"/>
        <item x="408"/>
        <item x="409"/>
        <item x="410"/>
        <item x="411"/>
        <item x="412"/>
        <item x="413"/>
        <item x="188"/>
        <item x="414"/>
        <item x="415"/>
        <item x="189"/>
        <item x="416"/>
        <item x="417"/>
        <item x="418"/>
        <item x="419"/>
        <item x="190"/>
        <item x="420"/>
        <item x="421"/>
        <item x="422"/>
        <item x="423"/>
        <item x="191"/>
        <item x="424"/>
        <item x="425"/>
        <item x="426"/>
        <item x="427"/>
        <item x="428"/>
        <item x="429"/>
        <item x="430"/>
        <item x="431"/>
        <item x="192"/>
        <item x="432"/>
        <item x="433"/>
        <item x="434"/>
        <item x="435"/>
        <item x="193"/>
        <item x="436"/>
        <item x="437"/>
        <item x="438"/>
        <item x="439"/>
        <item x="194"/>
        <item x="440"/>
        <item x="441"/>
        <item x="442"/>
        <item x="443"/>
        <item x="195"/>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showAll="0"/>
    <pivotField showAll="0"/>
    <pivotField showAll="0"/>
    <pivotField numFmtId="2" showAll="0"/>
    <pivotField dataField="1" numFmtId="2" showAll="0"/>
    <pivotField dataField="1" showAll="0"/>
    <pivotField showAll="0"/>
    <pivotField showAll="0"/>
    <pivotField showAll="0"/>
    <pivotField showAll="0"/>
    <pivotField showAll="0"/>
    <pivotField showAll="0">
      <items count="7">
        <item x="2"/>
        <item x="1"/>
        <item x="0"/>
        <item x="4"/>
        <item x="3"/>
        <item x="5"/>
        <item t="default"/>
      </items>
    </pivotField>
    <pivotField numFmtId="164" showAll="0"/>
    <pivotField numFmtId="164" showAll="0"/>
    <pivotField numFmtId="164" showAll="0"/>
    <pivotField numFmtId="164" showAll="0"/>
    <pivotField numFmtId="164" showAll="0"/>
    <pivotField numFmtId="10" showAll="0"/>
    <pivotField showAll="0">
      <items count="5">
        <item x="2"/>
        <item x="1"/>
        <item x="0"/>
        <item x="3"/>
        <item t="default"/>
      </items>
    </pivotField>
    <pivotField showAll="0">
      <items count="14">
        <item h="1" x="3"/>
        <item h="1" x="8"/>
        <item h="1" x="9"/>
        <item x="7"/>
        <item h="1" x="0"/>
        <item h="1" x="6"/>
        <item h="1" x="2"/>
        <item h="1" x="5"/>
        <item h="1" x="1"/>
        <item h="1" x="12"/>
        <item h="1" x="4"/>
        <item h="1" x="10"/>
        <item h="1" x="11"/>
        <item t="default"/>
      </items>
    </pivotField>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numFmtId="1" showAll="0"/>
    <pivotField showAll="0"/>
    <pivotField showAll="0"/>
    <pivotField dataField="1" showAll="0"/>
    <pivotField dataField="1" numFmtId="165" showAll="0"/>
    <pivotField dataField="1" numFmtId="165" showAll="0"/>
    <pivotField numFmtId="168" showAll="0"/>
    <pivotField numFmtId="168" showAll="0"/>
  </pivotFields>
  <rowFields count="1">
    <field x="6"/>
  </rowFields>
  <rowItems count="73">
    <i>
      <x v="9"/>
    </i>
    <i>
      <x v="41"/>
    </i>
    <i>
      <x v="124"/>
    </i>
    <i>
      <x v="126"/>
    </i>
    <i>
      <x v="127"/>
    </i>
    <i>
      <x v="129"/>
    </i>
    <i>
      <x v="144"/>
    </i>
    <i>
      <x v="147"/>
    </i>
    <i>
      <x v="164"/>
    </i>
    <i>
      <x v="167"/>
    </i>
    <i>
      <x v="203"/>
    </i>
    <i>
      <x v="204"/>
    </i>
    <i>
      <x v="224"/>
    </i>
    <i>
      <x v="228"/>
    </i>
    <i>
      <x v="236"/>
    </i>
    <i>
      <x v="237"/>
    </i>
    <i>
      <x v="253"/>
    </i>
    <i>
      <x v="258"/>
    </i>
    <i>
      <x v="259"/>
    </i>
    <i>
      <x v="262"/>
    </i>
    <i>
      <x v="265"/>
    </i>
    <i>
      <x v="266"/>
    </i>
    <i>
      <x v="275"/>
    </i>
    <i>
      <x v="284"/>
    </i>
    <i>
      <x v="286"/>
    </i>
    <i>
      <x v="304"/>
    </i>
    <i>
      <x v="322"/>
    </i>
    <i>
      <x v="325"/>
    </i>
    <i>
      <x v="343"/>
    </i>
    <i>
      <x v="345"/>
    </i>
    <i>
      <x v="362"/>
    </i>
    <i>
      <x v="373"/>
    </i>
    <i>
      <x v="389"/>
    </i>
    <i>
      <x v="399"/>
    </i>
    <i>
      <x v="403"/>
    </i>
    <i>
      <x v="404"/>
    </i>
    <i>
      <x v="419"/>
    </i>
    <i>
      <x v="420"/>
    </i>
    <i>
      <x v="423"/>
    </i>
    <i>
      <x v="424"/>
    </i>
    <i>
      <x v="437"/>
    </i>
    <i>
      <x v="438"/>
    </i>
    <i>
      <x v="441"/>
    </i>
    <i>
      <x v="442"/>
    </i>
    <i>
      <x v="458"/>
    </i>
    <i>
      <x v="460"/>
    </i>
    <i>
      <x v="462"/>
    </i>
    <i>
      <x v="478"/>
    </i>
    <i>
      <x v="532"/>
    </i>
    <i>
      <x v="533"/>
    </i>
    <i>
      <x v="556"/>
    </i>
    <i>
      <x v="560"/>
    </i>
    <i>
      <x v="596"/>
    </i>
    <i>
      <x v="606"/>
    </i>
    <i>
      <x v="634"/>
    </i>
    <i>
      <x v="637"/>
    </i>
    <i>
      <x v="732"/>
    </i>
    <i>
      <x v="733"/>
    </i>
    <i>
      <x v="752"/>
    </i>
    <i>
      <x v="754"/>
    </i>
    <i>
      <x v="755"/>
    </i>
    <i>
      <x v="766"/>
    </i>
    <i>
      <x v="793"/>
    </i>
    <i>
      <x v="795"/>
    </i>
    <i>
      <x v="812"/>
    </i>
    <i>
      <x v="813"/>
    </i>
    <i>
      <x v="830"/>
    </i>
    <i>
      <x v="831"/>
    </i>
    <i>
      <x v="832"/>
    </i>
    <i>
      <x v="833"/>
    </i>
    <i>
      <x v="852"/>
    </i>
    <i>
      <x v="853"/>
    </i>
    <i t="grand">
      <x/>
    </i>
  </rowItems>
  <colFields count="1">
    <field x="-2"/>
  </colFields>
  <colItems count="8">
    <i>
      <x/>
    </i>
    <i i="1">
      <x v="1"/>
    </i>
    <i i="2">
      <x v="2"/>
    </i>
    <i i="3">
      <x v="3"/>
    </i>
    <i i="4">
      <x v="4"/>
    </i>
    <i i="5">
      <x v="5"/>
    </i>
    <i i="6">
      <x v="6"/>
    </i>
    <i i="7">
      <x v="7"/>
    </i>
  </colItems>
  <dataFields count="8">
    <dataField name="Sum of UNIT (BUILDING) RATE (SEMI FINISHED)" fld="31" baseField="0" baseItem="0"/>
    <dataField name="Sum of Unit Selling Area" fld="11" baseField="0" baseItem="0" numFmtId="1"/>
    <dataField name="Sum of Private Garden Area" fld="12" baseField="0" baseItem="0"/>
    <dataField name="Sum of UNIT (GARDEN) VALUE" fld="38" baseField="7" baseItem="481" numFmtId="165"/>
    <dataField name="Sum of MAINTENANCE VALUE" fld="39" baseField="7" baseItem="293" numFmtId="165"/>
    <dataField name="Sum of TOTAL UNIT VALUE (SEMI FINISHED)" fld="43" baseField="0" baseItem="0" numFmtId="165"/>
    <dataField name="Sum of TOTAL UNIT VALUE (BASIC FINISHED)" fld="44" baseField="0" baseItem="0" numFmtId="165"/>
    <dataField name="Sum of TOTAL UNIT VALUE (FULLY FINISHED)" fld="45" baseField="0" baseItem="0" numFmtId="165"/>
  </dataFields>
  <formats count="21">
    <format dxfId="60">
      <pivotArea outline="0" collapsedLevelsAreSubtotals="1" fieldPosition="0"/>
    </format>
    <format dxfId="59">
      <pivotArea dataOnly="0" labelOnly="1" outline="0" axis="axisValues" fieldPosition="0"/>
    </format>
    <format dxfId="58">
      <pivotArea outline="0" collapsedLevelsAreSubtotals="1" fieldPosition="0">
        <references count="1">
          <reference field="4294967294" count="1" selected="0">
            <x v="3"/>
          </reference>
        </references>
      </pivotArea>
    </format>
    <format dxfId="57">
      <pivotArea dataOnly="0" labelOnly="1" outline="0" fieldPosition="0">
        <references count="1">
          <reference field="4294967294" count="1">
            <x v="3"/>
          </reference>
        </references>
      </pivotArea>
    </format>
    <format dxfId="56">
      <pivotArea outline="0" collapsedLevelsAreSubtotals="1" fieldPosition="0">
        <references count="1">
          <reference field="4294967294" count="1" selected="0">
            <x v="4"/>
          </reference>
        </references>
      </pivotArea>
    </format>
    <format dxfId="55">
      <pivotArea dataOnly="0" labelOnly="1" outline="0" fieldPosition="0">
        <references count="1">
          <reference field="4294967294" count="1">
            <x v="4"/>
          </reference>
        </references>
      </pivotArea>
    </format>
    <format dxfId="54">
      <pivotArea type="all" dataOnly="0" outline="0" fieldPosition="0"/>
    </format>
    <format dxfId="53">
      <pivotArea outline="0" collapsedLevelsAreSubtotals="1" fieldPosition="0"/>
    </format>
    <format dxfId="52">
      <pivotArea field="6" type="button" dataOnly="0" labelOnly="1" outline="0" axis="axisRow" fieldPosition="0"/>
    </format>
    <format dxfId="51">
      <pivotArea dataOnly="0" labelOnly="1" fieldPosition="0">
        <references count="1">
          <reference field="6" count="7">
            <x v="289"/>
            <x v="351"/>
            <x v="372"/>
            <x v="473"/>
            <x v="482"/>
            <x v="605"/>
            <x v="644"/>
          </reference>
        </references>
      </pivotArea>
    </format>
    <format dxfId="50">
      <pivotArea dataOnly="0" labelOnly="1" grandRow="1" outline="0" fieldPosition="0"/>
    </format>
    <format dxfId="49">
      <pivotArea dataOnly="0" labelOnly="1" outline="0" fieldPosition="0">
        <references count="1">
          <reference field="4294967294" count="3">
            <x v="1"/>
            <x v="3"/>
            <x v="4"/>
          </reference>
        </references>
      </pivotArea>
    </format>
    <format dxfId="48">
      <pivotArea field="6" type="button" dataOnly="0" labelOnly="1" outline="0" axis="axisRow" fieldPosition="0"/>
    </format>
    <format dxfId="47">
      <pivotArea dataOnly="0" labelOnly="1" outline="0" fieldPosition="0">
        <references count="1">
          <reference field="4294967294" count="3">
            <x v="1"/>
            <x v="3"/>
            <x v="4"/>
          </reference>
        </references>
      </pivotArea>
    </format>
    <format dxfId="46">
      <pivotArea dataOnly="0" labelOnly="1" outline="0" fieldPosition="0">
        <references count="1">
          <reference field="4294967294" count="1">
            <x v="2"/>
          </reference>
        </references>
      </pivotArea>
    </format>
    <format dxfId="45">
      <pivotArea dataOnly="0" labelOnly="1" outline="0" fieldPosition="0">
        <references count="1">
          <reference field="4294967294" count="3">
            <x v="5"/>
            <x v="6"/>
            <x v="7"/>
          </reference>
        </references>
      </pivotArea>
    </format>
    <format dxfId="44">
      <pivotArea outline="0" collapsedLevelsAreSubtotals="1" fieldPosition="0">
        <references count="1">
          <reference field="4294967294" count="3" selected="0">
            <x v="5"/>
            <x v="6"/>
            <x v="7"/>
          </reference>
        </references>
      </pivotArea>
    </format>
    <format dxfId="43">
      <pivotArea dataOnly="0" labelOnly="1" outline="0" fieldPosition="0">
        <references count="1">
          <reference field="4294967294" count="1">
            <x v="0"/>
          </reference>
        </references>
      </pivotArea>
    </format>
    <format dxfId="42">
      <pivotArea collapsedLevelsAreSubtotals="1" fieldPosition="0">
        <references count="2">
          <reference field="4294967294" count="1" selected="0">
            <x v="0"/>
          </reference>
          <reference field="6" count="144">
            <x v="3"/>
            <x v="19"/>
            <x v="20"/>
            <x v="23"/>
            <x v="33"/>
            <x v="34"/>
            <x v="36"/>
            <x v="39"/>
            <x v="40"/>
            <x v="42"/>
            <x v="43"/>
            <x v="45"/>
            <x v="49"/>
            <x v="50"/>
            <x v="54"/>
            <x v="56"/>
            <x v="57"/>
            <x v="59"/>
            <x v="117"/>
            <x v="128"/>
            <x v="130"/>
            <x v="131"/>
            <x v="137"/>
            <x v="138"/>
            <x v="148"/>
            <x v="151"/>
            <x v="153"/>
            <x v="154"/>
            <x v="157"/>
            <x v="168"/>
            <x v="171"/>
            <x v="173"/>
            <x v="180"/>
            <x v="181"/>
            <x v="182"/>
            <x v="193"/>
            <x v="194"/>
            <x v="197"/>
            <x v="202"/>
            <x v="210"/>
            <x v="217"/>
            <x v="221"/>
            <x v="229"/>
            <x v="240"/>
            <x v="244"/>
            <x v="272"/>
            <x v="283"/>
            <x v="287"/>
            <x v="302"/>
            <x v="307"/>
            <x v="342"/>
            <x v="365"/>
            <x v="370"/>
            <x v="374"/>
            <x v="377"/>
            <x v="378"/>
            <x v="381"/>
            <x v="385"/>
            <x v="386"/>
            <x v="390"/>
            <x v="393"/>
            <x v="394"/>
            <x v="397"/>
            <x v="406"/>
            <x v="409"/>
            <x v="410"/>
            <x v="430"/>
            <x v="433"/>
            <x v="444"/>
            <x v="447"/>
            <x v="449"/>
            <x v="451"/>
            <x v="465"/>
            <x v="467"/>
            <x v="468"/>
            <x v="484"/>
            <x v="488"/>
            <x v="489"/>
            <x v="490"/>
            <x v="491"/>
            <x v="502"/>
            <x v="505"/>
            <x v="509"/>
            <x v="525"/>
            <x v="535"/>
            <x v="542"/>
            <x v="546"/>
            <x v="550"/>
            <x v="555"/>
            <x v="557"/>
            <x v="562"/>
            <x v="566"/>
            <x v="569"/>
            <x v="570"/>
            <x v="580"/>
            <x v="583"/>
            <x v="587"/>
            <x v="591"/>
            <x v="594"/>
            <x v="603"/>
            <x v="610"/>
            <x v="615"/>
            <x v="617"/>
            <x v="622"/>
            <x v="635"/>
            <x v="636"/>
            <x v="642"/>
            <x v="651"/>
            <x v="656"/>
            <x v="662"/>
            <x v="671"/>
            <x v="672"/>
            <x v="678"/>
            <x v="682"/>
            <x v="685"/>
            <x v="689"/>
            <x v="690"/>
            <x v="703"/>
            <x v="709"/>
            <x v="710"/>
            <x v="719"/>
            <x v="723"/>
            <x v="727"/>
            <x v="734"/>
            <x v="739"/>
            <x v="753"/>
            <x v="760"/>
            <x v="763"/>
            <x v="764"/>
            <x v="769"/>
            <x v="770"/>
            <x v="776"/>
            <x v="779"/>
            <x v="780"/>
            <x v="784"/>
            <x v="788"/>
            <x v="790"/>
            <x v="796"/>
            <x v="814"/>
            <x v="815"/>
            <x v="821"/>
            <x v="822"/>
            <x v="850"/>
            <x v="851"/>
          </reference>
        </references>
      </pivotArea>
    </format>
    <format dxfId="41">
      <pivotArea field="6" grandRow="1" outline="0" collapsedLevelsAreSubtotals="1" axis="axisRow" fieldPosition="0">
        <references count="1">
          <reference field="4294967294" count="1" selected="0">
            <x v="0"/>
          </reference>
        </references>
      </pivotArea>
    </format>
    <format dxfId="40">
      <pivotArea field="6" grandRow="1" outline="0" collapsedLevelsAreSubtotals="1" axis="axisRow"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85841E88-711A-4953-9977-EE8AF61AE66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I75" firstHeaderRow="0" firstDataRow="1" firstDataCol="1"/>
  <pivotFields count="48">
    <pivotField showAll="0"/>
    <pivotField showAll="0"/>
    <pivotField showAll="0"/>
    <pivotField showAll="0"/>
    <pivotField numFmtId="1" showAll="0"/>
    <pivotField numFmtId="1" showAll="0"/>
    <pivotField axis="axisRow" showAll="0">
      <items count="8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352"/>
        <item x="353"/>
        <item x="354"/>
        <item x="355"/>
        <item x="176"/>
        <item x="356"/>
        <item x="357"/>
        <item x="177"/>
        <item x="358"/>
        <item x="359"/>
        <item x="360"/>
        <item x="361"/>
        <item x="178"/>
        <item x="362"/>
        <item x="363"/>
        <item x="364"/>
        <item x="365"/>
        <item x="179"/>
        <item x="366"/>
        <item x="367"/>
        <item x="368"/>
        <item x="369"/>
        <item x="370"/>
        <item x="371"/>
        <item x="372"/>
        <item x="373"/>
        <item x="180"/>
        <item x="374"/>
        <item x="375"/>
        <item x="376"/>
        <item x="377"/>
        <item x="181"/>
        <item x="378"/>
        <item x="379"/>
        <item x="380"/>
        <item x="381"/>
        <item x="182"/>
        <item x="382"/>
        <item x="383"/>
        <item x="384"/>
        <item x="385"/>
        <item x="183"/>
        <item x="386"/>
        <item x="387"/>
        <item x="388"/>
        <item x="389"/>
        <item x="390"/>
        <item x="391"/>
        <item x="392"/>
        <item x="393"/>
        <item x="184"/>
        <item x="394"/>
        <item x="395"/>
        <item x="396"/>
        <item x="397"/>
        <item x="185"/>
        <item x="398"/>
        <item x="399"/>
        <item x="400"/>
        <item x="401"/>
        <item x="186"/>
        <item x="402"/>
        <item x="403"/>
        <item x="404"/>
        <item x="405"/>
        <item x="187"/>
        <item x="406"/>
        <item x="407"/>
        <item x="408"/>
        <item x="409"/>
        <item x="410"/>
        <item x="411"/>
        <item x="412"/>
        <item x="413"/>
        <item x="188"/>
        <item x="414"/>
        <item x="415"/>
        <item x="189"/>
        <item x="416"/>
        <item x="417"/>
        <item x="418"/>
        <item x="419"/>
        <item x="190"/>
        <item x="420"/>
        <item x="421"/>
        <item x="422"/>
        <item x="423"/>
        <item x="191"/>
        <item x="424"/>
        <item x="425"/>
        <item x="426"/>
        <item x="427"/>
        <item x="428"/>
        <item x="429"/>
        <item x="430"/>
        <item x="431"/>
        <item x="192"/>
        <item x="432"/>
        <item x="433"/>
        <item x="434"/>
        <item x="435"/>
        <item x="193"/>
        <item x="436"/>
        <item x="437"/>
        <item x="438"/>
        <item x="439"/>
        <item x="194"/>
        <item x="440"/>
        <item x="441"/>
        <item x="442"/>
        <item x="443"/>
        <item x="195"/>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showAll="0"/>
    <pivotField showAll="0"/>
    <pivotField showAll="0"/>
    <pivotField numFmtId="2" showAll="0"/>
    <pivotField dataField="1" numFmtId="2" showAll="0"/>
    <pivotField dataField="1" showAll="0"/>
    <pivotField showAll="0"/>
    <pivotField showAll="0"/>
    <pivotField showAll="0"/>
    <pivotField showAll="0"/>
    <pivotField showAll="0"/>
    <pivotField showAll="0">
      <items count="7">
        <item x="2"/>
        <item x="1"/>
        <item x="0"/>
        <item x="4"/>
        <item x="3"/>
        <item x="5"/>
        <item t="default"/>
      </items>
    </pivotField>
    <pivotField numFmtId="164" showAll="0"/>
    <pivotField numFmtId="164" showAll="0"/>
    <pivotField numFmtId="164" showAll="0"/>
    <pivotField numFmtId="164" showAll="0"/>
    <pivotField numFmtId="164" showAll="0"/>
    <pivotField numFmtId="10" showAll="0"/>
    <pivotField showAll="0">
      <items count="5">
        <item x="2"/>
        <item x="1"/>
        <item x="0"/>
        <item x="3"/>
        <item t="default"/>
      </items>
    </pivotField>
    <pivotField showAll="0">
      <items count="14">
        <item h="1" x="3"/>
        <item h="1" x="8"/>
        <item h="1" x="9"/>
        <item h="1" x="7"/>
        <item h="1" x="0"/>
        <item h="1" x="6"/>
        <item h="1" x="2"/>
        <item h="1" x="5"/>
        <item h="1" x="1"/>
        <item h="1" x="12"/>
        <item h="1" x="4"/>
        <item h="1" x="10"/>
        <item x="11"/>
        <item t="default"/>
      </items>
    </pivotField>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numFmtId="1" showAll="0"/>
    <pivotField showAll="0"/>
    <pivotField showAll="0"/>
    <pivotField dataField="1" showAll="0"/>
    <pivotField dataField="1" numFmtId="165" showAll="0"/>
    <pivotField dataField="1" numFmtId="165" showAll="0"/>
    <pivotField numFmtId="168" showAll="0"/>
    <pivotField numFmtId="168" showAll="0"/>
  </pivotFields>
  <rowFields count="1">
    <field x="6"/>
  </rowFields>
  <rowItems count="57">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t="grand">
      <x/>
    </i>
  </rowItems>
  <colFields count="1">
    <field x="-2"/>
  </colFields>
  <colItems count="8">
    <i>
      <x/>
    </i>
    <i i="1">
      <x v="1"/>
    </i>
    <i i="2">
      <x v="2"/>
    </i>
    <i i="3">
      <x v="3"/>
    </i>
    <i i="4">
      <x v="4"/>
    </i>
    <i i="5">
      <x v="5"/>
    </i>
    <i i="6">
      <x v="6"/>
    </i>
    <i i="7">
      <x v="7"/>
    </i>
  </colItems>
  <dataFields count="8">
    <dataField name="Sum of UNIT (BUILDING) RATE (SEMI FINISHED)" fld="31" baseField="0" baseItem="0"/>
    <dataField name="Sum of Unit Selling Area" fld="11" baseField="0" baseItem="0" numFmtId="1"/>
    <dataField name="Sum of Private Garden Area" fld="12" baseField="0" baseItem="0"/>
    <dataField name="Sum of UNIT (GARDEN) VALUE" fld="38" baseField="7" baseItem="481" numFmtId="165"/>
    <dataField name="Sum of MAINTENANCE VALUE" fld="39" baseField="7" baseItem="293" numFmtId="165"/>
    <dataField name="Sum of TOTAL UNIT VALUE (SEMI FINISHED)" fld="43" baseField="0" baseItem="0" numFmtId="165"/>
    <dataField name="Sum of TOTAL UNIT VALUE (BASIC FINISHED)" fld="44" baseField="0" baseItem="0" numFmtId="165"/>
    <dataField name="Sum of TOTAL UNIT VALUE (FULLY FINISHED)" fld="45" baseField="0" baseItem="0" numFmtId="165"/>
  </dataFields>
  <formats count="21">
    <format dxfId="39">
      <pivotArea outline="0" collapsedLevelsAreSubtotals="1" fieldPosition="0"/>
    </format>
    <format dxfId="38">
      <pivotArea dataOnly="0" labelOnly="1" outline="0" axis="axisValues" fieldPosition="0"/>
    </format>
    <format dxfId="37">
      <pivotArea outline="0" collapsedLevelsAreSubtotals="1" fieldPosition="0">
        <references count="1">
          <reference field="4294967294" count="1" selected="0">
            <x v="3"/>
          </reference>
        </references>
      </pivotArea>
    </format>
    <format dxfId="36">
      <pivotArea dataOnly="0" labelOnly="1" outline="0" fieldPosition="0">
        <references count="1">
          <reference field="4294967294" count="1">
            <x v="3"/>
          </reference>
        </references>
      </pivotArea>
    </format>
    <format dxfId="35">
      <pivotArea outline="0" collapsedLevelsAreSubtotals="1" fieldPosition="0">
        <references count="1">
          <reference field="4294967294" count="1" selected="0">
            <x v="4"/>
          </reference>
        </references>
      </pivotArea>
    </format>
    <format dxfId="34">
      <pivotArea dataOnly="0" labelOnly="1" outline="0" fieldPosition="0">
        <references count="1">
          <reference field="4294967294" count="1">
            <x v="4"/>
          </reference>
        </references>
      </pivotArea>
    </format>
    <format dxfId="33">
      <pivotArea type="all" dataOnly="0" outline="0" fieldPosition="0"/>
    </format>
    <format dxfId="32">
      <pivotArea outline="0" collapsedLevelsAreSubtotals="1" fieldPosition="0"/>
    </format>
    <format dxfId="31">
      <pivotArea field="6" type="button" dataOnly="0" labelOnly="1" outline="0" axis="axisRow" fieldPosition="0"/>
    </format>
    <format dxfId="30">
      <pivotArea dataOnly="0" labelOnly="1" fieldPosition="0">
        <references count="1">
          <reference field="6" count="7">
            <x v="289"/>
            <x v="351"/>
            <x v="372"/>
            <x v="473"/>
            <x v="482"/>
            <x v="605"/>
            <x v="644"/>
          </reference>
        </references>
      </pivotArea>
    </format>
    <format dxfId="29">
      <pivotArea dataOnly="0" labelOnly="1" grandRow="1" outline="0" fieldPosition="0"/>
    </format>
    <format dxfId="28">
      <pivotArea dataOnly="0" labelOnly="1" outline="0" fieldPosition="0">
        <references count="1">
          <reference field="4294967294" count="3">
            <x v="1"/>
            <x v="3"/>
            <x v="4"/>
          </reference>
        </references>
      </pivotArea>
    </format>
    <format dxfId="27">
      <pivotArea field="6" type="button" dataOnly="0" labelOnly="1" outline="0" axis="axisRow" fieldPosition="0"/>
    </format>
    <format dxfId="26">
      <pivotArea dataOnly="0" labelOnly="1" outline="0" fieldPosition="0">
        <references count="1">
          <reference field="4294967294" count="3">
            <x v="1"/>
            <x v="3"/>
            <x v="4"/>
          </reference>
        </references>
      </pivotArea>
    </format>
    <format dxfId="25">
      <pivotArea dataOnly="0" labelOnly="1" outline="0" fieldPosition="0">
        <references count="1">
          <reference field="4294967294" count="1">
            <x v="2"/>
          </reference>
        </references>
      </pivotArea>
    </format>
    <format dxfId="24">
      <pivotArea dataOnly="0" labelOnly="1" outline="0" fieldPosition="0">
        <references count="1">
          <reference field="4294967294" count="3">
            <x v="5"/>
            <x v="6"/>
            <x v="7"/>
          </reference>
        </references>
      </pivotArea>
    </format>
    <format dxfId="23">
      <pivotArea outline="0" collapsedLevelsAreSubtotals="1" fieldPosition="0">
        <references count="1">
          <reference field="4294967294" count="3" selected="0">
            <x v="5"/>
            <x v="6"/>
            <x v="7"/>
          </reference>
        </references>
      </pivotArea>
    </format>
    <format dxfId="22">
      <pivotArea dataOnly="0" labelOnly="1" outline="0" fieldPosition="0">
        <references count="1">
          <reference field="4294967294" count="1">
            <x v="0"/>
          </reference>
        </references>
      </pivotArea>
    </format>
    <format dxfId="21">
      <pivotArea collapsedLevelsAreSubtotals="1" fieldPosition="0">
        <references count="2">
          <reference field="4294967294" count="1" selected="0">
            <x v="0"/>
          </reference>
          <reference field="6" count="144">
            <x v="3"/>
            <x v="19"/>
            <x v="20"/>
            <x v="23"/>
            <x v="33"/>
            <x v="34"/>
            <x v="36"/>
            <x v="39"/>
            <x v="40"/>
            <x v="42"/>
            <x v="43"/>
            <x v="45"/>
            <x v="49"/>
            <x v="50"/>
            <x v="54"/>
            <x v="56"/>
            <x v="57"/>
            <x v="59"/>
            <x v="117"/>
            <x v="128"/>
            <x v="130"/>
            <x v="131"/>
            <x v="137"/>
            <x v="138"/>
            <x v="148"/>
            <x v="151"/>
            <x v="153"/>
            <x v="154"/>
            <x v="157"/>
            <x v="168"/>
            <x v="171"/>
            <x v="173"/>
            <x v="180"/>
            <x v="181"/>
            <x v="182"/>
            <x v="193"/>
            <x v="194"/>
            <x v="197"/>
            <x v="202"/>
            <x v="210"/>
            <x v="217"/>
            <x v="221"/>
            <x v="229"/>
            <x v="240"/>
            <x v="244"/>
            <x v="272"/>
            <x v="283"/>
            <x v="287"/>
            <x v="302"/>
            <x v="307"/>
            <x v="342"/>
            <x v="365"/>
            <x v="370"/>
            <x v="374"/>
            <x v="377"/>
            <x v="378"/>
            <x v="381"/>
            <x v="385"/>
            <x v="386"/>
            <x v="390"/>
            <x v="393"/>
            <x v="394"/>
            <x v="397"/>
            <x v="406"/>
            <x v="409"/>
            <x v="410"/>
            <x v="430"/>
            <x v="433"/>
            <x v="444"/>
            <x v="447"/>
            <x v="449"/>
            <x v="451"/>
            <x v="465"/>
            <x v="467"/>
            <x v="468"/>
            <x v="484"/>
            <x v="488"/>
            <x v="489"/>
            <x v="490"/>
            <x v="491"/>
            <x v="502"/>
            <x v="505"/>
            <x v="509"/>
            <x v="525"/>
            <x v="535"/>
            <x v="542"/>
            <x v="546"/>
            <x v="550"/>
            <x v="555"/>
            <x v="557"/>
            <x v="562"/>
            <x v="566"/>
            <x v="569"/>
            <x v="570"/>
            <x v="580"/>
            <x v="583"/>
            <x v="587"/>
            <x v="591"/>
            <x v="594"/>
            <x v="603"/>
            <x v="610"/>
            <x v="615"/>
            <x v="617"/>
            <x v="622"/>
            <x v="635"/>
            <x v="636"/>
            <x v="642"/>
            <x v="651"/>
            <x v="656"/>
            <x v="662"/>
            <x v="671"/>
            <x v="672"/>
            <x v="678"/>
            <x v="682"/>
            <x v="685"/>
            <x v="689"/>
            <x v="690"/>
            <x v="703"/>
            <x v="709"/>
            <x v="710"/>
            <x v="719"/>
            <x v="723"/>
            <x v="727"/>
            <x v="734"/>
            <x v="739"/>
            <x v="753"/>
            <x v="760"/>
            <x v="763"/>
            <x v="764"/>
            <x v="769"/>
            <x v="770"/>
            <x v="776"/>
            <x v="779"/>
            <x v="780"/>
            <x v="784"/>
            <x v="788"/>
            <x v="790"/>
            <x v="796"/>
            <x v="814"/>
            <x v="815"/>
            <x v="821"/>
            <x v="822"/>
            <x v="850"/>
            <x v="851"/>
          </reference>
        </references>
      </pivotArea>
    </format>
    <format dxfId="20">
      <pivotArea field="6" grandRow="1" outline="0" collapsedLevelsAreSubtotals="1" axis="axisRow" fieldPosition="0">
        <references count="1">
          <reference field="4294967294" count="1" selected="0">
            <x v="0"/>
          </reference>
        </references>
      </pivotArea>
    </format>
    <format dxfId="19">
      <pivotArea field="6" grandRow="1" outline="0" collapsedLevelsAreSubtotals="1" axis="axisRow"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213C525E-A73B-4F77-9E1D-857D3572C609}"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rowHeaderCaption="Selling Phases">
  <location ref="A1:L15" firstHeaderRow="0" firstDataRow="1" firstDataCol="1"/>
  <pivotFields count="48">
    <pivotField showAll="0"/>
    <pivotField showAll="0"/>
    <pivotField showAll="0"/>
    <pivotField showAll="0"/>
    <pivotField numFmtId="1" showAll="0"/>
    <pivotField numFmtId="1" showAll="0"/>
    <pivotField showAll="0"/>
    <pivotField showAll="0"/>
    <pivotField showAll="0"/>
    <pivotField showAll="0"/>
    <pivotField numFmtId="2" showAll="0"/>
    <pivotField dataField="1" numFmtId="2"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0" showAll="0"/>
    <pivotField showAll="0"/>
    <pivotField axis="axisRow" showAll="0" sortType="ascending">
      <items count="14">
        <item x="3"/>
        <item x="8"/>
        <item x="9"/>
        <item x="7"/>
        <item x="0"/>
        <item x="6"/>
        <item x="2"/>
        <item x="5"/>
        <item x="1"/>
        <item x="12"/>
        <item x="4"/>
        <item x="10"/>
        <item x="11"/>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dataField="1" showAll="0"/>
    <pivotField showAll="0"/>
    <pivotField dataField="1" showAll="0"/>
    <pivotField dataField="1" showAll="0"/>
    <pivotField showAll="0"/>
    <pivotField showAll="0"/>
    <pivotField showAll="0"/>
    <pivotField dataField="1" showAll="0"/>
    <pivotField dataField="1" showAll="0"/>
    <pivotField numFmtId="1" showAll="0"/>
    <pivotField showAll="0"/>
    <pivotField dataField="1" showAll="0"/>
    <pivotField dataField="1" showAll="0"/>
    <pivotField dataField="1" showAll="0"/>
    <pivotField dataField="1" showAll="0"/>
    <pivotField numFmtId="168" showAll="0"/>
    <pivotField numFmtId="168" showAll="0"/>
  </pivotFields>
  <rowFields count="1">
    <field x="26"/>
  </rowFields>
  <rowItems count="14">
    <i>
      <x/>
    </i>
    <i>
      <x v="4"/>
    </i>
    <i>
      <x v="5"/>
    </i>
    <i>
      <x v="6"/>
    </i>
    <i>
      <x v="7"/>
    </i>
    <i>
      <x v="8"/>
    </i>
    <i>
      <x v="9"/>
    </i>
    <i>
      <x v="10"/>
    </i>
    <i>
      <x v="11"/>
    </i>
    <i>
      <x v="1"/>
    </i>
    <i>
      <x v="2"/>
    </i>
    <i>
      <x v="3"/>
    </i>
    <i>
      <x v="12"/>
    </i>
    <i t="grand">
      <x/>
    </i>
  </rowItems>
  <colFields count="1">
    <field x="-2"/>
  </colFields>
  <colItems count="11">
    <i>
      <x/>
    </i>
    <i i="1">
      <x v="1"/>
    </i>
    <i i="2">
      <x v="2"/>
    </i>
    <i i="3">
      <x v="3"/>
    </i>
    <i i="4">
      <x v="4"/>
    </i>
    <i i="5">
      <x v="5"/>
    </i>
    <i i="6">
      <x v="6"/>
    </i>
    <i i="7">
      <x v="7"/>
    </i>
    <i i="8">
      <x v="8"/>
    </i>
    <i i="9">
      <x v="9"/>
    </i>
    <i i="10">
      <x v="10"/>
    </i>
  </colItems>
  <dataFields count="11">
    <dataField name="Count of TOTAL UNIT VALUE (SEMI FINISHED)2" fld="43" subtotal="count" baseField="27" baseItem="6"/>
    <dataField name="Phase % of Unit Selling Area from total" fld="11" showDataAs="percentOfTotal" baseField="0" baseItem="0" numFmtId="10"/>
    <dataField name="Average of UNIT (BUILDING) RATE (SEMI FINISHED)" fld="31" subtotal="average" baseField="26" baseItem="2"/>
    <dataField name="Average of UNIT (BUILDING) RATE (BASIC FINISH)" fld="33" subtotal="average" baseField="26" baseItem="0"/>
    <dataField name="Average of UNIT (BUILDING) RATE (FULLY FINISH)" fld="34" subtotal="average" baseField="26" baseItem="0"/>
    <dataField name="Sum of UNIT (GARDEN) VALUE" fld="38" baseField="27" baseItem="0"/>
    <dataField name="Sum of MAINTENANCE VALUE" fld="39" baseField="27" baseItem="0"/>
    <dataField name="Sum of TOTAL CARS VALUE" fld="42" baseField="0" baseItem="0"/>
    <dataField name="Sum of TOTAL UNIT VALUE (SEMI FINISHED)" fld="43" baseField="0" baseItem="0"/>
    <dataField name="Sum of TOTAL UNIT VALUE (BASIC FINISHED)" fld="44" baseField="0" baseItem="0"/>
    <dataField name="Sum of TOTAL UNIT VALUE (FULLY FINISHED)" fld="45" baseField="0" baseItem="0"/>
  </dataFields>
  <formats count="14">
    <format dxfId="18">
      <pivotArea outline="0" collapsedLevelsAreSubtotals="1"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field="26" type="button" dataOnly="0" labelOnly="1" outline="0" axis="axisRow" fieldPosition="0"/>
    </format>
    <format dxfId="13">
      <pivotArea dataOnly="0" labelOnly="1" grandRow="1" outline="0" fieldPosition="0"/>
    </format>
    <format dxfId="12">
      <pivotArea field="26" type="button" dataOnly="0" labelOnly="1" outline="0" axis="axisRow" fieldPosition="0"/>
    </format>
    <format dxfId="11">
      <pivotArea dataOnly="0" labelOnly="1" outline="0" fieldPosition="0">
        <references count="1">
          <reference field="4294967294" count="7">
            <x v="0"/>
            <x v="5"/>
            <x v="6"/>
            <x v="7"/>
            <x v="8"/>
            <x v="9"/>
            <x v="10"/>
          </reference>
        </references>
      </pivotArea>
    </format>
    <format dxfId="10">
      <pivotArea dataOnly="0" labelOnly="1" outline="0" fieldPosition="0">
        <references count="1">
          <reference field="4294967294" count="1">
            <x v="2"/>
          </reference>
        </references>
      </pivotArea>
    </format>
    <format dxfId="9">
      <pivotArea field="26" type="button" dataOnly="0" labelOnly="1" outline="0" axis="axisRow" fieldPosition="0"/>
    </format>
    <format dxfId="8">
      <pivotArea dataOnly="0" labelOnly="1" outline="0" fieldPosition="0">
        <references count="1">
          <reference field="4294967294" count="8">
            <x v="0"/>
            <x v="2"/>
            <x v="5"/>
            <x v="6"/>
            <x v="7"/>
            <x v="8"/>
            <x v="9"/>
            <x v="10"/>
          </reference>
        </references>
      </pivotArea>
    </format>
    <format dxfId="7">
      <pivotArea dataOnly="0" labelOnly="1" outline="0" fieldPosition="0">
        <references count="1">
          <reference field="4294967294" count="2">
            <x v="3"/>
            <x v="4"/>
          </reference>
        </references>
      </pivotArea>
    </format>
    <format dxfId="6">
      <pivotArea outline="0" fieldPosition="0">
        <references count="1">
          <reference field="4294967294" count="1">
            <x v="1"/>
          </reference>
        </references>
      </pivotArea>
    </format>
    <format dxfId="5">
      <pivotArea dataOnly="0" labelOnly="1" outline="0" fieldPosition="0">
        <references count="1">
          <reference field="4294967294" count="1">
            <x v="1"/>
          </reference>
        </references>
      </pivotArea>
    </format>
  </formats>
  <chartFormats count="11">
    <chartFormat chart="0" format="7" series="1">
      <pivotArea type="data" outline="0" fieldPosition="0">
        <references count="1">
          <reference field="4294967294" count="1" selected="0">
            <x v="5"/>
          </reference>
        </references>
      </pivotArea>
    </chartFormat>
    <chartFormat chart="0" format="8" series="1">
      <pivotArea type="data" outline="0" fieldPosition="0">
        <references count="1">
          <reference field="4294967294" count="1" selected="0">
            <x v="6"/>
          </reference>
        </references>
      </pivotArea>
    </chartFormat>
    <chartFormat chart="0" format="10" series="1">
      <pivotArea type="data" outline="0" fieldPosition="0">
        <references count="1">
          <reference field="4294967294" count="1" selected="0">
            <x v="7"/>
          </reference>
        </references>
      </pivotArea>
    </chartFormat>
    <chartFormat chart="0" format="11" series="1">
      <pivotArea type="data" outline="0" fieldPosition="0">
        <references count="1">
          <reference field="4294967294" count="1" selected="0">
            <x v="8"/>
          </reference>
        </references>
      </pivotArea>
    </chartFormat>
    <chartFormat chart="0" format="12" series="1">
      <pivotArea type="data" outline="0" fieldPosition="0">
        <references count="1">
          <reference field="4294967294" count="1" selected="0">
            <x v="9"/>
          </reference>
        </references>
      </pivotArea>
    </chartFormat>
    <chartFormat chart="0" format="13" series="1">
      <pivotArea type="data" outline="0" fieldPosition="0">
        <references count="1">
          <reference field="4294967294" count="1" selected="0">
            <x v="10"/>
          </reference>
        </references>
      </pivotArea>
    </chartFormat>
    <chartFormat chart="0" format="15" series="1">
      <pivotArea type="data" outline="0" fieldPosition="0">
        <references count="1">
          <reference field="4294967294" count="1" selected="0">
            <x v="0"/>
          </reference>
        </references>
      </pivotArea>
    </chartFormat>
    <chartFormat chart="0" format="16" series="1">
      <pivotArea type="data" outline="0" fieldPosition="0">
        <references count="1">
          <reference field="4294967294" count="1" selected="0">
            <x v="2"/>
          </reference>
        </references>
      </pivotArea>
    </chartFormat>
    <chartFormat chart="0" format="17" series="1">
      <pivotArea type="data" outline="0" fieldPosition="0">
        <references count="1">
          <reference field="4294967294" count="1" selected="0">
            <x v="3"/>
          </reference>
        </references>
      </pivotArea>
    </chartFormat>
    <chartFormat chart="0" format="18" series="1">
      <pivotArea type="data" outline="0" fieldPosition="0">
        <references count="1">
          <reference field="4294967294" count="1" selected="0">
            <x v="4"/>
          </reference>
        </references>
      </pivotArea>
    </chartFormat>
    <chartFormat chart="0" format="19" series="1">
      <pivotArea type="data" outline="0" fieldPosition="0">
        <references count="1">
          <reference field="4294967294"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D_No." xr10:uid="{05BA9875-9EB8-4DBB-9B6C-9EDC9B94FD53}" sourceName="BLD_x000a_No.">
  <pivotTables>
    <pivotTable tabId="11" name="PivotTable14"/>
  </pivotTables>
  <data>
    <tabular pivotCacheId="1125571732">
      <items count="44">
        <i x="0" s="1"/>
        <i x="1" s="1"/>
        <i x="2" s="1"/>
        <i x="5" s="1"/>
        <i x="6" s="1"/>
        <i x="7" s="1"/>
        <i x="8" s="1"/>
        <i x="17" s="1"/>
        <i x="19" s="1"/>
        <i x="20" s="1"/>
        <i x="21" s="1"/>
        <i x="22" s="1"/>
        <i x="23" s="1"/>
        <i x="24" s="1"/>
        <i x="25" s="1"/>
        <i x="26" s="1"/>
        <i x="9" s="1"/>
        <i x="10" s="1"/>
        <i x="11" s="1"/>
        <i x="12" s="1"/>
        <i x="13" s="1"/>
        <i x="14" s="1"/>
        <i x="15" s="1"/>
        <i x="27" s="1"/>
        <i x="28" s="1"/>
        <i x="29" s="1"/>
        <i x="30" s="1"/>
        <i x="31" s="1"/>
        <i x="32" s="1"/>
        <i x="33" s="1"/>
        <i x="34" s="1"/>
        <i x="35" s="1"/>
        <i x="36" s="1"/>
        <i x="37" s="1"/>
        <i x="38" s="1"/>
        <i x="39" s="1"/>
        <i x="40" s="1"/>
        <i x="41" s="1"/>
        <i x="42" s="1"/>
        <i x="3" s="1" nd="1"/>
        <i x="4" s="1" nd="1"/>
        <i x="18" s="1" nd="1"/>
        <i x="16" s="1" nd="1"/>
        <i x="4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TRUCTION_PHASE" xr10:uid="{58CD1D70-8E37-44D1-AEA9-3D6C6CD00F0F}" sourceName="CONSTRUCTION PHASE">
  <pivotTables>
    <pivotTable tabId="11" name="PivotTable14"/>
  </pivotTables>
  <data>
    <tabular pivotCacheId="1125571732">
      <items count="4">
        <i x="0" s="1"/>
        <i x="1"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D._TYPE" xr10:uid="{617E9A12-9C61-415D-B7EA-0468B7C7086E}" sourceName="BLD. TYPE">
  <pivotTables>
    <pivotTable tabId="11" name="PivotTable14"/>
  </pivotTables>
  <data>
    <tabular pivotCacheId="1125571732">
      <items count="3">
        <i x="0" s="1"/>
        <i x="1" nd="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MIUM_CATEGORY" xr10:uid="{2D35552D-6B42-4A15-803C-16BA04125D12}" sourceName="PREMIUM CATEGORY">
  <pivotTables>
    <pivotTable tabId="11" name="PivotTable14"/>
  </pivotTables>
  <data>
    <tabular pivotCacheId="1125571732">
      <items count="6">
        <i x="2"/>
        <i x="1"/>
        <i x="0" s="1"/>
        <i x="3" nd="1"/>
        <i x="5" nd="1"/>
        <i x="4"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D_No.1" xr10:uid="{7C5436B9-2FB9-4601-B492-C9196A11E3C5}" sourceName="BLD_x000a_No.">
  <pivotTables>
    <pivotTable tabId="14" name="PivotTable14"/>
  </pivotTables>
  <data>
    <tabular pivotCacheId="1125571732">
      <items count="44">
        <i x="0" s="1"/>
        <i x="1" s="1"/>
        <i x="8" s="1"/>
        <i x="17" s="1"/>
        <i x="18" s="1"/>
        <i x="19" s="1"/>
        <i x="20" s="1"/>
        <i x="21" s="1"/>
        <i x="22" s="1"/>
        <i x="23" s="1"/>
        <i x="24" s="1"/>
        <i x="25" s="1"/>
        <i x="26" s="1"/>
        <i x="9" s="1"/>
        <i x="10" s="1"/>
        <i x="11" s="1"/>
        <i x="12" s="1"/>
        <i x="13" s="1"/>
        <i x="14" s="1"/>
        <i x="15" s="1"/>
        <i x="16" s="1"/>
        <i x="27" s="1"/>
        <i x="28" s="1"/>
        <i x="29" s="1"/>
        <i x="30" s="1"/>
        <i x="31" s="1"/>
        <i x="32" s="1"/>
        <i x="33" s="1"/>
        <i x="34" s="1"/>
        <i x="35" s="1"/>
        <i x="36" s="1"/>
        <i x="37" s="1"/>
        <i x="38" s="1"/>
        <i x="39" s="1"/>
        <i x="40" s="1"/>
        <i x="42" s="1"/>
        <i x="2" s="1" nd="1"/>
        <i x="3" s="1" nd="1"/>
        <i x="4" s="1" nd="1"/>
        <i x="5" s="1" nd="1"/>
        <i x="6" s="1" nd="1"/>
        <i x="7" s="1" nd="1"/>
        <i x="41" s="1" nd="1"/>
        <i x="4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TRUCTION_PHASE1" xr10:uid="{6DC378EC-4B84-47E0-9820-F8DFF8E113C6}" sourceName="CONSTRUCTION PHASE">
  <pivotTables>
    <pivotTable tabId="14" name="PivotTable14"/>
  </pivotTables>
  <data>
    <tabular pivotCacheId="1125571732">
      <items count="4">
        <i x="0" s="1"/>
        <i x="1" s="1"/>
        <i x="2" s="1"/>
        <i x="3"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D._TYPE1" xr10:uid="{3167F299-EB74-479A-8FEA-27E2834C539B}" sourceName="BLD. TYPE">
  <pivotTables>
    <pivotTable tabId="14" name="PivotTable14"/>
  </pivotTables>
  <data>
    <tabular pivotCacheId="1125571732">
      <items count="3">
        <i x="0" s="1"/>
        <i x="1" nd="1"/>
        <i x="2"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MIUM_CATEGORY1" xr10:uid="{92EB061B-A500-4484-81F6-CBE5B1B40659}" sourceName="PREMIUM CATEGORY">
  <pivotTables>
    <pivotTable tabId="14" name="PivotTable14"/>
  </pivotTables>
  <data>
    <tabular pivotCacheId="1125571732">
      <items count="6">
        <i x="2" s="1"/>
        <i x="1"/>
        <i x="0"/>
        <i x="3" nd="1"/>
        <i x="5" nd="1"/>
        <i x="4"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D_No.11" xr10:uid="{8F9E3E59-2851-43AA-A287-B066DF513636}" sourceName="BLD_x000a_No.">
  <pivotTables>
    <pivotTable tabId="20" name="PivotTable14"/>
  </pivotTables>
  <data>
    <tabular pivotCacheId="1125571732">
      <items count="44">
        <i x="0" s="1"/>
        <i x="1" s="1"/>
        <i x="2" s="1"/>
        <i x="5" s="1"/>
        <i x="6" s="1"/>
        <i x="7" s="1"/>
        <i x="17" s="1"/>
        <i x="18" s="1"/>
        <i x="19" s="1"/>
        <i x="20" s="1"/>
        <i x="21" s="1"/>
        <i x="22" s="1"/>
        <i x="24" s="1"/>
        <i x="25" s="1"/>
        <i x="26" s="1"/>
        <i x="13" s="1"/>
        <i x="16" s="1"/>
        <i x="27" s="1"/>
        <i x="28" s="1"/>
        <i x="29" s="1"/>
        <i x="30" s="1"/>
        <i x="31" s="1"/>
        <i x="32" s="1"/>
        <i x="33" s="1"/>
        <i x="34" s="1"/>
        <i x="35" s="1"/>
        <i x="36" s="1"/>
        <i x="37" s="1"/>
        <i x="38" s="1"/>
        <i x="39" s="1"/>
        <i x="40" s="1"/>
        <i x="41" s="1"/>
        <i x="42" s="1"/>
        <i x="3" s="1" nd="1"/>
        <i x="4" s="1" nd="1"/>
        <i x="8" s="1" nd="1"/>
        <i x="23" s="1" nd="1"/>
        <i x="9" s="1" nd="1"/>
        <i x="10" s="1" nd="1"/>
        <i x="11" s="1" nd="1"/>
        <i x="12" s="1" nd="1"/>
        <i x="14" s="1" nd="1"/>
        <i x="15" s="1" nd="1"/>
        <i x="43"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TRUCTION_PHASE11" xr10:uid="{DA72AC05-AA78-457F-9EC8-27930DB713AB}" sourceName="CONSTRUCTION PHASE">
  <pivotTables>
    <pivotTable tabId="20" name="PivotTable14"/>
  </pivotTables>
  <data>
    <tabular pivotCacheId="1125571732">
      <items count="4">
        <i x="0" s="1"/>
        <i x="1" s="1"/>
        <i x="2" s="1"/>
        <i x="3"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D._TYPE11" xr10:uid="{DF9C31E7-B6F7-40EE-A556-A8C223A09364}" sourceName="BLD. TYPE">
  <pivotTables>
    <pivotTable tabId="20" name="PivotTable14"/>
  </pivotTables>
  <data>
    <tabular pivotCacheId="1125571732">
      <items count="3">
        <i x="0" s="1"/>
        <i x="1" nd="1"/>
        <i x="2"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MIUM_CATEGORY11" xr10:uid="{FF2CDC56-AA3C-4224-BEBB-5867FF22CB33}" sourceName="PREMIUM CATEGORY">
  <pivotTables>
    <pivotTable tabId="20" name="PivotTable14"/>
  </pivotTables>
  <data>
    <tabular pivotCacheId="1125571732">
      <items count="6">
        <i x="2"/>
        <i x="1" s="1"/>
        <i x="0"/>
        <i x="3" nd="1"/>
        <i x="5" nd="1"/>
        <i x="4"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MIUM_CATEGORY2" xr10:uid="{2240C88B-25C0-41CD-AB44-7C2F2087B58C}" sourceName="PREMIUM CATEGORY">
  <pivotTables>
    <pivotTable tabId="24" name="R1"/>
  </pivotTables>
  <data>
    <tabular pivotCacheId="1571478628">
      <items count="4">
        <i x="2" s="1"/>
        <i x="1" s="1"/>
        <i x="0" s="1"/>
        <i x="3"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ING_PHASE_NAME" xr10:uid="{EB5BC024-ACD5-4058-A87D-6462F4C4D537}" sourceName="SELLING PHASE NAME">
  <pivotTables>
    <pivotTable tabId="24" name="R1"/>
  </pivotTables>
  <data>
    <tabular pivotCacheId="1571478628">
      <items count="13">
        <i x="3" s="1"/>
        <i x="8"/>
        <i x="9"/>
        <i x="7"/>
        <i x="0"/>
        <i x="6"/>
        <i x="2"/>
        <i x="5"/>
        <i x="1"/>
        <i x="12"/>
        <i x="4"/>
        <i x="10"/>
        <i x="1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CATEGORY" xr10:uid="{9204B262-C25A-417C-A917-36ED3B78AFB1}" sourceName="AREA CATEGORY">
  <pivotTables>
    <pivotTable tabId="24" name="R1"/>
  </pivotTables>
  <data>
    <tabular pivotCacheId="1571478628">
      <items count="6">
        <i x="2" s="1"/>
        <i x="1" s="1"/>
        <i x="0" s="1"/>
        <i x="4" s="1"/>
        <i x="3" s="1"/>
        <i x="5"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MIUM_CATEGORY21" xr10:uid="{A1E0753F-AB60-455F-AAF2-DDAB50E1673F}" sourceName="PREMIUM CATEGORY">
  <pivotTables>
    <pivotTable tabId="49" name="PivotTable17"/>
  </pivotTables>
  <data>
    <tabular pivotCacheId="1571478628">
      <items count="4">
        <i x="2" s="1"/>
        <i x="1" s="1"/>
        <i x="0" s="1"/>
        <i x="3"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ING_PHASE_NAME1" xr10:uid="{8D3DE5E3-415A-4216-95F0-67206C0733A7}" sourceName="SELLING PHASE NAME">
  <pivotTables>
    <pivotTable tabId="49" name="PivotTable17"/>
  </pivotTables>
  <data>
    <tabular pivotCacheId="1571478628">
      <items count="13">
        <i x="3"/>
        <i x="8"/>
        <i x="9"/>
        <i x="7"/>
        <i x="0" s="1"/>
        <i x="6"/>
        <i x="2"/>
        <i x="5"/>
        <i x="1"/>
        <i x="12"/>
        <i x="4"/>
        <i x="10"/>
        <i x="11" nd="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CATEGORY1" xr10:uid="{6D1587FC-B949-4675-A130-00A28D82E90D}" sourceName="AREA CATEGORY">
  <pivotTables>
    <pivotTable tabId="49" name="PivotTable17"/>
  </pivotTables>
  <data>
    <tabular pivotCacheId="1571478628">
      <items count="6">
        <i x="1" s="1"/>
        <i x="0" s="1"/>
        <i x="4" s="1"/>
        <i x="3" s="1"/>
        <i x="5" s="1"/>
        <i x="2" s="1" nd="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MIUM_CATEGORY211" xr10:uid="{45709A6B-1481-45AD-9844-E5A67FDACC1E}" sourceName="PREMIUM CATEGORY">
  <pivotTables>
    <pivotTable tabId="50" name="PivotTable17"/>
  </pivotTables>
  <data>
    <tabular pivotCacheId="1571478628">
      <items count="4">
        <i x="2" s="1"/>
        <i x="1" s="1"/>
        <i x="0" s="1"/>
        <i x="3" s="1" nd="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ING_PHASE_NAME11" xr10:uid="{93B6AFD8-94AC-4E97-B7C2-122C088FBFF5}" sourceName="SELLING PHASE NAME">
  <pivotTables>
    <pivotTable tabId="50" name="PivotTable17"/>
  </pivotTables>
  <data>
    <tabular pivotCacheId="1571478628">
      <items count="13">
        <i x="3"/>
        <i x="8"/>
        <i x="9"/>
        <i x="7"/>
        <i x="0"/>
        <i x="6" s="1"/>
        <i x="2"/>
        <i x="5"/>
        <i x="1"/>
        <i x="12"/>
        <i x="4"/>
        <i x="10"/>
        <i x="1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CATEGORY11" xr10:uid="{FB541DC2-EF54-49CE-8D2B-6BA7D9B4C0B7}" sourceName="AREA CATEGORY">
  <pivotTables>
    <pivotTable tabId="50" name="PivotTable17"/>
  </pivotTables>
  <data>
    <tabular pivotCacheId="1571478628">
      <items count="6">
        <i x="2" s="1"/>
        <i x="1" s="1"/>
        <i x="0" s="1"/>
        <i x="4" s="1"/>
        <i x="3" s="1"/>
        <i x="5" s="1" nd="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MIUM_CATEGORY2111" xr10:uid="{4160EBDB-C796-4A58-AAC1-563DF81C4B0E}" sourceName="PREMIUM CATEGORY">
  <pivotTables>
    <pivotTable tabId="51" name="PivotTable17"/>
  </pivotTables>
  <data>
    <tabular pivotCacheId="1571478628">
      <items count="4">
        <i x="2" s="1"/>
        <i x="1" s="1"/>
        <i x="0" s="1"/>
        <i x="3" s="1" nd="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ING_PHASE_NAME111" xr10:uid="{F716CE7B-B48E-479F-ADD1-E80A6B0DF442}" sourceName="SELLING PHASE NAME">
  <pivotTables>
    <pivotTable tabId="51" name="PivotTable17"/>
  </pivotTables>
  <data>
    <tabular pivotCacheId="1571478628">
      <items count="13">
        <i x="3"/>
        <i x="8"/>
        <i x="9"/>
        <i x="7"/>
        <i x="0"/>
        <i x="6"/>
        <i x="2" s="1"/>
        <i x="5"/>
        <i x="1"/>
        <i x="12"/>
        <i x="4"/>
        <i x="10"/>
        <i x="1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CATEGORY111" xr10:uid="{BAF0CF53-76D6-4C4C-957A-121E55627D7F}" sourceName="AREA CATEGORY">
  <pivotTables>
    <pivotTable tabId="51" name="PivotTable17"/>
  </pivotTables>
  <data>
    <tabular pivotCacheId="1571478628">
      <items count="6">
        <i x="1" s="1"/>
        <i x="0" s="1"/>
        <i x="4" s="1"/>
        <i x="3" s="1"/>
        <i x="5" s="1"/>
        <i x="2" s="1" nd="1"/>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MIUM_CATEGORY21111" xr10:uid="{A2ADDB63-8A03-4887-803D-797CF31AFE5A}" sourceName="PREMIUM CATEGORY">
  <pivotTables>
    <pivotTable tabId="52" name="PivotTable17"/>
  </pivotTables>
  <data>
    <tabular pivotCacheId="1571478628">
      <items count="4">
        <i x="2" s="1"/>
        <i x="1" s="1"/>
        <i x="0" s="1"/>
        <i x="3" s="1" nd="1"/>
      </items>
    </tabular>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ING_PHASE_NAME1111" xr10:uid="{3300C071-9BC8-4D80-9026-BFC63D0E25BF}" sourceName="SELLING PHASE NAME">
  <pivotTables>
    <pivotTable tabId="52" name="PivotTable17"/>
  </pivotTables>
  <data>
    <tabular pivotCacheId="1571478628">
      <items count="13">
        <i x="3"/>
        <i x="8"/>
        <i x="9"/>
        <i x="7"/>
        <i x="0"/>
        <i x="6"/>
        <i x="2"/>
        <i x="5" s="1"/>
        <i x="1"/>
        <i x="12"/>
        <i x="4"/>
        <i x="10"/>
        <i x="11"/>
      </items>
    </tabular>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CATEGORY1111" xr10:uid="{3A562988-1E71-4799-A812-D151CAF8DDA0}" sourceName="AREA CATEGORY">
  <pivotTables>
    <pivotTable tabId="52" name="PivotTable17"/>
  </pivotTables>
  <data>
    <tabular pivotCacheId="1571478628">
      <items count="6">
        <i x="1" s="1"/>
        <i x="0" s="1"/>
        <i x="4" s="1"/>
        <i x="3" s="1"/>
        <i x="5" s="1"/>
        <i x="2" s="1" nd="1"/>
      </items>
    </tabular>
  </data>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MIUM_CATEGORY211111" xr10:uid="{84EFAE3E-B887-421B-BD55-159FD50968C6}" sourceName="PREMIUM CATEGORY">
  <pivotTables>
    <pivotTable tabId="53" name="PivotTable17"/>
  </pivotTables>
  <data>
    <tabular pivotCacheId="1571478628">
      <items count="4">
        <i x="2" s="1"/>
        <i x="1" s="1"/>
        <i x="0" s="1"/>
        <i x="3" s="1" nd="1"/>
      </items>
    </tabular>
  </data>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ING_PHASE_NAME11111" xr10:uid="{17829C51-D2CA-4303-A0BC-C9DA24D70232}" sourceName="SELLING PHASE NAME">
  <pivotTables>
    <pivotTable tabId="53" name="PivotTable17"/>
  </pivotTables>
  <data>
    <tabular pivotCacheId="1571478628">
      <items count="13">
        <i x="3"/>
        <i x="8"/>
        <i x="9"/>
        <i x="7"/>
        <i x="0"/>
        <i x="6"/>
        <i x="2"/>
        <i x="5"/>
        <i x="1" s="1"/>
        <i x="12"/>
        <i x="4"/>
        <i x="10"/>
        <i x="11"/>
      </items>
    </tabular>
  </data>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CATEGORY11111" xr10:uid="{217DD8D4-215A-46E3-850F-0B4307202BFE}" sourceName="AREA CATEGORY">
  <pivotTables>
    <pivotTable tabId="53" name="PivotTable17"/>
  </pivotTables>
  <data>
    <tabular pivotCacheId="1571478628">
      <items count="6">
        <i x="1" s="1"/>
        <i x="0" s="1"/>
        <i x="4" s="1"/>
        <i x="3" s="1"/>
        <i x="5" s="1"/>
        <i x="2" s="1" nd="1"/>
      </items>
    </tabular>
  </data>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MIUM_CATEGORY2111111" xr10:uid="{DBAD93A2-72EE-4080-B64F-704B66EA9A51}" sourceName="PREMIUM CATEGORY">
  <pivotTables>
    <pivotTable tabId="54" name="PivotTable17"/>
  </pivotTables>
  <data>
    <tabular pivotCacheId="1571478628">
      <items count="4">
        <i x="2" s="1"/>
        <i x="1" s="1"/>
        <i x="0" s="1"/>
        <i x="3" s="1" nd="1"/>
      </items>
    </tabular>
  </data>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ING_PHASE_NAME111111" xr10:uid="{69D473C4-A5DE-4EA2-9296-0A55CB761077}" sourceName="SELLING PHASE NAME">
  <pivotTables>
    <pivotTable tabId="54" name="PivotTable17"/>
  </pivotTables>
  <data>
    <tabular pivotCacheId="1571478628">
      <items count="13">
        <i x="3"/>
        <i x="8"/>
        <i x="9"/>
        <i x="7"/>
        <i x="0"/>
        <i x="6"/>
        <i x="2"/>
        <i x="5"/>
        <i x="1"/>
        <i x="12" s="1"/>
        <i x="4"/>
        <i x="10"/>
        <i x="11"/>
      </items>
    </tabular>
  </data>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CATEGORY111111" xr10:uid="{9C1B5F78-B461-4627-8189-6D193F7D52FF}" sourceName="AREA CATEGORY">
  <pivotTables>
    <pivotTable tabId="54" name="PivotTable17"/>
  </pivotTables>
  <data>
    <tabular pivotCacheId="1571478628">
      <items count="6">
        <i x="2" s="1"/>
        <i x="1" s="1"/>
        <i x="0" s="1"/>
        <i x="4" s="1"/>
        <i x="3" s="1"/>
        <i x="5" s="1" nd="1"/>
      </items>
    </tabular>
  </data>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MIUM_CATEGORY21111111" xr10:uid="{FA56F8F6-111C-43C8-9586-2881B56A7F8A}" sourceName="PREMIUM CATEGORY">
  <pivotTables>
    <pivotTable tabId="55" name="PivotTable17"/>
  </pivotTables>
  <data>
    <tabular pivotCacheId="1571478628">
      <items count="4">
        <i x="2" s="1"/>
        <i x="1" s="1"/>
        <i x="0" s="1"/>
        <i x="3" s="1" nd="1"/>
      </items>
    </tabular>
  </data>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ING_PHASE_NAME1111111" xr10:uid="{5AC249A4-8047-4563-B2AC-21617F3F5B38}" sourceName="SELLING PHASE NAME">
  <pivotTables>
    <pivotTable tabId="55" name="PivotTable17"/>
  </pivotTables>
  <data>
    <tabular pivotCacheId="1571478628">
      <items count="13">
        <i x="3"/>
        <i x="8"/>
        <i x="9"/>
        <i x="7"/>
        <i x="0"/>
        <i x="6"/>
        <i x="2"/>
        <i x="5"/>
        <i x="1"/>
        <i x="12"/>
        <i x="4" s="1"/>
        <i x="10"/>
        <i x="11"/>
      </items>
    </tabular>
  </data>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CATEGORY1111111" xr10:uid="{0097AA21-7A91-4140-822E-9755160B47CC}" sourceName="AREA CATEGORY">
  <pivotTables>
    <pivotTable tabId="55" name="PivotTable17"/>
  </pivotTables>
  <data>
    <tabular pivotCacheId="1571478628">
      <items count="6">
        <i x="2" s="1"/>
        <i x="1" s="1"/>
        <i x="0" s="1"/>
        <i x="4" s="1"/>
        <i x="3" s="1"/>
        <i x="5" s="1"/>
      </items>
    </tabular>
  </data>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MIUM_CATEGORY211111111" xr10:uid="{73EBB5F8-B15E-4461-9A64-CBAEDB7EA315}" sourceName="PREMIUM CATEGORY">
  <pivotTables>
    <pivotTable tabId="56" name="PivotTable17"/>
  </pivotTables>
  <data>
    <tabular pivotCacheId="1571478628">
      <items count="4">
        <i x="2" s="1"/>
        <i x="1" s="1"/>
        <i x="0" s="1"/>
        <i x="3" s="1" nd="1"/>
      </items>
    </tabular>
  </data>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ING_PHASE_NAME11111111" xr10:uid="{8A0895BD-7F51-416C-AABC-2F1CC69C6927}" sourceName="SELLING PHASE NAME">
  <pivotTables>
    <pivotTable tabId="56" name="PivotTable17"/>
  </pivotTables>
  <data>
    <tabular pivotCacheId="1571478628">
      <items count="13">
        <i x="3"/>
        <i x="8"/>
        <i x="9"/>
        <i x="7"/>
        <i x="0"/>
        <i x="6"/>
        <i x="2"/>
        <i x="5"/>
        <i x="1"/>
        <i x="12"/>
        <i x="4"/>
        <i x="10" s="1"/>
        <i x="11"/>
      </items>
    </tabular>
  </data>
</slicerCacheDefinition>
</file>

<file path=xl/slicerCaches/slicerCache3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CATEGORY11111111" xr10:uid="{B26DD46A-8924-4105-904B-C60B9049414D}" sourceName="AREA CATEGORY">
  <pivotTables>
    <pivotTable tabId="56" name="PivotTable17"/>
  </pivotTables>
  <data>
    <tabular pivotCacheId="1571478628">
      <items count="6">
        <i x="2" s="1"/>
        <i x="1" s="1"/>
        <i x="0" s="1"/>
        <i x="4" s="1"/>
        <i x="3" s="1"/>
        <i x="5" s="1" nd="1"/>
      </items>
    </tabular>
  </data>
</slicerCacheDefinition>
</file>

<file path=xl/slicerCaches/slicerCache4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MIUM_CATEGORY2111111111" xr10:uid="{760CED4F-AE9B-49CC-BE54-8C683186DBF8}" sourceName="PREMIUM CATEGORY">
  <pivotTables>
    <pivotTable tabId="57" name="PivotTable17"/>
  </pivotTables>
  <data>
    <tabular pivotCacheId="1571478628">
      <items count="4">
        <i x="2" s="1"/>
        <i x="1" s="1"/>
        <i x="0" s="1"/>
        <i x="3" s="1" nd="1"/>
      </items>
    </tabular>
  </data>
</slicerCacheDefinition>
</file>

<file path=xl/slicerCaches/slicerCache4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ING_PHASE_NAME111111111" xr10:uid="{574B6100-E80E-4135-943D-7514CFDE8606}" sourceName="SELLING PHASE NAME">
  <pivotTables>
    <pivotTable tabId="57" name="PivotTable17"/>
  </pivotTables>
  <data>
    <tabular pivotCacheId="1571478628">
      <items count="13">
        <i x="3"/>
        <i x="8" s="1"/>
        <i x="9"/>
        <i x="7"/>
        <i x="0"/>
        <i x="6"/>
        <i x="2"/>
        <i x="5"/>
        <i x="1"/>
        <i x="12"/>
        <i x="4"/>
        <i x="10"/>
        <i x="11"/>
      </items>
    </tabular>
  </data>
</slicerCacheDefinition>
</file>

<file path=xl/slicerCaches/slicerCache4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CATEGORY111111111" xr10:uid="{22AEAD34-75F0-4E9C-9E92-FFE1D92D4920}" sourceName="AREA CATEGORY">
  <pivotTables>
    <pivotTable tabId="57" name="PivotTable17"/>
  </pivotTables>
  <data>
    <tabular pivotCacheId="1571478628">
      <items count="6">
        <i x="1" s="1"/>
        <i x="0" s="1"/>
        <i x="4" s="1"/>
        <i x="3" s="1"/>
        <i x="2" s="1" nd="1"/>
        <i x="5" s="1" nd="1"/>
      </items>
    </tabular>
  </data>
</slicerCacheDefinition>
</file>

<file path=xl/slicerCaches/slicerCache4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MIUM_CATEGORY21111111111" xr10:uid="{22CBDB03-BA4B-4DFD-ABB8-D1C0EE4BFA1D}" sourceName="PREMIUM CATEGORY">
  <pivotTables>
    <pivotTable tabId="58" name="PivotTable17"/>
  </pivotTables>
  <data>
    <tabular pivotCacheId="1571478628">
      <items count="4">
        <i x="2" s="1"/>
        <i x="1" s="1"/>
        <i x="0" s="1"/>
        <i x="3" s="1" nd="1"/>
      </items>
    </tabular>
  </data>
</slicerCacheDefinition>
</file>

<file path=xl/slicerCaches/slicerCache4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ING_PHASE_NAME1111111111" xr10:uid="{9A7EF290-A073-401C-B994-DEC749FE3B0F}" sourceName="SELLING PHASE NAME">
  <pivotTables>
    <pivotTable tabId="58" name="PivotTable17"/>
  </pivotTables>
  <data>
    <tabular pivotCacheId="1571478628">
      <items count="13">
        <i x="3"/>
        <i x="8"/>
        <i x="9" s="1"/>
        <i x="7"/>
        <i x="0"/>
        <i x="6"/>
        <i x="2"/>
        <i x="5"/>
        <i x="1"/>
        <i x="12"/>
        <i x="4"/>
        <i x="10"/>
        <i x="11"/>
      </items>
    </tabular>
  </data>
</slicerCacheDefinition>
</file>

<file path=xl/slicerCaches/slicerCache4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CATEGORY1111111111" xr10:uid="{DC71B474-0DB0-44F6-B219-A1AD6C523E04}" sourceName="AREA CATEGORY">
  <pivotTables>
    <pivotTable tabId="58" name="PivotTable17"/>
  </pivotTables>
  <data>
    <tabular pivotCacheId="1571478628">
      <items count="6">
        <i x="0" s="1"/>
        <i x="4" s="1"/>
        <i x="3" s="1"/>
        <i x="2" s="1" nd="1"/>
        <i x="1" s="1" nd="1"/>
        <i x="5" s="1" nd="1"/>
      </items>
    </tabular>
  </data>
</slicerCacheDefinition>
</file>

<file path=xl/slicerCaches/slicerCache4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MIUM_CATEGORY211111111111" xr10:uid="{407A0E1A-5174-4641-9BC4-8F34B4B07AF3}" sourceName="PREMIUM CATEGORY">
  <pivotTables>
    <pivotTable tabId="59" name="PivotTable17"/>
  </pivotTables>
  <data>
    <tabular pivotCacheId="1571478628">
      <items count="4">
        <i x="2" s="1"/>
        <i x="1" s="1"/>
        <i x="0" s="1"/>
        <i x="3" s="1" nd="1"/>
      </items>
    </tabular>
  </data>
</slicerCacheDefinition>
</file>

<file path=xl/slicerCaches/slicerCache4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ING_PHASE_NAME11111111111" xr10:uid="{18BC328B-F51A-4756-B21A-292BDD8A4F2E}" sourceName="SELLING PHASE NAME">
  <pivotTables>
    <pivotTable tabId="59" name="PivotTable17"/>
  </pivotTables>
  <data>
    <tabular pivotCacheId="1571478628">
      <items count="13">
        <i x="3"/>
        <i x="8"/>
        <i x="9"/>
        <i x="7" s="1"/>
        <i x="0"/>
        <i x="6"/>
        <i x="2"/>
        <i x="5"/>
        <i x="1"/>
        <i x="12"/>
        <i x="4"/>
        <i x="10"/>
        <i x="11"/>
      </items>
    </tabular>
  </data>
</slicerCacheDefinition>
</file>

<file path=xl/slicerCaches/slicerCache4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CATEGORY11111111111" xr10:uid="{EEB19BB9-0877-42AB-8E17-736FACAB8F85}" sourceName="AREA CATEGORY">
  <pivotTables>
    <pivotTable tabId="59" name="PivotTable17"/>
  </pivotTables>
  <data>
    <tabular pivotCacheId="1571478628">
      <items count="6">
        <i x="1" s="1"/>
        <i x="0" s="1"/>
        <i x="4" s="1"/>
        <i x="3" s="1"/>
        <i x="2" s="1" nd="1"/>
        <i x="5" s="1" nd="1"/>
      </items>
    </tabular>
  </data>
</slicerCacheDefinition>
</file>

<file path=xl/slicerCaches/slicerCache4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MIUM_CATEGORY2111111111111" xr10:uid="{55196F64-0950-4FF3-8087-8A32BA8D73F5}" sourceName="PREMIUM CATEGORY">
  <pivotTables>
    <pivotTable tabId="60" name="PivotTable17"/>
  </pivotTables>
  <data>
    <tabular pivotCacheId="1571478628">
      <items count="4">
        <i x="3" s="1"/>
        <i x="2" s="1" nd="1"/>
        <i x="1" s="1" nd="1"/>
        <i x="0" s="1" nd="1"/>
      </items>
    </tabular>
  </data>
</slicerCacheDefinition>
</file>

<file path=xl/slicerCaches/slicerCache5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ING_PHASE_NAME111111111111" xr10:uid="{D45A51EA-DF44-4DD1-8A99-399B4DD74C7A}" sourceName="SELLING PHASE NAME">
  <pivotTables>
    <pivotTable tabId="60" name="PivotTable17"/>
  </pivotTables>
  <data>
    <tabular pivotCacheId="1571478628">
      <items count="13">
        <i x="3"/>
        <i x="8"/>
        <i x="9"/>
        <i x="7"/>
        <i x="0"/>
        <i x="6"/>
        <i x="2"/>
        <i x="5"/>
        <i x="1"/>
        <i x="12"/>
        <i x="4"/>
        <i x="10"/>
        <i x="11" s="1"/>
      </items>
    </tabular>
  </data>
</slicerCacheDefinition>
</file>

<file path=xl/slicerCaches/slicerCache5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CATEGORY111111111111" xr10:uid="{1AD25522-B619-4E25-9686-0E42573F1C63}" sourceName="AREA CATEGORY">
  <pivotTables>
    <pivotTable tabId="60" name="PivotTable17"/>
  </pivotTables>
  <data>
    <tabular pivotCacheId="1571478628">
      <items count="6">
        <i x="2" s="1"/>
        <i x="1" s="1" nd="1"/>
        <i x="0" s="1" nd="1"/>
        <i x="4" s="1" nd="1"/>
        <i x="3"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D_x000a_No." xr10:uid="{A2ADADC3-F809-4D52-A4D6-9A08DA4C5B72}" cache="Slicer_BLD_No." caption="BLD_x000a_No." rowHeight="241300"/>
  <slicer name="CONSTRUCTION PHASE" xr10:uid="{6C1257BD-ACD3-4B74-8D0D-C7A08456508C}" cache="Slicer_CONSTRUCTION_PHASE" caption="CONSTRUCTION PHASE" rowHeight="241300"/>
  <slicer name="BLD. TYPE" xr10:uid="{ACDCF527-FC6E-4B68-BA62-0C16C0D43174}" cache="Slicer_BLD._TYPE" caption="BLD. TYPE" rowHeight="241300"/>
  <slicer name="PREMIUM CATEGORY" xr10:uid="{B9CF861F-B158-41E6-8935-EE5C9C05B8B1}" cache="Slicer_PREMIUM_CATEGORY" caption="PREMIUM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D_x000a_No. 1" xr10:uid="{EF3A7E79-E799-41E0-9DBD-4A2BFF7FA0E3}" cache="Slicer_BLD_No.1" caption="BLD_x000a_No." rowHeight="241300"/>
  <slicer name="CONSTRUCTION PHASE 1" xr10:uid="{88176C5E-1A91-40E6-8470-662BC04E2D6D}" cache="Slicer_CONSTRUCTION_PHASE1" caption="CONSTRUCTION PHASE" rowHeight="241300"/>
  <slicer name="BLD. TYPE 1" xr10:uid="{26DA611F-B615-4A20-A26B-8B1A5AB4BADC}" cache="Slicer_BLD._TYPE1" caption="BLD. TYPE" rowHeight="241300"/>
  <slicer name="PREMIUM CATEGORY 1" xr10:uid="{29604C0D-5E83-4E4E-B4E9-E35A9ABE89F7}" cache="Slicer_PREMIUM_CATEGORY1" caption="PREMIUM 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D_x000a_No. 2" xr10:uid="{8675B408-826E-4CB6-9565-E6F87CC31F0E}" cache="Slicer_BLD_No.11" caption="BLD_x000a_No." rowHeight="241300"/>
  <slicer name="CONSTRUCTION PHASE 2" xr10:uid="{6FAE2888-002F-467B-BCE2-89F077A19BF3}" cache="Slicer_CONSTRUCTION_PHASE11" caption="CONSTRUCTION PHASE" rowHeight="241300"/>
  <slicer name="BLD. TYPE 2" xr10:uid="{6B6E94C4-F112-43FC-80A1-FE46993ACD80}" cache="Slicer_BLD._TYPE11" caption="BLD. TYPE" rowHeight="241300"/>
  <slicer name="PREMIUM CATEGORY 2" xr10:uid="{857BEF6B-1C7D-4260-8735-5A2A4ACEA51A}" cache="Slicer_PREMIUM_CATEGORY11" caption="PREMIUM CATEGOR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MIUM CATEGORY 3" xr10:uid="{E2D790D6-848F-41AB-92B5-FE45AAD068BC}" cache="Slicer_PREMIUM_CATEGORY2" caption="PREMIUM CATEGORY" columnCount="2" rowHeight="241300"/>
  <slicer name="SELLING PHASE NAME" xr10:uid="{06EE65E4-E15B-40D5-9091-A22330BC1993}" cache="Slicer_SELLING_PHASE_NAME" caption="SELLING PHASE NAME" columnCount="2" rowHeight="241300"/>
  <slicer name="AREA CATEGORY" xr10:uid="{59D518B8-8B66-46B8-86E6-E751CDFFE26C}" cache="Slicer_AREA_CATEGORY" caption="AREA CATEGORY" columnCount="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MIUM CATEGORY 4" xr10:uid="{DFA70AAE-A9A9-4921-8366-14FA0CDBF4E9}" cache="Slicer_PREMIUM_CATEGORY21" caption="PREMIUM CATEGORY" columnCount="2" rowHeight="241300"/>
  <slicer name="SELLING PHASE NAME 1" xr10:uid="{82F57608-B958-4E54-9BE7-9A42A2FD778C}" cache="Slicer_SELLING_PHASE_NAME1" caption="SELLING PHASE NAME" columnCount="2" rowHeight="241300"/>
  <slicer name="AREA CATEGORY 1" xr10:uid="{95149759-6526-4096-8D16-030DEF713955}" cache="Slicer_AREA_CATEGORY1" caption="AREA CATEGORY" columnCount="2"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MIUM CATEGORY 5" xr10:uid="{5FA0FCA5-46A0-4EAD-AD4D-0100A579B9CD}" cache="Slicer_PREMIUM_CATEGORY211" caption="PREMIUM CATEGORY" columnCount="2" rowHeight="241300"/>
  <slicer name="SELLING PHASE NAME 2" xr10:uid="{F78EEE3D-2799-4F09-B8CF-AA219D18F1ED}" cache="Slicer_SELLING_PHASE_NAME11" caption="SELLING PHASE NAME" columnCount="2" rowHeight="241300"/>
  <slicer name="AREA CATEGORY 2" xr10:uid="{16C74475-DB21-4D95-8C24-05380600B7C7}" cache="Slicer_AREA_CATEGORY11" caption="AREA CATEGORY" columnCount="2"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MIUM CATEGORY 6" xr10:uid="{1C0A497D-9F4C-4E85-AEE1-F8149166A524}" cache="Slicer_PREMIUM_CATEGORY2111" caption="PREMIUM CATEGORY" columnCount="2" rowHeight="241300"/>
  <slicer name="SELLING PHASE NAME 3" xr10:uid="{44F63E6F-C8D5-45D3-9A4A-5C18FDBBA75F}" cache="Slicer_SELLING_PHASE_NAME111" caption="SELLING PHASE NAME" columnCount="2" rowHeight="241300"/>
  <slicer name="AREA CATEGORY 3" xr10:uid="{6A78640E-523C-4DA4-9997-88CA7A0A3532}" cache="Slicer_AREA_CATEGORY111" caption="AREA CATEGORY" columnCount="2"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MIUM CATEGORY 7" xr10:uid="{16CE8456-157B-49CB-86F7-74B0EA80C9BD}" cache="Slicer_PREMIUM_CATEGORY21111" caption="PREMIUM CATEGORY" columnCount="2" rowHeight="241300"/>
  <slicer name="SELLING PHASE NAME 4" xr10:uid="{C2693AEA-89EB-4CFB-B68D-D7BED5B475BD}" cache="Slicer_SELLING_PHASE_NAME1111" caption="SELLING PHASE NAME" columnCount="2" rowHeight="241300"/>
  <slicer name="AREA CATEGORY 4" xr10:uid="{142588CC-0EB2-40F5-B45B-6988AD04F8C8}" cache="Slicer_AREA_CATEGORY1111" caption="AREA CATEGORY" columnCount="2" rowHeight="2413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MIUM CATEGORY 8" xr10:uid="{BABB6BC3-395F-40CF-A6E8-F23F7BA3DA34}" cache="Slicer_PREMIUM_CATEGORY211111" caption="PREMIUM CATEGORY" columnCount="2" rowHeight="241300"/>
  <slicer name="SELLING PHASE NAME 5" xr10:uid="{4B8CA558-E878-4F2A-A1FA-C6F8A1AAD948}" cache="Slicer_SELLING_PHASE_NAME11111" caption="SELLING PHASE NAME" columnCount="2" rowHeight="241300"/>
  <slicer name="AREA CATEGORY 5" xr10:uid="{8D85B8BE-5235-44C2-8316-08B4A2AFCAF7}" cache="Slicer_AREA_CATEGORY11111" caption="AREA CATEGORY" columnCount="2" rowHeight="24130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MIUM CATEGORY 9" xr10:uid="{220F6CB4-85A6-4276-92F5-24492B42C250}" cache="Slicer_PREMIUM_CATEGORY2111111" caption="PREMIUM CATEGORY" columnCount="2" rowHeight="241300"/>
  <slicer name="SELLING PHASE NAME 6" xr10:uid="{61F7B1F7-20F3-4278-8733-DF6AB8FFD124}" cache="Slicer_SELLING_PHASE_NAME111111" caption="SELLING PHASE NAME" columnCount="2" rowHeight="241300"/>
  <slicer name="AREA CATEGORY 6" xr10:uid="{115269ED-AAE1-42F0-93A2-AC7574EEA644}" cache="Slicer_AREA_CATEGORY111111" caption="AREA CATEGORY" columnCount="2" rowHeight="24130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MIUM CATEGORY 10" xr10:uid="{AC421330-6767-4944-8A30-41ED0598561E}" cache="Slicer_PREMIUM_CATEGORY21111111" caption="PREMIUM CATEGORY" columnCount="2" rowHeight="241300"/>
  <slicer name="SELLING PHASE NAME 7" xr10:uid="{99571549-6F70-4EC7-B1D2-08429CE84177}" cache="Slicer_SELLING_PHASE_NAME1111111" caption="SELLING PHASE NAME" columnCount="2" rowHeight="241300"/>
  <slicer name="AREA CATEGORY 7" xr10:uid="{24C623C0-16B8-4A60-A8F9-7918C993D80F}" cache="Slicer_AREA_CATEGORY1111111" caption="AREA CATEGORY" columnCount="2" rowHeight="241300"/>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MIUM CATEGORY 11" xr10:uid="{D5EBC05B-0303-44FA-A7D2-D9E559AB6F30}" cache="Slicer_PREMIUM_CATEGORY211111111" caption="PREMIUM CATEGORY" columnCount="2" rowHeight="241300"/>
  <slicer name="SELLING PHASE NAME 8" xr10:uid="{AAA1205B-96DC-4E6C-9139-4A19ADCD187E}" cache="Slicer_SELLING_PHASE_NAME11111111" caption="SELLING PHASE NAME" columnCount="2" rowHeight="241300"/>
  <slicer name="AREA CATEGORY 8" xr10:uid="{2580BD83-3490-49CA-905D-A00DE6C9DA2E}" cache="Slicer_AREA_CATEGORY11111111" caption="AREA CATEGORY" columnCount="2" rowHeight="241300"/>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MIUM CATEGORY 12" xr10:uid="{AA9F0477-AA69-4726-8DBA-C115AEAA0EC9}" cache="Slicer_PREMIUM_CATEGORY2111111111" caption="PREMIUM CATEGORY" columnCount="2" rowHeight="241300"/>
  <slicer name="SELLING PHASE NAME 9" xr10:uid="{6FFE3665-185A-4E5E-A6B3-88F32F45068F}" cache="Slicer_SELLING_PHASE_NAME111111111" caption="SELLING PHASE NAME" columnCount="2" rowHeight="241300"/>
  <slicer name="AREA CATEGORY 9" xr10:uid="{1362DA91-C659-403F-BFC5-00E864BF2EC8}" cache="Slicer_AREA_CATEGORY111111111" caption="AREA CATEGORY" columnCount="2" rowHeight="241300"/>
</slicers>
</file>

<file path=xl/slicers/slicer1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MIUM CATEGORY 13" xr10:uid="{C98F6276-1BFA-4E7E-A1A4-060F3678331C}" cache="Slicer_PREMIUM_CATEGORY21111111111" caption="PREMIUM CATEGORY" columnCount="2" rowHeight="241300"/>
  <slicer name="SELLING PHASE NAME 10" xr10:uid="{E69CD029-AAC4-47F7-A999-D6CBD57BE727}" cache="Slicer_SELLING_PHASE_NAME1111111111" caption="SELLING PHASE NAME" columnCount="2" rowHeight="241300"/>
  <slicer name="AREA CATEGORY 10" xr10:uid="{D85419A7-C3FA-47FA-A190-5DD77A9D4C21}" cache="Slicer_AREA_CATEGORY1111111111" caption="AREA CATEGORY" columnCount="2" rowHeight="241300"/>
</slicers>
</file>

<file path=xl/slicers/slicer1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MIUM CATEGORY 14" xr10:uid="{696A52D9-80DF-4303-BCAE-1000230C4DEA}" cache="Slicer_PREMIUM_CATEGORY211111111111" caption="PREMIUM CATEGORY" columnCount="2" rowHeight="241300"/>
  <slicer name="SELLING PHASE NAME 11" xr10:uid="{4E30CC59-8906-494A-8AF6-CC7762D96866}" cache="Slicer_SELLING_PHASE_NAME11111111111" caption="SELLING PHASE NAME" columnCount="2" rowHeight="241300"/>
  <slicer name="AREA CATEGORY 11" xr10:uid="{E3035B26-CB75-4CB3-9624-5F430D38C0D1}" cache="Slicer_AREA_CATEGORY11111111111" caption="AREA CATEGORY" columnCount="2" rowHeight="241300"/>
</slicers>
</file>

<file path=xl/slicers/slicer1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MIUM CATEGORY 15" xr10:uid="{42E5763A-80DE-40E1-8635-D08AAB2D17C9}" cache="Slicer_PREMIUM_CATEGORY2111111111111" caption="PREMIUM CATEGORY" columnCount="2" rowHeight="241300"/>
  <slicer name="SELLING PHASE NAME 12" xr10:uid="{2610E056-7F9E-4D27-812E-B56B2D6D9FF7}" cache="Slicer_SELLING_PHASE_NAME111111111111" caption="SELLING PHASE NAME" columnCount="2" rowHeight="241300"/>
  <slicer name="AREA CATEGORY 12" xr10:uid="{9B7A5D6E-C826-477B-8C0B-0400F7DA8CFC}" cache="Slicer_AREA_CATEGORY111111111111" caption="AREA CATEGORY"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AB095F-ECFF-48D3-AA26-0D0F4D4E3B58}" name="Table3" displayName="Table3" ref="G9:H53" totalsRowShown="0" headerRowDxfId="615" dataDxfId="614">
  <autoFilter ref="G9:H53" xr:uid="{2AAB095F-ECFF-48D3-AA26-0D0F4D4E3B58}"/>
  <tableColumns count="2">
    <tableColumn id="1" xr3:uid="{336791E0-5FAB-47DE-A33F-158FE2CC9512}" name="Column1" dataDxfId="613"/>
    <tableColumn id="2" xr3:uid="{B61DF713-7CA3-42BB-AC0F-D4CD360A605E}" name="Column2" dataDxfId="6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4C9D49-31AC-4FC1-A826-E9EE2451F308}" name="Table1" displayName="Table1" ref="A4:AV862" totalsRowShown="0" headerRowDxfId="348" dataDxfId="346" headerRowBorderDxfId="347" tableBorderDxfId="345" dataCellStyle="Comma">
  <autoFilter ref="A4:AV862" xr:uid="{004C9D49-31AC-4FC1-A826-E9EE2451F308}"/>
  <tableColumns count="48">
    <tableColumn id="1" xr3:uid="{B4C03A00-9C1D-44D3-82E1-2320D5CB3FEA}" name="BLD_x000a_Type" dataDxfId="344"/>
    <tableColumn id="3" xr3:uid="{16D5F11E-4F0F-4171-9F68-791FED13D2F9}" name="ZONE" dataDxfId="343">
      <calculatedColumnFormula>LEFT(C5,1)</calculatedColumnFormula>
    </tableColumn>
    <tableColumn id="4" xr3:uid="{8ACEBA13-55F5-4998-8B94-EA7C46559218}" name="BLD_x000a_No." dataDxfId="342"/>
    <tableColumn id="5" xr3:uid="{283BD19F-4335-4749-B277-13EB1CB0C229}" name="BLD. TYPE" dataDxfId="341"/>
    <tableColumn id="6" xr3:uid="{90EF2852-A5E4-407F-8E08-11389BECBBDE}" name="Floor" dataDxfId="340"/>
    <tableColumn id="7" xr3:uid="{10EAFD27-1AE0-4647-8B92-2EB6C09FE8E7}" name="UNIT " dataDxfId="339"/>
    <tableColumn id="8" xr3:uid="{A02A3EC6-1C12-4386-B2B9-76A0A92589BB}" name="Unit Number" dataDxfId="338">
      <calculatedColumnFormula>LEFT(C5,2)&amp;E5&amp;F5</calculatedColumnFormula>
    </tableColumn>
    <tableColumn id="50" xr3:uid="{41881DE6-21B4-46D5-B9AB-8711BBEC1F68}" name="NO. OF BEDROOMS" dataDxfId="337"/>
    <tableColumn id="9" xr3:uid="{0226392F-DE52-49E2-B0C9-127FA4C205CE}" name="CONSTRUCTION PHASE" dataDxfId="336">
      <calculatedColumnFormula>VLOOKUP(C5,'PREMIUM TABLES'!$G$107:$H$149,2,FALSE)</calculatedColumnFormula>
    </tableColumn>
    <tableColumn id="10" xr3:uid="{FAF206F4-5814-41D3-93BF-18A9C9B07A8C}" name="Unit Net Area" dataDxfId="335"/>
    <tableColumn id="11" xr3:uid="{815A3E95-8E1C-4F39-8AE1-DCADFB8687A9}" name="Unit Gross Area" dataDxfId="334"/>
    <tableColumn id="12" xr3:uid="{81D543C5-92FB-4625-A49F-E8006C4A3D93}" name="Unit Selling Area" dataDxfId="333"/>
    <tableColumn id="13" xr3:uid="{8B8434EF-F176-48F8-9795-277876B328FF}" name="Private Garden Area" dataDxfId="332"/>
    <tableColumn id="14" xr3:uid="{9BDB6927-6427-45D2-8AEE-BECF48F37780}" name="No. of Bedrooms2" dataDxfId="331"/>
    <tableColumn id="15" xr3:uid="{FED18D5A-4EE4-46E2-B534-ED7CD81024B8}" name="ORIENTATION" dataDxfId="330"/>
    <tableColumn id="16" xr3:uid="{2ADB8CCD-963E-4EA3-AD6F-61BE99307D8C}" name="INTERNAL LOCATION" dataDxfId="329"/>
    <tableColumn id="17" xr3:uid="{5974E2D8-93F9-4B35-9DE6-94A53526482D}" name="VIEW" dataDxfId="328" dataCellStyle="Percent"/>
    <tableColumn id="18" xr3:uid="{BCD24FC2-484D-4624-85C7-1E37C25FA793}" name="FLOOR2" dataDxfId="327">
      <calculatedColumnFormula>VLOOKUP(E5,'PREMIUM TABLES'!$F$214:$G$219,2,FALSE)</calculatedColumnFormula>
    </tableColumn>
    <tableColumn id="19" xr3:uid="{9D780150-7D93-4600-A70B-1AD556E7D2E0}" name="AREA CATEGORY" dataDxfId="326">
      <calculatedColumnFormula array="1">IF(AND(L5&gt;0,L5&lt;90),"A",IF(AND(L5&gt;90,L5&lt;123),"B",IF(AND(L5&gt;122,L5&lt;159),"C",IF(AND(L5&gt;159,L5&lt;185),"D",IF(AND(L5&gt;185,L5&lt;230),"E",IF(AND(L5&gt;230,L5&lt;350),"F",NONE))))))</calculatedColumnFormula>
    </tableColumn>
    <tableColumn id="20" xr3:uid="{345DDDB0-5965-4936-98AE-55B76AB39350}" name="P1" dataDxfId="325" dataCellStyle="Percent">
      <calculatedColumnFormula>VLOOKUP(O5,'PREMIUM TABLES'!$G$165:$H$172,2,FALSE)</calculatedColumnFormula>
    </tableColumn>
    <tableColumn id="21" xr3:uid="{E17ADECC-07E2-44BB-BE0E-05FC0B9CF93D}" name="P2" dataDxfId="324" dataCellStyle="Percent">
      <calculatedColumnFormula>VLOOKUP(P5,'PREMIUM TABLES'!$G$208:$H$209,2,FALSE)</calculatedColumnFormula>
    </tableColumn>
    <tableColumn id="22" xr3:uid="{44A62C32-1FF0-430C-A628-20A8BD52EB15}" name="P3" dataDxfId="323" dataCellStyle="Percent">
      <calculatedColumnFormula>VLOOKUP(Q5,'PREMIUM TABLES'!$G$175:$H$195,2,FALSE)</calculatedColumnFormula>
    </tableColumn>
    <tableColumn id="23" xr3:uid="{DE3893A8-5379-485A-B772-21D7C61903EB}" name="P4" dataDxfId="322" dataCellStyle="Percent">
      <calculatedColumnFormula>VLOOKUP(R5,'PREMIUM TABLES'!$G$214:$H$219,2,FALSE)</calculatedColumnFormula>
    </tableColumn>
    <tableColumn id="24" xr3:uid="{A6AA23B6-DF9E-417B-9F85-75301EDE3024}" name="P5" dataDxfId="321" dataCellStyle="Percent">
      <calculatedColumnFormula>VLOOKUP(S5,'PREMIUM TABLES'!$F$199:$H$205,3,FALSE)</calculatedColumnFormula>
    </tableColumn>
    <tableColumn id="25" xr3:uid="{1A743105-F6A2-4490-979A-ED02025F7855}" name="TOTAL PREMIUM %" dataDxfId="320" dataCellStyle="Percent">
      <calculatedColumnFormula>SUM(T5:X5)</calculatedColumnFormula>
    </tableColumn>
    <tableColumn id="26" xr3:uid="{BF818711-45CA-4381-91A7-8001B12FD1D8}" name="PREMIUM CATEGORY" dataDxfId="319" dataCellStyle="Percent">
      <calculatedColumnFormula array="1">IF(AND(Y5&gt;0,Y5&lt;0.5),"C",IF(AND(Y5&gt;=0.5,Y5&lt;0.73),"B",IF(AND(Y5&gt;=0.73,Y5&lt;0.98),"A",NONE)))</calculatedColumnFormula>
    </tableColumn>
    <tableColumn id="27" xr3:uid="{58232791-FB21-472E-8434-2349484B6628}" name="SELLING PHASE NAME" dataDxfId="318" dataCellStyle="Percent">
      <calculatedColumnFormula>VLOOKUP(G5,'ALL (R)'!$N$5:$R$862,5,FALSE)</calculatedColumnFormula>
    </tableColumn>
    <tableColumn id="28" xr3:uid="{6000B414-F2F3-4A28-AB36-D391B15CF2A0}" name="PHASE (BUILDING) STARTING PRICE" dataDxfId="317" dataCellStyle="Comma">
      <calculatedColumnFormula>VLOOKUP(AA5,FACTS!$B$2:$L$14,10,FALSE)</calculatedColumnFormula>
    </tableColumn>
    <tableColumn id="29" xr3:uid="{02A4EB71-9B1E-49DA-B762-981F4F850F63}" name="PHASE (BUILDING) CLOSING PRICE" dataDxfId="316" dataCellStyle="Comma">
      <calculatedColumnFormula>VLOOKUP(AA5,FACTS!$B$2:$L$14,11,FALSE)</calculatedColumnFormula>
    </tableColumn>
    <tableColumn id="30" xr3:uid="{95CAE32D-C719-485D-9EC2-D82DF82B327A}" name="PHASE PREMIUM RANGE" dataDxfId="315" dataCellStyle="Comma">
      <calculatedColumnFormula>VLOOKUP(AA5,FACTS!$B$2:$N$14,13,FALSE)</calculatedColumnFormula>
    </tableColumn>
    <tableColumn id="31" xr3:uid="{6782E1F6-EB19-4BF0-946E-79EDC99BF112}" name="UNIT PREMIUM VALUE" dataDxfId="314" dataCellStyle="Comma">
      <calculatedColumnFormula>AD5*Y5</calculatedColumnFormula>
    </tableColumn>
    <tableColumn id="32" xr3:uid="{E610F8BE-5A49-4B7C-9434-5F6B625E1991}" name="UNIT (BUILDING) RATE (SEMI FINISHED)" dataDxfId="313" dataCellStyle="Comma">
      <calculatedColumnFormula>AE5+AB5</calculatedColumnFormula>
    </tableColumn>
    <tableColumn id="33" xr3:uid="{E3D3C8A8-BE9D-4234-93F2-40438287F91D}" name="UNIT (GARDEN) RATE" dataDxfId="312" dataCellStyle="Comma">
      <calculatedColumnFormula>AF5*FACTS!$T$2</calculatedColumnFormula>
    </tableColumn>
    <tableColumn id="45" xr3:uid="{4D2BC487-E403-4D67-B712-9D999257D96F}" name="UNIT (BUILDING) RATE (BASIC FINISH)" dataDxfId="311" dataCellStyle="Comma">
      <calculatedColumnFormula>Table1[[#This Row],[UNIT (BUILDING) RATE (SEMI FINISHED)]]+4500</calculatedColumnFormula>
    </tableColumn>
    <tableColumn id="44" xr3:uid="{FE7A4972-8658-464F-905B-BAFC79AC1591}" name="UNIT (BUILDING) RATE (FULLY FINISH)" dataDxfId="310" dataCellStyle="Comma">
      <calculatedColumnFormula>Table1[[#This Row],[UNIT (BUILDING) RATE (SEMI FINISHED)]]+7500</calculatedColumnFormula>
    </tableColumn>
    <tableColumn id="34" xr3:uid="{14F4D0AA-AF13-4D23-A617-069A1205542F}" name="UNIT (BUILDING) VALUE SEMI FINISHED" dataDxfId="309" dataCellStyle="Comma">
      <calculatedColumnFormula>AF5*L5</calculatedColumnFormula>
    </tableColumn>
    <tableColumn id="46" xr3:uid="{D3889777-F7C0-4F46-B564-E99FA7027343}" name="UNIT (BUILDING) VALUE BASIC FINISHED" dataDxfId="308" dataCellStyle="Comma">
      <calculatedColumnFormula>Table1[[#This Row],[UNIT (BUILDING) RATE (BASIC FINISH)]]*Table1[[#This Row],[Unit Selling Area]]</calculatedColumnFormula>
    </tableColumn>
    <tableColumn id="47" xr3:uid="{BCBB8682-1B81-4CFC-B536-F2C1DA39F9FE}" name="UNIT (BUILDING) VALUE FULLY FINISHED" dataDxfId="307" dataCellStyle="Comma">
      <calculatedColumnFormula>Table1[[#This Row],[UNIT (BUILDING) RATE (FULLY FINISH)]]*Table1[[#This Row],[Unit Selling Area]]</calculatedColumnFormula>
    </tableColumn>
    <tableColumn id="35" xr3:uid="{D61D1983-CBE5-4099-B7FD-B6EB32A597E5}" name="UNIT (GARDEN) VALUE" dataDxfId="306" dataCellStyle="Comma">
      <calculatedColumnFormula>AG5*M5</calculatedColumnFormula>
    </tableColumn>
    <tableColumn id="36" xr3:uid="{598611D7-0D2E-471A-AED3-979BB5E979C9}" name="MAINTENANCE VALUE" dataDxfId="305" dataCellStyle="Comma">
      <calculatedColumnFormula>(AM5+AJ5)*FACTS!$S$2</calculatedColumnFormula>
    </tableColumn>
    <tableColumn id="37" xr3:uid="{28A006A0-7201-4921-AB88-EE7586D357D4}" name="MAX. NO. OF CAR PARKING" dataDxfId="304">
      <calculatedColumnFormula>VLOOKUP(S5,FACTS!$A$17:$C$23,3,FALSE)</calculatedColumnFormula>
    </tableColumn>
    <tableColumn id="38" xr3:uid="{2053939E-5973-43C2-BEA6-CBE9637DF954}" name="PARKING VALUE" dataDxfId="303" dataCellStyle="Comma">
      <calculatedColumnFormula>VLOOKUP(AA5,FACTS!$B$2:$J$14,9,FALSE)</calculatedColumnFormula>
    </tableColumn>
    <tableColumn id="39" xr3:uid="{3789152E-F998-4197-BB44-C1A91C7C1F22}" name="TOTAL CARS VALUE" dataDxfId="302" dataCellStyle="Comma">
      <calculatedColumnFormula>Table1[[#This Row],[PARKING VALUE]]*1</calculatedColumnFormula>
    </tableColumn>
    <tableColumn id="40" xr3:uid="{BDBEA203-5958-487F-AC6D-78943CDC6221}" name="TOTAL UNIT VALUE (SEMI FINISHED)" dataDxfId="301" dataCellStyle="Comma">
      <calculatedColumnFormula>AQ5+AM5+AJ5</calculatedColumnFormula>
    </tableColumn>
    <tableColumn id="48" xr3:uid="{C1034CBB-4754-41AD-A942-F20E59598A23}" name="TOTAL UNIT VALUE (BASIC FINISHED)" dataDxfId="300" dataCellStyle="Comma">
      <calculatedColumnFormula>Table1[[#This Row],[TOTAL CARS VALUE]]+Table1[[#This Row],[UNIT (BUILDING) VALUE BASIC FINISHED]]+Table1[[#This Row],[UNIT (GARDEN) VALUE]]</calculatedColumnFormula>
    </tableColumn>
    <tableColumn id="49" xr3:uid="{8DE5200E-233A-4E32-A85C-713E2D70568D}" name="TOTAL UNIT VALUE (FULLY FINISHED)" dataDxfId="299" dataCellStyle="Comma">
      <calculatedColumnFormula>Table1[[#This Row],[TOTAL CARS VALUE]]+Table1[[#This Row],[UNIT (GARDEN) VALUE]]+Table1[[#This Row],[UNIT (BUILDING) VALUE FULLY FINISHED]]</calculatedColumnFormula>
    </tableColumn>
    <tableColumn id="41" xr3:uid="{4BAEB226-2BEC-4FFE-8FC2-1A8DA464EE4E}" name=" UNIT DELIVERY DATE" dataDxfId="298" dataCellStyle="Comma">
      <calculatedColumnFormula>VLOOKUP(I5,'C PHASES'!$I$108:$J$110,2,FALSE)</calculatedColumnFormula>
    </tableColumn>
    <tableColumn id="42" xr3:uid="{4A12974B-89AA-41C8-A038-FAF9082CA299}" name="PHASE SELLING START DATE" dataDxfId="297" dataCellStyle="Comma">
      <calculatedColumnFormula>VLOOKUP(AA5,'C PHASES'!$I$113:$J$125,2,FALSE)</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4.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trlProp" Target="../ctrlProps/ctrlProp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1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1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9.bin"/><Relationship Id="rId1" Type="http://schemas.openxmlformats.org/officeDocument/2006/relationships/pivotTable" Target="../pivotTables/pivotTable18.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8" Type="http://schemas.openxmlformats.org/officeDocument/2006/relationships/printerSettings" Target="../printerSettings/printerSettings13.bin"/><Relationship Id="rId3" Type="http://schemas.openxmlformats.org/officeDocument/2006/relationships/pivotTable" Target="../pivotTables/pivotTable21.xml"/><Relationship Id="rId7" Type="http://schemas.openxmlformats.org/officeDocument/2006/relationships/pivotTable" Target="../pivotTables/pivotTable25.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5" Type="http://schemas.openxmlformats.org/officeDocument/2006/relationships/pivotTable" Target="../pivotTables/pivotTable23.xml"/><Relationship Id="rId4" Type="http://schemas.openxmlformats.org/officeDocument/2006/relationships/pivotTable" Target="../pivotTables/pivotTable22.xml"/><Relationship Id="rId9"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6.bin"/><Relationship Id="rId1" Type="http://schemas.openxmlformats.org/officeDocument/2006/relationships/pivotTable" Target="../pivotTables/pivotTable26.xml"/><Relationship Id="rId4" Type="http://schemas.microsoft.com/office/2007/relationships/slicer" Target="../slicers/slicer1.xml"/></Relationships>
</file>

<file path=xl/worksheets/_rels/sheet2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3.xml"/><Relationship Id="rId1" Type="http://schemas.openxmlformats.org/officeDocument/2006/relationships/pivotTable" Target="../pivotTables/pivotTable27.xml"/></Relationships>
</file>

<file path=xl/worksheets/_rels/sheet2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4.xml"/><Relationship Id="rId1" Type="http://schemas.openxmlformats.org/officeDocument/2006/relationships/pivotTable" Target="../pivotTables/pivotTable28.x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7.bin"/><Relationship Id="rId1" Type="http://schemas.openxmlformats.org/officeDocument/2006/relationships/pivotTable" Target="../pivotTables/pivotTable29.xml"/><Relationship Id="rId4" Type="http://schemas.microsoft.com/office/2007/relationships/slicer" Target="../slicers/slicer4.xm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8.bin"/><Relationship Id="rId1" Type="http://schemas.openxmlformats.org/officeDocument/2006/relationships/pivotTable" Target="../pivotTables/pivotTable30.xml"/><Relationship Id="rId4" Type="http://schemas.microsoft.com/office/2007/relationships/slicer" Target="../slicers/slicer5.xm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9.bin"/><Relationship Id="rId1" Type="http://schemas.openxmlformats.org/officeDocument/2006/relationships/pivotTable" Target="../pivotTables/pivotTable31.xml"/><Relationship Id="rId4" Type="http://schemas.microsoft.com/office/2007/relationships/slicer" Target="../slicers/slicer6.xm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20.bin"/><Relationship Id="rId1" Type="http://schemas.openxmlformats.org/officeDocument/2006/relationships/pivotTable" Target="../pivotTables/pivotTable32.xml"/><Relationship Id="rId4" Type="http://schemas.microsoft.com/office/2007/relationships/slicer" Target="../slicers/slicer7.xm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21.bin"/><Relationship Id="rId1" Type="http://schemas.openxmlformats.org/officeDocument/2006/relationships/pivotTable" Target="../pivotTables/pivotTable33.xml"/><Relationship Id="rId4" Type="http://schemas.microsoft.com/office/2007/relationships/slicer" Target="../slicers/slicer8.xm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2.bin"/><Relationship Id="rId1" Type="http://schemas.openxmlformats.org/officeDocument/2006/relationships/pivotTable" Target="../pivotTables/pivotTable34.xml"/><Relationship Id="rId4" Type="http://schemas.microsoft.com/office/2007/relationships/slicer" Target="../slicers/slicer9.xm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3.bin"/><Relationship Id="rId1" Type="http://schemas.openxmlformats.org/officeDocument/2006/relationships/pivotTable" Target="../pivotTables/pivotTable35.xml"/><Relationship Id="rId4" Type="http://schemas.microsoft.com/office/2007/relationships/slicer" Target="../slicers/slicer10.xm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4.bin"/><Relationship Id="rId1" Type="http://schemas.openxmlformats.org/officeDocument/2006/relationships/pivotTable" Target="../pivotTables/pivotTable36.xml"/><Relationship Id="rId4" Type="http://schemas.microsoft.com/office/2007/relationships/slicer" Target="../slicers/slicer11.xm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5.bin"/><Relationship Id="rId1" Type="http://schemas.openxmlformats.org/officeDocument/2006/relationships/pivotTable" Target="../pivotTables/pivotTable37.xml"/><Relationship Id="rId4" Type="http://schemas.microsoft.com/office/2007/relationships/slicer" Target="../slicers/slicer12.xm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6.bin"/><Relationship Id="rId1" Type="http://schemas.openxmlformats.org/officeDocument/2006/relationships/pivotTable" Target="../pivotTables/pivotTable38.xml"/><Relationship Id="rId4" Type="http://schemas.microsoft.com/office/2007/relationships/slicer" Target="../slicers/slicer13.xm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7.bin"/><Relationship Id="rId1" Type="http://schemas.openxmlformats.org/officeDocument/2006/relationships/pivotTable" Target="../pivotTables/pivotTable39.xml"/><Relationship Id="rId4" Type="http://schemas.microsoft.com/office/2007/relationships/slicer" Target="../slicers/slicer14.xm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8.bin"/><Relationship Id="rId1" Type="http://schemas.openxmlformats.org/officeDocument/2006/relationships/pivotTable" Target="../pivotTables/pivotTable40.xml"/><Relationship Id="rId4" Type="http://schemas.microsoft.com/office/2007/relationships/slicer" Target="../slicers/slicer15.xm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9.bin"/><Relationship Id="rId1" Type="http://schemas.openxmlformats.org/officeDocument/2006/relationships/pivotTable" Target="../pivotTables/pivotTable41.xml"/><Relationship Id="rId4" Type="http://schemas.microsoft.com/office/2007/relationships/slicer" Target="../slicers/slicer16.xm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30.bin"/><Relationship Id="rId1" Type="http://schemas.openxmlformats.org/officeDocument/2006/relationships/pivotTable" Target="../pivotTables/pivotTable4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8AC66-BC70-48C3-94BD-6A0511BCFB80}">
  <sheetPr>
    <pageSetUpPr fitToPage="1"/>
  </sheetPr>
  <dimension ref="A1:J15"/>
  <sheetViews>
    <sheetView view="pageBreakPreview" zoomScaleNormal="100" zoomScaleSheetLayoutView="100" workbookViewId="0">
      <selection activeCell="K6" sqref="K6"/>
    </sheetView>
  </sheetViews>
  <sheetFormatPr defaultRowHeight="15" x14ac:dyDescent="0.25"/>
  <cols>
    <col min="1" max="1" width="11.28515625" style="79" bestFit="1" customWidth="1"/>
    <col min="2" max="2" width="11.7109375" style="192" bestFit="1" customWidth="1"/>
    <col min="3" max="3" width="12" style="79" bestFit="1" customWidth="1"/>
    <col min="4" max="4" width="15.5703125" style="79" bestFit="1" customWidth="1"/>
    <col min="5" max="5" width="11.7109375" style="79" bestFit="1" customWidth="1"/>
    <col min="6" max="6" width="12" style="79" bestFit="1" customWidth="1"/>
    <col min="7" max="7" width="15.5703125" style="79" bestFit="1" customWidth="1"/>
    <col min="8" max="8" width="11.85546875" style="79" bestFit="1" customWidth="1"/>
    <col min="9" max="9" width="12" style="79" bestFit="1" customWidth="1"/>
    <col min="10" max="10" width="15.5703125" style="79" bestFit="1" customWidth="1"/>
    <col min="11" max="16384" width="9.140625" style="79"/>
  </cols>
  <sheetData>
    <row r="1" spans="1:10" s="160" customFormat="1" ht="60" x14ac:dyDescent="0.25">
      <c r="A1" s="160" t="s">
        <v>1312</v>
      </c>
      <c r="B1" s="160" t="s">
        <v>1305</v>
      </c>
      <c r="C1" s="160" t="s">
        <v>1306</v>
      </c>
      <c r="D1" s="160" t="s">
        <v>1308</v>
      </c>
      <c r="E1" s="160" t="s">
        <v>1315</v>
      </c>
      <c r="F1" s="160" t="s">
        <v>1316</v>
      </c>
      <c r="G1" s="160" t="s">
        <v>1317</v>
      </c>
      <c r="H1" s="160" t="s">
        <v>1310</v>
      </c>
      <c r="I1" s="160" t="s">
        <v>1311</v>
      </c>
      <c r="J1" s="160" t="s">
        <v>1318</v>
      </c>
    </row>
    <row r="2" spans="1:10" x14ac:dyDescent="0.25">
      <c r="A2" s="121" t="s">
        <v>1177</v>
      </c>
      <c r="B2" s="122">
        <v>43875</v>
      </c>
      <c r="C2" s="122">
        <v>46225</v>
      </c>
      <c r="D2" s="122">
        <v>45023.315972222219</v>
      </c>
      <c r="E2" s="122">
        <v>48375</v>
      </c>
      <c r="F2" s="122">
        <v>50725</v>
      </c>
      <c r="G2" s="122">
        <v>49523.315972222219</v>
      </c>
      <c r="H2" s="122">
        <v>51375</v>
      </c>
      <c r="I2" s="122">
        <v>53725</v>
      </c>
      <c r="J2" s="122">
        <v>52523.315972222219</v>
      </c>
    </row>
    <row r="3" spans="1:10" x14ac:dyDescent="0.25">
      <c r="A3" s="121" t="s">
        <v>1178</v>
      </c>
      <c r="B3" s="122">
        <v>45407.499999999993</v>
      </c>
      <c r="C3" s="122">
        <v>47457.499999999993</v>
      </c>
      <c r="D3" s="122">
        <v>46356.090909090897</v>
      </c>
      <c r="E3" s="122">
        <v>49907.499999999993</v>
      </c>
      <c r="F3" s="122">
        <v>51957.499999999993</v>
      </c>
      <c r="G3" s="122">
        <v>50856.090909090897</v>
      </c>
      <c r="H3" s="122">
        <v>52907.499999999993</v>
      </c>
      <c r="I3" s="122">
        <v>54957.499999999993</v>
      </c>
      <c r="J3" s="122">
        <v>53856.090909090897</v>
      </c>
    </row>
    <row r="4" spans="1:10" x14ac:dyDescent="0.25">
      <c r="A4" s="121" t="s">
        <v>1179</v>
      </c>
      <c r="B4" s="122">
        <v>46331.25</v>
      </c>
      <c r="C4" s="122">
        <v>48667.5</v>
      </c>
      <c r="D4" s="122">
        <v>47460.508064516129</v>
      </c>
      <c r="E4" s="122">
        <v>50831.25</v>
      </c>
      <c r="F4" s="122">
        <v>53167.5</v>
      </c>
      <c r="G4" s="122">
        <v>51960.508064516129</v>
      </c>
      <c r="H4" s="122">
        <v>53831.25</v>
      </c>
      <c r="I4" s="122">
        <v>56167.5</v>
      </c>
      <c r="J4" s="122">
        <v>54960.508064516129</v>
      </c>
    </row>
    <row r="5" spans="1:10" x14ac:dyDescent="0.25">
      <c r="A5" s="121" t="s">
        <v>1180</v>
      </c>
      <c r="B5" s="122">
        <v>47541.875</v>
      </c>
      <c r="C5" s="122">
        <v>49906.875</v>
      </c>
      <c r="D5" s="122">
        <v>48749.631392045456</v>
      </c>
      <c r="E5" s="122">
        <v>52041.875</v>
      </c>
      <c r="F5" s="122">
        <v>54406.875</v>
      </c>
      <c r="G5" s="122">
        <v>53249.631392045456</v>
      </c>
      <c r="H5" s="122">
        <v>55041.875</v>
      </c>
      <c r="I5" s="122">
        <v>57406.875</v>
      </c>
      <c r="J5" s="122">
        <v>56249.631392045456</v>
      </c>
    </row>
    <row r="6" spans="1:10" x14ac:dyDescent="0.25">
      <c r="A6" s="121" t="s">
        <v>1181</v>
      </c>
      <c r="B6" s="122">
        <v>48922.500000000007</v>
      </c>
      <c r="C6" s="122">
        <v>51122.500000000007</v>
      </c>
      <c r="D6" s="122">
        <v>49988.688524590172</v>
      </c>
      <c r="E6" s="122">
        <v>53422.500000000007</v>
      </c>
      <c r="F6" s="122">
        <v>55622.500000000007</v>
      </c>
      <c r="G6" s="122">
        <v>54488.688524590172</v>
      </c>
      <c r="H6" s="122">
        <v>56422.500000000007</v>
      </c>
      <c r="I6" s="122">
        <v>58622.500000000007</v>
      </c>
      <c r="J6" s="122">
        <v>57488.688524590172</v>
      </c>
    </row>
    <row r="7" spans="1:10" x14ac:dyDescent="0.25">
      <c r="A7" s="121" t="s">
        <v>1182</v>
      </c>
      <c r="B7" s="122">
        <v>50758.500000000007</v>
      </c>
      <c r="C7" s="122">
        <v>53038.500000000007</v>
      </c>
      <c r="D7" s="122">
        <v>51816.325000000004</v>
      </c>
      <c r="E7" s="122">
        <v>55258.500000000007</v>
      </c>
      <c r="F7" s="122">
        <v>57538.500000000007</v>
      </c>
      <c r="G7" s="122">
        <v>56316.325000000004</v>
      </c>
      <c r="H7" s="122">
        <v>58258.500000000007</v>
      </c>
      <c r="I7" s="122">
        <v>60538.500000000007</v>
      </c>
      <c r="J7" s="122">
        <v>59316.325000000004</v>
      </c>
    </row>
    <row r="8" spans="1:10" x14ac:dyDescent="0.25">
      <c r="A8" s="121" t="s">
        <v>1183</v>
      </c>
      <c r="B8" s="122">
        <v>52392</v>
      </c>
      <c r="C8" s="122">
        <v>55047</v>
      </c>
      <c r="D8" s="122">
        <v>53655.315151515155</v>
      </c>
      <c r="E8" s="122">
        <v>56892</v>
      </c>
      <c r="F8" s="122">
        <v>59547</v>
      </c>
      <c r="G8" s="122">
        <v>58155.315151515155</v>
      </c>
      <c r="H8" s="122">
        <v>59892</v>
      </c>
      <c r="I8" s="122">
        <v>62547</v>
      </c>
      <c r="J8" s="122">
        <v>61155.315151515155</v>
      </c>
    </row>
    <row r="9" spans="1:10" x14ac:dyDescent="0.25">
      <c r="A9" s="121" t="s">
        <v>1184</v>
      </c>
      <c r="B9" s="122">
        <v>54442.5</v>
      </c>
      <c r="C9" s="122">
        <v>57096</v>
      </c>
      <c r="D9" s="122">
        <v>55649.897802197796</v>
      </c>
      <c r="E9" s="122">
        <v>58942.5</v>
      </c>
      <c r="F9" s="122">
        <v>61596</v>
      </c>
      <c r="G9" s="122">
        <v>60149.897802197796</v>
      </c>
      <c r="H9" s="122">
        <v>61942.5</v>
      </c>
      <c r="I9" s="122">
        <v>64596</v>
      </c>
      <c r="J9" s="122">
        <v>63149.897802197804</v>
      </c>
    </row>
    <row r="10" spans="1:10" x14ac:dyDescent="0.25">
      <c r="A10" s="121" t="s">
        <v>1185</v>
      </c>
      <c r="B10" s="122">
        <v>56322</v>
      </c>
      <c r="C10" s="122">
        <v>59062.5</v>
      </c>
      <c r="D10" s="122">
        <v>57551.385937500003</v>
      </c>
      <c r="E10" s="122">
        <v>60822</v>
      </c>
      <c r="F10" s="122">
        <v>63562.5</v>
      </c>
      <c r="G10" s="122">
        <v>62051.385937500003</v>
      </c>
      <c r="H10" s="122">
        <v>63822</v>
      </c>
      <c r="I10" s="122">
        <v>66562.5</v>
      </c>
      <c r="J10" s="122">
        <v>65051.385937500003</v>
      </c>
    </row>
    <row r="11" spans="1:10" x14ac:dyDescent="0.25">
      <c r="A11" s="121" t="s">
        <v>1186</v>
      </c>
      <c r="B11" s="122">
        <v>59070</v>
      </c>
      <c r="C11" s="122">
        <v>61974</v>
      </c>
      <c r="D11" s="122">
        <v>60372.125</v>
      </c>
      <c r="E11" s="122">
        <v>63570</v>
      </c>
      <c r="F11" s="122">
        <v>66474</v>
      </c>
      <c r="G11" s="122">
        <v>64872.125</v>
      </c>
      <c r="H11" s="122">
        <v>66570</v>
      </c>
      <c r="I11" s="122">
        <v>69474</v>
      </c>
      <c r="J11" s="122">
        <v>67872.125</v>
      </c>
    </row>
    <row r="12" spans="1:10" x14ac:dyDescent="0.25">
      <c r="A12" s="121" t="s">
        <v>1187</v>
      </c>
      <c r="B12" s="122">
        <v>61858.499999999993</v>
      </c>
      <c r="C12" s="122">
        <v>64860</v>
      </c>
      <c r="D12" s="122">
        <v>63195.785714285717</v>
      </c>
      <c r="E12" s="122">
        <v>66358.5</v>
      </c>
      <c r="F12" s="122">
        <v>69360</v>
      </c>
      <c r="G12" s="122">
        <v>67695.78571428571</v>
      </c>
      <c r="H12" s="122">
        <v>69358.5</v>
      </c>
      <c r="I12" s="122">
        <v>72360</v>
      </c>
      <c r="J12" s="122">
        <v>70695.78571428571</v>
      </c>
    </row>
    <row r="13" spans="1:10" x14ac:dyDescent="0.25">
      <c r="A13" s="121" t="s">
        <v>1188</v>
      </c>
      <c r="B13" s="122">
        <v>64670</v>
      </c>
      <c r="C13" s="122">
        <v>68621.25</v>
      </c>
      <c r="D13" s="122">
        <v>66504.350694444438</v>
      </c>
      <c r="E13" s="122">
        <v>69170</v>
      </c>
      <c r="F13" s="122">
        <v>73121.25</v>
      </c>
      <c r="G13" s="122">
        <v>71004.350694444438</v>
      </c>
      <c r="H13" s="122">
        <v>72170</v>
      </c>
      <c r="I13" s="122">
        <v>76121.25</v>
      </c>
      <c r="J13" s="122">
        <v>74004.350694444438</v>
      </c>
    </row>
    <row r="14" spans="1:10" x14ac:dyDescent="0.25">
      <c r="A14" s="121" t="s">
        <v>1149</v>
      </c>
      <c r="B14" s="122">
        <v>78588.5</v>
      </c>
      <c r="C14" s="122">
        <v>80815</v>
      </c>
      <c r="D14" s="122">
        <v>79701.75</v>
      </c>
      <c r="E14" s="122">
        <v>83088.5</v>
      </c>
      <c r="F14" s="122">
        <v>85315</v>
      </c>
      <c r="G14" s="122">
        <v>84201.75</v>
      </c>
      <c r="H14" s="122">
        <v>86088.5</v>
      </c>
      <c r="I14" s="122">
        <v>88315</v>
      </c>
      <c r="J14" s="122">
        <v>87201.75</v>
      </c>
    </row>
    <row r="15" spans="1:10" x14ac:dyDescent="0.25">
      <c r="A15" s="121" t="s">
        <v>709</v>
      </c>
      <c r="B15" s="122">
        <v>43875</v>
      </c>
      <c r="C15" s="122">
        <v>80815</v>
      </c>
      <c r="D15" s="122">
        <v>54113.27163461539</v>
      </c>
      <c r="E15" s="122">
        <v>48375</v>
      </c>
      <c r="F15" s="122">
        <v>85315</v>
      </c>
      <c r="G15" s="122">
        <v>58613.271634615383</v>
      </c>
      <c r="H15" s="122">
        <v>51375</v>
      </c>
      <c r="I15" s="122">
        <v>88315</v>
      </c>
      <c r="J15" s="122">
        <v>61613.27163461539</v>
      </c>
    </row>
  </sheetData>
  <printOptions horizontalCentered="1"/>
  <pageMargins left="0" right="0" top="0" bottom="0" header="0" footer="0"/>
  <pageSetup paperSize="9" scale="92"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D084-4058-4A51-BBAC-131D2E013B88}">
  <sheetPr>
    <pageSetUpPr fitToPage="1"/>
  </sheetPr>
  <dimension ref="A1:C54"/>
  <sheetViews>
    <sheetView view="pageBreakPreview" zoomScale="80" zoomScaleNormal="100" zoomScaleSheetLayoutView="80" workbookViewId="0">
      <selection activeCell="D15" sqref="D15"/>
    </sheetView>
  </sheetViews>
  <sheetFormatPr defaultRowHeight="15" x14ac:dyDescent="0.25"/>
  <cols>
    <col min="1" max="1" width="30.7109375" style="79" bestFit="1" customWidth="1"/>
    <col min="2" max="2" width="24.42578125" style="192" bestFit="1" customWidth="1"/>
    <col min="3" max="3" width="25.5703125" style="79" bestFit="1" customWidth="1"/>
    <col min="4" max="4" width="29.140625" style="79" bestFit="1" customWidth="1"/>
    <col min="5" max="5" width="15.140625" style="79" bestFit="1" customWidth="1"/>
    <col min="6" max="6" width="25.7109375" style="79" bestFit="1" customWidth="1"/>
    <col min="7" max="16384" width="9.140625" style="79"/>
  </cols>
  <sheetData>
    <row r="1" spans="1:3" x14ac:dyDescent="0.25">
      <c r="A1" s="79" t="s">
        <v>733</v>
      </c>
      <c r="B1" s="79" t="s">
        <v>1190</v>
      </c>
      <c r="C1" s="79" t="s">
        <v>1314</v>
      </c>
    </row>
    <row r="2" spans="1:3" x14ac:dyDescent="0.25">
      <c r="A2" s="121" t="s">
        <v>1296</v>
      </c>
      <c r="B2" s="122">
        <v>68</v>
      </c>
      <c r="C2" s="123">
        <v>7.9254079254079249E-2</v>
      </c>
    </row>
    <row r="3" spans="1:3" x14ac:dyDescent="0.25">
      <c r="A3" s="121" t="s">
        <v>1293</v>
      </c>
      <c r="B3" s="122">
        <v>176</v>
      </c>
      <c r="C3" s="123">
        <v>0.20512820512820512</v>
      </c>
    </row>
    <row r="4" spans="1:3" x14ac:dyDescent="0.25">
      <c r="A4" s="121" t="s">
        <v>1294</v>
      </c>
      <c r="B4" s="122">
        <v>526</v>
      </c>
      <c r="C4" s="123">
        <v>0.61305361305361306</v>
      </c>
    </row>
    <row r="5" spans="1:3" x14ac:dyDescent="0.25">
      <c r="A5" s="121" t="s">
        <v>1295</v>
      </c>
      <c r="B5" s="122">
        <v>70</v>
      </c>
      <c r="C5" s="123">
        <v>8.1585081585081584E-2</v>
      </c>
    </row>
    <row r="6" spans="1:3" x14ac:dyDescent="0.25">
      <c r="A6" s="121" t="s">
        <v>1297</v>
      </c>
      <c r="B6" s="122">
        <v>18</v>
      </c>
      <c r="C6" s="123">
        <v>2.097902097902098E-2</v>
      </c>
    </row>
    <row r="7" spans="1:3" x14ac:dyDescent="0.25">
      <c r="A7" s="121" t="s">
        <v>709</v>
      </c>
      <c r="B7" s="122">
        <v>858</v>
      </c>
      <c r="C7" s="123">
        <v>1</v>
      </c>
    </row>
    <row r="8" spans="1:3" x14ac:dyDescent="0.25">
      <c r="B8" s="79"/>
    </row>
    <row r="9" spans="1:3" x14ac:dyDescent="0.25">
      <c r="B9" s="79"/>
    </row>
    <row r="10" spans="1:3" x14ac:dyDescent="0.25">
      <c r="B10" s="79"/>
    </row>
    <row r="11" spans="1:3" x14ac:dyDescent="0.25">
      <c r="B11" s="79"/>
    </row>
    <row r="12" spans="1:3" x14ac:dyDescent="0.25">
      <c r="B12" s="79"/>
    </row>
    <row r="13" spans="1:3" x14ac:dyDescent="0.25">
      <c r="B13" s="79"/>
    </row>
    <row r="14" spans="1:3" x14ac:dyDescent="0.25">
      <c r="B14" s="79"/>
    </row>
    <row r="15" spans="1:3" x14ac:dyDescent="0.25">
      <c r="B15" s="79"/>
    </row>
    <row r="16" spans="1:3" x14ac:dyDescent="0.25">
      <c r="B16" s="79"/>
    </row>
    <row r="17" spans="2:2" x14ac:dyDescent="0.25">
      <c r="B17" s="79"/>
    </row>
    <row r="18" spans="2:2" x14ac:dyDescent="0.25">
      <c r="B18" s="79"/>
    </row>
    <row r="19" spans="2:2" x14ac:dyDescent="0.25">
      <c r="B19" s="79"/>
    </row>
    <row r="20" spans="2:2" x14ac:dyDescent="0.25">
      <c r="B20" s="79"/>
    </row>
    <row r="21" spans="2:2" x14ac:dyDescent="0.25">
      <c r="B21" s="79"/>
    </row>
    <row r="22" spans="2:2" x14ac:dyDescent="0.25">
      <c r="B22" s="79"/>
    </row>
    <row r="23" spans="2:2" x14ac:dyDescent="0.25">
      <c r="B23" s="79"/>
    </row>
    <row r="24" spans="2:2" x14ac:dyDescent="0.25">
      <c r="B24" s="79"/>
    </row>
    <row r="25" spans="2:2" x14ac:dyDescent="0.25">
      <c r="B25" s="79"/>
    </row>
    <row r="26" spans="2:2" x14ac:dyDescent="0.25">
      <c r="B26" s="79"/>
    </row>
    <row r="27" spans="2:2" x14ac:dyDescent="0.25">
      <c r="B27" s="79"/>
    </row>
    <row r="28" spans="2:2" x14ac:dyDescent="0.25">
      <c r="B28" s="79"/>
    </row>
    <row r="29" spans="2:2" x14ac:dyDescent="0.25">
      <c r="B29" s="79"/>
    </row>
    <row r="30" spans="2:2" x14ac:dyDescent="0.25">
      <c r="B30" s="79"/>
    </row>
    <row r="31" spans="2:2" x14ac:dyDescent="0.25">
      <c r="B31" s="79"/>
    </row>
    <row r="32" spans="2:2" x14ac:dyDescent="0.25">
      <c r="B32" s="79"/>
    </row>
    <row r="33" spans="2:2" x14ac:dyDescent="0.25">
      <c r="B33" s="79"/>
    </row>
    <row r="34" spans="2:2" x14ac:dyDescent="0.25">
      <c r="B34" s="79"/>
    </row>
    <row r="35" spans="2:2" x14ac:dyDescent="0.25">
      <c r="B35" s="79"/>
    </row>
    <row r="36" spans="2:2" x14ac:dyDescent="0.25">
      <c r="B36" s="79"/>
    </row>
    <row r="37" spans="2:2" x14ac:dyDescent="0.25">
      <c r="B37" s="79"/>
    </row>
    <row r="38" spans="2:2" x14ac:dyDescent="0.25">
      <c r="B38" s="79"/>
    </row>
    <row r="39" spans="2:2" x14ac:dyDescent="0.25">
      <c r="B39" s="79"/>
    </row>
    <row r="40" spans="2:2" x14ac:dyDescent="0.25">
      <c r="B40" s="79"/>
    </row>
    <row r="41" spans="2:2" x14ac:dyDescent="0.25">
      <c r="B41" s="79"/>
    </row>
    <row r="42" spans="2:2" x14ac:dyDescent="0.25">
      <c r="B42" s="79"/>
    </row>
    <row r="43" spans="2:2" x14ac:dyDescent="0.25">
      <c r="B43" s="79"/>
    </row>
    <row r="44" spans="2:2" x14ac:dyDescent="0.25">
      <c r="B44" s="79"/>
    </row>
    <row r="45" spans="2:2" x14ac:dyDescent="0.25">
      <c r="B45" s="79"/>
    </row>
    <row r="46" spans="2:2" x14ac:dyDescent="0.25">
      <c r="B46" s="79"/>
    </row>
    <row r="47" spans="2:2" x14ac:dyDescent="0.25">
      <c r="B47" s="79"/>
    </row>
    <row r="48" spans="2:2" x14ac:dyDescent="0.25">
      <c r="B48" s="79"/>
    </row>
    <row r="49" s="79" customFormat="1" x14ac:dyDescent="0.25"/>
    <row r="50" s="79" customFormat="1" x14ac:dyDescent="0.25"/>
    <row r="51" s="79" customFormat="1" x14ac:dyDescent="0.25"/>
    <row r="52" s="79" customFormat="1" x14ac:dyDescent="0.25"/>
    <row r="53" s="79" customFormat="1" x14ac:dyDescent="0.25"/>
    <row r="54" s="79" customFormat="1" x14ac:dyDescent="0.25"/>
  </sheetData>
  <printOptions horizontalCentered="1"/>
  <pageMargins left="0" right="0" top="0" bottom="0" header="0" footer="0"/>
  <pageSetup paperSize="9"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116ED-8B45-4D6B-A018-9EBB95FDF893}">
  <sheetPr>
    <pageSetUpPr fitToPage="1"/>
  </sheetPr>
  <dimension ref="A1:B54"/>
  <sheetViews>
    <sheetView view="pageBreakPreview" zoomScale="80" zoomScaleNormal="100" zoomScaleSheetLayoutView="80" workbookViewId="0">
      <selection activeCell="H16" sqref="H16"/>
    </sheetView>
  </sheetViews>
  <sheetFormatPr defaultRowHeight="15" x14ac:dyDescent="0.25"/>
  <cols>
    <col min="1" max="1" width="12.42578125" style="79" bestFit="1" customWidth="1"/>
    <col min="2" max="2" width="25.85546875" style="192" bestFit="1" customWidth="1"/>
    <col min="3" max="3" width="25.140625" style="79" bestFit="1" customWidth="1"/>
    <col min="4" max="4" width="25.7109375" style="79" bestFit="1" customWidth="1"/>
    <col min="5" max="5" width="15.140625" style="79" bestFit="1" customWidth="1"/>
    <col min="6" max="6" width="25.7109375" style="79" bestFit="1" customWidth="1"/>
    <col min="7" max="16384" width="9.140625" style="79"/>
  </cols>
  <sheetData>
    <row r="1" spans="1:2" x14ac:dyDescent="0.25">
      <c r="A1" s="79" t="s">
        <v>1313</v>
      </c>
      <c r="B1" s="122" t="s">
        <v>1190</v>
      </c>
    </row>
    <row r="2" spans="1:2" x14ac:dyDescent="0.25">
      <c r="A2" s="125">
        <v>63</v>
      </c>
      <c r="B2" s="122">
        <v>16</v>
      </c>
    </row>
    <row r="3" spans="1:2" x14ac:dyDescent="0.25">
      <c r="A3" s="125">
        <v>84</v>
      </c>
      <c r="B3" s="122">
        <v>12</v>
      </c>
    </row>
    <row r="4" spans="1:2" x14ac:dyDescent="0.25">
      <c r="A4" s="125">
        <v>106</v>
      </c>
      <c r="B4" s="122">
        <v>12</v>
      </c>
    </row>
    <row r="5" spans="1:2" x14ac:dyDescent="0.25">
      <c r="A5" s="125">
        <v>108</v>
      </c>
      <c r="B5" s="122">
        <v>20</v>
      </c>
    </row>
    <row r="6" spans="1:2" x14ac:dyDescent="0.25">
      <c r="A6" s="125">
        <v>110</v>
      </c>
      <c r="B6" s="122">
        <v>26</v>
      </c>
    </row>
    <row r="7" spans="1:2" x14ac:dyDescent="0.25">
      <c r="A7" s="125">
        <v>112</v>
      </c>
      <c r="B7" s="122">
        <v>12</v>
      </c>
    </row>
    <row r="8" spans="1:2" x14ac:dyDescent="0.25">
      <c r="A8" s="125">
        <v>116</v>
      </c>
      <c r="B8" s="122">
        <v>19</v>
      </c>
    </row>
    <row r="9" spans="1:2" x14ac:dyDescent="0.25">
      <c r="A9" s="125">
        <v>117</v>
      </c>
      <c r="B9" s="122">
        <v>19</v>
      </c>
    </row>
    <row r="10" spans="1:2" x14ac:dyDescent="0.25">
      <c r="A10" s="125">
        <v>119</v>
      </c>
      <c r="B10" s="122">
        <v>15</v>
      </c>
    </row>
    <row r="11" spans="1:2" x14ac:dyDescent="0.25">
      <c r="A11" s="125">
        <v>121</v>
      </c>
      <c r="B11" s="122">
        <v>12</v>
      </c>
    </row>
    <row r="12" spans="1:2" x14ac:dyDescent="0.25">
      <c r="A12" s="125">
        <v>153</v>
      </c>
      <c r="B12" s="122">
        <v>24</v>
      </c>
    </row>
    <row r="13" spans="1:2" x14ac:dyDescent="0.25">
      <c r="A13" s="125">
        <v>155</v>
      </c>
      <c r="B13" s="122">
        <v>88</v>
      </c>
    </row>
    <row r="14" spans="1:2" x14ac:dyDescent="0.25">
      <c r="A14" s="125">
        <v>157</v>
      </c>
      <c r="B14" s="122">
        <v>12</v>
      </c>
    </row>
    <row r="15" spans="1:2" x14ac:dyDescent="0.25">
      <c r="A15" s="125">
        <v>158</v>
      </c>
      <c r="B15" s="122">
        <v>28</v>
      </c>
    </row>
    <row r="16" spans="1:2" x14ac:dyDescent="0.25">
      <c r="A16" s="125">
        <v>160</v>
      </c>
      <c r="B16" s="122">
        <v>68</v>
      </c>
    </row>
    <row r="17" spans="1:2" x14ac:dyDescent="0.25">
      <c r="A17" s="125">
        <v>161</v>
      </c>
      <c r="B17" s="122">
        <v>40</v>
      </c>
    </row>
    <row r="18" spans="1:2" x14ac:dyDescent="0.25">
      <c r="A18" s="125">
        <v>170</v>
      </c>
      <c r="B18" s="122">
        <v>24</v>
      </c>
    </row>
    <row r="19" spans="1:2" x14ac:dyDescent="0.25">
      <c r="A19" s="125">
        <v>172</v>
      </c>
      <c r="B19" s="122">
        <v>38</v>
      </c>
    </row>
    <row r="20" spans="1:2" x14ac:dyDescent="0.25">
      <c r="A20" s="125">
        <v>173</v>
      </c>
      <c r="B20" s="122">
        <v>63</v>
      </c>
    </row>
    <row r="21" spans="1:2" x14ac:dyDescent="0.25">
      <c r="A21" s="125">
        <v>174</v>
      </c>
      <c r="B21" s="122">
        <v>15</v>
      </c>
    </row>
    <row r="22" spans="1:2" x14ac:dyDescent="0.25">
      <c r="A22" s="125">
        <v>176</v>
      </c>
      <c r="B22" s="122">
        <v>37</v>
      </c>
    </row>
    <row r="23" spans="1:2" x14ac:dyDescent="0.25">
      <c r="A23" s="125">
        <v>198</v>
      </c>
      <c r="B23" s="122">
        <v>20</v>
      </c>
    </row>
    <row r="24" spans="1:2" x14ac:dyDescent="0.25">
      <c r="A24" s="125">
        <v>199</v>
      </c>
      <c r="B24" s="122">
        <v>22</v>
      </c>
    </row>
    <row r="25" spans="1:2" x14ac:dyDescent="0.25">
      <c r="A25" s="125">
        <v>224</v>
      </c>
      <c r="B25" s="122">
        <v>28</v>
      </c>
    </row>
    <row r="26" spans="1:2" x14ac:dyDescent="0.25">
      <c r="A26" s="125">
        <v>228</v>
      </c>
      <c r="B26" s="122">
        <v>24</v>
      </c>
    </row>
    <row r="27" spans="1:2" x14ac:dyDescent="0.25">
      <c r="A27" s="125" t="s">
        <v>709</v>
      </c>
      <c r="B27" s="122">
        <v>694</v>
      </c>
    </row>
    <row r="28" spans="1:2" x14ac:dyDescent="0.25">
      <c r="B28" s="79"/>
    </row>
    <row r="29" spans="1:2" x14ac:dyDescent="0.25">
      <c r="B29" s="79"/>
    </row>
    <row r="30" spans="1:2" x14ac:dyDescent="0.25">
      <c r="B30" s="79"/>
    </row>
    <row r="31" spans="1:2" x14ac:dyDescent="0.25">
      <c r="B31" s="79"/>
    </row>
    <row r="32" spans="1:2" x14ac:dyDescent="0.25">
      <c r="B32" s="79"/>
    </row>
    <row r="33" spans="2:2" x14ac:dyDescent="0.25">
      <c r="B33" s="79"/>
    </row>
    <row r="34" spans="2:2" x14ac:dyDescent="0.25">
      <c r="B34" s="79"/>
    </row>
    <row r="35" spans="2:2" x14ac:dyDescent="0.25">
      <c r="B35" s="79"/>
    </row>
    <row r="36" spans="2:2" x14ac:dyDescent="0.25">
      <c r="B36" s="79"/>
    </row>
    <row r="37" spans="2:2" x14ac:dyDescent="0.25">
      <c r="B37" s="79"/>
    </row>
    <row r="38" spans="2:2" x14ac:dyDescent="0.25">
      <c r="B38" s="79"/>
    </row>
    <row r="39" spans="2:2" x14ac:dyDescent="0.25">
      <c r="B39" s="79"/>
    </row>
    <row r="40" spans="2:2" x14ac:dyDescent="0.25">
      <c r="B40" s="79"/>
    </row>
    <row r="41" spans="2:2" x14ac:dyDescent="0.25">
      <c r="B41" s="79"/>
    </row>
    <row r="42" spans="2:2" x14ac:dyDescent="0.25">
      <c r="B42" s="79"/>
    </row>
    <row r="43" spans="2:2" x14ac:dyDescent="0.25">
      <c r="B43" s="79"/>
    </row>
    <row r="44" spans="2:2" x14ac:dyDescent="0.25">
      <c r="B44" s="79"/>
    </row>
    <row r="45" spans="2:2" x14ac:dyDescent="0.25">
      <c r="B45" s="79"/>
    </row>
    <row r="46" spans="2:2" x14ac:dyDescent="0.25">
      <c r="B46" s="79"/>
    </row>
    <row r="47" spans="2:2" x14ac:dyDescent="0.25">
      <c r="B47" s="79"/>
    </row>
    <row r="48" spans="2:2" x14ac:dyDescent="0.25">
      <c r="B48" s="79"/>
    </row>
    <row r="49" spans="2:2" x14ac:dyDescent="0.25">
      <c r="B49" s="79"/>
    </row>
    <row r="50" spans="2:2" x14ac:dyDescent="0.25">
      <c r="B50" s="79"/>
    </row>
    <row r="51" spans="2:2" x14ac:dyDescent="0.25">
      <c r="B51" s="79"/>
    </row>
    <row r="52" spans="2:2" x14ac:dyDescent="0.25">
      <c r="B52" s="79"/>
    </row>
    <row r="53" spans="2:2" x14ac:dyDescent="0.25">
      <c r="B53" s="79"/>
    </row>
    <row r="54" spans="2:2" x14ac:dyDescent="0.25">
      <c r="B54" s="79"/>
    </row>
  </sheetData>
  <printOptions horizontalCentered="1"/>
  <pageMargins left="0" right="0" top="0" bottom="0" header="0" footer="0"/>
  <pageSetup paperSize="9"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FBA5F-44FB-4969-AF85-A103BBCB5054}">
  <sheetPr>
    <pageSetUpPr fitToPage="1"/>
  </sheetPr>
  <dimension ref="A1:E154"/>
  <sheetViews>
    <sheetView view="pageBreakPreview" zoomScale="80" zoomScaleNormal="100" zoomScaleSheetLayoutView="80" workbookViewId="0">
      <selection activeCell="F62" sqref="F62"/>
    </sheetView>
  </sheetViews>
  <sheetFormatPr defaultRowHeight="15" x14ac:dyDescent="0.25"/>
  <cols>
    <col min="1" max="1" width="21.5703125" style="79" bestFit="1" customWidth="1"/>
    <col min="2" max="2" width="25.85546875" style="192" bestFit="1" customWidth="1"/>
    <col min="3" max="3" width="27.85546875" style="238" bestFit="1" customWidth="1"/>
    <col min="4" max="4" width="21.5703125" style="238" bestFit="1" customWidth="1"/>
    <col min="5" max="5" width="25.85546875" style="79" bestFit="1" customWidth="1"/>
    <col min="6" max="6" width="30.28515625" style="79" bestFit="1" customWidth="1"/>
    <col min="7" max="16384" width="9.140625" style="79"/>
  </cols>
  <sheetData>
    <row r="1" spans="1:5" x14ac:dyDescent="0.25">
      <c r="A1" s="79" t="s">
        <v>231</v>
      </c>
      <c r="B1" s="79" t="s">
        <v>1177</v>
      </c>
      <c r="D1" s="79" t="s">
        <v>231</v>
      </c>
      <c r="E1" s="79" t="s">
        <v>1183</v>
      </c>
    </row>
    <row r="2" spans="1:5" x14ac:dyDescent="0.25">
      <c r="B2" s="79"/>
      <c r="D2" s="79"/>
    </row>
    <row r="3" spans="1:5" x14ac:dyDescent="0.25">
      <c r="A3" s="79" t="s">
        <v>1307</v>
      </c>
      <c r="B3" s="122" t="s">
        <v>1190</v>
      </c>
      <c r="C3" s="79"/>
      <c r="D3" s="79" t="s">
        <v>1307</v>
      </c>
      <c r="E3" s="122" t="s">
        <v>1190</v>
      </c>
    </row>
    <row r="4" spans="1:5" x14ac:dyDescent="0.25">
      <c r="A4" s="121" t="s">
        <v>15</v>
      </c>
      <c r="B4" s="122">
        <v>33</v>
      </c>
      <c r="C4" s="79"/>
      <c r="D4" s="121" t="s">
        <v>15</v>
      </c>
      <c r="E4" s="122">
        <v>16</v>
      </c>
    </row>
    <row r="5" spans="1:5" x14ac:dyDescent="0.25">
      <c r="A5" s="121" t="s">
        <v>204</v>
      </c>
      <c r="B5" s="122">
        <v>49</v>
      </c>
      <c r="C5" s="79"/>
      <c r="D5" s="121" t="s">
        <v>204</v>
      </c>
      <c r="E5" s="122">
        <v>20</v>
      </c>
    </row>
    <row r="6" spans="1:5" x14ac:dyDescent="0.25">
      <c r="A6" s="121" t="s">
        <v>205</v>
      </c>
      <c r="B6" s="122">
        <v>62</v>
      </c>
      <c r="C6" s="79"/>
      <c r="D6" s="121" t="s">
        <v>205</v>
      </c>
      <c r="E6" s="122">
        <v>30</v>
      </c>
    </row>
    <row r="7" spans="1:5" x14ac:dyDescent="0.25">
      <c r="A7" s="121" t="s">
        <v>709</v>
      </c>
      <c r="B7" s="122">
        <v>144</v>
      </c>
      <c r="C7" s="79"/>
      <c r="D7" s="121" t="s">
        <v>709</v>
      </c>
      <c r="E7" s="122">
        <v>66</v>
      </c>
    </row>
    <row r="8" spans="1:5" x14ac:dyDescent="0.25">
      <c r="B8" s="79"/>
      <c r="C8" s="79"/>
      <c r="D8" s="79"/>
    </row>
    <row r="9" spans="1:5" x14ac:dyDescent="0.25">
      <c r="A9" s="79" t="s">
        <v>231</v>
      </c>
      <c r="B9" s="79" t="s">
        <v>1178</v>
      </c>
      <c r="D9" s="79" t="s">
        <v>231</v>
      </c>
      <c r="E9" s="79" t="s">
        <v>1184</v>
      </c>
    </row>
    <row r="10" spans="1:5" x14ac:dyDescent="0.25">
      <c r="B10" s="79"/>
      <c r="D10" s="79"/>
    </row>
    <row r="11" spans="1:5" x14ac:dyDescent="0.25">
      <c r="A11" s="79" t="s">
        <v>1307</v>
      </c>
      <c r="B11" s="122" t="s">
        <v>1190</v>
      </c>
      <c r="C11" s="79"/>
      <c r="D11" s="79" t="s">
        <v>1307</v>
      </c>
      <c r="E11" s="122" t="s">
        <v>1190</v>
      </c>
    </row>
    <row r="12" spans="1:5" x14ac:dyDescent="0.25">
      <c r="A12" s="121" t="s">
        <v>15</v>
      </c>
      <c r="B12" s="122">
        <v>14</v>
      </c>
      <c r="C12" s="79"/>
      <c r="D12" s="121" t="s">
        <v>15</v>
      </c>
      <c r="E12" s="122">
        <v>25</v>
      </c>
    </row>
    <row r="13" spans="1:5" x14ac:dyDescent="0.25">
      <c r="A13" s="121" t="s">
        <v>204</v>
      </c>
      <c r="B13" s="122">
        <v>19</v>
      </c>
      <c r="C13" s="79"/>
      <c r="D13" s="121" t="s">
        <v>204</v>
      </c>
      <c r="E13" s="122">
        <v>27</v>
      </c>
    </row>
    <row r="14" spans="1:5" x14ac:dyDescent="0.25">
      <c r="A14" s="121" t="s">
        <v>205</v>
      </c>
      <c r="B14" s="122">
        <v>22</v>
      </c>
      <c r="C14" s="79"/>
      <c r="D14" s="121" t="s">
        <v>205</v>
      </c>
      <c r="E14" s="122">
        <v>39</v>
      </c>
    </row>
    <row r="15" spans="1:5" x14ac:dyDescent="0.25">
      <c r="A15" s="121" t="s">
        <v>709</v>
      </c>
      <c r="B15" s="122">
        <v>55</v>
      </c>
      <c r="C15" s="79"/>
      <c r="D15" s="121" t="s">
        <v>709</v>
      </c>
      <c r="E15" s="122">
        <v>91</v>
      </c>
    </row>
    <row r="16" spans="1:5" x14ac:dyDescent="0.25">
      <c r="A16" s="79" t="s">
        <v>231</v>
      </c>
      <c r="B16" s="79" t="s">
        <v>1179</v>
      </c>
      <c r="D16" s="79"/>
    </row>
    <row r="17" spans="1:5" x14ac:dyDescent="0.25">
      <c r="B17" s="79"/>
      <c r="D17" s="79" t="s">
        <v>231</v>
      </c>
      <c r="E17" s="79" t="s">
        <v>1185</v>
      </c>
    </row>
    <row r="18" spans="1:5" x14ac:dyDescent="0.25">
      <c r="A18" s="79" t="s">
        <v>1307</v>
      </c>
      <c r="B18" s="122" t="s">
        <v>1190</v>
      </c>
      <c r="C18" s="79"/>
      <c r="D18" s="79"/>
    </row>
    <row r="19" spans="1:5" x14ac:dyDescent="0.25">
      <c r="A19" s="121" t="s">
        <v>15</v>
      </c>
      <c r="B19" s="122">
        <v>16</v>
      </c>
      <c r="C19" s="79"/>
      <c r="D19" s="79" t="s">
        <v>1307</v>
      </c>
      <c r="E19" s="122" t="s">
        <v>1190</v>
      </c>
    </row>
    <row r="20" spans="1:5" x14ac:dyDescent="0.25">
      <c r="A20" s="121" t="s">
        <v>204</v>
      </c>
      <c r="B20" s="122">
        <v>16</v>
      </c>
      <c r="C20" s="79"/>
      <c r="D20" s="121" t="s">
        <v>15</v>
      </c>
      <c r="E20" s="122">
        <v>17</v>
      </c>
    </row>
    <row r="21" spans="1:5" x14ac:dyDescent="0.25">
      <c r="A21" s="121" t="s">
        <v>205</v>
      </c>
      <c r="B21" s="122">
        <v>30</v>
      </c>
      <c r="C21" s="79"/>
      <c r="D21" s="121" t="s">
        <v>204</v>
      </c>
      <c r="E21" s="122">
        <v>20</v>
      </c>
    </row>
    <row r="22" spans="1:5" x14ac:dyDescent="0.25">
      <c r="A22" s="121" t="s">
        <v>709</v>
      </c>
      <c r="B22" s="122">
        <v>62</v>
      </c>
      <c r="C22" s="79"/>
      <c r="D22" s="121" t="s">
        <v>205</v>
      </c>
      <c r="E22" s="122">
        <v>27</v>
      </c>
    </row>
    <row r="23" spans="1:5" x14ac:dyDescent="0.25">
      <c r="B23" s="79"/>
      <c r="C23" s="79"/>
      <c r="D23" s="121" t="s">
        <v>709</v>
      </c>
      <c r="E23" s="122">
        <v>64</v>
      </c>
    </row>
    <row r="24" spans="1:5" x14ac:dyDescent="0.25">
      <c r="A24" s="79" t="s">
        <v>231</v>
      </c>
      <c r="B24" s="79" t="s">
        <v>1180</v>
      </c>
      <c r="D24" s="79"/>
    </row>
    <row r="25" spans="1:5" x14ac:dyDescent="0.25">
      <c r="B25" s="79"/>
      <c r="D25" s="79" t="s">
        <v>231</v>
      </c>
      <c r="E25" s="79" t="s">
        <v>1186</v>
      </c>
    </row>
    <row r="26" spans="1:5" x14ac:dyDescent="0.25">
      <c r="A26" s="79" t="s">
        <v>1307</v>
      </c>
      <c r="B26" s="122" t="s">
        <v>1190</v>
      </c>
      <c r="C26" s="79"/>
      <c r="D26" s="79"/>
    </row>
    <row r="27" spans="1:5" x14ac:dyDescent="0.25">
      <c r="A27" s="121" t="s">
        <v>15</v>
      </c>
      <c r="B27" s="122">
        <v>21</v>
      </c>
      <c r="C27" s="79"/>
      <c r="D27" s="79" t="s">
        <v>1307</v>
      </c>
      <c r="E27" s="122" t="s">
        <v>1190</v>
      </c>
    </row>
    <row r="28" spans="1:5" x14ac:dyDescent="0.25">
      <c r="A28" s="121" t="s">
        <v>204</v>
      </c>
      <c r="B28" s="122">
        <v>30</v>
      </c>
      <c r="C28" s="79"/>
      <c r="D28" s="121" t="s">
        <v>15</v>
      </c>
      <c r="E28" s="122">
        <v>6</v>
      </c>
    </row>
    <row r="29" spans="1:5" x14ac:dyDescent="0.25">
      <c r="A29" s="121" t="s">
        <v>205</v>
      </c>
      <c r="B29" s="122">
        <v>37</v>
      </c>
      <c r="C29" s="79"/>
      <c r="D29" s="121" t="s">
        <v>204</v>
      </c>
      <c r="E29" s="122">
        <v>8</v>
      </c>
    </row>
    <row r="30" spans="1:5" x14ac:dyDescent="0.25">
      <c r="A30" s="121" t="s">
        <v>709</v>
      </c>
      <c r="B30" s="122">
        <v>88</v>
      </c>
      <c r="C30" s="79"/>
      <c r="D30" s="121" t="s">
        <v>205</v>
      </c>
      <c r="E30" s="122">
        <v>10</v>
      </c>
    </row>
    <row r="31" spans="1:5" x14ac:dyDescent="0.25">
      <c r="B31" s="79"/>
      <c r="C31" s="79"/>
      <c r="D31" s="121" t="s">
        <v>709</v>
      </c>
      <c r="E31" s="122">
        <v>24</v>
      </c>
    </row>
    <row r="32" spans="1:5" x14ac:dyDescent="0.25">
      <c r="A32" s="79" t="s">
        <v>231</v>
      </c>
      <c r="B32" s="79" t="s">
        <v>1181</v>
      </c>
    </row>
    <row r="33" spans="1:5" x14ac:dyDescent="0.25">
      <c r="B33" s="79"/>
      <c r="D33" s="79" t="s">
        <v>231</v>
      </c>
      <c r="E33" s="79" t="s">
        <v>1187</v>
      </c>
    </row>
    <row r="34" spans="1:5" x14ac:dyDescent="0.25">
      <c r="A34" s="79" t="s">
        <v>1307</v>
      </c>
      <c r="B34" s="122" t="s">
        <v>1190</v>
      </c>
      <c r="C34" s="79"/>
      <c r="D34" s="79"/>
    </row>
    <row r="35" spans="1:5" x14ac:dyDescent="0.25">
      <c r="A35" s="121" t="s">
        <v>15</v>
      </c>
      <c r="B35" s="122">
        <v>17</v>
      </c>
      <c r="C35" s="79"/>
      <c r="D35" s="79" t="s">
        <v>1307</v>
      </c>
      <c r="E35" s="122" t="s">
        <v>1190</v>
      </c>
    </row>
    <row r="36" spans="1:5" x14ac:dyDescent="0.25">
      <c r="A36" s="121" t="s">
        <v>204</v>
      </c>
      <c r="B36" s="122">
        <v>19</v>
      </c>
      <c r="C36" s="79"/>
      <c r="D36" s="121" t="s">
        <v>15</v>
      </c>
      <c r="E36" s="122">
        <v>6</v>
      </c>
    </row>
    <row r="37" spans="1:5" x14ac:dyDescent="0.25">
      <c r="A37" s="121" t="s">
        <v>205</v>
      </c>
      <c r="B37" s="122">
        <v>25</v>
      </c>
      <c r="C37" s="79"/>
      <c r="D37" s="121" t="s">
        <v>204</v>
      </c>
      <c r="E37" s="122">
        <v>6</v>
      </c>
    </row>
    <row r="38" spans="1:5" x14ac:dyDescent="0.25">
      <c r="A38" s="121" t="s">
        <v>709</v>
      </c>
      <c r="B38" s="122">
        <v>61</v>
      </c>
      <c r="C38" s="79"/>
      <c r="D38" s="121" t="s">
        <v>205</v>
      </c>
      <c r="E38" s="122">
        <v>9</v>
      </c>
    </row>
    <row r="39" spans="1:5" x14ac:dyDescent="0.25">
      <c r="B39" s="79"/>
      <c r="C39" s="79"/>
      <c r="D39" s="121" t="s">
        <v>709</v>
      </c>
      <c r="E39" s="122">
        <v>21</v>
      </c>
    </row>
    <row r="40" spans="1:5" x14ac:dyDescent="0.25">
      <c r="A40" s="79" t="s">
        <v>231</v>
      </c>
      <c r="B40" s="79" t="s">
        <v>1182</v>
      </c>
    </row>
    <row r="41" spans="1:5" x14ac:dyDescent="0.25">
      <c r="B41" s="79"/>
      <c r="D41" s="79" t="s">
        <v>231</v>
      </c>
      <c r="E41" s="79" t="s">
        <v>1188</v>
      </c>
    </row>
    <row r="42" spans="1:5" x14ac:dyDescent="0.25">
      <c r="A42" s="79" t="s">
        <v>1307</v>
      </c>
      <c r="B42" s="122" t="s">
        <v>1190</v>
      </c>
      <c r="C42" s="79"/>
      <c r="D42" s="79"/>
    </row>
    <row r="43" spans="1:5" x14ac:dyDescent="0.25">
      <c r="A43" s="121" t="s">
        <v>15</v>
      </c>
      <c r="B43" s="122">
        <v>13</v>
      </c>
      <c r="C43" s="79"/>
      <c r="D43" s="79" t="s">
        <v>1307</v>
      </c>
      <c r="E43" s="122" t="s">
        <v>1190</v>
      </c>
    </row>
    <row r="44" spans="1:5" x14ac:dyDescent="0.25">
      <c r="A44" s="121" t="s">
        <v>204</v>
      </c>
      <c r="B44" s="122">
        <v>18</v>
      </c>
      <c r="C44" s="79"/>
      <c r="D44" s="121" t="s">
        <v>15</v>
      </c>
      <c r="E44" s="122">
        <v>20</v>
      </c>
    </row>
    <row r="45" spans="1:5" x14ac:dyDescent="0.25">
      <c r="A45" s="121" t="s">
        <v>205</v>
      </c>
      <c r="B45" s="122">
        <v>23</v>
      </c>
      <c r="C45" s="79"/>
      <c r="D45" s="121" t="s">
        <v>204</v>
      </c>
      <c r="E45" s="122">
        <v>21</v>
      </c>
    </row>
    <row r="46" spans="1:5" x14ac:dyDescent="0.25">
      <c r="A46" s="121" t="s">
        <v>709</v>
      </c>
      <c r="B46" s="122">
        <v>54</v>
      </c>
      <c r="C46" s="79"/>
      <c r="D46" s="121" t="s">
        <v>205</v>
      </c>
      <c r="E46" s="122">
        <v>31</v>
      </c>
    </row>
    <row r="47" spans="1:5" x14ac:dyDescent="0.25">
      <c r="B47" s="79"/>
      <c r="C47" s="79"/>
      <c r="D47" s="121" t="s">
        <v>709</v>
      </c>
      <c r="E47" s="122">
        <v>72</v>
      </c>
    </row>
    <row r="48" spans="1:5" x14ac:dyDescent="0.25">
      <c r="B48" s="79"/>
    </row>
    <row r="49" spans="2:4" x14ac:dyDescent="0.25">
      <c r="B49" s="79"/>
    </row>
    <row r="50" spans="2:4" x14ac:dyDescent="0.25">
      <c r="B50" s="79"/>
      <c r="C50" s="79"/>
      <c r="D50" s="79"/>
    </row>
    <row r="51" spans="2:4" x14ac:dyDescent="0.25">
      <c r="B51" s="79"/>
      <c r="C51" s="79"/>
      <c r="D51" s="79"/>
    </row>
    <row r="52" spans="2:4" x14ac:dyDescent="0.25">
      <c r="B52" s="79"/>
      <c r="C52" s="79"/>
      <c r="D52" s="79"/>
    </row>
    <row r="53" spans="2:4" x14ac:dyDescent="0.25">
      <c r="B53" s="79"/>
      <c r="C53" s="79"/>
      <c r="D53" s="79"/>
    </row>
    <row r="54" spans="2:4" x14ac:dyDescent="0.25">
      <c r="B54" s="79"/>
      <c r="C54" s="79"/>
      <c r="D54" s="79"/>
    </row>
    <row r="55" spans="2:4" x14ac:dyDescent="0.25">
      <c r="B55" s="79"/>
      <c r="C55" s="79"/>
      <c r="D55" s="79"/>
    </row>
    <row r="56" spans="2:4" x14ac:dyDescent="0.25">
      <c r="B56" s="79"/>
    </row>
    <row r="57" spans="2:4" x14ac:dyDescent="0.25">
      <c r="B57" s="79"/>
    </row>
    <row r="58" spans="2:4" x14ac:dyDescent="0.25">
      <c r="B58" s="79"/>
      <c r="C58" s="79"/>
      <c r="D58" s="79"/>
    </row>
    <row r="59" spans="2:4" x14ac:dyDescent="0.25">
      <c r="B59" s="79"/>
      <c r="C59" s="79"/>
      <c r="D59" s="79"/>
    </row>
    <row r="60" spans="2:4" x14ac:dyDescent="0.25">
      <c r="B60" s="79"/>
      <c r="C60" s="79"/>
      <c r="D60" s="79"/>
    </row>
    <row r="61" spans="2:4" x14ac:dyDescent="0.25">
      <c r="B61" s="79"/>
      <c r="C61" s="79"/>
      <c r="D61" s="79"/>
    </row>
    <row r="62" spans="2:4" x14ac:dyDescent="0.25">
      <c r="B62" s="79"/>
      <c r="C62" s="79"/>
      <c r="D62" s="79"/>
    </row>
    <row r="63" spans="2:4" x14ac:dyDescent="0.25">
      <c r="B63" s="79"/>
      <c r="C63" s="79"/>
      <c r="D63" s="79"/>
    </row>
    <row r="64" spans="2:4" x14ac:dyDescent="0.25">
      <c r="B64" s="79"/>
    </row>
    <row r="65" spans="2:4" x14ac:dyDescent="0.25">
      <c r="B65" s="79"/>
    </row>
    <row r="66" spans="2:4" x14ac:dyDescent="0.25">
      <c r="B66" s="79"/>
      <c r="C66" s="79"/>
      <c r="D66" s="79"/>
    </row>
    <row r="67" spans="2:4" x14ac:dyDescent="0.25">
      <c r="B67" s="79"/>
      <c r="C67" s="79"/>
      <c r="D67" s="79"/>
    </row>
    <row r="68" spans="2:4" x14ac:dyDescent="0.25">
      <c r="B68" s="79"/>
      <c r="C68" s="79"/>
      <c r="D68" s="79"/>
    </row>
    <row r="69" spans="2:4" x14ac:dyDescent="0.25">
      <c r="B69" s="79"/>
      <c r="C69" s="79"/>
      <c r="D69" s="79"/>
    </row>
    <row r="70" spans="2:4" x14ac:dyDescent="0.25">
      <c r="B70" s="79"/>
      <c r="C70" s="79"/>
      <c r="D70" s="79"/>
    </row>
    <row r="71" spans="2:4" x14ac:dyDescent="0.25">
      <c r="B71" s="79"/>
      <c r="C71" s="79"/>
      <c r="D71" s="79"/>
    </row>
    <row r="72" spans="2:4" x14ac:dyDescent="0.25">
      <c r="B72" s="79"/>
    </row>
    <row r="73" spans="2:4" x14ac:dyDescent="0.25">
      <c r="B73" s="79"/>
    </row>
    <row r="74" spans="2:4" x14ac:dyDescent="0.25">
      <c r="B74" s="79"/>
    </row>
    <row r="75" spans="2:4" x14ac:dyDescent="0.25">
      <c r="B75" s="79"/>
    </row>
    <row r="76" spans="2:4" x14ac:dyDescent="0.25">
      <c r="B76" s="79"/>
    </row>
    <row r="77" spans="2:4" x14ac:dyDescent="0.25">
      <c r="B77" s="79"/>
    </row>
    <row r="78" spans="2:4" x14ac:dyDescent="0.25">
      <c r="B78" s="79"/>
    </row>
    <row r="79" spans="2:4" x14ac:dyDescent="0.25">
      <c r="B79" s="79"/>
    </row>
    <row r="80" spans="2:4" x14ac:dyDescent="0.25">
      <c r="B80" s="79"/>
    </row>
    <row r="81" spans="2:2" x14ac:dyDescent="0.25">
      <c r="B81" s="79"/>
    </row>
    <row r="82" spans="2:2" x14ac:dyDescent="0.25">
      <c r="B82" s="79"/>
    </row>
    <row r="83" spans="2:2" x14ac:dyDescent="0.25">
      <c r="B83" s="79"/>
    </row>
    <row r="84" spans="2:2" x14ac:dyDescent="0.25">
      <c r="B84" s="79"/>
    </row>
    <row r="85" spans="2:2" x14ac:dyDescent="0.25">
      <c r="B85" s="79"/>
    </row>
    <row r="86" spans="2:2" x14ac:dyDescent="0.25">
      <c r="B86" s="79"/>
    </row>
    <row r="87" spans="2:2" x14ac:dyDescent="0.25">
      <c r="B87" s="79"/>
    </row>
    <row r="88" spans="2:2" x14ac:dyDescent="0.25">
      <c r="B88" s="79"/>
    </row>
    <row r="89" spans="2:2" x14ac:dyDescent="0.25">
      <c r="B89" s="79"/>
    </row>
    <row r="90" spans="2:2" x14ac:dyDescent="0.25">
      <c r="B90" s="79"/>
    </row>
    <row r="91" spans="2:2" x14ac:dyDescent="0.25">
      <c r="B91" s="79"/>
    </row>
    <row r="92" spans="2:2" x14ac:dyDescent="0.25">
      <c r="B92" s="79"/>
    </row>
    <row r="93" spans="2:2" x14ac:dyDescent="0.25">
      <c r="B93" s="79"/>
    </row>
    <row r="94" spans="2:2" x14ac:dyDescent="0.25">
      <c r="B94" s="79"/>
    </row>
    <row r="95" spans="2:2" x14ac:dyDescent="0.25">
      <c r="B95" s="79"/>
    </row>
    <row r="96" spans="2:2" x14ac:dyDescent="0.25">
      <c r="B96" s="79"/>
    </row>
    <row r="97" spans="2:2" x14ac:dyDescent="0.25">
      <c r="B97" s="79"/>
    </row>
    <row r="98" spans="2:2" x14ac:dyDescent="0.25">
      <c r="B98" s="79"/>
    </row>
    <row r="99" spans="2:2" x14ac:dyDescent="0.25">
      <c r="B99" s="79"/>
    </row>
    <row r="100" spans="2:2" x14ac:dyDescent="0.25">
      <c r="B100" s="79"/>
    </row>
    <row r="101" spans="2:2" x14ac:dyDescent="0.25">
      <c r="B101" s="79"/>
    </row>
    <row r="102" spans="2:2" x14ac:dyDescent="0.25">
      <c r="B102" s="79"/>
    </row>
    <row r="103" spans="2:2" x14ac:dyDescent="0.25">
      <c r="B103" s="79"/>
    </row>
    <row r="104" spans="2:2" x14ac:dyDescent="0.25">
      <c r="B104" s="79"/>
    </row>
    <row r="105" spans="2:2" x14ac:dyDescent="0.25">
      <c r="B105" s="79"/>
    </row>
    <row r="106" spans="2:2" x14ac:dyDescent="0.25">
      <c r="B106" s="79"/>
    </row>
    <row r="107" spans="2:2" x14ac:dyDescent="0.25">
      <c r="B107" s="79"/>
    </row>
    <row r="108" spans="2:2" x14ac:dyDescent="0.25">
      <c r="B108" s="79"/>
    </row>
    <row r="109" spans="2:2" x14ac:dyDescent="0.25">
      <c r="B109" s="79"/>
    </row>
    <row r="110" spans="2:2" x14ac:dyDescent="0.25">
      <c r="B110" s="79"/>
    </row>
    <row r="111" spans="2:2" x14ac:dyDescent="0.25">
      <c r="B111" s="79"/>
    </row>
    <row r="112" spans="2:2" x14ac:dyDescent="0.25">
      <c r="B112" s="79"/>
    </row>
    <row r="113" spans="2:2" x14ac:dyDescent="0.25">
      <c r="B113" s="79"/>
    </row>
    <row r="114" spans="2:2" x14ac:dyDescent="0.25">
      <c r="B114" s="79"/>
    </row>
    <row r="115" spans="2:2" x14ac:dyDescent="0.25">
      <c r="B115" s="79"/>
    </row>
    <row r="116" spans="2:2" x14ac:dyDescent="0.25">
      <c r="B116" s="79"/>
    </row>
    <row r="117" spans="2:2" x14ac:dyDescent="0.25">
      <c r="B117" s="79"/>
    </row>
    <row r="118" spans="2:2" x14ac:dyDescent="0.25">
      <c r="B118" s="79"/>
    </row>
    <row r="119" spans="2:2" x14ac:dyDescent="0.25">
      <c r="B119" s="79"/>
    </row>
    <row r="120" spans="2:2" x14ac:dyDescent="0.25">
      <c r="B120" s="79"/>
    </row>
    <row r="121" spans="2:2" x14ac:dyDescent="0.25">
      <c r="B121" s="79"/>
    </row>
    <row r="122" spans="2:2" x14ac:dyDescent="0.25">
      <c r="B122" s="79"/>
    </row>
    <row r="123" spans="2:2" x14ac:dyDescent="0.25">
      <c r="B123" s="79"/>
    </row>
    <row r="124" spans="2:2" x14ac:dyDescent="0.25">
      <c r="B124" s="79"/>
    </row>
    <row r="125" spans="2:2" x14ac:dyDescent="0.25">
      <c r="B125" s="79"/>
    </row>
    <row r="126" spans="2:2" x14ac:dyDescent="0.25">
      <c r="B126" s="79"/>
    </row>
    <row r="127" spans="2:2" x14ac:dyDescent="0.25">
      <c r="B127" s="79"/>
    </row>
    <row r="128" spans="2:2" x14ac:dyDescent="0.25">
      <c r="B128" s="79"/>
    </row>
    <row r="129" spans="2:2" x14ac:dyDescent="0.25">
      <c r="B129" s="79"/>
    </row>
    <row r="130" spans="2:2" x14ac:dyDescent="0.25">
      <c r="B130" s="79"/>
    </row>
    <row r="131" spans="2:2" x14ac:dyDescent="0.25">
      <c r="B131" s="79"/>
    </row>
    <row r="132" spans="2:2" x14ac:dyDescent="0.25">
      <c r="B132" s="79"/>
    </row>
    <row r="133" spans="2:2" x14ac:dyDescent="0.25">
      <c r="B133" s="79"/>
    </row>
    <row r="134" spans="2:2" x14ac:dyDescent="0.25">
      <c r="B134" s="79"/>
    </row>
    <row r="135" spans="2:2" x14ac:dyDescent="0.25">
      <c r="B135" s="79"/>
    </row>
    <row r="136" spans="2:2" x14ac:dyDescent="0.25">
      <c r="B136" s="79"/>
    </row>
    <row r="137" spans="2:2" x14ac:dyDescent="0.25">
      <c r="B137" s="79"/>
    </row>
    <row r="138" spans="2:2" x14ac:dyDescent="0.25">
      <c r="B138" s="79"/>
    </row>
    <row r="139" spans="2:2" x14ac:dyDescent="0.25">
      <c r="B139" s="79"/>
    </row>
    <row r="140" spans="2:2" x14ac:dyDescent="0.25">
      <c r="B140" s="79"/>
    </row>
    <row r="141" spans="2:2" x14ac:dyDescent="0.25">
      <c r="B141" s="79"/>
    </row>
    <row r="142" spans="2:2" x14ac:dyDescent="0.25">
      <c r="B142" s="79"/>
    </row>
    <row r="143" spans="2:2" x14ac:dyDescent="0.25">
      <c r="B143" s="79"/>
    </row>
    <row r="144" spans="2:2" x14ac:dyDescent="0.25">
      <c r="B144" s="79"/>
    </row>
    <row r="145" spans="2:2" x14ac:dyDescent="0.25">
      <c r="B145" s="79"/>
    </row>
    <row r="146" spans="2:2" x14ac:dyDescent="0.25">
      <c r="B146" s="79"/>
    </row>
    <row r="147" spans="2:2" x14ac:dyDescent="0.25">
      <c r="B147" s="79"/>
    </row>
    <row r="148" spans="2:2" x14ac:dyDescent="0.25">
      <c r="B148" s="79"/>
    </row>
    <row r="149" spans="2:2" x14ac:dyDescent="0.25">
      <c r="B149" s="79"/>
    </row>
    <row r="150" spans="2:2" x14ac:dyDescent="0.25">
      <c r="B150" s="79"/>
    </row>
    <row r="151" spans="2:2" x14ac:dyDescent="0.25">
      <c r="B151" s="79"/>
    </row>
    <row r="152" spans="2:2" x14ac:dyDescent="0.25">
      <c r="B152" s="79"/>
    </row>
    <row r="153" spans="2:2" x14ac:dyDescent="0.25">
      <c r="B153" s="79"/>
    </row>
    <row r="154" spans="2:2" x14ac:dyDescent="0.25">
      <c r="B154" s="79"/>
    </row>
  </sheetData>
  <printOptions horizontalCentered="1"/>
  <pageMargins left="0" right="0" top="0" bottom="0" header="0" footer="0"/>
  <pageSetup paperSize="9" scale="83" orientation="landscape"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DA5BF-8654-4C9C-8310-704ED9195DD6}">
  <dimension ref="D5:P126"/>
  <sheetViews>
    <sheetView topLeftCell="C1" zoomScaleNormal="100" workbookViewId="0">
      <selection activeCell="H3" sqref="H3"/>
    </sheetView>
  </sheetViews>
  <sheetFormatPr defaultRowHeight="15" x14ac:dyDescent="0.25"/>
  <cols>
    <col min="1" max="3" width="9.140625" style="255"/>
    <col min="4" max="4" width="13.28515625" style="255" bestFit="1" customWidth="1"/>
    <col min="5" max="5" width="9.140625" style="255"/>
    <col min="6" max="6" width="24.5703125" style="255" bestFit="1" customWidth="1"/>
    <col min="7" max="9" width="13.28515625" style="255" bestFit="1" customWidth="1"/>
    <col min="10" max="11" width="10.5703125" style="255" bestFit="1" customWidth="1"/>
    <col min="12" max="15" width="9.140625" style="255"/>
    <col min="16" max="16" width="11.5703125" style="255" bestFit="1" customWidth="1"/>
    <col min="17" max="16384" width="9.140625" style="255"/>
  </cols>
  <sheetData>
    <row r="5" spans="4:16" x14ac:dyDescent="0.25">
      <c r="F5" s="448" t="s">
        <v>1242</v>
      </c>
      <c r="G5" s="449"/>
      <c r="H5" s="450"/>
      <c r="I5" s="279"/>
    </row>
    <row r="6" spans="4:16" x14ac:dyDescent="0.25">
      <c r="F6" s="257" t="s">
        <v>1208</v>
      </c>
      <c r="G6" s="262">
        <v>0.05</v>
      </c>
      <c r="H6" s="262">
        <v>0.1</v>
      </c>
      <c r="P6" s="255">
        <f>P9/J7</f>
        <v>0.88888888888888884</v>
      </c>
    </row>
    <row r="7" spans="4:16" x14ac:dyDescent="0.25">
      <c r="F7" s="257"/>
      <c r="G7" s="257" t="s">
        <v>1207</v>
      </c>
      <c r="H7" s="257" t="s">
        <v>1207</v>
      </c>
      <c r="J7" s="255">
        <f>90/H16</f>
        <v>3.2142857142857144</v>
      </c>
      <c r="K7" s="255">
        <f>12*J7</f>
        <v>38.571428571428569</v>
      </c>
      <c r="M7" s="255">
        <f>50/16</f>
        <v>3.125</v>
      </c>
      <c r="P7" s="255">
        <f>P6*210000</f>
        <v>186666.66666666666</v>
      </c>
    </row>
    <row r="8" spans="4:16" ht="15.75" thickBot="1" x14ac:dyDescent="0.3">
      <c r="F8" s="257" t="s">
        <v>1201</v>
      </c>
      <c r="G8" s="257">
        <v>155</v>
      </c>
      <c r="H8" s="257">
        <v>155</v>
      </c>
      <c r="J8" s="255">
        <v>2.5</v>
      </c>
      <c r="K8" s="255">
        <f>J8*12</f>
        <v>30</v>
      </c>
    </row>
    <row r="9" spans="4:16" ht="15.75" thickBot="1" x14ac:dyDescent="0.3">
      <c r="F9" s="257" t="s">
        <v>1262</v>
      </c>
      <c r="G9" s="270">
        <v>41530</v>
      </c>
      <c r="H9" s="271">
        <v>41530</v>
      </c>
      <c r="I9" s="79"/>
      <c r="K9" s="255">
        <v>10</v>
      </c>
      <c r="N9" s="255">
        <f>2.5*28</f>
        <v>70</v>
      </c>
      <c r="P9" s="255">
        <f>80/28</f>
        <v>2.8571428571428572</v>
      </c>
    </row>
    <row r="10" spans="4:16" x14ac:dyDescent="0.25">
      <c r="F10" s="257" t="s">
        <v>1203</v>
      </c>
      <c r="G10" s="257">
        <f>G9*G8</f>
        <v>6437150</v>
      </c>
      <c r="H10" s="257">
        <f>H9*H8</f>
        <v>6437150</v>
      </c>
      <c r="K10" s="255">
        <v>10</v>
      </c>
    </row>
    <row r="11" spans="4:16" x14ac:dyDescent="0.25">
      <c r="E11" s="280"/>
      <c r="F11" s="257" t="s">
        <v>1209</v>
      </c>
      <c r="G11" s="257">
        <f>G10*G6</f>
        <v>321857.5</v>
      </c>
      <c r="H11" s="257">
        <f>H10*H6</f>
        <v>643715</v>
      </c>
    </row>
    <row r="12" spans="4:16" x14ac:dyDescent="0.25">
      <c r="E12" s="238"/>
      <c r="F12" s="257" t="s">
        <v>1204</v>
      </c>
      <c r="G12" s="272">
        <v>6</v>
      </c>
      <c r="H12" s="272">
        <v>7</v>
      </c>
    </row>
    <row r="13" spans="4:16" ht="15.75" thickBot="1" x14ac:dyDescent="0.3">
      <c r="F13" s="257" t="s">
        <v>1205</v>
      </c>
      <c r="G13" s="257">
        <f>(G10-G11)/(G12*G15)</f>
        <v>254803.85416666666</v>
      </c>
      <c r="H13" s="257">
        <f>(H10-H11)/(H12*H15)</f>
        <v>206908.39285714287</v>
      </c>
    </row>
    <row r="14" spans="4:16" ht="15.75" thickBot="1" x14ac:dyDescent="0.3">
      <c r="D14" s="255">
        <f>G13*G16</f>
        <v>6115292.5</v>
      </c>
      <c r="F14" s="257" t="s">
        <v>1197</v>
      </c>
      <c r="G14" s="258">
        <v>0.13</v>
      </c>
      <c r="H14" s="259">
        <v>0.13</v>
      </c>
    </row>
    <row r="15" spans="4:16" x14ac:dyDescent="0.25">
      <c r="F15" s="257" t="s">
        <v>1195</v>
      </c>
      <c r="G15" s="257">
        <v>4</v>
      </c>
      <c r="H15" s="257">
        <v>4</v>
      </c>
    </row>
    <row r="16" spans="4:16" x14ac:dyDescent="0.25">
      <c r="F16" s="257" t="s">
        <v>1196</v>
      </c>
      <c r="G16" s="257">
        <f>G12*G15</f>
        <v>24</v>
      </c>
      <c r="H16" s="257">
        <f>H12*H15</f>
        <v>28</v>
      </c>
    </row>
    <row r="17" spans="6:8" x14ac:dyDescent="0.25">
      <c r="F17" s="257" t="s">
        <v>1198</v>
      </c>
      <c r="G17" s="260">
        <f>G14/G15</f>
        <v>3.2500000000000001E-2</v>
      </c>
      <c r="H17" s="260">
        <f>H14/H15</f>
        <v>3.2500000000000001E-2</v>
      </c>
    </row>
    <row r="18" spans="6:8" x14ac:dyDescent="0.25">
      <c r="F18" s="257" t="s">
        <v>1199</v>
      </c>
      <c r="G18" s="257">
        <f>(((1-(1+G17)^(-G16))/(G17))*(G13))+(G11)</f>
        <v>4523150.9708322454</v>
      </c>
      <c r="H18" s="257">
        <f>(((1-(1+H17)^(-H16))/(H17))*(H13))+(H11)</f>
        <v>4410128.8286626497</v>
      </c>
    </row>
    <row r="19" spans="6:8" ht="18.75" x14ac:dyDescent="0.25">
      <c r="F19" s="256" t="s">
        <v>1200</v>
      </c>
      <c r="G19" s="261">
        <f>1-(G18/G10)</f>
        <v>0.29733640340333134</v>
      </c>
      <c r="H19" s="261">
        <f>1-(H18/H10)</f>
        <v>0.31489419562032117</v>
      </c>
    </row>
    <row r="20" spans="6:8" x14ac:dyDescent="0.25">
      <c r="F20" s="256" t="s">
        <v>1258</v>
      </c>
      <c r="G20" s="255">
        <f>G18/G8</f>
        <v>29181.61916665965</v>
      </c>
      <c r="H20" s="255">
        <f>H18/H8</f>
        <v>28452.444055888063</v>
      </c>
    </row>
    <row r="22" spans="6:8" x14ac:dyDescent="0.25">
      <c r="F22" s="452" t="s">
        <v>1254</v>
      </c>
      <c r="G22" s="452"/>
      <c r="H22" s="452"/>
    </row>
    <row r="23" spans="6:8" x14ac:dyDescent="0.25">
      <c r="F23" s="257" t="s">
        <v>1208</v>
      </c>
      <c r="G23" s="262">
        <v>0.1</v>
      </c>
      <c r="H23" s="262">
        <v>0.05</v>
      </c>
    </row>
    <row r="24" spans="6:8" x14ac:dyDescent="0.25">
      <c r="F24" s="257"/>
      <c r="G24" s="257" t="s">
        <v>1206</v>
      </c>
      <c r="H24" s="257" t="s">
        <v>1206</v>
      </c>
    </row>
    <row r="25" spans="6:8" x14ac:dyDescent="0.25">
      <c r="F25" s="257" t="s">
        <v>1201</v>
      </c>
      <c r="G25" s="257">
        <v>155</v>
      </c>
      <c r="H25" s="257">
        <v>155</v>
      </c>
    </row>
    <row r="26" spans="6:8" x14ac:dyDescent="0.25">
      <c r="F26" s="257" t="s">
        <v>1202</v>
      </c>
      <c r="G26" s="257">
        <v>7500</v>
      </c>
      <c r="H26" s="257">
        <v>7500</v>
      </c>
    </row>
    <row r="27" spans="6:8" x14ac:dyDescent="0.25">
      <c r="F27" s="257" t="s">
        <v>1203</v>
      </c>
      <c r="G27" s="257">
        <f>G26*G25</f>
        <v>1162500</v>
      </c>
      <c r="H27" s="257">
        <f>H26*H25</f>
        <v>1162500</v>
      </c>
    </row>
    <row r="28" spans="6:8" x14ac:dyDescent="0.25">
      <c r="F28" s="257" t="s">
        <v>1209</v>
      </c>
      <c r="G28" s="257">
        <f>G27*G23</f>
        <v>116250</v>
      </c>
      <c r="H28" s="257">
        <f>H27*H23</f>
        <v>58125</v>
      </c>
    </row>
    <row r="29" spans="6:8" x14ac:dyDescent="0.25">
      <c r="F29" s="257" t="s">
        <v>1204</v>
      </c>
      <c r="G29" s="272">
        <v>7</v>
      </c>
      <c r="H29" s="272">
        <v>6</v>
      </c>
    </row>
    <row r="30" spans="6:8" ht="15.75" thickBot="1" x14ac:dyDescent="0.3">
      <c r="F30" s="257" t="s">
        <v>1205</v>
      </c>
      <c r="G30" s="257">
        <f>(G27-G28)/(G29*G32)</f>
        <v>37366.071428571428</v>
      </c>
      <c r="H30" s="257">
        <f>(H27-H28)/(H29*H32)</f>
        <v>46015.625</v>
      </c>
    </row>
    <row r="31" spans="6:8" ht="15.75" thickBot="1" x14ac:dyDescent="0.3">
      <c r="F31" s="257" t="s">
        <v>1197</v>
      </c>
      <c r="G31" s="258">
        <v>0.13</v>
      </c>
      <c r="H31" s="258">
        <v>0.13</v>
      </c>
    </row>
    <row r="32" spans="6:8" x14ac:dyDescent="0.25">
      <c r="F32" s="257" t="s">
        <v>1195</v>
      </c>
      <c r="G32" s="257">
        <v>4</v>
      </c>
      <c r="H32" s="257">
        <v>4</v>
      </c>
    </row>
    <row r="33" spans="6:8" x14ac:dyDescent="0.25">
      <c r="F33" s="257" t="s">
        <v>1196</v>
      </c>
      <c r="G33" s="257">
        <f>G29*G32</f>
        <v>28</v>
      </c>
      <c r="H33" s="257">
        <f>H29*H32</f>
        <v>24</v>
      </c>
    </row>
    <row r="34" spans="6:8" x14ac:dyDescent="0.25">
      <c r="F34" s="257" t="s">
        <v>1198</v>
      </c>
      <c r="G34" s="260">
        <f>G31/G32</f>
        <v>3.2500000000000001E-2</v>
      </c>
      <c r="H34" s="260">
        <f>H31/H32</f>
        <v>3.2500000000000001E-2</v>
      </c>
    </row>
    <row r="35" spans="6:8" x14ac:dyDescent="0.25">
      <c r="F35" s="257" t="s">
        <v>1199</v>
      </c>
      <c r="G35" s="257">
        <f>(((1-(1+G34)^(-G33))/(G34))*(G30))+(G28)</f>
        <v>796435.49759137654</v>
      </c>
      <c r="H35" s="257">
        <f>(((1-(1+H34)^(-H33))/(H34))*(H30))+(H28)</f>
        <v>816846.43104362732</v>
      </c>
    </row>
    <row r="36" spans="6:8" x14ac:dyDescent="0.25">
      <c r="F36" s="256" t="s">
        <v>1258</v>
      </c>
      <c r="G36" s="255">
        <f>(G35+G28)/G25</f>
        <v>5888.2935328475905</v>
      </c>
      <c r="H36" s="255">
        <f>(H35+H28)/H25</f>
        <v>5644.9769744750147</v>
      </c>
    </row>
    <row r="39" spans="6:8" x14ac:dyDescent="0.25">
      <c r="F39" s="452" t="s">
        <v>1255</v>
      </c>
      <c r="G39" s="452"/>
      <c r="H39" s="452"/>
    </row>
    <row r="40" spans="6:8" x14ac:dyDescent="0.25">
      <c r="F40" s="257" t="s">
        <v>1208</v>
      </c>
      <c r="G40" s="262">
        <v>0.1</v>
      </c>
      <c r="H40" s="262">
        <v>0.05</v>
      </c>
    </row>
    <row r="41" spans="6:8" x14ac:dyDescent="0.25">
      <c r="F41" s="257"/>
      <c r="G41" s="257" t="s">
        <v>1206</v>
      </c>
      <c r="H41" s="257" t="s">
        <v>1206</v>
      </c>
    </row>
    <row r="42" spans="6:8" x14ac:dyDescent="0.25">
      <c r="F42" s="257" t="s">
        <v>1201</v>
      </c>
      <c r="G42" s="257">
        <v>155</v>
      </c>
      <c r="H42" s="257">
        <v>155</v>
      </c>
    </row>
    <row r="43" spans="6:8" x14ac:dyDescent="0.25">
      <c r="F43" s="257" t="s">
        <v>1202</v>
      </c>
      <c r="G43" s="257">
        <v>4500</v>
      </c>
      <c r="H43" s="257">
        <v>4500</v>
      </c>
    </row>
    <row r="44" spans="6:8" x14ac:dyDescent="0.25">
      <c r="F44" s="257" t="s">
        <v>1203</v>
      </c>
      <c r="G44" s="257">
        <f>G43*G42</f>
        <v>697500</v>
      </c>
      <c r="H44" s="257">
        <f>H43*H42</f>
        <v>697500</v>
      </c>
    </row>
    <row r="45" spans="6:8" x14ac:dyDescent="0.25">
      <c r="F45" s="257" t="s">
        <v>1209</v>
      </c>
      <c r="G45" s="257">
        <f>G44*G40</f>
        <v>69750</v>
      </c>
      <c r="H45" s="257">
        <f>H44*H40</f>
        <v>34875</v>
      </c>
    </row>
    <row r="46" spans="6:8" x14ac:dyDescent="0.25">
      <c r="F46" s="257" t="s">
        <v>1204</v>
      </c>
      <c r="G46" s="272">
        <v>7</v>
      </c>
      <c r="H46" s="272">
        <v>6</v>
      </c>
    </row>
    <row r="47" spans="6:8" ht="15.75" thickBot="1" x14ac:dyDescent="0.3">
      <c r="F47" s="257" t="s">
        <v>1205</v>
      </c>
      <c r="G47" s="257">
        <f>(G44-G45)/(G46*G49)</f>
        <v>22419.642857142859</v>
      </c>
      <c r="H47" s="257">
        <f>(H44-H45)/(H46*H49)</f>
        <v>27609.375</v>
      </c>
    </row>
    <row r="48" spans="6:8" ht="15.75" thickBot="1" x14ac:dyDescent="0.3">
      <c r="F48" s="257" t="s">
        <v>1197</v>
      </c>
      <c r="G48" s="258">
        <v>0.13</v>
      </c>
      <c r="H48" s="258">
        <v>0.13</v>
      </c>
    </row>
    <row r="49" spans="6:11" x14ac:dyDescent="0.25">
      <c r="F49" s="257" t="s">
        <v>1195</v>
      </c>
      <c r="G49" s="257">
        <v>4</v>
      </c>
      <c r="H49" s="257">
        <v>4</v>
      </c>
    </row>
    <row r="50" spans="6:11" x14ac:dyDescent="0.25">
      <c r="F50" s="257" t="s">
        <v>1196</v>
      </c>
      <c r="G50" s="257">
        <f>G46*G49</f>
        <v>28</v>
      </c>
      <c r="H50" s="257">
        <f>H46*H49</f>
        <v>24</v>
      </c>
    </row>
    <row r="51" spans="6:11" x14ac:dyDescent="0.25">
      <c r="F51" s="257" t="s">
        <v>1198</v>
      </c>
      <c r="G51" s="260">
        <f>G48/G49</f>
        <v>3.2500000000000001E-2</v>
      </c>
      <c r="H51" s="260">
        <f>H48/H49</f>
        <v>3.2500000000000001E-2</v>
      </c>
    </row>
    <row r="52" spans="6:11" x14ac:dyDescent="0.25">
      <c r="F52" s="257" t="s">
        <v>1199</v>
      </c>
      <c r="G52" s="257">
        <f>(((1-(1+G51)^(-G50))/(G51))*(G47))+(G45)</f>
        <v>477861.298554826</v>
      </c>
      <c r="H52" s="257">
        <f>(((1-(1+H51)^(-H50))/(H51))*(H47))+(H45)</f>
        <v>490107.85862617643</v>
      </c>
    </row>
    <row r="53" spans="6:11" x14ac:dyDescent="0.25">
      <c r="F53" s="256" t="s">
        <v>1258</v>
      </c>
      <c r="G53" s="255">
        <f>(G52+G45)/G42</f>
        <v>3532.9761197085554</v>
      </c>
      <c r="H53" s="255">
        <f>(H52+H45)/H42</f>
        <v>3386.986184685009</v>
      </c>
    </row>
    <row r="56" spans="6:11" x14ac:dyDescent="0.25">
      <c r="K56" s="255">
        <f>41530+7000</f>
        <v>48530</v>
      </c>
    </row>
    <row r="57" spans="6:11" x14ac:dyDescent="0.25">
      <c r="F57" s="451" t="s">
        <v>1256</v>
      </c>
      <c r="G57" s="451"/>
      <c r="H57" s="451"/>
      <c r="K57" s="255">
        <f>41530+4000</f>
        <v>45530</v>
      </c>
    </row>
    <row r="58" spans="6:11" x14ac:dyDescent="0.25">
      <c r="F58" s="257" t="s">
        <v>1208</v>
      </c>
      <c r="G58" s="262">
        <v>0.25</v>
      </c>
      <c r="H58" s="262">
        <v>0.05</v>
      </c>
    </row>
    <row r="59" spans="6:11" x14ac:dyDescent="0.25">
      <c r="F59" s="257"/>
      <c r="G59" s="257" t="s">
        <v>1206</v>
      </c>
      <c r="H59" s="257" t="s">
        <v>1206</v>
      </c>
    </row>
    <row r="60" spans="6:11" x14ac:dyDescent="0.25">
      <c r="F60" s="257" t="s">
        <v>1201</v>
      </c>
      <c r="G60" s="257">
        <v>155</v>
      </c>
      <c r="H60" s="257">
        <v>155</v>
      </c>
    </row>
    <row r="61" spans="6:11" x14ac:dyDescent="0.25">
      <c r="F61" s="257" t="s">
        <v>1263</v>
      </c>
      <c r="G61" s="257">
        <v>39000</v>
      </c>
      <c r="H61" s="257">
        <f>K56</f>
        <v>48530</v>
      </c>
    </row>
    <row r="62" spans="6:11" x14ac:dyDescent="0.25">
      <c r="F62" s="257" t="s">
        <v>1203</v>
      </c>
      <c r="G62" s="257">
        <f>G61*G60</f>
        <v>6045000</v>
      </c>
      <c r="H62" s="257">
        <f>H61*H60</f>
        <v>7522150</v>
      </c>
    </row>
    <row r="63" spans="6:11" x14ac:dyDescent="0.25">
      <c r="F63" s="257" t="s">
        <v>1209</v>
      </c>
      <c r="G63" s="257">
        <f>G62*G58</f>
        <v>1511250</v>
      </c>
      <c r="H63" s="257">
        <f>H62*H58</f>
        <v>376107.5</v>
      </c>
    </row>
    <row r="64" spans="6:11" x14ac:dyDescent="0.25">
      <c r="F64" s="257" t="s">
        <v>1204</v>
      </c>
      <c r="G64" s="272">
        <v>4</v>
      </c>
      <c r="H64" s="272">
        <v>6</v>
      </c>
    </row>
    <row r="65" spans="6:8" ht="15.75" thickBot="1" x14ac:dyDescent="0.3">
      <c r="F65" s="257" t="s">
        <v>1205</v>
      </c>
      <c r="G65" s="257">
        <f>(G62-G63)/(G64*G67)</f>
        <v>283359.375</v>
      </c>
      <c r="H65" s="257">
        <f>(H62-H63)/(H64*H67)</f>
        <v>297751.77083333331</v>
      </c>
    </row>
    <row r="66" spans="6:8" ht="15.75" thickBot="1" x14ac:dyDescent="0.3">
      <c r="F66" s="257" t="s">
        <v>1197</v>
      </c>
      <c r="G66" s="258">
        <v>0.13</v>
      </c>
      <c r="H66" s="258">
        <v>0.13</v>
      </c>
    </row>
    <row r="67" spans="6:8" x14ac:dyDescent="0.25">
      <c r="F67" s="257" t="s">
        <v>1195</v>
      </c>
      <c r="G67" s="257">
        <v>4</v>
      </c>
      <c r="H67" s="257">
        <v>4</v>
      </c>
    </row>
    <row r="68" spans="6:8" x14ac:dyDescent="0.25">
      <c r="F68" s="257" t="s">
        <v>1196</v>
      </c>
      <c r="G68" s="257">
        <f>G64*G67</f>
        <v>16</v>
      </c>
      <c r="H68" s="257">
        <f>H64*H67</f>
        <v>24</v>
      </c>
    </row>
    <row r="69" spans="6:8" x14ac:dyDescent="0.25">
      <c r="F69" s="257" t="s">
        <v>1198</v>
      </c>
      <c r="G69" s="260">
        <f>G66/G67</f>
        <v>3.2500000000000001E-2</v>
      </c>
      <c r="H69" s="260">
        <f>H66/H67</f>
        <v>3.2500000000000001E-2</v>
      </c>
    </row>
    <row r="70" spans="6:8" x14ac:dyDescent="0.25">
      <c r="F70" s="257" t="s">
        <v>1199</v>
      </c>
      <c r="G70" s="257">
        <f>(((1-(1+G69)^(-G68))/(G69))*(G65))+(G63)</f>
        <v>5003472.2608933095</v>
      </c>
      <c r="H70" s="257">
        <f>(((1-(1+H69)^(-H68))/(H69))*(H65))+(H63)</f>
        <v>5285540.9731396306</v>
      </c>
    </row>
    <row r="71" spans="6:8" x14ac:dyDescent="0.25">
      <c r="F71" s="256" t="s">
        <v>1258</v>
      </c>
      <c r="G71" s="255">
        <f>G70/G60</f>
        <v>32280.466199311675</v>
      </c>
      <c r="H71" s="255">
        <f>H70/H60</f>
        <v>34100.26434283633</v>
      </c>
    </row>
    <row r="72" spans="6:8" ht="18.75" x14ac:dyDescent="0.25">
      <c r="F72" s="256" t="s">
        <v>1200</v>
      </c>
      <c r="G72" s="261">
        <f>1-(G71/G61)</f>
        <v>0.17229573847918778</v>
      </c>
      <c r="H72" s="261">
        <f>1-(H71/H61)</f>
        <v>0.29733640340333134</v>
      </c>
    </row>
    <row r="74" spans="6:8" x14ac:dyDescent="0.25">
      <c r="F74" s="451" t="s">
        <v>1257</v>
      </c>
      <c r="G74" s="451"/>
      <c r="H74" s="451"/>
    </row>
    <row r="75" spans="6:8" x14ac:dyDescent="0.25">
      <c r="F75" s="257" t="s">
        <v>1208</v>
      </c>
      <c r="G75" s="262">
        <v>0.1</v>
      </c>
      <c r="H75" s="262">
        <v>0.05</v>
      </c>
    </row>
    <row r="76" spans="6:8" x14ac:dyDescent="0.25">
      <c r="F76" s="257"/>
      <c r="G76" s="257" t="s">
        <v>1206</v>
      </c>
      <c r="H76" s="257" t="s">
        <v>1206</v>
      </c>
    </row>
    <row r="77" spans="6:8" x14ac:dyDescent="0.25">
      <c r="F77" s="257" t="s">
        <v>1201</v>
      </c>
      <c r="G77" s="257">
        <v>155</v>
      </c>
      <c r="H77" s="257">
        <v>155</v>
      </c>
    </row>
    <row r="78" spans="6:8" x14ac:dyDescent="0.25">
      <c r="F78" s="257" t="s">
        <v>1263</v>
      </c>
      <c r="G78" s="257">
        <f>K57</f>
        <v>45530</v>
      </c>
      <c r="H78" s="257">
        <f>K57</f>
        <v>45530</v>
      </c>
    </row>
    <row r="79" spans="6:8" x14ac:dyDescent="0.25">
      <c r="F79" s="257" t="s">
        <v>1203</v>
      </c>
      <c r="G79" s="257">
        <f>G78*G77</f>
        <v>7057150</v>
      </c>
      <c r="H79" s="257">
        <f>H78*H77</f>
        <v>7057150</v>
      </c>
    </row>
    <row r="80" spans="6:8" x14ac:dyDescent="0.25">
      <c r="F80" s="257" t="s">
        <v>1209</v>
      </c>
      <c r="G80" s="257">
        <f>G79*G75</f>
        <v>705715</v>
      </c>
      <c r="H80" s="257">
        <f>H79*H75</f>
        <v>352857.5</v>
      </c>
    </row>
    <row r="81" spans="6:11" x14ac:dyDescent="0.25">
      <c r="F81" s="257" t="s">
        <v>1204</v>
      </c>
      <c r="G81" s="272">
        <v>7</v>
      </c>
      <c r="H81" s="272">
        <v>6</v>
      </c>
    </row>
    <row r="82" spans="6:11" ht="15.75" thickBot="1" x14ac:dyDescent="0.3">
      <c r="F82" s="257" t="s">
        <v>1205</v>
      </c>
      <c r="G82" s="257">
        <f>(G79-G80)/(G81*G84)</f>
        <v>226836.96428571429</v>
      </c>
      <c r="H82" s="257">
        <f>(H79-H80)/(H81*H84)</f>
        <v>279345.52083333331</v>
      </c>
    </row>
    <row r="83" spans="6:11" ht="15.75" thickBot="1" x14ac:dyDescent="0.3">
      <c r="F83" s="257" t="s">
        <v>1197</v>
      </c>
      <c r="G83" s="258">
        <v>0.13</v>
      </c>
      <c r="H83" s="258">
        <v>0.13</v>
      </c>
    </row>
    <row r="84" spans="6:11" x14ac:dyDescent="0.25">
      <c r="F84" s="257" t="s">
        <v>1195</v>
      </c>
      <c r="G84" s="257">
        <v>4</v>
      </c>
      <c r="H84" s="257">
        <v>4</v>
      </c>
    </row>
    <row r="85" spans="6:11" x14ac:dyDescent="0.25">
      <c r="F85" s="257" t="s">
        <v>1196</v>
      </c>
      <c r="G85" s="257">
        <f>G81*G84</f>
        <v>28</v>
      </c>
      <c r="H85" s="257">
        <f>H81*H84</f>
        <v>24</v>
      </c>
    </row>
    <row r="86" spans="6:11" x14ac:dyDescent="0.25">
      <c r="F86" s="257" t="s">
        <v>1198</v>
      </c>
      <c r="G86" s="260">
        <f>G83/G84</f>
        <v>3.2500000000000001E-2</v>
      </c>
      <c r="H86" s="260">
        <f>H83/H84</f>
        <v>3.2500000000000001E-2</v>
      </c>
    </row>
    <row r="87" spans="6:11" x14ac:dyDescent="0.25">
      <c r="F87" s="257" t="s">
        <v>1199</v>
      </c>
      <c r="G87" s="257">
        <f>(((1-(1+G86)^(-G85))/(G86))*(G82))+(G80)</f>
        <v>4834894.4273780501</v>
      </c>
      <c r="H87" s="257">
        <f>(((1-(1+H86)^(-H85))/(H86))*(H82))+(H80)</f>
        <v>4958802.4007221796</v>
      </c>
    </row>
    <row r="88" spans="6:11" x14ac:dyDescent="0.25">
      <c r="F88" s="256" t="s">
        <v>1258</v>
      </c>
      <c r="G88" s="255">
        <f>G87/G77</f>
        <v>31192.867273406773</v>
      </c>
      <c r="H88" s="255">
        <f>H87/H77</f>
        <v>31992.273553046321</v>
      </c>
    </row>
    <row r="89" spans="6:11" ht="18.75" x14ac:dyDescent="0.25">
      <c r="F89" s="256" t="s">
        <v>1200</v>
      </c>
      <c r="G89" s="261">
        <f>1-(G88/G78)</f>
        <v>0.31489419562032128</v>
      </c>
      <c r="H89" s="261">
        <f>1-(H88/H78)</f>
        <v>0.29733640340333145</v>
      </c>
    </row>
    <row r="91" spans="6:11" x14ac:dyDescent="0.25">
      <c r="F91" s="451" t="s">
        <v>1256</v>
      </c>
      <c r="G91" s="451"/>
      <c r="H91" s="451"/>
      <c r="K91" s="255">
        <f>41530+4000</f>
        <v>45530</v>
      </c>
    </row>
    <row r="92" spans="6:11" x14ac:dyDescent="0.25">
      <c r="F92" s="257" t="s">
        <v>1208</v>
      </c>
      <c r="G92" s="262">
        <v>0.1</v>
      </c>
      <c r="H92" s="262">
        <v>0.05</v>
      </c>
    </row>
    <row r="93" spans="6:11" x14ac:dyDescent="0.25">
      <c r="F93" s="257"/>
      <c r="G93" s="257" t="s">
        <v>1206</v>
      </c>
      <c r="H93" s="257" t="s">
        <v>1206</v>
      </c>
    </row>
    <row r="94" spans="6:11" x14ac:dyDescent="0.25">
      <c r="F94" s="257" t="s">
        <v>1201</v>
      </c>
      <c r="G94" s="257">
        <v>155</v>
      </c>
      <c r="H94" s="257">
        <v>155</v>
      </c>
    </row>
    <row r="95" spans="6:11" x14ac:dyDescent="0.25">
      <c r="F95" s="257" t="s">
        <v>1263</v>
      </c>
      <c r="G95" s="257">
        <f>0.975*G61</f>
        <v>38025</v>
      </c>
      <c r="H95" s="257">
        <f>0.975*H61</f>
        <v>47316.75</v>
      </c>
    </row>
    <row r="96" spans="6:11" x14ac:dyDescent="0.25">
      <c r="F96" s="257" t="s">
        <v>1203</v>
      </c>
      <c r="G96" s="257">
        <f>G95*G94</f>
        <v>5893875</v>
      </c>
      <c r="H96" s="257">
        <f>H95*H94</f>
        <v>7334096.25</v>
      </c>
    </row>
    <row r="97" spans="6:8" x14ac:dyDescent="0.25">
      <c r="F97" s="257" t="s">
        <v>1209</v>
      </c>
      <c r="G97" s="257">
        <f>G96*G92</f>
        <v>589387.5</v>
      </c>
      <c r="H97" s="257">
        <f>H96*H92</f>
        <v>366704.8125</v>
      </c>
    </row>
    <row r="98" spans="6:8" x14ac:dyDescent="0.25">
      <c r="F98" s="257" t="s">
        <v>1204</v>
      </c>
      <c r="G98" s="272">
        <v>7</v>
      </c>
      <c r="H98" s="272">
        <v>6</v>
      </c>
    </row>
    <row r="99" spans="6:8" ht="15.75" thickBot="1" x14ac:dyDescent="0.3">
      <c r="F99" s="257" t="s">
        <v>1205</v>
      </c>
      <c r="G99" s="257">
        <f>(G96-G97)/(G98*G101)</f>
        <v>189445.98214285713</v>
      </c>
      <c r="H99" s="257">
        <f>(H96-H97)/(H98*H101)</f>
        <v>290307.9765625</v>
      </c>
    </row>
    <row r="100" spans="6:8" ht="15.75" thickBot="1" x14ac:dyDescent="0.3">
      <c r="F100" s="257" t="s">
        <v>1197</v>
      </c>
      <c r="G100" s="258">
        <v>0.13</v>
      </c>
      <c r="H100" s="258">
        <v>0.13</v>
      </c>
    </row>
    <row r="101" spans="6:8" x14ac:dyDescent="0.25">
      <c r="F101" s="257" t="s">
        <v>1195</v>
      </c>
      <c r="G101" s="257">
        <v>4</v>
      </c>
      <c r="H101" s="257">
        <v>4</v>
      </c>
    </row>
    <row r="102" spans="6:8" x14ac:dyDescent="0.25">
      <c r="F102" s="257" t="s">
        <v>1196</v>
      </c>
      <c r="G102" s="257">
        <f>G98*G101</f>
        <v>28</v>
      </c>
      <c r="H102" s="257">
        <f>H98*H101</f>
        <v>24</v>
      </c>
    </row>
    <row r="103" spans="6:8" x14ac:dyDescent="0.25">
      <c r="F103" s="257" t="s">
        <v>1198</v>
      </c>
      <c r="G103" s="260">
        <f>G100/G101</f>
        <v>3.2500000000000001E-2</v>
      </c>
      <c r="H103" s="260">
        <f>H100/H101</f>
        <v>3.2500000000000001E-2</v>
      </c>
    </row>
    <row r="104" spans="6:8" x14ac:dyDescent="0.25">
      <c r="F104" s="257" t="s">
        <v>1199</v>
      </c>
      <c r="G104" s="257">
        <f>(((1-(1+G103)^(-G102))/(G103))*(G99))+(G97)</f>
        <v>4037927.9727882789</v>
      </c>
      <c r="H104" s="257">
        <f>(((1-(1+H103)^(-H102))/(H103))*(H99))+(H97)</f>
        <v>5153402.4488111408</v>
      </c>
    </row>
    <row r="105" spans="6:8" x14ac:dyDescent="0.25">
      <c r="F105" s="256" t="s">
        <v>1258</v>
      </c>
      <c r="G105" s="255">
        <f>G104/G94</f>
        <v>26051.148211537282</v>
      </c>
      <c r="H105" s="255">
        <f>H104/H94</f>
        <v>33247.757734265426</v>
      </c>
    </row>
    <row r="106" spans="6:8" ht="18.75" x14ac:dyDescent="0.25">
      <c r="F106" s="256" t="s">
        <v>1200</v>
      </c>
      <c r="G106" s="261">
        <f>1-(G105/G95)</f>
        <v>0.31489419562032128</v>
      </c>
      <c r="H106" s="261">
        <f>1-(H105/H95)</f>
        <v>0.29733640340333123</v>
      </c>
    </row>
    <row r="108" spans="6:8" x14ac:dyDescent="0.25">
      <c r="F108" s="451" t="s">
        <v>1257</v>
      </c>
      <c r="G108" s="451"/>
      <c r="H108" s="451"/>
    </row>
    <row r="109" spans="6:8" x14ac:dyDescent="0.25">
      <c r="F109" s="257" t="s">
        <v>1208</v>
      </c>
      <c r="G109" s="262">
        <v>0.1</v>
      </c>
      <c r="H109" s="262">
        <v>0.05</v>
      </c>
    </row>
    <row r="110" spans="6:8" x14ac:dyDescent="0.25">
      <c r="F110" s="257"/>
      <c r="G110" s="257" t="s">
        <v>1206</v>
      </c>
      <c r="H110" s="257" t="s">
        <v>1206</v>
      </c>
    </row>
    <row r="111" spans="6:8" x14ac:dyDescent="0.25">
      <c r="F111" s="257" t="s">
        <v>1201</v>
      </c>
      <c r="G111" s="257">
        <v>155</v>
      </c>
      <c r="H111" s="257">
        <v>155</v>
      </c>
    </row>
    <row r="112" spans="6:8" x14ac:dyDescent="0.25">
      <c r="F112" s="257" t="s">
        <v>1263</v>
      </c>
      <c r="G112" s="257">
        <f>0.975*G78</f>
        <v>44391.75</v>
      </c>
      <c r="H112" s="257">
        <f>0.975*H78</f>
        <v>44391.75</v>
      </c>
    </row>
    <row r="113" spans="6:8" x14ac:dyDescent="0.25">
      <c r="F113" s="257" t="s">
        <v>1203</v>
      </c>
      <c r="G113" s="257">
        <f>G112*G111</f>
        <v>6880721.25</v>
      </c>
      <c r="H113" s="257">
        <f>H112*H111</f>
        <v>6880721.25</v>
      </c>
    </row>
    <row r="114" spans="6:8" x14ac:dyDescent="0.25">
      <c r="F114" s="257" t="s">
        <v>1209</v>
      </c>
      <c r="G114" s="257">
        <f>G113*G109</f>
        <v>688072.125</v>
      </c>
      <c r="H114" s="257">
        <f>H113*H109</f>
        <v>344036.0625</v>
      </c>
    </row>
    <row r="115" spans="6:8" x14ac:dyDescent="0.25">
      <c r="F115" s="257" t="s">
        <v>1204</v>
      </c>
      <c r="G115" s="272">
        <v>7</v>
      </c>
      <c r="H115" s="272">
        <v>6</v>
      </c>
    </row>
    <row r="116" spans="6:8" ht="15.75" thickBot="1" x14ac:dyDescent="0.3">
      <c r="F116" s="257" t="s">
        <v>1205</v>
      </c>
      <c r="G116" s="257">
        <f>(G113-G114)/(G115*G118)</f>
        <v>221166.04017857142</v>
      </c>
      <c r="H116" s="257">
        <f>(H113-H114)/(H115*H118)</f>
        <v>272361.8828125</v>
      </c>
    </row>
    <row r="117" spans="6:8" ht="15.75" thickBot="1" x14ac:dyDescent="0.3">
      <c r="F117" s="257" t="s">
        <v>1197</v>
      </c>
      <c r="G117" s="258">
        <v>0.13</v>
      </c>
      <c r="H117" s="258">
        <v>0.13</v>
      </c>
    </row>
    <row r="118" spans="6:8" x14ac:dyDescent="0.25">
      <c r="F118" s="257" t="s">
        <v>1195</v>
      </c>
      <c r="G118" s="257">
        <v>4</v>
      </c>
      <c r="H118" s="257">
        <v>4</v>
      </c>
    </row>
    <row r="119" spans="6:8" x14ac:dyDescent="0.25">
      <c r="F119" s="257" t="s">
        <v>1196</v>
      </c>
      <c r="G119" s="257">
        <f>G115*G118</f>
        <v>28</v>
      </c>
      <c r="H119" s="257">
        <f>H115*H118</f>
        <v>24</v>
      </c>
    </row>
    <row r="120" spans="6:8" x14ac:dyDescent="0.25">
      <c r="F120" s="257" t="s">
        <v>1198</v>
      </c>
      <c r="G120" s="260">
        <f>G117/G118</f>
        <v>3.2500000000000001E-2</v>
      </c>
      <c r="H120" s="260">
        <f>H117/H118</f>
        <v>3.2500000000000001E-2</v>
      </c>
    </row>
    <row r="121" spans="6:8" x14ac:dyDescent="0.25">
      <c r="F121" s="257" t="s">
        <v>1199</v>
      </c>
      <c r="G121" s="257">
        <f>(((1-(1+G120)^(-G119))/(G120))*(G116))+(G114)</f>
        <v>4714022.0666935984</v>
      </c>
      <c r="H121" s="257">
        <f>(((1-(1+H120)^(-H119))/(H120))*(H116))+(H114)</f>
        <v>4834832.3407041263</v>
      </c>
    </row>
    <row r="122" spans="6:8" x14ac:dyDescent="0.25">
      <c r="F122" s="256" t="s">
        <v>1258</v>
      </c>
      <c r="G122" s="255">
        <f>G121/G111</f>
        <v>30413.045591571601</v>
      </c>
      <c r="H122" s="255">
        <f>H121/H111</f>
        <v>31192.466714220169</v>
      </c>
    </row>
    <row r="123" spans="6:8" ht="18.75" x14ac:dyDescent="0.25">
      <c r="F123" s="256" t="s">
        <v>1200</v>
      </c>
      <c r="G123" s="291">
        <f>1-(G122/G112)</f>
        <v>0.31489419562032128</v>
      </c>
      <c r="H123" s="261">
        <f>1-(H122/H112)</f>
        <v>0.29733640340333123</v>
      </c>
    </row>
    <row r="125" spans="6:8" x14ac:dyDescent="0.25">
      <c r="G125" s="292">
        <f>1-G123</f>
        <v>0.68510580437967872</v>
      </c>
    </row>
    <row r="126" spans="6:8" x14ac:dyDescent="0.25">
      <c r="G126" s="255">
        <f>G113*G125</f>
        <v>4714022.0666935984</v>
      </c>
    </row>
  </sheetData>
  <mergeCells count="7">
    <mergeCell ref="F5:H5"/>
    <mergeCell ref="F91:H91"/>
    <mergeCell ref="F108:H108"/>
    <mergeCell ref="F22:H22"/>
    <mergeCell ref="F39:H39"/>
    <mergeCell ref="F57:H57"/>
    <mergeCell ref="F74:H74"/>
  </mergeCells>
  <pageMargins left="0.7" right="0.7" top="0.75" bottom="0.75" header="0.3" footer="0.3"/>
  <pageSetup scale="150" orientation="landscape"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27C9D-C528-400D-AD81-A8A872E4E2A0}">
  <sheetPr>
    <pageSetUpPr fitToPage="1"/>
  </sheetPr>
  <dimension ref="B2:P152"/>
  <sheetViews>
    <sheetView view="pageBreakPreview" topLeftCell="B28" zoomScaleNormal="80" zoomScaleSheetLayoutView="100" workbookViewId="0">
      <selection activeCell="C74" sqref="C74"/>
    </sheetView>
  </sheetViews>
  <sheetFormatPr defaultRowHeight="15" x14ac:dyDescent="0.25"/>
  <cols>
    <col min="1" max="1" width="9.140625" style="79"/>
    <col min="2" max="2" width="92" style="79" customWidth="1"/>
    <col min="3" max="3" width="15.28515625" style="79" bestFit="1" customWidth="1"/>
    <col min="4" max="4" width="15" style="192" bestFit="1" customWidth="1"/>
    <col min="5" max="5" width="52.28515625" style="255" bestFit="1" customWidth="1"/>
    <col min="6" max="6" width="9.140625" style="79"/>
    <col min="7" max="7" width="46.5703125" style="79" bestFit="1" customWidth="1"/>
    <col min="8" max="8" width="15.42578125" style="79" bestFit="1" customWidth="1"/>
    <col min="9" max="9" width="13.5703125" style="79" bestFit="1" customWidth="1"/>
    <col min="10" max="10" width="13.28515625" style="79" bestFit="1" customWidth="1"/>
    <col min="11" max="14" width="9.140625" style="79"/>
    <col min="15" max="15" width="11" style="79" bestFit="1" customWidth="1"/>
    <col min="16" max="16384" width="9.140625" style="79"/>
  </cols>
  <sheetData>
    <row r="2" spans="2:10" x14ac:dyDescent="0.25">
      <c r="B2" s="269" t="s">
        <v>1251</v>
      </c>
      <c r="G2" s="269" t="s">
        <v>1252</v>
      </c>
    </row>
    <row r="4" spans="2:10" x14ac:dyDescent="0.25">
      <c r="B4" s="187" t="s">
        <v>1247</v>
      </c>
      <c r="C4" s="187" t="s">
        <v>1244</v>
      </c>
      <c r="D4" s="263" t="s">
        <v>1245</v>
      </c>
      <c r="E4" s="264" t="s">
        <v>1246</v>
      </c>
      <c r="G4" s="187" t="s">
        <v>1247</v>
      </c>
      <c r="H4" s="187" t="s">
        <v>1244</v>
      </c>
      <c r="I4" s="263" t="s">
        <v>1245</v>
      </c>
      <c r="J4" s="264" t="s">
        <v>1246</v>
      </c>
    </row>
    <row r="5" spans="2:10" x14ac:dyDescent="0.25">
      <c r="B5" s="187" t="s">
        <v>1213</v>
      </c>
      <c r="C5" s="181"/>
      <c r="D5" s="265"/>
      <c r="E5" s="266"/>
      <c r="G5" s="187" t="s">
        <v>1213</v>
      </c>
      <c r="H5" s="181"/>
      <c r="I5" s="265"/>
      <c r="J5" s="266"/>
    </row>
    <row r="6" spans="2:10" x14ac:dyDescent="0.25">
      <c r="B6" s="181" t="s">
        <v>1210</v>
      </c>
      <c r="C6" s="181">
        <v>650</v>
      </c>
      <c r="D6" s="265">
        <v>200</v>
      </c>
      <c r="E6" s="266">
        <f>D6*C6</f>
        <v>130000</v>
      </c>
      <c r="G6" s="181" t="s">
        <v>1210</v>
      </c>
      <c r="H6" s="181">
        <v>650</v>
      </c>
      <c r="I6" s="267">
        <v>100</v>
      </c>
      <c r="J6" s="266">
        <f>I6*H6</f>
        <v>65000</v>
      </c>
    </row>
    <row r="7" spans="2:10" x14ac:dyDescent="0.25">
      <c r="B7" s="181" t="s">
        <v>1211</v>
      </c>
      <c r="C7" s="181">
        <v>90</v>
      </c>
      <c r="D7" s="265">
        <v>60</v>
      </c>
      <c r="E7" s="266">
        <f t="shared" ref="E7:E52" si="0">D7*C7</f>
        <v>5400</v>
      </c>
      <c r="G7" s="181" t="s">
        <v>1211</v>
      </c>
      <c r="H7" s="268">
        <v>0</v>
      </c>
      <c r="I7" s="265">
        <v>60</v>
      </c>
      <c r="J7" s="266">
        <f>I7*H7</f>
        <v>0</v>
      </c>
    </row>
    <row r="8" spans="2:10" x14ac:dyDescent="0.25">
      <c r="B8" s="181" t="s">
        <v>1212</v>
      </c>
      <c r="C8" s="181">
        <v>135</v>
      </c>
      <c r="D8" s="265">
        <v>650</v>
      </c>
      <c r="E8" s="266">
        <f t="shared" si="0"/>
        <v>87750</v>
      </c>
      <c r="G8" s="181" t="s">
        <v>1212</v>
      </c>
      <c r="H8" s="181">
        <v>135</v>
      </c>
      <c r="I8" s="265">
        <v>650</v>
      </c>
      <c r="J8" s="266">
        <f>I8*H8</f>
        <v>87750</v>
      </c>
    </row>
    <row r="9" spans="2:10" x14ac:dyDescent="0.25">
      <c r="B9" s="187" t="s">
        <v>1247</v>
      </c>
      <c r="C9" s="187" t="s">
        <v>1244</v>
      </c>
      <c r="D9" s="263" t="s">
        <v>1245</v>
      </c>
      <c r="E9" s="264" t="s">
        <v>1246</v>
      </c>
      <c r="G9" s="187" t="s">
        <v>1247</v>
      </c>
      <c r="H9" s="187" t="s">
        <v>1244</v>
      </c>
      <c r="I9" s="263" t="s">
        <v>1245</v>
      </c>
      <c r="J9" s="264" t="s">
        <v>1246</v>
      </c>
    </row>
    <row r="10" spans="2:10" x14ac:dyDescent="0.25">
      <c r="B10" s="187" t="s">
        <v>1214</v>
      </c>
      <c r="C10" s="181"/>
      <c r="D10" s="265"/>
      <c r="E10" s="266">
        <f t="shared" si="0"/>
        <v>0</v>
      </c>
      <c r="G10" s="187" t="s">
        <v>1214</v>
      </c>
      <c r="H10" s="181"/>
      <c r="I10" s="265"/>
      <c r="J10" s="266">
        <f>I10*H10</f>
        <v>0</v>
      </c>
    </row>
    <row r="11" spans="2:10" x14ac:dyDescent="0.25">
      <c r="B11" s="181" t="s">
        <v>1215</v>
      </c>
      <c r="C11" s="181">
        <v>65</v>
      </c>
      <c r="D11" s="265">
        <v>336</v>
      </c>
      <c r="E11" s="266">
        <f t="shared" si="0"/>
        <v>21840</v>
      </c>
      <c r="G11" s="181" t="s">
        <v>1215</v>
      </c>
      <c r="H11" s="268">
        <v>0</v>
      </c>
      <c r="I11" s="265">
        <v>336</v>
      </c>
      <c r="J11" s="266">
        <f>I11*H11</f>
        <v>0</v>
      </c>
    </row>
    <row r="12" spans="2:10" x14ac:dyDescent="0.25">
      <c r="B12" s="181" t="s">
        <v>1216</v>
      </c>
      <c r="C12" s="181">
        <v>45</v>
      </c>
      <c r="D12" s="265">
        <v>230</v>
      </c>
      <c r="E12" s="266">
        <f t="shared" si="0"/>
        <v>10350</v>
      </c>
      <c r="G12" s="181" t="s">
        <v>1216</v>
      </c>
      <c r="H12" s="268">
        <v>0</v>
      </c>
      <c r="I12" s="265">
        <v>230</v>
      </c>
      <c r="J12" s="266">
        <f>I12*H12</f>
        <v>0</v>
      </c>
    </row>
    <row r="13" spans="2:10" x14ac:dyDescent="0.25">
      <c r="B13" s="181" t="s">
        <v>1211</v>
      </c>
      <c r="C13" s="181">
        <v>40</v>
      </c>
      <c r="D13" s="265">
        <v>120</v>
      </c>
      <c r="E13" s="266">
        <f t="shared" si="0"/>
        <v>4800</v>
      </c>
      <c r="G13" s="181" t="s">
        <v>1211</v>
      </c>
      <c r="H13" s="268">
        <v>0</v>
      </c>
      <c r="I13" s="265">
        <v>120</v>
      </c>
      <c r="J13" s="266">
        <f>I13*H13</f>
        <v>0</v>
      </c>
    </row>
    <row r="14" spans="2:10" x14ac:dyDescent="0.25">
      <c r="B14" s="187" t="s">
        <v>1247</v>
      </c>
      <c r="C14" s="187" t="s">
        <v>1244</v>
      </c>
      <c r="D14" s="263" t="s">
        <v>1245</v>
      </c>
      <c r="E14" s="264" t="s">
        <v>1246</v>
      </c>
      <c r="G14" s="187" t="s">
        <v>1247</v>
      </c>
      <c r="H14" s="187" t="s">
        <v>1244</v>
      </c>
      <c r="I14" s="263" t="s">
        <v>1245</v>
      </c>
      <c r="J14" s="264" t="s">
        <v>1246</v>
      </c>
    </row>
    <row r="15" spans="2:10" x14ac:dyDescent="0.25">
      <c r="B15" s="187" t="s">
        <v>1217</v>
      </c>
      <c r="C15" s="181"/>
      <c r="D15" s="265"/>
      <c r="E15" s="266">
        <f t="shared" si="0"/>
        <v>0</v>
      </c>
      <c r="G15" s="187" t="s">
        <v>1217</v>
      </c>
      <c r="H15" s="181"/>
      <c r="I15" s="265"/>
      <c r="J15" s="266">
        <f t="shared" ref="J15:J21" si="1">I15*H15</f>
        <v>0</v>
      </c>
    </row>
    <row r="16" spans="2:10" x14ac:dyDescent="0.25">
      <c r="B16" s="181" t="s">
        <v>1218</v>
      </c>
      <c r="C16" s="181">
        <v>40</v>
      </c>
      <c r="D16" s="265">
        <v>650</v>
      </c>
      <c r="E16" s="266">
        <f t="shared" si="0"/>
        <v>26000</v>
      </c>
      <c r="G16" s="181" t="s">
        <v>1218</v>
      </c>
      <c r="H16" s="181">
        <v>40</v>
      </c>
      <c r="I16" s="265">
        <v>650</v>
      </c>
      <c r="J16" s="266">
        <f t="shared" si="1"/>
        <v>26000</v>
      </c>
    </row>
    <row r="17" spans="2:10" x14ac:dyDescent="0.25">
      <c r="B17" s="181" t="s">
        <v>1219</v>
      </c>
      <c r="C17" s="181">
        <v>85</v>
      </c>
      <c r="D17" s="265">
        <v>800</v>
      </c>
      <c r="E17" s="266">
        <f t="shared" si="0"/>
        <v>68000</v>
      </c>
      <c r="G17" s="181" t="s">
        <v>1219</v>
      </c>
      <c r="H17" s="181">
        <v>85</v>
      </c>
      <c r="I17" s="265">
        <v>800</v>
      </c>
      <c r="J17" s="266">
        <f t="shared" si="1"/>
        <v>68000</v>
      </c>
    </row>
    <row r="18" spans="2:10" x14ac:dyDescent="0.25">
      <c r="B18" s="181" t="s">
        <v>1220</v>
      </c>
      <c r="C18" s="181">
        <v>74</v>
      </c>
      <c r="D18" s="265">
        <v>200</v>
      </c>
      <c r="E18" s="266">
        <f t="shared" si="0"/>
        <v>14800</v>
      </c>
      <c r="G18" s="181" t="s">
        <v>1220</v>
      </c>
      <c r="H18" s="181">
        <v>74</v>
      </c>
      <c r="I18" s="265">
        <v>200</v>
      </c>
      <c r="J18" s="266">
        <f t="shared" si="1"/>
        <v>14800</v>
      </c>
    </row>
    <row r="19" spans="2:10" x14ac:dyDescent="0.25">
      <c r="B19" s="181" t="s">
        <v>1221</v>
      </c>
      <c r="C19" s="181">
        <v>74</v>
      </c>
      <c r="D19" s="265">
        <v>700</v>
      </c>
      <c r="E19" s="266">
        <f t="shared" si="0"/>
        <v>51800</v>
      </c>
      <c r="G19" s="181" t="s">
        <v>1221</v>
      </c>
      <c r="H19" s="268">
        <v>0</v>
      </c>
      <c r="I19" s="265">
        <v>700</v>
      </c>
      <c r="J19" s="266">
        <f t="shared" si="1"/>
        <v>0</v>
      </c>
    </row>
    <row r="20" spans="2:10" x14ac:dyDescent="0.25">
      <c r="B20" s="181" t="s">
        <v>1253</v>
      </c>
      <c r="C20" s="181">
        <v>7</v>
      </c>
      <c r="D20" s="265">
        <v>5000</v>
      </c>
      <c r="E20" s="266">
        <f t="shared" si="0"/>
        <v>35000</v>
      </c>
      <c r="G20" s="181" t="s">
        <v>1253</v>
      </c>
      <c r="H20" s="181">
        <v>7</v>
      </c>
      <c r="I20" s="265">
        <v>5000</v>
      </c>
      <c r="J20" s="266">
        <f t="shared" si="1"/>
        <v>35000</v>
      </c>
    </row>
    <row r="21" spans="2:10" x14ac:dyDescent="0.25">
      <c r="B21" s="181" t="s">
        <v>1222</v>
      </c>
      <c r="C21" s="181">
        <v>16</v>
      </c>
      <c r="D21" s="265">
        <v>500</v>
      </c>
      <c r="E21" s="266">
        <f t="shared" si="0"/>
        <v>8000</v>
      </c>
      <c r="G21" s="181" t="s">
        <v>1222</v>
      </c>
      <c r="H21" s="181">
        <v>16</v>
      </c>
      <c r="I21" s="265">
        <v>500</v>
      </c>
      <c r="J21" s="266">
        <f t="shared" si="1"/>
        <v>8000</v>
      </c>
    </row>
    <row r="22" spans="2:10" x14ac:dyDescent="0.25">
      <c r="B22" s="187" t="s">
        <v>1247</v>
      </c>
      <c r="C22" s="187" t="s">
        <v>1244</v>
      </c>
      <c r="D22" s="263" t="s">
        <v>1245</v>
      </c>
      <c r="E22" s="264" t="s">
        <v>1246</v>
      </c>
      <c r="G22" s="187" t="s">
        <v>1247</v>
      </c>
      <c r="H22" s="187" t="s">
        <v>1244</v>
      </c>
      <c r="I22" s="263" t="s">
        <v>1245</v>
      </c>
      <c r="J22" s="264" t="s">
        <v>1246</v>
      </c>
    </row>
    <row r="23" spans="2:10" x14ac:dyDescent="0.25">
      <c r="B23" s="187" t="s">
        <v>1223</v>
      </c>
      <c r="C23" s="181"/>
      <c r="D23" s="265"/>
      <c r="E23" s="266">
        <f t="shared" si="0"/>
        <v>0</v>
      </c>
      <c r="G23" s="187" t="s">
        <v>1223</v>
      </c>
      <c r="H23" s="181"/>
      <c r="I23" s="265"/>
      <c r="J23" s="266">
        <f>I23*H23</f>
        <v>0</v>
      </c>
    </row>
    <row r="24" spans="2:10" x14ac:dyDescent="0.25">
      <c r="B24" s="181" t="s">
        <v>1224</v>
      </c>
      <c r="C24" s="181">
        <v>3</v>
      </c>
      <c r="D24" s="265">
        <v>5000</v>
      </c>
      <c r="E24" s="266">
        <f t="shared" si="0"/>
        <v>15000</v>
      </c>
      <c r="G24" s="181" t="s">
        <v>1224</v>
      </c>
      <c r="H24" s="268">
        <v>0</v>
      </c>
      <c r="I24" s="265">
        <v>5000</v>
      </c>
      <c r="J24" s="266">
        <f>I24*H24</f>
        <v>0</v>
      </c>
    </row>
    <row r="25" spans="2:10" x14ac:dyDescent="0.25">
      <c r="B25" s="181" t="s">
        <v>1225</v>
      </c>
      <c r="C25" s="181">
        <v>3</v>
      </c>
      <c r="D25" s="265">
        <v>6500</v>
      </c>
      <c r="E25" s="266">
        <f t="shared" si="0"/>
        <v>19500</v>
      </c>
      <c r="G25" s="181" t="s">
        <v>1225</v>
      </c>
      <c r="H25" s="268">
        <v>0</v>
      </c>
      <c r="I25" s="265">
        <v>6500</v>
      </c>
      <c r="J25" s="266">
        <f>I25*H25</f>
        <v>0</v>
      </c>
    </row>
    <row r="26" spans="2:10" x14ac:dyDescent="0.25">
      <c r="B26" s="187" t="s">
        <v>1247</v>
      </c>
      <c r="C26" s="187" t="s">
        <v>1244</v>
      </c>
      <c r="D26" s="263" t="s">
        <v>1245</v>
      </c>
      <c r="E26" s="264" t="s">
        <v>1246</v>
      </c>
      <c r="G26" s="187" t="s">
        <v>1247</v>
      </c>
      <c r="H26" s="187" t="s">
        <v>1244</v>
      </c>
      <c r="I26" s="263" t="s">
        <v>1245</v>
      </c>
      <c r="J26" s="264" t="s">
        <v>1246</v>
      </c>
    </row>
    <row r="27" spans="2:10" x14ac:dyDescent="0.25">
      <c r="B27" s="187" t="s">
        <v>1228</v>
      </c>
      <c r="C27" s="181"/>
      <c r="D27" s="265"/>
      <c r="E27" s="266">
        <f t="shared" si="0"/>
        <v>0</v>
      </c>
      <c r="G27" s="187" t="s">
        <v>1228</v>
      </c>
      <c r="H27" s="181"/>
      <c r="I27" s="265"/>
      <c r="J27" s="266">
        <f>I27*H27</f>
        <v>0</v>
      </c>
    </row>
    <row r="28" spans="2:10" x14ac:dyDescent="0.25">
      <c r="B28" s="181" t="s">
        <v>1226</v>
      </c>
      <c r="C28" s="181">
        <v>10</v>
      </c>
      <c r="D28" s="265">
        <v>15000</v>
      </c>
      <c r="E28" s="266">
        <f t="shared" si="0"/>
        <v>150000</v>
      </c>
      <c r="G28" s="181" t="s">
        <v>1226</v>
      </c>
      <c r="H28" s="181">
        <v>10</v>
      </c>
      <c r="I28" s="267">
        <v>4000</v>
      </c>
      <c r="J28" s="266">
        <f>I28*H28</f>
        <v>40000</v>
      </c>
    </row>
    <row r="29" spans="2:10" x14ac:dyDescent="0.25">
      <c r="B29" s="181" t="s">
        <v>1227</v>
      </c>
      <c r="C29" s="181">
        <v>1</v>
      </c>
      <c r="D29" s="265">
        <v>30000</v>
      </c>
      <c r="E29" s="266">
        <f t="shared" si="0"/>
        <v>30000</v>
      </c>
      <c r="G29" s="181" t="s">
        <v>1227</v>
      </c>
      <c r="H29" s="181">
        <v>1</v>
      </c>
      <c r="I29" s="265">
        <v>30000</v>
      </c>
      <c r="J29" s="266">
        <f>I29*H29</f>
        <v>30000</v>
      </c>
    </row>
    <row r="30" spans="2:10" x14ac:dyDescent="0.25">
      <c r="B30" s="187" t="s">
        <v>1247</v>
      </c>
      <c r="C30" s="187" t="s">
        <v>1244</v>
      </c>
      <c r="D30" s="263" t="s">
        <v>1245</v>
      </c>
      <c r="E30" s="264" t="s">
        <v>1246</v>
      </c>
      <c r="G30" s="187" t="s">
        <v>1247</v>
      </c>
      <c r="H30" s="187" t="s">
        <v>1244</v>
      </c>
      <c r="I30" s="263" t="s">
        <v>1245</v>
      </c>
      <c r="J30" s="264" t="s">
        <v>1246</v>
      </c>
    </row>
    <row r="31" spans="2:10" x14ac:dyDescent="0.25">
      <c r="B31" s="187" t="s">
        <v>1229</v>
      </c>
      <c r="C31" s="181"/>
      <c r="D31" s="265"/>
      <c r="E31" s="266">
        <f t="shared" si="0"/>
        <v>0</v>
      </c>
      <c r="G31" s="187" t="s">
        <v>1229</v>
      </c>
      <c r="H31" s="181"/>
      <c r="I31" s="265"/>
      <c r="J31" s="266">
        <f>I31*H31</f>
        <v>0</v>
      </c>
    </row>
    <row r="32" spans="2:10" x14ac:dyDescent="0.25">
      <c r="B32" s="181" t="s">
        <v>1230</v>
      </c>
      <c r="C32" s="181">
        <v>3</v>
      </c>
      <c r="D32" s="265">
        <v>2000</v>
      </c>
      <c r="E32" s="266">
        <f t="shared" si="0"/>
        <v>6000</v>
      </c>
      <c r="G32" s="181" t="s">
        <v>1230</v>
      </c>
      <c r="H32" s="268">
        <v>0</v>
      </c>
      <c r="I32" s="265">
        <v>2000</v>
      </c>
      <c r="J32" s="266">
        <f>I32*H32</f>
        <v>0</v>
      </c>
    </row>
    <row r="33" spans="2:10" x14ac:dyDescent="0.25">
      <c r="B33" s="181" t="s">
        <v>1231</v>
      </c>
      <c r="C33" s="181">
        <v>3</v>
      </c>
      <c r="D33" s="265">
        <v>3000</v>
      </c>
      <c r="E33" s="266">
        <f t="shared" si="0"/>
        <v>9000</v>
      </c>
      <c r="G33" s="181" t="s">
        <v>1231</v>
      </c>
      <c r="H33" s="181">
        <v>3</v>
      </c>
      <c r="I33" s="265">
        <v>3000</v>
      </c>
      <c r="J33" s="266">
        <f>I33*H33</f>
        <v>9000</v>
      </c>
    </row>
    <row r="34" spans="2:10" x14ac:dyDescent="0.25">
      <c r="B34" s="187" t="s">
        <v>1247</v>
      </c>
      <c r="C34" s="187" t="s">
        <v>1244</v>
      </c>
      <c r="D34" s="263" t="s">
        <v>1245</v>
      </c>
      <c r="E34" s="264" t="s">
        <v>1246</v>
      </c>
      <c r="G34" s="187" t="s">
        <v>1247</v>
      </c>
      <c r="H34" s="187" t="s">
        <v>1244</v>
      </c>
      <c r="I34" s="263" t="s">
        <v>1245</v>
      </c>
      <c r="J34" s="264" t="s">
        <v>1246</v>
      </c>
    </row>
    <row r="35" spans="2:10" x14ac:dyDescent="0.25">
      <c r="B35" s="187" t="s">
        <v>1232</v>
      </c>
      <c r="C35" s="181"/>
      <c r="D35" s="265"/>
      <c r="E35" s="266">
        <f t="shared" si="0"/>
        <v>0</v>
      </c>
      <c r="G35" s="187" t="s">
        <v>1232</v>
      </c>
      <c r="H35" s="181"/>
      <c r="I35" s="265"/>
      <c r="J35" s="266">
        <f>I35*H35</f>
        <v>0</v>
      </c>
    </row>
    <row r="36" spans="2:10" x14ac:dyDescent="0.25">
      <c r="B36" s="181" t="s">
        <v>1232</v>
      </c>
      <c r="C36" s="181">
        <v>1</v>
      </c>
      <c r="D36" s="265">
        <v>250000</v>
      </c>
      <c r="E36" s="266">
        <f t="shared" si="0"/>
        <v>250000</v>
      </c>
      <c r="G36" s="181" t="s">
        <v>1232</v>
      </c>
      <c r="H36" s="181">
        <v>1</v>
      </c>
      <c r="I36" s="267">
        <v>200000</v>
      </c>
      <c r="J36" s="266">
        <f>I36*H36</f>
        <v>200000</v>
      </c>
    </row>
    <row r="37" spans="2:10" x14ac:dyDescent="0.25">
      <c r="B37" s="187" t="s">
        <v>1247</v>
      </c>
      <c r="C37" s="187" t="s">
        <v>1244</v>
      </c>
      <c r="D37" s="263" t="s">
        <v>1245</v>
      </c>
      <c r="E37" s="264" t="s">
        <v>1246</v>
      </c>
      <c r="G37" s="187" t="s">
        <v>1247</v>
      </c>
      <c r="H37" s="187" t="s">
        <v>1244</v>
      </c>
      <c r="I37" s="263" t="s">
        <v>1245</v>
      </c>
      <c r="J37" s="264" t="s">
        <v>1246</v>
      </c>
    </row>
    <row r="38" spans="2:10" x14ac:dyDescent="0.25">
      <c r="B38" s="187" t="s">
        <v>1243</v>
      </c>
      <c r="C38" s="181"/>
      <c r="D38" s="265"/>
      <c r="E38" s="266">
        <f t="shared" si="0"/>
        <v>0</v>
      </c>
      <c r="G38" s="187" t="s">
        <v>1243</v>
      </c>
      <c r="H38" s="181"/>
      <c r="I38" s="265"/>
      <c r="J38" s="266">
        <f>I38*H38</f>
        <v>0</v>
      </c>
    </row>
    <row r="39" spans="2:10" x14ac:dyDescent="0.25">
      <c r="B39" s="181">
        <v>1.5</v>
      </c>
      <c r="C39" s="181">
        <v>3</v>
      </c>
      <c r="D39" s="265">
        <f>(15*(500+150+250))+1750</f>
        <v>15250</v>
      </c>
      <c r="E39" s="266">
        <f t="shared" si="0"/>
        <v>45750</v>
      </c>
      <c r="G39" s="181">
        <v>1.5</v>
      </c>
      <c r="H39" s="181">
        <v>3</v>
      </c>
      <c r="I39" s="265">
        <f>(15*(500+150+250))+1750</f>
        <v>15250</v>
      </c>
      <c r="J39" s="266">
        <f>I39*H39</f>
        <v>45750</v>
      </c>
    </row>
    <row r="40" spans="2:10" x14ac:dyDescent="0.25">
      <c r="B40" s="181">
        <v>3</v>
      </c>
      <c r="C40" s="181">
        <v>2</v>
      </c>
      <c r="D40" s="265">
        <f>(15*(600+150+250))+2000</f>
        <v>17000</v>
      </c>
      <c r="E40" s="266">
        <f t="shared" si="0"/>
        <v>34000</v>
      </c>
      <c r="G40" s="181">
        <v>3</v>
      </c>
      <c r="H40" s="181">
        <v>2</v>
      </c>
      <c r="I40" s="265">
        <f>(15*(600+150+250))+2000</f>
        <v>17000</v>
      </c>
      <c r="J40" s="266">
        <f>I40*H40</f>
        <v>34000</v>
      </c>
    </row>
    <row r="41" spans="2:10" x14ac:dyDescent="0.25">
      <c r="B41" s="187" t="s">
        <v>1247</v>
      </c>
      <c r="C41" s="187" t="s">
        <v>1244</v>
      </c>
      <c r="D41" s="263" t="s">
        <v>1245</v>
      </c>
      <c r="E41" s="264" t="s">
        <v>1246</v>
      </c>
      <c r="G41" s="187" t="s">
        <v>1247</v>
      </c>
      <c r="H41" s="187" t="s">
        <v>1244</v>
      </c>
      <c r="I41" s="263" t="s">
        <v>1245</v>
      </c>
      <c r="J41" s="264" t="s">
        <v>1246</v>
      </c>
    </row>
    <row r="42" spans="2:10" x14ac:dyDescent="0.25">
      <c r="B42" s="187" t="s">
        <v>1233</v>
      </c>
      <c r="C42" s="181"/>
      <c r="D42" s="265"/>
      <c r="E42" s="266">
        <f t="shared" si="0"/>
        <v>0</v>
      </c>
      <c r="G42" s="187" t="s">
        <v>1233</v>
      </c>
      <c r="H42" s="181"/>
      <c r="I42" s="265"/>
      <c r="J42" s="266">
        <f>I42*H42</f>
        <v>0</v>
      </c>
    </row>
    <row r="43" spans="2:10" x14ac:dyDescent="0.25">
      <c r="B43" s="181" t="s">
        <v>1233</v>
      </c>
      <c r="C43" s="181">
        <v>1</v>
      </c>
      <c r="D43" s="265">
        <v>40000</v>
      </c>
      <c r="E43" s="266">
        <f t="shared" si="0"/>
        <v>40000</v>
      </c>
      <c r="G43" s="181" t="s">
        <v>1233</v>
      </c>
      <c r="H43" s="181">
        <v>1</v>
      </c>
      <c r="I43" s="265">
        <v>40000</v>
      </c>
      <c r="J43" s="266">
        <f>I43*H43</f>
        <v>40000</v>
      </c>
    </row>
    <row r="44" spans="2:10" x14ac:dyDescent="0.25">
      <c r="B44" s="187" t="s">
        <v>1247</v>
      </c>
      <c r="C44" s="187" t="s">
        <v>1244</v>
      </c>
      <c r="D44" s="263" t="s">
        <v>1245</v>
      </c>
      <c r="E44" s="264" t="s">
        <v>1246</v>
      </c>
      <c r="G44" s="187" t="s">
        <v>1247</v>
      </c>
      <c r="H44" s="187" t="s">
        <v>1244</v>
      </c>
      <c r="I44" s="263" t="s">
        <v>1245</v>
      </c>
      <c r="J44" s="264" t="s">
        <v>1246</v>
      </c>
    </row>
    <row r="45" spans="2:10" x14ac:dyDescent="0.25">
      <c r="B45" s="187" t="s">
        <v>1234</v>
      </c>
      <c r="C45" s="181"/>
      <c r="D45" s="265"/>
      <c r="E45" s="266">
        <f t="shared" si="0"/>
        <v>0</v>
      </c>
      <c r="G45" s="187" t="s">
        <v>1234</v>
      </c>
      <c r="H45" s="181"/>
      <c r="I45" s="265"/>
      <c r="J45" s="266">
        <f t="shared" ref="J45:J52" si="2">I45*H45</f>
        <v>0</v>
      </c>
    </row>
    <row r="46" spans="2:10" x14ac:dyDescent="0.25">
      <c r="B46" s="181" t="s">
        <v>1235</v>
      </c>
      <c r="C46" s="181">
        <v>3</v>
      </c>
      <c r="D46" s="265">
        <v>10000</v>
      </c>
      <c r="E46" s="266">
        <f t="shared" si="0"/>
        <v>30000</v>
      </c>
      <c r="G46" s="181" t="s">
        <v>1235</v>
      </c>
      <c r="H46" s="268">
        <v>0</v>
      </c>
      <c r="I46" s="265">
        <v>10000</v>
      </c>
      <c r="J46" s="266">
        <f t="shared" si="2"/>
        <v>0</v>
      </c>
    </row>
    <row r="47" spans="2:10" x14ac:dyDescent="0.25">
      <c r="B47" s="181" t="s">
        <v>1236</v>
      </c>
      <c r="C47" s="181">
        <v>4</v>
      </c>
      <c r="D47" s="265">
        <v>12000</v>
      </c>
      <c r="E47" s="266">
        <f t="shared" si="0"/>
        <v>48000</v>
      </c>
      <c r="G47" s="181" t="s">
        <v>1236</v>
      </c>
      <c r="H47" s="268">
        <v>0</v>
      </c>
      <c r="I47" s="265">
        <v>12000</v>
      </c>
      <c r="J47" s="266">
        <f t="shared" si="2"/>
        <v>0</v>
      </c>
    </row>
    <row r="48" spans="2:10" x14ac:dyDescent="0.25">
      <c r="B48" s="181" t="s">
        <v>1237</v>
      </c>
      <c r="C48" s="181">
        <v>3</v>
      </c>
      <c r="D48" s="265">
        <v>20000</v>
      </c>
      <c r="E48" s="266">
        <f t="shared" si="0"/>
        <v>60000</v>
      </c>
      <c r="G48" s="181" t="s">
        <v>1237</v>
      </c>
      <c r="H48" s="181">
        <v>3</v>
      </c>
      <c r="I48" s="267">
        <v>10000</v>
      </c>
      <c r="J48" s="266">
        <f t="shared" si="2"/>
        <v>30000</v>
      </c>
    </row>
    <row r="49" spans="2:15" x14ac:dyDescent="0.25">
      <c r="B49" s="181" t="s">
        <v>1238</v>
      </c>
      <c r="C49" s="181">
        <v>2</v>
      </c>
      <c r="D49" s="265">
        <v>12000</v>
      </c>
      <c r="E49" s="266">
        <f t="shared" si="0"/>
        <v>24000</v>
      </c>
      <c r="G49" s="181" t="s">
        <v>1238</v>
      </c>
      <c r="H49" s="181">
        <v>2</v>
      </c>
      <c r="I49" s="265">
        <v>12000</v>
      </c>
      <c r="J49" s="266">
        <f t="shared" si="2"/>
        <v>24000</v>
      </c>
    </row>
    <row r="50" spans="2:15" x14ac:dyDescent="0.25">
      <c r="B50" s="181" t="s">
        <v>1239</v>
      </c>
      <c r="C50" s="181">
        <v>1</v>
      </c>
      <c r="D50" s="265">
        <v>12000</v>
      </c>
      <c r="E50" s="266">
        <f t="shared" si="0"/>
        <v>12000</v>
      </c>
      <c r="G50" s="181" t="s">
        <v>1239</v>
      </c>
      <c r="H50" s="268">
        <v>0</v>
      </c>
      <c r="I50" s="265">
        <v>12000</v>
      </c>
      <c r="J50" s="266">
        <f t="shared" si="2"/>
        <v>0</v>
      </c>
    </row>
    <row r="51" spans="2:15" x14ac:dyDescent="0.25">
      <c r="B51" s="181" t="s">
        <v>1240</v>
      </c>
      <c r="C51" s="181">
        <v>1</v>
      </c>
      <c r="D51" s="265">
        <v>12000</v>
      </c>
      <c r="E51" s="266">
        <f t="shared" si="0"/>
        <v>12000</v>
      </c>
      <c r="G51" s="181" t="s">
        <v>1240</v>
      </c>
      <c r="H51" s="268">
        <v>0</v>
      </c>
      <c r="I51" s="265">
        <v>12000</v>
      </c>
      <c r="J51" s="266">
        <f t="shared" si="2"/>
        <v>0</v>
      </c>
    </row>
    <row r="52" spans="2:15" x14ac:dyDescent="0.25">
      <c r="B52" s="181" t="s">
        <v>1241</v>
      </c>
      <c r="C52" s="181">
        <v>3</v>
      </c>
      <c r="D52" s="265">
        <v>3000</v>
      </c>
      <c r="E52" s="266">
        <f t="shared" si="0"/>
        <v>9000</v>
      </c>
      <c r="G52" s="181" t="s">
        <v>1241</v>
      </c>
      <c r="H52" s="268">
        <v>0</v>
      </c>
      <c r="I52" s="265">
        <v>3000</v>
      </c>
      <c r="J52" s="266">
        <f t="shared" si="2"/>
        <v>0</v>
      </c>
    </row>
    <row r="53" spans="2:15" x14ac:dyDescent="0.25">
      <c r="B53" s="454" t="s">
        <v>1246</v>
      </c>
      <c r="C53" s="454"/>
      <c r="D53" s="454"/>
      <c r="E53" s="266">
        <f>SUM(E6:E52)</f>
        <v>1257990</v>
      </c>
      <c r="G53" s="454" t="s">
        <v>1246</v>
      </c>
      <c r="H53" s="454"/>
      <c r="I53" s="454"/>
      <c r="J53" s="266">
        <f>SUM(J6:J52)</f>
        <v>757300</v>
      </c>
    </row>
    <row r="54" spans="2:15" x14ac:dyDescent="0.25">
      <c r="B54" s="454" t="s">
        <v>1248</v>
      </c>
      <c r="C54" s="454"/>
      <c r="D54" s="454"/>
      <c r="E54" s="266">
        <v>230</v>
      </c>
      <c r="G54" s="454" t="s">
        <v>1248</v>
      </c>
      <c r="H54" s="454"/>
      <c r="I54" s="454"/>
      <c r="J54" s="266">
        <v>230</v>
      </c>
    </row>
    <row r="55" spans="2:15" x14ac:dyDescent="0.25">
      <c r="B55" s="454" t="s">
        <v>1259</v>
      </c>
      <c r="C55" s="454"/>
      <c r="D55" s="454"/>
      <c r="E55" s="266">
        <f>E53/E54</f>
        <v>5469.521739130435</v>
      </c>
      <c r="G55" s="454" t="s">
        <v>1260</v>
      </c>
      <c r="H55" s="454"/>
      <c r="I55" s="454"/>
      <c r="J55" s="266">
        <f>J53/J54</f>
        <v>3292.608695652174</v>
      </c>
    </row>
    <row r="56" spans="2:15" x14ac:dyDescent="0.25">
      <c r="B56" s="454" t="s">
        <v>1249</v>
      </c>
      <c r="C56" s="454"/>
      <c r="D56" s="454"/>
      <c r="E56" s="266">
        <v>30.95</v>
      </c>
      <c r="G56" s="454" t="s">
        <v>1249</v>
      </c>
      <c r="H56" s="454"/>
      <c r="I56" s="454"/>
      <c r="J56" s="266">
        <v>30.95</v>
      </c>
    </row>
    <row r="57" spans="2:15" x14ac:dyDescent="0.25">
      <c r="B57" s="454" t="s">
        <v>1250</v>
      </c>
      <c r="C57" s="454"/>
      <c r="D57" s="454"/>
      <c r="E57" s="266">
        <f>E55/E56</f>
        <v>176.72121935801081</v>
      </c>
      <c r="G57" s="454" t="s">
        <v>1250</v>
      </c>
      <c r="H57" s="454"/>
      <c r="I57" s="454"/>
      <c r="J57" s="266">
        <f>J55/J56</f>
        <v>106.38477207276814</v>
      </c>
    </row>
    <row r="59" spans="2:15" x14ac:dyDescent="0.25">
      <c r="B59" s="452" t="s">
        <v>1254</v>
      </c>
      <c r="C59" s="452"/>
      <c r="D59" s="452"/>
      <c r="G59" s="452" t="s">
        <v>1255</v>
      </c>
      <c r="H59" s="452"/>
      <c r="I59" s="452"/>
    </row>
    <row r="60" spans="2:15" x14ac:dyDescent="0.25">
      <c r="B60" s="264" t="s">
        <v>1208</v>
      </c>
      <c r="C60" s="273">
        <v>0.1</v>
      </c>
      <c r="D60" s="273">
        <v>0.05</v>
      </c>
      <c r="G60" s="264" t="s">
        <v>1208</v>
      </c>
      <c r="H60" s="273">
        <v>0.1</v>
      </c>
      <c r="I60" s="273">
        <v>0.05</v>
      </c>
    </row>
    <row r="61" spans="2:15" x14ac:dyDescent="0.25">
      <c r="B61" s="264"/>
      <c r="C61" s="264" t="s">
        <v>1206</v>
      </c>
      <c r="D61" s="264" t="s">
        <v>1206</v>
      </c>
      <c r="G61" s="264"/>
      <c r="H61" s="264" t="s">
        <v>1206</v>
      </c>
      <c r="I61" s="264" t="s">
        <v>1206</v>
      </c>
    </row>
    <row r="62" spans="2:15" x14ac:dyDescent="0.25">
      <c r="B62" s="264" t="s">
        <v>1201</v>
      </c>
      <c r="C62" s="264">
        <v>155</v>
      </c>
      <c r="D62" s="264">
        <v>155</v>
      </c>
      <c r="G62" s="264" t="s">
        <v>1201</v>
      </c>
      <c r="H62" s="264">
        <v>155</v>
      </c>
      <c r="I62" s="264">
        <v>155</v>
      </c>
    </row>
    <row r="63" spans="2:15" x14ac:dyDescent="0.25">
      <c r="B63" s="264" t="s">
        <v>1202</v>
      </c>
      <c r="C63" s="264">
        <v>7500</v>
      </c>
      <c r="D63" s="264">
        <v>7500</v>
      </c>
      <c r="G63" s="264" t="s">
        <v>1202</v>
      </c>
      <c r="H63" s="264">
        <v>4500</v>
      </c>
      <c r="I63" s="264">
        <v>4500</v>
      </c>
      <c r="O63" s="79">
        <v>54545</v>
      </c>
    </row>
    <row r="64" spans="2:15" x14ac:dyDescent="0.25">
      <c r="B64" s="264" t="s">
        <v>1203</v>
      </c>
      <c r="C64" s="264">
        <f>C63*C62</f>
        <v>1162500</v>
      </c>
      <c r="D64" s="264">
        <f>D63*D62</f>
        <v>1162500</v>
      </c>
      <c r="G64" s="264" t="s">
        <v>1203</v>
      </c>
      <c r="H64" s="264">
        <f>H63*H62</f>
        <v>697500</v>
      </c>
      <c r="I64" s="264">
        <f>I63*I62</f>
        <v>697500</v>
      </c>
    </row>
    <row r="65" spans="2:16" x14ac:dyDescent="0.25">
      <c r="B65" s="264" t="s">
        <v>1209</v>
      </c>
      <c r="C65" s="264">
        <f>C64*C60</f>
        <v>116250</v>
      </c>
      <c r="D65" s="264">
        <f>D64*D60</f>
        <v>58125</v>
      </c>
      <c r="G65" s="264" t="s">
        <v>1209</v>
      </c>
      <c r="H65" s="264">
        <f>H64*H60</f>
        <v>69750</v>
      </c>
      <c r="I65" s="264">
        <f>I64*I60</f>
        <v>34875</v>
      </c>
    </row>
    <row r="66" spans="2:16" x14ac:dyDescent="0.25">
      <c r="B66" s="264" t="s">
        <v>1204</v>
      </c>
      <c r="C66" s="274">
        <v>7</v>
      </c>
      <c r="D66" s="274">
        <v>6</v>
      </c>
      <c r="G66" s="264" t="s">
        <v>1204</v>
      </c>
      <c r="H66" s="274">
        <v>7</v>
      </c>
      <c r="I66" s="274">
        <v>6</v>
      </c>
    </row>
    <row r="67" spans="2:16" x14ac:dyDescent="0.25">
      <c r="B67" s="264" t="s">
        <v>1205</v>
      </c>
      <c r="C67" s="264">
        <f>(C64-C65)/(C66*C69)</f>
        <v>37366.071428571428</v>
      </c>
      <c r="D67" s="264">
        <f>(D64-D65)/(D66*D69)</f>
        <v>46015.625</v>
      </c>
      <c r="G67" s="264" t="s">
        <v>1205</v>
      </c>
      <c r="H67" s="264">
        <f>(H64-H65)/(H66*H69)</f>
        <v>22419.642857142859</v>
      </c>
      <c r="I67" s="264">
        <f>(I64-I65)/(I66*I69)</f>
        <v>27609.375</v>
      </c>
    </row>
    <row r="68" spans="2:16" x14ac:dyDescent="0.25">
      <c r="B68" s="264" t="s">
        <v>1261</v>
      </c>
      <c r="C68" s="275">
        <v>0.13</v>
      </c>
      <c r="D68" s="275">
        <v>0.13</v>
      </c>
      <c r="G68" s="264" t="s">
        <v>1261</v>
      </c>
      <c r="H68" s="275">
        <v>0.13</v>
      </c>
      <c r="I68" s="275">
        <v>0.13</v>
      </c>
    </row>
    <row r="69" spans="2:16" x14ac:dyDescent="0.25">
      <c r="B69" s="264" t="s">
        <v>1195</v>
      </c>
      <c r="C69" s="264">
        <v>4</v>
      </c>
      <c r="D69" s="264">
        <v>4</v>
      </c>
      <c r="G69" s="264" t="s">
        <v>1195</v>
      </c>
      <c r="H69" s="264">
        <v>4</v>
      </c>
      <c r="I69" s="264">
        <v>4</v>
      </c>
    </row>
    <row r="70" spans="2:16" x14ac:dyDescent="0.25">
      <c r="B70" s="264" t="s">
        <v>1196</v>
      </c>
      <c r="C70" s="264">
        <f>C66*C69</f>
        <v>28</v>
      </c>
      <c r="D70" s="264">
        <f>D66*D69</f>
        <v>24</v>
      </c>
      <c r="G70" s="264" t="s">
        <v>1196</v>
      </c>
      <c r="H70" s="264">
        <f>H66*H69</f>
        <v>28</v>
      </c>
      <c r="I70" s="264">
        <f>I66*I69</f>
        <v>24</v>
      </c>
    </row>
    <row r="71" spans="2:16" x14ac:dyDescent="0.25">
      <c r="B71" s="264" t="s">
        <v>1198</v>
      </c>
      <c r="C71" s="276">
        <f>C68/C69</f>
        <v>3.2500000000000001E-2</v>
      </c>
      <c r="D71" s="276">
        <f>D68/D69</f>
        <v>3.2500000000000001E-2</v>
      </c>
      <c r="G71" s="264" t="s">
        <v>1198</v>
      </c>
      <c r="H71" s="276">
        <f>H68/H69</f>
        <v>3.2500000000000001E-2</v>
      </c>
      <c r="I71" s="276">
        <f>I68/I69</f>
        <v>3.2500000000000001E-2</v>
      </c>
    </row>
    <row r="72" spans="2:16" x14ac:dyDescent="0.25">
      <c r="B72" s="264" t="s">
        <v>1199</v>
      </c>
      <c r="C72" s="264">
        <f>(((1-(1+C71)^(-C70))/(C71))*(C67))+(C65)</f>
        <v>796435.49759137654</v>
      </c>
      <c r="D72" s="264">
        <f>(((1-(1+D71)^(-D70))/(D71))*(D67))+(D65)</f>
        <v>816846.43104362732</v>
      </c>
      <c r="G72" s="264" t="s">
        <v>1199</v>
      </c>
      <c r="H72" s="264">
        <f>(((1-(1+H71)^(-H70))/(H71))*(H67))+(H65)</f>
        <v>477861.298554826</v>
      </c>
      <c r="I72" s="264">
        <f>(((1-(1+I71)^(-I70))/(I71))*(I67))+(I65)</f>
        <v>490107.85862617643</v>
      </c>
    </row>
    <row r="73" spans="2:16" x14ac:dyDescent="0.25">
      <c r="B73" s="277" t="s">
        <v>1258</v>
      </c>
      <c r="C73" s="278">
        <f>(C72)/C62</f>
        <v>5138.2935328475905</v>
      </c>
      <c r="D73" s="278">
        <f>(D72+D65)/D62</f>
        <v>5644.9769744750147</v>
      </c>
      <c r="G73" s="277" t="s">
        <v>1258</v>
      </c>
      <c r="H73" s="278">
        <f>(H72+H65)/H62</f>
        <v>3532.9761197085554</v>
      </c>
      <c r="I73" s="278">
        <f>(I72+I65)/I62</f>
        <v>3386.986184685009</v>
      </c>
      <c r="P73" s="79" t="b">
        <v>0</v>
      </c>
    </row>
    <row r="75" spans="2:16" x14ac:dyDescent="0.25">
      <c r="G75" s="452" t="s">
        <v>1255</v>
      </c>
      <c r="H75" s="452"/>
      <c r="I75" s="452"/>
    </row>
    <row r="76" spans="2:16" x14ac:dyDescent="0.25">
      <c r="G76" s="264" t="s">
        <v>1208</v>
      </c>
      <c r="H76" s="273">
        <v>0.1</v>
      </c>
      <c r="I76" s="273">
        <v>0.05</v>
      </c>
    </row>
    <row r="77" spans="2:16" x14ac:dyDescent="0.25">
      <c r="B77" s="181" t="s">
        <v>1264</v>
      </c>
      <c r="C77" s="281">
        <v>144</v>
      </c>
      <c r="G77" s="264"/>
      <c r="H77" s="264" t="s">
        <v>1206</v>
      </c>
      <c r="I77" s="264" t="s">
        <v>1206</v>
      </c>
    </row>
    <row r="78" spans="2:16" x14ac:dyDescent="0.25">
      <c r="B78" s="181" t="s">
        <v>1267</v>
      </c>
      <c r="C78" s="274">
        <f>GETPIVOTDATA("Sum of Unit Selling Area",'R1'!$A$18)</f>
        <v>22116</v>
      </c>
      <c r="G78" s="264" t="s">
        <v>1201</v>
      </c>
      <c r="H78" s="264">
        <v>155</v>
      </c>
      <c r="I78" s="264">
        <v>155</v>
      </c>
    </row>
    <row r="79" spans="2:16" x14ac:dyDescent="0.25">
      <c r="B79" s="181" t="s">
        <v>1265</v>
      </c>
      <c r="C79" s="274">
        <f>GETPIVOTDATA("Sum of TOTAL UNIT VALUE (SEMI FINISHED)",'R1'!$A$18)*0.9</f>
        <v>959892283.39417863</v>
      </c>
      <c r="G79" s="264" t="s">
        <v>1202</v>
      </c>
      <c r="H79" s="264">
        <v>4500</v>
      </c>
      <c r="I79" s="264">
        <v>4500</v>
      </c>
    </row>
    <row r="80" spans="2:16" x14ac:dyDescent="0.25">
      <c r="B80" s="181" t="s">
        <v>1266</v>
      </c>
      <c r="C80" s="282">
        <f>GETPIVOTDATA("Sum of TOTAL UNIT VALUE (BASIC FINISHED)",'R1'!$A$18)*0.9</f>
        <v>1049462083.3941787</v>
      </c>
      <c r="G80" s="264" t="s">
        <v>1203</v>
      </c>
      <c r="H80" s="264">
        <f>H79*H78</f>
        <v>697500</v>
      </c>
      <c r="I80" s="264">
        <f>I79*I78</f>
        <v>697500</v>
      </c>
    </row>
    <row r="81" spans="2:9" x14ac:dyDescent="0.25">
      <c r="B81" s="181" t="s">
        <v>1268</v>
      </c>
      <c r="C81" s="282">
        <f>GETPIVOTDATA("Sum of TOTAL UNIT VALUE (FULLY FINISHED)",'R1'!$A$18)*0.9</f>
        <v>1109175283.3941791</v>
      </c>
      <c r="G81" s="264" t="s">
        <v>1209</v>
      </c>
      <c r="H81" s="264">
        <f>H80*H76</f>
        <v>69750</v>
      </c>
      <c r="I81" s="264">
        <f>I80*I76</f>
        <v>34875</v>
      </c>
    </row>
    <row r="82" spans="2:9" x14ac:dyDescent="0.25">
      <c r="B82" s="181" t="s">
        <v>1269</v>
      </c>
      <c r="C82" s="283">
        <v>2.5000000000000001E-2</v>
      </c>
      <c r="G82" s="264" t="s">
        <v>1204</v>
      </c>
      <c r="H82" s="274">
        <v>7</v>
      </c>
      <c r="I82" s="274">
        <v>6</v>
      </c>
    </row>
    <row r="83" spans="2:9" x14ac:dyDescent="0.25">
      <c r="B83" s="181" t="s">
        <v>1270</v>
      </c>
      <c r="C83" s="282">
        <f>((C80+C81)/2)*0.025</f>
        <v>26982967.084854472</v>
      </c>
      <c r="G83" s="264" t="s">
        <v>1205</v>
      </c>
      <c r="H83" s="264">
        <f>(H80-H81)/(H82*H85)</f>
        <v>22419.642857142859</v>
      </c>
      <c r="I83" s="264">
        <f>(I80-I81)/(I82*I85)</f>
        <v>27609.375</v>
      </c>
    </row>
    <row r="84" spans="2:9" x14ac:dyDescent="0.25">
      <c r="B84" s="181" t="s">
        <v>1271</v>
      </c>
      <c r="C84" s="274">
        <v>200000</v>
      </c>
      <c r="G84" s="264" t="s">
        <v>1261</v>
      </c>
      <c r="H84" s="275">
        <v>0.13</v>
      </c>
      <c r="I84" s="275">
        <v>0.13</v>
      </c>
    </row>
    <row r="85" spans="2:9" x14ac:dyDescent="0.25">
      <c r="B85" s="181" t="s">
        <v>1272</v>
      </c>
      <c r="C85" s="284">
        <f>C83/C84</f>
        <v>134.91483542427235</v>
      </c>
      <c r="G85" s="264" t="s">
        <v>1195</v>
      </c>
      <c r="H85" s="264">
        <v>4</v>
      </c>
      <c r="I85" s="264">
        <v>4</v>
      </c>
    </row>
    <row r="86" spans="2:9" x14ac:dyDescent="0.25">
      <c r="B86" s="181" t="s">
        <v>1276</v>
      </c>
      <c r="C86" s="274">
        <f>AVERAGE('R1'!B19:B162)</f>
        <v>45023.315972222219</v>
      </c>
      <c r="G86" s="264" t="s">
        <v>1196</v>
      </c>
      <c r="H86" s="264">
        <f>H82*H85</f>
        <v>28</v>
      </c>
      <c r="I86" s="264">
        <f>I82*I85</f>
        <v>24</v>
      </c>
    </row>
    <row r="87" spans="2:9" x14ac:dyDescent="0.25">
      <c r="B87" s="181" t="s">
        <v>1277</v>
      </c>
      <c r="C87" s="274">
        <f>C86+4500</f>
        <v>49523.315972222219</v>
      </c>
      <c r="G87" s="264" t="s">
        <v>1198</v>
      </c>
      <c r="H87" s="276">
        <f>H84/H85</f>
        <v>3.2500000000000001E-2</v>
      </c>
      <c r="I87" s="276">
        <f>I84/I85</f>
        <v>3.2500000000000001E-2</v>
      </c>
    </row>
    <row r="88" spans="2:9" x14ac:dyDescent="0.25">
      <c r="B88" s="181" t="s">
        <v>1277</v>
      </c>
      <c r="C88" s="274">
        <f>C86+7500</f>
        <v>52523.315972222219</v>
      </c>
      <c r="G88" s="264" t="s">
        <v>1199</v>
      </c>
      <c r="H88" s="264">
        <f>(((1-(1+H87)^(-H86))/(H87))*(H83))+(H81)</f>
        <v>477861.298554826</v>
      </c>
      <c r="I88" s="264">
        <f>(((1-(1+I87)^(-I86))/(I87))*(I83))+(I81)</f>
        <v>490107.85862617643</v>
      </c>
    </row>
    <row r="89" spans="2:9" x14ac:dyDescent="0.25">
      <c r="B89" s="181" t="s">
        <v>1273</v>
      </c>
      <c r="C89" s="274">
        <v>4500</v>
      </c>
      <c r="G89" s="277" t="s">
        <v>1258</v>
      </c>
      <c r="H89" s="278">
        <f>(H88+H81)/H78</f>
        <v>3532.9761197085554</v>
      </c>
      <c r="I89" s="278">
        <f>(I88+I81)/I78</f>
        <v>3386.986184685009</v>
      </c>
    </row>
    <row r="90" spans="2:9" x14ac:dyDescent="0.25">
      <c r="B90" s="181" t="s">
        <v>1274</v>
      </c>
      <c r="C90" s="274">
        <v>7500</v>
      </c>
    </row>
    <row r="91" spans="2:9" x14ac:dyDescent="0.25">
      <c r="B91" s="181" t="s">
        <v>1319</v>
      </c>
      <c r="C91" s="285">
        <f>C86*0.975</f>
        <v>43897.733072916664</v>
      </c>
    </row>
    <row r="92" spans="2:9" x14ac:dyDescent="0.25">
      <c r="B92" s="181" t="s">
        <v>1275</v>
      </c>
      <c r="C92" s="285">
        <f>C87*0.975</f>
        <v>48285.233072916664</v>
      </c>
    </row>
    <row r="93" spans="2:9" x14ac:dyDescent="0.25">
      <c r="B93" s="181" t="s">
        <v>1275</v>
      </c>
      <c r="C93" s="285">
        <f>C88*0.975</f>
        <v>51210.233072916664</v>
      </c>
    </row>
    <row r="94" spans="2:9" ht="44.25" customHeight="1" x14ac:dyDescent="0.25">
      <c r="B94" s="187" t="s">
        <v>1278</v>
      </c>
      <c r="C94" s="286" t="s">
        <v>1279</v>
      </c>
    </row>
    <row r="95" spans="2:9" ht="45" x14ac:dyDescent="0.25">
      <c r="B95" s="187" t="s">
        <v>1280</v>
      </c>
      <c r="C95" s="286" t="s">
        <v>1281</v>
      </c>
    </row>
    <row r="105" spans="4:9" ht="15.75" x14ac:dyDescent="0.25">
      <c r="D105" s="441" t="s">
        <v>1380</v>
      </c>
      <c r="E105" s="442" t="s">
        <v>1381</v>
      </c>
      <c r="F105" s="443" t="s">
        <v>1382</v>
      </c>
      <c r="G105" s="443">
        <v>0</v>
      </c>
      <c r="H105" s="444">
        <v>2500</v>
      </c>
      <c r="I105" s="444">
        <f t="shared" ref="I105:I126" si="3">H105*G105</f>
        <v>0</v>
      </c>
    </row>
    <row r="106" spans="4:9" ht="15.75" x14ac:dyDescent="0.25">
      <c r="D106" s="441" t="s">
        <v>1380</v>
      </c>
      <c r="E106" s="442" t="s">
        <v>1383</v>
      </c>
      <c r="F106" s="443" t="s">
        <v>1382</v>
      </c>
      <c r="G106" s="443">
        <v>1</v>
      </c>
      <c r="H106" s="444">
        <v>3500</v>
      </c>
      <c r="I106" s="444">
        <f t="shared" si="3"/>
        <v>3500</v>
      </c>
    </row>
    <row r="107" spans="4:9" ht="15.75" x14ac:dyDescent="0.25">
      <c r="D107" s="441" t="s">
        <v>1380</v>
      </c>
      <c r="E107" s="442" t="s">
        <v>1384</v>
      </c>
      <c r="F107" s="443" t="s">
        <v>1382</v>
      </c>
      <c r="G107" s="443">
        <v>1</v>
      </c>
      <c r="H107" s="444">
        <v>4500</v>
      </c>
      <c r="I107" s="444">
        <f t="shared" si="3"/>
        <v>4500</v>
      </c>
    </row>
    <row r="108" spans="4:9" ht="15.75" x14ac:dyDescent="0.25">
      <c r="D108" s="441" t="s">
        <v>1380</v>
      </c>
      <c r="E108" s="442" t="s">
        <v>1385</v>
      </c>
      <c r="F108" s="443" t="s">
        <v>1382</v>
      </c>
      <c r="G108" s="443">
        <v>135</v>
      </c>
      <c r="H108" s="444">
        <v>45</v>
      </c>
      <c r="I108" s="444">
        <f t="shared" si="3"/>
        <v>6075</v>
      </c>
    </row>
    <row r="109" spans="4:9" ht="15.75" x14ac:dyDescent="0.25">
      <c r="D109" s="441" t="s">
        <v>1380</v>
      </c>
      <c r="E109" s="442" t="s">
        <v>1386</v>
      </c>
      <c r="F109" s="443" t="s">
        <v>1382</v>
      </c>
      <c r="G109" s="443">
        <v>135</v>
      </c>
      <c r="H109" s="444">
        <v>130</v>
      </c>
      <c r="I109" s="444">
        <f t="shared" si="3"/>
        <v>17550</v>
      </c>
    </row>
    <row r="110" spans="4:9" ht="15.75" x14ac:dyDescent="0.25">
      <c r="D110" s="441" t="s">
        <v>1380</v>
      </c>
      <c r="E110" s="442" t="s">
        <v>1387</v>
      </c>
      <c r="F110" s="443" t="s">
        <v>1382</v>
      </c>
      <c r="G110" s="443">
        <v>155</v>
      </c>
      <c r="H110" s="444">
        <v>20</v>
      </c>
      <c r="I110" s="444">
        <f t="shared" si="3"/>
        <v>3100</v>
      </c>
    </row>
    <row r="111" spans="4:9" ht="15.75" x14ac:dyDescent="0.25">
      <c r="D111" s="441" t="s">
        <v>1380</v>
      </c>
      <c r="E111" s="442" t="s">
        <v>1388</v>
      </c>
      <c r="F111" s="443" t="s">
        <v>1382</v>
      </c>
      <c r="G111" s="443">
        <v>8</v>
      </c>
      <c r="H111" s="444">
        <v>120</v>
      </c>
      <c r="I111" s="444">
        <f t="shared" si="3"/>
        <v>960</v>
      </c>
    </row>
    <row r="112" spans="4:9" ht="15.75" x14ac:dyDescent="0.25">
      <c r="D112" s="441" t="s">
        <v>1380</v>
      </c>
      <c r="E112" s="442" t="s">
        <v>1389</v>
      </c>
      <c r="F112" s="443" t="s">
        <v>1382</v>
      </c>
      <c r="G112" s="443">
        <v>85</v>
      </c>
      <c r="H112" s="444">
        <v>65</v>
      </c>
      <c r="I112" s="444">
        <f t="shared" si="3"/>
        <v>5525</v>
      </c>
    </row>
    <row r="113" spans="4:9" ht="15.75" x14ac:dyDescent="0.25">
      <c r="D113" s="441" t="s">
        <v>1380</v>
      </c>
      <c r="E113" s="442" t="s">
        <v>1390</v>
      </c>
      <c r="F113" s="443" t="s">
        <v>1382</v>
      </c>
      <c r="G113" s="443">
        <v>8</v>
      </c>
      <c r="H113" s="444">
        <v>185</v>
      </c>
      <c r="I113" s="444">
        <f t="shared" si="3"/>
        <v>1480</v>
      </c>
    </row>
    <row r="114" spans="4:9" ht="15.75" x14ac:dyDescent="0.25">
      <c r="D114" s="441" t="s">
        <v>1380</v>
      </c>
      <c r="E114" s="442" t="s">
        <v>1391</v>
      </c>
      <c r="F114" s="443" t="s">
        <v>1382</v>
      </c>
      <c r="G114" s="443">
        <v>3</v>
      </c>
      <c r="H114" s="444">
        <v>185</v>
      </c>
      <c r="I114" s="444">
        <f t="shared" si="3"/>
        <v>555</v>
      </c>
    </row>
    <row r="115" spans="4:9" ht="15.75" x14ac:dyDescent="0.25">
      <c r="D115" s="441" t="s">
        <v>1380</v>
      </c>
      <c r="E115" s="442" t="s">
        <v>1392</v>
      </c>
      <c r="F115" s="443" t="s">
        <v>1382</v>
      </c>
      <c r="G115" s="443">
        <v>50</v>
      </c>
      <c r="H115" s="444">
        <v>65</v>
      </c>
      <c r="I115" s="444">
        <f t="shared" si="3"/>
        <v>3250</v>
      </c>
    </row>
    <row r="116" spans="4:9" ht="15.75" x14ac:dyDescent="0.25">
      <c r="D116" s="441" t="s">
        <v>1380</v>
      </c>
      <c r="E116" s="442" t="s">
        <v>1393</v>
      </c>
      <c r="F116" s="443" t="s">
        <v>1382</v>
      </c>
      <c r="G116" s="443">
        <v>12</v>
      </c>
      <c r="H116" s="444">
        <v>140</v>
      </c>
      <c r="I116" s="444">
        <f t="shared" si="3"/>
        <v>1680</v>
      </c>
    </row>
    <row r="117" spans="4:9" ht="15.75" x14ac:dyDescent="0.25">
      <c r="D117" s="441" t="s">
        <v>1380</v>
      </c>
      <c r="E117" s="442" t="s">
        <v>1394</v>
      </c>
      <c r="F117" s="443" t="s">
        <v>1382</v>
      </c>
      <c r="G117" s="443">
        <v>1</v>
      </c>
      <c r="H117" s="444">
        <v>110</v>
      </c>
      <c r="I117" s="444">
        <f t="shared" si="3"/>
        <v>110</v>
      </c>
    </row>
    <row r="118" spans="4:9" ht="15.75" x14ac:dyDescent="0.25">
      <c r="D118" s="441" t="s">
        <v>1380</v>
      </c>
      <c r="E118" s="442" t="s">
        <v>1395</v>
      </c>
      <c r="F118" s="443" t="s">
        <v>1396</v>
      </c>
      <c r="G118" s="443">
        <v>11</v>
      </c>
      <c r="H118" s="444">
        <v>1450</v>
      </c>
      <c r="I118" s="444">
        <f t="shared" si="3"/>
        <v>15950</v>
      </c>
    </row>
    <row r="119" spans="4:9" ht="15.75" x14ac:dyDescent="0.25">
      <c r="D119" s="441" t="s">
        <v>1380</v>
      </c>
      <c r="E119" s="442" t="s">
        <v>1397</v>
      </c>
      <c r="F119" s="443" t="s">
        <v>1396</v>
      </c>
      <c r="G119" s="443">
        <v>12</v>
      </c>
      <c r="H119" s="444">
        <v>2200</v>
      </c>
      <c r="I119" s="444">
        <f t="shared" si="3"/>
        <v>26400</v>
      </c>
    </row>
    <row r="120" spans="4:9" ht="15.75" x14ac:dyDescent="0.25">
      <c r="D120" s="441" t="s">
        <v>1380</v>
      </c>
      <c r="E120" s="442" t="s">
        <v>1398</v>
      </c>
      <c r="F120" s="443" t="s">
        <v>1396</v>
      </c>
      <c r="G120" s="443">
        <v>9</v>
      </c>
      <c r="H120" s="444">
        <v>2750</v>
      </c>
      <c r="I120" s="444">
        <f t="shared" si="3"/>
        <v>24750</v>
      </c>
    </row>
    <row r="121" spans="4:9" ht="15.75" x14ac:dyDescent="0.25">
      <c r="D121" s="441" t="s">
        <v>1380</v>
      </c>
      <c r="E121" s="442" t="s">
        <v>1399</v>
      </c>
      <c r="F121" s="443" t="s">
        <v>1396</v>
      </c>
      <c r="G121" s="443">
        <v>4</v>
      </c>
      <c r="H121" s="444">
        <v>4100</v>
      </c>
      <c r="I121" s="444">
        <f t="shared" si="3"/>
        <v>16400</v>
      </c>
    </row>
    <row r="122" spans="4:9" ht="15.75" x14ac:dyDescent="0.25">
      <c r="D122" s="441" t="s">
        <v>1380</v>
      </c>
      <c r="E122" s="442" t="s">
        <v>1400</v>
      </c>
      <c r="F122" s="443" t="s">
        <v>1401</v>
      </c>
      <c r="G122" s="443">
        <v>1</v>
      </c>
      <c r="H122" s="444">
        <v>5000</v>
      </c>
      <c r="I122" s="444">
        <f t="shared" si="3"/>
        <v>5000</v>
      </c>
    </row>
    <row r="123" spans="4:9" ht="15.75" x14ac:dyDescent="0.25">
      <c r="D123" s="441" t="s">
        <v>1380</v>
      </c>
      <c r="E123" s="442" t="s">
        <v>1402</v>
      </c>
      <c r="F123" s="443" t="s">
        <v>1401</v>
      </c>
      <c r="G123" s="443">
        <v>1.5</v>
      </c>
      <c r="H123" s="444">
        <v>1600</v>
      </c>
      <c r="I123" s="444">
        <f t="shared" si="3"/>
        <v>2400</v>
      </c>
    </row>
    <row r="124" spans="4:9" ht="15.75" x14ac:dyDescent="0.25">
      <c r="D124" s="441" t="s">
        <v>1380</v>
      </c>
      <c r="E124" s="442" t="s">
        <v>1403</v>
      </c>
      <c r="F124" s="443" t="s">
        <v>1404</v>
      </c>
      <c r="G124" s="443">
        <v>60</v>
      </c>
      <c r="H124" s="444">
        <v>125</v>
      </c>
      <c r="I124" s="444">
        <f t="shared" si="3"/>
        <v>7500</v>
      </c>
    </row>
    <row r="125" spans="4:9" ht="15.75" x14ac:dyDescent="0.25">
      <c r="D125" s="441" t="s">
        <v>1380</v>
      </c>
      <c r="E125" s="442" t="s">
        <v>1405</v>
      </c>
      <c r="F125" s="443" t="s">
        <v>1406</v>
      </c>
      <c r="G125" s="443">
        <v>1</v>
      </c>
      <c r="H125" s="444">
        <v>28000</v>
      </c>
      <c r="I125" s="444">
        <f t="shared" si="3"/>
        <v>28000</v>
      </c>
    </row>
    <row r="126" spans="4:9" ht="15.75" x14ac:dyDescent="0.25">
      <c r="D126" s="441" t="s">
        <v>1380</v>
      </c>
      <c r="E126" s="441" t="s">
        <v>1407</v>
      </c>
      <c r="F126" s="443" t="s">
        <v>1406</v>
      </c>
      <c r="G126" s="443">
        <v>1</v>
      </c>
      <c r="H126" s="444">
        <v>8000</v>
      </c>
      <c r="I126" s="444">
        <f t="shared" si="3"/>
        <v>8000</v>
      </c>
    </row>
    <row r="127" spans="4:9" ht="15.75" x14ac:dyDescent="0.25">
      <c r="D127" s="453" t="s">
        <v>1408</v>
      </c>
      <c r="E127" s="453"/>
      <c r="F127" s="453"/>
      <c r="G127" s="453"/>
      <c r="H127" s="453"/>
      <c r="I127" s="447">
        <f>SUM(I105:I126)</f>
        <v>182685</v>
      </c>
    </row>
    <row r="130" spans="4:9" ht="15.75" x14ac:dyDescent="0.25">
      <c r="D130" s="441" t="s">
        <v>1380</v>
      </c>
      <c r="E130" s="442" t="s">
        <v>1381</v>
      </c>
      <c r="F130" s="443" t="s">
        <v>1382</v>
      </c>
      <c r="G130" s="443">
        <v>0</v>
      </c>
      <c r="H130" s="444">
        <v>2500</v>
      </c>
      <c r="I130" s="444">
        <f t="shared" ref="I130:I151" si="4">H130*G130</f>
        <v>0</v>
      </c>
    </row>
    <row r="131" spans="4:9" ht="15.75" x14ac:dyDescent="0.25">
      <c r="D131" s="441" t="s">
        <v>1380</v>
      </c>
      <c r="E131" s="442" t="s">
        <v>1383</v>
      </c>
      <c r="F131" s="443" t="s">
        <v>1382</v>
      </c>
      <c r="G131" s="443">
        <v>1</v>
      </c>
      <c r="H131" s="444">
        <v>3500</v>
      </c>
      <c r="I131" s="444">
        <f t="shared" si="4"/>
        <v>3500</v>
      </c>
    </row>
    <row r="132" spans="4:9" ht="15.75" x14ac:dyDescent="0.25">
      <c r="D132" s="441" t="s">
        <v>1380</v>
      </c>
      <c r="E132" s="442" t="s">
        <v>1384</v>
      </c>
      <c r="F132" s="443" t="s">
        <v>1382</v>
      </c>
      <c r="G132" s="443">
        <v>1</v>
      </c>
      <c r="H132" s="444">
        <v>4500</v>
      </c>
      <c r="I132" s="444">
        <f t="shared" si="4"/>
        <v>4500</v>
      </c>
    </row>
    <row r="133" spans="4:9" ht="15.75" x14ac:dyDescent="0.25">
      <c r="D133" s="441" t="s">
        <v>1380</v>
      </c>
      <c r="E133" s="442" t="s">
        <v>1385</v>
      </c>
      <c r="F133" s="443" t="s">
        <v>1382</v>
      </c>
      <c r="G133" s="443">
        <v>135</v>
      </c>
      <c r="H133" s="444">
        <v>45</v>
      </c>
      <c r="I133" s="444">
        <f t="shared" si="4"/>
        <v>6075</v>
      </c>
    </row>
    <row r="134" spans="4:9" ht="15.75" x14ac:dyDescent="0.25">
      <c r="D134" s="441" t="s">
        <v>1380</v>
      </c>
      <c r="E134" s="442" t="s">
        <v>1386</v>
      </c>
      <c r="F134" s="443" t="s">
        <v>1382</v>
      </c>
      <c r="G134" s="446">
        <v>135</v>
      </c>
      <c r="H134" s="444">
        <v>130</v>
      </c>
      <c r="I134" s="444">
        <f t="shared" si="4"/>
        <v>17550</v>
      </c>
    </row>
    <row r="135" spans="4:9" ht="15.75" x14ac:dyDescent="0.25">
      <c r="D135" s="441" t="s">
        <v>1380</v>
      </c>
      <c r="E135" s="442" t="s">
        <v>1387</v>
      </c>
      <c r="F135" s="443" t="s">
        <v>1382</v>
      </c>
      <c r="G135" s="446">
        <v>155</v>
      </c>
      <c r="H135" s="444">
        <v>20</v>
      </c>
      <c r="I135" s="444">
        <f t="shared" si="4"/>
        <v>3100</v>
      </c>
    </row>
    <row r="136" spans="4:9" ht="15.75" x14ac:dyDescent="0.25">
      <c r="D136" s="441" t="s">
        <v>1380</v>
      </c>
      <c r="E136" s="442" t="s">
        <v>1388</v>
      </c>
      <c r="F136" s="443" t="s">
        <v>1382</v>
      </c>
      <c r="G136" s="443">
        <v>8</v>
      </c>
      <c r="H136" s="444">
        <v>120</v>
      </c>
      <c r="I136" s="444">
        <f t="shared" si="4"/>
        <v>960</v>
      </c>
    </row>
    <row r="137" spans="4:9" ht="15.75" x14ac:dyDescent="0.25">
      <c r="D137" s="441" t="s">
        <v>1380</v>
      </c>
      <c r="E137" s="442" t="s">
        <v>1389</v>
      </c>
      <c r="F137" s="443" t="s">
        <v>1382</v>
      </c>
      <c r="G137" s="443">
        <v>85</v>
      </c>
      <c r="H137" s="444">
        <v>65</v>
      </c>
      <c r="I137" s="444">
        <f t="shared" si="4"/>
        <v>5525</v>
      </c>
    </row>
    <row r="138" spans="4:9" ht="15.75" x14ac:dyDescent="0.25">
      <c r="D138" s="441" t="s">
        <v>1380</v>
      </c>
      <c r="E138" s="442" t="s">
        <v>1390</v>
      </c>
      <c r="F138" s="443" t="s">
        <v>1382</v>
      </c>
      <c r="G138" s="443">
        <v>8</v>
      </c>
      <c r="H138" s="444">
        <v>185</v>
      </c>
      <c r="I138" s="444">
        <f t="shared" si="4"/>
        <v>1480</v>
      </c>
    </row>
    <row r="139" spans="4:9" ht="15.75" x14ac:dyDescent="0.25">
      <c r="D139" s="441" t="s">
        <v>1380</v>
      </c>
      <c r="E139" s="442" t="s">
        <v>1391</v>
      </c>
      <c r="F139" s="443" t="s">
        <v>1382</v>
      </c>
      <c r="G139" s="443">
        <v>3</v>
      </c>
      <c r="H139" s="444">
        <v>185</v>
      </c>
      <c r="I139" s="444">
        <f t="shared" si="4"/>
        <v>555</v>
      </c>
    </row>
    <row r="140" spans="4:9" ht="15.75" x14ac:dyDescent="0.25">
      <c r="D140" s="441" t="s">
        <v>1380</v>
      </c>
      <c r="E140" s="442" t="s">
        <v>1392</v>
      </c>
      <c r="F140" s="443" t="s">
        <v>1382</v>
      </c>
      <c r="G140" s="443">
        <v>50</v>
      </c>
      <c r="H140" s="444">
        <v>65</v>
      </c>
      <c r="I140" s="444">
        <f t="shared" si="4"/>
        <v>3250</v>
      </c>
    </row>
    <row r="141" spans="4:9" ht="15.75" x14ac:dyDescent="0.25">
      <c r="D141" s="441" t="s">
        <v>1380</v>
      </c>
      <c r="E141" s="442" t="s">
        <v>1393</v>
      </c>
      <c r="F141" s="443" t="s">
        <v>1382</v>
      </c>
      <c r="G141" s="443">
        <v>12</v>
      </c>
      <c r="H141" s="444">
        <v>140</v>
      </c>
      <c r="I141" s="444">
        <f t="shared" si="4"/>
        <v>1680</v>
      </c>
    </row>
    <row r="142" spans="4:9" ht="15.75" x14ac:dyDescent="0.25">
      <c r="D142" s="441" t="s">
        <v>1380</v>
      </c>
      <c r="E142" s="442" t="s">
        <v>1394</v>
      </c>
      <c r="F142" s="443" t="s">
        <v>1382</v>
      </c>
      <c r="G142" s="443">
        <v>1</v>
      </c>
      <c r="H142" s="444">
        <v>110</v>
      </c>
      <c r="I142" s="444">
        <f t="shared" si="4"/>
        <v>110</v>
      </c>
    </row>
    <row r="143" spans="4:9" ht="15.75" x14ac:dyDescent="0.25">
      <c r="D143" s="441" t="s">
        <v>1380</v>
      </c>
      <c r="E143" s="442" t="s">
        <v>1395</v>
      </c>
      <c r="F143" s="443" t="s">
        <v>1396</v>
      </c>
      <c r="G143" s="443">
        <v>11</v>
      </c>
      <c r="H143" s="444">
        <v>1450</v>
      </c>
      <c r="I143" s="444">
        <f t="shared" si="4"/>
        <v>15950</v>
      </c>
    </row>
    <row r="144" spans="4:9" ht="15.75" x14ac:dyDescent="0.25">
      <c r="D144" s="441" t="s">
        <v>1380</v>
      </c>
      <c r="E144" s="442" t="s">
        <v>1397</v>
      </c>
      <c r="F144" s="443" t="s">
        <v>1396</v>
      </c>
      <c r="G144" s="443">
        <v>12</v>
      </c>
      <c r="H144" s="444">
        <v>2200</v>
      </c>
      <c r="I144" s="444">
        <f t="shared" si="4"/>
        <v>26400</v>
      </c>
    </row>
    <row r="145" spans="4:9" ht="15.75" x14ac:dyDescent="0.25">
      <c r="D145" s="441" t="s">
        <v>1380</v>
      </c>
      <c r="E145" s="442" t="s">
        <v>1398</v>
      </c>
      <c r="F145" s="443" t="s">
        <v>1396</v>
      </c>
      <c r="G145" s="443">
        <v>9</v>
      </c>
      <c r="H145" s="444">
        <v>2750</v>
      </c>
      <c r="I145" s="444">
        <f t="shared" si="4"/>
        <v>24750</v>
      </c>
    </row>
    <row r="146" spans="4:9" ht="15.75" x14ac:dyDescent="0.25">
      <c r="D146" s="441" t="s">
        <v>1380</v>
      </c>
      <c r="E146" s="442" t="s">
        <v>1399</v>
      </c>
      <c r="F146" s="443" t="s">
        <v>1396</v>
      </c>
      <c r="G146" s="443">
        <v>4</v>
      </c>
      <c r="H146" s="444">
        <v>4100</v>
      </c>
      <c r="I146" s="444">
        <f t="shared" si="4"/>
        <v>16400</v>
      </c>
    </row>
    <row r="147" spans="4:9" ht="15.75" x14ac:dyDescent="0.25">
      <c r="D147" s="441" t="s">
        <v>1380</v>
      </c>
      <c r="E147" s="442" t="s">
        <v>1400</v>
      </c>
      <c r="F147" s="443" t="s">
        <v>1401</v>
      </c>
      <c r="G147" s="443">
        <v>1</v>
      </c>
      <c r="H147" s="444">
        <v>5000</v>
      </c>
      <c r="I147" s="444">
        <f t="shared" si="4"/>
        <v>5000</v>
      </c>
    </row>
    <row r="148" spans="4:9" ht="15.75" x14ac:dyDescent="0.25">
      <c r="D148" s="441" t="s">
        <v>1380</v>
      </c>
      <c r="E148" s="442" t="s">
        <v>1402</v>
      </c>
      <c r="F148" s="443" t="s">
        <v>1401</v>
      </c>
      <c r="G148" s="443">
        <v>1.5</v>
      </c>
      <c r="H148" s="444">
        <v>1600</v>
      </c>
      <c r="I148" s="444">
        <f t="shared" si="4"/>
        <v>2400</v>
      </c>
    </row>
    <row r="149" spans="4:9" ht="15.75" x14ac:dyDescent="0.25">
      <c r="D149" s="441" t="s">
        <v>1380</v>
      </c>
      <c r="E149" s="442" t="s">
        <v>1403</v>
      </c>
      <c r="F149" s="443" t="s">
        <v>1404</v>
      </c>
      <c r="G149" s="443">
        <v>60</v>
      </c>
      <c r="H149" s="444">
        <v>125</v>
      </c>
      <c r="I149" s="444">
        <f t="shared" si="4"/>
        <v>7500</v>
      </c>
    </row>
    <row r="150" spans="4:9" ht="15.75" x14ac:dyDescent="0.25">
      <c r="D150" s="441" t="s">
        <v>1380</v>
      </c>
      <c r="E150" s="442" t="s">
        <v>1405</v>
      </c>
      <c r="F150" s="443" t="s">
        <v>1406</v>
      </c>
      <c r="G150" s="443">
        <v>1</v>
      </c>
      <c r="H150" s="444">
        <v>28000</v>
      </c>
      <c r="I150" s="444">
        <f t="shared" si="4"/>
        <v>28000</v>
      </c>
    </row>
    <row r="151" spans="4:9" ht="15.75" x14ac:dyDescent="0.25">
      <c r="D151" s="441" t="s">
        <v>1380</v>
      </c>
      <c r="E151" s="441" t="s">
        <v>1407</v>
      </c>
      <c r="F151" s="443" t="s">
        <v>1406</v>
      </c>
      <c r="G151" s="443">
        <v>1</v>
      </c>
      <c r="H151" s="444">
        <v>8000</v>
      </c>
      <c r="I151" s="444">
        <f t="shared" si="4"/>
        <v>8000</v>
      </c>
    </row>
    <row r="152" spans="4:9" x14ac:dyDescent="0.25">
      <c r="I152" s="445">
        <f>SUM(I130:I151)</f>
        <v>182685</v>
      </c>
    </row>
  </sheetData>
  <mergeCells count="14">
    <mergeCell ref="D127:H127"/>
    <mergeCell ref="G75:I75"/>
    <mergeCell ref="G59:I59"/>
    <mergeCell ref="B59:D59"/>
    <mergeCell ref="B53:D53"/>
    <mergeCell ref="B54:D54"/>
    <mergeCell ref="B55:D55"/>
    <mergeCell ref="B56:D56"/>
    <mergeCell ref="B57:D57"/>
    <mergeCell ref="G53:I53"/>
    <mergeCell ref="G54:I54"/>
    <mergeCell ref="G55:I55"/>
    <mergeCell ref="G56:I56"/>
    <mergeCell ref="G57:I57"/>
  </mergeCells>
  <conditionalFormatting sqref="O63">
    <cfRule type="expression" dxfId="4" priority="1">
      <formula>$P$73</formula>
    </cfRule>
  </conditionalFormatting>
  <printOptions horizontalCentered="1"/>
  <pageMargins left="0" right="0" top="0" bottom="0" header="0" footer="0"/>
  <pageSetup paperSize="9" scale="33"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9697" r:id="rId4" name="Check Box 1">
              <controlPr defaultSize="0" autoFill="0" autoLine="0" autoPict="0">
                <anchor moveWithCells="1">
                  <from>
                    <xdr:col>13</xdr:col>
                    <xdr:colOff>438150</xdr:colOff>
                    <xdr:row>57</xdr:row>
                    <xdr:rowOff>85725</xdr:rowOff>
                  </from>
                  <to>
                    <xdr:col>15</xdr:col>
                    <xdr:colOff>361950</xdr:colOff>
                    <xdr:row>60</xdr:row>
                    <xdr:rowOff>161925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5193C-F425-45AB-A736-37394417A7C0}">
  <sheetPr>
    <pageSetUpPr fitToPage="1"/>
  </sheetPr>
  <dimension ref="A1:F154"/>
  <sheetViews>
    <sheetView view="pageBreakPreview" zoomScale="80" zoomScaleNormal="100" zoomScaleSheetLayoutView="80" workbookViewId="0">
      <selection activeCell="F49" sqref="F49"/>
    </sheetView>
  </sheetViews>
  <sheetFormatPr defaultRowHeight="15" x14ac:dyDescent="0.25"/>
  <cols>
    <col min="1" max="1" width="21.5703125" style="79" bestFit="1" customWidth="1"/>
    <col min="2" max="2" width="25.85546875" style="192" bestFit="1" customWidth="1"/>
    <col min="3" max="3" width="25.140625" style="238" bestFit="1" customWidth="1"/>
    <col min="4" max="4" width="26.7109375" style="238" bestFit="1" customWidth="1"/>
    <col min="5" max="5" width="28.7109375" style="79" bestFit="1" customWidth="1"/>
    <col min="6" max="6" width="30.28515625" style="79" bestFit="1" customWidth="1"/>
    <col min="7" max="16384" width="9.140625" style="79"/>
  </cols>
  <sheetData>
    <row r="1" spans="1:6" x14ac:dyDescent="0.25">
      <c r="A1" s="79" t="s">
        <v>231</v>
      </c>
      <c r="B1" s="79" t="s">
        <v>1177</v>
      </c>
      <c r="C1" s="239"/>
      <c r="D1" s="239"/>
    </row>
    <row r="2" spans="1:6" x14ac:dyDescent="0.25">
      <c r="A2"/>
      <c r="B2"/>
      <c r="C2" s="239"/>
      <c r="D2" s="239"/>
    </row>
    <row r="3" spans="1:6" x14ac:dyDescent="0.25">
      <c r="A3" s="79" t="s">
        <v>733</v>
      </c>
      <c r="B3" s="122" t="s">
        <v>1190</v>
      </c>
      <c r="C3"/>
      <c r="D3"/>
      <c r="E3"/>
      <c r="F3"/>
    </row>
    <row r="4" spans="1:6" x14ac:dyDescent="0.25">
      <c r="A4" s="125">
        <v>75</v>
      </c>
      <c r="B4" s="122">
        <v>3</v>
      </c>
      <c r="C4"/>
      <c r="D4"/>
      <c r="E4"/>
      <c r="F4"/>
    </row>
    <row r="5" spans="1:6" x14ac:dyDescent="0.25">
      <c r="A5" s="125">
        <v>106</v>
      </c>
      <c r="B5" s="122">
        <v>6</v>
      </c>
      <c r="C5"/>
      <c r="D5"/>
      <c r="E5"/>
      <c r="F5"/>
    </row>
    <row r="6" spans="1:6" x14ac:dyDescent="0.25">
      <c r="A6" s="125">
        <v>108</v>
      </c>
      <c r="B6" s="122">
        <v>2</v>
      </c>
      <c r="C6"/>
      <c r="D6"/>
      <c r="E6"/>
      <c r="F6"/>
    </row>
    <row r="7" spans="1:6" x14ac:dyDescent="0.25">
      <c r="A7" s="125">
        <v>110</v>
      </c>
      <c r="B7" s="122">
        <v>9</v>
      </c>
      <c r="C7"/>
      <c r="D7"/>
      <c r="E7"/>
      <c r="F7"/>
    </row>
    <row r="8" spans="1:6" x14ac:dyDescent="0.25">
      <c r="A8" s="125">
        <v>111</v>
      </c>
      <c r="B8" s="122">
        <v>5</v>
      </c>
      <c r="C8"/>
      <c r="D8"/>
      <c r="E8"/>
      <c r="F8"/>
    </row>
    <row r="9" spans="1:6" x14ac:dyDescent="0.25">
      <c r="A9" s="125">
        <v>112</v>
      </c>
      <c r="B9" s="122">
        <v>1</v>
      </c>
      <c r="C9"/>
      <c r="D9"/>
      <c r="E9"/>
      <c r="F9"/>
    </row>
    <row r="10" spans="1:6" x14ac:dyDescent="0.25">
      <c r="A10" s="125">
        <v>116</v>
      </c>
      <c r="B10" s="122">
        <v>8</v>
      </c>
      <c r="C10"/>
      <c r="D10"/>
      <c r="E10"/>
      <c r="F10"/>
    </row>
    <row r="11" spans="1:6" x14ac:dyDescent="0.25">
      <c r="A11" s="125">
        <v>117</v>
      </c>
      <c r="B11" s="122">
        <v>6</v>
      </c>
      <c r="C11"/>
      <c r="D11"/>
      <c r="E11"/>
      <c r="F11"/>
    </row>
    <row r="12" spans="1:6" x14ac:dyDescent="0.25">
      <c r="A12" s="125">
        <v>119</v>
      </c>
      <c r="B12" s="122">
        <v>5</v>
      </c>
      <c r="C12"/>
      <c r="D12"/>
      <c r="E12"/>
      <c r="F12"/>
    </row>
    <row r="13" spans="1:6" x14ac:dyDescent="0.25">
      <c r="A13" s="125">
        <v>120</v>
      </c>
      <c r="B13" s="122">
        <v>2</v>
      </c>
      <c r="C13"/>
      <c r="D13"/>
      <c r="E13"/>
      <c r="F13"/>
    </row>
    <row r="14" spans="1:6" x14ac:dyDescent="0.25">
      <c r="A14" s="125">
        <v>121</v>
      </c>
      <c r="B14" s="122">
        <v>5</v>
      </c>
      <c r="C14"/>
      <c r="D14"/>
      <c r="E14"/>
      <c r="F14"/>
    </row>
    <row r="15" spans="1:6" x14ac:dyDescent="0.25">
      <c r="A15" s="125">
        <v>122</v>
      </c>
      <c r="B15" s="122">
        <v>1</v>
      </c>
      <c r="C15"/>
      <c r="D15"/>
      <c r="E15"/>
      <c r="F15"/>
    </row>
    <row r="16" spans="1:6" x14ac:dyDescent="0.25">
      <c r="A16" s="125">
        <v>135</v>
      </c>
      <c r="B16" s="122">
        <v>1</v>
      </c>
      <c r="C16"/>
      <c r="D16"/>
      <c r="E16"/>
      <c r="F16"/>
    </row>
    <row r="17" spans="1:6" x14ac:dyDescent="0.25">
      <c r="A17" s="125">
        <v>153</v>
      </c>
      <c r="B17" s="122">
        <v>5</v>
      </c>
      <c r="C17"/>
      <c r="D17"/>
      <c r="E17"/>
      <c r="F17"/>
    </row>
    <row r="18" spans="1:6" x14ac:dyDescent="0.25">
      <c r="A18" s="125">
        <v>155</v>
      </c>
      <c r="B18" s="122">
        <v>5</v>
      </c>
      <c r="C18"/>
      <c r="D18"/>
      <c r="E18"/>
      <c r="F18"/>
    </row>
    <row r="19" spans="1:6" x14ac:dyDescent="0.25">
      <c r="A19" s="125">
        <v>157</v>
      </c>
      <c r="B19" s="122">
        <v>2</v>
      </c>
      <c r="C19"/>
      <c r="D19"/>
      <c r="E19"/>
      <c r="F19"/>
    </row>
    <row r="20" spans="1:6" x14ac:dyDescent="0.25">
      <c r="A20" s="125">
        <v>158</v>
      </c>
      <c r="B20" s="122">
        <v>5</v>
      </c>
      <c r="C20"/>
      <c r="D20"/>
      <c r="E20"/>
      <c r="F20"/>
    </row>
    <row r="21" spans="1:6" x14ac:dyDescent="0.25">
      <c r="A21" s="125">
        <v>160</v>
      </c>
      <c r="B21" s="122">
        <v>9</v>
      </c>
      <c r="C21"/>
      <c r="D21"/>
      <c r="E21"/>
      <c r="F21"/>
    </row>
    <row r="22" spans="1:6" x14ac:dyDescent="0.25">
      <c r="A22" s="125">
        <v>161</v>
      </c>
      <c r="B22" s="122">
        <v>11</v>
      </c>
      <c r="C22"/>
      <c r="D22"/>
      <c r="E22"/>
      <c r="F22"/>
    </row>
    <row r="23" spans="1:6" x14ac:dyDescent="0.25">
      <c r="A23" s="125">
        <v>170</v>
      </c>
      <c r="B23" s="122">
        <v>14</v>
      </c>
      <c r="C23"/>
      <c r="D23"/>
      <c r="E23"/>
      <c r="F23"/>
    </row>
    <row r="24" spans="1:6" x14ac:dyDescent="0.25">
      <c r="A24" s="125">
        <v>172</v>
      </c>
      <c r="B24" s="122">
        <v>2</v>
      </c>
      <c r="C24"/>
      <c r="D24"/>
      <c r="E24"/>
      <c r="F24"/>
    </row>
    <row r="25" spans="1:6" x14ac:dyDescent="0.25">
      <c r="A25" s="125">
        <v>173</v>
      </c>
      <c r="B25" s="122">
        <v>8</v>
      </c>
      <c r="C25"/>
      <c r="D25"/>
      <c r="E25"/>
      <c r="F25"/>
    </row>
    <row r="26" spans="1:6" x14ac:dyDescent="0.25">
      <c r="A26" s="125">
        <v>174</v>
      </c>
      <c r="B26" s="122">
        <v>4</v>
      </c>
      <c r="C26"/>
      <c r="D26"/>
      <c r="E26"/>
      <c r="F26"/>
    </row>
    <row r="27" spans="1:6" x14ac:dyDescent="0.25">
      <c r="A27" s="125">
        <v>176</v>
      </c>
      <c r="B27" s="122">
        <v>10</v>
      </c>
      <c r="C27"/>
      <c r="D27"/>
      <c r="E27"/>
      <c r="F27"/>
    </row>
    <row r="28" spans="1:6" x14ac:dyDescent="0.25">
      <c r="A28" s="125">
        <v>201</v>
      </c>
      <c r="B28" s="122">
        <v>2</v>
      </c>
      <c r="C28"/>
      <c r="D28"/>
      <c r="E28"/>
      <c r="F28"/>
    </row>
    <row r="29" spans="1:6" x14ac:dyDescent="0.25">
      <c r="A29" s="125">
        <v>204</v>
      </c>
      <c r="B29" s="122">
        <v>4</v>
      </c>
      <c r="C29"/>
      <c r="D29"/>
      <c r="E29"/>
      <c r="F29"/>
    </row>
    <row r="30" spans="1:6" x14ac:dyDescent="0.25">
      <c r="A30" s="125">
        <v>222</v>
      </c>
      <c r="B30" s="122">
        <v>2</v>
      </c>
      <c r="C30"/>
      <c r="D30"/>
      <c r="E30"/>
      <c r="F30"/>
    </row>
    <row r="31" spans="1:6" x14ac:dyDescent="0.25">
      <c r="A31" s="125">
        <v>224</v>
      </c>
      <c r="B31" s="122">
        <v>2</v>
      </c>
      <c r="C31"/>
      <c r="D31"/>
      <c r="E31"/>
      <c r="F31"/>
    </row>
    <row r="32" spans="1:6" x14ac:dyDescent="0.25">
      <c r="A32" s="125">
        <v>228</v>
      </c>
      <c r="B32" s="122">
        <v>1</v>
      </c>
      <c r="C32"/>
      <c r="D32"/>
      <c r="E32"/>
      <c r="F32"/>
    </row>
    <row r="33" spans="1:6" x14ac:dyDescent="0.25">
      <c r="A33" s="125">
        <v>301</v>
      </c>
      <c r="B33" s="122">
        <v>1</v>
      </c>
      <c r="C33"/>
      <c r="D33"/>
      <c r="E33"/>
      <c r="F33"/>
    </row>
    <row r="34" spans="1:6" x14ac:dyDescent="0.25">
      <c r="A34" s="125">
        <v>309</v>
      </c>
      <c r="B34" s="122">
        <v>1</v>
      </c>
      <c r="C34"/>
      <c r="D34"/>
      <c r="E34"/>
      <c r="F34"/>
    </row>
    <row r="35" spans="1:6" x14ac:dyDescent="0.25">
      <c r="A35" s="125">
        <v>344</v>
      </c>
      <c r="B35" s="122">
        <v>2</v>
      </c>
      <c r="C35"/>
      <c r="D35"/>
      <c r="E35"/>
      <c r="F35"/>
    </row>
    <row r="36" spans="1:6" x14ac:dyDescent="0.25">
      <c r="A36" s="125" t="s">
        <v>709</v>
      </c>
      <c r="B36" s="122">
        <v>144</v>
      </c>
      <c r="C36"/>
      <c r="D36"/>
      <c r="E36"/>
      <c r="F36"/>
    </row>
    <row r="37" spans="1:6" x14ac:dyDescent="0.25">
      <c r="A37"/>
      <c r="B37"/>
      <c r="C37" s="239"/>
      <c r="D37" s="239"/>
    </row>
    <row r="38" spans="1:6" x14ac:dyDescent="0.25">
      <c r="A38"/>
      <c r="B38"/>
      <c r="C38" s="239"/>
      <c r="D38" s="239"/>
    </row>
    <row r="39" spans="1:6" x14ac:dyDescent="0.25">
      <c r="A39"/>
      <c r="B39"/>
      <c r="C39" s="239"/>
      <c r="D39" s="239"/>
    </row>
    <row r="40" spans="1:6" x14ac:dyDescent="0.25">
      <c r="A40"/>
      <c r="B40"/>
      <c r="C40" s="239"/>
      <c r="D40" s="239"/>
    </row>
    <row r="41" spans="1:6" x14ac:dyDescent="0.25">
      <c r="A41"/>
      <c r="B41"/>
      <c r="C41" s="239"/>
      <c r="D41" s="239"/>
    </row>
    <row r="42" spans="1:6" x14ac:dyDescent="0.25">
      <c r="A42"/>
      <c r="B42"/>
      <c r="C42" s="239"/>
      <c r="D42" s="239"/>
    </row>
    <row r="43" spans="1:6" x14ac:dyDescent="0.25">
      <c r="A43"/>
      <c r="B43"/>
      <c r="C43" s="239"/>
      <c r="D43" s="239"/>
    </row>
    <row r="44" spans="1:6" x14ac:dyDescent="0.25">
      <c r="A44"/>
      <c r="B44"/>
      <c r="C44" s="239"/>
      <c r="D44" s="239"/>
    </row>
    <row r="45" spans="1:6" x14ac:dyDescent="0.25">
      <c r="A45"/>
      <c r="B45"/>
      <c r="C45" s="239"/>
      <c r="D45" s="239"/>
    </row>
    <row r="46" spans="1:6" x14ac:dyDescent="0.25">
      <c r="A46"/>
      <c r="B46"/>
      <c r="C46" s="239"/>
      <c r="D46" s="239"/>
    </row>
    <row r="47" spans="1:6" x14ac:dyDescent="0.25">
      <c r="A47"/>
      <c r="B47"/>
      <c r="C47" s="239"/>
      <c r="D47" s="239"/>
    </row>
    <row r="48" spans="1:6" x14ac:dyDescent="0.25">
      <c r="A48"/>
      <c r="B48"/>
      <c r="C48" s="239"/>
      <c r="D48" s="239"/>
    </row>
    <row r="49" spans="1:4" x14ac:dyDescent="0.25">
      <c r="A49"/>
      <c r="B49"/>
      <c r="C49" s="239"/>
      <c r="D49" s="239"/>
    </row>
    <row r="50" spans="1:4" x14ac:dyDescent="0.25">
      <c r="A50"/>
      <c r="B50"/>
      <c r="C50" s="239"/>
      <c r="D50" s="239"/>
    </row>
    <row r="51" spans="1:4" x14ac:dyDescent="0.25">
      <c r="A51"/>
      <c r="B51"/>
      <c r="C51" s="239"/>
      <c r="D51" s="239"/>
    </row>
    <row r="52" spans="1:4" x14ac:dyDescent="0.25">
      <c r="A52"/>
      <c r="B52"/>
      <c r="C52" s="239"/>
      <c r="D52" s="239"/>
    </row>
    <row r="53" spans="1:4" x14ac:dyDescent="0.25">
      <c r="A53"/>
      <c r="B53"/>
      <c r="C53" s="239"/>
      <c r="D53" s="239"/>
    </row>
    <row r="54" spans="1:4" x14ac:dyDescent="0.25">
      <c r="A54"/>
      <c r="B54"/>
      <c r="C54" s="239"/>
      <c r="D54" s="239"/>
    </row>
    <row r="55" spans="1:4" x14ac:dyDescent="0.25">
      <c r="A55"/>
      <c r="B55"/>
      <c r="C55" s="239"/>
      <c r="D55" s="239"/>
    </row>
    <row r="56" spans="1:4" x14ac:dyDescent="0.25">
      <c r="A56"/>
      <c r="B56"/>
      <c r="C56" s="239"/>
      <c r="D56" s="239"/>
    </row>
    <row r="57" spans="1:4" x14ac:dyDescent="0.25">
      <c r="B57" s="79"/>
    </row>
    <row r="58" spans="1:4" x14ac:dyDescent="0.25">
      <c r="B58" s="79"/>
    </row>
    <row r="59" spans="1:4" x14ac:dyDescent="0.25">
      <c r="B59" s="79"/>
    </row>
    <row r="60" spans="1:4" x14ac:dyDescent="0.25">
      <c r="B60" s="79"/>
    </row>
    <row r="61" spans="1:4" x14ac:dyDescent="0.25">
      <c r="B61" s="79"/>
    </row>
    <row r="62" spans="1:4" x14ac:dyDescent="0.25">
      <c r="B62" s="79"/>
    </row>
    <row r="63" spans="1:4" x14ac:dyDescent="0.25">
      <c r="B63" s="79"/>
    </row>
    <row r="64" spans="1:4" x14ac:dyDescent="0.25">
      <c r="B64" s="79"/>
    </row>
    <row r="65" spans="2:2" x14ac:dyDescent="0.25">
      <c r="B65" s="79"/>
    </row>
    <row r="66" spans="2:2" x14ac:dyDescent="0.25">
      <c r="B66" s="79"/>
    </row>
    <row r="67" spans="2:2" x14ac:dyDescent="0.25">
      <c r="B67" s="79"/>
    </row>
    <row r="68" spans="2:2" x14ac:dyDescent="0.25">
      <c r="B68" s="79"/>
    </row>
    <row r="69" spans="2:2" x14ac:dyDescent="0.25">
      <c r="B69" s="79"/>
    </row>
    <row r="70" spans="2:2" x14ac:dyDescent="0.25">
      <c r="B70" s="79"/>
    </row>
    <row r="71" spans="2:2" x14ac:dyDescent="0.25">
      <c r="B71" s="79"/>
    </row>
    <row r="72" spans="2:2" x14ac:dyDescent="0.25">
      <c r="B72" s="79"/>
    </row>
    <row r="73" spans="2:2" x14ac:dyDescent="0.25">
      <c r="B73" s="79"/>
    </row>
    <row r="74" spans="2:2" x14ac:dyDescent="0.25">
      <c r="B74" s="79"/>
    </row>
    <row r="75" spans="2:2" x14ac:dyDescent="0.25">
      <c r="B75" s="79"/>
    </row>
    <row r="76" spans="2:2" x14ac:dyDescent="0.25">
      <c r="B76" s="79"/>
    </row>
    <row r="77" spans="2:2" x14ac:dyDescent="0.25">
      <c r="B77" s="79"/>
    </row>
    <row r="78" spans="2:2" x14ac:dyDescent="0.25">
      <c r="B78" s="79"/>
    </row>
    <row r="79" spans="2:2" x14ac:dyDescent="0.25">
      <c r="B79" s="79"/>
    </row>
    <row r="80" spans="2:2" x14ac:dyDescent="0.25">
      <c r="B80" s="79"/>
    </row>
    <row r="81" spans="2:2" x14ac:dyDescent="0.25">
      <c r="B81" s="79"/>
    </row>
    <row r="82" spans="2:2" x14ac:dyDescent="0.25">
      <c r="B82" s="79"/>
    </row>
    <row r="83" spans="2:2" x14ac:dyDescent="0.25">
      <c r="B83" s="79"/>
    </row>
    <row r="84" spans="2:2" x14ac:dyDescent="0.25">
      <c r="B84" s="79"/>
    </row>
    <row r="85" spans="2:2" x14ac:dyDescent="0.25">
      <c r="B85" s="79"/>
    </row>
    <row r="86" spans="2:2" x14ac:dyDescent="0.25">
      <c r="B86" s="79"/>
    </row>
    <row r="87" spans="2:2" x14ac:dyDescent="0.25">
      <c r="B87" s="79"/>
    </row>
    <row r="88" spans="2:2" x14ac:dyDescent="0.25">
      <c r="B88" s="79"/>
    </row>
    <row r="89" spans="2:2" x14ac:dyDescent="0.25">
      <c r="B89" s="79"/>
    </row>
    <row r="90" spans="2:2" x14ac:dyDescent="0.25">
      <c r="B90" s="79"/>
    </row>
    <row r="91" spans="2:2" x14ac:dyDescent="0.25">
      <c r="B91" s="79"/>
    </row>
    <row r="92" spans="2:2" x14ac:dyDescent="0.25">
      <c r="B92" s="79"/>
    </row>
    <row r="93" spans="2:2" x14ac:dyDescent="0.25">
      <c r="B93" s="79"/>
    </row>
    <row r="94" spans="2:2" x14ac:dyDescent="0.25">
      <c r="B94" s="79"/>
    </row>
    <row r="95" spans="2:2" x14ac:dyDescent="0.25">
      <c r="B95" s="79"/>
    </row>
    <row r="96" spans="2:2" x14ac:dyDescent="0.25">
      <c r="B96" s="79"/>
    </row>
    <row r="97" spans="2:2" x14ac:dyDescent="0.25">
      <c r="B97" s="79"/>
    </row>
    <row r="98" spans="2:2" x14ac:dyDescent="0.25">
      <c r="B98" s="79"/>
    </row>
    <row r="99" spans="2:2" x14ac:dyDescent="0.25">
      <c r="B99" s="79"/>
    </row>
    <row r="100" spans="2:2" x14ac:dyDescent="0.25">
      <c r="B100" s="79"/>
    </row>
    <row r="101" spans="2:2" x14ac:dyDescent="0.25">
      <c r="B101" s="79"/>
    </row>
    <row r="102" spans="2:2" x14ac:dyDescent="0.25">
      <c r="B102" s="79"/>
    </row>
    <row r="103" spans="2:2" x14ac:dyDescent="0.25">
      <c r="B103" s="79"/>
    </row>
    <row r="104" spans="2:2" x14ac:dyDescent="0.25">
      <c r="B104" s="79"/>
    </row>
    <row r="105" spans="2:2" x14ac:dyDescent="0.25">
      <c r="B105" s="79"/>
    </row>
    <row r="106" spans="2:2" x14ac:dyDescent="0.25">
      <c r="B106" s="79"/>
    </row>
    <row r="107" spans="2:2" x14ac:dyDescent="0.25">
      <c r="B107" s="79"/>
    </row>
    <row r="108" spans="2:2" x14ac:dyDescent="0.25">
      <c r="B108" s="79"/>
    </row>
    <row r="109" spans="2:2" x14ac:dyDescent="0.25">
      <c r="B109" s="79"/>
    </row>
    <row r="110" spans="2:2" x14ac:dyDescent="0.25">
      <c r="B110" s="79"/>
    </row>
    <row r="111" spans="2:2" x14ac:dyDescent="0.25">
      <c r="B111" s="79"/>
    </row>
    <row r="112" spans="2:2" x14ac:dyDescent="0.25">
      <c r="B112" s="79"/>
    </row>
    <row r="113" spans="2:2" x14ac:dyDescent="0.25">
      <c r="B113" s="79"/>
    </row>
    <row r="114" spans="2:2" x14ac:dyDescent="0.25">
      <c r="B114" s="79"/>
    </row>
    <row r="115" spans="2:2" x14ac:dyDescent="0.25">
      <c r="B115" s="79"/>
    </row>
    <row r="116" spans="2:2" x14ac:dyDescent="0.25">
      <c r="B116" s="79"/>
    </row>
    <row r="117" spans="2:2" x14ac:dyDescent="0.25">
      <c r="B117" s="79"/>
    </row>
    <row r="118" spans="2:2" x14ac:dyDescent="0.25">
      <c r="B118" s="79"/>
    </row>
    <row r="119" spans="2:2" x14ac:dyDescent="0.25">
      <c r="B119" s="79"/>
    </row>
    <row r="120" spans="2:2" x14ac:dyDescent="0.25">
      <c r="B120" s="79"/>
    </row>
    <row r="121" spans="2:2" x14ac:dyDescent="0.25">
      <c r="B121" s="79"/>
    </row>
    <row r="122" spans="2:2" x14ac:dyDescent="0.25">
      <c r="B122" s="79"/>
    </row>
    <row r="123" spans="2:2" x14ac:dyDescent="0.25">
      <c r="B123" s="79"/>
    </row>
    <row r="124" spans="2:2" x14ac:dyDescent="0.25">
      <c r="B124" s="79"/>
    </row>
    <row r="125" spans="2:2" x14ac:dyDescent="0.25">
      <c r="B125" s="79"/>
    </row>
    <row r="126" spans="2:2" x14ac:dyDescent="0.25">
      <c r="B126" s="79"/>
    </row>
    <row r="127" spans="2:2" x14ac:dyDescent="0.25">
      <c r="B127" s="79"/>
    </row>
    <row r="128" spans="2:2" x14ac:dyDescent="0.25">
      <c r="B128" s="79"/>
    </row>
    <row r="129" spans="2:2" x14ac:dyDescent="0.25">
      <c r="B129" s="79"/>
    </row>
    <row r="130" spans="2:2" x14ac:dyDescent="0.25">
      <c r="B130" s="79"/>
    </row>
    <row r="131" spans="2:2" x14ac:dyDescent="0.25">
      <c r="B131" s="79"/>
    </row>
    <row r="132" spans="2:2" x14ac:dyDescent="0.25">
      <c r="B132" s="79"/>
    </row>
    <row r="133" spans="2:2" x14ac:dyDescent="0.25">
      <c r="B133" s="79"/>
    </row>
    <row r="134" spans="2:2" x14ac:dyDescent="0.25">
      <c r="B134" s="79"/>
    </row>
    <row r="135" spans="2:2" x14ac:dyDescent="0.25">
      <c r="B135" s="79"/>
    </row>
    <row r="136" spans="2:2" x14ac:dyDescent="0.25">
      <c r="B136" s="79"/>
    </row>
    <row r="137" spans="2:2" x14ac:dyDescent="0.25">
      <c r="B137" s="79"/>
    </row>
    <row r="138" spans="2:2" x14ac:dyDescent="0.25">
      <c r="B138" s="79"/>
    </row>
    <row r="139" spans="2:2" x14ac:dyDescent="0.25">
      <c r="B139" s="79"/>
    </row>
    <row r="140" spans="2:2" x14ac:dyDescent="0.25">
      <c r="B140" s="79"/>
    </row>
    <row r="141" spans="2:2" x14ac:dyDescent="0.25">
      <c r="B141" s="79"/>
    </row>
    <row r="142" spans="2:2" x14ac:dyDescent="0.25">
      <c r="B142" s="79"/>
    </row>
    <row r="143" spans="2:2" x14ac:dyDescent="0.25">
      <c r="B143" s="79"/>
    </row>
    <row r="144" spans="2:2" x14ac:dyDescent="0.25">
      <c r="B144" s="79"/>
    </row>
    <row r="145" spans="2:2" x14ac:dyDescent="0.25">
      <c r="B145" s="79"/>
    </row>
    <row r="146" spans="2:2" x14ac:dyDescent="0.25">
      <c r="B146" s="79"/>
    </row>
    <row r="147" spans="2:2" x14ac:dyDescent="0.25">
      <c r="B147" s="79"/>
    </row>
    <row r="148" spans="2:2" x14ac:dyDescent="0.25">
      <c r="B148" s="79"/>
    </row>
    <row r="149" spans="2:2" x14ac:dyDescent="0.25">
      <c r="B149" s="79"/>
    </row>
    <row r="150" spans="2:2" x14ac:dyDescent="0.25">
      <c r="B150" s="79"/>
    </row>
    <row r="151" spans="2:2" x14ac:dyDescent="0.25">
      <c r="B151" s="79"/>
    </row>
    <row r="152" spans="2:2" x14ac:dyDescent="0.25">
      <c r="B152" s="79"/>
    </row>
    <row r="153" spans="2:2" x14ac:dyDescent="0.25">
      <c r="B153" s="79"/>
    </row>
    <row r="154" spans="2:2" x14ac:dyDescent="0.25">
      <c r="B154" s="79"/>
    </row>
  </sheetData>
  <printOptions horizontalCentered="1"/>
  <pageMargins left="0" right="0" top="0" bottom="0" header="0" footer="0"/>
  <pageSetup paperSize="9" scale="55" orientation="landscape"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75F92-7198-4F23-AFC5-12718D405975}">
  <sheetPr>
    <pageSetUpPr fitToPage="1"/>
  </sheetPr>
  <dimension ref="A1:D154"/>
  <sheetViews>
    <sheetView view="pageBreakPreview" zoomScale="80" zoomScaleNormal="100" zoomScaleSheetLayoutView="80" workbookViewId="0">
      <selection activeCell="F14" sqref="F14"/>
    </sheetView>
  </sheetViews>
  <sheetFormatPr defaultRowHeight="15" x14ac:dyDescent="0.25"/>
  <cols>
    <col min="1" max="1" width="20.7109375" style="79" bestFit="1" customWidth="1"/>
    <col min="2" max="2" width="28.85546875" style="192" bestFit="1" customWidth="1"/>
    <col min="3" max="3" width="25.28515625" style="238" bestFit="1" customWidth="1"/>
    <col min="4" max="4" width="25.85546875" style="238" bestFit="1" customWidth="1"/>
    <col min="5" max="6" width="25.7109375" style="79" bestFit="1" customWidth="1"/>
    <col min="7" max="16384" width="9.140625" style="79"/>
  </cols>
  <sheetData>
    <row r="1" spans="1:4" ht="27" customHeight="1" x14ac:dyDescent="0.25">
      <c r="A1" s="79" t="s">
        <v>1307</v>
      </c>
      <c r="B1" s="79" t="s">
        <v>1193</v>
      </c>
      <c r="C1" s="79" t="s">
        <v>1191</v>
      </c>
      <c r="D1" s="79" t="s">
        <v>1192</v>
      </c>
    </row>
    <row r="2" spans="1:4" ht="27" customHeight="1" x14ac:dyDescent="0.25">
      <c r="A2" s="121" t="s">
        <v>15</v>
      </c>
      <c r="B2" s="122">
        <v>204</v>
      </c>
      <c r="C2" s="253">
        <v>0.73</v>
      </c>
      <c r="D2" s="253">
        <v>0.96500000000000008</v>
      </c>
    </row>
    <row r="3" spans="1:4" ht="27" customHeight="1" x14ac:dyDescent="0.25">
      <c r="A3" s="121" t="s">
        <v>204</v>
      </c>
      <c r="B3" s="122">
        <v>253</v>
      </c>
      <c r="C3" s="253">
        <v>0.505</v>
      </c>
      <c r="D3" s="253">
        <v>0.72900000000000009</v>
      </c>
    </row>
    <row r="4" spans="1:4" ht="27" customHeight="1" x14ac:dyDescent="0.25">
      <c r="A4" s="121" t="s">
        <v>205</v>
      </c>
      <c r="B4" s="122">
        <v>345</v>
      </c>
      <c r="C4" s="253">
        <v>0.27499999999999997</v>
      </c>
      <c r="D4" s="253">
        <v>0.495</v>
      </c>
    </row>
    <row r="5" spans="1:4" ht="27" customHeight="1" x14ac:dyDescent="0.25">
      <c r="A5" s="121" t="s">
        <v>732</v>
      </c>
      <c r="B5" s="122">
        <v>56</v>
      </c>
      <c r="C5" s="253">
        <v>0.28499999999999998</v>
      </c>
      <c r="D5" s="253">
        <v>0.65</v>
      </c>
    </row>
    <row r="6" spans="1:4" ht="27" customHeight="1" x14ac:dyDescent="0.25">
      <c r="A6" s="121" t="s">
        <v>709</v>
      </c>
      <c r="B6" s="122">
        <v>858</v>
      </c>
      <c r="C6" s="122">
        <v>0.27499999999999997</v>
      </c>
      <c r="D6" s="122">
        <v>0.96500000000000008</v>
      </c>
    </row>
    <row r="7" spans="1:4" x14ac:dyDescent="0.25">
      <c r="B7" s="79"/>
      <c r="C7" s="79"/>
      <c r="D7" s="79"/>
    </row>
    <row r="8" spans="1:4" x14ac:dyDescent="0.25">
      <c r="B8" s="79"/>
    </row>
    <row r="9" spans="1:4" x14ac:dyDescent="0.25">
      <c r="B9" s="79"/>
    </row>
    <row r="10" spans="1:4" x14ac:dyDescent="0.25">
      <c r="B10" s="79"/>
    </row>
    <row r="11" spans="1:4" x14ac:dyDescent="0.25">
      <c r="B11" s="79"/>
    </row>
    <row r="12" spans="1:4" x14ac:dyDescent="0.25">
      <c r="B12" s="79"/>
    </row>
    <row r="13" spans="1:4" x14ac:dyDescent="0.25">
      <c r="B13" s="79"/>
    </row>
    <row r="14" spans="1:4" x14ac:dyDescent="0.25">
      <c r="B14" s="79"/>
    </row>
    <row r="15" spans="1:4" x14ac:dyDescent="0.25">
      <c r="B15" s="79"/>
    </row>
    <row r="16" spans="1:4" x14ac:dyDescent="0.25">
      <c r="B16" s="79"/>
    </row>
    <row r="17" spans="2:2" x14ac:dyDescent="0.25">
      <c r="B17" s="79"/>
    </row>
    <row r="18" spans="2:2" x14ac:dyDescent="0.25">
      <c r="B18" s="79"/>
    </row>
    <row r="19" spans="2:2" x14ac:dyDescent="0.25">
      <c r="B19" s="79"/>
    </row>
    <row r="20" spans="2:2" x14ac:dyDescent="0.25">
      <c r="B20" s="79"/>
    </row>
    <row r="21" spans="2:2" x14ac:dyDescent="0.25">
      <c r="B21" s="79"/>
    </row>
    <row r="22" spans="2:2" x14ac:dyDescent="0.25">
      <c r="B22" s="79"/>
    </row>
    <row r="23" spans="2:2" x14ac:dyDescent="0.25">
      <c r="B23" s="79"/>
    </row>
    <row r="24" spans="2:2" x14ac:dyDescent="0.25">
      <c r="B24" s="79"/>
    </row>
    <row r="25" spans="2:2" x14ac:dyDescent="0.25">
      <c r="B25" s="79"/>
    </row>
    <row r="26" spans="2:2" x14ac:dyDescent="0.25">
      <c r="B26" s="79"/>
    </row>
    <row r="27" spans="2:2" x14ac:dyDescent="0.25">
      <c r="B27" s="79"/>
    </row>
    <row r="28" spans="2:2" x14ac:dyDescent="0.25">
      <c r="B28" s="79"/>
    </row>
    <row r="29" spans="2:2" x14ac:dyDescent="0.25">
      <c r="B29" s="79"/>
    </row>
    <row r="30" spans="2:2" x14ac:dyDescent="0.25">
      <c r="B30" s="79"/>
    </row>
    <row r="31" spans="2:2" x14ac:dyDescent="0.25">
      <c r="B31" s="79"/>
    </row>
    <row r="32" spans="2:2" x14ac:dyDescent="0.25">
      <c r="B32" s="79"/>
    </row>
    <row r="33" spans="2:2" x14ac:dyDescent="0.25">
      <c r="B33" s="79"/>
    </row>
    <row r="34" spans="2:2" x14ac:dyDescent="0.25">
      <c r="B34" s="79"/>
    </row>
    <row r="35" spans="2:2" x14ac:dyDescent="0.25">
      <c r="B35" s="79"/>
    </row>
    <row r="36" spans="2:2" x14ac:dyDescent="0.25">
      <c r="B36" s="79"/>
    </row>
    <row r="37" spans="2:2" x14ac:dyDescent="0.25">
      <c r="B37" s="79"/>
    </row>
    <row r="38" spans="2:2" x14ac:dyDescent="0.25">
      <c r="B38" s="79"/>
    </row>
    <row r="39" spans="2:2" x14ac:dyDescent="0.25">
      <c r="B39" s="79"/>
    </row>
    <row r="40" spans="2:2" x14ac:dyDescent="0.25">
      <c r="B40" s="79"/>
    </row>
    <row r="41" spans="2:2" x14ac:dyDescent="0.25">
      <c r="B41" s="79"/>
    </row>
    <row r="42" spans="2:2" x14ac:dyDescent="0.25">
      <c r="B42" s="79"/>
    </row>
    <row r="43" spans="2:2" x14ac:dyDescent="0.25">
      <c r="B43" s="79"/>
    </row>
    <row r="44" spans="2:2" x14ac:dyDescent="0.25">
      <c r="B44" s="79"/>
    </row>
    <row r="45" spans="2:2" x14ac:dyDescent="0.25">
      <c r="B45" s="79"/>
    </row>
    <row r="46" spans="2:2" x14ac:dyDescent="0.25">
      <c r="B46" s="79"/>
    </row>
    <row r="47" spans="2:2" x14ac:dyDescent="0.25">
      <c r="B47" s="79"/>
    </row>
    <row r="48" spans="2:2" x14ac:dyDescent="0.25">
      <c r="B48" s="79"/>
    </row>
    <row r="49" spans="2:2" x14ac:dyDescent="0.25">
      <c r="B49" s="79"/>
    </row>
    <row r="50" spans="2:2" x14ac:dyDescent="0.25">
      <c r="B50" s="79"/>
    </row>
    <row r="51" spans="2:2" x14ac:dyDescent="0.25">
      <c r="B51" s="79"/>
    </row>
    <row r="52" spans="2:2" x14ac:dyDescent="0.25">
      <c r="B52" s="79"/>
    </row>
    <row r="53" spans="2:2" x14ac:dyDescent="0.25">
      <c r="B53" s="79"/>
    </row>
    <row r="54" spans="2:2" x14ac:dyDescent="0.25">
      <c r="B54" s="79"/>
    </row>
    <row r="55" spans="2:2" x14ac:dyDescent="0.25">
      <c r="B55" s="79"/>
    </row>
    <row r="56" spans="2:2" x14ac:dyDescent="0.25">
      <c r="B56" s="79"/>
    </row>
    <row r="57" spans="2:2" x14ac:dyDescent="0.25">
      <c r="B57" s="79"/>
    </row>
    <row r="58" spans="2:2" x14ac:dyDescent="0.25">
      <c r="B58" s="79"/>
    </row>
    <row r="59" spans="2:2" x14ac:dyDescent="0.25">
      <c r="B59" s="79"/>
    </row>
    <row r="60" spans="2:2" x14ac:dyDescent="0.25">
      <c r="B60" s="79"/>
    </row>
    <row r="61" spans="2:2" x14ac:dyDescent="0.25">
      <c r="B61" s="79"/>
    </row>
    <row r="62" spans="2:2" x14ac:dyDescent="0.25">
      <c r="B62" s="79"/>
    </row>
    <row r="63" spans="2:2" x14ac:dyDescent="0.25">
      <c r="B63" s="79"/>
    </row>
    <row r="64" spans="2:2" x14ac:dyDescent="0.25">
      <c r="B64" s="79"/>
    </row>
    <row r="65" spans="2:2" x14ac:dyDescent="0.25">
      <c r="B65" s="79"/>
    </row>
    <row r="66" spans="2:2" x14ac:dyDescent="0.25">
      <c r="B66" s="79"/>
    </row>
    <row r="67" spans="2:2" x14ac:dyDescent="0.25">
      <c r="B67" s="79"/>
    </row>
    <row r="68" spans="2:2" x14ac:dyDescent="0.25">
      <c r="B68" s="79"/>
    </row>
    <row r="69" spans="2:2" x14ac:dyDescent="0.25">
      <c r="B69" s="79"/>
    </row>
    <row r="70" spans="2:2" x14ac:dyDescent="0.25">
      <c r="B70" s="79"/>
    </row>
    <row r="71" spans="2:2" x14ac:dyDescent="0.25">
      <c r="B71" s="79"/>
    </row>
    <row r="72" spans="2:2" x14ac:dyDescent="0.25">
      <c r="B72" s="79"/>
    </row>
    <row r="73" spans="2:2" x14ac:dyDescent="0.25">
      <c r="B73" s="79"/>
    </row>
    <row r="74" spans="2:2" x14ac:dyDescent="0.25">
      <c r="B74" s="79"/>
    </row>
    <row r="75" spans="2:2" x14ac:dyDescent="0.25">
      <c r="B75" s="79"/>
    </row>
    <row r="76" spans="2:2" x14ac:dyDescent="0.25">
      <c r="B76" s="79"/>
    </row>
    <row r="77" spans="2:2" x14ac:dyDescent="0.25">
      <c r="B77" s="79"/>
    </row>
    <row r="78" spans="2:2" x14ac:dyDescent="0.25">
      <c r="B78" s="79"/>
    </row>
    <row r="79" spans="2:2" x14ac:dyDescent="0.25">
      <c r="B79" s="79"/>
    </row>
    <row r="80" spans="2:2" x14ac:dyDescent="0.25">
      <c r="B80" s="79"/>
    </row>
    <row r="81" spans="2:2" x14ac:dyDescent="0.25">
      <c r="B81" s="79"/>
    </row>
    <row r="82" spans="2:2" x14ac:dyDescent="0.25">
      <c r="B82" s="79"/>
    </row>
    <row r="83" spans="2:2" x14ac:dyDescent="0.25">
      <c r="B83" s="79"/>
    </row>
    <row r="84" spans="2:2" x14ac:dyDescent="0.25">
      <c r="B84" s="79"/>
    </row>
    <row r="85" spans="2:2" x14ac:dyDescent="0.25">
      <c r="B85" s="79"/>
    </row>
    <row r="86" spans="2:2" x14ac:dyDescent="0.25">
      <c r="B86" s="79"/>
    </row>
    <row r="87" spans="2:2" x14ac:dyDescent="0.25">
      <c r="B87" s="79"/>
    </row>
    <row r="88" spans="2:2" x14ac:dyDescent="0.25">
      <c r="B88" s="79"/>
    </row>
    <row r="89" spans="2:2" x14ac:dyDescent="0.25">
      <c r="B89" s="79"/>
    </row>
    <row r="90" spans="2:2" x14ac:dyDescent="0.25">
      <c r="B90" s="79"/>
    </row>
    <row r="91" spans="2:2" x14ac:dyDescent="0.25">
      <c r="B91" s="79"/>
    </row>
    <row r="92" spans="2:2" x14ac:dyDescent="0.25">
      <c r="B92" s="79"/>
    </row>
    <row r="93" spans="2:2" x14ac:dyDescent="0.25">
      <c r="B93" s="79"/>
    </row>
    <row r="94" spans="2:2" x14ac:dyDescent="0.25">
      <c r="B94" s="79"/>
    </row>
    <row r="95" spans="2:2" x14ac:dyDescent="0.25">
      <c r="B95" s="79"/>
    </row>
    <row r="96" spans="2:2" x14ac:dyDescent="0.25">
      <c r="B96" s="79"/>
    </row>
    <row r="97" spans="2:2" x14ac:dyDescent="0.25">
      <c r="B97" s="79"/>
    </row>
    <row r="98" spans="2:2" x14ac:dyDescent="0.25">
      <c r="B98" s="79"/>
    </row>
    <row r="99" spans="2:2" x14ac:dyDescent="0.25">
      <c r="B99" s="79"/>
    </row>
    <row r="100" spans="2:2" x14ac:dyDescent="0.25">
      <c r="B100" s="79"/>
    </row>
    <row r="101" spans="2:2" x14ac:dyDescent="0.25">
      <c r="B101" s="79"/>
    </row>
    <row r="102" spans="2:2" x14ac:dyDescent="0.25">
      <c r="B102" s="79"/>
    </row>
    <row r="103" spans="2:2" x14ac:dyDescent="0.25">
      <c r="B103" s="79"/>
    </row>
    <row r="104" spans="2:2" x14ac:dyDescent="0.25">
      <c r="B104" s="79"/>
    </row>
    <row r="105" spans="2:2" x14ac:dyDescent="0.25">
      <c r="B105" s="79"/>
    </row>
    <row r="106" spans="2:2" x14ac:dyDescent="0.25">
      <c r="B106" s="79"/>
    </row>
    <row r="107" spans="2:2" x14ac:dyDescent="0.25">
      <c r="B107" s="79"/>
    </row>
    <row r="108" spans="2:2" x14ac:dyDescent="0.25">
      <c r="B108" s="79"/>
    </row>
    <row r="109" spans="2:2" x14ac:dyDescent="0.25">
      <c r="B109" s="79"/>
    </row>
    <row r="110" spans="2:2" x14ac:dyDescent="0.25">
      <c r="B110" s="79"/>
    </row>
    <row r="111" spans="2:2" x14ac:dyDescent="0.25">
      <c r="B111" s="79"/>
    </row>
    <row r="112" spans="2:2" x14ac:dyDescent="0.25">
      <c r="B112" s="79"/>
    </row>
    <row r="113" spans="2:2" x14ac:dyDescent="0.25">
      <c r="B113" s="79"/>
    </row>
    <row r="114" spans="2:2" x14ac:dyDescent="0.25">
      <c r="B114" s="79"/>
    </row>
    <row r="115" spans="2:2" x14ac:dyDescent="0.25">
      <c r="B115" s="79"/>
    </row>
    <row r="116" spans="2:2" x14ac:dyDescent="0.25">
      <c r="B116" s="79"/>
    </row>
    <row r="117" spans="2:2" x14ac:dyDescent="0.25">
      <c r="B117" s="79"/>
    </row>
    <row r="118" spans="2:2" x14ac:dyDescent="0.25">
      <c r="B118" s="79"/>
    </row>
    <row r="119" spans="2:2" x14ac:dyDescent="0.25">
      <c r="B119" s="79"/>
    </row>
    <row r="120" spans="2:2" x14ac:dyDescent="0.25">
      <c r="B120" s="79"/>
    </row>
    <row r="121" spans="2:2" x14ac:dyDescent="0.25">
      <c r="B121" s="79"/>
    </row>
    <row r="122" spans="2:2" x14ac:dyDescent="0.25">
      <c r="B122" s="79"/>
    </row>
    <row r="123" spans="2:2" x14ac:dyDescent="0.25">
      <c r="B123" s="79"/>
    </row>
    <row r="124" spans="2:2" x14ac:dyDescent="0.25">
      <c r="B124" s="79"/>
    </row>
    <row r="125" spans="2:2" x14ac:dyDescent="0.25">
      <c r="B125" s="79"/>
    </row>
    <row r="126" spans="2:2" x14ac:dyDescent="0.25">
      <c r="B126" s="79"/>
    </row>
    <row r="127" spans="2:2" x14ac:dyDescent="0.25">
      <c r="B127" s="79"/>
    </row>
    <row r="128" spans="2:2" x14ac:dyDescent="0.25">
      <c r="B128" s="79"/>
    </row>
    <row r="129" spans="2:2" x14ac:dyDescent="0.25">
      <c r="B129" s="79"/>
    </row>
    <row r="130" spans="2:2" x14ac:dyDescent="0.25">
      <c r="B130" s="79"/>
    </row>
    <row r="131" spans="2:2" x14ac:dyDescent="0.25">
      <c r="B131" s="79"/>
    </row>
    <row r="132" spans="2:2" x14ac:dyDescent="0.25">
      <c r="B132" s="79"/>
    </row>
    <row r="133" spans="2:2" x14ac:dyDescent="0.25">
      <c r="B133" s="79"/>
    </row>
    <row r="134" spans="2:2" x14ac:dyDescent="0.25">
      <c r="B134" s="79"/>
    </row>
    <row r="135" spans="2:2" x14ac:dyDescent="0.25">
      <c r="B135" s="79"/>
    </row>
    <row r="136" spans="2:2" x14ac:dyDescent="0.25">
      <c r="B136" s="79"/>
    </row>
    <row r="137" spans="2:2" x14ac:dyDescent="0.25">
      <c r="B137" s="79"/>
    </row>
    <row r="138" spans="2:2" x14ac:dyDescent="0.25">
      <c r="B138" s="79"/>
    </row>
    <row r="139" spans="2:2" x14ac:dyDescent="0.25">
      <c r="B139" s="79"/>
    </row>
    <row r="140" spans="2:2" x14ac:dyDescent="0.25">
      <c r="B140" s="79"/>
    </row>
    <row r="141" spans="2:2" x14ac:dyDescent="0.25">
      <c r="B141" s="79"/>
    </row>
    <row r="142" spans="2:2" x14ac:dyDescent="0.25">
      <c r="B142" s="79"/>
    </row>
    <row r="143" spans="2:2" x14ac:dyDescent="0.25">
      <c r="B143" s="79"/>
    </row>
    <row r="144" spans="2:2" x14ac:dyDescent="0.25">
      <c r="B144" s="79"/>
    </row>
    <row r="145" spans="2:2" x14ac:dyDescent="0.25">
      <c r="B145" s="79"/>
    </row>
    <row r="146" spans="2:2" x14ac:dyDescent="0.25">
      <c r="B146" s="79"/>
    </row>
    <row r="147" spans="2:2" x14ac:dyDescent="0.25">
      <c r="B147" s="79"/>
    </row>
    <row r="148" spans="2:2" x14ac:dyDescent="0.25">
      <c r="B148" s="79"/>
    </row>
    <row r="149" spans="2:2" x14ac:dyDescent="0.25">
      <c r="B149" s="79"/>
    </row>
    <row r="150" spans="2:2" x14ac:dyDescent="0.25">
      <c r="B150" s="79"/>
    </row>
    <row r="151" spans="2:2" x14ac:dyDescent="0.25">
      <c r="B151" s="79"/>
    </row>
    <row r="152" spans="2:2" x14ac:dyDescent="0.25">
      <c r="B152" s="79"/>
    </row>
    <row r="153" spans="2:2" x14ac:dyDescent="0.25">
      <c r="B153" s="79"/>
    </row>
    <row r="154" spans="2:2" x14ac:dyDescent="0.25">
      <c r="B154" s="79"/>
    </row>
  </sheetData>
  <printOptions horizontalCentered="1"/>
  <pageMargins left="0" right="0" top="0" bottom="0" header="0" footer="0"/>
  <pageSetup paperSize="9"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12D79-B2E4-4F1C-A88C-4B2B4661509C}">
  <sheetPr>
    <pageSetUpPr fitToPage="1"/>
  </sheetPr>
  <dimension ref="A1:F154"/>
  <sheetViews>
    <sheetView view="pageBreakPreview" zoomScale="80" zoomScaleNormal="100" zoomScaleSheetLayoutView="80" workbookViewId="0">
      <selection activeCell="K7" sqref="K7"/>
    </sheetView>
  </sheetViews>
  <sheetFormatPr defaultRowHeight="15" x14ac:dyDescent="0.25"/>
  <cols>
    <col min="1" max="1" width="21.5703125" style="79" bestFit="1" customWidth="1"/>
    <col min="2" max="2" width="24.42578125" style="192" bestFit="1" customWidth="1"/>
    <col min="3" max="3" width="25.28515625" style="238" bestFit="1" customWidth="1"/>
    <col min="4" max="4" width="25.85546875" style="238" bestFit="1" customWidth="1"/>
    <col min="5" max="5" width="28.7109375" style="79" bestFit="1" customWidth="1"/>
    <col min="6" max="6" width="30.28515625" style="79" bestFit="1" customWidth="1"/>
    <col min="7" max="16384" width="9.140625" style="79"/>
  </cols>
  <sheetData>
    <row r="1" spans="1:6" x14ac:dyDescent="0.25">
      <c r="A1" s="79" t="s">
        <v>231</v>
      </c>
      <c r="B1" s="79" t="s">
        <v>1177</v>
      </c>
      <c r="C1" s="239"/>
      <c r="D1" s="239"/>
    </row>
    <row r="2" spans="1:6" x14ac:dyDescent="0.25">
      <c r="A2"/>
      <c r="B2"/>
      <c r="C2" s="239"/>
      <c r="D2" s="239"/>
    </row>
    <row r="3" spans="1:6" x14ac:dyDescent="0.25">
      <c r="A3" s="79" t="s">
        <v>733</v>
      </c>
      <c r="B3" s="79" t="s">
        <v>1190</v>
      </c>
      <c r="C3" s="79" t="s">
        <v>1191</v>
      </c>
      <c r="D3" s="79" t="s">
        <v>1192</v>
      </c>
      <c r="E3"/>
      <c r="F3"/>
    </row>
    <row r="4" spans="1:6" x14ac:dyDescent="0.25">
      <c r="A4" s="125">
        <v>75</v>
      </c>
      <c r="B4" s="122">
        <v>3</v>
      </c>
      <c r="C4" s="122">
        <v>0.35499999999999998</v>
      </c>
      <c r="D4" s="122">
        <v>0.35499999999999998</v>
      </c>
      <c r="E4"/>
      <c r="F4"/>
    </row>
    <row r="5" spans="1:6" x14ac:dyDescent="0.25">
      <c r="A5" s="125">
        <v>106</v>
      </c>
      <c r="B5" s="122">
        <v>6</v>
      </c>
      <c r="C5" s="122">
        <v>0.35499999999999998</v>
      </c>
      <c r="D5" s="122">
        <v>0.35499999999999998</v>
      </c>
      <c r="E5"/>
      <c r="F5"/>
    </row>
    <row r="6" spans="1:6" x14ac:dyDescent="0.25">
      <c r="A6" s="125">
        <v>108</v>
      </c>
      <c r="B6" s="122">
        <v>2</v>
      </c>
      <c r="C6" s="122">
        <v>0.32500000000000001</v>
      </c>
      <c r="D6" s="122">
        <v>0.34500000000000003</v>
      </c>
      <c r="E6"/>
      <c r="F6"/>
    </row>
    <row r="7" spans="1:6" x14ac:dyDescent="0.25">
      <c r="A7" s="125">
        <v>110</v>
      </c>
      <c r="B7" s="122">
        <v>9</v>
      </c>
      <c r="C7" s="122">
        <v>0.35499999999999998</v>
      </c>
      <c r="D7" s="122">
        <v>0.74500000000000011</v>
      </c>
      <c r="E7"/>
      <c r="F7"/>
    </row>
    <row r="8" spans="1:6" x14ac:dyDescent="0.25">
      <c r="A8" s="125">
        <v>111</v>
      </c>
      <c r="B8" s="122">
        <v>5</v>
      </c>
      <c r="C8" s="122">
        <v>0.27499999999999997</v>
      </c>
      <c r="D8" s="122">
        <v>0.58499999999999996</v>
      </c>
      <c r="E8"/>
      <c r="F8"/>
    </row>
    <row r="9" spans="1:6" x14ac:dyDescent="0.25">
      <c r="A9" s="125">
        <v>112</v>
      </c>
      <c r="B9" s="122">
        <v>1</v>
      </c>
      <c r="C9" s="122">
        <v>0.505</v>
      </c>
      <c r="D9" s="122">
        <v>0.505</v>
      </c>
      <c r="E9"/>
      <c r="F9"/>
    </row>
    <row r="10" spans="1:6" x14ac:dyDescent="0.25">
      <c r="A10" s="125">
        <v>116</v>
      </c>
      <c r="B10" s="122">
        <v>8</v>
      </c>
      <c r="C10" s="122">
        <v>0.32499999999999996</v>
      </c>
      <c r="D10" s="122">
        <v>0.35499999999999998</v>
      </c>
      <c r="E10"/>
      <c r="F10"/>
    </row>
    <row r="11" spans="1:6" x14ac:dyDescent="0.25">
      <c r="A11" s="125">
        <v>117</v>
      </c>
      <c r="B11" s="122">
        <v>6</v>
      </c>
      <c r="C11" s="122">
        <v>0.34499999999999997</v>
      </c>
      <c r="D11" s="122">
        <v>0.58499999999999996</v>
      </c>
      <c r="E11"/>
      <c r="F11"/>
    </row>
    <row r="12" spans="1:6" x14ac:dyDescent="0.25">
      <c r="A12" s="125">
        <v>119</v>
      </c>
      <c r="B12" s="122">
        <v>5</v>
      </c>
      <c r="C12" s="122">
        <v>0.51500000000000001</v>
      </c>
      <c r="D12" s="122">
        <v>0.74500000000000011</v>
      </c>
      <c r="E12"/>
      <c r="F12"/>
    </row>
    <row r="13" spans="1:6" x14ac:dyDescent="0.25">
      <c r="A13" s="125">
        <v>120</v>
      </c>
      <c r="B13" s="122">
        <v>2</v>
      </c>
      <c r="C13" s="122">
        <v>0.35499999999999998</v>
      </c>
      <c r="D13" s="122">
        <v>0.35499999999999998</v>
      </c>
      <c r="E13"/>
      <c r="F13"/>
    </row>
    <row r="14" spans="1:6" x14ac:dyDescent="0.25">
      <c r="A14" s="125">
        <v>121</v>
      </c>
      <c r="B14" s="122">
        <v>5</v>
      </c>
      <c r="C14" s="122">
        <v>0.34499999999999997</v>
      </c>
      <c r="D14" s="122">
        <v>0.58499999999999996</v>
      </c>
      <c r="E14"/>
      <c r="F14"/>
    </row>
    <row r="15" spans="1:6" x14ac:dyDescent="0.25">
      <c r="A15" s="125">
        <v>122</v>
      </c>
      <c r="B15" s="122">
        <v>1</v>
      </c>
      <c r="C15" s="122">
        <v>0.55500000000000005</v>
      </c>
      <c r="D15" s="122">
        <v>0.55500000000000005</v>
      </c>
      <c r="E15"/>
      <c r="F15"/>
    </row>
    <row r="16" spans="1:6" x14ac:dyDescent="0.25">
      <c r="A16" s="125">
        <v>135</v>
      </c>
      <c r="B16" s="122">
        <v>1</v>
      </c>
      <c r="C16" s="122">
        <v>0.53500000000000003</v>
      </c>
      <c r="D16" s="122">
        <v>0.53500000000000003</v>
      </c>
      <c r="E16"/>
      <c r="F16"/>
    </row>
    <row r="17" spans="1:6" x14ac:dyDescent="0.25">
      <c r="A17" s="125">
        <v>153</v>
      </c>
      <c r="B17" s="122">
        <v>5</v>
      </c>
      <c r="C17" s="122">
        <v>0.33000000000000007</v>
      </c>
      <c r="D17" s="122">
        <v>0.36</v>
      </c>
      <c r="E17"/>
      <c r="F17"/>
    </row>
    <row r="18" spans="1:6" x14ac:dyDescent="0.25">
      <c r="A18" s="125">
        <v>155</v>
      </c>
      <c r="B18" s="122">
        <v>5</v>
      </c>
      <c r="C18" s="122">
        <v>0.73</v>
      </c>
      <c r="D18" s="122">
        <v>0.73</v>
      </c>
      <c r="E18"/>
      <c r="F18"/>
    </row>
    <row r="19" spans="1:6" x14ac:dyDescent="0.25">
      <c r="A19" s="125">
        <v>157</v>
      </c>
      <c r="B19" s="122">
        <v>2</v>
      </c>
      <c r="C19" s="122">
        <v>0.53500000000000003</v>
      </c>
      <c r="D19" s="122">
        <v>0.58500000000000008</v>
      </c>
      <c r="E19"/>
      <c r="F19"/>
    </row>
    <row r="20" spans="1:6" x14ac:dyDescent="0.25">
      <c r="A20" s="125">
        <v>158</v>
      </c>
      <c r="B20" s="122">
        <v>5</v>
      </c>
      <c r="C20" s="122">
        <v>0.35499999999999998</v>
      </c>
      <c r="D20" s="122">
        <v>0.745</v>
      </c>
      <c r="E20"/>
      <c r="F20"/>
    </row>
    <row r="21" spans="1:6" x14ac:dyDescent="0.25">
      <c r="A21" s="125">
        <v>160</v>
      </c>
      <c r="B21" s="122">
        <v>9</v>
      </c>
      <c r="C21" s="122">
        <v>0.34</v>
      </c>
      <c r="D21" s="122">
        <v>0.745</v>
      </c>
      <c r="E21"/>
      <c r="F21"/>
    </row>
    <row r="22" spans="1:6" x14ac:dyDescent="0.25">
      <c r="A22" s="125">
        <v>161</v>
      </c>
      <c r="B22" s="122">
        <v>11</v>
      </c>
      <c r="C22" s="122">
        <v>0.33500000000000002</v>
      </c>
      <c r="D22" s="122">
        <v>0.745</v>
      </c>
      <c r="E22"/>
      <c r="F22"/>
    </row>
    <row r="23" spans="1:6" x14ac:dyDescent="0.25">
      <c r="A23" s="125">
        <v>170</v>
      </c>
      <c r="B23" s="122">
        <v>14</v>
      </c>
      <c r="C23" s="122">
        <v>0.32</v>
      </c>
      <c r="D23" s="122">
        <v>0.58250000000000002</v>
      </c>
      <c r="E23"/>
      <c r="F23"/>
    </row>
    <row r="24" spans="1:6" x14ac:dyDescent="0.25">
      <c r="A24" s="125">
        <v>172</v>
      </c>
      <c r="B24" s="122">
        <v>2</v>
      </c>
      <c r="C24" s="122">
        <v>0.54</v>
      </c>
      <c r="D24" s="122">
        <v>0.58000000000000007</v>
      </c>
      <c r="E24"/>
      <c r="F24"/>
    </row>
    <row r="25" spans="1:6" x14ac:dyDescent="0.25">
      <c r="A25" s="125">
        <v>173</v>
      </c>
      <c r="B25" s="122">
        <v>8</v>
      </c>
      <c r="C25" s="122">
        <v>0.33</v>
      </c>
      <c r="D25" s="122">
        <v>0.52500000000000002</v>
      </c>
      <c r="E25"/>
      <c r="F25"/>
    </row>
    <row r="26" spans="1:6" x14ac:dyDescent="0.25">
      <c r="A26" s="125">
        <v>174</v>
      </c>
      <c r="B26" s="122">
        <v>4</v>
      </c>
      <c r="C26" s="122">
        <v>0.35000000000000003</v>
      </c>
      <c r="D26" s="122">
        <v>0.7400000000000001</v>
      </c>
      <c r="E26"/>
      <c r="F26"/>
    </row>
    <row r="27" spans="1:6" x14ac:dyDescent="0.25">
      <c r="A27" s="125">
        <v>176</v>
      </c>
      <c r="B27" s="122">
        <v>10</v>
      </c>
      <c r="C27" s="122">
        <v>0.33500000000000002</v>
      </c>
      <c r="D27" s="122">
        <v>0.745</v>
      </c>
      <c r="E27"/>
      <c r="F27"/>
    </row>
    <row r="28" spans="1:6" x14ac:dyDescent="0.25">
      <c r="A28" s="125">
        <v>201</v>
      </c>
      <c r="B28" s="122">
        <v>2</v>
      </c>
      <c r="C28" s="122">
        <v>0.73000000000000009</v>
      </c>
      <c r="D28" s="122">
        <v>0.73000000000000009</v>
      </c>
      <c r="E28"/>
      <c r="F28"/>
    </row>
    <row r="29" spans="1:6" x14ac:dyDescent="0.25">
      <c r="A29" s="125">
        <v>204</v>
      </c>
      <c r="B29" s="122">
        <v>4</v>
      </c>
      <c r="C29" s="122">
        <v>0.74</v>
      </c>
      <c r="D29" s="122">
        <v>0.74</v>
      </c>
      <c r="E29"/>
      <c r="F29"/>
    </row>
    <row r="30" spans="1:6" x14ac:dyDescent="0.25">
      <c r="A30" s="125">
        <v>222</v>
      </c>
      <c r="B30" s="122">
        <v>2</v>
      </c>
      <c r="C30" s="122">
        <v>0.73499999999999999</v>
      </c>
      <c r="D30" s="122">
        <v>0.73499999999999999</v>
      </c>
      <c r="E30"/>
      <c r="F30"/>
    </row>
    <row r="31" spans="1:6" x14ac:dyDescent="0.25">
      <c r="A31" s="125">
        <v>224</v>
      </c>
      <c r="B31" s="122">
        <v>2</v>
      </c>
      <c r="C31" s="122">
        <v>0.745</v>
      </c>
      <c r="D31" s="122">
        <v>0.745</v>
      </c>
      <c r="E31"/>
      <c r="F31"/>
    </row>
    <row r="32" spans="1:6" x14ac:dyDescent="0.25">
      <c r="A32" s="125">
        <v>228</v>
      </c>
      <c r="B32" s="122">
        <v>1</v>
      </c>
      <c r="C32" s="122">
        <v>0.73499999999999999</v>
      </c>
      <c r="D32" s="122">
        <v>0.73499999999999999</v>
      </c>
      <c r="E32"/>
      <c r="F32"/>
    </row>
    <row r="33" spans="1:6" x14ac:dyDescent="0.25">
      <c r="A33" s="125">
        <v>301</v>
      </c>
      <c r="B33" s="122">
        <v>1</v>
      </c>
      <c r="C33" s="122">
        <v>0.58500000000000008</v>
      </c>
      <c r="D33" s="122">
        <v>0.58500000000000008</v>
      </c>
      <c r="E33"/>
      <c r="F33"/>
    </row>
    <row r="34" spans="1:6" x14ac:dyDescent="0.25">
      <c r="A34" s="125">
        <v>309</v>
      </c>
      <c r="B34" s="122">
        <v>1</v>
      </c>
      <c r="C34" s="122">
        <v>0.58500000000000008</v>
      </c>
      <c r="D34" s="122">
        <v>0.58500000000000008</v>
      </c>
      <c r="E34"/>
      <c r="F34"/>
    </row>
    <row r="35" spans="1:6" x14ac:dyDescent="0.25">
      <c r="A35" s="125">
        <v>344</v>
      </c>
      <c r="B35" s="122">
        <v>2</v>
      </c>
      <c r="C35" s="122">
        <v>0.68500000000000005</v>
      </c>
      <c r="D35" s="122">
        <v>0.7350000000000001</v>
      </c>
      <c r="E35"/>
      <c r="F35"/>
    </row>
    <row r="36" spans="1:6" x14ac:dyDescent="0.25">
      <c r="A36" s="125" t="s">
        <v>709</v>
      </c>
      <c r="B36" s="122">
        <v>144</v>
      </c>
      <c r="C36" s="122">
        <v>0.27499999999999997</v>
      </c>
      <c r="D36" s="122">
        <v>0.74500000000000011</v>
      </c>
      <c r="E36"/>
      <c r="F36"/>
    </row>
    <row r="37" spans="1:6" x14ac:dyDescent="0.25">
      <c r="A37"/>
      <c r="B37"/>
      <c r="C37" s="239"/>
      <c r="D37" s="239"/>
    </row>
    <row r="38" spans="1:6" x14ac:dyDescent="0.25">
      <c r="A38"/>
      <c r="B38"/>
      <c r="C38" s="239"/>
      <c r="D38" s="239"/>
    </row>
    <row r="39" spans="1:6" x14ac:dyDescent="0.25">
      <c r="A39"/>
      <c r="B39"/>
      <c r="C39" s="239"/>
      <c r="D39" s="239"/>
    </row>
    <row r="40" spans="1:6" x14ac:dyDescent="0.25">
      <c r="A40"/>
      <c r="B40"/>
      <c r="C40" s="239"/>
      <c r="D40" s="239"/>
    </row>
    <row r="41" spans="1:6" x14ac:dyDescent="0.25">
      <c r="A41"/>
      <c r="B41"/>
      <c r="C41" s="239"/>
      <c r="D41" s="239"/>
    </row>
    <row r="42" spans="1:6" x14ac:dyDescent="0.25">
      <c r="A42"/>
      <c r="B42"/>
      <c r="C42" s="239"/>
      <c r="D42" s="239"/>
    </row>
    <row r="43" spans="1:6" x14ac:dyDescent="0.25">
      <c r="A43"/>
      <c r="B43"/>
      <c r="C43" s="239"/>
      <c r="D43" s="239"/>
    </row>
    <row r="44" spans="1:6" x14ac:dyDescent="0.25">
      <c r="A44"/>
      <c r="B44"/>
      <c r="C44" s="239"/>
      <c r="D44" s="239"/>
    </row>
    <row r="45" spans="1:6" x14ac:dyDescent="0.25">
      <c r="A45"/>
      <c r="B45"/>
      <c r="C45" s="239"/>
      <c r="D45" s="239"/>
    </row>
    <row r="46" spans="1:6" x14ac:dyDescent="0.25">
      <c r="A46"/>
      <c r="B46"/>
      <c r="C46" s="239"/>
      <c r="D46" s="239"/>
    </row>
    <row r="47" spans="1:6" x14ac:dyDescent="0.25">
      <c r="A47"/>
      <c r="B47"/>
      <c r="C47" s="239"/>
      <c r="D47" s="239"/>
    </row>
    <row r="48" spans="1:6" x14ac:dyDescent="0.25">
      <c r="A48"/>
      <c r="B48"/>
      <c r="C48" s="239"/>
      <c r="D48" s="239"/>
    </row>
    <row r="49" spans="1:4" x14ac:dyDescent="0.25">
      <c r="A49"/>
      <c r="B49"/>
      <c r="C49" s="239"/>
      <c r="D49" s="239"/>
    </row>
    <row r="50" spans="1:4" x14ac:dyDescent="0.25">
      <c r="A50"/>
      <c r="B50"/>
      <c r="C50" s="239"/>
      <c r="D50" s="239"/>
    </row>
    <row r="51" spans="1:4" x14ac:dyDescent="0.25">
      <c r="A51"/>
      <c r="B51"/>
      <c r="C51" s="239"/>
      <c r="D51" s="239"/>
    </row>
    <row r="52" spans="1:4" x14ac:dyDescent="0.25">
      <c r="A52"/>
      <c r="B52"/>
      <c r="C52" s="239"/>
      <c r="D52" s="239"/>
    </row>
    <row r="53" spans="1:4" x14ac:dyDescent="0.25">
      <c r="A53"/>
      <c r="B53"/>
      <c r="C53" s="239"/>
      <c r="D53" s="239"/>
    </row>
    <row r="54" spans="1:4" x14ac:dyDescent="0.25">
      <c r="A54"/>
      <c r="B54"/>
      <c r="C54" s="239"/>
      <c r="D54" s="239"/>
    </row>
    <row r="55" spans="1:4" x14ac:dyDescent="0.25">
      <c r="A55"/>
      <c r="B55"/>
      <c r="C55" s="239"/>
      <c r="D55" s="239"/>
    </row>
    <row r="56" spans="1:4" x14ac:dyDescent="0.25">
      <c r="A56"/>
      <c r="B56"/>
      <c r="C56" s="239"/>
      <c r="D56" s="239"/>
    </row>
    <row r="57" spans="1:4" x14ac:dyDescent="0.25">
      <c r="B57" s="79"/>
    </row>
    <row r="58" spans="1:4" x14ac:dyDescent="0.25">
      <c r="B58" s="79"/>
    </row>
    <row r="59" spans="1:4" x14ac:dyDescent="0.25">
      <c r="B59" s="79"/>
    </row>
    <row r="60" spans="1:4" x14ac:dyDescent="0.25">
      <c r="B60" s="79"/>
    </row>
    <row r="61" spans="1:4" x14ac:dyDescent="0.25">
      <c r="B61" s="79"/>
    </row>
    <row r="62" spans="1:4" x14ac:dyDescent="0.25">
      <c r="B62" s="79"/>
    </row>
    <row r="63" spans="1:4" x14ac:dyDescent="0.25">
      <c r="B63" s="79"/>
    </row>
    <row r="64" spans="1:4" x14ac:dyDescent="0.25">
      <c r="B64" s="79"/>
    </row>
    <row r="65" spans="2:2" x14ac:dyDescent="0.25">
      <c r="B65" s="79"/>
    </row>
    <row r="66" spans="2:2" x14ac:dyDescent="0.25">
      <c r="B66" s="79"/>
    </row>
    <row r="67" spans="2:2" x14ac:dyDescent="0.25">
      <c r="B67" s="79"/>
    </row>
    <row r="68" spans="2:2" x14ac:dyDescent="0.25">
      <c r="B68" s="79"/>
    </row>
    <row r="69" spans="2:2" x14ac:dyDescent="0.25">
      <c r="B69" s="79"/>
    </row>
    <row r="70" spans="2:2" x14ac:dyDescent="0.25">
      <c r="B70" s="79"/>
    </row>
    <row r="71" spans="2:2" x14ac:dyDescent="0.25">
      <c r="B71" s="79"/>
    </row>
    <row r="72" spans="2:2" x14ac:dyDescent="0.25">
      <c r="B72" s="79"/>
    </row>
    <row r="73" spans="2:2" x14ac:dyDescent="0.25">
      <c r="B73" s="79"/>
    </row>
    <row r="74" spans="2:2" x14ac:dyDescent="0.25">
      <c r="B74" s="79"/>
    </row>
    <row r="75" spans="2:2" x14ac:dyDescent="0.25">
      <c r="B75" s="79"/>
    </row>
    <row r="76" spans="2:2" x14ac:dyDescent="0.25">
      <c r="B76" s="79"/>
    </row>
    <row r="77" spans="2:2" x14ac:dyDescent="0.25">
      <c r="B77" s="79"/>
    </row>
    <row r="78" spans="2:2" x14ac:dyDescent="0.25">
      <c r="B78" s="79"/>
    </row>
    <row r="79" spans="2:2" x14ac:dyDescent="0.25">
      <c r="B79" s="79"/>
    </row>
    <row r="80" spans="2:2" x14ac:dyDescent="0.25">
      <c r="B80" s="79"/>
    </row>
    <row r="81" spans="2:2" x14ac:dyDescent="0.25">
      <c r="B81" s="79"/>
    </row>
    <row r="82" spans="2:2" x14ac:dyDescent="0.25">
      <c r="B82" s="79"/>
    </row>
    <row r="83" spans="2:2" x14ac:dyDescent="0.25">
      <c r="B83" s="79"/>
    </row>
    <row r="84" spans="2:2" x14ac:dyDescent="0.25">
      <c r="B84" s="79"/>
    </row>
    <row r="85" spans="2:2" x14ac:dyDescent="0.25">
      <c r="B85" s="79"/>
    </row>
    <row r="86" spans="2:2" x14ac:dyDescent="0.25">
      <c r="B86" s="79"/>
    </row>
    <row r="87" spans="2:2" x14ac:dyDescent="0.25">
      <c r="B87" s="79"/>
    </row>
    <row r="88" spans="2:2" x14ac:dyDescent="0.25">
      <c r="B88" s="79"/>
    </row>
    <row r="89" spans="2:2" x14ac:dyDescent="0.25">
      <c r="B89" s="79"/>
    </row>
    <row r="90" spans="2:2" x14ac:dyDescent="0.25">
      <c r="B90" s="79"/>
    </row>
    <row r="91" spans="2:2" x14ac:dyDescent="0.25">
      <c r="B91" s="79"/>
    </row>
    <row r="92" spans="2:2" x14ac:dyDescent="0.25">
      <c r="B92" s="79"/>
    </row>
    <row r="93" spans="2:2" x14ac:dyDescent="0.25">
      <c r="B93" s="79"/>
    </row>
    <row r="94" spans="2:2" x14ac:dyDescent="0.25">
      <c r="B94" s="79"/>
    </row>
    <row r="95" spans="2:2" x14ac:dyDescent="0.25">
      <c r="B95" s="79"/>
    </row>
    <row r="96" spans="2:2" x14ac:dyDescent="0.25">
      <c r="B96" s="79"/>
    </row>
    <row r="97" spans="2:2" x14ac:dyDescent="0.25">
      <c r="B97" s="79"/>
    </row>
    <row r="98" spans="2:2" x14ac:dyDescent="0.25">
      <c r="B98" s="79"/>
    </row>
    <row r="99" spans="2:2" x14ac:dyDescent="0.25">
      <c r="B99" s="79"/>
    </row>
    <row r="100" spans="2:2" x14ac:dyDescent="0.25">
      <c r="B100" s="79"/>
    </row>
    <row r="101" spans="2:2" x14ac:dyDescent="0.25">
      <c r="B101" s="79"/>
    </row>
    <row r="102" spans="2:2" x14ac:dyDescent="0.25">
      <c r="B102" s="79"/>
    </row>
    <row r="103" spans="2:2" x14ac:dyDescent="0.25">
      <c r="B103" s="79"/>
    </row>
    <row r="104" spans="2:2" x14ac:dyDescent="0.25">
      <c r="B104" s="79"/>
    </row>
    <row r="105" spans="2:2" x14ac:dyDescent="0.25">
      <c r="B105" s="79"/>
    </row>
    <row r="106" spans="2:2" x14ac:dyDescent="0.25">
      <c r="B106" s="79"/>
    </row>
    <row r="107" spans="2:2" x14ac:dyDescent="0.25">
      <c r="B107" s="79"/>
    </row>
    <row r="108" spans="2:2" x14ac:dyDescent="0.25">
      <c r="B108" s="79"/>
    </row>
    <row r="109" spans="2:2" x14ac:dyDescent="0.25">
      <c r="B109" s="79"/>
    </row>
    <row r="110" spans="2:2" x14ac:dyDescent="0.25">
      <c r="B110" s="79"/>
    </row>
    <row r="111" spans="2:2" x14ac:dyDescent="0.25">
      <c r="B111" s="79"/>
    </row>
    <row r="112" spans="2:2" x14ac:dyDescent="0.25">
      <c r="B112" s="79"/>
    </row>
    <row r="113" spans="2:2" x14ac:dyDescent="0.25">
      <c r="B113" s="79"/>
    </row>
    <row r="114" spans="2:2" x14ac:dyDescent="0.25">
      <c r="B114" s="79"/>
    </row>
    <row r="115" spans="2:2" x14ac:dyDescent="0.25">
      <c r="B115" s="79"/>
    </row>
    <row r="116" spans="2:2" x14ac:dyDescent="0.25">
      <c r="B116" s="79"/>
    </row>
    <row r="117" spans="2:2" x14ac:dyDescent="0.25">
      <c r="B117" s="79"/>
    </row>
    <row r="118" spans="2:2" x14ac:dyDescent="0.25">
      <c r="B118" s="79"/>
    </row>
    <row r="119" spans="2:2" x14ac:dyDescent="0.25">
      <c r="B119" s="79"/>
    </row>
    <row r="120" spans="2:2" x14ac:dyDescent="0.25">
      <c r="B120" s="79"/>
    </row>
    <row r="121" spans="2:2" x14ac:dyDescent="0.25">
      <c r="B121" s="79"/>
    </row>
    <row r="122" spans="2:2" x14ac:dyDescent="0.25">
      <c r="B122" s="79"/>
    </row>
    <row r="123" spans="2:2" x14ac:dyDescent="0.25">
      <c r="B123" s="79"/>
    </row>
    <row r="124" spans="2:2" x14ac:dyDescent="0.25">
      <c r="B124" s="79"/>
    </row>
    <row r="125" spans="2:2" x14ac:dyDescent="0.25">
      <c r="B125" s="79"/>
    </row>
    <row r="126" spans="2:2" x14ac:dyDescent="0.25">
      <c r="B126" s="79"/>
    </row>
    <row r="127" spans="2:2" x14ac:dyDescent="0.25">
      <c r="B127" s="79"/>
    </row>
    <row r="128" spans="2:2" x14ac:dyDescent="0.25">
      <c r="B128" s="79"/>
    </row>
    <row r="129" spans="2:2" x14ac:dyDescent="0.25">
      <c r="B129" s="79"/>
    </row>
    <row r="130" spans="2:2" x14ac:dyDescent="0.25">
      <c r="B130" s="79"/>
    </row>
    <row r="131" spans="2:2" x14ac:dyDescent="0.25">
      <c r="B131" s="79"/>
    </row>
    <row r="132" spans="2:2" x14ac:dyDescent="0.25">
      <c r="B132" s="79"/>
    </row>
    <row r="133" spans="2:2" x14ac:dyDescent="0.25">
      <c r="B133" s="79"/>
    </row>
    <row r="134" spans="2:2" x14ac:dyDescent="0.25">
      <c r="B134" s="79"/>
    </row>
    <row r="135" spans="2:2" x14ac:dyDescent="0.25">
      <c r="B135" s="79"/>
    </row>
    <row r="136" spans="2:2" x14ac:dyDescent="0.25">
      <c r="B136" s="79"/>
    </row>
    <row r="137" spans="2:2" x14ac:dyDescent="0.25">
      <c r="B137" s="79"/>
    </row>
    <row r="138" spans="2:2" x14ac:dyDescent="0.25">
      <c r="B138" s="79"/>
    </row>
    <row r="139" spans="2:2" x14ac:dyDescent="0.25">
      <c r="B139" s="79"/>
    </row>
    <row r="140" spans="2:2" x14ac:dyDescent="0.25">
      <c r="B140" s="79"/>
    </row>
    <row r="141" spans="2:2" x14ac:dyDescent="0.25">
      <c r="B141" s="79"/>
    </row>
    <row r="142" spans="2:2" x14ac:dyDescent="0.25">
      <c r="B142" s="79"/>
    </row>
    <row r="143" spans="2:2" x14ac:dyDescent="0.25">
      <c r="B143" s="79"/>
    </row>
    <row r="144" spans="2:2" x14ac:dyDescent="0.25">
      <c r="B144" s="79"/>
    </row>
    <row r="145" spans="2:2" x14ac:dyDescent="0.25">
      <c r="B145" s="79"/>
    </row>
    <row r="146" spans="2:2" x14ac:dyDescent="0.25">
      <c r="B146" s="79"/>
    </row>
    <row r="147" spans="2:2" x14ac:dyDescent="0.25">
      <c r="B147" s="79"/>
    </row>
    <row r="148" spans="2:2" x14ac:dyDescent="0.25">
      <c r="B148" s="79"/>
    </row>
    <row r="149" spans="2:2" x14ac:dyDescent="0.25">
      <c r="B149" s="79"/>
    </row>
    <row r="150" spans="2:2" x14ac:dyDescent="0.25">
      <c r="B150" s="79"/>
    </row>
    <row r="151" spans="2:2" x14ac:dyDescent="0.25">
      <c r="B151" s="79"/>
    </row>
    <row r="152" spans="2:2" x14ac:dyDescent="0.25">
      <c r="B152" s="79"/>
    </row>
    <row r="153" spans="2:2" x14ac:dyDescent="0.25">
      <c r="B153" s="79"/>
    </row>
    <row r="154" spans="2:2" x14ac:dyDescent="0.25">
      <c r="B154" s="79"/>
    </row>
  </sheetData>
  <printOptions horizontalCentered="1"/>
  <pageMargins left="0" right="0" top="0" bottom="0" header="0" footer="0"/>
  <pageSetup paperSize="9" scale="55" orientation="landscape"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98B18-4F41-4577-AB77-2D3DB2967AA2}">
  <sheetPr>
    <tabColor theme="0"/>
  </sheetPr>
  <dimension ref="A2:V1286"/>
  <sheetViews>
    <sheetView topLeftCell="A14" zoomScale="70" zoomScaleNormal="70" workbookViewId="0">
      <selection activeCell="A572" sqref="A572:A591"/>
    </sheetView>
  </sheetViews>
  <sheetFormatPr defaultRowHeight="15" x14ac:dyDescent="0.25"/>
  <cols>
    <col min="2" max="2" width="9.140625" style="22"/>
    <col min="5" max="5" width="9.28515625" customWidth="1"/>
    <col min="6" max="6" width="11.140625" style="18" bestFit="1" customWidth="1"/>
    <col min="7" max="7" width="10.85546875" style="18" customWidth="1"/>
    <col min="8" max="8" width="11.5703125" style="18" bestFit="1" customWidth="1"/>
    <col min="9" max="9" width="15.5703125" style="18" bestFit="1" customWidth="1"/>
    <col min="10" max="10" width="18.7109375" style="18" customWidth="1"/>
    <col min="11" max="11" width="9.140625" style="18"/>
  </cols>
  <sheetData>
    <row r="2" spans="1:22" ht="15.75" customHeight="1" thickBot="1" x14ac:dyDescent="0.3"/>
    <row r="3" spans="1:22" x14ac:dyDescent="0.25">
      <c r="A3" s="31"/>
      <c r="B3" s="32"/>
      <c r="C3" s="33"/>
      <c r="D3" s="33"/>
      <c r="E3" s="33"/>
      <c r="F3" s="34"/>
      <c r="G3" s="34"/>
      <c r="H3" s="34"/>
      <c r="I3" s="34"/>
      <c r="J3" s="34"/>
      <c r="K3" s="34"/>
      <c r="L3" s="33"/>
      <c r="M3" s="33"/>
      <c r="N3" s="33"/>
      <c r="O3" s="33"/>
      <c r="P3" s="33"/>
      <c r="Q3" s="33"/>
      <c r="R3" s="33"/>
      <c r="S3" s="33"/>
      <c r="T3" s="33"/>
      <c r="U3" s="33"/>
      <c r="V3" s="36"/>
    </row>
    <row r="4" spans="1:22" ht="15.75" customHeight="1" x14ac:dyDescent="0.25">
      <c r="A4" s="37"/>
      <c r="L4" s="52" t="s">
        <v>0</v>
      </c>
      <c r="M4" s="497" t="s">
        <v>98</v>
      </c>
      <c r="N4" s="497"/>
      <c r="O4" s="497"/>
      <c r="Q4" s="477"/>
      <c r="R4" s="477"/>
      <c r="V4" s="39"/>
    </row>
    <row r="5" spans="1:22" ht="15.75" customHeight="1" x14ac:dyDescent="0.25">
      <c r="A5" s="37"/>
      <c r="L5" s="38" t="s">
        <v>14</v>
      </c>
      <c r="M5" s="477" t="s">
        <v>12</v>
      </c>
      <c r="N5" s="477"/>
      <c r="O5" s="477" t="s">
        <v>12</v>
      </c>
      <c r="P5" s="477"/>
      <c r="Q5" s="477" t="s">
        <v>12</v>
      </c>
      <c r="R5" s="477"/>
      <c r="S5" s="477" t="s">
        <v>12</v>
      </c>
      <c r="T5" s="477"/>
      <c r="U5" s="477"/>
      <c r="V5" s="39"/>
    </row>
    <row r="6" spans="1:22" x14ac:dyDescent="0.25">
      <c r="A6" s="37"/>
      <c r="L6" s="38"/>
      <c r="V6" s="39"/>
    </row>
    <row r="7" spans="1:22" x14ac:dyDescent="0.25">
      <c r="A7" s="37"/>
      <c r="L7" s="499" t="s">
        <v>11</v>
      </c>
      <c r="M7" s="20">
        <v>3</v>
      </c>
      <c r="N7" s="20">
        <v>2</v>
      </c>
      <c r="O7" s="21">
        <v>3</v>
      </c>
      <c r="P7" s="21">
        <v>2</v>
      </c>
      <c r="Q7" s="20">
        <v>3</v>
      </c>
      <c r="R7" s="20">
        <v>2</v>
      </c>
      <c r="S7" s="21">
        <v>4</v>
      </c>
      <c r="T7" s="21">
        <v>3</v>
      </c>
      <c r="U7" s="21">
        <v>2</v>
      </c>
      <c r="V7" s="39"/>
    </row>
    <row r="8" spans="1:22" ht="15.75" customHeight="1" x14ac:dyDescent="0.25">
      <c r="A8" s="37"/>
      <c r="L8" s="499"/>
      <c r="M8" s="20">
        <v>4</v>
      </c>
      <c r="N8" s="20">
        <v>1</v>
      </c>
      <c r="O8" s="21">
        <v>4</v>
      </c>
      <c r="P8" s="21">
        <v>1</v>
      </c>
      <c r="Q8" s="20">
        <v>4</v>
      </c>
      <c r="R8" s="20">
        <v>1</v>
      </c>
      <c r="S8" s="21">
        <v>5</v>
      </c>
      <c r="T8" s="21">
        <v>6</v>
      </c>
      <c r="U8" s="21">
        <v>1</v>
      </c>
      <c r="V8" s="39"/>
    </row>
    <row r="9" spans="1:22" x14ac:dyDescent="0.25">
      <c r="A9" s="37"/>
      <c r="L9" s="38"/>
      <c r="V9" s="39"/>
    </row>
    <row r="10" spans="1:22" x14ac:dyDescent="0.25">
      <c r="A10" s="37"/>
      <c r="L10" s="38" t="s">
        <v>14</v>
      </c>
      <c r="M10" s="477" t="s">
        <v>13</v>
      </c>
      <c r="N10" s="477"/>
      <c r="O10" s="477" t="s">
        <v>13</v>
      </c>
      <c r="P10" s="477"/>
      <c r="Q10" s="477" t="s">
        <v>13</v>
      </c>
      <c r="R10" s="477"/>
      <c r="S10" s="477" t="s">
        <v>13</v>
      </c>
      <c r="T10" s="477"/>
      <c r="U10" s="477"/>
      <c r="V10" s="39"/>
    </row>
    <row r="11" spans="1:22" ht="18.75" x14ac:dyDescent="0.3">
      <c r="A11" s="505" t="s">
        <v>23</v>
      </c>
      <c r="B11" s="506"/>
      <c r="C11" s="506"/>
      <c r="D11" s="506"/>
      <c r="E11" s="506"/>
      <c r="F11" s="506"/>
      <c r="G11" s="506"/>
      <c r="H11" s="506"/>
      <c r="I11" s="506"/>
      <c r="J11" s="506"/>
      <c r="K11" s="40"/>
      <c r="V11" s="39"/>
    </row>
    <row r="12" spans="1:22" ht="30.75" thickBot="1" x14ac:dyDescent="0.3">
      <c r="A12" s="41" t="s">
        <v>9</v>
      </c>
      <c r="B12" s="23" t="s">
        <v>7</v>
      </c>
      <c r="C12" s="2" t="s">
        <v>8</v>
      </c>
      <c r="D12" s="2" t="s">
        <v>10</v>
      </c>
      <c r="E12" s="1" t="s">
        <v>2</v>
      </c>
      <c r="F12" s="19" t="s">
        <v>3</v>
      </c>
      <c r="G12" s="19" t="s">
        <v>5</v>
      </c>
      <c r="H12" s="19" t="s">
        <v>57</v>
      </c>
      <c r="I12" s="28" t="s">
        <v>6</v>
      </c>
      <c r="J12" s="28" t="s">
        <v>1</v>
      </c>
      <c r="K12" s="40"/>
      <c r="V12" s="39"/>
    </row>
    <row r="13" spans="1:22" ht="15" customHeight="1" x14ac:dyDescent="0.25">
      <c r="A13" s="478" t="s">
        <v>24</v>
      </c>
      <c r="B13" s="482" t="s">
        <v>25</v>
      </c>
      <c r="C13" s="485" t="s">
        <v>26</v>
      </c>
      <c r="D13" s="459">
        <v>0</v>
      </c>
      <c r="E13" s="3">
        <f>[2]A!E10</f>
        <v>1</v>
      </c>
      <c r="F13" s="3">
        <f>[2]A!F10</f>
        <v>69.17</v>
      </c>
      <c r="G13" s="5">
        <f>[2]A!G10</f>
        <v>88.322399999999988</v>
      </c>
      <c r="H13" s="75">
        <v>24.4619</v>
      </c>
      <c r="I13" s="486">
        <f>SUM(G13:G40)</f>
        <v>2208.0600000000004</v>
      </c>
      <c r="J13" s="462">
        <f>[2]A!I10</f>
        <v>125.92</v>
      </c>
      <c r="K13" s="455">
        <f>[2]A!J10</f>
        <v>441.66</v>
      </c>
      <c r="V13" s="39"/>
    </row>
    <row r="14" spans="1:22" ht="15" customHeight="1" x14ac:dyDescent="0.25">
      <c r="A14" s="479"/>
      <c r="B14" s="483"/>
      <c r="C14" s="460"/>
      <c r="D14" s="460"/>
      <c r="E14" s="3">
        <f>[2]A!E11</f>
        <v>2</v>
      </c>
      <c r="F14" s="3">
        <f>[2]A!F11</f>
        <v>68.59</v>
      </c>
      <c r="G14" s="5">
        <f>[2]A!G11</f>
        <v>87.581804481711714</v>
      </c>
      <c r="H14" s="76">
        <v>35.785600000000002</v>
      </c>
      <c r="I14" s="487"/>
      <c r="J14" s="463"/>
      <c r="K14" s="455"/>
      <c r="M14" s="18"/>
      <c r="V14" s="39"/>
    </row>
    <row r="15" spans="1:22" ht="15" customHeight="1" x14ac:dyDescent="0.25">
      <c r="A15" s="479"/>
      <c r="B15" s="483"/>
      <c r="C15" s="460"/>
      <c r="D15" s="460"/>
      <c r="E15" s="3">
        <f>[2]A!E12</f>
        <v>3</v>
      </c>
      <c r="F15" s="3">
        <f>[2]A!F12</f>
        <v>51.02</v>
      </c>
      <c r="G15" s="5">
        <f>[2]A!G12</f>
        <v>65.146867832875529</v>
      </c>
      <c r="H15" s="76">
        <v>34.889099999999999</v>
      </c>
      <c r="I15" s="487"/>
      <c r="J15" s="463"/>
      <c r="K15" s="455"/>
      <c r="V15" s="39"/>
    </row>
    <row r="16" spans="1:22" ht="15" customHeight="1" x14ac:dyDescent="0.25">
      <c r="A16" s="479"/>
      <c r="B16" s="483"/>
      <c r="C16" s="460"/>
      <c r="D16" s="460"/>
      <c r="E16" s="3">
        <f>[2]A!E13</f>
        <v>4</v>
      </c>
      <c r="F16" s="3">
        <f>[2]A!F13</f>
        <v>63.16</v>
      </c>
      <c r="G16" s="5">
        <f>[2]A!G13</f>
        <v>80.648298163943892</v>
      </c>
      <c r="H16" s="76">
        <v>37.717199999999998</v>
      </c>
      <c r="I16" s="487"/>
      <c r="J16" s="463"/>
      <c r="K16" s="455"/>
      <c r="V16" s="39"/>
    </row>
    <row r="17" spans="1:22" ht="15.75" customHeight="1" thickBot="1" x14ac:dyDescent="0.3">
      <c r="A17" s="479"/>
      <c r="B17" s="483"/>
      <c r="C17" s="460"/>
      <c r="D17" s="461"/>
      <c r="E17" s="6">
        <f>[2]A!E14</f>
        <v>5</v>
      </c>
      <c r="F17" s="6">
        <f>[2]A!F14</f>
        <v>63.79</v>
      </c>
      <c r="G17" s="7">
        <f>[2]A!G14</f>
        <v>81.452738123463917</v>
      </c>
      <c r="H17" s="76">
        <v>24.668800000000001</v>
      </c>
      <c r="I17" s="487"/>
      <c r="J17" s="464"/>
      <c r="K17" s="456"/>
      <c r="L17" s="14"/>
      <c r="V17" s="39"/>
    </row>
    <row r="18" spans="1:22" ht="15" customHeight="1" x14ac:dyDescent="0.25">
      <c r="A18" s="479"/>
      <c r="B18" s="483"/>
      <c r="C18" s="460"/>
      <c r="D18" s="459">
        <v>1</v>
      </c>
      <c r="E18" s="72">
        <f>[2]A!E15</f>
        <v>1</v>
      </c>
      <c r="F18" s="72">
        <f>[2]A!F15</f>
        <v>69.17</v>
      </c>
      <c r="G18" s="73">
        <f>[2]A!G15</f>
        <v>88.322399999999988</v>
      </c>
      <c r="H18" s="69"/>
      <c r="I18" s="487"/>
      <c r="J18" s="490">
        <f>[2]A!I15</f>
        <v>125.92</v>
      </c>
      <c r="K18" s="507">
        <f>[2]A!J15</f>
        <v>440.97</v>
      </c>
      <c r="L18" s="17"/>
      <c r="V18" s="39"/>
    </row>
    <row r="19" spans="1:22" ht="15" customHeight="1" x14ac:dyDescent="0.25">
      <c r="A19" s="479"/>
      <c r="B19" s="483"/>
      <c r="C19" s="460"/>
      <c r="D19" s="460"/>
      <c r="E19" s="3">
        <f>[2]A!E16</f>
        <v>2</v>
      </c>
      <c r="F19" s="3">
        <f>[2]A!F16</f>
        <v>68.59</v>
      </c>
      <c r="G19" s="5">
        <f>[2]A!G16</f>
        <v>87.581804481711714</v>
      </c>
      <c r="H19" s="69"/>
      <c r="I19" s="487"/>
      <c r="J19" s="463"/>
      <c r="K19" s="455"/>
      <c r="L19" s="17"/>
      <c r="M19" s="10"/>
      <c r="V19" s="39"/>
    </row>
    <row r="20" spans="1:22" ht="15" customHeight="1" x14ac:dyDescent="0.25">
      <c r="A20" s="479"/>
      <c r="B20" s="483"/>
      <c r="C20" s="460"/>
      <c r="D20" s="460"/>
      <c r="E20" s="3">
        <f>[2]A!E17</f>
        <v>3</v>
      </c>
      <c r="F20" s="3">
        <f>[2]A!F17</f>
        <v>51.02</v>
      </c>
      <c r="G20" s="5">
        <f>[2]A!G17</f>
        <v>65.146867832875529</v>
      </c>
      <c r="H20" s="69"/>
      <c r="I20" s="487"/>
      <c r="J20" s="463"/>
      <c r="K20" s="455"/>
      <c r="L20" s="16"/>
      <c r="M20" s="10"/>
      <c r="V20" s="39"/>
    </row>
    <row r="21" spans="1:22" ht="15" customHeight="1" x14ac:dyDescent="0.25">
      <c r="A21" s="479"/>
      <c r="B21" s="483"/>
      <c r="C21" s="460"/>
      <c r="D21" s="460"/>
      <c r="E21" s="3">
        <f>[2]A!E18</f>
        <v>4</v>
      </c>
      <c r="F21" s="3">
        <f>[2]A!F18</f>
        <v>62.9</v>
      </c>
      <c r="G21" s="5">
        <f>[2]A!G18</f>
        <v>80.316307069538809</v>
      </c>
      <c r="H21" s="69"/>
      <c r="I21" s="487"/>
      <c r="J21" s="463"/>
      <c r="K21" s="455"/>
      <c r="L21" s="30"/>
      <c r="V21" s="39"/>
    </row>
    <row r="22" spans="1:22" ht="15" customHeight="1" thickBot="1" x14ac:dyDescent="0.3">
      <c r="A22" s="479"/>
      <c r="B22" s="483"/>
      <c r="C22" s="460"/>
      <c r="D22" s="461"/>
      <c r="E22" s="6">
        <f>[2]A!E19</f>
        <v>5</v>
      </c>
      <c r="F22" s="6">
        <f>[2]A!F19</f>
        <v>63.79</v>
      </c>
      <c r="G22" s="7">
        <f>[2]A!G19</f>
        <v>81.452738123463917</v>
      </c>
      <c r="H22" s="69"/>
      <c r="I22" s="487"/>
      <c r="J22" s="464"/>
      <c r="K22" s="456"/>
      <c r="L22" s="30"/>
      <c r="V22" s="39"/>
    </row>
    <row r="23" spans="1:22" ht="14.25" customHeight="1" x14ac:dyDescent="0.25">
      <c r="A23" s="479"/>
      <c r="B23" s="483"/>
      <c r="C23" s="460"/>
      <c r="D23" s="459">
        <v>2</v>
      </c>
      <c r="E23" s="72">
        <f>[2]A!E20</f>
        <v>1</v>
      </c>
      <c r="F23" s="72">
        <f>[2]A!F20</f>
        <v>68.91</v>
      </c>
      <c r="G23" s="73">
        <f>[2]A!G20</f>
        <v>87.990408905594904</v>
      </c>
      <c r="H23" s="69"/>
      <c r="I23" s="487"/>
      <c r="J23" s="490">
        <f>[2]A!I20</f>
        <v>75.75</v>
      </c>
      <c r="K23" s="507">
        <f>[2]A!J20</f>
        <v>442.77</v>
      </c>
      <c r="V23" s="39"/>
    </row>
    <row r="24" spans="1:22" ht="15" customHeight="1" x14ac:dyDescent="0.25">
      <c r="A24" s="479"/>
      <c r="B24" s="483"/>
      <c r="C24" s="460"/>
      <c r="D24" s="460"/>
      <c r="E24" s="3">
        <f>[2]A!E21</f>
        <v>2</v>
      </c>
      <c r="F24" s="3">
        <f>[2]A!F21</f>
        <v>68.89</v>
      </c>
      <c r="G24" s="5">
        <f>[2]A!G21</f>
        <v>87.964871129102207</v>
      </c>
      <c r="H24" s="69"/>
      <c r="I24" s="487"/>
      <c r="J24" s="463"/>
      <c r="K24" s="455"/>
      <c r="M24" s="18"/>
      <c r="V24" s="39"/>
    </row>
    <row r="25" spans="1:22" ht="15" customHeight="1" x14ac:dyDescent="0.25">
      <c r="A25" s="479"/>
      <c r="B25" s="483"/>
      <c r="C25" s="460"/>
      <c r="D25" s="460"/>
      <c r="E25" s="3">
        <f>[2]A!E22</f>
        <v>3</v>
      </c>
      <c r="F25" s="3">
        <f>[2]A!F22</f>
        <v>51.48</v>
      </c>
      <c r="G25" s="5">
        <f>[2]A!G22</f>
        <v>65.734236692207588</v>
      </c>
      <c r="H25" s="69"/>
      <c r="I25" s="487"/>
      <c r="J25" s="463"/>
      <c r="K25" s="455"/>
      <c r="V25" s="39"/>
    </row>
    <row r="26" spans="1:22" ht="15" customHeight="1" x14ac:dyDescent="0.25">
      <c r="A26" s="479"/>
      <c r="B26" s="483"/>
      <c r="C26" s="460"/>
      <c r="D26" s="460"/>
      <c r="E26" s="3">
        <f>[2]A!E23</f>
        <v>4</v>
      </c>
      <c r="F26" s="3">
        <f>[2]A!F23</f>
        <v>63.11</v>
      </c>
      <c r="G26" s="5">
        <f>[2]A!G23</f>
        <v>80.584453722712155</v>
      </c>
      <c r="H26" s="69"/>
      <c r="I26" s="487"/>
      <c r="J26" s="463"/>
      <c r="K26" s="455"/>
      <c r="V26" s="39"/>
    </row>
    <row r="27" spans="1:22" ht="15" customHeight="1" x14ac:dyDescent="0.25">
      <c r="A27" s="479"/>
      <c r="B27" s="483"/>
      <c r="C27" s="460"/>
      <c r="D27" s="460"/>
      <c r="E27" s="3">
        <f>[2]A!E24</f>
        <v>5</v>
      </c>
      <c r="F27" s="3">
        <f>[2]A!F24</f>
        <v>63.16</v>
      </c>
      <c r="G27" s="5">
        <f>[2]A!G24</f>
        <v>80.648298163943892</v>
      </c>
      <c r="H27" s="69"/>
      <c r="I27" s="487"/>
      <c r="J27" s="463"/>
      <c r="K27" s="455"/>
      <c r="V27" s="39"/>
    </row>
    <row r="28" spans="1:22" ht="15" customHeight="1" thickBot="1" x14ac:dyDescent="0.3">
      <c r="A28" s="479"/>
      <c r="B28" s="483"/>
      <c r="C28" s="460"/>
      <c r="D28" s="461"/>
      <c r="E28" s="6">
        <f>[2]A!E25</f>
        <v>6</v>
      </c>
      <c r="F28" s="6">
        <f>[2]A!F25</f>
        <v>51.5</v>
      </c>
      <c r="G28" s="7">
        <f>[2]A!G25</f>
        <v>65.7597744687003</v>
      </c>
      <c r="H28" s="69"/>
      <c r="I28" s="487"/>
      <c r="J28" s="464"/>
      <c r="K28" s="455"/>
      <c r="V28" s="39"/>
    </row>
    <row r="29" spans="1:22" ht="15" customHeight="1" x14ac:dyDescent="0.25">
      <c r="A29" s="479"/>
      <c r="B29" s="483"/>
      <c r="C29" s="460"/>
      <c r="D29" s="459">
        <v>3</v>
      </c>
      <c r="E29" s="72">
        <f>[2]A!E26</f>
        <v>1</v>
      </c>
      <c r="F29" s="72">
        <f>[2]A!F26</f>
        <v>68.62</v>
      </c>
      <c r="G29" s="73">
        <f>[2]A!G26</f>
        <v>87.620111146450768</v>
      </c>
      <c r="H29" s="69"/>
      <c r="I29" s="487"/>
      <c r="J29" s="490">
        <f>[2]A!I26</f>
        <v>75.75</v>
      </c>
      <c r="K29" s="455">
        <f>[2]A!J26</f>
        <v>440.39</v>
      </c>
      <c r="V29" s="39"/>
    </row>
    <row r="30" spans="1:22" ht="15" customHeight="1" x14ac:dyDescent="0.25">
      <c r="A30" s="479"/>
      <c r="B30" s="483"/>
      <c r="C30" s="460"/>
      <c r="D30" s="460"/>
      <c r="E30" s="3">
        <f>[2]A!E27</f>
        <v>2</v>
      </c>
      <c r="F30" s="3">
        <f>[2]A!F27</f>
        <v>68.599999999999994</v>
      </c>
      <c r="G30" s="5">
        <f>[2]A!G27</f>
        <v>87.594573369958056</v>
      </c>
      <c r="H30" s="69"/>
      <c r="I30" s="487"/>
      <c r="J30" s="463"/>
      <c r="K30" s="455"/>
      <c r="V30" s="39"/>
    </row>
    <row r="31" spans="1:22" ht="15" customHeight="1" x14ac:dyDescent="0.25">
      <c r="A31" s="479"/>
      <c r="B31" s="483"/>
      <c r="C31" s="460"/>
      <c r="D31" s="460"/>
      <c r="E31" s="3">
        <f>[2]A!E28</f>
        <v>3</v>
      </c>
      <c r="F31" s="3">
        <f>[2]A!F28</f>
        <v>50.89</v>
      </c>
      <c r="G31" s="5">
        <f>[2]A!G28</f>
        <v>64.980872285672973</v>
      </c>
      <c r="H31" s="69"/>
      <c r="I31" s="487"/>
      <c r="J31" s="463"/>
      <c r="K31" s="455"/>
      <c r="V31" s="39"/>
    </row>
    <row r="32" spans="1:22" ht="15" customHeight="1" x14ac:dyDescent="0.25">
      <c r="A32" s="479"/>
      <c r="B32" s="483"/>
      <c r="C32" s="460"/>
      <c r="D32" s="460"/>
      <c r="E32" s="3">
        <f>[2]A!E29</f>
        <v>4</v>
      </c>
      <c r="F32" s="3">
        <f>[2]A!F29</f>
        <v>62.84</v>
      </c>
      <c r="G32" s="5">
        <f>[2]A!G29</f>
        <v>80.239693740060716</v>
      </c>
      <c r="H32" s="69"/>
      <c r="I32" s="487"/>
      <c r="J32" s="463"/>
      <c r="K32" s="455"/>
      <c r="V32" s="39"/>
    </row>
    <row r="33" spans="1:22" ht="15" customHeight="1" x14ac:dyDescent="0.25">
      <c r="A33" s="479"/>
      <c r="B33" s="483"/>
      <c r="C33" s="460"/>
      <c r="D33" s="460"/>
      <c r="E33" s="3">
        <f>[2]A!E30</f>
        <v>5</v>
      </c>
      <c r="F33" s="3">
        <f>[2]A!F30</f>
        <v>62.86</v>
      </c>
      <c r="G33" s="5">
        <f>[2]A!G30</f>
        <v>80.265231516553413</v>
      </c>
      <c r="H33" s="69"/>
      <c r="I33" s="487"/>
      <c r="J33" s="463"/>
      <c r="K33" s="455"/>
      <c r="V33" s="39"/>
    </row>
    <row r="34" spans="1:22" ht="15.75" customHeight="1" thickBot="1" x14ac:dyDescent="0.3">
      <c r="A34" s="479"/>
      <c r="B34" s="483"/>
      <c r="C34" s="460"/>
      <c r="D34" s="461"/>
      <c r="E34" s="6">
        <f>[2]A!E31</f>
        <v>6</v>
      </c>
      <c r="F34" s="6">
        <f>[2]A!F31</f>
        <v>50.89</v>
      </c>
      <c r="G34" s="7">
        <f>[2]A!G31</f>
        <v>64.980872285672973</v>
      </c>
      <c r="H34" s="69"/>
      <c r="I34" s="487"/>
      <c r="J34" s="464"/>
      <c r="K34" s="455"/>
      <c r="V34" s="39"/>
    </row>
    <row r="35" spans="1:22" ht="15" customHeight="1" x14ac:dyDescent="0.25">
      <c r="A35" s="479"/>
      <c r="B35" s="483"/>
      <c r="C35" s="460"/>
      <c r="D35" s="460">
        <v>4</v>
      </c>
      <c r="E35" s="70">
        <f>[2]A!E32</f>
        <v>1</v>
      </c>
      <c r="F35" s="70">
        <f>[2]A!F32</f>
        <v>68.680000000000007</v>
      </c>
      <c r="G35" s="65">
        <f>[2]A!G32</f>
        <v>87.696724475928875</v>
      </c>
      <c r="H35" s="69"/>
      <c r="I35" s="487"/>
      <c r="J35" s="490">
        <f>[2]A!I32</f>
        <v>75.75</v>
      </c>
      <c r="K35" s="455">
        <f>[2]A!J32</f>
        <v>442.27</v>
      </c>
      <c r="V35" s="39"/>
    </row>
    <row r="36" spans="1:22" ht="15" customHeight="1" x14ac:dyDescent="0.25">
      <c r="A36" s="479"/>
      <c r="B36" s="483"/>
      <c r="C36" s="460"/>
      <c r="D36" s="460"/>
      <c r="E36" s="3">
        <f>[2]A!E33</f>
        <v>2</v>
      </c>
      <c r="F36" s="3">
        <f>[2]A!F33</f>
        <v>68.680000000000007</v>
      </c>
      <c r="G36" s="5">
        <f>[2]A!G33</f>
        <v>87.696724475928875</v>
      </c>
      <c r="H36" s="69"/>
      <c r="I36" s="487"/>
      <c r="J36" s="463"/>
      <c r="K36" s="455"/>
      <c r="V36" s="39"/>
    </row>
    <row r="37" spans="1:22" ht="15" customHeight="1" x14ac:dyDescent="0.25">
      <c r="A37" s="479"/>
      <c r="B37" s="483"/>
      <c r="C37" s="460"/>
      <c r="D37" s="460"/>
      <c r="E37" s="3">
        <f>[2]A!E34</f>
        <v>3</v>
      </c>
      <c r="F37" s="3">
        <f>[2]A!F34</f>
        <v>51.5</v>
      </c>
      <c r="G37" s="5">
        <f>[2]A!G34</f>
        <v>65.7597744687003</v>
      </c>
      <c r="H37" s="69"/>
      <c r="I37" s="487"/>
      <c r="J37" s="463"/>
      <c r="K37" s="455"/>
      <c r="V37" s="39"/>
    </row>
    <row r="38" spans="1:22" ht="15" customHeight="1" x14ac:dyDescent="0.25">
      <c r="A38" s="479"/>
      <c r="B38" s="483"/>
      <c r="C38" s="460"/>
      <c r="D38" s="460"/>
      <c r="E38" s="3">
        <f>[2]A!E35</f>
        <v>4</v>
      </c>
      <c r="F38" s="3">
        <f>[2]A!F35</f>
        <v>62.97</v>
      </c>
      <c r="G38" s="5">
        <f>[2]A!G35</f>
        <v>80.405689287263257</v>
      </c>
      <c r="H38" s="69"/>
      <c r="I38" s="487"/>
      <c r="J38" s="463"/>
      <c r="K38" s="455"/>
      <c r="V38" s="39"/>
    </row>
    <row r="39" spans="1:22" ht="15" customHeight="1" x14ac:dyDescent="0.25">
      <c r="A39" s="479"/>
      <c r="B39" s="483"/>
      <c r="C39" s="460"/>
      <c r="D39" s="460"/>
      <c r="E39" s="3">
        <f>[2]A!E36</f>
        <v>5</v>
      </c>
      <c r="F39" s="3">
        <f>[2]A!F36</f>
        <v>62.97</v>
      </c>
      <c r="G39" s="5">
        <f>[2]A!G36</f>
        <v>80.405689287263257</v>
      </c>
      <c r="H39" s="69"/>
      <c r="I39" s="487"/>
      <c r="J39" s="463"/>
      <c r="K39" s="455"/>
      <c r="V39" s="39"/>
    </row>
    <row r="40" spans="1:22" ht="15" customHeight="1" x14ac:dyDescent="0.25">
      <c r="A40" s="480"/>
      <c r="B40" s="484"/>
      <c r="C40" s="476"/>
      <c r="D40" s="476"/>
      <c r="E40" s="3">
        <f>[2]A!E37</f>
        <v>6</v>
      </c>
      <c r="F40" s="3">
        <f>[2]A!F37</f>
        <v>51.5</v>
      </c>
      <c r="G40" s="5">
        <f>[2]A!G37</f>
        <v>65.7597744687003</v>
      </c>
      <c r="H40" s="70"/>
      <c r="I40" s="488"/>
      <c r="J40" s="508"/>
      <c r="K40" s="455"/>
      <c r="V40" s="39"/>
    </row>
    <row r="41" spans="1:22" x14ac:dyDescent="0.25">
      <c r="A41" s="43" t="s">
        <v>4</v>
      </c>
      <c r="B41" s="24"/>
      <c r="C41" s="4"/>
      <c r="D41" s="4"/>
      <c r="E41" s="4"/>
      <c r="F41" s="8">
        <f>SUM(F13:F40)</f>
        <v>1729.25</v>
      </c>
      <c r="G41" s="8"/>
      <c r="H41" s="8"/>
      <c r="I41" s="8">
        <f>K13+K18+K23+K29+K35</f>
        <v>2208.06</v>
      </c>
      <c r="J41" s="8">
        <f>J35+J29+J23+J18+J13</f>
        <v>479.09000000000003</v>
      </c>
      <c r="K41" s="40"/>
      <c r="V41" s="39"/>
    </row>
    <row r="42" spans="1:22" x14ac:dyDescent="0.25">
      <c r="A42" s="37"/>
      <c r="F42" s="18">
        <f>I41/F41</f>
        <v>1.2768888246349572</v>
      </c>
      <c r="I42" s="45"/>
      <c r="J42" s="9">
        <f>(J13+J18+J23+J29+J35)/I41</f>
        <v>0.21697327065387717</v>
      </c>
      <c r="K42" s="40"/>
      <c r="V42" s="39"/>
    </row>
    <row r="43" spans="1:22" x14ac:dyDescent="0.25">
      <c r="A43" s="37"/>
      <c r="I43" s="45"/>
      <c r="V43" s="39"/>
    </row>
    <row r="44" spans="1:22" x14ac:dyDescent="0.25">
      <c r="A44" s="37"/>
      <c r="I44" s="45"/>
      <c r="V44" s="39"/>
    </row>
    <row r="45" spans="1:22" ht="18.75" x14ac:dyDescent="0.3">
      <c r="A45" s="505" t="s">
        <v>23</v>
      </c>
      <c r="B45" s="506"/>
      <c r="C45" s="506"/>
      <c r="D45" s="506"/>
      <c r="E45" s="506"/>
      <c r="F45" s="506"/>
      <c r="G45" s="506"/>
      <c r="H45" s="506"/>
      <c r="I45" s="506"/>
      <c r="J45" s="506"/>
      <c r="K45" s="46"/>
      <c r="V45" s="39"/>
    </row>
    <row r="46" spans="1:22" ht="30" x14ac:dyDescent="0.25">
      <c r="A46" s="41" t="s">
        <v>9</v>
      </c>
      <c r="B46" s="23" t="s">
        <v>7</v>
      </c>
      <c r="C46" s="2" t="s">
        <v>8</v>
      </c>
      <c r="D46" s="2" t="s">
        <v>10</v>
      </c>
      <c r="E46" s="1" t="s">
        <v>2</v>
      </c>
      <c r="F46" s="19" t="s">
        <v>3</v>
      </c>
      <c r="G46" s="19" t="s">
        <v>5</v>
      </c>
      <c r="H46" s="19" t="s">
        <v>57</v>
      </c>
      <c r="I46" s="28" t="s">
        <v>6</v>
      </c>
      <c r="J46" s="28" t="s">
        <v>1</v>
      </c>
      <c r="K46" s="46"/>
      <c r="V46" s="39"/>
    </row>
    <row r="47" spans="1:22" ht="15" customHeight="1" x14ac:dyDescent="0.25">
      <c r="A47" s="478" t="s">
        <v>24</v>
      </c>
      <c r="B47" s="482" t="s">
        <v>25</v>
      </c>
      <c r="C47" s="485" t="s">
        <v>27</v>
      </c>
      <c r="D47" s="485">
        <v>0</v>
      </c>
      <c r="E47" s="3">
        <f>[2]A!E44</f>
        <v>1</v>
      </c>
      <c r="F47" s="3">
        <f>[2]A!F44</f>
        <v>60.98</v>
      </c>
      <c r="G47" s="5">
        <f>[2]A!G44</f>
        <v>66.845201763160503</v>
      </c>
      <c r="H47" s="76">
        <v>23.818100000000001</v>
      </c>
      <c r="I47" s="486">
        <f>SUM(G47:G66)</f>
        <v>1994.46</v>
      </c>
      <c r="J47" s="462">
        <f>J99</f>
        <v>48.87</v>
      </c>
      <c r="K47" s="465">
        <f>[2]A!J44</f>
        <v>396.25</v>
      </c>
      <c r="V47" s="39"/>
    </row>
    <row r="48" spans="1:22" ht="15" customHeight="1" x14ac:dyDescent="0.25">
      <c r="A48" s="479"/>
      <c r="B48" s="483"/>
      <c r="C48" s="460"/>
      <c r="D48" s="460"/>
      <c r="E48" s="3">
        <f>[2]A!E45</f>
        <v>2</v>
      </c>
      <c r="F48" s="3">
        <f>[2]A!F45</f>
        <v>89.96</v>
      </c>
      <c r="G48" s="5">
        <f>[2]A!G45</f>
        <v>98.6125672452266</v>
      </c>
      <c r="H48" s="76">
        <v>50.540100000000002</v>
      </c>
      <c r="I48" s="487"/>
      <c r="J48" s="463"/>
      <c r="K48" s="465"/>
      <c r="M48" s="18"/>
      <c r="V48" s="39"/>
    </row>
    <row r="49" spans="1:22" ht="15" customHeight="1" x14ac:dyDescent="0.25">
      <c r="A49" s="479"/>
      <c r="B49" s="483"/>
      <c r="C49" s="460"/>
      <c r="D49" s="460"/>
      <c r="E49" s="3">
        <f>[2]A!E46</f>
        <v>3</v>
      </c>
      <c r="F49" s="3">
        <f>[2]A!F46</f>
        <v>97.98</v>
      </c>
      <c r="G49" s="5">
        <f>[2]A!G46</f>
        <v>107.40394996317589</v>
      </c>
      <c r="H49" s="76">
        <v>50.705300000000001</v>
      </c>
      <c r="I49" s="487"/>
      <c r="J49" s="463"/>
      <c r="K49" s="465"/>
      <c r="V49" s="39"/>
    </row>
    <row r="50" spans="1:22" ht="15.75" customHeight="1" thickBot="1" x14ac:dyDescent="0.3">
      <c r="A50" s="479"/>
      <c r="B50" s="483"/>
      <c r="C50" s="460"/>
      <c r="D50" s="461"/>
      <c r="E50" s="6">
        <f>[2]A!E47</f>
        <v>4</v>
      </c>
      <c r="F50" s="6">
        <f>[2]A!F47</f>
        <v>98.17</v>
      </c>
      <c r="G50" s="7">
        <f>[2]A!G47</f>
        <v>107.61222461609489</v>
      </c>
      <c r="H50" s="76">
        <v>31.597200000000001</v>
      </c>
      <c r="I50" s="487"/>
      <c r="J50" s="464"/>
      <c r="K50" s="466"/>
      <c r="L50" s="14"/>
      <c r="V50" s="39"/>
    </row>
    <row r="51" spans="1:22" ht="15" customHeight="1" x14ac:dyDescent="0.25">
      <c r="A51" s="479"/>
      <c r="B51" s="483"/>
      <c r="C51" s="460"/>
      <c r="D51" s="459">
        <v>1</v>
      </c>
      <c r="E51" s="72">
        <f>[2]A!E48</f>
        <v>1</v>
      </c>
      <c r="F51" s="72">
        <f>[2]A!F48</f>
        <v>61.82</v>
      </c>
      <c r="G51" s="73">
        <f>[2]A!G48</f>
        <v>67.765994965539235</v>
      </c>
      <c r="H51" s="69"/>
      <c r="I51" s="487"/>
      <c r="J51" s="490">
        <f>J103</f>
        <v>35.729999999999997</v>
      </c>
      <c r="K51" s="500">
        <f>[2]A!J48</f>
        <v>380.7</v>
      </c>
      <c r="L51" s="17"/>
      <c r="V51" s="39"/>
    </row>
    <row r="52" spans="1:22" ht="15" customHeight="1" x14ac:dyDescent="0.25">
      <c r="A52" s="479"/>
      <c r="B52" s="483"/>
      <c r="C52" s="460"/>
      <c r="D52" s="460"/>
      <c r="E52" s="3">
        <f>[2]A!E49</f>
        <v>2</v>
      </c>
      <c r="F52" s="3">
        <f>[2]A!F49</f>
        <v>89.05</v>
      </c>
      <c r="G52" s="5">
        <f>[2]A!G49</f>
        <v>97.615041275982989</v>
      </c>
      <c r="H52" s="69"/>
      <c r="I52" s="487"/>
      <c r="J52" s="463"/>
      <c r="K52" s="465"/>
      <c r="L52" s="17"/>
      <c r="M52" s="29"/>
      <c r="V52" s="39"/>
    </row>
    <row r="53" spans="1:22" ht="15" customHeight="1" x14ac:dyDescent="0.25">
      <c r="A53" s="479"/>
      <c r="B53" s="483"/>
      <c r="C53" s="460"/>
      <c r="D53" s="460"/>
      <c r="E53" s="3">
        <f>[2]A!E50</f>
        <v>3</v>
      </c>
      <c r="F53" s="3">
        <f>[2]A!F50</f>
        <v>97.06</v>
      </c>
      <c r="G53" s="5">
        <f>[2]A!G50</f>
        <v>106.39546217009443</v>
      </c>
      <c r="H53" s="69"/>
      <c r="I53" s="487"/>
      <c r="J53" s="463"/>
      <c r="K53" s="465"/>
      <c r="L53" s="16"/>
      <c r="M53" s="10"/>
      <c r="V53" s="39"/>
    </row>
    <row r="54" spans="1:22" ht="15.75" customHeight="1" thickBot="1" x14ac:dyDescent="0.3">
      <c r="A54" s="479"/>
      <c r="B54" s="483"/>
      <c r="C54" s="460"/>
      <c r="D54" s="461"/>
      <c r="E54" s="6">
        <f>[2]A!E51</f>
        <v>4</v>
      </c>
      <c r="F54" s="6">
        <f>[2]A!F51</f>
        <v>97.09</v>
      </c>
      <c r="G54" s="7">
        <f>[2]A!G51</f>
        <v>106.42834764160796</v>
      </c>
      <c r="H54" s="69"/>
      <c r="I54" s="487"/>
      <c r="J54" s="464"/>
      <c r="K54" s="466"/>
      <c r="L54" s="15"/>
      <c r="V54" s="39"/>
    </row>
    <row r="55" spans="1:22" ht="15" customHeight="1" x14ac:dyDescent="0.25">
      <c r="A55" s="479"/>
      <c r="B55" s="483"/>
      <c r="C55" s="460"/>
      <c r="D55" s="459">
        <v>2</v>
      </c>
      <c r="E55" s="72">
        <f>[2]A!E52</f>
        <v>1</v>
      </c>
      <c r="F55" s="72">
        <f>[2]A!F52</f>
        <v>90.9</v>
      </c>
      <c r="G55" s="73">
        <f>[2]A!G52</f>
        <v>99.642978685983763</v>
      </c>
      <c r="H55" s="69"/>
      <c r="I55" s="487"/>
      <c r="J55" s="490">
        <f>J107</f>
        <v>29.85</v>
      </c>
      <c r="K55" s="500">
        <f>[2]A!J52</f>
        <v>409.54</v>
      </c>
      <c r="V55" s="39"/>
    </row>
    <row r="56" spans="1:22" ht="15" customHeight="1" x14ac:dyDescent="0.25">
      <c r="A56" s="479"/>
      <c r="B56" s="483"/>
      <c r="C56" s="460"/>
      <c r="D56" s="460"/>
      <c r="E56" s="3">
        <f>[2]A!E53</f>
        <v>2</v>
      </c>
      <c r="F56" s="3">
        <f>[2]A!F53</f>
        <v>90.91</v>
      </c>
      <c r="G56" s="5">
        <f>[2]A!G53</f>
        <v>99.653940509821595</v>
      </c>
      <c r="H56" s="69"/>
      <c r="I56" s="487"/>
      <c r="J56" s="463"/>
      <c r="K56" s="465"/>
      <c r="M56" s="18"/>
      <c r="V56" s="39"/>
    </row>
    <row r="57" spans="1:22" ht="15" customHeight="1" x14ac:dyDescent="0.25">
      <c r="A57" s="479"/>
      <c r="B57" s="483"/>
      <c r="C57" s="460"/>
      <c r="D57" s="460"/>
      <c r="E57" s="3">
        <f>[2]A!E54</f>
        <v>3</v>
      </c>
      <c r="F57" s="3">
        <f>[2]A!F54</f>
        <v>98.93</v>
      </c>
      <c r="G57" s="5">
        <f>[2]A!G54</f>
        <v>108.44532322777088</v>
      </c>
      <c r="H57" s="69"/>
      <c r="I57" s="487"/>
      <c r="J57" s="463"/>
      <c r="K57" s="465"/>
      <c r="V57" s="39"/>
    </row>
    <row r="58" spans="1:22" ht="15.75" customHeight="1" thickBot="1" x14ac:dyDescent="0.3">
      <c r="A58" s="479"/>
      <c r="B58" s="483"/>
      <c r="C58" s="460"/>
      <c r="D58" s="461"/>
      <c r="E58" s="6">
        <f>[2]A!E55</f>
        <v>4</v>
      </c>
      <c r="F58" s="6">
        <f>[2]A!F55</f>
        <v>98.95</v>
      </c>
      <c r="G58" s="7">
        <f>[2]A!G55</f>
        <v>108.46724687544656</v>
      </c>
      <c r="H58" s="69"/>
      <c r="I58" s="487"/>
      <c r="J58" s="464"/>
      <c r="K58" s="466"/>
      <c r="V58" s="39"/>
    </row>
    <row r="59" spans="1:22" ht="15" customHeight="1" x14ac:dyDescent="0.25">
      <c r="A59" s="479"/>
      <c r="B59" s="483"/>
      <c r="C59" s="460"/>
      <c r="D59" s="459">
        <v>3</v>
      </c>
      <c r="E59" s="72">
        <f>[2]A!E56</f>
        <v>1</v>
      </c>
      <c r="F59" s="72">
        <f>[2]A!F56</f>
        <v>89.05</v>
      </c>
      <c r="G59" s="73">
        <f>[2]A!G56</f>
        <v>97.615041275982989</v>
      </c>
      <c r="H59" s="69"/>
      <c r="I59" s="487"/>
      <c r="J59" s="490">
        <f>J111</f>
        <v>29.85</v>
      </c>
      <c r="K59" s="500">
        <f>[2]A!J56</f>
        <v>402.11</v>
      </c>
      <c r="V59" s="39"/>
    </row>
    <row r="60" spans="1:22" ht="15" customHeight="1" x14ac:dyDescent="0.25">
      <c r="A60" s="479"/>
      <c r="B60" s="483"/>
      <c r="C60" s="460"/>
      <c r="D60" s="460"/>
      <c r="E60" s="3">
        <f>[2]A!E57</f>
        <v>2</v>
      </c>
      <c r="F60" s="3">
        <f>[2]A!F57</f>
        <v>89.05</v>
      </c>
      <c r="G60" s="5">
        <f>[2]A!G57</f>
        <v>97.615041275982989</v>
      </c>
      <c r="H60" s="69"/>
      <c r="I60" s="487"/>
      <c r="J60" s="463"/>
      <c r="K60" s="465"/>
      <c r="M60" s="18"/>
      <c r="V60" s="39"/>
    </row>
    <row r="61" spans="1:22" ht="15" customHeight="1" x14ac:dyDescent="0.25">
      <c r="A61" s="479"/>
      <c r="B61" s="483"/>
      <c r="C61" s="460"/>
      <c r="D61" s="460"/>
      <c r="E61" s="3">
        <f>[2]A!E58</f>
        <v>3</v>
      </c>
      <c r="F61" s="3">
        <f>[2]A!F58</f>
        <v>97.09</v>
      </c>
      <c r="G61" s="5">
        <f>[2]A!G58</f>
        <v>106.42834764160796</v>
      </c>
      <c r="H61" s="69"/>
      <c r="I61" s="487"/>
      <c r="J61" s="463"/>
      <c r="K61" s="465"/>
      <c r="V61" s="39"/>
    </row>
    <row r="62" spans="1:22" ht="15.75" customHeight="1" thickBot="1" x14ac:dyDescent="0.3">
      <c r="A62" s="479"/>
      <c r="B62" s="483"/>
      <c r="C62" s="460"/>
      <c r="D62" s="461"/>
      <c r="E62" s="6">
        <f>[2]A!E59</f>
        <v>4</v>
      </c>
      <c r="F62" s="6">
        <f>[2]A!F59</f>
        <v>97.09</v>
      </c>
      <c r="G62" s="7">
        <f>[2]A!G59</f>
        <v>106.42834764160796</v>
      </c>
      <c r="H62" s="69"/>
      <c r="I62" s="487"/>
      <c r="J62" s="464"/>
      <c r="K62" s="466"/>
      <c r="V62" s="39"/>
    </row>
    <row r="63" spans="1:22" ht="15" customHeight="1" x14ac:dyDescent="0.25">
      <c r="A63" s="479"/>
      <c r="B63" s="483"/>
      <c r="C63" s="460"/>
      <c r="D63" s="460">
        <v>4</v>
      </c>
      <c r="E63" s="70">
        <f>[2]A!E60</f>
        <v>1</v>
      </c>
      <c r="F63" s="70">
        <f>[2]A!F60</f>
        <v>89.12</v>
      </c>
      <c r="G63" s="65">
        <f>[2]A!G60</f>
        <v>97.691774042847882</v>
      </c>
      <c r="H63" s="69"/>
      <c r="I63" s="487"/>
      <c r="J63" s="490">
        <f>J115</f>
        <v>29.85</v>
      </c>
      <c r="K63" s="500">
        <f>[2]A!J60</f>
        <v>405.86</v>
      </c>
      <c r="V63" s="39"/>
    </row>
    <row r="64" spans="1:22" ht="15" customHeight="1" x14ac:dyDescent="0.25">
      <c r="A64" s="479"/>
      <c r="B64" s="483"/>
      <c r="C64" s="460"/>
      <c r="D64" s="460"/>
      <c r="E64" s="3">
        <f>[2]A!E61</f>
        <v>2</v>
      </c>
      <c r="F64" s="3">
        <f>[2]A!F61</f>
        <v>90.52</v>
      </c>
      <c r="G64" s="5">
        <f>[2]A!G61</f>
        <v>99.22642938014576</v>
      </c>
      <c r="H64" s="69"/>
      <c r="I64" s="487"/>
      <c r="J64" s="463"/>
      <c r="K64" s="465"/>
      <c r="M64" s="18"/>
      <c r="V64" s="39"/>
    </row>
    <row r="65" spans="1:22" ht="15" customHeight="1" x14ac:dyDescent="0.25">
      <c r="A65" s="479"/>
      <c r="B65" s="483"/>
      <c r="C65" s="460"/>
      <c r="D65" s="460"/>
      <c r="E65" s="3">
        <f>[2]A!E62</f>
        <v>3</v>
      </c>
      <c r="F65" s="3">
        <f>[2]A!F62</f>
        <v>98.57</v>
      </c>
      <c r="G65" s="5">
        <f>[2]A!G62</f>
        <v>108.05069756960856</v>
      </c>
      <c r="H65" s="69"/>
      <c r="I65" s="487"/>
      <c r="J65" s="463"/>
      <c r="K65" s="465"/>
      <c r="V65" s="39"/>
    </row>
    <row r="66" spans="1:22" ht="15" customHeight="1" thickBot="1" x14ac:dyDescent="0.3">
      <c r="A66" s="480"/>
      <c r="B66" s="484"/>
      <c r="C66" s="476"/>
      <c r="D66" s="476"/>
      <c r="E66" s="3">
        <f>[2]A!E63</f>
        <v>4</v>
      </c>
      <c r="F66" s="3">
        <f>[2]A!F63</f>
        <v>97.17</v>
      </c>
      <c r="G66" s="5">
        <f>[2]A!G63</f>
        <v>106.5160422323107</v>
      </c>
      <c r="H66" s="70"/>
      <c r="I66" s="488"/>
      <c r="J66" s="464"/>
      <c r="K66" s="466"/>
      <c r="V66" s="39"/>
    </row>
    <row r="67" spans="1:22" x14ac:dyDescent="0.25">
      <c r="A67" s="43" t="s">
        <v>4</v>
      </c>
      <c r="B67" s="24"/>
      <c r="C67" s="4"/>
      <c r="D67" s="4"/>
      <c r="E67" s="4"/>
      <c r="F67" s="8">
        <f>SUM(F47:F66)</f>
        <v>1819.4599999999998</v>
      </c>
      <c r="G67" s="8"/>
      <c r="H67" s="8"/>
      <c r="I67" s="8">
        <f>K47+K51+K55+K59+K63</f>
        <v>1994.46</v>
      </c>
      <c r="J67" s="8">
        <f>J63+J59+J55+J51+J47</f>
        <v>174.15</v>
      </c>
      <c r="K67" s="46"/>
      <c r="V67" s="39"/>
    </row>
    <row r="68" spans="1:22" x14ac:dyDescent="0.25">
      <c r="A68" s="37"/>
      <c r="F68" s="18">
        <f>I67/F67</f>
        <v>1.0961823837841997</v>
      </c>
      <c r="I68" s="45"/>
      <c r="J68" s="9">
        <f>(J47+J51+J55+J59+J63)/I67</f>
        <v>8.7316867723594344E-2</v>
      </c>
      <c r="K68" s="46"/>
      <c r="V68" s="39"/>
    </row>
    <row r="69" spans="1:22" x14ac:dyDescent="0.25">
      <c r="A69" s="37"/>
      <c r="I69" s="45"/>
      <c r="V69" s="39"/>
    </row>
    <row r="70" spans="1:22" x14ac:dyDescent="0.25">
      <c r="A70" s="37"/>
      <c r="I70" s="45"/>
      <c r="V70" s="39"/>
    </row>
    <row r="71" spans="1:22" ht="18.75" x14ac:dyDescent="0.3">
      <c r="A71" s="505" t="s">
        <v>23</v>
      </c>
      <c r="B71" s="506"/>
      <c r="C71" s="506"/>
      <c r="D71" s="506"/>
      <c r="E71" s="506"/>
      <c r="F71" s="506"/>
      <c r="G71" s="506"/>
      <c r="H71" s="506"/>
      <c r="I71" s="506"/>
      <c r="J71" s="506"/>
      <c r="K71" s="40"/>
      <c r="V71" s="39"/>
    </row>
    <row r="72" spans="1:22" ht="30" x14ac:dyDescent="0.25">
      <c r="A72" s="41" t="s">
        <v>9</v>
      </c>
      <c r="B72" s="23" t="s">
        <v>7</v>
      </c>
      <c r="C72" s="2" t="s">
        <v>8</v>
      </c>
      <c r="D72" s="2" t="s">
        <v>10</v>
      </c>
      <c r="E72" s="1" t="s">
        <v>2</v>
      </c>
      <c r="F72" s="19" t="s">
        <v>3</v>
      </c>
      <c r="G72" s="19" t="s">
        <v>5</v>
      </c>
      <c r="H72" s="19" t="s">
        <v>57</v>
      </c>
      <c r="I72" s="28" t="s">
        <v>6</v>
      </c>
      <c r="J72" s="28" t="s">
        <v>1</v>
      </c>
      <c r="K72" s="40"/>
      <c r="V72" s="39"/>
    </row>
    <row r="73" spans="1:22" ht="15" customHeight="1" x14ac:dyDescent="0.25">
      <c r="A73" s="478" t="s">
        <v>24</v>
      </c>
      <c r="B73" s="482" t="s">
        <v>25</v>
      </c>
      <c r="C73" s="485" t="s">
        <v>28</v>
      </c>
      <c r="D73" s="485">
        <v>0</v>
      </c>
      <c r="E73" s="3">
        <f>[2]A!E70</f>
        <v>1</v>
      </c>
      <c r="F73" s="3">
        <f>[2]A!F70</f>
        <v>98.17</v>
      </c>
      <c r="G73" s="5">
        <f>[2]A!G70</f>
        <v>107.61045029101562</v>
      </c>
      <c r="H73" s="76">
        <v>31.597899999999999</v>
      </c>
      <c r="I73" s="486">
        <f>SUM(G73:G92)</f>
        <v>1994.46</v>
      </c>
      <c r="J73" s="462">
        <f>J99</f>
        <v>48.87</v>
      </c>
      <c r="K73" s="455">
        <f>K47</f>
        <v>396.25</v>
      </c>
      <c r="V73" s="39"/>
    </row>
    <row r="74" spans="1:22" ht="15" customHeight="1" x14ac:dyDescent="0.25">
      <c r="A74" s="479"/>
      <c r="B74" s="483"/>
      <c r="C74" s="460"/>
      <c r="D74" s="460"/>
      <c r="E74" s="3">
        <f>[2]A!E71</f>
        <v>2</v>
      </c>
      <c r="F74" s="3">
        <f>[2]A!F71</f>
        <v>97.98</v>
      </c>
      <c r="G74" s="5">
        <f>[2]A!G71</f>
        <v>107.40217907215759</v>
      </c>
      <c r="H74" s="76">
        <v>50.705300000000001</v>
      </c>
      <c r="I74" s="487"/>
      <c r="J74" s="463"/>
      <c r="K74" s="455"/>
      <c r="M74" s="18"/>
      <c r="V74" s="39"/>
    </row>
    <row r="75" spans="1:22" ht="15" customHeight="1" x14ac:dyDescent="0.25">
      <c r="A75" s="479"/>
      <c r="B75" s="483"/>
      <c r="C75" s="460"/>
      <c r="D75" s="460"/>
      <c r="E75" s="3">
        <f>[2]A!E72</f>
        <v>3</v>
      </c>
      <c r="F75" s="3">
        <f>[2]A!F72</f>
        <v>89.96</v>
      </c>
      <c r="G75" s="5">
        <f>[2]A!G72</f>
        <v>98.610941307729092</v>
      </c>
      <c r="H75" s="76">
        <v>50.503900000000002</v>
      </c>
      <c r="I75" s="487"/>
      <c r="J75" s="463"/>
      <c r="K75" s="455"/>
      <c r="V75" s="39"/>
    </row>
    <row r="76" spans="1:22" ht="15.75" customHeight="1" thickBot="1" x14ac:dyDescent="0.3">
      <c r="A76" s="479"/>
      <c r="B76" s="483"/>
      <c r="C76" s="460"/>
      <c r="D76" s="461"/>
      <c r="E76" s="6">
        <f>[2]A!E73</f>
        <v>4</v>
      </c>
      <c r="F76" s="6">
        <f>[2]A!F73</f>
        <v>60.98</v>
      </c>
      <c r="G76" s="7">
        <f>[2]A!G73</f>
        <v>66.844099610330375</v>
      </c>
      <c r="H76" s="76">
        <v>23.799600000000002</v>
      </c>
      <c r="I76" s="487"/>
      <c r="J76" s="464"/>
      <c r="K76" s="456"/>
      <c r="L76" s="14"/>
      <c r="V76" s="39"/>
    </row>
    <row r="77" spans="1:22" ht="15" customHeight="1" x14ac:dyDescent="0.25">
      <c r="A77" s="479"/>
      <c r="B77" s="483"/>
      <c r="C77" s="460"/>
      <c r="D77" s="459">
        <v>1</v>
      </c>
      <c r="E77" s="72">
        <f>[2]A!E74</f>
        <v>1</v>
      </c>
      <c r="F77" s="72">
        <f>[2]A!F74</f>
        <v>97.09</v>
      </c>
      <c r="G77" s="73">
        <f>[2]A!G74</f>
        <v>106.42659283645419</v>
      </c>
      <c r="H77" s="69"/>
      <c r="I77" s="487"/>
      <c r="J77" s="490">
        <f>J103</f>
        <v>35.729999999999997</v>
      </c>
      <c r="K77" s="507">
        <f>K51</f>
        <v>380.7</v>
      </c>
      <c r="L77" s="17"/>
      <c r="V77" s="39"/>
    </row>
    <row r="78" spans="1:22" ht="15" customHeight="1" x14ac:dyDescent="0.25">
      <c r="A78" s="479"/>
      <c r="B78" s="483"/>
      <c r="C78" s="460"/>
      <c r="D78" s="460"/>
      <c r="E78" s="3">
        <f>[2]A!E75</f>
        <v>2</v>
      </c>
      <c r="F78" s="3">
        <f>[2]A!F75</f>
        <v>97.06</v>
      </c>
      <c r="G78" s="5">
        <f>[2]A!G75</f>
        <v>106.39370790716082</v>
      </c>
      <c r="H78" s="69"/>
      <c r="I78" s="487"/>
      <c r="J78" s="463"/>
      <c r="K78" s="455"/>
      <c r="L78" s="17"/>
      <c r="M78" s="29"/>
      <c r="V78" s="39"/>
    </row>
    <row r="79" spans="1:22" ht="15" customHeight="1" x14ac:dyDescent="0.25">
      <c r="A79" s="479"/>
      <c r="B79" s="483"/>
      <c r="C79" s="460"/>
      <c r="D79" s="460"/>
      <c r="E79" s="3">
        <f>[2]A!E76</f>
        <v>3</v>
      </c>
      <c r="F79" s="3">
        <f>[2]A!F76</f>
        <v>89.05</v>
      </c>
      <c r="G79" s="5">
        <f>[2]A!G76</f>
        <v>97.613431785830102</v>
      </c>
      <c r="H79" s="69"/>
      <c r="I79" s="487"/>
      <c r="J79" s="463"/>
      <c r="K79" s="455"/>
      <c r="L79" s="16"/>
      <c r="M79" s="10"/>
      <c r="V79" s="39"/>
    </row>
    <row r="80" spans="1:22" ht="15.75" customHeight="1" thickBot="1" x14ac:dyDescent="0.3">
      <c r="A80" s="479"/>
      <c r="B80" s="483"/>
      <c r="C80" s="460"/>
      <c r="D80" s="461"/>
      <c r="E80" s="6">
        <f>[2]A!E77</f>
        <v>4</v>
      </c>
      <c r="F80" s="6">
        <f>[2]A!F77</f>
        <v>61.82</v>
      </c>
      <c r="G80" s="7">
        <f>[2]A!G77</f>
        <v>67.764877630544831</v>
      </c>
      <c r="H80" s="69"/>
      <c r="I80" s="487"/>
      <c r="J80" s="464"/>
      <c r="K80" s="456"/>
      <c r="L80" s="15"/>
      <c r="V80" s="39"/>
    </row>
    <row r="81" spans="1:22" ht="15" customHeight="1" x14ac:dyDescent="0.25">
      <c r="A81" s="479"/>
      <c r="B81" s="483"/>
      <c r="C81" s="460"/>
      <c r="D81" s="460">
        <v>2</v>
      </c>
      <c r="E81" s="72">
        <f>[2]A!E78</f>
        <v>1</v>
      </c>
      <c r="F81" s="72">
        <f>[2]A!F78</f>
        <v>98.95</v>
      </c>
      <c r="G81" s="73">
        <f>[2]A!G78</f>
        <v>108.46545845264333</v>
      </c>
      <c r="H81" s="69"/>
      <c r="I81" s="487"/>
      <c r="J81" s="490">
        <f>J107</f>
        <v>29.85</v>
      </c>
      <c r="K81" s="507">
        <f>K55</f>
        <v>409.54</v>
      </c>
      <c r="V81" s="39"/>
    </row>
    <row r="82" spans="1:22" ht="15" customHeight="1" x14ac:dyDescent="0.25">
      <c r="A82" s="479"/>
      <c r="B82" s="483"/>
      <c r="C82" s="460"/>
      <c r="D82" s="460"/>
      <c r="E82" s="3">
        <f>[2]A!E79</f>
        <v>2</v>
      </c>
      <c r="F82" s="3">
        <f>[2]A!F79</f>
        <v>98.95</v>
      </c>
      <c r="G82" s="5">
        <f>[2]A!G79</f>
        <v>108.46545845264333</v>
      </c>
      <c r="H82" s="69"/>
      <c r="I82" s="487"/>
      <c r="J82" s="463"/>
      <c r="K82" s="455"/>
      <c r="M82" s="18"/>
      <c r="V82" s="39"/>
    </row>
    <row r="83" spans="1:22" ht="15" customHeight="1" x14ac:dyDescent="0.25">
      <c r="A83" s="479"/>
      <c r="B83" s="483"/>
      <c r="C83" s="460"/>
      <c r="D83" s="460"/>
      <c r="E83" s="3">
        <f>[2]A!E80</f>
        <v>3</v>
      </c>
      <c r="F83" s="3">
        <f>[2]A!F80</f>
        <v>90.91</v>
      </c>
      <c r="G83" s="5">
        <f>[2]A!G80</f>
        <v>99.652297402019258</v>
      </c>
      <c r="H83" s="69"/>
      <c r="I83" s="487"/>
      <c r="J83" s="463"/>
      <c r="K83" s="455"/>
      <c r="N83" s="18"/>
      <c r="V83" s="39"/>
    </row>
    <row r="84" spans="1:22" ht="15.75" customHeight="1" thickBot="1" x14ac:dyDescent="0.3">
      <c r="A84" s="479"/>
      <c r="B84" s="483"/>
      <c r="C84" s="460"/>
      <c r="D84" s="461"/>
      <c r="E84" s="6">
        <f>[2]A!E81</f>
        <v>4</v>
      </c>
      <c r="F84" s="6">
        <f>[2]A!F81</f>
        <v>90.91</v>
      </c>
      <c r="G84" s="7">
        <f>[2]A!G81</f>
        <v>99.652297402019258</v>
      </c>
      <c r="H84" s="69"/>
      <c r="I84" s="487"/>
      <c r="J84" s="464"/>
      <c r="K84" s="456"/>
      <c r="V84" s="39"/>
    </row>
    <row r="85" spans="1:22" ht="15" customHeight="1" x14ac:dyDescent="0.25">
      <c r="A85" s="479"/>
      <c r="B85" s="483"/>
      <c r="C85" s="460"/>
      <c r="D85" s="459">
        <v>3</v>
      </c>
      <c r="E85" s="72">
        <f>[2]A!E82</f>
        <v>1</v>
      </c>
      <c r="F85" s="72">
        <f>[2]A!F82</f>
        <v>97.09</v>
      </c>
      <c r="G85" s="73">
        <f>[2]A!G82</f>
        <v>106.42659283645419</v>
      </c>
      <c r="H85" s="69"/>
      <c r="I85" s="487"/>
      <c r="J85" s="490">
        <f>J111</f>
        <v>29.85</v>
      </c>
      <c r="K85" s="507">
        <f>K59</f>
        <v>402.11</v>
      </c>
      <c r="M85" s="18"/>
      <c r="N85" s="18"/>
      <c r="V85" s="39"/>
    </row>
    <row r="86" spans="1:22" ht="15" customHeight="1" x14ac:dyDescent="0.25">
      <c r="A86" s="479"/>
      <c r="B86" s="483"/>
      <c r="C86" s="460"/>
      <c r="D86" s="460"/>
      <c r="E86" s="3">
        <f>[2]A!E83</f>
        <v>2</v>
      </c>
      <c r="F86" s="3">
        <f>[2]A!F83</f>
        <v>97.09</v>
      </c>
      <c r="G86" s="5">
        <f>[2]A!G83</f>
        <v>106.42659283645419</v>
      </c>
      <c r="H86" s="69"/>
      <c r="I86" s="487"/>
      <c r="J86" s="463"/>
      <c r="K86" s="455"/>
      <c r="M86" s="18"/>
      <c r="V86" s="39"/>
    </row>
    <row r="87" spans="1:22" ht="15" customHeight="1" x14ac:dyDescent="0.25">
      <c r="A87" s="479"/>
      <c r="B87" s="483"/>
      <c r="C87" s="460"/>
      <c r="D87" s="460"/>
      <c r="E87" s="3">
        <f>[2]A!E84</f>
        <v>3</v>
      </c>
      <c r="F87" s="3">
        <f>[2]A!F84</f>
        <v>89.05</v>
      </c>
      <c r="G87" s="5">
        <f>[2]A!G84</f>
        <v>97.613431785830102</v>
      </c>
      <c r="H87" s="69"/>
      <c r="I87" s="487"/>
      <c r="J87" s="463"/>
      <c r="K87" s="455"/>
      <c r="V87" s="39"/>
    </row>
    <row r="88" spans="1:22" ht="15.75" customHeight="1" thickBot="1" x14ac:dyDescent="0.3">
      <c r="A88" s="479"/>
      <c r="B88" s="483"/>
      <c r="C88" s="460"/>
      <c r="D88" s="461"/>
      <c r="E88" s="6">
        <f>[2]A!E85</f>
        <v>4</v>
      </c>
      <c r="F88" s="6">
        <f>[2]A!F85</f>
        <v>89.05</v>
      </c>
      <c r="G88" s="7">
        <f>[2]A!G85</f>
        <v>97.613431785830102</v>
      </c>
      <c r="H88" s="69"/>
      <c r="I88" s="487"/>
      <c r="J88" s="464"/>
      <c r="K88" s="456"/>
      <c r="V88" s="39"/>
    </row>
    <row r="89" spans="1:22" ht="15" customHeight="1" x14ac:dyDescent="0.25">
      <c r="A89" s="479"/>
      <c r="B89" s="483"/>
      <c r="C89" s="460"/>
      <c r="D89" s="459">
        <v>4</v>
      </c>
      <c r="E89" s="70">
        <f>[2]A!E86</f>
        <v>1</v>
      </c>
      <c r="F89" s="70">
        <f>[2]A!F86</f>
        <v>97.17</v>
      </c>
      <c r="G89" s="65">
        <f>[2]A!G86</f>
        <v>106.51428598123651</v>
      </c>
      <c r="H89" s="69"/>
      <c r="I89" s="487"/>
      <c r="J89" s="490">
        <f>J115</f>
        <v>29.85</v>
      </c>
      <c r="K89" s="507">
        <f>K63</f>
        <v>405.86</v>
      </c>
      <c r="M89" s="18"/>
      <c r="V89" s="39"/>
    </row>
    <row r="90" spans="1:22" ht="15" customHeight="1" x14ac:dyDescent="0.25">
      <c r="A90" s="479"/>
      <c r="B90" s="483"/>
      <c r="C90" s="460"/>
      <c r="D90" s="460"/>
      <c r="E90" s="3">
        <f>[2]A!E87</f>
        <v>2</v>
      </c>
      <c r="F90" s="3">
        <f>[2]A!F87</f>
        <v>98.57</v>
      </c>
      <c r="G90" s="5">
        <f>[2]A!G87</f>
        <v>108.04891601492726</v>
      </c>
      <c r="H90" s="69"/>
      <c r="I90" s="487"/>
      <c r="J90" s="463"/>
      <c r="K90" s="455"/>
      <c r="M90" s="18"/>
      <c r="V90" s="39"/>
    </row>
    <row r="91" spans="1:22" ht="15" customHeight="1" x14ac:dyDescent="0.25">
      <c r="A91" s="479"/>
      <c r="B91" s="483"/>
      <c r="C91" s="460"/>
      <c r="D91" s="460"/>
      <c r="E91" s="3">
        <f>[2]A!E88</f>
        <v>3</v>
      </c>
      <c r="F91" s="3">
        <f>[2]A!F88</f>
        <v>90.52</v>
      </c>
      <c r="G91" s="5">
        <f>[2]A!G88</f>
        <v>99.224793321205397</v>
      </c>
      <c r="H91" s="69"/>
      <c r="I91" s="487"/>
      <c r="J91" s="463"/>
      <c r="K91" s="455"/>
      <c r="V91" s="39"/>
    </row>
    <row r="92" spans="1:22" ht="15" customHeight="1" thickBot="1" x14ac:dyDescent="0.3">
      <c r="A92" s="480"/>
      <c r="B92" s="484"/>
      <c r="C92" s="476"/>
      <c r="D92" s="476"/>
      <c r="E92" s="3">
        <f>[2]A!E89</f>
        <v>4</v>
      </c>
      <c r="F92" s="3">
        <f>[2]A!F89</f>
        <v>89.12</v>
      </c>
      <c r="G92" s="5">
        <f>[2]A!G89</f>
        <v>97.69016328751465</v>
      </c>
      <c r="H92" s="70"/>
      <c r="I92" s="488"/>
      <c r="J92" s="464"/>
      <c r="K92" s="456"/>
      <c r="V92" s="39"/>
    </row>
    <row r="93" spans="1:22" x14ac:dyDescent="0.25">
      <c r="A93" s="43" t="s">
        <v>4</v>
      </c>
      <c r="B93" s="24"/>
      <c r="C93" s="4"/>
      <c r="D93" s="4"/>
      <c r="E93" s="4"/>
      <c r="F93" s="8">
        <f>SUM(F73:F92)</f>
        <v>1819.4899999999998</v>
      </c>
      <c r="G93" s="8"/>
      <c r="H93" s="8"/>
      <c r="I93" s="8">
        <f>K73+K77+K81+K85+K89</f>
        <v>1994.46</v>
      </c>
      <c r="J93" s="8">
        <f>J89+J85+J81+J77+J73</f>
        <v>174.15</v>
      </c>
      <c r="K93" s="40"/>
      <c r="V93" s="39"/>
    </row>
    <row r="94" spans="1:22" x14ac:dyDescent="0.25">
      <c r="A94" s="37"/>
      <c r="F94" s="18">
        <f>I93/F93</f>
        <v>1.0961643097791141</v>
      </c>
      <c r="I94" s="45"/>
      <c r="J94" s="9">
        <f>(J73+J77+J81+J85+J89)/I93</f>
        <v>8.7316867723594344E-2</v>
      </c>
      <c r="K94" s="40"/>
      <c r="V94" s="39"/>
    </row>
    <row r="95" spans="1:22" x14ac:dyDescent="0.25">
      <c r="A95" s="37"/>
      <c r="I95" s="45"/>
      <c r="V95" s="39"/>
    </row>
    <row r="96" spans="1:22" x14ac:dyDescent="0.25">
      <c r="A96" s="37"/>
      <c r="I96" s="45"/>
      <c r="V96" s="39"/>
    </row>
    <row r="97" spans="1:22" ht="18.75" x14ac:dyDescent="0.3">
      <c r="A97" s="505" t="s">
        <v>23</v>
      </c>
      <c r="B97" s="506"/>
      <c r="C97" s="506"/>
      <c r="D97" s="506"/>
      <c r="E97" s="506"/>
      <c r="F97" s="506"/>
      <c r="G97" s="506"/>
      <c r="H97" s="506"/>
      <c r="I97" s="506"/>
      <c r="J97" s="506"/>
      <c r="K97" s="46"/>
      <c r="M97" s="477"/>
      <c r="N97" s="477"/>
      <c r="O97" s="477"/>
      <c r="P97" s="477"/>
      <c r="V97" s="39"/>
    </row>
    <row r="98" spans="1:22" ht="30" x14ac:dyDescent="0.25">
      <c r="A98" s="41" t="s">
        <v>9</v>
      </c>
      <c r="B98" s="23" t="s">
        <v>7</v>
      </c>
      <c r="C98" s="2" t="s">
        <v>8</v>
      </c>
      <c r="D98" s="2" t="s">
        <v>10</v>
      </c>
      <c r="E98" s="1" t="s">
        <v>2</v>
      </c>
      <c r="F98" s="19" t="s">
        <v>3</v>
      </c>
      <c r="G98" s="19" t="s">
        <v>5</v>
      </c>
      <c r="H98" s="19" t="s">
        <v>57</v>
      </c>
      <c r="I98" s="28" t="s">
        <v>6</v>
      </c>
      <c r="J98" s="28" t="s">
        <v>1</v>
      </c>
      <c r="K98" s="46"/>
      <c r="M98" s="477"/>
      <c r="N98" s="477"/>
      <c r="O98" s="477"/>
      <c r="P98" s="477"/>
      <c r="V98" s="39"/>
    </row>
    <row r="99" spans="1:22" ht="15" customHeight="1" x14ac:dyDescent="0.25">
      <c r="A99" s="478" t="s">
        <v>24</v>
      </c>
      <c r="B99" s="482" t="s">
        <v>25</v>
      </c>
      <c r="C99" s="485" t="s">
        <v>29</v>
      </c>
      <c r="D99" s="485">
        <v>0</v>
      </c>
      <c r="E99" s="3">
        <f>[2]A!E96</f>
        <v>1</v>
      </c>
      <c r="F99" s="3">
        <f>[2]A!F96</f>
        <v>60.98</v>
      </c>
      <c r="G99" s="5">
        <f>[2]A!G96</f>
        <v>66.556564006124674</v>
      </c>
      <c r="H99" s="76">
        <v>23.800799999999999</v>
      </c>
      <c r="I99" s="486">
        <f>SUM(G99:G118)</f>
        <v>2124.1999999999998</v>
      </c>
      <c r="J99" s="462">
        <f>[2]A!I96</f>
        <v>48.87</v>
      </c>
      <c r="K99" s="465">
        <f>[2]A!J96</f>
        <v>420.41</v>
      </c>
      <c r="L99" s="42"/>
      <c r="V99" s="39"/>
    </row>
    <row r="100" spans="1:22" ht="15" customHeight="1" x14ac:dyDescent="0.25">
      <c r="A100" s="479"/>
      <c r="B100" s="483"/>
      <c r="C100" s="460"/>
      <c r="D100" s="460"/>
      <c r="E100" s="3">
        <f>[2]A!E97</f>
        <v>2</v>
      </c>
      <c r="F100" s="3">
        <f>[2]A!F97</f>
        <v>89.96</v>
      </c>
      <c r="G100" s="5">
        <f>[2]A!G97</f>
        <v>98.186757920481725</v>
      </c>
      <c r="H100" s="76">
        <v>50.507800000000003</v>
      </c>
      <c r="I100" s="487"/>
      <c r="J100" s="463"/>
      <c r="K100" s="465"/>
      <c r="L100" s="42"/>
      <c r="M100" s="18"/>
      <c r="V100" s="39"/>
    </row>
    <row r="101" spans="1:22" ht="15" customHeight="1" x14ac:dyDescent="0.25">
      <c r="A101" s="479"/>
      <c r="B101" s="483"/>
      <c r="C101" s="460"/>
      <c r="D101" s="460"/>
      <c r="E101" s="3">
        <f>[2]A!E98</f>
        <v>3</v>
      </c>
      <c r="F101" s="3">
        <f>[2]A!F98</f>
        <v>110.14</v>
      </c>
      <c r="G101" s="5">
        <f>[2]A!G98</f>
        <v>120.21220005960269</v>
      </c>
      <c r="H101" s="76">
        <v>59.482100000000003</v>
      </c>
      <c r="I101" s="487"/>
      <c r="J101" s="463"/>
      <c r="K101" s="465"/>
      <c r="L101" s="42"/>
      <c r="V101" s="39"/>
    </row>
    <row r="102" spans="1:22" ht="15.75" customHeight="1" thickBot="1" x14ac:dyDescent="0.3">
      <c r="A102" s="479"/>
      <c r="B102" s="483"/>
      <c r="C102" s="460"/>
      <c r="D102" s="461"/>
      <c r="E102" s="6">
        <f>[2]A!E99</f>
        <v>4</v>
      </c>
      <c r="F102" s="6">
        <f>[2]A!F99</f>
        <v>110.32</v>
      </c>
      <c r="G102" s="7">
        <f>[2]A!G99</f>
        <v>120.40866089136887</v>
      </c>
      <c r="H102" s="76">
        <v>50.038899999999998</v>
      </c>
      <c r="I102" s="487"/>
      <c r="J102" s="464"/>
      <c r="K102" s="466"/>
      <c r="L102" s="42"/>
      <c r="V102" s="39"/>
    </row>
    <row r="103" spans="1:22" ht="15.75" customHeight="1" x14ac:dyDescent="0.25">
      <c r="A103" s="479"/>
      <c r="B103" s="483"/>
      <c r="C103" s="460"/>
      <c r="D103" s="459">
        <v>1</v>
      </c>
      <c r="E103" s="72">
        <f>[2]A!E100</f>
        <v>1</v>
      </c>
      <c r="F103" s="72">
        <f>[2]A!F100</f>
        <v>61.82</v>
      </c>
      <c r="G103" s="73">
        <f>[2]A!G100</f>
        <v>67.473381221033577</v>
      </c>
      <c r="H103" s="69"/>
      <c r="I103" s="487"/>
      <c r="J103" s="490">
        <f>[2]A!I100</f>
        <v>35.729999999999997</v>
      </c>
      <c r="K103" s="500">
        <f>[2]A!J100</f>
        <v>407.35</v>
      </c>
      <c r="L103" s="11"/>
      <c r="M103" s="10"/>
      <c r="V103" s="39"/>
    </row>
    <row r="104" spans="1:22" ht="15" customHeight="1" x14ac:dyDescent="0.25">
      <c r="A104" s="479"/>
      <c r="B104" s="483"/>
      <c r="C104" s="460"/>
      <c r="D104" s="460"/>
      <c r="E104" s="3">
        <f>[2]A!E101</f>
        <v>2</v>
      </c>
      <c r="F104" s="3">
        <f>[2]A!F101</f>
        <v>89.05</v>
      </c>
      <c r="G104" s="5">
        <f>[2]A!G101</f>
        <v>97.193539270997093</v>
      </c>
      <c r="H104" s="69"/>
      <c r="I104" s="487"/>
      <c r="J104" s="463"/>
      <c r="K104" s="465"/>
      <c r="L104" s="11"/>
      <c r="V104" s="39"/>
    </row>
    <row r="105" spans="1:22" ht="15" customHeight="1" x14ac:dyDescent="0.25">
      <c r="A105" s="479"/>
      <c r="B105" s="483"/>
      <c r="C105" s="460"/>
      <c r="D105" s="460"/>
      <c r="E105" s="3">
        <f>[2]A!E102</f>
        <v>3</v>
      </c>
      <c r="F105" s="3">
        <f>[2]A!F102</f>
        <v>110.14</v>
      </c>
      <c r="G105" s="5">
        <f>[2]A!G102</f>
        <v>120.21220005960269</v>
      </c>
      <c r="H105" s="69"/>
      <c r="I105" s="487"/>
      <c r="J105" s="463"/>
      <c r="K105" s="465"/>
      <c r="L105" s="12"/>
      <c r="V105" s="39"/>
    </row>
    <row r="106" spans="1:22" ht="15.75" customHeight="1" thickBot="1" x14ac:dyDescent="0.3">
      <c r="A106" s="479"/>
      <c r="B106" s="483"/>
      <c r="C106" s="460"/>
      <c r="D106" s="461"/>
      <c r="E106" s="6">
        <f>[2]A!E103</f>
        <v>4</v>
      </c>
      <c r="F106" s="6">
        <f>[2]A!F103</f>
        <v>110.61</v>
      </c>
      <c r="G106" s="7">
        <f>[2]A!G103</f>
        <v>120.72518112032553</v>
      </c>
      <c r="H106" s="69"/>
      <c r="I106" s="487"/>
      <c r="J106" s="464"/>
      <c r="K106" s="466"/>
      <c r="L106" s="13"/>
      <c r="V106" s="39"/>
    </row>
    <row r="107" spans="1:22" ht="15.75" customHeight="1" x14ac:dyDescent="0.25">
      <c r="A107" s="479"/>
      <c r="B107" s="483"/>
      <c r="C107" s="460"/>
      <c r="D107" s="459">
        <v>2</v>
      </c>
      <c r="E107" s="72">
        <f>[2]A!E104</f>
        <v>1</v>
      </c>
      <c r="F107" s="72">
        <f>[2]A!F104</f>
        <v>90.91</v>
      </c>
      <c r="G107" s="73">
        <f>[2]A!G104</f>
        <v>99.223634532581073</v>
      </c>
      <c r="H107" s="69"/>
      <c r="I107" s="487"/>
      <c r="J107" s="490">
        <f>[2]A!I104</f>
        <v>29.85</v>
      </c>
      <c r="K107" s="500">
        <f>[2]A!J104</f>
        <v>436.05</v>
      </c>
      <c r="L107" s="42"/>
      <c r="V107" s="39"/>
    </row>
    <row r="108" spans="1:22" ht="15" customHeight="1" x14ac:dyDescent="0.25">
      <c r="A108" s="479"/>
      <c r="B108" s="483"/>
      <c r="C108" s="460"/>
      <c r="D108" s="460"/>
      <c r="E108" s="3">
        <f>[2]A!E105</f>
        <v>2</v>
      </c>
      <c r="F108" s="3">
        <f>[2]A!F105</f>
        <v>90.91</v>
      </c>
      <c r="G108" s="5">
        <f>[2]A!G105</f>
        <v>99.223634532581073</v>
      </c>
      <c r="H108" s="69"/>
      <c r="I108" s="487"/>
      <c r="J108" s="463"/>
      <c r="K108" s="465"/>
      <c r="L108" s="42"/>
      <c r="M108" s="18"/>
      <c r="V108" s="39"/>
    </row>
    <row r="109" spans="1:22" ht="15" customHeight="1" x14ac:dyDescent="0.25">
      <c r="A109" s="479"/>
      <c r="B109" s="483"/>
      <c r="C109" s="460"/>
      <c r="D109" s="460"/>
      <c r="E109" s="3">
        <f>[2]A!E106</f>
        <v>3</v>
      </c>
      <c r="F109" s="3">
        <f>[2]A!F106</f>
        <v>112.2</v>
      </c>
      <c r="G109" s="5">
        <f>[2]A!G106</f>
        <v>122.46058513426023</v>
      </c>
      <c r="H109" s="69"/>
      <c r="I109" s="487"/>
      <c r="J109" s="463"/>
      <c r="K109" s="465"/>
      <c r="L109" s="42"/>
      <c r="V109" s="39"/>
    </row>
    <row r="110" spans="1:22" ht="15.75" customHeight="1" thickBot="1" x14ac:dyDescent="0.3">
      <c r="A110" s="479"/>
      <c r="B110" s="483"/>
      <c r="C110" s="460"/>
      <c r="D110" s="461"/>
      <c r="E110" s="6">
        <f>[2]A!E107</f>
        <v>4</v>
      </c>
      <c r="F110" s="6">
        <f>[2]A!F107</f>
        <v>112.2</v>
      </c>
      <c r="G110" s="7">
        <f>[2]A!G107</f>
        <v>122.46058513426023</v>
      </c>
      <c r="H110" s="69"/>
      <c r="I110" s="487"/>
      <c r="J110" s="464"/>
      <c r="K110" s="466"/>
      <c r="L110" s="42"/>
      <c r="V110" s="39"/>
    </row>
    <row r="111" spans="1:22" ht="15" customHeight="1" x14ac:dyDescent="0.25">
      <c r="A111" s="479"/>
      <c r="B111" s="483"/>
      <c r="C111" s="460"/>
      <c r="D111" s="459">
        <v>3</v>
      </c>
      <c r="E111" s="72">
        <f>[2]A!E108</f>
        <v>1</v>
      </c>
      <c r="F111" s="72">
        <f>[2]A!F108</f>
        <v>89.05</v>
      </c>
      <c r="G111" s="73">
        <f>[2]A!G108</f>
        <v>97.193539270997093</v>
      </c>
      <c r="H111" s="69"/>
      <c r="I111" s="487"/>
      <c r="J111" s="490">
        <f>[2]A!I108</f>
        <v>29.85</v>
      </c>
      <c r="K111" s="500">
        <f>[2]A!J108</f>
        <v>428.22</v>
      </c>
      <c r="L111" s="42"/>
      <c r="V111" s="39"/>
    </row>
    <row r="112" spans="1:22" ht="15" customHeight="1" x14ac:dyDescent="0.25">
      <c r="A112" s="479"/>
      <c r="B112" s="483"/>
      <c r="C112" s="460"/>
      <c r="D112" s="460"/>
      <c r="E112" s="3">
        <f>[2]A!E109</f>
        <v>2</v>
      </c>
      <c r="F112" s="3">
        <f>[2]A!F109</f>
        <v>89.05</v>
      </c>
      <c r="G112" s="5">
        <f>[2]A!G109</f>
        <v>97.193539270997093</v>
      </c>
      <c r="H112" s="69"/>
      <c r="I112" s="487"/>
      <c r="J112" s="463"/>
      <c r="K112" s="465"/>
      <c r="L112" s="42"/>
      <c r="V112" s="39"/>
    </row>
    <row r="113" spans="1:22" ht="15" customHeight="1" x14ac:dyDescent="0.25">
      <c r="A113" s="479"/>
      <c r="B113" s="483"/>
      <c r="C113" s="460"/>
      <c r="D113" s="460"/>
      <c r="E113" s="3">
        <f>[2]A!E110</f>
        <v>3</v>
      </c>
      <c r="F113" s="3">
        <f>[2]A!F110</f>
        <v>110.14</v>
      </c>
      <c r="G113" s="5">
        <f>[2]A!G110</f>
        <v>120.21220005960269</v>
      </c>
      <c r="H113" s="69"/>
      <c r="I113" s="487"/>
      <c r="J113" s="463"/>
      <c r="K113" s="465"/>
      <c r="L113" s="42"/>
      <c r="M113" s="18"/>
      <c r="V113" s="39"/>
    </row>
    <row r="114" spans="1:22" ht="15.75" customHeight="1" thickBot="1" x14ac:dyDescent="0.3">
      <c r="A114" s="479"/>
      <c r="B114" s="483"/>
      <c r="C114" s="460"/>
      <c r="D114" s="461"/>
      <c r="E114" s="6">
        <f>[2]A!E111</f>
        <v>4</v>
      </c>
      <c r="F114" s="6">
        <f>[2]A!F111</f>
        <v>110.14</v>
      </c>
      <c r="G114" s="7">
        <f>[2]A!G111</f>
        <v>120.21220005960269</v>
      </c>
      <c r="H114" s="69"/>
      <c r="I114" s="487"/>
      <c r="J114" s="464"/>
      <c r="K114" s="466"/>
      <c r="L114" s="42"/>
      <c r="V114" s="39"/>
    </row>
    <row r="115" spans="1:22" ht="15" customHeight="1" x14ac:dyDescent="0.25">
      <c r="A115" s="479"/>
      <c r="B115" s="483"/>
      <c r="C115" s="460"/>
      <c r="D115" s="459">
        <v>4</v>
      </c>
      <c r="E115" s="70">
        <f>[2]A!E112</f>
        <v>1</v>
      </c>
      <c r="F115" s="70">
        <f>[2]A!F112</f>
        <v>89.12</v>
      </c>
      <c r="G115" s="65">
        <f>[2]A!G112</f>
        <v>97.269940705572836</v>
      </c>
      <c r="H115" s="69"/>
      <c r="I115" s="487"/>
      <c r="J115" s="490">
        <f>[2]A!I112</f>
        <v>29.85</v>
      </c>
      <c r="K115" s="500">
        <f>[2]A!J112</f>
        <v>432.17</v>
      </c>
      <c r="L115" s="42"/>
      <c r="V115" s="39"/>
    </row>
    <row r="116" spans="1:22" ht="15" customHeight="1" x14ac:dyDescent="0.25">
      <c r="A116" s="479"/>
      <c r="B116" s="483"/>
      <c r="C116" s="460"/>
      <c r="D116" s="460"/>
      <c r="E116" s="3">
        <f>[2]A!E113</f>
        <v>2</v>
      </c>
      <c r="F116" s="3">
        <f>[2]A!F113</f>
        <v>89.12</v>
      </c>
      <c r="G116" s="5">
        <f>[2]A!G113</f>
        <v>97.269940705572836</v>
      </c>
      <c r="H116" s="69"/>
      <c r="I116" s="487"/>
      <c r="J116" s="463"/>
      <c r="K116" s="465"/>
      <c r="L116" s="42"/>
      <c r="M116" s="18"/>
      <c r="V116" s="39"/>
    </row>
    <row r="117" spans="1:22" ht="15" customHeight="1" x14ac:dyDescent="0.25">
      <c r="A117" s="479"/>
      <c r="B117" s="483"/>
      <c r="C117" s="460"/>
      <c r="D117" s="460"/>
      <c r="E117" s="3">
        <f>[2]A!E114</f>
        <v>3</v>
      </c>
      <c r="F117" s="3">
        <f>[2]A!F114</f>
        <v>110.18</v>
      </c>
      <c r="G117" s="5">
        <f>[2]A!G114</f>
        <v>120.25585802221741</v>
      </c>
      <c r="H117" s="69"/>
      <c r="I117" s="487"/>
      <c r="J117" s="463"/>
      <c r="K117" s="465"/>
      <c r="L117" s="42"/>
      <c r="V117" s="39"/>
    </row>
    <row r="118" spans="1:22" ht="15" customHeight="1" thickBot="1" x14ac:dyDescent="0.3">
      <c r="A118" s="480"/>
      <c r="B118" s="484"/>
      <c r="C118" s="476"/>
      <c r="D118" s="476"/>
      <c r="E118" s="3">
        <f>[2]A!E115</f>
        <v>4</v>
      </c>
      <c r="F118" s="3">
        <f>[2]A!F115</f>
        <v>110.18</v>
      </c>
      <c r="G118" s="5">
        <f>[2]A!G115</f>
        <v>120.25585802221741</v>
      </c>
      <c r="H118" s="70"/>
      <c r="I118" s="488"/>
      <c r="J118" s="464"/>
      <c r="K118" s="466"/>
      <c r="L118" s="42"/>
      <c r="V118" s="39"/>
    </row>
    <row r="119" spans="1:22" x14ac:dyDescent="0.25">
      <c r="A119" s="43" t="s">
        <v>4</v>
      </c>
      <c r="B119" s="24"/>
      <c r="C119" s="4"/>
      <c r="D119" s="4"/>
      <c r="E119" s="4"/>
      <c r="F119" s="8">
        <f>SUM(F99:F118)</f>
        <v>1946.2200000000003</v>
      </c>
      <c r="G119" s="8"/>
      <c r="H119" s="8"/>
      <c r="I119" s="8">
        <f>K99+K103+K107+K111+K115</f>
        <v>2124.1999999999998</v>
      </c>
      <c r="J119" s="8">
        <f>J115+J111+J107+J103+J99</f>
        <v>174.15</v>
      </c>
      <c r="K119" s="46"/>
      <c r="L119" s="44"/>
      <c r="V119" s="39"/>
    </row>
    <row r="120" spans="1:22" x14ac:dyDescent="0.25">
      <c r="A120" s="37"/>
      <c r="F120" s="18">
        <f>I119/F119</f>
        <v>1.0914490653677382</v>
      </c>
      <c r="I120" s="45"/>
      <c r="J120" s="9">
        <f>(J99+J103+J107+J111+J115)/I119</f>
        <v>8.1983805668016191E-2</v>
      </c>
      <c r="K120" s="46"/>
      <c r="V120" s="39"/>
    </row>
    <row r="121" spans="1:22" ht="15.75" thickBot="1" x14ac:dyDescent="0.3">
      <c r="A121" s="47"/>
      <c r="B121" s="48"/>
      <c r="C121" s="49"/>
      <c r="D121" s="49"/>
      <c r="E121" s="49"/>
      <c r="F121" s="50"/>
      <c r="G121" s="50"/>
      <c r="H121" s="50"/>
      <c r="I121" s="50"/>
      <c r="J121" s="50"/>
      <c r="K121" s="50"/>
      <c r="L121" s="49"/>
      <c r="M121" s="49"/>
      <c r="N121" s="49"/>
      <c r="O121" s="49"/>
      <c r="P121" s="49"/>
      <c r="Q121" s="49"/>
      <c r="R121" s="49"/>
      <c r="S121" s="49"/>
      <c r="T121" s="49"/>
      <c r="U121" s="49"/>
      <c r="V121" s="51"/>
    </row>
    <row r="122" spans="1:22" x14ac:dyDescent="0.25">
      <c r="A122" s="37"/>
    </row>
    <row r="123" spans="1:22" ht="15.75" thickBot="1" x14ac:dyDescent="0.3">
      <c r="A123" s="37"/>
    </row>
    <row r="124" spans="1:22" x14ac:dyDescent="0.25">
      <c r="A124" s="31"/>
      <c r="B124" s="32"/>
      <c r="C124" s="33"/>
      <c r="D124" s="33"/>
      <c r="E124" s="33"/>
      <c r="F124" s="34"/>
      <c r="G124" s="34"/>
      <c r="H124" s="34"/>
      <c r="I124" s="33"/>
      <c r="J124" s="33"/>
      <c r="K124" s="33"/>
      <c r="L124" s="35" t="s">
        <v>0</v>
      </c>
      <c r="M124" s="498" t="s">
        <v>41</v>
      </c>
      <c r="N124" s="498"/>
      <c r="O124" s="498"/>
      <c r="P124" s="498"/>
      <c r="Q124" s="33"/>
      <c r="R124" s="33"/>
      <c r="S124" s="33"/>
      <c r="T124" s="33"/>
      <c r="U124" s="33"/>
      <c r="V124" s="36"/>
    </row>
    <row r="125" spans="1:22" x14ac:dyDescent="0.25">
      <c r="A125" s="37"/>
      <c r="I125"/>
      <c r="J125"/>
      <c r="K125"/>
      <c r="L125" s="38" t="s">
        <v>14</v>
      </c>
      <c r="M125" s="477" t="s">
        <v>12</v>
      </c>
      <c r="N125" s="477"/>
      <c r="O125" s="477" t="s">
        <v>12</v>
      </c>
      <c r="P125" s="477"/>
      <c r="V125" s="39"/>
    </row>
    <row r="126" spans="1:22" x14ac:dyDescent="0.25">
      <c r="A126" s="37"/>
      <c r="I126"/>
      <c r="J126"/>
      <c r="K126"/>
      <c r="L126" s="38"/>
      <c r="V126" s="39"/>
    </row>
    <row r="127" spans="1:22" x14ac:dyDescent="0.25">
      <c r="A127" s="37"/>
      <c r="I127"/>
      <c r="J127"/>
      <c r="K127"/>
      <c r="L127" s="499" t="s">
        <v>11</v>
      </c>
      <c r="M127" s="21">
        <v>3</v>
      </c>
      <c r="N127" s="21">
        <v>2</v>
      </c>
      <c r="O127" s="20">
        <v>3</v>
      </c>
      <c r="P127" s="20">
        <v>2</v>
      </c>
      <c r="V127" s="39"/>
    </row>
    <row r="128" spans="1:22" x14ac:dyDescent="0.25">
      <c r="A128" s="37"/>
      <c r="I128"/>
      <c r="J128"/>
      <c r="K128"/>
      <c r="L128" s="499"/>
      <c r="M128" s="21">
        <v>4</v>
      </c>
      <c r="N128" s="21">
        <v>1</v>
      </c>
      <c r="O128" s="20">
        <v>4</v>
      </c>
      <c r="P128" s="20">
        <v>1</v>
      </c>
      <c r="V128" s="39"/>
    </row>
    <row r="129" spans="1:22" x14ac:dyDescent="0.25">
      <c r="A129" s="37"/>
      <c r="I129"/>
      <c r="J129"/>
      <c r="K129"/>
      <c r="L129" s="38"/>
      <c r="V129" s="39"/>
    </row>
    <row r="130" spans="1:22" x14ac:dyDescent="0.25">
      <c r="A130" s="37"/>
      <c r="I130"/>
      <c r="J130"/>
      <c r="K130"/>
      <c r="L130" s="38" t="s">
        <v>14</v>
      </c>
      <c r="M130" s="477" t="s">
        <v>13</v>
      </c>
      <c r="N130" s="477"/>
      <c r="O130" s="477" t="s">
        <v>13</v>
      </c>
      <c r="P130" s="477"/>
      <c r="V130" s="39"/>
    </row>
    <row r="131" spans="1:22" ht="18.75" x14ac:dyDescent="0.3">
      <c r="A131" s="457" t="s">
        <v>30</v>
      </c>
      <c r="B131" s="458"/>
      <c r="C131" s="458"/>
      <c r="D131" s="458"/>
      <c r="E131" s="458"/>
      <c r="F131" s="458"/>
      <c r="G131" s="458"/>
      <c r="H131" s="458"/>
      <c r="I131" s="458"/>
      <c r="J131" s="458"/>
      <c r="K131" s="504"/>
      <c r="M131" s="477"/>
      <c r="N131" s="477"/>
      <c r="O131" s="477"/>
      <c r="P131" s="477"/>
      <c r="V131" s="39"/>
    </row>
    <row r="132" spans="1:22" ht="30" x14ac:dyDescent="0.25">
      <c r="A132" s="41" t="s">
        <v>9</v>
      </c>
      <c r="B132" s="23" t="s">
        <v>7</v>
      </c>
      <c r="C132" s="2" t="s">
        <v>8</v>
      </c>
      <c r="D132" s="2" t="s">
        <v>10</v>
      </c>
      <c r="E132" s="1" t="s">
        <v>2</v>
      </c>
      <c r="F132" s="19" t="s">
        <v>3</v>
      </c>
      <c r="G132" s="19" t="s">
        <v>5</v>
      </c>
      <c r="H132" s="19" t="s">
        <v>57</v>
      </c>
      <c r="I132" s="1" t="s">
        <v>6</v>
      </c>
      <c r="J132" s="53" t="s">
        <v>1</v>
      </c>
      <c r="K132" s="504"/>
      <c r="V132" s="39"/>
    </row>
    <row r="133" spans="1:22" x14ac:dyDescent="0.25">
      <c r="A133" s="478" t="s">
        <v>31</v>
      </c>
      <c r="B133" s="482" t="s">
        <v>40</v>
      </c>
      <c r="C133" s="485" t="s">
        <v>31</v>
      </c>
      <c r="D133" s="485">
        <v>0</v>
      </c>
      <c r="E133" s="3">
        <f>[3]B2!E10</f>
        <v>1</v>
      </c>
      <c r="F133" s="3">
        <f>[3]B2!F10</f>
        <v>144.66</v>
      </c>
      <c r="G133" s="5">
        <f>[3]B2!G10</f>
        <v>160.29183324060244</v>
      </c>
      <c r="H133" s="77">
        <v>82.528400000000005</v>
      </c>
      <c r="I133" s="486">
        <f>SUM(G133:G152)</f>
        <v>3405.5199999999986</v>
      </c>
      <c r="J133" s="494">
        <f>[3]B2!I10</f>
        <v>99.27</v>
      </c>
      <c r="K133" s="501">
        <f>[3]B2!J10</f>
        <v>685.9</v>
      </c>
      <c r="L133" s="42"/>
      <c r="V133" s="39"/>
    </row>
    <row r="134" spans="1:22" x14ac:dyDescent="0.25">
      <c r="A134" s="479"/>
      <c r="B134" s="483"/>
      <c r="C134" s="460"/>
      <c r="D134" s="460"/>
      <c r="E134" s="3">
        <f>[3]B2!E11</f>
        <v>2</v>
      </c>
      <c r="F134" s="3">
        <f>[3]B2!F11</f>
        <v>183.89</v>
      </c>
      <c r="G134" s="5">
        <f>[3]B2!G11</f>
        <v>203.76099277349911</v>
      </c>
      <c r="H134" s="77">
        <v>61.571399999999997</v>
      </c>
      <c r="I134" s="487"/>
      <c r="J134" s="495"/>
      <c r="K134" s="502"/>
      <c r="L134" s="42"/>
      <c r="V134" s="39"/>
    </row>
    <row r="135" spans="1:22" x14ac:dyDescent="0.25">
      <c r="A135" s="479"/>
      <c r="B135" s="483"/>
      <c r="C135" s="460"/>
      <c r="D135" s="460"/>
      <c r="E135" s="3">
        <f>[3]B2!E12</f>
        <v>3</v>
      </c>
      <c r="F135" s="3">
        <f>[3]B2!F12</f>
        <v>162.83000000000001</v>
      </c>
      <c r="G135" s="5">
        <f>[3]B2!G12</f>
        <v>180.42526756924718</v>
      </c>
      <c r="H135" s="77">
        <v>76.321799999999996</v>
      </c>
      <c r="I135" s="487"/>
      <c r="J135" s="495"/>
      <c r="K135" s="502"/>
      <c r="L135" s="42"/>
      <c r="V135" s="39"/>
    </row>
    <row r="136" spans="1:22" ht="15.75" thickBot="1" x14ac:dyDescent="0.3">
      <c r="A136" s="479"/>
      <c r="B136" s="483"/>
      <c r="C136" s="460"/>
      <c r="D136" s="461"/>
      <c r="E136" s="6">
        <f>[3]B2!E13</f>
        <v>4</v>
      </c>
      <c r="F136" s="6">
        <f>[3]B2!F13</f>
        <v>95.25</v>
      </c>
      <c r="G136" s="7">
        <f>[3]B2!G13</f>
        <v>105.54263179985747</v>
      </c>
      <c r="H136" s="77">
        <v>62.468000000000004</v>
      </c>
      <c r="I136" s="487"/>
      <c r="J136" s="496"/>
      <c r="K136" s="503"/>
      <c r="L136" s="42"/>
      <c r="V136" s="39"/>
    </row>
    <row r="137" spans="1:22" ht="15" customHeight="1" x14ac:dyDescent="0.25">
      <c r="A137" s="479"/>
      <c r="B137" s="483"/>
      <c r="C137" s="460"/>
      <c r="D137" s="459">
        <v>1</v>
      </c>
      <c r="E137" s="72">
        <f>[3]B2!E14</f>
        <v>1</v>
      </c>
      <c r="F137" s="72">
        <f>[3]B2!F14</f>
        <v>141.66</v>
      </c>
      <c r="G137" s="73">
        <f>[3]B2!G14</f>
        <v>156.96765586107935</v>
      </c>
      <c r="H137" s="64"/>
      <c r="I137" s="487"/>
      <c r="J137" s="494">
        <f>[3]B2!I14</f>
        <v>73.489999999999995</v>
      </c>
      <c r="K137" s="501">
        <f>[3]B2!J14</f>
        <v>657.67</v>
      </c>
      <c r="L137" s="54"/>
      <c r="M137" s="10"/>
      <c r="V137" s="39"/>
    </row>
    <row r="138" spans="1:22" ht="15" customHeight="1" x14ac:dyDescent="0.25">
      <c r="A138" s="479"/>
      <c r="B138" s="483"/>
      <c r="C138" s="460"/>
      <c r="D138" s="460"/>
      <c r="E138" s="3">
        <f>[3]B2!E15</f>
        <v>2</v>
      </c>
      <c r="F138" s="3">
        <f>[3]B2!F15</f>
        <v>183.64</v>
      </c>
      <c r="G138" s="5">
        <f>[3]B2!G15</f>
        <v>203.48397799187217</v>
      </c>
      <c r="H138" s="64"/>
      <c r="I138" s="487"/>
      <c r="J138" s="495"/>
      <c r="K138" s="502"/>
      <c r="L138" s="54"/>
      <c r="V138" s="39"/>
    </row>
    <row r="139" spans="1:22" ht="15" customHeight="1" x14ac:dyDescent="0.25">
      <c r="A139" s="479"/>
      <c r="B139" s="483"/>
      <c r="C139" s="460"/>
      <c r="D139" s="460"/>
      <c r="E139" s="3">
        <f>[3]B2!E16</f>
        <v>3</v>
      </c>
      <c r="F139" s="3">
        <f>[3]B2!F16</f>
        <v>162.58000000000001</v>
      </c>
      <c r="G139" s="5">
        <f>[3]B2!G16</f>
        <v>180.14825278762027</v>
      </c>
      <c r="H139" s="64"/>
      <c r="I139" s="487"/>
      <c r="J139" s="495"/>
      <c r="K139" s="502"/>
      <c r="L139" s="12"/>
      <c r="V139" s="39"/>
    </row>
    <row r="140" spans="1:22" ht="15.75" customHeight="1" thickBot="1" x14ac:dyDescent="0.3">
      <c r="A140" s="479"/>
      <c r="B140" s="483"/>
      <c r="C140" s="460"/>
      <c r="D140" s="461"/>
      <c r="E140" s="6">
        <f>[3]B2!E17</f>
        <v>4</v>
      </c>
      <c r="F140" s="6">
        <f>[3]B2!F17</f>
        <v>96.31</v>
      </c>
      <c r="G140" s="7">
        <f>[3]B2!G17</f>
        <v>106.71717447395562</v>
      </c>
      <c r="H140" s="64"/>
      <c r="I140" s="487"/>
      <c r="J140" s="496"/>
      <c r="K140" s="503"/>
      <c r="L140" s="13"/>
      <c r="V140" s="39"/>
    </row>
    <row r="141" spans="1:22" ht="15" customHeight="1" x14ac:dyDescent="0.25">
      <c r="A141" s="479"/>
      <c r="B141" s="483"/>
      <c r="C141" s="460"/>
      <c r="D141" s="459">
        <v>2</v>
      </c>
      <c r="E141" s="72">
        <f>[3]B2!E18</f>
        <v>1</v>
      </c>
      <c r="F141" s="72">
        <f>[3]B2!F18</f>
        <v>143.99</v>
      </c>
      <c r="G141" s="73">
        <f>[3]B2!G18</f>
        <v>159.54943362584228</v>
      </c>
      <c r="H141" s="64"/>
      <c r="I141" s="487"/>
      <c r="J141" s="494">
        <f>[3]B2!I18</f>
        <v>53.12</v>
      </c>
      <c r="K141" s="501">
        <f>[3]B2!J18</f>
        <v>692.65</v>
      </c>
      <c r="L141" s="42"/>
      <c r="V141" s="39"/>
    </row>
    <row r="142" spans="1:22" ht="15" customHeight="1" x14ac:dyDescent="0.25">
      <c r="A142" s="479"/>
      <c r="B142" s="483"/>
      <c r="C142" s="460"/>
      <c r="D142" s="460"/>
      <c r="E142" s="3">
        <f>[3]B2!E19</f>
        <v>2</v>
      </c>
      <c r="F142" s="3">
        <f>[3]B2!F19</f>
        <v>187.1</v>
      </c>
      <c r="G142" s="5">
        <f>[3]B2!G19</f>
        <v>207.31786256958878</v>
      </c>
      <c r="H142" s="64"/>
      <c r="I142" s="487"/>
      <c r="J142" s="495"/>
      <c r="K142" s="502"/>
      <c r="L142" s="42"/>
      <c r="V142" s="39"/>
    </row>
    <row r="143" spans="1:22" ht="15" customHeight="1" x14ac:dyDescent="0.25">
      <c r="A143" s="479"/>
      <c r="B143" s="483"/>
      <c r="C143" s="460"/>
      <c r="D143" s="460"/>
      <c r="E143" s="3">
        <f>[3]B2!E20</f>
        <v>3</v>
      </c>
      <c r="F143" s="3">
        <f>[3]B2!F20</f>
        <v>167.21</v>
      </c>
      <c r="G143" s="5">
        <f>[3]B2!G20</f>
        <v>185.27856654335085</v>
      </c>
      <c r="H143" s="64"/>
      <c r="I143" s="487"/>
      <c r="J143" s="495"/>
      <c r="K143" s="502"/>
      <c r="L143" s="42"/>
      <c r="V143" s="39"/>
    </row>
    <row r="144" spans="1:22" ht="15.75" customHeight="1" thickBot="1" x14ac:dyDescent="0.3">
      <c r="A144" s="479"/>
      <c r="B144" s="483"/>
      <c r="C144" s="460"/>
      <c r="D144" s="461"/>
      <c r="E144" s="6">
        <f>[3]B2!E21</f>
        <v>4</v>
      </c>
      <c r="F144" s="6">
        <f>[3]B2!F21</f>
        <v>141.22999999999999</v>
      </c>
      <c r="G144" s="7">
        <f>[3]B2!G21</f>
        <v>156.49119043668105</v>
      </c>
      <c r="H144" s="64"/>
      <c r="I144" s="487"/>
      <c r="J144" s="496"/>
      <c r="K144" s="503"/>
      <c r="L144" s="42"/>
      <c r="V144" s="39"/>
    </row>
    <row r="145" spans="1:22" ht="15" customHeight="1" x14ac:dyDescent="0.25">
      <c r="A145" s="479"/>
      <c r="B145" s="483"/>
      <c r="C145" s="460"/>
      <c r="D145" s="459">
        <v>3</v>
      </c>
      <c r="E145" s="72">
        <f>[3]B2!E22</f>
        <v>1</v>
      </c>
      <c r="F145" s="72">
        <f>[3]B2!F22</f>
        <v>143.9</v>
      </c>
      <c r="G145" s="73">
        <f>[3]B2!G22</f>
        <v>159.44970830445661</v>
      </c>
      <c r="H145" s="64"/>
      <c r="I145" s="487"/>
      <c r="J145" s="494">
        <f>[3]B2!I22</f>
        <v>53.12</v>
      </c>
      <c r="K145" s="501">
        <f>[3]B2!J22</f>
        <v>689.81</v>
      </c>
      <c r="L145" s="42"/>
      <c r="V145" s="39"/>
    </row>
    <row r="146" spans="1:22" ht="15" customHeight="1" x14ac:dyDescent="0.25">
      <c r="A146" s="479"/>
      <c r="B146" s="483"/>
      <c r="C146" s="460"/>
      <c r="D146" s="460"/>
      <c r="E146" s="3">
        <f>[3]B2!E23</f>
        <v>2</v>
      </c>
      <c r="F146" s="3">
        <f>[3]B2!F23</f>
        <v>187.2</v>
      </c>
      <c r="G146" s="5">
        <f>[3]B2!G23</f>
        <v>207.42866848223954</v>
      </c>
      <c r="H146" s="64"/>
      <c r="I146" s="487"/>
      <c r="J146" s="495"/>
      <c r="K146" s="502"/>
      <c r="L146" s="42"/>
      <c r="V146" s="39"/>
    </row>
    <row r="147" spans="1:22" ht="15" customHeight="1" x14ac:dyDescent="0.25">
      <c r="A147" s="479"/>
      <c r="B147" s="483"/>
      <c r="C147" s="460"/>
      <c r="D147" s="460"/>
      <c r="E147" s="3">
        <f>[3]B2!E24</f>
        <v>3</v>
      </c>
      <c r="F147" s="3">
        <f>[3]B2!F24</f>
        <v>164.46</v>
      </c>
      <c r="G147" s="5">
        <f>[3]B2!G24</f>
        <v>182.2314039454547</v>
      </c>
      <c r="H147" s="64"/>
      <c r="I147" s="487"/>
      <c r="J147" s="495"/>
      <c r="K147" s="502"/>
      <c r="L147" s="42"/>
      <c r="V147" s="39"/>
    </row>
    <row r="148" spans="1:22" ht="15.75" customHeight="1" thickBot="1" x14ac:dyDescent="0.3">
      <c r="A148" s="479"/>
      <c r="B148" s="483"/>
      <c r="C148" s="460"/>
      <c r="D148" s="461"/>
      <c r="E148" s="6">
        <f>[3]B2!E25</f>
        <v>4</v>
      </c>
      <c r="F148" s="6">
        <f>[3]B2!F25</f>
        <v>141.13</v>
      </c>
      <c r="G148" s="7">
        <f>[3]B2!G25</f>
        <v>156.38038452403029</v>
      </c>
      <c r="H148" s="64"/>
      <c r="I148" s="487"/>
      <c r="J148" s="496"/>
      <c r="K148" s="503"/>
      <c r="L148" s="42"/>
      <c r="V148" s="39"/>
    </row>
    <row r="149" spans="1:22" ht="15" customHeight="1" x14ac:dyDescent="0.25">
      <c r="A149" s="479"/>
      <c r="B149" s="483"/>
      <c r="C149" s="460"/>
      <c r="D149" s="459">
        <v>4</v>
      </c>
      <c r="E149" s="70">
        <f>[3]B2!E26</f>
        <v>1</v>
      </c>
      <c r="F149" s="70">
        <f>[3]B2!F26</f>
        <v>141.93</v>
      </c>
      <c r="G149" s="65">
        <f>[3]B2!G26</f>
        <v>157.26683182523644</v>
      </c>
      <c r="H149" s="64"/>
      <c r="I149" s="487"/>
      <c r="J149" s="494">
        <f>[3]B2!I26</f>
        <v>53.12</v>
      </c>
      <c r="K149" s="501">
        <f>[3]B2!J26</f>
        <v>679.49</v>
      </c>
      <c r="L149" s="42"/>
      <c r="V149" s="39"/>
    </row>
    <row r="150" spans="1:22" ht="15" customHeight="1" x14ac:dyDescent="0.25">
      <c r="A150" s="479"/>
      <c r="B150" s="483"/>
      <c r="C150" s="460"/>
      <c r="D150" s="460"/>
      <c r="E150" s="3">
        <f>[3]B2!E27</f>
        <v>2</v>
      </c>
      <c r="F150" s="3">
        <f>[3]B2!F27</f>
        <v>182.57</v>
      </c>
      <c r="G150" s="5">
        <f>[3]B2!G27</f>
        <v>202.29835472650896</v>
      </c>
      <c r="H150" s="64"/>
      <c r="I150" s="487"/>
      <c r="J150" s="495"/>
      <c r="K150" s="502"/>
      <c r="L150" s="42"/>
      <c r="V150" s="39"/>
    </row>
    <row r="151" spans="1:22" ht="15" customHeight="1" x14ac:dyDescent="0.25">
      <c r="A151" s="479"/>
      <c r="B151" s="483"/>
      <c r="C151" s="460"/>
      <c r="D151" s="460"/>
      <c r="E151" s="3">
        <f>[3]B2!E28</f>
        <v>3</v>
      </c>
      <c r="F151" s="3">
        <f>[3]B2!F28</f>
        <v>162.69999999999999</v>
      </c>
      <c r="G151" s="5">
        <f>[3]B2!G28</f>
        <v>180.28121988280114</v>
      </c>
      <c r="H151" s="64"/>
      <c r="I151" s="487"/>
      <c r="J151" s="495"/>
      <c r="K151" s="502"/>
      <c r="L151" s="42"/>
      <c r="V151" s="39"/>
    </row>
    <row r="152" spans="1:22" ht="15.75" customHeight="1" thickBot="1" x14ac:dyDescent="0.3">
      <c r="A152" s="480"/>
      <c r="B152" s="484"/>
      <c r="C152" s="476"/>
      <c r="D152" s="476"/>
      <c r="E152" s="3">
        <f>[3]B2!E29</f>
        <v>4</v>
      </c>
      <c r="F152" s="3">
        <f>[3]B2!F29</f>
        <v>139.16999999999999</v>
      </c>
      <c r="G152" s="5">
        <f>[3]B2!G29</f>
        <v>154.20858863607521</v>
      </c>
      <c r="H152" s="65"/>
      <c r="I152" s="488"/>
      <c r="J152" s="496"/>
      <c r="K152" s="503"/>
      <c r="L152" s="42"/>
      <c r="V152" s="39"/>
    </row>
    <row r="153" spans="1:22" x14ac:dyDescent="0.25">
      <c r="A153" s="43" t="s">
        <v>4</v>
      </c>
      <c r="B153" s="24"/>
      <c r="C153" s="4"/>
      <c r="D153" s="4"/>
      <c r="E153" s="4"/>
      <c r="F153" s="8">
        <f>SUM(F133:F152)</f>
        <v>3073.41</v>
      </c>
      <c r="G153" s="8"/>
      <c r="H153" s="8"/>
      <c r="I153" s="8">
        <f>K133+K137+K141+K145+K149</f>
        <v>3405.5199999999995</v>
      </c>
      <c r="J153" s="4">
        <f>J149+J145+J141+J137+J133</f>
        <v>332.11999999999995</v>
      </c>
      <c r="K153" s="504"/>
      <c r="L153" s="44"/>
      <c r="V153" s="39"/>
    </row>
    <row r="154" spans="1:22" x14ac:dyDescent="0.25">
      <c r="A154" s="37"/>
      <c r="F154" s="18">
        <f>I153/F153</f>
        <v>1.10805912650769</v>
      </c>
      <c r="I154" s="45"/>
      <c r="J154" s="9">
        <f>(J133+J137+J141+J145+J149)/I153</f>
        <v>9.7524019826634417E-2</v>
      </c>
      <c r="K154" s="504"/>
      <c r="V154" s="39"/>
    </row>
    <row r="155" spans="1:22" x14ac:dyDescent="0.25">
      <c r="A155" s="37"/>
      <c r="I155"/>
      <c r="J155"/>
      <c r="K155"/>
      <c r="V155" s="39"/>
    </row>
    <row r="156" spans="1:22" x14ac:dyDescent="0.25">
      <c r="A156" s="37"/>
      <c r="I156"/>
      <c r="J156"/>
      <c r="K156"/>
      <c r="V156" s="39"/>
    </row>
    <row r="157" spans="1:22" ht="18.75" x14ac:dyDescent="0.3">
      <c r="A157" s="457" t="s">
        <v>30</v>
      </c>
      <c r="B157" s="458"/>
      <c r="C157" s="458"/>
      <c r="D157" s="458"/>
      <c r="E157" s="458"/>
      <c r="F157" s="458"/>
      <c r="G157" s="458"/>
      <c r="H157" s="458"/>
      <c r="I157" s="458"/>
      <c r="J157" s="458"/>
      <c r="K157" s="493"/>
      <c r="V157" s="39"/>
    </row>
    <row r="158" spans="1:22" ht="30" x14ac:dyDescent="0.25">
      <c r="A158" s="41" t="s">
        <v>9</v>
      </c>
      <c r="B158" s="23" t="s">
        <v>7</v>
      </c>
      <c r="C158" s="2" t="s">
        <v>8</v>
      </c>
      <c r="D158" s="2" t="s">
        <v>10</v>
      </c>
      <c r="E158" s="1" t="s">
        <v>2</v>
      </c>
      <c r="F158" s="19" t="s">
        <v>3</v>
      </c>
      <c r="G158" s="19" t="s">
        <v>5</v>
      </c>
      <c r="H158" s="19" t="s">
        <v>57</v>
      </c>
      <c r="I158" s="1" t="s">
        <v>6</v>
      </c>
      <c r="J158" s="1" t="s">
        <v>1</v>
      </c>
      <c r="K158" s="493"/>
      <c r="V158" s="39"/>
    </row>
    <row r="159" spans="1:22" x14ac:dyDescent="0.25">
      <c r="A159" s="478" t="s">
        <v>31</v>
      </c>
      <c r="B159" s="482" t="s">
        <v>40</v>
      </c>
      <c r="C159" s="485" t="s">
        <v>42</v>
      </c>
      <c r="D159" s="485">
        <v>0</v>
      </c>
      <c r="E159" s="3">
        <f>[3]B2!E36</f>
        <v>1</v>
      </c>
      <c r="F159" s="3">
        <f>[3]B2!F36</f>
        <v>95.25</v>
      </c>
      <c r="G159" s="5">
        <f>[3]B2!G36</f>
        <v>105.54263179985747</v>
      </c>
      <c r="H159" s="77">
        <v>62.601799999999997</v>
      </c>
      <c r="I159" s="486">
        <f>SUM(G159:G178)</f>
        <v>3405.5199999999986</v>
      </c>
      <c r="J159" s="494">
        <f>[3]B2!I36</f>
        <v>99.27</v>
      </c>
      <c r="K159" s="493">
        <f>[3]B2!J36</f>
        <v>685.9</v>
      </c>
      <c r="V159" s="39"/>
    </row>
    <row r="160" spans="1:22" x14ac:dyDescent="0.25">
      <c r="A160" s="479"/>
      <c r="B160" s="483"/>
      <c r="C160" s="460"/>
      <c r="D160" s="460"/>
      <c r="E160" s="3">
        <f>[3]B2!E37</f>
        <v>2</v>
      </c>
      <c r="F160" s="3">
        <f>[3]B2!F37</f>
        <v>162.83000000000001</v>
      </c>
      <c r="G160" s="5">
        <f>[3]B2!G37</f>
        <v>180.42526756924718</v>
      </c>
      <c r="H160" s="77">
        <v>76.321799999999996</v>
      </c>
      <c r="I160" s="487"/>
      <c r="J160" s="495"/>
      <c r="K160" s="493"/>
      <c r="V160" s="39"/>
    </row>
    <row r="161" spans="1:22" x14ac:dyDescent="0.25">
      <c r="A161" s="479"/>
      <c r="B161" s="483"/>
      <c r="C161" s="460"/>
      <c r="D161" s="460"/>
      <c r="E161" s="3">
        <f>[3]B2!E38</f>
        <v>3</v>
      </c>
      <c r="F161" s="3">
        <f>[3]B2!F38</f>
        <v>183.89</v>
      </c>
      <c r="G161" s="5">
        <f>[3]B2!G38</f>
        <v>203.76099277349911</v>
      </c>
      <c r="H161" s="77">
        <v>61.571399999999997</v>
      </c>
      <c r="I161" s="487"/>
      <c r="J161" s="495"/>
      <c r="K161" s="493"/>
      <c r="V161" s="39"/>
    </row>
    <row r="162" spans="1:22" ht="15.75" thickBot="1" x14ac:dyDescent="0.3">
      <c r="A162" s="479"/>
      <c r="B162" s="483"/>
      <c r="C162" s="460"/>
      <c r="D162" s="461"/>
      <c r="E162" s="6">
        <f>[3]B2!E39</f>
        <v>4</v>
      </c>
      <c r="F162" s="6">
        <f>[3]B2!F39</f>
        <v>144.66</v>
      </c>
      <c r="G162" s="7">
        <f>[3]B2!G39</f>
        <v>160.29183324060244</v>
      </c>
      <c r="H162" s="77">
        <v>83.296199999999999</v>
      </c>
      <c r="I162" s="487"/>
      <c r="J162" s="496"/>
      <c r="K162" s="493"/>
      <c r="L162" s="14"/>
      <c r="V162" s="39"/>
    </row>
    <row r="163" spans="1:22" ht="15" customHeight="1" x14ac:dyDescent="0.25">
      <c r="A163" s="479"/>
      <c r="B163" s="483"/>
      <c r="C163" s="460"/>
      <c r="D163" s="459">
        <v>1</v>
      </c>
      <c r="E163" s="72">
        <f>[3]B2!E40</f>
        <v>1</v>
      </c>
      <c r="F163" s="72">
        <f>[3]B2!F40</f>
        <v>96.31</v>
      </c>
      <c r="G163" s="73">
        <f>[3]B2!G40</f>
        <v>106.71717447395562</v>
      </c>
      <c r="H163" s="69"/>
      <c r="I163" s="487"/>
      <c r="J163" s="494">
        <f>[3]B2!I40</f>
        <v>73.489999999999995</v>
      </c>
      <c r="K163" s="493">
        <f>[3]B2!J40</f>
        <v>657.67</v>
      </c>
      <c r="L163" s="17"/>
      <c r="V163" s="39"/>
    </row>
    <row r="164" spans="1:22" ht="15" customHeight="1" x14ac:dyDescent="0.25">
      <c r="A164" s="479"/>
      <c r="B164" s="483"/>
      <c r="C164" s="460"/>
      <c r="D164" s="460"/>
      <c r="E164" s="3">
        <f>[3]B2!E41</f>
        <v>2</v>
      </c>
      <c r="F164" s="3">
        <f>[3]B2!F41</f>
        <v>162.58000000000001</v>
      </c>
      <c r="G164" s="5">
        <f>[3]B2!G41</f>
        <v>180.14825278762027</v>
      </c>
      <c r="H164" s="69"/>
      <c r="I164" s="487"/>
      <c r="J164" s="495"/>
      <c r="K164" s="493"/>
      <c r="L164" s="17"/>
      <c r="M164" s="10"/>
      <c r="V164" s="39"/>
    </row>
    <row r="165" spans="1:22" ht="15" customHeight="1" x14ac:dyDescent="0.25">
      <c r="A165" s="479"/>
      <c r="B165" s="483"/>
      <c r="C165" s="460"/>
      <c r="D165" s="460"/>
      <c r="E165" s="3">
        <f>[3]B2!E42</f>
        <v>3</v>
      </c>
      <c r="F165" s="3">
        <f>[3]B2!F42</f>
        <v>183.64</v>
      </c>
      <c r="G165" s="5">
        <f>[3]B2!G42</f>
        <v>203.48397799187217</v>
      </c>
      <c r="H165" s="69"/>
      <c r="I165" s="487"/>
      <c r="J165" s="495"/>
      <c r="K165" s="493"/>
      <c r="L165" s="16"/>
      <c r="M165" s="10"/>
      <c r="V165" s="39"/>
    </row>
    <row r="166" spans="1:22" ht="15.75" customHeight="1" thickBot="1" x14ac:dyDescent="0.3">
      <c r="A166" s="479"/>
      <c r="B166" s="483"/>
      <c r="C166" s="460"/>
      <c r="D166" s="461"/>
      <c r="E166" s="6">
        <f>[3]B2!E43</f>
        <v>4</v>
      </c>
      <c r="F166" s="6">
        <f>[3]B2!F43</f>
        <v>141.66</v>
      </c>
      <c r="G166" s="7">
        <f>[3]B2!G43</f>
        <v>156.96765586107935</v>
      </c>
      <c r="H166" s="69"/>
      <c r="I166" s="487"/>
      <c r="J166" s="496"/>
      <c r="K166" s="493"/>
      <c r="L166" s="15"/>
      <c r="V166" s="39"/>
    </row>
    <row r="167" spans="1:22" ht="15" customHeight="1" x14ac:dyDescent="0.25">
      <c r="A167" s="479"/>
      <c r="B167" s="483"/>
      <c r="C167" s="460"/>
      <c r="D167" s="459">
        <v>2</v>
      </c>
      <c r="E167" s="72">
        <f>[3]B2!E44</f>
        <v>1</v>
      </c>
      <c r="F167" s="72">
        <f>[3]B2!F44</f>
        <v>141.22999999999999</v>
      </c>
      <c r="G167" s="73">
        <f>[3]B2!G44</f>
        <v>156.49119043668105</v>
      </c>
      <c r="H167" s="69"/>
      <c r="I167" s="487"/>
      <c r="J167" s="494">
        <f>[3]B2!I44</f>
        <v>53.12</v>
      </c>
      <c r="K167" s="493">
        <f>[3]B2!J44</f>
        <v>692.65</v>
      </c>
      <c r="V167" s="39"/>
    </row>
    <row r="168" spans="1:22" ht="15" customHeight="1" x14ac:dyDescent="0.25">
      <c r="A168" s="479"/>
      <c r="B168" s="483"/>
      <c r="C168" s="460"/>
      <c r="D168" s="460"/>
      <c r="E168" s="3">
        <f>[3]B2!E45</f>
        <v>2</v>
      </c>
      <c r="F168" s="3">
        <f>[3]B2!F45</f>
        <v>167.21</v>
      </c>
      <c r="G168" s="5">
        <f>[3]B2!G45</f>
        <v>185.27856654335085</v>
      </c>
      <c r="H168" s="69"/>
      <c r="I168" s="487"/>
      <c r="J168" s="495"/>
      <c r="K168" s="493"/>
      <c r="V168" s="39"/>
    </row>
    <row r="169" spans="1:22" ht="15" customHeight="1" x14ac:dyDescent="0.25">
      <c r="A169" s="479"/>
      <c r="B169" s="483"/>
      <c r="C169" s="460"/>
      <c r="D169" s="460"/>
      <c r="E169" s="3">
        <f>[3]B2!E46</f>
        <v>3</v>
      </c>
      <c r="F169" s="3">
        <f>[3]B2!F46</f>
        <v>187.1</v>
      </c>
      <c r="G169" s="5">
        <f>[3]B2!G46</f>
        <v>207.31786256958878</v>
      </c>
      <c r="H169" s="69"/>
      <c r="I169" s="487"/>
      <c r="J169" s="495"/>
      <c r="K169" s="493"/>
      <c r="V169" s="39"/>
    </row>
    <row r="170" spans="1:22" ht="15.75" customHeight="1" thickBot="1" x14ac:dyDescent="0.3">
      <c r="A170" s="479"/>
      <c r="B170" s="483"/>
      <c r="C170" s="460"/>
      <c r="D170" s="461"/>
      <c r="E170" s="6">
        <f>[3]B2!E47</f>
        <v>4</v>
      </c>
      <c r="F170" s="6">
        <f>[3]B2!F47</f>
        <v>143.99</v>
      </c>
      <c r="G170" s="7">
        <f>[3]B2!G47</f>
        <v>159.54943362584228</v>
      </c>
      <c r="H170" s="69"/>
      <c r="I170" s="487"/>
      <c r="J170" s="496"/>
      <c r="K170" s="493"/>
      <c r="V170" s="39"/>
    </row>
    <row r="171" spans="1:22" ht="15" customHeight="1" x14ac:dyDescent="0.25">
      <c r="A171" s="479"/>
      <c r="B171" s="483"/>
      <c r="C171" s="460"/>
      <c r="D171" s="459">
        <v>3</v>
      </c>
      <c r="E171" s="72">
        <f>[3]B2!E48</f>
        <v>1</v>
      </c>
      <c r="F171" s="72">
        <f>[3]B2!F48</f>
        <v>141.13</v>
      </c>
      <c r="G171" s="73">
        <f>[3]B2!G48</f>
        <v>156.38038452403029</v>
      </c>
      <c r="H171" s="69"/>
      <c r="I171" s="487"/>
      <c r="J171" s="494">
        <f>[3]B2!I48</f>
        <v>53.12</v>
      </c>
      <c r="K171" s="493">
        <f>[3]B2!J48</f>
        <v>689.81</v>
      </c>
      <c r="V171" s="39"/>
    </row>
    <row r="172" spans="1:22" ht="15" customHeight="1" x14ac:dyDescent="0.25">
      <c r="A172" s="479"/>
      <c r="B172" s="483"/>
      <c r="C172" s="460"/>
      <c r="D172" s="460"/>
      <c r="E172" s="3">
        <f>[3]B2!E49</f>
        <v>2</v>
      </c>
      <c r="F172" s="3">
        <f>[3]B2!F49</f>
        <v>164.46</v>
      </c>
      <c r="G172" s="5">
        <f>[3]B2!G49</f>
        <v>182.2314039454547</v>
      </c>
      <c r="H172" s="69"/>
      <c r="I172" s="487"/>
      <c r="J172" s="495"/>
      <c r="K172" s="493"/>
      <c r="V172" s="39"/>
    </row>
    <row r="173" spans="1:22" ht="15" customHeight="1" x14ac:dyDescent="0.25">
      <c r="A173" s="479"/>
      <c r="B173" s="483"/>
      <c r="C173" s="460"/>
      <c r="D173" s="460"/>
      <c r="E173" s="3">
        <f>[3]B2!E50</f>
        <v>3</v>
      </c>
      <c r="F173" s="3">
        <f>[3]B2!F50</f>
        <v>187.2</v>
      </c>
      <c r="G173" s="5">
        <f>[3]B2!G50</f>
        <v>207.42866848223954</v>
      </c>
      <c r="H173" s="69"/>
      <c r="I173" s="487"/>
      <c r="J173" s="495"/>
      <c r="K173" s="493"/>
      <c r="V173" s="39"/>
    </row>
    <row r="174" spans="1:22" ht="15.75" customHeight="1" thickBot="1" x14ac:dyDescent="0.3">
      <c r="A174" s="479"/>
      <c r="B174" s="483"/>
      <c r="C174" s="460"/>
      <c r="D174" s="461"/>
      <c r="E174" s="6">
        <f>[3]B2!E51</f>
        <v>4</v>
      </c>
      <c r="F174" s="6">
        <f>[3]B2!F51</f>
        <v>143.9</v>
      </c>
      <c r="G174" s="7">
        <f>[3]B2!G51</f>
        <v>159.44970830445661</v>
      </c>
      <c r="H174" s="69"/>
      <c r="I174" s="487"/>
      <c r="J174" s="496"/>
      <c r="K174" s="493"/>
      <c r="V174" s="39"/>
    </row>
    <row r="175" spans="1:22" ht="15" customHeight="1" x14ac:dyDescent="0.25">
      <c r="A175" s="479"/>
      <c r="B175" s="483"/>
      <c r="C175" s="460"/>
      <c r="D175" s="459">
        <v>4</v>
      </c>
      <c r="E175" s="70">
        <f>[3]B2!E52</f>
        <v>1</v>
      </c>
      <c r="F175" s="70">
        <f>[3]B2!F52</f>
        <v>139.16999999999999</v>
      </c>
      <c r="G175" s="65">
        <f>[3]B2!G52</f>
        <v>154.20858863607521</v>
      </c>
      <c r="H175" s="69"/>
      <c r="I175" s="487"/>
      <c r="J175" s="494">
        <f>[3]B2!I52</f>
        <v>53.12</v>
      </c>
      <c r="K175" s="493">
        <f>[3]B2!J52</f>
        <v>679.49</v>
      </c>
      <c r="V175" s="39"/>
    </row>
    <row r="176" spans="1:22" ht="15" customHeight="1" x14ac:dyDescent="0.25">
      <c r="A176" s="479"/>
      <c r="B176" s="483"/>
      <c r="C176" s="460"/>
      <c r="D176" s="460"/>
      <c r="E176" s="3">
        <f>[3]B2!E53</f>
        <v>2</v>
      </c>
      <c r="F176" s="3">
        <f>[3]B2!F53</f>
        <v>162.69999999999999</v>
      </c>
      <c r="G176" s="5">
        <f>[3]B2!G53</f>
        <v>180.28121988280114</v>
      </c>
      <c r="H176" s="69"/>
      <c r="I176" s="487"/>
      <c r="J176" s="495"/>
      <c r="K176" s="493"/>
      <c r="V176" s="39"/>
    </row>
    <row r="177" spans="1:22" ht="15" customHeight="1" x14ac:dyDescent="0.25">
      <c r="A177" s="479"/>
      <c r="B177" s="483"/>
      <c r="C177" s="460"/>
      <c r="D177" s="460"/>
      <c r="E177" s="3">
        <f>[3]B2!E54</f>
        <v>3</v>
      </c>
      <c r="F177" s="3">
        <f>[3]B2!F54</f>
        <v>182.57</v>
      </c>
      <c r="G177" s="5">
        <f>[3]B2!G54</f>
        <v>202.29835472650896</v>
      </c>
      <c r="H177" s="69"/>
      <c r="I177" s="487"/>
      <c r="J177" s="495"/>
      <c r="K177" s="493"/>
      <c r="V177" s="39"/>
    </row>
    <row r="178" spans="1:22" ht="15.75" customHeight="1" thickBot="1" x14ac:dyDescent="0.3">
      <c r="A178" s="480"/>
      <c r="B178" s="484"/>
      <c r="C178" s="476"/>
      <c r="D178" s="476"/>
      <c r="E178" s="3">
        <f>[3]B2!E55</f>
        <v>4</v>
      </c>
      <c r="F178" s="3">
        <f>[3]B2!F55</f>
        <v>141.93</v>
      </c>
      <c r="G178" s="5">
        <f>[3]B2!G55</f>
        <v>157.26683182523644</v>
      </c>
      <c r="H178" s="70"/>
      <c r="I178" s="488"/>
      <c r="J178" s="496"/>
      <c r="K178" s="493"/>
      <c r="V178" s="39"/>
    </row>
    <row r="179" spans="1:22" x14ac:dyDescent="0.25">
      <c r="A179" s="43" t="s">
        <v>4</v>
      </c>
      <c r="B179" s="24"/>
      <c r="C179" s="4"/>
      <c r="D179" s="4"/>
      <c r="E179" s="4"/>
      <c r="F179" s="8">
        <f>SUM(F159:F178)</f>
        <v>3073.41</v>
      </c>
      <c r="G179" s="8"/>
      <c r="H179" s="8"/>
      <c r="I179" s="8">
        <f>K159+K163+K167+K171+K175</f>
        <v>3405.5199999999995</v>
      </c>
      <c r="J179" s="4">
        <f>J175+J171+J167+J163+J159</f>
        <v>332.11999999999995</v>
      </c>
      <c r="K179" s="493"/>
      <c r="V179" s="39"/>
    </row>
    <row r="180" spans="1:22" x14ac:dyDescent="0.25">
      <c r="A180" s="37"/>
      <c r="F180" s="18">
        <f>I179/F179</f>
        <v>1.10805912650769</v>
      </c>
      <c r="I180" s="55"/>
      <c r="J180" s="9">
        <f>(J159+J163+J167+J171+J175)/I179</f>
        <v>9.7524019826634417E-2</v>
      </c>
      <c r="K180" s="493"/>
      <c r="V180" s="39"/>
    </row>
    <row r="181" spans="1:22" ht="15.75" thickBot="1" x14ac:dyDescent="0.3">
      <c r="A181" s="47"/>
      <c r="B181" s="48"/>
      <c r="C181" s="49"/>
      <c r="D181" s="49"/>
      <c r="E181" s="49"/>
      <c r="F181" s="50"/>
      <c r="G181" s="50"/>
      <c r="H181" s="50"/>
      <c r="I181" s="49"/>
      <c r="J181" s="49"/>
      <c r="K181" s="49"/>
      <c r="L181" s="49"/>
      <c r="M181" s="49"/>
      <c r="N181" s="49"/>
      <c r="O181" s="49"/>
      <c r="P181" s="49"/>
      <c r="Q181" s="49"/>
      <c r="R181" s="49"/>
      <c r="S181" s="49"/>
      <c r="T181" s="49"/>
      <c r="U181" s="49"/>
      <c r="V181" s="51"/>
    </row>
    <row r="182" spans="1:22" x14ac:dyDescent="0.25">
      <c r="I182"/>
      <c r="J182"/>
      <c r="K182"/>
    </row>
    <row r="183" spans="1:22" ht="15.75" thickBot="1" x14ac:dyDescent="0.3"/>
    <row r="184" spans="1:22" x14ac:dyDescent="0.25">
      <c r="A184" s="31"/>
      <c r="B184" s="32"/>
      <c r="C184" s="33"/>
      <c r="D184" s="33"/>
      <c r="E184" s="33"/>
      <c r="F184" s="34"/>
      <c r="G184" s="34"/>
      <c r="H184" s="34"/>
      <c r="I184" s="34"/>
      <c r="J184" s="34"/>
      <c r="K184" s="34"/>
      <c r="L184" s="35" t="s">
        <v>0</v>
      </c>
      <c r="M184" s="498" t="s">
        <v>43</v>
      </c>
      <c r="N184" s="498"/>
      <c r="O184" s="498"/>
      <c r="P184" s="498"/>
      <c r="Q184" s="33"/>
      <c r="R184" s="33"/>
      <c r="S184" s="33"/>
      <c r="T184" s="33"/>
      <c r="U184" s="33"/>
      <c r="V184" s="36"/>
    </row>
    <row r="185" spans="1:22" x14ac:dyDescent="0.25">
      <c r="A185" s="37"/>
      <c r="L185" s="38" t="s">
        <v>14</v>
      </c>
      <c r="M185" s="477" t="s">
        <v>12</v>
      </c>
      <c r="N185" s="477"/>
      <c r="O185" s="477" t="s">
        <v>12</v>
      </c>
      <c r="P185" s="477"/>
      <c r="Q185" s="477" t="s">
        <v>12</v>
      </c>
      <c r="R185" s="477"/>
      <c r="V185" s="39"/>
    </row>
    <row r="186" spans="1:22" x14ac:dyDescent="0.25">
      <c r="A186" s="37"/>
      <c r="L186" s="38"/>
      <c r="V186" s="39"/>
    </row>
    <row r="187" spans="1:22" x14ac:dyDescent="0.25">
      <c r="A187" s="37"/>
      <c r="L187" s="499" t="s">
        <v>11</v>
      </c>
      <c r="M187" s="21">
        <v>3</v>
      </c>
      <c r="N187" s="21">
        <v>2</v>
      </c>
      <c r="O187" s="20">
        <v>3</v>
      </c>
      <c r="P187" s="20">
        <v>2</v>
      </c>
      <c r="Q187" s="21">
        <v>3</v>
      </c>
      <c r="R187" s="21">
        <v>2</v>
      </c>
      <c r="V187" s="39"/>
    </row>
    <row r="188" spans="1:22" x14ac:dyDescent="0.25">
      <c r="A188" s="37"/>
      <c r="L188" s="499"/>
      <c r="M188" s="21">
        <v>4</v>
      </c>
      <c r="N188" s="21">
        <v>1</v>
      </c>
      <c r="O188" s="20">
        <v>4</v>
      </c>
      <c r="P188" s="20">
        <v>1</v>
      </c>
      <c r="Q188" s="21">
        <v>4</v>
      </c>
      <c r="R188" s="21">
        <v>1</v>
      </c>
      <c r="V188" s="39"/>
    </row>
    <row r="189" spans="1:22" x14ac:dyDescent="0.25">
      <c r="A189" s="37"/>
      <c r="L189" s="38"/>
      <c r="V189" s="39"/>
    </row>
    <row r="190" spans="1:22" x14ac:dyDescent="0.25">
      <c r="A190" s="37"/>
      <c r="L190" s="38" t="s">
        <v>14</v>
      </c>
      <c r="M190" s="477" t="s">
        <v>13</v>
      </c>
      <c r="N190" s="477"/>
      <c r="O190" s="477" t="s">
        <v>13</v>
      </c>
      <c r="P190" s="477"/>
      <c r="Q190" s="477" t="s">
        <v>13</v>
      </c>
      <c r="R190" s="477"/>
      <c r="V190" s="39"/>
    </row>
    <row r="191" spans="1:22" ht="18.75" x14ac:dyDescent="0.3">
      <c r="A191" s="457" t="s">
        <v>36</v>
      </c>
      <c r="B191" s="458"/>
      <c r="C191" s="458"/>
      <c r="D191" s="458"/>
      <c r="E191" s="458"/>
      <c r="F191" s="458"/>
      <c r="G191" s="458"/>
      <c r="H191" s="458"/>
      <c r="I191" s="458"/>
      <c r="J191" s="458"/>
      <c r="K191" s="40"/>
      <c r="M191" s="477"/>
      <c r="N191" s="477"/>
      <c r="O191" s="477"/>
      <c r="P191" s="477"/>
      <c r="V191" s="39"/>
    </row>
    <row r="192" spans="1:22" ht="30" x14ac:dyDescent="0.25">
      <c r="A192" s="41" t="s">
        <v>9</v>
      </c>
      <c r="B192" s="23" t="s">
        <v>7</v>
      </c>
      <c r="C192" s="2" t="s">
        <v>8</v>
      </c>
      <c r="D192" s="2" t="s">
        <v>10</v>
      </c>
      <c r="E192" s="1" t="s">
        <v>2</v>
      </c>
      <c r="F192" s="19" t="s">
        <v>3</v>
      </c>
      <c r="G192" s="19" t="s">
        <v>5</v>
      </c>
      <c r="H192" s="19" t="s">
        <v>57</v>
      </c>
      <c r="I192" s="28" t="s">
        <v>6</v>
      </c>
      <c r="J192" s="28" t="s">
        <v>1</v>
      </c>
      <c r="K192" s="40"/>
      <c r="M192" s="477"/>
      <c r="N192" s="477"/>
      <c r="O192" s="477"/>
      <c r="P192" s="477"/>
      <c r="V192" s="39"/>
    </row>
    <row r="193" spans="1:22" x14ac:dyDescent="0.25">
      <c r="A193" s="478" t="s">
        <v>38</v>
      </c>
      <c r="B193" s="482" t="s">
        <v>44</v>
      </c>
      <c r="C193" s="485" t="s">
        <v>45</v>
      </c>
      <c r="D193" s="485">
        <v>0</v>
      </c>
      <c r="E193" s="3">
        <f>[4]C3!E10</f>
        <v>1</v>
      </c>
      <c r="F193" s="3">
        <f>[4]C3!F10</f>
        <v>88.4</v>
      </c>
      <c r="G193" s="5">
        <f>[4]C3!G10</f>
        <v>96.063970794270958</v>
      </c>
      <c r="H193" s="76">
        <v>75.025700000000001</v>
      </c>
      <c r="I193" s="486">
        <f>SUM(G193:G212)</f>
        <v>2714.7200000000003</v>
      </c>
      <c r="J193" s="462">
        <f>[4]C3!I10</f>
        <v>73.23</v>
      </c>
      <c r="K193" s="455">
        <f>[4]C3!J10</f>
        <v>547.82000000000005</v>
      </c>
      <c r="L193" s="42"/>
      <c r="V193" s="39"/>
    </row>
    <row r="194" spans="1:22" x14ac:dyDescent="0.25">
      <c r="A194" s="479"/>
      <c r="B194" s="483"/>
      <c r="C194" s="460"/>
      <c r="D194" s="460"/>
      <c r="E194" s="3">
        <f>[4]C3!E11</f>
        <v>2</v>
      </c>
      <c r="F194" s="3">
        <f>[4]C3!F11</f>
        <v>124.73</v>
      </c>
      <c r="G194" s="5">
        <f>[4]C3!G11</f>
        <v>135.54365471911103</v>
      </c>
      <c r="H194" s="76">
        <v>84.036199999999994</v>
      </c>
      <c r="I194" s="487"/>
      <c r="J194" s="463"/>
      <c r="K194" s="455"/>
      <c r="L194" s="42"/>
      <c r="V194" s="39"/>
    </row>
    <row r="195" spans="1:22" x14ac:dyDescent="0.25">
      <c r="A195" s="479"/>
      <c r="B195" s="483"/>
      <c r="C195" s="460"/>
      <c r="D195" s="460"/>
      <c r="E195" s="3">
        <f>[4]C3!E12</f>
        <v>3</v>
      </c>
      <c r="F195" s="3">
        <f>[4]C3!F12</f>
        <v>129.65</v>
      </c>
      <c r="G195" s="5">
        <f>[4]C3!G12</f>
        <v>140.8902015099234</v>
      </c>
      <c r="H195" s="76">
        <v>85.562899999999999</v>
      </c>
      <c r="I195" s="487"/>
      <c r="J195" s="463"/>
      <c r="K195" s="455"/>
      <c r="L195" s="42"/>
      <c r="V195" s="39"/>
    </row>
    <row r="196" spans="1:22" ht="15.75" thickBot="1" x14ac:dyDescent="0.3">
      <c r="A196" s="479"/>
      <c r="B196" s="483"/>
      <c r="C196" s="460"/>
      <c r="D196" s="461"/>
      <c r="E196" s="6">
        <f>[4]C3!E13</f>
        <v>4</v>
      </c>
      <c r="F196" s="6">
        <f>[4]C3!F13</f>
        <v>131.81</v>
      </c>
      <c r="G196" s="7">
        <f>[4]C3!G13</f>
        <v>143.23746595467028</v>
      </c>
      <c r="H196" s="76">
        <v>67.096199999999996</v>
      </c>
      <c r="I196" s="487"/>
      <c r="J196" s="464"/>
      <c r="K196" s="456"/>
      <c r="L196" s="42"/>
      <c r="V196" s="39"/>
    </row>
    <row r="197" spans="1:22" ht="15" customHeight="1" x14ac:dyDescent="0.25">
      <c r="A197" s="479"/>
      <c r="B197" s="483"/>
      <c r="C197" s="460"/>
      <c r="D197" s="459">
        <v>1</v>
      </c>
      <c r="E197" s="72">
        <f>[4]C3!E14</f>
        <v>1</v>
      </c>
      <c r="F197" s="72">
        <f>[4]C3!F14</f>
        <v>88.73</v>
      </c>
      <c r="G197" s="73">
        <f>[4]C3!G14</f>
        <v>96.42258063999617</v>
      </c>
      <c r="H197" s="69"/>
      <c r="I197" s="487"/>
      <c r="J197" s="462">
        <f>[4]C3!I14</f>
        <v>46.84</v>
      </c>
      <c r="K197" s="455">
        <f>[4]C3!J14</f>
        <v>521.86</v>
      </c>
      <c r="L197" s="11"/>
      <c r="M197" s="10"/>
      <c r="V197" s="39"/>
    </row>
    <row r="198" spans="1:22" ht="15" customHeight="1" x14ac:dyDescent="0.25">
      <c r="A198" s="479"/>
      <c r="B198" s="483"/>
      <c r="C198" s="460"/>
      <c r="D198" s="460"/>
      <c r="E198" s="3">
        <f>[4]C3!E15</f>
        <v>2</v>
      </c>
      <c r="F198" s="3">
        <f>[4]C3!F15</f>
        <v>126.36</v>
      </c>
      <c r="G198" s="5">
        <f>[4]C3!G15</f>
        <v>137.31497001769318</v>
      </c>
      <c r="H198" s="69"/>
      <c r="I198" s="487"/>
      <c r="J198" s="463"/>
      <c r="K198" s="455"/>
      <c r="L198" s="11"/>
      <c r="V198" s="39"/>
    </row>
    <row r="199" spans="1:22" ht="15" customHeight="1" x14ac:dyDescent="0.25">
      <c r="A199" s="479"/>
      <c r="B199" s="483"/>
      <c r="C199" s="460"/>
      <c r="D199" s="460"/>
      <c r="E199" s="3">
        <f>[4]C3!E16</f>
        <v>3</v>
      </c>
      <c r="F199" s="3">
        <f>[4]C3!F16</f>
        <v>131.24</v>
      </c>
      <c r="G199" s="5">
        <f>[4]C3!G16</f>
        <v>142.61804894841765</v>
      </c>
      <c r="H199" s="69"/>
      <c r="I199" s="487"/>
      <c r="J199" s="463"/>
      <c r="K199" s="455"/>
      <c r="L199" s="12"/>
      <c r="V199" s="39"/>
    </row>
    <row r="200" spans="1:22" ht="15.75" customHeight="1" thickBot="1" x14ac:dyDescent="0.3">
      <c r="A200" s="479"/>
      <c r="B200" s="483"/>
      <c r="C200" s="460"/>
      <c r="D200" s="461"/>
      <c r="E200" s="6">
        <f>[4]C3!E17</f>
        <v>4</v>
      </c>
      <c r="F200" s="6">
        <f>[4]C3!F17</f>
        <v>128.69</v>
      </c>
      <c r="G200" s="7">
        <f>[4]C3!G17</f>
        <v>139.84697286781366</v>
      </c>
      <c r="H200" s="69"/>
      <c r="I200" s="487"/>
      <c r="J200" s="464"/>
      <c r="K200" s="456"/>
      <c r="L200" s="13"/>
      <c r="V200" s="39"/>
    </row>
    <row r="201" spans="1:22" ht="15" customHeight="1" x14ac:dyDescent="0.25">
      <c r="A201" s="479"/>
      <c r="B201" s="483"/>
      <c r="C201" s="460"/>
      <c r="D201" s="459">
        <v>2</v>
      </c>
      <c r="E201" s="72">
        <f>[4]C3!E18</f>
        <v>1</v>
      </c>
      <c r="F201" s="72">
        <f>[4]C3!F18</f>
        <v>127.21</v>
      </c>
      <c r="G201" s="73">
        <f>[4]C3!G18</f>
        <v>138.23866204456115</v>
      </c>
      <c r="H201" s="69"/>
      <c r="I201" s="487"/>
      <c r="J201" s="462">
        <f>[4]C3!I18</f>
        <v>32.549999999999997</v>
      </c>
      <c r="K201" s="455">
        <f>[4]C3!J18</f>
        <v>549.92999999999995</v>
      </c>
      <c r="L201" s="42"/>
      <c r="V201" s="39"/>
    </row>
    <row r="202" spans="1:22" ht="15" customHeight="1" x14ac:dyDescent="0.25">
      <c r="A202" s="479"/>
      <c r="B202" s="483"/>
      <c r="C202" s="460"/>
      <c r="D202" s="460"/>
      <c r="E202" s="3">
        <f>[4]C3!E19</f>
        <v>2</v>
      </c>
      <c r="F202" s="3">
        <f>[4]C3!F19</f>
        <v>126.78</v>
      </c>
      <c r="G202" s="5">
        <f>[4]C3!G19</f>
        <v>137.77138254861617</v>
      </c>
      <c r="H202" s="69"/>
      <c r="I202" s="487"/>
      <c r="J202" s="463"/>
      <c r="K202" s="455"/>
      <c r="L202" s="42"/>
      <c r="V202" s="39"/>
    </row>
    <row r="203" spans="1:22" ht="15" customHeight="1" x14ac:dyDescent="0.25">
      <c r="A203" s="479"/>
      <c r="B203" s="483"/>
      <c r="C203" s="460"/>
      <c r="D203" s="460"/>
      <c r="E203" s="3">
        <f>[4]C3!E20</f>
        <v>3</v>
      </c>
      <c r="F203" s="3">
        <f>[4]C3!F20</f>
        <v>131.69999999999999</v>
      </c>
      <c r="G203" s="5">
        <f>[4]C3!G20</f>
        <v>143.11792933942854</v>
      </c>
      <c r="H203" s="69"/>
      <c r="I203" s="487"/>
      <c r="J203" s="463"/>
      <c r="K203" s="455"/>
      <c r="L203" s="42"/>
      <c r="V203" s="39"/>
    </row>
    <row r="204" spans="1:22" ht="15.75" customHeight="1" thickBot="1" x14ac:dyDescent="0.3">
      <c r="A204" s="479"/>
      <c r="B204" s="483"/>
      <c r="C204" s="460"/>
      <c r="D204" s="461"/>
      <c r="E204" s="6">
        <f>[4]C3!E21</f>
        <v>4</v>
      </c>
      <c r="F204" s="6">
        <f>[4]C3!F21</f>
        <v>131.69</v>
      </c>
      <c r="G204" s="7">
        <f>[4]C3!G21</f>
        <v>143.10706237440658</v>
      </c>
      <c r="H204" s="69"/>
      <c r="I204" s="487"/>
      <c r="J204" s="464"/>
      <c r="K204" s="456"/>
      <c r="L204" s="42"/>
      <c r="V204" s="39"/>
    </row>
    <row r="205" spans="1:22" ht="15" customHeight="1" x14ac:dyDescent="0.25">
      <c r="A205" s="479"/>
      <c r="B205" s="483"/>
      <c r="C205" s="460"/>
      <c r="D205" s="459">
        <v>3</v>
      </c>
      <c r="E205" s="72">
        <f>[4]C3!E22</f>
        <v>1</v>
      </c>
      <c r="F205" s="72">
        <f>[4]C3!F22</f>
        <v>131.88</v>
      </c>
      <c r="G205" s="73">
        <f>[4]C3!G22</f>
        <v>143.31353470982413</v>
      </c>
      <c r="H205" s="67"/>
      <c r="I205" s="489"/>
      <c r="J205" s="462">
        <f>[4]C3!I22</f>
        <v>32.549999999999997</v>
      </c>
      <c r="K205" s="455">
        <f>[4]C3!J22</f>
        <v>549.14</v>
      </c>
      <c r="L205" s="42"/>
      <c r="V205" s="39"/>
    </row>
    <row r="206" spans="1:22" ht="15" customHeight="1" x14ac:dyDescent="0.25">
      <c r="A206" s="479"/>
      <c r="B206" s="483"/>
      <c r="C206" s="460"/>
      <c r="D206" s="460"/>
      <c r="E206" s="3">
        <f>[4]C3!E23</f>
        <v>2</v>
      </c>
      <c r="F206" s="3">
        <f>[4]C3!F23</f>
        <v>131.43</v>
      </c>
      <c r="G206" s="5">
        <f>[4]C3!G23</f>
        <v>142.8245212838352</v>
      </c>
      <c r="H206" s="67"/>
      <c r="I206" s="489"/>
      <c r="J206" s="463"/>
      <c r="K206" s="455"/>
      <c r="L206" s="42"/>
      <c r="V206" s="39"/>
    </row>
    <row r="207" spans="1:22" ht="15" customHeight="1" x14ac:dyDescent="0.25">
      <c r="A207" s="479"/>
      <c r="B207" s="483"/>
      <c r="C207" s="460"/>
      <c r="D207" s="460"/>
      <c r="E207" s="3">
        <f>[4]C3!E24</f>
        <v>3</v>
      </c>
      <c r="F207" s="3">
        <f>[4]C3!F24</f>
        <v>126.97</v>
      </c>
      <c r="G207" s="5">
        <f>[4]C3!G24</f>
        <v>137.97785488403375</v>
      </c>
      <c r="H207" s="67"/>
      <c r="I207" s="489"/>
      <c r="J207" s="463"/>
      <c r="K207" s="455"/>
      <c r="L207" s="42"/>
      <c r="V207" s="39"/>
    </row>
    <row r="208" spans="1:22" ht="15.75" customHeight="1" thickBot="1" x14ac:dyDescent="0.3">
      <c r="A208" s="479"/>
      <c r="B208" s="483"/>
      <c r="C208" s="460"/>
      <c r="D208" s="461"/>
      <c r="E208" s="6">
        <f>[4]C3!E25</f>
        <v>4</v>
      </c>
      <c r="F208" s="6">
        <f>[4]C3!F25</f>
        <v>127.45</v>
      </c>
      <c r="G208" s="7">
        <f>[4]C3!G25</f>
        <v>138.49946920508859</v>
      </c>
      <c r="H208" s="67"/>
      <c r="I208" s="489"/>
      <c r="J208" s="464"/>
      <c r="K208" s="456"/>
      <c r="L208" s="42"/>
      <c r="V208" s="39"/>
    </row>
    <row r="209" spans="1:22" ht="15" customHeight="1" x14ac:dyDescent="0.25">
      <c r="A209" s="479"/>
      <c r="B209" s="483"/>
      <c r="C209" s="460"/>
      <c r="D209" s="459">
        <v>4</v>
      </c>
      <c r="E209" s="70">
        <f>[4]C3!E26</f>
        <v>1</v>
      </c>
      <c r="F209" s="70">
        <f>[4]C3!F26</f>
        <v>125.15</v>
      </c>
      <c r="G209" s="65">
        <f>[4]C3!G26</f>
        <v>136.00006725003405</v>
      </c>
      <c r="H209" s="69"/>
      <c r="I209" s="487"/>
      <c r="J209" s="462">
        <f>[4]C3!I26</f>
        <v>32.549999999999997</v>
      </c>
      <c r="K209" s="455">
        <f>[4]C3!J26</f>
        <v>545.97</v>
      </c>
      <c r="L209" s="42"/>
      <c r="V209" s="39"/>
    </row>
    <row r="210" spans="1:22" ht="15" customHeight="1" x14ac:dyDescent="0.25">
      <c r="A210" s="479"/>
      <c r="B210" s="483"/>
      <c r="C210" s="460"/>
      <c r="D210" s="460"/>
      <c r="E210" s="3">
        <f>[4]C3!E27</f>
        <v>2</v>
      </c>
      <c r="F210" s="3">
        <f>[4]C3!F27</f>
        <v>126.87</v>
      </c>
      <c r="G210" s="5">
        <f>[4]C3!G27</f>
        <v>137.86918523381397</v>
      </c>
      <c r="H210" s="69"/>
      <c r="I210" s="487"/>
      <c r="J210" s="463"/>
      <c r="K210" s="455"/>
      <c r="L210" s="42"/>
      <c r="V210" s="39"/>
    </row>
    <row r="211" spans="1:22" ht="15" customHeight="1" x14ac:dyDescent="0.25">
      <c r="A211" s="479"/>
      <c r="B211" s="483"/>
      <c r="C211" s="460"/>
      <c r="D211" s="460"/>
      <c r="E211" s="3">
        <f>[4]C3!E28</f>
        <v>3</v>
      </c>
      <c r="F211" s="3">
        <f>[4]C3!F28</f>
        <v>131.77000000000001</v>
      </c>
      <c r="G211" s="5">
        <f>[4]C3!G28</f>
        <v>143.19399809458238</v>
      </c>
      <c r="H211" s="69"/>
      <c r="I211" s="487"/>
      <c r="J211" s="463"/>
      <c r="K211" s="455"/>
      <c r="L211" s="42"/>
      <c r="V211" s="39"/>
    </row>
    <row r="212" spans="1:22" ht="15.75" customHeight="1" thickBot="1" x14ac:dyDescent="0.3">
      <c r="A212" s="480"/>
      <c r="B212" s="484"/>
      <c r="C212" s="476"/>
      <c r="D212" s="476"/>
      <c r="E212" s="3">
        <f>[4]C3!E29</f>
        <v>4</v>
      </c>
      <c r="F212" s="3">
        <f>[4]C3!F29</f>
        <v>129.63</v>
      </c>
      <c r="G212" s="5">
        <f>[4]C3!G29</f>
        <v>140.86846757987945</v>
      </c>
      <c r="H212" s="70"/>
      <c r="I212" s="488"/>
      <c r="J212" s="464"/>
      <c r="K212" s="456"/>
      <c r="L212" s="42"/>
      <c r="V212" s="39"/>
    </row>
    <row r="213" spans="1:22" x14ac:dyDescent="0.25">
      <c r="A213" s="43" t="s">
        <v>4</v>
      </c>
      <c r="B213" s="24"/>
      <c r="C213" s="4"/>
      <c r="D213" s="4"/>
      <c r="E213" s="4"/>
      <c r="F213" s="8">
        <f>SUM(F193:F212)</f>
        <v>2498.14</v>
      </c>
      <c r="G213" s="8"/>
      <c r="H213" s="8"/>
      <c r="I213" s="8">
        <f>K193+K197+K201+K205+K209</f>
        <v>2714.7200000000003</v>
      </c>
      <c r="J213" s="8">
        <f>J209+J205+J201+J197+J193</f>
        <v>217.72000000000003</v>
      </c>
      <c r="K213" s="40"/>
      <c r="L213" s="44"/>
      <c r="V213" s="39"/>
    </row>
    <row r="214" spans="1:22" x14ac:dyDescent="0.25">
      <c r="A214" s="37"/>
      <c r="F214" s="18">
        <f>I213/F213</f>
        <v>1.0866965021976351</v>
      </c>
      <c r="I214" s="45"/>
      <c r="J214" s="9">
        <f>(J193+J197+J201+J205+J209)/I213</f>
        <v>8.0199799611009606E-2</v>
      </c>
      <c r="V214" s="39"/>
    </row>
    <row r="215" spans="1:22" ht="18.75" x14ac:dyDescent="0.3">
      <c r="A215" s="37"/>
      <c r="Q215" s="481" t="s">
        <v>34</v>
      </c>
      <c r="R215" s="481"/>
      <c r="S215" s="60"/>
      <c r="V215" s="39"/>
    </row>
    <row r="216" spans="1:22" x14ac:dyDescent="0.25">
      <c r="A216" s="37"/>
      <c r="Q216" s="61"/>
      <c r="R216" s="62" t="s">
        <v>35</v>
      </c>
      <c r="S216" s="62"/>
      <c r="V216" s="39"/>
    </row>
    <row r="217" spans="1:22" ht="18.75" x14ac:dyDescent="0.3">
      <c r="A217" s="457" t="s">
        <v>36</v>
      </c>
      <c r="B217" s="458"/>
      <c r="C217" s="458"/>
      <c r="D217" s="458"/>
      <c r="E217" s="458"/>
      <c r="F217" s="458"/>
      <c r="G217" s="458"/>
      <c r="H217" s="458"/>
      <c r="I217" s="458"/>
      <c r="J217" s="458"/>
      <c r="K217" s="46"/>
      <c r="V217" s="39"/>
    </row>
    <row r="218" spans="1:22" ht="30" x14ac:dyDescent="0.25">
      <c r="A218" s="41" t="s">
        <v>9</v>
      </c>
      <c r="B218" s="23" t="s">
        <v>7</v>
      </c>
      <c r="C218" s="2" t="s">
        <v>8</v>
      </c>
      <c r="D218" s="2" t="s">
        <v>10</v>
      </c>
      <c r="E218" s="1" t="s">
        <v>2</v>
      </c>
      <c r="F218" s="19" t="s">
        <v>3</v>
      </c>
      <c r="G218" s="19" t="s">
        <v>5</v>
      </c>
      <c r="H218" s="19" t="s">
        <v>57</v>
      </c>
      <c r="I218" s="28" t="s">
        <v>6</v>
      </c>
      <c r="J218" s="28" t="s">
        <v>1</v>
      </c>
      <c r="K218" s="46"/>
      <c r="V218" s="39"/>
    </row>
    <row r="219" spans="1:22" x14ac:dyDescent="0.25">
      <c r="A219" s="478" t="s">
        <v>38</v>
      </c>
      <c r="B219" s="482" t="s">
        <v>44</v>
      </c>
      <c r="C219" s="485" t="s">
        <v>46</v>
      </c>
      <c r="D219" s="485">
        <v>0</v>
      </c>
      <c r="E219" s="3">
        <f>[4]C3!E36</f>
        <v>1</v>
      </c>
      <c r="F219" s="3">
        <f>[4]C3!F36</f>
        <v>131.81</v>
      </c>
      <c r="G219" s="5">
        <f>[4]C3!G36</f>
        <v>143.33409972454882</v>
      </c>
      <c r="H219" s="76">
        <v>81.224599999999995</v>
      </c>
      <c r="I219" s="486">
        <f>SUM(G219:G238)</f>
        <v>2708.2</v>
      </c>
      <c r="J219" s="462">
        <f>[4]C3!I36</f>
        <v>73.23</v>
      </c>
      <c r="K219" s="465">
        <f>[4]C3!J36</f>
        <v>547.82000000000005</v>
      </c>
      <c r="V219" s="39"/>
    </row>
    <row r="220" spans="1:22" x14ac:dyDescent="0.25">
      <c r="A220" s="479"/>
      <c r="B220" s="483"/>
      <c r="C220" s="460"/>
      <c r="D220" s="460"/>
      <c r="E220" s="3">
        <f>[4]C3!E37</f>
        <v>2</v>
      </c>
      <c r="F220" s="71">
        <f>[4]C3!F37</f>
        <v>129.65</v>
      </c>
      <c r="G220" s="5">
        <f>[4]C3!G37</f>
        <v>140.98525172056563</v>
      </c>
      <c r="H220" s="76">
        <v>86.075999999999993</v>
      </c>
      <c r="I220" s="487"/>
      <c r="J220" s="463"/>
      <c r="K220" s="465"/>
      <c r="M220" s="18"/>
      <c r="V220" s="39"/>
    </row>
    <row r="221" spans="1:22" x14ac:dyDescent="0.25">
      <c r="A221" s="479"/>
      <c r="B221" s="483"/>
      <c r="C221" s="460"/>
      <c r="D221" s="460"/>
      <c r="E221" s="3">
        <f>[4]C3!E38</f>
        <v>3</v>
      </c>
      <c r="F221" s="71">
        <f>[4]C3!F38</f>
        <v>124.73</v>
      </c>
      <c r="G221" s="5">
        <f>[4]C3!G38</f>
        <v>135.63509793371503</v>
      </c>
      <c r="H221" s="76">
        <v>85.509600000000006</v>
      </c>
      <c r="I221" s="487"/>
      <c r="J221" s="463"/>
      <c r="K221" s="465"/>
      <c r="V221" s="39"/>
    </row>
    <row r="222" spans="1:22" ht="15.75" thickBot="1" x14ac:dyDescent="0.3">
      <c r="A222" s="479"/>
      <c r="B222" s="483"/>
      <c r="C222" s="460"/>
      <c r="D222" s="461"/>
      <c r="E222" s="6">
        <f>[4]C3!E39</f>
        <v>4</v>
      </c>
      <c r="F222" s="6">
        <f>[4]C3!F39</f>
        <v>88.4</v>
      </c>
      <c r="G222" s="7">
        <f>[4]C3!G39</f>
        <v>96.128779422275372</v>
      </c>
      <c r="H222" s="76">
        <v>66.334900000000005</v>
      </c>
      <c r="I222" s="487"/>
      <c r="J222" s="464"/>
      <c r="K222" s="466"/>
      <c r="L222" s="14"/>
      <c r="V222" s="39"/>
    </row>
    <row r="223" spans="1:22" ht="15" customHeight="1" x14ac:dyDescent="0.25">
      <c r="A223" s="479"/>
      <c r="B223" s="483"/>
      <c r="C223" s="460"/>
      <c r="D223" s="459">
        <v>1</v>
      </c>
      <c r="E223" s="72">
        <f>[4]C3!E40</f>
        <v>1</v>
      </c>
      <c r="F223" s="72">
        <f>[4]C3!F40</f>
        <v>132.43</v>
      </c>
      <c r="G223" s="73">
        <f>[4]C3!G40</f>
        <v>144.00830609606254</v>
      </c>
      <c r="H223" s="69"/>
      <c r="I223" s="487"/>
      <c r="J223" s="462">
        <f>[4]C3!I40</f>
        <v>46.84</v>
      </c>
      <c r="K223" s="465">
        <f>[4]C3!J40</f>
        <v>515.34</v>
      </c>
      <c r="L223" s="17"/>
      <c r="V223" s="39"/>
    </row>
    <row r="224" spans="1:22" ht="15" customHeight="1" x14ac:dyDescent="0.25">
      <c r="A224" s="479"/>
      <c r="B224" s="483"/>
      <c r="C224" s="460"/>
      <c r="D224" s="460"/>
      <c r="E224" s="3">
        <f>[4]C3!E41</f>
        <v>2</v>
      </c>
      <c r="F224" s="71">
        <f>[4]C3!F41</f>
        <v>126.09</v>
      </c>
      <c r="G224" s="5">
        <f>[4]C3!G41</f>
        <v>137.11400223251925</v>
      </c>
      <c r="H224" s="69"/>
      <c r="I224" s="487"/>
      <c r="J224" s="463"/>
      <c r="K224" s="465"/>
      <c r="L224" s="63"/>
      <c r="M224" s="29"/>
      <c r="V224" s="39"/>
    </row>
    <row r="225" spans="1:22" ht="15" customHeight="1" x14ac:dyDescent="0.25">
      <c r="A225" s="479"/>
      <c r="B225" s="483"/>
      <c r="C225" s="460"/>
      <c r="D225" s="460"/>
      <c r="E225" s="3">
        <f>[4]C3!E42</f>
        <v>3</v>
      </c>
      <c r="F225" s="71">
        <f>[4]C3!F42</f>
        <v>121.24</v>
      </c>
      <c r="G225" s="5">
        <f>[4]C3!G42</f>
        <v>131.83996851987177</v>
      </c>
      <c r="H225" s="69"/>
      <c r="I225" s="487"/>
      <c r="J225" s="463"/>
      <c r="K225" s="465"/>
      <c r="L225" s="16"/>
      <c r="M225" s="10"/>
      <c r="V225" s="39"/>
    </row>
    <row r="226" spans="1:22" ht="15.75" customHeight="1" thickBot="1" x14ac:dyDescent="0.3">
      <c r="A226" s="479"/>
      <c r="B226" s="483"/>
      <c r="C226" s="460"/>
      <c r="D226" s="461"/>
      <c r="E226" s="6">
        <f>[4]C3!E43</f>
        <v>4</v>
      </c>
      <c r="F226" s="6">
        <f>[4]C3!F43</f>
        <v>88.73</v>
      </c>
      <c r="G226" s="7">
        <f>[4]C3!G43</f>
        <v>96.487631200661696</v>
      </c>
      <c r="H226" s="69"/>
      <c r="I226" s="487"/>
      <c r="J226" s="464"/>
      <c r="K226" s="466"/>
      <c r="L226" s="15"/>
      <c r="V226" s="39"/>
    </row>
    <row r="227" spans="1:22" ht="15" customHeight="1" x14ac:dyDescent="0.25">
      <c r="A227" s="479"/>
      <c r="B227" s="483"/>
      <c r="C227" s="460"/>
      <c r="D227" s="459">
        <v>2</v>
      </c>
      <c r="E227" s="72">
        <f>[4]C3!E44</f>
        <v>1</v>
      </c>
      <c r="F227" s="72">
        <f>[4]C3!F44</f>
        <v>131.69</v>
      </c>
      <c r="G227" s="73">
        <f>[4]C3!G44</f>
        <v>143.20360816877198</v>
      </c>
      <c r="H227" s="69"/>
      <c r="I227" s="487"/>
      <c r="J227" s="462">
        <f>[4]C3!I44</f>
        <v>32.549999999999997</v>
      </c>
      <c r="K227" s="465">
        <f>[4]C3!J44</f>
        <v>549.92999999999995</v>
      </c>
      <c r="V227" s="39"/>
    </row>
    <row r="228" spans="1:22" ht="15" customHeight="1" x14ac:dyDescent="0.25">
      <c r="A228" s="479"/>
      <c r="B228" s="483"/>
      <c r="C228" s="460"/>
      <c r="D228" s="460"/>
      <c r="E228" s="3">
        <f>[4]C3!E45</f>
        <v>2</v>
      </c>
      <c r="F228" s="3">
        <f>[4]C3!F45</f>
        <v>131.69999999999999</v>
      </c>
      <c r="G228" s="5">
        <f>[4]C3!G45</f>
        <v>143.21448246508672</v>
      </c>
      <c r="H228" s="69"/>
      <c r="I228" s="487"/>
      <c r="J228" s="463"/>
      <c r="K228" s="465"/>
      <c r="M228" s="18"/>
      <c r="V228" s="39"/>
    </row>
    <row r="229" spans="1:22" ht="15" customHeight="1" x14ac:dyDescent="0.25">
      <c r="A229" s="479"/>
      <c r="B229" s="483"/>
      <c r="C229" s="460"/>
      <c r="D229" s="460"/>
      <c r="E229" s="3">
        <f>[4]C3!E46</f>
        <v>3</v>
      </c>
      <c r="F229" s="3">
        <f>[4]C3!F46</f>
        <v>126.78</v>
      </c>
      <c r="G229" s="5">
        <f>[4]C3!G46</f>
        <v>137.86432867823612</v>
      </c>
      <c r="H229" s="69"/>
      <c r="I229" s="487"/>
      <c r="J229" s="463"/>
      <c r="K229" s="465"/>
      <c r="L229" s="18" t="s">
        <v>39</v>
      </c>
      <c r="M229" s="18"/>
      <c r="V229" s="39"/>
    </row>
    <row r="230" spans="1:22" ht="15.75" customHeight="1" thickBot="1" x14ac:dyDescent="0.3">
      <c r="A230" s="479"/>
      <c r="B230" s="483"/>
      <c r="C230" s="460"/>
      <c r="D230" s="461"/>
      <c r="E230" s="6">
        <f>[4]C3!E47</f>
        <v>4</v>
      </c>
      <c r="F230" s="6">
        <f>[4]C3!F47</f>
        <v>127.21</v>
      </c>
      <c r="G230" s="7">
        <f>[4]C3!G47</f>
        <v>138.33192341976979</v>
      </c>
      <c r="H230" s="69"/>
      <c r="I230" s="487"/>
      <c r="J230" s="464"/>
      <c r="K230" s="466"/>
      <c r="V230" s="39"/>
    </row>
    <row r="231" spans="1:22" ht="15" customHeight="1" x14ac:dyDescent="0.25">
      <c r="A231" s="479"/>
      <c r="B231" s="483"/>
      <c r="C231" s="460"/>
      <c r="D231" s="459">
        <v>3</v>
      </c>
      <c r="E231" s="72">
        <f>[4]C3!E48</f>
        <v>1</v>
      </c>
      <c r="F231" s="72">
        <f>[4]C3!F48</f>
        <v>131.59</v>
      </c>
      <c r="G231" s="73">
        <f>[4]C3!G48</f>
        <v>143.09486520562461</v>
      </c>
      <c r="H231" s="69"/>
      <c r="I231" s="487"/>
      <c r="J231" s="462">
        <f>[4]C3!I48</f>
        <v>32.549999999999997</v>
      </c>
      <c r="K231" s="465">
        <f>[4]C3!J48</f>
        <v>549.14</v>
      </c>
      <c r="V231" s="39"/>
    </row>
    <row r="232" spans="1:22" ht="15" customHeight="1" x14ac:dyDescent="0.25">
      <c r="A232" s="479"/>
      <c r="B232" s="483"/>
      <c r="C232" s="460"/>
      <c r="D232" s="460"/>
      <c r="E232" s="3">
        <f>[4]C3!E49</f>
        <v>2</v>
      </c>
      <c r="F232" s="3">
        <f>[4]C3!F49</f>
        <v>131.4</v>
      </c>
      <c r="G232" s="5">
        <f>[4]C3!G49</f>
        <v>142.88825357564463</v>
      </c>
      <c r="H232" s="69"/>
      <c r="I232" s="487"/>
      <c r="J232" s="463"/>
      <c r="K232" s="465"/>
      <c r="M232" s="18"/>
      <c r="V232" s="39"/>
    </row>
    <row r="233" spans="1:22" ht="15" customHeight="1" x14ac:dyDescent="0.25">
      <c r="A233" s="479"/>
      <c r="B233" s="483"/>
      <c r="C233" s="460"/>
      <c r="D233" s="460"/>
      <c r="E233" s="3">
        <f>[4]C3!E50</f>
        <v>3</v>
      </c>
      <c r="F233" s="3">
        <f>[4]C3!F50</f>
        <v>126.49</v>
      </c>
      <c r="G233" s="5">
        <f>[4]C3!G50</f>
        <v>137.54897408510874</v>
      </c>
      <c r="H233" s="69"/>
      <c r="I233" s="487"/>
      <c r="J233" s="463"/>
      <c r="K233" s="465"/>
      <c r="M233" s="18"/>
      <c r="V233" s="39"/>
    </row>
    <row r="234" spans="1:22" ht="15.75" customHeight="1" thickBot="1" x14ac:dyDescent="0.3">
      <c r="A234" s="479"/>
      <c r="B234" s="483"/>
      <c r="C234" s="460"/>
      <c r="D234" s="461"/>
      <c r="E234" s="6">
        <f>[4]C3!E51</f>
        <v>4</v>
      </c>
      <c r="F234" s="6">
        <f>[4]C3!F51</f>
        <v>127.1</v>
      </c>
      <c r="G234" s="7">
        <f>[4]C3!G51</f>
        <v>138.21230616030769</v>
      </c>
      <c r="H234" s="69"/>
      <c r="I234" s="487"/>
      <c r="J234" s="464"/>
      <c r="K234" s="466"/>
      <c r="V234" s="39"/>
    </row>
    <row r="235" spans="1:22" ht="15" customHeight="1" x14ac:dyDescent="0.25">
      <c r="A235" s="479"/>
      <c r="B235" s="483"/>
      <c r="C235" s="460"/>
      <c r="D235" s="459">
        <v>4</v>
      </c>
      <c r="E235" s="70">
        <f>[4]C3!E52</f>
        <v>1</v>
      </c>
      <c r="F235" s="70">
        <f>[4]C3!F52</f>
        <v>129.63</v>
      </c>
      <c r="G235" s="65">
        <f>[4]C3!G52</f>
        <v>140.96350312793615</v>
      </c>
      <c r="H235" s="69"/>
      <c r="I235" s="487"/>
      <c r="J235" s="462">
        <f>[4]C3!I52</f>
        <v>32.549999999999997</v>
      </c>
      <c r="K235" s="465">
        <f>[4]C3!J52</f>
        <v>545.97</v>
      </c>
      <c r="V235" s="39"/>
    </row>
    <row r="236" spans="1:22" ht="15" customHeight="1" x14ac:dyDescent="0.25">
      <c r="A236" s="479"/>
      <c r="B236" s="483"/>
      <c r="C236" s="460"/>
      <c r="D236" s="460"/>
      <c r="E236" s="3">
        <f>[4]C3!E53</f>
        <v>2</v>
      </c>
      <c r="F236" s="3">
        <f>[4]C3!F53</f>
        <v>131.78</v>
      </c>
      <c r="G236" s="5">
        <f>[4]C3!G53</f>
        <v>143.30147683560463</v>
      </c>
      <c r="H236" s="69"/>
      <c r="I236" s="487"/>
      <c r="J236" s="463"/>
      <c r="K236" s="465"/>
      <c r="M236" s="18"/>
      <c r="V236" s="39"/>
    </row>
    <row r="237" spans="1:22" ht="15" customHeight="1" x14ac:dyDescent="0.25">
      <c r="A237" s="479"/>
      <c r="B237" s="483"/>
      <c r="C237" s="460"/>
      <c r="D237" s="460"/>
      <c r="E237" s="3">
        <f>[4]C3!E54</f>
        <v>3</v>
      </c>
      <c r="F237" s="3">
        <f>[4]C3!F54</f>
        <v>126.86</v>
      </c>
      <c r="G237" s="5">
        <f>[4]C3!G54</f>
        <v>137.95132304875401</v>
      </c>
      <c r="H237" s="69"/>
      <c r="I237" s="487"/>
      <c r="J237" s="463"/>
      <c r="K237" s="465"/>
      <c r="V237" s="39"/>
    </row>
    <row r="238" spans="1:22" ht="15.75" customHeight="1" thickBot="1" x14ac:dyDescent="0.3">
      <c r="A238" s="480"/>
      <c r="B238" s="484"/>
      <c r="C238" s="476"/>
      <c r="D238" s="476"/>
      <c r="E238" s="3">
        <f>[4]C3!E55</f>
        <v>4</v>
      </c>
      <c r="F238" s="3">
        <f>[4]C3!F55</f>
        <v>125.15</v>
      </c>
      <c r="G238" s="5">
        <f>[4]C3!G55</f>
        <v>136.09181837893397</v>
      </c>
      <c r="H238" s="70"/>
      <c r="I238" s="488"/>
      <c r="J238" s="464"/>
      <c r="K238" s="466"/>
      <c r="V238" s="39"/>
    </row>
    <row r="239" spans="1:22" x14ac:dyDescent="0.25">
      <c r="A239" s="43" t="s">
        <v>4</v>
      </c>
      <c r="B239" s="24"/>
      <c r="C239" s="4"/>
      <c r="D239" s="4"/>
      <c r="E239" s="4"/>
      <c r="F239" s="8">
        <f>SUM(F219:F238)</f>
        <v>2490.4600000000005</v>
      </c>
      <c r="G239" s="8"/>
      <c r="H239" s="8"/>
      <c r="I239" s="8">
        <f>K219+K223+K227+K231+K235</f>
        <v>2708.2</v>
      </c>
      <c r="J239" s="8">
        <f>J235+J231+J227+J223+J219</f>
        <v>217.72000000000003</v>
      </c>
      <c r="K239" s="46"/>
      <c r="V239" s="39"/>
    </row>
    <row r="240" spans="1:22" x14ac:dyDescent="0.25">
      <c r="A240" s="37"/>
      <c r="F240" s="18">
        <f>I239/F239</f>
        <v>1.0874296314737033</v>
      </c>
      <c r="I240" s="45"/>
      <c r="J240" s="9">
        <f>(J219+J223+J227+J231+J235)/I239</f>
        <v>8.0392880880289508E-2</v>
      </c>
      <c r="K240" s="46"/>
      <c r="V240" s="39"/>
    </row>
    <row r="241" spans="1:22" x14ac:dyDescent="0.25">
      <c r="A241" s="37"/>
      <c r="V241" s="39"/>
    </row>
    <row r="242" spans="1:22" x14ac:dyDescent="0.25">
      <c r="A242" s="37"/>
      <c r="V242" s="39"/>
    </row>
    <row r="243" spans="1:22" ht="18.75" x14ac:dyDescent="0.3">
      <c r="A243" s="457" t="s">
        <v>36</v>
      </c>
      <c r="B243" s="458"/>
      <c r="C243" s="458"/>
      <c r="D243" s="458"/>
      <c r="E243" s="458"/>
      <c r="F243" s="458"/>
      <c r="G243" s="458"/>
      <c r="H243" s="458"/>
      <c r="I243" s="458"/>
      <c r="J243" s="458"/>
      <c r="K243" s="40"/>
      <c r="V243" s="39"/>
    </row>
    <row r="244" spans="1:22" ht="30" x14ac:dyDescent="0.25">
      <c r="A244" s="41" t="s">
        <v>9</v>
      </c>
      <c r="B244" s="23" t="s">
        <v>7</v>
      </c>
      <c r="C244" s="2" t="s">
        <v>8</v>
      </c>
      <c r="D244" s="2" t="s">
        <v>10</v>
      </c>
      <c r="E244" s="1" t="s">
        <v>2</v>
      </c>
      <c r="F244" s="19" t="s">
        <v>3</v>
      </c>
      <c r="G244" s="19" t="s">
        <v>5</v>
      </c>
      <c r="H244" s="19" t="s">
        <v>57</v>
      </c>
      <c r="I244" s="28" t="s">
        <v>6</v>
      </c>
      <c r="J244" s="28" t="s">
        <v>1</v>
      </c>
      <c r="K244" s="40"/>
      <c r="V244" s="39"/>
    </row>
    <row r="245" spans="1:22" x14ac:dyDescent="0.25">
      <c r="A245" s="478" t="s">
        <v>38</v>
      </c>
      <c r="B245" s="482" t="s">
        <v>44</v>
      </c>
      <c r="C245" s="485" t="s">
        <v>33</v>
      </c>
      <c r="D245" s="485">
        <v>0</v>
      </c>
      <c r="E245" s="3">
        <f>[4]C3!E62</f>
        <v>1</v>
      </c>
      <c r="F245" s="3">
        <f>[4]C3!F62</f>
        <v>131.81</v>
      </c>
      <c r="G245" s="5">
        <f>[4]C3!G62</f>
        <v>143.30566590029719</v>
      </c>
      <c r="H245" s="76">
        <v>66.0976</v>
      </c>
      <c r="I245" s="486">
        <f>SUM(G245:G264)</f>
        <v>2714.3599999999988</v>
      </c>
      <c r="J245" s="462">
        <f>[4]C3!I62</f>
        <v>73.23</v>
      </c>
      <c r="K245" s="455">
        <f>[4]C3!J62</f>
        <v>547.75</v>
      </c>
      <c r="V245" s="39"/>
    </row>
    <row r="246" spans="1:22" x14ac:dyDescent="0.25">
      <c r="A246" s="479"/>
      <c r="B246" s="483"/>
      <c r="C246" s="460"/>
      <c r="D246" s="460"/>
      <c r="E246" s="3">
        <f>[4]C3!E63</f>
        <v>2</v>
      </c>
      <c r="F246" s="3">
        <f>[4]C3!F63</f>
        <v>129.65</v>
      </c>
      <c r="G246" s="5">
        <f>[4]C3!G63</f>
        <v>140.95728384776217</v>
      </c>
      <c r="H246" s="76">
        <v>85.619500000000002</v>
      </c>
      <c r="I246" s="487"/>
      <c r="J246" s="463"/>
      <c r="K246" s="455"/>
      <c r="V246" s="39"/>
    </row>
    <row r="247" spans="1:22" x14ac:dyDescent="0.25">
      <c r="A247" s="479"/>
      <c r="B247" s="483"/>
      <c r="C247" s="460"/>
      <c r="D247" s="460"/>
      <c r="E247" s="3">
        <f>[4]C3!E64</f>
        <v>3</v>
      </c>
      <c r="F247" s="3">
        <f>[4]C3!F64</f>
        <v>124.69</v>
      </c>
      <c r="G247" s="5">
        <f>[4]C3!G64</f>
        <v>135.56470283823728</v>
      </c>
      <c r="H247" s="76">
        <v>84.075199999999995</v>
      </c>
      <c r="I247" s="487"/>
      <c r="J247" s="463"/>
      <c r="K247" s="455"/>
      <c r="V247" s="39"/>
    </row>
    <row r="248" spans="1:22" ht="15.75" thickBot="1" x14ac:dyDescent="0.3">
      <c r="A248" s="479"/>
      <c r="B248" s="483"/>
      <c r="C248" s="460"/>
      <c r="D248" s="461"/>
      <c r="E248" s="6">
        <f>[4]C3!E65</f>
        <v>4</v>
      </c>
      <c r="F248" s="6">
        <f>[4]C3!F65</f>
        <v>88.37</v>
      </c>
      <c r="G248" s="7">
        <f>[4]C3!G65</f>
        <v>96.077093510426081</v>
      </c>
      <c r="H248" s="76">
        <v>80.916700000000006</v>
      </c>
      <c r="I248" s="487"/>
      <c r="J248" s="464"/>
      <c r="K248" s="456"/>
      <c r="L248" s="14"/>
      <c r="V248" s="39"/>
    </row>
    <row r="249" spans="1:22" ht="15" customHeight="1" x14ac:dyDescent="0.25">
      <c r="A249" s="479"/>
      <c r="B249" s="483"/>
      <c r="C249" s="460"/>
      <c r="D249" s="459">
        <v>1</v>
      </c>
      <c r="E249" s="72">
        <f>[4]C3!E66</f>
        <v>1</v>
      </c>
      <c r="F249" s="72">
        <f>[4]C3!F66</f>
        <v>128.69</v>
      </c>
      <c r="G249" s="73">
        <f>[4]C3!G66</f>
        <v>139.91355849107993</v>
      </c>
      <c r="H249" s="69"/>
      <c r="I249" s="487"/>
      <c r="J249" s="462">
        <f>[4]C3!I66</f>
        <v>46.84</v>
      </c>
      <c r="K249" s="455">
        <f>[4]C3!J66</f>
        <v>521.79</v>
      </c>
      <c r="L249" s="17"/>
      <c r="V249" s="39"/>
    </row>
    <row r="250" spans="1:22" ht="15" customHeight="1" x14ac:dyDescent="0.25">
      <c r="A250" s="479"/>
      <c r="B250" s="483"/>
      <c r="C250" s="460"/>
      <c r="D250" s="460"/>
      <c r="E250" s="3">
        <f>[4]C3!E67</f>
        <v>2</v>
      </c>
      <c r="F250" s="3">
        <f>[4]C3!F67</f>
        <v>131.24</v>
      </c>
      <c r="G250" s="5">
        <f>[4]C3!G67</f>
        <v>142.6859539697671</v>
      </c>
      <c r="H250" s="69"/>
      <c r="I250" s="487"/>
      <c r="J250" s="463"/>
      <c r="K250" s="455"/>
      <c r="L250" s="17"/>
      <c r="M250" s="29"/>
      <c r="V250" s="39"/>
    </row>
    <row r="251" spans="1:22" ht="15" customHeight="1" x14ac:dyDescent="0.25">
      <c r="A251" s="479"/>
      <c r="B251" s="483"/>
      <c r="C251" s="460"/>
      <c r="D251" s="460"/>
      <c r="E251" s="3">
        <f>[4]C3!E68</f>
        <v>3</v>
      </c>
      <c r="F251" s="3">
        <f>[4]C3!F68</f>
        <v>126.32</v>
      </c>
      <c r="G251" s="5">
        <f>[4]C3!G68</f>
        <v>137.33686151677065</v>
      </c>
      <c r="H251" s="69"/>
      <c r="I251" s="487"/>
      <c r="J251" s="463"/>
      <c r="K251" s="455"/>
      <c r="L251" s="16"/>
      <c r="M251" s="10"/>
      <c r="V251" s="39"/>
    </row>
    <row r="252" spans="1:22" ht="15.75" customHeight="1" thickBot="1" x14ac:dyDescent="0.3">
      <c r="A252" s="479"/>
      <c r="B252" s="483"/>
      <c r="C252" s="460"/>
      <c r="D252" s="461"/>
      <c r="E252" s="6">
        <f>[4]C3!E69</f>
        <v>4</v>
      </c>
      <c r="F252" s="6">
        <f>[4]C3!F69</f>
        <v>88.69</v>
      </c>
      <c r="G252" s="7">
        <f>[4]C3!G69</f>
        <v>96.425001962653482</v>
      </c>
      <c r="H252" s="69"/>
      <c r="I252" s="487"/>
      <c r="J252" s="464"/>
      <c r="K252" s="456"/>
      <c r="L252" s="15"/>
      <c r="V252" s="39"/>
    </row>
    <row r="253" spans="1:22" ht="15" customHeight="1" x14ac:dyDescent="0.25">
      <c r="A253" s="479"/>
      <c r="B253" s="483"/>
      <c r="C253" s="460"/>
      <c r="D253" s="459">
        <v>2</v>
      </c>
      <c r="E253" s="72">
        <f>[4]C3!E70</f>
        <v>1</v>
      </c>
      <c r="F253" s="72">
        <f>[4]C3!F70</f>
        <v>131.69</v>
      </c>
      <c r="G253" s="73">
        <f>[4]C3!G70</f>
        <v>143.17520023071191</v>
      </c>
      <c r="H253" s="69"/>
      <c r="I253" s="487"/>
      <c r="J253" s="462">
        <f>[4]C3!I70</f>
        <v>32.549999999999997</v>
      </c>
      <c r="K253" s="455">
        <f>[4]C3!J70</f>
        <v>549.86</v>
      </c>
      <c r="V253" s="39"/>
    </row>
    <row r="254" spans="1:22" ht="15" customHeight="1" x14ac:dyDescent="0.25">
      <c r="A254" s="479"/>
      <c r="B254" s="483"/>
      <c r="C254" s="460"/>
      <c r="D254" s="460"/>
      <c r="E254" s="3">
        <f>[4]C3!E71</f>
        <v>2</v>
      </c>
      <c r="F254" s="3">
        <f>[4]C3!F71</f>
        <v>131.69999999999999</v>
      </c>
      <c r="G254" s="5">
        <f>[4]C3!G71</f>
        <v>143.186072369844</v>
      </c>
      <c r="H254" s="69"/>
      <c r="I254" s="487"/>
      <c r="J254" s="463"/>
      <c r="K254" s="455"/>
      <c r="V254" s="39"/>
    </row>
    <row r="255" spans="1:22" ht="15" customHeight="1" x14ac:dyDescent="0.25">
      <c r="A255" s="479"/>
      <c r="B255" s="483"/>
      <c r="C255" s="460"/>
      <c r="D255" s="460"/>
      <c r="E255" s="3">
        <f>[4]C3!E72</f>
        <v>3</v>
      </c>
      <c r="F255" s="3">
        <f>[4]C3!F72</f>
        <v>126.75</v>
      </c>
      <c r="G255" s="5">
        <f>[4]C3!G72</f>
        <v>137.80436349945123</v>
      </c>
      <c r="H255" s="69"/>
      <c r="I255" s="487"/>
      <c r="J255" s="463"/>
      <c r="K255" s="455"/>
      <c r="V255" s="39"/>
    </row>
    <row r="256" spans="1:22" ht="15.75" customHeight="1" thickBot="1" x14ac:dyDescent="0.3">
      <c r="A256" s="479"/>
      <c r="B256" s="483"/>
      <c r="C256" s="460"/>
      <c r="D256" s="461"/>
      <c r="E256" s="6">
        <f>[4]C3!E73</f>
        <v>4</v>
      </c>
      <c r="F256" s="6">
        <f>[4]C3!F73</f>
        <v>127.17</v>
      </c>
      <c r="G256" s="7">
        <f>[4]C3!G73</f>
        <v>138.26099334299971</v>
      </c>
      <c r="H256" s="69"/>
      <c r="I256" s="487"/>
      <c r="J256" s="464"/>
      <c r="K256" s="456"/>
      <c r="M256" s="18"/>
      <c r="V256" s="39"/>
    </row>
    <row r="257" spans="1:22" ht="15" customHeight="1" x14ac:dyDescent="0.25">
      <c r="A257" s="479"/>
      <c r="B257" s="483"/>
      <c r="C257" s="460"/>
      <c r="D257" s="459">
        <v>3</v>
      </c>
      <c r="E257" s="72">
        <f>[4]C3!E74</f>
        <v>1</v>
      </c>
      <c r="F257" s="72">
        <f>[4]C3!F74</f>
        <v>131.59</v>
      </c>
      <c r="G257" s="73">
        <f>[4]C3!G74</f>
        <v>143.06647883939084</v>
      </c>
      <c r="H257" s="69"/>
      <c r="I257" s="487"/>
      <c r="J257" s="462">
        <f>[4]C3!I74</f>
        <v>32.549999999999997</v>
      </c>
      <c r="K257" s="455">
        <f>[4]C3!J74</f>
        <v>549.05999999999995</v>
      </c>
      <c r="V257" s="39"/>
    </row>
    <row r="258" spans="1:22" ht="15" customHeight="1" x14ac:dyDescent="0.25">
      <c r="A258" s="479"/>
      <c r="B258" s="483"/>
      <c r="C258" s="460"/>
      <c r="D258" s="460"/>
      <c r="E258" s="3">
        <f>[4]C3!E75</f>
        <v>2</v>
      </c>
      <c r="F258" s="3">
        <f>[4]C3!F75</f>
        <v>131.4</v>
      </c>
      <c r="G258" s="5">
        <f>[4]C3!G75</f>
        <v>142.85990819588082</v>
      </c>
      <c r="H258" s="69"/>
      <c r="I258" s="487"/>
      <c r="J258" s="463"/>
      <c r="K258" s="455"/>
      <c r="V258" s="39"/>
    </row>
    <row r="259" spans="1:22" ht="15" customHeight="1" x14ac:dyDescent="0.25">
      <c r="A259" s="479"/>
      <c r="B259" s="483"/>
      <c r="C259" s="460"/>
      <c r="D259" s="460"/>
      <c r="E259" s="3">
        <f>[4]C3!E76</f>
        <v>3</v>
      </c>
      <c r="F259" s="3">
        <f>[4]C3!F76</f>
        <v>126.46</v>
      </c>
      <c r="G259" s="5">
        <f>[4]C3!G76</f>
        <v>137.48907146462014</v>
      </c>
      <c r="H259" s="69"/>
      <c r="I259" s="487"/>
      <c r="J259" s="463"/>
      <c r="K259" s="455"/>
      <c r="V259" s="39"/>
    </row>
    <row r="260" spans="1:22" ht="15.75" customHeight="1" thickBot="1" x14ac:dyDescent="0.3">
      <c r="A260" s="479"/>
      <c r="B260" s="483"/>
      <c r="C260" s="460"/>
      <c r="D260" s="461"/>
      <c r="E260" s="6">
        <f>[4]C3!E77</f>
        <v>4</v>
      </c>
      <c r="F260" s="6">
        <f>[4]C3!F77</f>
        <v>127.06</v>
      </c>
      <c r="G260" s="7">
        <f>[4]C3!G77</f>
        <v>138.14139981254655</v>
      </c>
      <c r="H260" s="69"/>
      <c r="I260" s="487"/>
      <c r="J260" s="464"/>
      <c r="K260" s="456"/>
      <c r="V260" s="39"/>
    </row>
    <row r="261" spans="1:22" ht="15" customHeight="1" x14ac:dyDescent="0.25">
      <c r="A261" s="479"/>
      <c r="B261" s="483"/>
      <c r="C261" s="460"/>
      <c r="D261" s="459">
        <v>4</v>
      </c>
      <c r="E261" s="70">
        <f>[4]C3!E78</f>
        <v>1</v>
      </c>
      <c r="F261" s="70">
        <f>[4]C3!F78</f>
        <v>129.63</v>
      </c>
      <c r="G261" s="65">
        <f>[4]C3!G78</f>
        <v>140.93553956949793</v>
      </c>
      <c r="H261" s="69"/>
      <c r="I261" s="487"/>
      <c r="J261" s="462">
        <f>[4]C3!I78</f>
        <v>32.549999999999997</v>
      </c>
      <c r="K261" s="455">
        <f>[4]C3!J78</f>
        <v>545.9</v>
      </c>
      <c r="V261" s="39"/>
    </row>
    <row r="262" spans="1:22" ht="15" customHeight="1" x14ac:dyDescent="0.25">
      <c r="A262" s="479"/>
      <c r="B262" s="483"/>
      <c r="C262" s="460"/>
      <c r="D262" s="460"/>
      <c r="E262" s="3">
        <f>[4]C3!E79</f>
        <v>2</v>
      </c>
      <c r="F262" s="3">
        <f>[4]C3!F79</f>
        <v>131.77000000000001</v>
      </c>
      <c r="G262" s="5">
        <f>[4]C3!G79</f>
        <v>143.26217734376877</v>
      </c>
      <c r="H262" s="69"/>
      <c r="I262" s="487"/>
      <c r="J262" s="463"/>
      <c r="K262" s="455"/>
      <c r="V262" s="39"/>
    </row>
    <row r="263" spans="1:22" ht="15" customHeight="1" x14ac:dyDescent="0.25">
      <c r="A263" s="479"/>
      <c r="B263" s="483"/>
      <c r="C263" s="460"/>
      <c r="D263" s="460"/>
      <c r="E263" s="3">
        <f>[4]C3!E80</f>
        <v>3</v>
      </c>
      <c r="F263" s="3">
        <f>[4]C3!F80</f>
        <v>126.83</v>
      </c>
      <c r="G263" s="5">
        <f>[4]C3!G80</f>
        <v>137.89134061250809</v>
      </c>
      <c r="H263" s="69"/>
      <c r="I263" s="487"/>
      <c r="J263" s="463"/>
      <c r="K263" s="455"/>
      <c r="V263" s="39"/>
    </row>
    <row r="264" spans="1:22" ht="15.75" customHeight="1" thickBot="1" x14ac:dyDescent="0.3">
      <c r="A264" s="480"/>
      <c r="B264" s="484"/>
      <c r="C264" s="476"/>
      <c r="D264" s="476"/>
      <c r="E264" s="3">
        <f>[4]C3!E81</f>
        <v>4</v>
      </c>
      <c r="F264" s="3">
        <f>[4]C3!F81</f>
        <v>125.11</v>
      </c>
      <c r="G264" s="5">
        <f>[4]C3!G81</f>
        <v>136.02133268178576</v>
      </c>
      <c r="H264" s="70"/>
      <c r="I264" s="488"/>
      <c r="J264" s="464"/>
      <c r="K264" s="456"/>
      <c r="V264" s="39"/>
    </row>
    <row r="265" spans="1:22" x14ac:dyDescent="0.25">
      <c r="A265" s="43" t="s">
        <v>4</v>
      </c>
      <c r="B265" s="24"/>
      <c r="C265" s="4"/>
      <c r="D265" s="4"/>
      <c r="E265" s="4"/>
      <c r="F265" s="8">
        <f>SUM(F245:F264)</f>
        <v>2496.6200000000003</v>
      </c>
      <c r="G265" s="8"/>
      <c r="H265" s="8"/>
      <c r="I265" s="8">
        <f>K245+K249+K253+K257+K261</f>
        <v>2714.36</v>
      </c>
      <c r="J265" s="8">
        <f>J261+J257+J253+J249+J245</f>
        <v>217.72000000000003</v>
      </c>
      <c r="K265" s="40"/>
      <c r="V265" s="39"/>
    </row>
    <row r="266" spans="1:22" x14ac:dyDescent="0.25">
      <c r="A266" s="37"/>
      <c r="F266" s="18">
        <f>I265/F265</f>
        <v>1.0872139132106606</v>
      </c>
      <c r="I266" s="45"/>
      <c r="J266" s="9">
        <f>(J245+J249+J253+J257+J261)/I265</f>
        <v>8.0210436345952638E-2</v>
      </c>
      <c r="K266" s="40"/>
      <c r="V266" s="39"/>
    </row>
    <row r="267" spans="1:22" x14ac:dyDescent="0.25">
      <c r="A267" s="37"/>
      <c r="V267" s="39"/>
    </row>
    <row r="268" spans="1:22" ht="15.75" thickBot="1" x14ac:dyDescent="0.3">
      <c r="A268" s="47"/>
      <c r="B268" s="48"/>
      <c r="C268" s="49"/>
      <c r="D268" s="49"/>
      <c r="E268" s="49"/>
      <c r="F268" s="50"/>
      <c r="G268" s="50"/>
      <c r="H268" s="50"/>
      <c r="I268" s="50"/>
      <c r="J268" s="50"/>
      <c r="K268" s="50"/>
      <c r="L268" s="49"/>
      <c r="M268" s="49"/>
      <c r="N268" s="49"/>
      <c r="O268" s="49"/>
      <c r="P268" s="49"/>
      <c r="Q268" s="49"/>
      <c r="R268" s="49"/>
      <c r="S268" s="49"/>
      <c r="T268" s="49"/>
      <c r="U268" s="49"/>
      <c r="V268" s="51"/>
    </row>
    <row r="270" spans="1:22" ht="15.75" thickBot="1" x14ac:dyDescent="0.3"/>
    <row r="271" spans="1:22" x14ac:dyDescent="0.25">
      <c r="A271" s="31"/>
      <c r="B271" s="32"/>
      <c r="C271" s="33"/>
      <c r="D271" s="33"/>
      <c r="E271" s="33"/>
      <c r="F271" s="34"/>
      <c r="G271" s="34"/>
      <c r="H271" s="34"/>
      <c r="I271" s="34"/>
      <c r="J271" s="34"/>
      <c r="K271" s="34"/>
      <c r="L271" s="33"/>
      <c r="M271" s="33"/>
      <c r="N271" s="33"/>
      <c r="O271" s="33"/>
      <c r="P271" s="33"/>
      <c r="Q271" s="33"/>
      <c r="R271" s="33"/>
      <c r="S271" s="33"/>
      <c r="T271" s="33"/>
      <c r="U271" s="33"/>
      <c r="V271" s="36"/>
    </row>
    <row r="272" spans="1:22" x14ac:dyDescent="0.25">
      <c r="A272" s="37"/>
      <c r="L272" s="52" t="s">
        <v>0</v>
      </c>
      <c r="M272" s="497" t="s">
        <v>48</v>
      </c>
      <c r="N272" s="497"/>
      <c r="O272" s="497"/>
      <c r="Q272" s="477"/>
      <c r="R272" s="477"/>
      <c r="S272" s="59"/>
      <c r="V272" s="39"/>
    </row>
    <row r="273" spans="1:22" x14ac:dyDescent="0.25">
      <c r="A273" s="37"/>
      <c r="L273" s="38" t="s">
        <v>14</v>
      </c>
      <c r="M273" s="477" t="s">
        <v>12</v>
      </c>
      <c r="N273" s="477"/>
      <c r="O273" s="477" t="s">
        <v>12</v>
      </c>
      <c r="P273" s="477"/>
      <c r="Q273" s="477" t="s">
        <v>12</v>
      </c>
      <c r="R273" s="477"/>
      <c r="S273" s="59"/>
      <c r="V273" s="39"/>
    </row>
    <row r="274" spans="1:22" x14ac:dyDescent="0.25">
      <c r="A274" s="37"/>
      <c r="L274" s="38"/>
      <c r="S274" s="59"/>
      <c r="V274" s="39"/>
    </row>
    <row r="275" spans="1:22" x14ac:dyDescent="0.25">
      <c r="A275" s="37"/>
      <c r="L275" s="499" t="s">
        <v>11</v>
      </c>
      <c r="M275" s="21">
        <v>3</v>
      </c>
      <c r="N275" s="21">
        <v>2</v>
      </c>
      <c r="O275" s="20">
        <v>3</v>
      </c>
      <c r="P275" s="20">
        <v>2</v>
      </c>
      <c r="Q275" s="21">
        <v>3</v>
      </c>
      <c r="R275" s="21">
        <v>2</v>
      </c>
      <c r="S275" s="59"/>
      <c r="V275" s="39"/>
    </row>
    <row r="276" spans="1:22" x14ac:dyDescent="0.25">
      <c r="A276" s="37"/>
      <c r="L276" s="499"/>
      <c r="M276" s="21">
        <v>4</v>
      </c>
      <c r="N276" s="21">
        <v>1</v>
      </c>
      <c r="O276" s="20">
        <v>4</v>
      </c>
      <c r="P276" s="20">
        <v>1</v>
      </c>
      <c r="Q276" s="21">
        <v>4</v>
      </c>
      <c r="R276" s="21">
        <v>1</v>
      </c>
      <c r="S276" s="59"/>
      <c r="V276" s="39"/>
    </row>
    <row r="277" spans="1:22" x14ac:dyDescent="0.25">
      <c r="A277" s="37"/>
      <c r="L277" s="38"/>
      <c r="S277" s="59"/>
      <c r="V277" s="39"/>
    </row>
    <row r="278" spans="1:22" x14ac:dyDescent="0.25">
      <c r="A278" s="37"/>
      <c r="L278" s="38" t="s">
        <v>14</v>
      </c>
      <c r="M278" s="477" t="s">
        <v>13</v>
      </c>
      <c r="N278" s="477"/>
      <c r="O278" s="477" t="s">
        <v>13</v>
      </c>
      <c r="P278" s="477"/>
      <c r="Q278" s="477" t="s">
        <v>13</v>
      </c>
      <c r="R278" s="477"/>
      <c r="S278" s="59"/>
      <c r="V278" s="39"/>
    </row>
    <row r="279" spans="1:22" ht="18.75" x14ac:dyDescent="0.3">
      <c r="A279" s="457" t="s">
        <v>32</v>
      </c>
      <c r="B279" s="458"/>
      <c r="C279" s="458"/>
      <c r="D279" s="458"/>
      <c r="E279" s="458"/>
      <c r="F279" s="458"/>
      <c r="G279" s="458"/>
      <c r="H279" s="458"/>
      <c r="I279" s="458"/>
      <c r="J279" s="458"/>
      <c r="K279" s="40"/>
      <c r="M279" s="477"/>
      <c r="N279" s="477"/>
      <c r="O279" s="477"/>
      <c r="P279" s="477"/>
      <c r="S279" s="59"/>
      <c r="V279" s="39"/>
    </row>
    <row r="280" spans="1:22" ht="30" x14ac:dyDescent="0.25">
      <c r="A280" s="41" t="s">
        <v>9</v>
      </c>
      <c r="B280" s="23" t="s">
        <v>7</v>
      </c>
      <c r="C280" s="2" t="s">
        <v>8</v>
      </c>
      <c r="D280" s="2" t="s">
        <v>10</v>
      </c>
      <c r="E280" s="1" t="s">
        <v>2</v>
      </c>
      <c r="F280" s="19" t="s">
        <v>3</v>
      </c>
      <c r="G280" s="19" t="s">
        <v>5</v>
      </c>
      <c r="H280" s="19" t="s">
        <v>57</v>
      </c>
      <c r="I280" s="28" t="s">
        <v>6</v>
      </c>
      <c r="J280" s="28" t="s">
        <v>1</v>
      </c>
      <c r="K280" s="40"/>
      <c r="S280" s="59"/>
      <c r="V280" s="39"/>
    </row>
    <row r="281" spans="1:22" x14ac:dyDescent="0.25">
      <c r="A281" s="478" t="s">
        <v>33</v>
      </c>
      <c r="B281" s="482" t="s">
        <v>47</v>
      </c>
      <c r="C281" s="485" t="s">
        <v>38</v>
      </c>
      <c r="D281" s="485">
        <v>0</v>
      </c>
      <c r="E281" s="3">
        <f>[5]B2!E10</f>
        <v>1</v>
      </c>
      <c r="F281" s="3">
        <f>[5]B2!F10</f>
        <v>144.66300000000001</v>
      </c>
      <c r="G281" s="5">
        <f>[5]B2!G10</f>
        <v>160.2974096687947</v>
      </c>
      <c r="H281" s="77">
        <v>78.760000000000005</v>
      </c>
      <c r="I281" s="486">
        <f>SUM(G281:G300)</f>
        <v>3405.067</v>
      </c>
      <c r="J281" s="462">
        <f>[5]B2!I10</f>
        <v>99.266000000000005</v>
      </c>
      <c r="K281" s="455">
        <f>[5]B2!J10</f>
        <v>685.81200000000001</v>
      </c>
      <c r="L281" s="42"/>
      <c r="V281" s="39"/>
    </row>
    <row r="282" spans="1:22" x14ac:dyDescent="0.25">
      <c r="A282" s="479"/>
      <c r="B282" s="483"/>
      <c r="C282" s="460"/>
      <c r="D282" s="460"/>
      <c r="E282" s="3">
        <f>[5]B2!E11</f>
        <v>2</v>
      </c>
      <c r="F282" s="3">
        <f>[5]B2!F11</f>
        <v>183.887</v>
      </c>
      <c r="G282" s="5">
        <f>[5]B2!G11</f>
        <v>203.76053152337258</v>
      </c>
      <c r="H282" s="77">
        <v>61.522199999999998</v>
      </c>
      <c r="I282" s="487"/>
      <c r="J282" s="463"/>
      <c r="K282" s="455"/>
      <c r="L282" s="42"/>
      <c r="V282" s="39"/>
    </row>
    <row r="283" spans="1:22" x14ac:dyDescent="0.25">
      <c r="A283" s="479"/>
      <c r="B283" s="483"/>
      <c r="C283" s="460"/>
      <c r="D283" s="460"/>
      <c r="E283" s="3">
        <f>[5]B2!E12</f>
        <v>3</v>
      </c>
      <c r="F283" s="3">
        <f>[5]B2!F12</f>
        <v>162.78100000000001</v>
      </c>
      <c r="G283" s="5">
        <f>[5]B2!G12</f>
        <v>180.37350700107191</v>
      </c>
      <c r="H283" s="77">
        <v>77.576999999999998</v>
      </c>
      <c r="I283" s="487"/>
      <c r="J283" s="463"/>
      <c r="K283" s="455"/>
      <c r="L283" s="42"/>
      <c r="V283" s="39"/>
    </row>
    <row r="284" spans="1:22" ht="15.75" thickBot="1" x14ac:dyDescent="0.3">
      <c r="A284" s="479"/>
      <c r="B284" s="483"/>
      <c r="C284" s="460"/>
      <c r="D284" s="461"/>
      <c r="E284" s="6">
        <f>[5]B2!E13</f>
        <v>4</v>
      </c>
      <c r="F284" s="6">
        <f>[5]B2!F13</f>
        <v>95.213999999999999</v>
      </c>
      <c r="G284" s="7">
        <f>[5]B2!G13</f>
        <v>105.50422405317612</v>
      </c>
      <c r="H284" s="77">
        <v>61.500599999999999</v>
      </c>
      <c r="I284" s="487"/>
      <c r="J284" s="464"/>
      <c r="K284" s="456"/>
      <c r="L284" s="42"/>
      <c r="V284" s="39"/>
    </row>
    <row r="285" spans="1:22" ht="15" customHeight="1" x14ac:dyDescent="0.25">
      <c r="A285" s="479"/>
      <c r="B285" s="483"/>
      <c r="C285" s="460"/>
      <c r="D285" s="459">
        <v>1</v>
      </c>
      <c r="E285" s="72">
        <f>[5]B2!E14</f>
        <v>1</v>
      </c>
      <c r="F285" s="72">
        <f>[5]B2!F14</f>
        <v>141.66300000000001</v>
      </c>
      <c r="G285" s="73">
        <f>[5]B2!G14</f>
        <v>156.9731855824258</v>
      </c>
      <c r="H285" s="69"/>
      <c r="I285" s="487"/>
      <c r="J285" s="462">
        <f>[5]B2!I14</f>
        <v>73.486999999999995</v>
      </c>
      <c r="K285" s="455">
        <f>[5]B2!J14</f>
        <v>657.59</v>
      </c>
      <c r="L285" s="56"/>
      <c r="V285" s="39"/>
    </row>
    <row r="286" spans="1:22" ht="15" customHeight="1" x14ac:dyDescent="0.25">
      <c r="A286" s="479"/>
      <c r="B286" s="483"/>
      <c r="C286" s="460"/>
      <c r="D286" s="460"/>
      <c r="E286" s="3">
        <f>[5]B2!E15</f>
        <v>2</v>
      </c>
      <c r="F286" s="3">
        <f>[5]B2!F15</f>
        <v>183.637</v>
      </c>
      <c r="G286" s="5">
        <f>[5]B2!G15</f>
        <v>203.48351284950851</v>
      </c>
      <c r="H286" s="69"/>
      <c r="I286" s="487"/>
      <c r="J286" s="463"/>
      <c r="K286" s="455"/>
      <c r="L286" s="56"/>
      <c r="V286" s="39"/>
    </row>
    <row r="287" spans="1:22" ht="15" customHeight="1" x14ac:dyDescent="0.25">
      <c r="A287" s="479"/>
      <c r="B287" s="483"/>
      <c r="C287" s="460"/>
      <c r="D287" s="460"/>
      <c r="E287" s="3">
        <f>[5]B2!E16</f>
        <v>3</v>
      </c>
      <c r="F287" s="3">
        <f>[5]B2!F16</f>
        <v>162.53100000000001</v>
      </c>
      <c r="G287" s="5">
        <f>[5]B2!G16</f>
        <v>180.09648832720785</v>
      </c>
      <c r="H287" s="69"/>
      <c r="I287" s="487"/>
      <c r="J287" s="463"/>
      <c r="K287" s="455"/>
      <c r="L287" s="57"/>
      <c r="V287" s="39"/>
    </row>
    <row r="288" spans="1:22" ht="15.75" customHeight="1" thickBot="1" x14ac:dyDescent="0.3">
      <c r="A288" s="479"/>
      <c r="B288" s="483"/>
      <c r="C288" s="460"/>
      <c r="D288" s="461"/>
      <c r="E288" s="6">
        <f>[5]B2!E17</f>
        <v>4</v>
      </c>
      <c r="F288" s="6">
        <f>[5]B2!F17</f>
        <v>96.271000000000001</v>
      </c>
      <c r="G288" s="7">
        <f>[5]B2!G17</f>
        <v>106.67545900627343</v>
      </c>
      <c r="H288" s="69"/>
      <c r="I288" s="487"/>
      <c r="J288" s="464"/>
      <c r="K288" s="456"/>
      <c r="L288" s="58"/>
      <c r="V288" s="39"/>
    </row>
    <row r="289" spans="1:22" ht="15" customHeight="1" x14ac:dyDescent="0.25">
      <c r="A289" s="479"/>
      <c r="B289" s="483"/>
      <c r="C289" s="460"/>
      <c r="D289" s="459">
        <v>2</v>
      </c>
      <c r="E289" s="72">
        <f>[5]B2!E18</f>
        <v>1</v>
      </c>
      <c r="F289" s="72">
        <f>[5]B2!F18</f>
        <v>143.989</v>
      </c>
      <c r="G289" s="73">
        <f>[5]B2!G18</f>
        <v>159.55056732405714</v>
      </c>
      <c r="H289" s="69"/>
      <c r="I289" s="487"/>
      <c r="J289" s="462">
        <f>[5]B2!I18</f>
        <v>53.119</v>
      </c>
      <c r="K289" s="455">
        <f>[5]B2!J18</f>
        <v>692.56700000000001</v>
      </c>
      <c r="L289" s="42"/>
      <c r="V289" s="39"/>
    </row>
    <row r="290" spans="1:22" ht="15" customHeight="1" x14ac:dyDescent="0.25">
      <c r="A290" s="479"/>
      <c r="B290" s="483"/>
      <c r="C290" s="460"/>
      <c r="D290" s="460"/>
      <c r="E290" s="3">
        <f>[5]B2!E19</f>
        <v>2</v>
      </c>
      <c r="F290" s="3">
        <f>[5]B2!F19</f>
        <v>187.1</v>
      </c>
      <c r="G290" s="5">
        <f>[5]B2!G19</f>
        <v>207.32077551987365</v>
      </c>
      <c r="H290" s="69"/>
      <c r="I290" s="487"/>
      <c r="J290" s="463"/>
      <c r="K290" s="455"/>
      <c r="L290" s="42"/>
      <c r="V290" s="39"/>
    </row>
    <row r="291" spans="1:22" ht="15" customHeight="1" x14ac:dyDescent="0.25">
      <c r="A291" s="479"/>
      <c r="B291" s="483"/>
      <c r="C291" s="460"/>
      <c r="D291" s="460"/>
      <c r="E291" s="3">
        <f>[5]B2!E20</f>
        <v>3</v>
      </c>
      <c r="F291" s="3">
        <f>[5]B2!F20</f>
        <v>167.16900000000001</v>
      </c>
      <c r="G291" s="5">
        <f>[5]B2!G20</f>
        <v>185.23573876473418</v>
      </c>
      <c r="H291" s="69"/>
      <c r="I291" s="487"/>
      <c r="J291" s="463"/>
      <c r="K291" s="455"/>
      <c r="L291" s="42"/>
      <c r="V291" s="39"/>
    </row>
    <row r="292" spans="1:22" ht="15.75" customHeight="1" thickBot="1" x14ac:dyDescent="0.3">
      <c r="A292" s="479"/>
      <c r="B292" s="483"/>
      <c r="C292" s="460"/>
      <c r="D292" s="461"/>
      <c r="E292" s="6">
        <f>[5]B2!E21</f>
        <v>4</v>
      </c>
      <c r="F292" s="6">
        <f>[5]B2!F21</f>
        <v>141.18700000000001</v>
      </c>
      <c r="G292" s="7">
        <f>[5]B2!G21</f>
        <v>156.4457420273886</v>
      </c>
      <c r="H292" s="69"/>
      <c r="I292" s="487"/>
      <c r="J292" s="464"/>
      <c r="K292" s="456"/>
      <c r="L292" s="42"/>
      <c r="Q292" s="18"/>
      <c r="V292" s="39"/>
    </row>
    <row r="293" spans="1:22" ht="15" customHeight="1" x14ac:dyDescent="0.25">
      <c r="A293" s="479"/>
      <c r="B293" s="483"/>
      <c r="C293" s="460"/>
      <c r="D293" s="459">
        <v>3</v>
      </c>
      <c r="E293" s="72">
        <f>[5]B2!E22</f>
        <v>1</v>
      </c>
      <c r="F293" s="72">
        <f>[5]B2!F22</f>
        <v>143.89599999999999</v>
      </c>
      <c r="G293" s="73">
        <f>[5]B2!G22</f>
        <v>159.44751637737969</v>
      </c>
      <c r="H293" s="69"/>
      <c r="I293" s="487"/>
      <c r="J293" s="462">
        <f>[5]B2!I22</f>
        <v>53.12</v>
      </c>
      <c r="K293" s="455">
        <f>[5]B2!J22</f>
        <v>689.70799999999997</v>
      </c>
      <c r="L293" s="42"/>
      <c r="V293" s="39"/>
    </row>
    <row r="294" spans="1:22" ht="15" customHeight="1" x14ac:dyDescent="0.25">
      <c r="A294" s="479"/>
      <c r="B294" s="483"/>
      <c r="C294" s="460"/>
      <c r="D294" s="460"/>
      <c r="E294" s="3">
        <f>[5]B2!E23</f>
        <v>2</v>
      </c>
      <c r="F294" s="3">
        <f>[5]B2!F23</f>
        <v>187.20400000000001</v>
      </c>
      <c r="G294" s="5">
        <f>[5]B2!G23</f>
        <v>207.43601528820113</v>
      </c>
      <c r="H294" s="69"/>
      <c r="I294" s="487"/>
      <c r="J294" s="463"/>
      <c r="K294" s="455"/>
      <c r="L294" s="42"/>
      <c r="V294" s="39"/>
    </row>
    <row r="295" spans="1:22" ht="15" customHeight="1" x14ac:dyDescent="0.25">
      <c r="A295" s="479"/>
      <c r="B295" s="483"/>
      <c r="C295" s="460"/>
      <c r="D295" s="460"/>
      <c r="E295" s="3">
        <f>[5]B2!E24</f>
        <v>3</v>
      </c>
      <c r="F295" s="3">
        <f>[5]B2!F24</f>
        <v>164.417</v>
      </c>
      <c r="G295" s="5">
        <f>[5]B2!G24</f>
        <v>182.18631720283841</v>
      </c>
      <c r="H295" s="69"/>
      <c r="I295" s="487"/>
      <c r="J295" s="463"/>
      <c r="K295" s="455"/>
      <c r="L295" s="42"/>
      <c r="V295" s="39"/>
    </row>
    <row r="296" spans="1:22" ht="15.75" customHeight="1" thickBot="1" x14ac:dyDescent="0.3">
      <c r="A296" s="479"/>
      <c r="B296" s="483"/>
      <c r="C296" s="460"/>
      <c r="D296" s="461"/>
      <c r="E296" s="6">
        <f>[5]B2!E25</f>
        <v>4</v>
      </c>
      <c r="F296" s="6">
        <f>[5]B2!F25</f>
        <v>141.07300000000001</v>
      </c>
      <c r="G296" s="7">
        <f>[5]B2!G25</f>
        <v>156.31942151210657</v>
      </c>
      <c r="H296" s="69"/>
      <c r="I296" s="487"/>
      <c r="J296" s="464"/>
      <c r="K296" s="456"/>
      <c r="L296" s="42"/>
      <c r="V296" s="39"/>
    </row>
    <row r="297" spans="1:22" ht="18.75" customHeight="1" x14ac:dyDescent="0.3">
      <c r="A297" s="479"/>
      <c r="B297" s="483"/>
      <c r="C297" s="460"/>
      <c r="D297" s="459">
        <v>4</v>
      </c>
      <c r="E297" s="70">
        <f>[5]B2!E26</f>
        <v>1</v>
      </c>
      <c r="F297" s="70">
        <f>[5]B2!F26</f>
        <v>141.929</v>
      </c>
      <c r="G297" s="65">
        <f>[5]B2!G26</f>
        <v>157.26793345141715</v>
      </c>
      <c r="H297" s="69"/>
      <c r="I297" s="487"/>
      <c r="J297" s="462">
        <f>[5]B2!I26</f>
        <v>53.12</v>
      </c>
      <c r="K297" s="455">
        <f>[5]B2!J26</f>
        <v>679.39</v>
      </c>
      <c r="L297" s="42"/>
      <c r="Q297" s="481" t="s">
        <v>34</v>
      </c>
      <c r="R297" s="481"/>
      <c r="S297" s="60"/>
      <c r="V297" s="39"/>
    </row>
    <row r="298" spans="1:22" ht="15" customHeight="1" x14ac:dyDescent="0.25">
      <c r="A298" s="479"/>
      <c r="B298" s="483"/>
      <c r="C298" s="460"/>
      <c r="D298" s="460"/>
      <c r="E298" s="3">
        <f>[5]B2!E27</f>
        <v>2</v>
      </c>
      <c r="F298" s="3">
        <f>[5]B2!F27</f>
        <v>182.57</v>
      </c>
      <c r="G298" s="5">
        <f>[5]B2!G27</f>
        <v>202.30119714945661</v>
      </c>
      <c r="H298" s="69"/>
      <c r="I298" s="487"/>
      <c r="J298" s="463"/>
      <c r="K298" s="455"/>
      <c r="L298" s="42"/>
      <c r="Q298" s="61"/>
      <c r="R298" s="62" t="s">
        <v>35</v>
      </c>
      <c r="S298" s="62"/>
      <c r="V298" s="39"/>
    </row>
    <row r="299" spans="1:22" ht="15" customHeight="1" x14ac:dyDescent="0.25">
      <c r="A299" s="479"/>
      <c r="B299" s="483"/>
      <c r="C299" s="460"/>
      <c r="D299" s="460"/>
      <c r="E299" s="3">
        <f>[5]B2!E28</f>
        <v>3</v>
      </c>
      <c r="F299" s="3">
        <f>[5]B2!F28</f>
        <v>162.65</v>
      </c>
      <c r="G299" s="5">
        <f>[5]B2!G28</f>
        <v>180.22834921596714</v>
      </c>
      <c r="H299" s="69"/>
      <c r="I299" s="487"/>
      <c r="J299" s="463"/>
      <c r="K299" s="455"/>
      <c r="L299" s="42"/>
      <c r="V299" s="39"/>
    </row>
    <row r="300" spans="1:22" ht="15.75" customHeight="1" thickBot="1" x14ac:dyDescent="0.3">
      <c r="A300" s="480"/>
      <c r="B300" s="484"/>
      <c r="C300" s="476"/>
      <c r="D300" s="476"/>
      <c r="E300" s="3">
        <f>[5]B2!E29</f>
        <v>4</v>
      </c>
      <c r="F300" s="3">
        <f>[5]B2!F29</f>
        <v>139.12700000000001</v>
      </c>
      <c r="G300" s="5">
        <f>[5]B2!G29</f>
        <v>154.16310815474861</v>
      </c>
      <c r="H300" s="70"/>
      <c r="I300" s="488"/>
      <c r="J300" s="464"/>
      <c r="K300" s="456"/>
      <c r="L300" s="42"/>
      <c r="V300" s="39"/>
    </row>
    <row r="301" spans="1:22" x14ac:dyDescent="0.25">
      <c r="A301" s="43" t="s">
        <v>4</v>
      </c>
      <c r="B301" s="24"/>
      <c r="C301" s="4"/>
      <c r="D301" s="4"/>
      <c r="E301" s="4"/>
      <c r="F301" s="8">
        <f>SUM(F281:F300)</f>
        <v>3072.9580000000001</v>
      </c>
      <c r="G301" s="8"/>
      <c r="H301" s="8"/>
      <c r="I301" s="8">
        <f>K281+K285+K289+K293+K297</f>
        <v>3405.067</v>
      </c>
      <c r="J301" s="8">
        <f>J297+J293+J289+J285+J281</f>
        <v>332.11199999999997</v>
      </c>
      <c r="K301" s="40"/>
      <c r="L301" s="44"/>
      <c r="V301" s="39"/>
    </row>
    <row r="302" spans="1:22" x14ac:dyDescent="0.25">
      <c r="A302" s="37"/>
      <c r="F302" s="18">
        <f>I301/F301</f>
        <v>1.1080746954562997</v>
      </c>
      <c r="I302" s="45"/>
      <c r="J302" s="9">
        <f>(J281+J285+J289+J293+J297)/I301</f>
        <v>9.7534644692747599E-2</v>
      </c>
      <c r="V302" s="39"/>
    </row>
    <row r="303" spans="1:22" x14ac:dyDescent="0.25">
      <c r="A303" s="37"/>
      <c r="V303" s="39"/>
    </row>
    <row r="304" spans="1:22" x14ac:dyDescent="0.25">
      <c r="A304" s="37"/>
      <c r="V304" s="39"/>
    </row>
    <row r="305" spans="1:22" ht="18.75" x14ac:dyDescent="0.3">
      <c r="A305" s="457" t="s">
        <v>32</v>
      </c>
      <c r="B305" s="458"/>
      <c r="C305" s="458"/>
      <c r="D305" s="458"/>
      <c r="E305" s="458"/>
      <c r="F305" s="458"/>
      <c r="G305" s="458"/>
      <c r="H305" s="458"/>
      <c r="I305" s="458"/>
      <c r="J305" s="458"/>
      <c r="K305" s="46"/>
      <c r="V305" s="39"/>
    </row>
    <row r="306" spans="1:22" ht="30" x14ac:dyDescent="0.25">
      <c r="A306" s="41" t="s">
        <v>9</v>
      </c>
      <c r="B306" s="23" t="s">
        <v>7</v>
      </c>
      <c r="C306" s="2" t="s">
        <v>8</v>
      </c>
      <c r="D306" s="2" t="s">
        <v>10</v>
      </c>
      <c r="E306" s="1" t="s">
        <v>2</v>
      </c>
      <c r="F306" s="19" t="s">
        <v>3</v>
      </c>
      <c r="G306" s="19" t="s">
        <v>5</v>
      </c>
      <c r="H306" s="19" t="s">
        <v>57</v>
      </c>
      <c r="I306" s="28" t="s">
        <v>6</v>
      </c>
      <c r="J306" s="28" t="s">
        <v>1</v>
      </c>
      <c r="K306" s="46"/>
      <c r="V306" s="39"/>
    </row>
    <row r="307" spans="1:22" x14ac:dyDescent="0.25">
      <c r="A307" s="478" t="s">
        <v>33</v>
      </c>
      <c r="B307" s="482" t="s">
        <v>47</v>
      </c>
      <c r="C307" s="485" t="s">
        <v>37</v>
      </c>
      <c r="D307" s="485">
        <v>0</v>
      </c>
      <c r="E307" s="3">
        <f>[5]B2!E36</f>
        <v>1</v>
      </c>
      <c r="F307" s="3">
        <f>[5]B2!F36</f>
        <v>141.82499999999999</v>
      </c>
      <c r="G307" s="5">
        <f>[5]B2!G36</f>
        <v>159.0528991060259</v>
      </c>
      <c r="H307" s="77">
        <v>77.2149</v>
      </c>
      <c r="I307" s="486">
        <f>SUM(G307:G326)</f>
        <v>3065.95</v>
      </c>
      <c r="J307" s="462">
        <f>[5]B2!I36</f>
        <v>99.266000000000005</v>
      </c>
      <c r="K307" s="465">
        <f>[5]B2!J36</f>
        <v>620.59799999999996</v>
      </c>
      <c r="V307" s="39"/>
    </row>
    <row r="308" spans="1:22" x14ac:dyDescent="0.25">
      <c r="A308" s="479"/>
      <c r="B308" s="483"/>
      <c r="C308" s="460"/>
      <c r="D308" s="460"/>
      <c r="E308" s="3">
        <f>[5]B2!E37</f>
        <v>2</v>
      </c>
      <c r="F308" s="71">
        <f>[5]B2!F37</f>
        <v>142.05600000000001</v>
      </c>
      <c r="G308" s="5">
        <f>[5]B2!G37</f>
        <v>159.31195935417324</v>
      </c>
      <c r="H308" s="77">
        <v>97.868200000000002</v>
      </c>
      <c r="I308" s="487"/>
      <c r="J308" s="463"/>
      <c r="K308" s="465"/>
      <c r="V308" s="39"/>
    </row>
    <row r="309" spans="1:22" x14ac:dyDescent="0.25">
      <c r="A309" s="479"/>
      <c r="B309" s="483"/>
      <c r="C309" s="460"/>
      <c r="D309" s="460"/>
      <c r="E309" s="3">
        <f>[5]B2!E38</f>
        <v>3</v>
      </c>
      <c r="F309" s="71">
        <f>[5]B2!F38</f>
        <v>142.197</v>
      </c>
      <c r="G309" s="5">
        <f>[5]B2!G38</f>
        <v>159.47008703810729</v>
      </c>
      <c r="H309" s="77">
        <v>97.259299999999996</v>
      </c>
      <c r="I309" s="487"/>
      <c r="J309" s="463"/>
      <c r="K309" s="465"/>
      <c r="V309" s="39"/>
    </row>
    <row r="310" spans="1:22" ht="15.75" thickBot="1" x14ac:dyDescent="0.3">
      <c r="A310" s="479"/>
      <c r="B310" s="483"/>
      <c r="C310" s="460"/>
      <c r="D310" s="461"/>
      <c r="E310" s="6">
        <f>[5]B2!E39</f>
        <v>4</v>
      </c>
      <c r="F310" s="6">
        <f>[5]B2!F39</f>
        <v>95.254000000000005</v>
      </c>
      <c r="G310" s="7">
        <f>[5]B2!G39</f>
        <v>106.82478301741861</v>
      </c>
      <c r="H310" s="77">
        <v>61.752000000000002</v>
      </c>
      <c r="I310" s="487"/>
      <c r="J310" s="464"/>
      <c r="K310" s="466"/>
      <c r="L310" s="14"/>
      <c r="V310" s="39"/>
    </row>
    <row r="311" spans="1:22" ht="15" customHeight="1" x14ac:dyDescent="0.25">
      <c r="A311" s="479"/>
      <c r="B311" s="483"/>
      <c r="C311" s="460"/>
      <c r="D311" s="459">
        <v>1</v>
      </c>
      <c r="E311" s="72">
        <f>[5]B2!E40</f>
        <v>1</v>
      </c>
      <c r="F311" s="72">
        <f>[5]B2!F40</f>
        <v>142.977</v>
      </c>
      <c r="G311" s="73">
        <f>[5]B2!G40</f>
        <v>160.34483592795536</v>
      </c>
      <c r="H311" s="69"/>
      <c r="I311" s="487"/>
      <c r="J311" s="462">
        <f>[5]B2!I40</f>
        <v>73.486999999999995</v>
      </c>
      <c r="K311" s="465">
        <f>[5]B2!J40</f>
        <v>592.05999999999995</v>
      </c>
      <c r="L311" s="17"/>
      <c r="V311" s="39"/>
    </row>
    <row r="312" spans="1:22" ht="15" customHeight="1" x14ac:dyDescent="0.25">
      <c r="A312" s="479"/>
      <c r="B312" s="483"/>
      <c r="C312" s="460"/>
      <c r="D312" s="460"/>
      <c r="E312" s="3">
        <f>[5]B2!E41</f>
        <v>2</v>
      </c>
      <c r="F312" s="71">
        <f>[5]B2!F41</f>
        <v>139.572</v>
      </c>
      <c r="G312" s="5">
        <f>[5]B2!G41</f>
        <v>156.52622058188788</v>
      </c>
      <c r="H312" s="69"/>
      <c r="I312" s="487"/>
      <c r="J312" s="463"/>
      <c r="K312" s="465"/>
      <c r="L312" s="17"/>
      <c r="V312" s="39"/>
    </row>
    <row r="313" spans="1:22" ht="15" customHeight="1" x14ac:dyDescent="0.25">
      <c r="A313" s="479"/>
      <c r="B313" s="483"/>
      <c r="C313" s="460"/>
      <c r="D313" s="460"/>
      <c r="E313" s="3">
        <f>[5]B2!E42</f>
        <v>3</v>
      </c>
      <c r="F313" s="71">
        <f>[5]B2!F42</f>
        <v>139.71199999999999</v>
      </c>
      <c r="G313" s="5">
        <f>[5]B2!G42</f>
        <v>156.68322679288624</v>
      </c>
      <c r="H313" s="69"/>
      <c r="I313" s="487"/>
      <c r="J313" s="463"/>
      <c r="K313" s="465"/>
      <c r="L313" s="16"/>
      <c r="V313" s="39"/>
    </row>
    <row r="314" spans="1:22" ht="15.75" customHeight="1" thickBot="1" x14ac:dyDescent="0.3">
      <c r="A314" s="479"/>
      <c r="B314" s="483"/>
      <c r="C314" s="460"/>
      <c r="D314" s="461"/>
      <c r="E314" s="6">
        <f>[5]B2!E43</f>
        <v>4</v>
      </c>
      <c r="F314" s="6">
        <f>[5]B2!F43</f>
        <v>96.311000000000007</v>
      </c>
      <c r="G314" s="7">
        <f>[5]B2!G43</f>
        <v>108.01017991045629</v>
      </c>
      <c r="H314" s="69"/>
      <c r="I314" s="487"/>
      <c r="J314" s="464"/>
      <c r="K314" s="466"/>
      <c r="L314" s="15"/>
      <c r="V314" s="39"/>
    </row>
    <row r="315" spans="1:22" ht="15" customHeight="1" x14ac:dyDescent="0.25">
      <c r="A315" s="479"/>
      <c r="B315" s="483"/>
      <c r="C315" s="460"/>
      <c r="D315" s="459">
        <v>2</v>
      </c>
      <c r="E315" s="72">
        <f>[5]B2!E44</f>
        <v>1</v>
      </c>
      <c r="F315" s="72">
        <f>[5]B2!F44</f>
        <v>141.18700000000001</v>
      </c>
      <c r="G315" s="73">
        <f>[5]B2!G44</f>
        <v>158.33739937304765</v>
      </c>
      <c r="H315" s="69"/>
      <c r="I315" s="487"/>
      <c r="J315" s="462">
        <f>[5]B2!I44</f>
        <v>53.119</v>
      </c>
      <c r="K315" s="465">
        <f>[5]B2!J44</f>
        <v>618.55200000000002</v>
      </c>
      <c r="V315" s="39"/>
    </row>
    <row r="316" spans="1:22" ht="15" customHeight="1" x14ac:dyDescent="0.25">
      <c r="A316" s="479"/>
      <c r="B316" s="483"/>
      <c r="C316" s="460"/>
      <c r="D316" s="460"/>
      <c r="E316" s="3">
        <f>[5]B2!E45</f>
        <v>2</v>
      </c>
      <c r="F316" s="3">
        <f>[5]B2!F45</f>
        <v>141.446</v>
      </c>
      <c r="G316" s="5">
        <f>[5]B2!G45</f>
        <v>158.62786086339463</v>
      </c>
      <c r="H316" s="69"/>
      <c r="I316" s="487"/>
      <c r="J316" s="463"/>
      <c r="K316" s="465"/>
      <c r="V316" s="39"/>
    </row>
    <row r="317" spans="1:22" ht="15" customHeight="1" x14ac:dyDescent="0.25">
      <c r="A317" s="479"/>
      <c r="B317" s="483"/>
      <c r="C317" s="460"/>
      <c r="D317" s="460"/>
      <c r="E317" s="3">
        <f>[5]B2!E46</f>
        <v>3</v>
      </c>
      <c r="F317" s="3">
        <f>[5]B2!F46</f>
        <v>141.572</v>
      </c>
      <c r="G317" s="5">
        <f>[5]B2!G46</f>
        <v>158.76916645329317</v>
      </c>
      <c r="H317" s="69"/>
      <c r="I317" s="487"/>
      <c r="J317" s="463"/>
      <c r="K317" s="465"/>
      <c r="V317" s="39"/>
    </row>
    <row r="318" spans="1:22" ht="15.75" customHeight="1" thickBot="1" x14ac:dyDescent="0.3">
      <c r="A318" s="479"/>
      <c r="B318" s="483"/>
      <c r="C318" s="460"/>
      <c r="D318" s="461"/>
      <c r="E318" s="6">
        <f>[5]B2!E47</f>
        <v>4</v>
      </c>
      <c r="F318" s="6">
        <f>[5]B2!F47</f>
        <v>141.226</v>
      </c>
      <c r="G318" s="7">
        <f>[5]B2!G47</f>
        <v>158.38113681754004</v>
      </c>
      <c r="H318" s="69"/>
      <c r="I318" s="487"/>
      <c r="J318" s="464"/>
      <c r="K318" s="466"/>
      <c r="V318" s="39"/>
    </row>
    <row r="319" spans="1:22" ht="15" customHeight="1" x14ac:dyDescent="0.25">
      <c r="A319" s="479"/>
      <c r="B319" s="483"/>
      <c r="C319" s="460"/>
      <c r="D319" s="459">
        <v>3</v>
      </c>
      <c r="E319" s="72">
        <f>[5]B2!E48</f>
        <v>1</v>
      </c>
      <c r="F319" s="72">
        <f>[5]B2!F48</f>
        <v>141.48599999999999</v>
      </c>
      <c r="G319" s="73">
        <f>[5]B2!G48</f>
        <v>158.67271978082272</v>
      </c>
      <c r="H319" s="69"/>
      <c r="I319" s="487"/>
      <c r="J319" s="462">
        <f>[5]B2!I48</f>
        <v>53.119</v>
      </c>
      <c r="K319" s="465">
        <f>[5]B2!J48</f>
        <v>620.15</v>
      </c>
      <c r="V319" s="39"/>
    </row>
    <row r="320" spans="1:22" ht="15" customHeight="1" x14ac:dyDescent="0.25">
      <c r="A320" s="479"/>
      <c r="B320" s="483"/>
      <c r="C320" s="460"/>
      <c r="D320" s="460"/>
      <c r="E320" s="3">
        <f>[5]B2!E49</f>
        <v>2</v>
      </c>
      <c r="F320" s="3">
        <f>[5]B2!F49</f>
        <v>141.94999999999999</v>
      </c>
      <c r="G320" s="5">
        <f>[5]B2!G49</f>
        <v>159.19308322298875</v>
      </c>
      <c r="H320" s="69"/>
      <c r="I320" s="487"/>
      <c r="J320" s="463"/>
      <c r="K320" s="465"/>
      <c r="V320" s="39"/>
    </row>
    <row r="321" spans="1:22" ht="15" customHeight="1" x14ac:dyDescent="0.25">
      <c r="A321" s="479"/>
      <c r="B321" s="483"/>
      <c r="C321" s="460"/>
      <c r="D321" s="460"/>
      <c r="E321" s="3">
        <f>[5]B2!E50</f>
        <v>3</v>
      </c>
      <c r="F321" s="3">
        <f>[5]B2!F50</f>
        <v>142.07</v>
      </c>
      <c r="G321" s="5">
        <f>[5]B2!G50</f>
        <v>159.32765997527306</v>
      </c>
      <c r="H321" s="69"/>
      <c r="I321" s="487"/>
      <c r="J321" s="463"/>
      <c r="K321" s="465"/>
      <c r="V321" s="39"/>
    </row>
    <row r="322" spans="1:22" ht="15.75" customHeight="1" thickBot="1" x14ac:dyDescent="0.3">
      <c r="A322" s="479"/>
      <c r="B322" s="483"/>
      <c r="C322" s="460"/>
      <c r="D322" s="461"/>
      <c r="E322" s="6">
        <f>[5]B2!E51</f>
        <v>4</v>
      </c>
      <c r="F322" s="6">
        <f>[5]B2!F51</f>
        <v>141.52600000000001</v>
      </c>
      <c r="G322" s="7">
        <f>[5]B2!G51</f>
        <v>158.71757869825083</v>
      </c>
      <c r="H322" s="69"/>
      <c r="I322" s="487"/>
      <c r="J322" s="464"/>
      <c r="K322" s="466"/>
      <c r="V322" s="39"/>
    </row>
    <row r="323" spans="1:22" ht="15" customHeight="1" x14ac:dyDescent="0.25">
      <c r="A323" s="479"/>
      <c r="B323" s="483"/>
      <c r="C323" s="460"/>
      <c r="D323" s="459">
        <v>4</v>
      </c>
      <c r="E323" s="70">
        <f>[5]B2!E52</f>
        <v>1</v>
      </c>
      <c r="F323" s="70">
        <f>[5]B2!F52</f>
        <v>139.13</v>
      </c>
      <c r="G323" s="65">
        <f>[5]B2!G52</f>
        <v>156.03052954430731</v>
      </c>
      <c r="H323" s="69"/>
      <c r="I323" s="487"/>
      <c r="J323" s="462">
        <f>[5]B2!I52</f>
        <v>53.119</v>
      </c>
      <c r="K323" s="465">
        <f>[5]B2!J52</f>
        <v>614.59</v>
      </c>
      <c r="V323" s="39"/>
    </row>
    <row r="324" spans="1:22" ht="15" customHeight="1" x14ac:dyDescent="0.25">
      <c r="A324" s="479"/>
      <c r="B324" s="483"/>
      <c r="C324" s="460"/>
      <c r="D324" s="460"/>
      <c r="E324" s="3">
        <f>[5]B2!E53</f>
        <v>2</v>
      </c>
      <c r="F324" s="3">
        <f>[5]B2!F53</f>
        <v>141.53399999999999</v>
      </c>
      <c r="G324" s="5">
        <f>[5]B2!G53</f>
        <v>158.72655048173644</v>
      </c>
      <c r="H324" s="69"/>
      <c r="I324" s="487"/>
      <c r="J324" s="463"/>
      <c r="K324" s="465"/>
      <c r="V324" s="39"/>
    </row>
    <row r="325" spans="1:22" ht="15" customHeight="1" x14ac:dyDescent="0.25">
      <c r="A325" s="479"/>
      <c r="B325" s="483"/>
      <c r="C325" s="460"/>
      <c r="D325" s="460"/>
      <c r="E325" s="3">
        <f>[5]B2!E54</f>
        <v>3</v>
      </c>
      <c r="F325" s="3">
        <f>[5]B2!F54</f>
        <v>141.65899999999999</v>
      </c>
      <c r="G325" s="5">
        <f>[5]B2!G54</f>
        <v>158.86673459869928</v>
      </c>
      <c r="H325" s="69"/>
      <c r="I325" s="487"/>
      <c r="J325" s="463"/>
      <c r="K325" s="465"/>
      <c r="V325" s="39"/>
    </row>
    <row r="326" spans="1:22" ht="15.75" customHeight="1" thickBot="1" x14ac:dyDescent="0.3">
      <c r="A326" s="480"/>
      <c r="B326" s="484"/>
      <c r="C326" s="476"/>
      <c r="D326" s="476"/>
      <c r="E326" s="3">
        <f>[5]B2!E55</f>
        <v>4</v>
      </c>
      <c r="F326" s="3">
        <f>[5]B2!F55</f>
        <v>139.16999999999999</v>
      </c>
      <c r="G326" s="5">
        <f>[5]B2!G55</f>
        <v>156.0753884617354</v>
      </c>
      <c r="H326" s="70"/>
      <c r="I326" s="488"/>
      <c r="J326" s="464"/>
      <c r="K326" s="466"/>
      <c r="V326" s="39"/>
    </row>
    <row r="327" spans="1:22" x14ac:dyDescent="0.25">
      <c r="A327" s="43" t="s">
        <v>4</v>
      </c>
      <c r="B327" s="24"/>
      <c r="C327" s="4"/>
      <c r="D327" s="4"/>
      <c r="E327" s="4"/>
      <c r="F327" s="8">
        <f>SUM(F307:F326)</f>
        <v>2733.86</v>
      </c>
      <c r="G327" s="8"/>
      <c r="H327" s="8"/>
      <c r="I327" s="8">
        <f>K307+K311+K315+K319+K323</f>
        <v>3065.9500000000003</v>
      </c>
      <c r="J327" s="8">
        <f>J323+J319+J315+J311+J307</f>
        <v>332.11</v>
      </c>
      <c r="K327" s="46"/>
      <c r="V327" s="39"/>
    </row>
    <row r="328" spans="1:22" x14ac:dyDescent="0.25">
      <c r="A328" s="37"/>
      <c r="F328" s="18">
        <f>I327/F327</f>
        <v>1.121472935702633</v>
      </c>
      <c r="I328" s="45"/>
      <c r="J328" s="9">
        <f>(J307+J311+J315+J319+J323)/I327</f>
        <v>0.10832205352337775</v>
      </c>
      <c r="K328" s="46"/>
      <c r="V328" s="39"/>
    </row>
    <row r="329" spans="1:22" x14ac:dyDescent="0.25">
      <c r="A329" s="37"/>
      <c r="V329" s="39"/>
    </row>
    <row r="330" spans="1:22" x14ac:dyDescent="0.25">
      <c r="A330" s="37"/>
      <c r="V330" s="39"/>
    </row>
    <row r="331" spans="1:22" ht="18.75" x14ac:dyDescent="0.3">
      <c r="A331" s="457" t="s">
        <v>32</v>
      </c>
      <c r="B331" s="458"/>
      <c r="C331" s="458"/>
      <c r="D331" s="458"/>
      <c r="E331" s="458"/>
      <c r="F331" s="458"/>
      <c r="G331" s="458"/>
      <c r="H331" s="458"/>
      <c r="I331" s="458"/>
      <c r="J331" s="458"/>
      <c r="K331" s="40"/>
      <c r="V331" s="39"/>
    </row>
    <row r="332" spans="1:22" ht="30" x14ac:dyDescent="0.25">
      <c r="A332" s="41" t="s">
        <v>9</v>
      </c>
      <c r="B332" s="23" t="s">
        <v>7</v>
      </c>
      <c r="C332" s="2" t="s">
        <v>8</v>
      </c>
      <c r="D332" s="2" t="s">
        <v>10</v>
      </c>
      <c r="E332" s="1" t="s">
        <v>2</v>
      </c>
      <c r="F332" s="19" t="s">
        <v>3</v>
      </c>
      <c r="G332" s="19" t="s">
        <v>5</v>
      </c>
      <c r="H332" s="19" t="s">
        <v>57</v>
      </c>
      <c r="I332" s="28" t="s">
        <v>6</v>
      </c>
      <c r="J332" s="28" t="s">
        <v>1</v>
      </c>
      <c r="K332" s="40"/>
      <c r="V332" s="39"/>
    </row>
    <row r="333" spans="1:22" x14ac:dyDescent="0.25">
      <c r="A333" s="478" t="s">
        <v>33</v>
      </c>
      <c r="B333" s="482" t="s">
        <v>47</v>
      </c>
      <c r="C333" s="485" t="s">
        <v>49</v>
      </c>
      <c r="D333" s="485">
        <v>0</v>
      </c>
      <c r="E333" s="3">
        <f>[5]B2!E62</f>
        <v>1</v>
      </c>
      <c r="F333" s="3">
        <f>[5]B2!F62</f>
        <v>95.254000000000005</v>
      </c>
      <c r="G333" s="5">
        <f>[5]B2!G62</f>
        <v>105.54728263471846</v>
      </c>
      <c r="H333" s="77">
        <v>61.845599999999997</v>
      </c>
      <c r="I333" s="486">
        <f>SUM(G333:G352)</f>
        <v>3405.5059999999989</v>
      </c>
      <c r="J333" s="462">
        <f>[5]B2!I62</f>
        <v>99.266000000000005</v>
      </c>
      <c r="K333" s="455">
        <f>[5]B2!J62</f>
        <v>685.9</v>
      </c>
      <c r="V333" s="39"/>
    </row>
    <row r="334" spans="1:22" x14ac:dyDescent="0.25">
      <c r="A334" s="479"/>
      <c r="B334" s="483"/>
      <c r="C334" s="460"/>
      <c r="D334" s="460"/>
      <c r="E334" s="3">
        <f>[5]B2!E63</f>
        <v>2</v>
      </c>
      <c r="F334" s="3">
        <f>[5]B2!F63</f>
        <v>162.82599999999999</v>
      </c>
      <c r="G334" s="5">
        <f>[5]B2!G63</f>
        <v>180.42120900204364</v>
      </c>
      <c r="H334" s="77">
        <v>77.610299999999995</v>
      </c>
      <c r="I334" s="487"/>
      <c r="J334" s="463"/>
      <c r="K334" s="455"/>
      <c r="V334" s="39"/>
    </row>
    <row r="335" spans="1:22" x14ac:dyDescent="0.25">
      <c r="A335" s="479"/>
      <c r="B335" s="483"/>
      <c r="C335" s="460"/>
      <c r="D335" s="460"/>
      <c r="E335" s="3">
        <f>[5]B2!E64</f>
        <v>3</v>
      </c>
      <c r="F335" s="3">
        <f>[5]B2!F64</f>
        <v>183.887</v>
      </c>
      <c r="G335" s="5">
        <f>[5]B2!G64</f>
        <v>203.75809059830002</v>
      </c>
      <c r="H335" s="77">
        <v>61.527700000000003</v>
      </c>
      <c r="I335" s="487"/>
      <c r="J335" s="463"/>
      <c r="K335" s="455"/>
      <c r="V335" s="39"/>
    </row>
    <row r="336" spans="1:22" ht="15.75" thickBot="1" x14ac:dyDescent="0.3">
      <c r="A336" s="479"/>
      <c r="B336" s="483"/>
      <c r="C336" s="460"/>
      <c r="D336" s="461"/>
      <c r="E336" s="6">
        <f>[5]B2!E65</f>
        <v>4</v>
      </c>
      <c r="F336" s="6">
        <f>[5]B2!F65</f>
        <v>144.66</v>
      </c>
      <c r="G336" s="7">
        <f>[5]B2!G65</f>
        <v>160.29216522076101</v>
      </c>
      <c r="H336" s="77">
        <v>79.64</v>
      </c>
      <c r="I336" s="487"/>
      <c r="J336" s="464"/>
      <c r="K336" s="456"/>
      <c r="L336" s="14"/>
      <c r="V336" s="39"/>
    </row>
    <row r="337" spans="1:22" ht="15" customHeight="1" x14ac:dyDescent="0.25">
      <c r="A337" s="479"/>
      <c r="B337" s="483"/>
      <c r="C337" s="460"/>
      <c r="D337" s="459">
        <v>1</v>
      </c>
      <c r="E337" s="72">
        <f>[5]B2!E66</f>
        <v>1</v>
      </c>
      <c r="F337" s="72">
        <f>[5]B2!F66</f>
        <v>96.311000000000007</v>
      </c>
      <c r="G337" s="73">
        <f>[5]B2!G66</f>
        <v>106.71850355714584</v>
      </c>
      <c r="H337" s="69"/>
      <c r="I337" s="487"/>
      <c r="J337" s="462">
        <f>[5]B2!I66</f>
        <v>73.486999999999995</v>
      </c>
      <c r="K337" s="455">
        <f>[5]B2!J66</f>
        <v>657.67399999999998</v>
      </c>
      <c r="L337" s="17"/>
      <c r="V337" s="39"/>
    </row>
    <row r="338" spans="1:22" ht="15" customHeight="1" x14ac:dyDescent="0.25">
      <c r="A338" s="479"/>
      <c r="B338" s="483"/>
      <c r="C338" s="460"/>
      <c r="D338" s="460"/>
      <c r="E338" s="3">
        <f>[5]B2!E67</f>
        <v>2</v>
      </c>
      <c r="F338" s="3">
        <f>[5]B2!F67</f>
        <v>162.57599999999999</v>
      </c>
      <c r="G338" s="5">
        <f>[5]B2!G67</f>
        <v>180.14419364669186</v>
      </c>
      <c r="H338" s="69"/>
      <c r="I338" s="487"/>
      <c r="J338" s="463"/>
      <c r="K338" s="455"/>
      <c r="L338" s="17"/>
      <c r="V338" s="39"/>
    </row>
    <row r="339" spans="1:22" ht="15" customHeight="1" x14ac:dyDescent="0.25">
      <c r="A339" s="479"/>
      <c r="B339" s="483"/>
      <c r="C339" s="460"/>
      <c r="D339" s="460"/>
      <c r="E339" s="3">
        <f>[5]B2!E68</f>
        <v>3</v>
      </c>
      <c r="F339" s="3">
        <f>[5]B2!F68</f>
        <v>183.637</v>
      </c>
      <c r="G339" s="5">
        <f>[5]B2!G68</f>
        <v>203.48107524294824</v>
      </c>
      <c r="H339" s="69"/>
      <c r="I339" s="487"/>
      <c r="J339" s="463"/>
      <c r="K339" s="455"/>
      <c r="L339" s="16"/>
      <c r="R339" s="18"/>
      <c r="V339" s="39"/>
    </row>
    <row r="340" spans="1:22" ht="15.75" customHeight="1" thickBot="1" x14ac:dyDescent="0.3">
      <c r="A340" s="479"/>
      <c r="B340" s="483"/>
      <c r="C340" s="460"/>
      <c r="D340" s="461"/>
      <c r="E340" s="6">
        <f>[5]B2!E69</f>
        <v>4</v>
      </c>
      <c r="F340" s="6">
        <f>[5]B2!F69</f>
        <v>141.66300000000001</v>
      </c>
      <c r="G340" s="7">
        <f>[5]B2!G69</f>
        <v>156.97130514080374</v>
      </c>
      <c r="H340" s="69"/>
      <c r="I340" s="487"/>
      <c r="J340" s="464"/>
      <c r="K340" s="456"/>
      <c r="L340" s="15"/>
      <c r="V340" s="39"/>
    </row>
    <row r="341" spans="1:22" ht="15" customHeight="1" x14ac:dyDescent="0.25">
      <c r="A341" s="479"/>
      <c r="B341" s="483"/>
      <c r="C341" s="460"/>
      <c r="D341" s="459">
        <v>2</v>
      </c>
      <c r="E341" s="72">
        <f>[5]B2!E70</f>
        <v>1</v>
      </c>
      <c r="F341" s="72">
        <f>[5]B2!F70</f>
        <v>141.22499999999999</v>
      </c>
      <c r="G341" s="73">
        <f>[5]B2!G70</f>
        <v>156.48597423822739</v>
      </c>
      <c r="H341" s="69"/>
      <c r="I341" s="487"/>
      <c r="J341" s="462">
        <f>[5]B2!I70</f>
        <v>53.119</v>
      </c>
      <c r="K341" s="455">
        <f>[5]B2!J70</f>
        <v>692.64</v>
      </c>
      <c r="V341" s="39"/>
    </row>
    <row r="342" spans="1:22" ht="15" customHeight="1" x14ac:dyDescent="0.25">
      <c r="A342" s="479"/>
      <c r="B342" s="483"/>
      <c r="C342" s="460"/>
      <c r="D342" s="460"/>
      <c r="E342" s="3">
        <f>[5]B2!E71</f>
        <v>2</v>
      </c>
      <c r="F342" s="3">
        <f>[5]B2!F71</f>
        <v>167.214</v>
      </c>
      <c r="G342" s="5">
        <f>[5]B2!G71</f>
        <v>185.2833825191783</v>
      </c>
      <c r="H342" s="69"/>
      <c r="I342" s="487"/>
      <c r="J342" s="463"/>
      <c r="K342" s="455"/>
      <c r="V342" s="39"/>
    </row>
    <row r="343" spans="1:22" ht="15" customHeight="1" x14ac:dyDescent="0.25">
      <c r="A343" s="479"/>
      <c r="B343" s="483"/>
      <c r="C343" s="460"/>
      <c r="D343" s="460"/>
      <c r="E343" s="3">
        <f>[5]B2!E72</f>
        <v>3</v>
      </c>
      <c r="F343" s="3">
        <f>[5]B2!F72</f>
        <v>187.10300000000001</v>
      </c>
      <c r="G343" s="5">
        <f>[5]B2!G72</f>
        <v>207.3216161295455</v>
      </c>
      <c r="H343" s="69"/>
      <c r="I343" s="487"/>
      <c r="J343" s="463"/>
      <c r="K343" s="455"/>
      <c r="V343" s="39"/>
    </row>
    <row r="344" spans="1:22" ht="15.75" customHeight="1" thickBot="1" x14ac:dyDescent="0.3">
      <c r="A344" s="479"/>
      <c r="B344" s="483"/>
      <c r="C344" s="460"/>
      <c r="D344" s="461"/>
      <c r="E344" s="6">
        <f>[5]B2!E73</f>
        <v>4</v>
      </c>
      <c r="F344" s="6">
        <f>[5]B2!F73</f>
        <v>143.989</v>
      </c>
      <c r="G344" s="7">
        <f>[5]B2!G73</f>
        <v>159.54865600699682</v>
      </c>
      <c r="H344" s="69"/>
      <c r="I344" s="487"/>
      <c r="J344" s="464"/>
      <c r="K344" s="456"/>
      <c r="V344" s="39"/>
    </row>
    <row r="345" spans="1:22" ht="15" customHeight="1" x14ac:dyDescent="0.25">
      <c r="A345" s="479"/>
      <c r="B345" s="483"/>
      <c r="C345" s="460"/>
      <c r="D345" s="459">
        <v>3</v>
      </c>
      <c r="E345" s="72">
        <f>[5]B2!E74</f>
        <v>1</v>
      </c>
      <c r="F345" s="72">
        <f>[5]B2!F74</f>
        <v>141.131</v>
      </c>
      <c r="G345" s="73">
        <f>[5]B2!G74</f>
        <v>156.38181646461513</v>
      </c>
      <c r="H345" s="69"/>
      <c r="I345" s="487"/>
      <c r="J345" s="462">
        <f>[5]B2!I74</f>
        <v>53.12</v>
      </c>
      <c r="K345" s="455">
        <f>[5]B2!J74</f>
        <v>689.822</v>
      </c>
      <c r="V345" s="39"/>
    </row>
    <row r="346" spans="1:22" ht="15" customHeight="1" x14ac:dyDescent="0.25">
      <c r="A346" s="479"/>
      <c r="B346" s="483"/>
      <c r="C346" s="460"/>
      <c r="D346" s="460"/>
      <c r="E346" s="3">
        <f>[5]B2!E75</f>
        <v>2</v>
      </c>
      <c r="F346" s="3">
        <f>[5]B2!F75</f>
        <v>164.43600000000001</v>
      </c>
      <c r="G346" s="5">
        <f>[5]B2!G75</f>
        <v>182.20518789050919</v>
      </c>
      <c r="H346" s="69"/>
      <c r="I346" s="487"/>
      <c r="J346" s="463"/>
      <c r="K346" s="455"/>
      <c r="V346" s="39"/>
    </row>
    <row r="347" spans="1:22" ht="15" customHeight="1" x14ac:dyDescent="0.25">
      <c r="A347" s="479"/>
      <c r="B347" s="483"/>
      <c r="C347" s="460"/>
      <c r="D347" s="460"/>
      <c r="E347" s="3">
        <f>[5]B2!E76</f>
        <v>3</v>
      </c>
      <c r="F347" s="3">
        <f>[5]B2!F76</f>
        <v>187.20400000000001</v>
      </c>
      <c r="G347" s="5">
        <f>[5]B2!G76</f>
        <v>207.43353033310763</v>
      </c>
      <c r="H347" s="69"/>
      <c r="I347" s="487"/>
      <c r="J347" s="463"/>
      <c r="K347" s="455"/>
      <c r="V347" s="39"/>
    </row>
    <row r="348" spans="1:22" ht="15.75" customHeight="1" thickBot="1" x14ac:dyDescent="0.3">
      <c r="A348" s="479"/>
      <c r="B348" s="483"/>
      <c r="C348" s="460"/>
      <c r="D348" s="461"/>
      <c r="E348" s="6">
        <f>[5]B2!E77</f>
        <v>4</v>
      </c>
      <c r="F348" s="6">
        <f>[5]B2!F77</f>
        <v>143.911</v>
      </c>
      <c r="G348" s="7">
        <f>[5]B2!G77</f>
        <v>159.46222721612705</v>
      </c>
      <c r="H348" s="69"/>
      <c r="I348" s="487"/>
      <c r="J348" s="464"/>
      <c r="K348" s="456"/>
      <c r="V348" s="39"/>
    </row>
    <row r="349" spans="1:22" ht="15" customHeight="1" x14ac:dyDescent="0.25">
      <c r="A349" s="479"/>
      <c r="B349" s="483"/>
      <c r="C349" s="460"/>
      <c r="D349" s="459">
        <v>4</v>
      </c>
      <c r="E349" s="70">
        <f>[5]B2!E78</f>
        <v>1</v>
      </c>
      <c r="F349" s="70">
        <f>[5]B2!F78</f>
        <v>139.16499999999999</v>
      </c>
      <c r="G349" s="65">
        <f>[5]B2!G78</f>
        <v>154.20336771012862</v>
      </c>
      <c r="H349" s="69"/>
      <c r="I349" s="487"/>
      <c r="J349" s="462">
        <f>[5]B2!I78</f>
        <v>53.12</v>
      </c>
      <c r="K349" s="455">
        <f>[5]B2!J78</f>
        <v>679.47</v>
      </c>
      <c r="V349" s="39"/>
    </row>
    <row r="350" spans="1:22" ht="15" customHeight="1" x14ac:dyDescent="0.25">
      <c r="A350" s="479"/>
      <c r="B350" s="483"/>
      <c r="C350" s="460"/>
      <c r="D350" s="460"/>
      <c r="E350" s="3">
        <f>[5]B2!E79</f>
        <v>2</v>
      </c>
      <c r="F350" s="3">
        <f>[5]B2!F79</f>
        <v>162.69999999999999</v>
      </c>
      <c r="G350" s="5">
        <f>[5]B2!G79</f>
        <v>180.28159326294633</v>
      </c>
      <c r="H350" s="69"/>
      <c r="I350" s="487"/>
      <c r="J350" s="463"/>
      <c r="K350" s="455"/>
      <c r="V350" s="39"/>
    </row>
    <row r="351" spans="1:22" ht="15" customHeight="1" x14ac:dyDescent="0.25">
      <c r="A351" s="479"/>
      <c r="B351" s="483"/>
      <c r="C351" s="460"/>
      <c r="D351" s="460"/>
      <c r="E351" s="3">
        <f>[5]B2!E80</f>
        <v>3</v>
      </c>
      <c r="F351" s="3">
        <f>[5]B2!F80</f>
        <v>182.57</v>
      </c>
      <c r="G351" s="5">
        <f>[5]B2!G80</f>
        <v>202.29877370630678</v>
      </c>
      <c r="H351" s="69"/>
      <c r="I351" s="487"/>
      <c r="J351" s="463"/>
      <c r="K351" s="455"/>
      <c r="V351" s="39"/>
    </row>
    <row r="352" spans="1:22" ht="15.75" customHeight="1" thickBot="1" x14ac:dyDescent="0.3">
      <c r="A352" s="480"/>
      <c r="B352" s="484"/>
      <c r="C352" s="476"/>
      <c r="D352" s="476"/>
      <c r="E352" s="3">
        <f>[5]B2!E81</f>
        <v>4</v>
      </c>
      <c r="F352" s="3">
        <f>[5]B2!F81</f>
        <v>141.929</v>
      </c>
      <c r="G352" s="5">
        <f>[5]B2!G81</f>
        <v>157.26604947889805</v>
      </c>
      <c r="H352" s="70"/>
      <c r="I352" s="488"/>
      <c r="J352" s="464"/>
      <c r="K352" s="456"/>
      <c r="V352" s="39"/>
    </row>
    <row r="353" spans="1:22" x14ac:dyDescent="0.25">
      <c r="A353" s="43" t="s">
        <v>4</v>
      </c>
      <c r="B353" s="24"/>
      <c r="C353" s="4"/>
      <c r="D353" s="4"/>
      <c r="E353" s="4"/>
      <c r="F353" s="8">
        <f>SUM(F333:F352)</f>
        <v>3073.3910000000005</v>
      </c>
      <c r="G353" s="8"/>
      <c r="H353" s="8"/>
      <c r="I353" s="8">
        <f>K333+K337+K341+K345+K349</f>
        <v>3405.5060000000003</v>
      </c>
      <c r="J353" s="8">
        <f>J349+J345+J341+J337+J333</f>
        <v>332.11199999999997</v>
      </c>
      <c r="K353" s="40"/>
      <c r="V353" s="39"/>
    </row>
    <row r="354" spans="1:22" x14ac:dyDescent="0.25">
      <c r="A354" s="37"/>
      <c r="F354" s="18">
        <f>I353/F353</f>
        <v>1.1080614214071687</v>
      </c>
      <c r="I354" s="45"/>
      <c r="J354" s="9">
        <f>(J333+J337+J341+J345+J349)/I353</f>
        <v>9.7522071609916397E-2</v>
      </c>
      <c r="K354" s="40"/>
      <c r="V354" s="39"/>
    </row>
    <row r="355" spans="1:22" x14ac:dyDescent="0.25">
      <c r="A355" s="37"/>
      <c r="V355" s="39"/>
    </row>
    <row r="356" spans="1:22" x14ac:dyDescent="0.25">
      <c r="A356" s="37"/>
      <c r="V356" s="39"/>
    </row>
    <row r="357" spans="1:22" ht="15.75" thickBot="1" x14ac:dyDescent="0.3">
      <c r="A357" s="47"/>
      <c r="B357" s="48"/>
      <c r="C357" s="49"/>
      <c r="D357" s="49"/>
      <c r="E357" s="49"/>
      <c r="F357" s="50"/>
      <c r="G357" s="50"/>
      <c r="H357" s="50"/>
      <c r="I357" s="50"/>
      <c r="J357" s="50"/>
      <c r="K357" s="50"/>
      <c r="L357" s="49"/>
      <c r="M357" s="49"/>
      <c r="N357" s="49"/>
      <c r="O357" s="49"/>
      <c r="P357" s="49"/>
      <c r="Q357" s="49"/>
      <c r="R357" s="49"/>
      <c r="S357" s="49"/>
      <c r="T357" s="49"/>
      <c r="U357" s="49"/>
      <c r="V357" s="51"/>
    </row>
    <row r="359" spans="1:22" ht="15.75" thickBot="1" x14ac:dyDescent="0.3"/>
    <row r="360" spans="1:22" x14ac:dyDescent="0.25">
      <c r="A360" s="31"/>
      <c r="B360" s="32"/>
      <c r="C360" s="33"/>
      <c r="D360" s="33"/>
      <c r="E360" s="33"/>
      <c r="F360" s="34"/>
      <c r="G360" s="34"/>
      <c r="H360" s="34"/>
      <c r="I360" s="34"/>
      <c r="J360" s="34"/>
      <c r="K360" s="34"/>
      <c r="L360" s="33"/>
      <c r="M360" s="33"/>
      <c r="N360" s="33"/>
      <c r="O360" s="33"/>
      <c r="P360" s="33"/>
      <c r="Q360" s="33"/>
      <c r="R360" s="33"/>
      <c r="S360" s="33"/>
      <c r="T360" s="33"/>
      <c r="U360" s="33"/>
      <c r="V360" s="36"/>
    </row>
    <row r="361" spans="1:22" x14ac:dyDescent="0.25">
      <c r="A361" s="37"/>
      <c r="L361" s="52" t="s">
        <v>0</v>
      </c>
      <c r="M361" s="497" t="s">
        <v>51</v>
      </c>
      <c r="N361" s="497"/>
      <c r="O361" s="497"/>
      <c r="Q361" s="477"/>
      <c r="R361" s="477"/>
      <c r="S361" s="59"/>
      <c r="V361" s="39"/>
    </row>
    <row r="362" spans="1:22" x14ac:dyDescent="0.25">
      <c r="A362" s="37"/>
      <c r="L362" s="38" t="s">
        <v>14</v>
      </c>
      <c r="M362" s="477" t="s">
        <v>12</v>
      </c>
      <c r="N362" s="477"/>
      <c r="O362" s="477" t="s">
        <v>12</v>
      </c>
      <c r="P362" s="477"/>
      <c r="Q362" s="477" t="s">
        <v>12</v>
      </c>
      <c r="R362" s="477"/>
      <c r="S362" s="59"/>
      <c r="V362" s="39"/>
    </row>
    <row r="363" spans="1:22" x14ac:dyDescent="0.25">
      <c r="A363" s="37"/>
      <c r="L363" s="38"/>
      <c r="S363" s="59"/>
      <c r="V363" s="39"/>
    </row>
    <row r="364" spans="1:22" x14ac:dyDescent="0.25">
      <c r="A364" s="37"/>
      <c r="L364" s="499" t="s">
        <v>11</v>
      </c>
      <c r="M364" s="21">
        <v>3</v>
      </c>
      <c r="N364" s="21">
        <v>2</v>
      </c>
      <c r="O364" s="20">
        <v>3</v>
      </c>
      <c r="P364" s="20">
        <v>2</v>
      </c>
      <c r="Q364" s="21">
        <v>3</v>
      </c>
      <c r="R364" s="21">
        <v>2</v>
      </c>
      <c r="S364" s="59"/>
      <c r="V364" s="39"/>
    </row>
    <row r="365" spans="1:22" x14ac:dyDescent="0.25">
      <c r="A365" s="37"/>
      <c r="L365" s="499"/>
      <c r="M365" s="21">
        <v>4</v>
      </c>
      <c r="N365" s="21">
        <v>1</v>
      </c>
      <c r="O365" s="20">
        <v>4</v>
      </c>
      <c r="P365" s="20">
        <v>1</v>
      </c>
      <c r="Q365" s="21">
        <v>4</v>
      </c>
      <c r="R365" s="21">
        <v>1</v>
      </c>
      <c r="S365" s="59"/>
      <c r="V365" s="39"/>
    </row>
    <row r="366" spans="1:22" x14ac:dyDescent="0.25">
      <c r="A366" s="37"/>
      <c r="L366" s="38"/>
      <c r="S366" s="59"/>
      <c r="V366" s="39"/>
    </row>
    <row r="367" spans="1:22" x14ac:dyDescent="0.25">
      <c r="A367" s="37"/>
      <c r="L367" s="38" t="s">
        <v>14</v>
      </c>
      <c r="M367" s="477" t="s">
        <v>13</v>
      </c>
      <c r="N367" s="477"/>
      <c r="O367" s="477" t="s">
        <v>13</v>
      </c>
      <c r="P367" s="477"/>
      <c r="Q367" s="477" t="s">
        <v>13</v>
      </c>
      <c r="R367" s="477"/>
      <c r="S367" s="59"/>
      <c r="V367" s="39"/>
    </row>
    <row r="368" spans="1:22" ht="18.75" x14ac:dyDescent="0.3">
      <c r="A368" s="457" t="s">
        <v>32</v>
      </c>
      <c r="B368" s="458"/>
      <c r="C368" s="458"/>
      <c r="D368" s="458"/>
      <c r="E368" s="458"/>
      <c r="F368" s="458"/>
      <c r="G368" s="458"/>
      <c r="H368" s="458"/>
      <c r="I368" s="458"/>
      <c r="J368" s="458"/>
      <c r="K368" s="40"/>
      <c r="M368" s="477"/>
      <c r="N368" s="477"/>
      <c r="O368" s="477"/>
      <c r="P368" s="477"/>
      <c r="S368" s="59"/>
      <c r="V368" s="39"/>
    </row>
    <row r="369" spans="1:22" ht="30" x14ac:dyDescent="0.25">
      <c r="A369" s="41" t="s">
        <v>9</v>
      </c>
      <c r="B369" s="23" t="s">
        <v>7</v>
      </c>
      <c r="C369" s="2" t="s">
        <v>8</v>
      </c>
      <c r="D369" s="2" t="s">
        <v>10</v>
      </c>
      <c r="E369" s="1" t="s">
        <v>2</v>
      </c>
      <c r="F369" s="19" t="s">
        <v>3</v>
      </c>
      <c r="G369" s="19" t="s">
        <v>5</v>
      </c>
      <c r="H369" s="19" t="s">
        <v>57</v>
      </c>
      <c r="I369" s="28" t="s">
        <v>6</v>
      </c>
      <c r="J369" s="28" t="s">
        <v>1</v>
      </c>
      <c r="K369" s="40"/>
      <c r="S369" s="59"/>
      <c r="V369" s="39"/>
    </row>
    <row r="370" spans="1:22" x14ac:dyDescent="0.25">
      <c r="A370" s="478" t="s">
        <v>33</v>
      </c>
      <c r="B370" s="482" t="s">
        <v>50</v>
      </c>
      <c r="C370" s="485" t="s">
        <v>52</v>
      </c>
      <c r="D370" s="485">
        <v>0</v>
      </c>
      <c r="E370" s="3">
        <f>E281</f>
        <v>1</v>
      </c>
      <c r="F370" s="3">
        <f>F281</f>
        <v>144.66300000000001</v>
      </c>
      <c r="G370" s="5">
        <f>G281</f>
        <v>160.2974096687947</v>
      </c>
      <c r="H370" s="76">
        <v>84.046400000000006</v>
      </c>
      <c r="I370" s="486">
        <f>SUM(G370:G389)</f>
        <v>3405.067</v>
      </c>
      <c r="J370" s="462">
        <f>J281</f>
        <v>99.266000000000005</v>
      </c>
      <c r="K370" s="455">
        <f>K281</f>
        <v>685.81200000000001</v>
      </c>
      <c r="L370" s="42"/>
      <c r="V370" s="39"/>
    </row>
    <row r="371" spans="1:22" x14ac:dyDescent="0.25">
      <c r="A371" s="479"/>
      <c r="B371" s="483"/>
      <c r="C371" s="460"/>
      <c r="D371" s="460"/>
      <c r="E371" s="3">
        <f t="shared" ref="E371:G389" si="0">E282</f>
        <v>2</v>
      </c>
      <c r="F371" s="3">
        <f t="shared" si="0"/>
        <v>183.887</v>
      </c>
      <c r="G371" s="5">
        <f t="shared" si="0"/>
        <v>203.76053152337258</v>
      </c>
      <c r="H371" s="76">
        <v>61.522199999999998</v>
      </c>
      <c r="I371" s="487"/>
      <c r="J371" s="463"/>
      <c r="K371" s="455"/>
      <c r="L371" s="42"/>
      <c r="V371" s="39"/>
    </row>
    <row r="372" spans="1:22" x14ac:dyDescent="0.25">
      <c r="A372" s="479"/>
      <c r="B372" s="483"/>
      <c r="C372" s="460"/>
      <c r="D372" s="460"/>
      <c r="E372" s="3">
        <f t="shared" si="0"/>
        <v>3</v>
      </c>
      <c r="F372" s="3">
        <f t="shared" si="0"/>
        <v>162.78100000000001</v>
      </c>
      <c r="G372" s="5">
        <f t="shared" si="0"/>
        <v>180.37350700107191</v>
      </c>
      <c r="H372" s="76">
        <v>77.576999999999998</v>
      </c>
      <c r="I372" s="487"/>
      <c r="J372" s="463"/>
      <c r="K372" s="455"/>
      <c r="L372" s="42"/>
      <c r="V372" s="39"/>
    </row>
    <row r="373" spans="1:22" ht="15.75" thickBot="1" x14ac:dyDescent="0.3">
      <c r="A373" s="479"/>
      <c r="B373" s="483"/>
      <c r="C373" s="460"/>
      <c r="D373" s="461"/>
      <c r="E373" s="6">
        <f t="shared" si="0"/>
        <v>4</v>
      </c>
      <c r="F373" s="6">
        <f t="shared" si="0"/>
        <v>95.213999999999999</v>
      </c>
      <c r="G373" s="7">
        <f t="shared" si="0"/>
        <v>105.50422405317612</v>
      </c>
      <c r="H373" s="76">
        <v>63.702300000000001</v>
      </c>
      <c r="I373" s="487"/>
      <c r="J373" s="464"/>
      <c r="K373" s="456"/>
      <c r="L373" s="42"/>
      <c r="V373" s="39"/>
    </row>
    <row r="374" spans="1:22" ht="15" customHeight="1" x14ac:dyDescent="0.25">
      <c r="A374" s="479"/>
      <c r="B374" s="483"/>
      <c r="C374" s="460"/>
      <c r="D374" s="459">
        <v>1</v>
      </c>
      <c r="E374" s="72">
        <f t="shared" si="0"/>
        <v>1</v>
      </c>
      <c r="F374" s="72">
        <f t="shared" si="0"/>
        <v>141.66300000000001</v>
      </c>
      <c r="G374" s="73">
        <f t="shared" si="0"/>
        <v>156.9731855824258</v>
      </c>
      <c r="H374" s="69"/>
      <c r="I374" s="487"/>
      <c r="J374" s="462">
        <f>J285</f>
        <v>73.486999999999995</v>
      </c>
      <c r="K374" s="455">
        <f>K285</f>
        <v>657.59</v>
      </c>
      <c r="L374" s="56"/>
      <c r="V374" s="39"/>
    </row>
    <row r="375" spans="1:22" ht="15" customHeight="1" x14ac:dyDescent="0.25">
      <c r="A375" s="479"/>
      <c r="B375" s="483"/>
      <c r="C375" s="460"/>
      <c r="D375" s="460"/>
      <c r="E375" s="3">
        <f t="shared" si="0"/>
        <v>2</v>
      </c>
      <c r="F375" s="3">
        <f t="shared" si="0"/>
        <v>183.637</v>
      </c>
      <c r="G375" s="5">
        <f t="shared" si="0"/>
        <v>203.48351284950851</v>
      </c>
      <c r="H375" s="69"/>
      <c r="I375" s="487"/>
      <c r="J375" s="463"/>
      <c r="K375" s="455"/>
      <c r="L375" s="56"/>
      <c r="V375" s="39"/>
    </row>
    <row r="376" spans="1:22" ht="15" customHeight="1" x14ac:dyDescent="0.25">
      <c r="A376" s="479"/>
      <c r="B376" s="483"/>
      <c r="C376" s="460"/>
      <c r="D376" s="460"/>
      <c r="E376" s="3">
        <f t="shared" si="0"/>
        <v>3</v>
      </c>
      <c r="F376" s="3">
        <f t="shared" si="0"/>
        <v>162.53100000000001</v>
      </c>
      <c r="G376" s="5">
        <f t="shared" si="0"/>
        <v>180.09648832720785</v>
      </c>
      <c r="H376" s="69"/>
      <c r="I376" s="487"/>
      <c r="J376" s="463"/>
      <c r="K376" s="455"/>
      <c r="L376" s="57"/>
      <c r="V376" s="39"/>
    </row>
    <row r="377" spans="1:22" ht="15.75" customHeight="1" thickBot="1" x14ac:dyDescent="0.3">
      <c r="A377" s="479"/>
      <c r="B377" s="483"/>
      <c r="C377" s="460"/>
      <c r="D377" s="461"/>
      <c r="E377" s="6">
        <f t="shared" si="0"/>
        <v>4</v>
      </c>
      <c r="F377" s="6">
        <f t="shared" si="0"/>
        <v>96.271000000000001</v>
      </c>
      <c r="G377" s="7">
        <f t="shared" si="0"/>
        <v>106.67545900627343</v>
      </c>
      <c r="H377" s="69"/>
      <c r="I377" s="487"/>
      <c r="J377" s="464"/>
      <c r="K377" s="456"/>
      <c r="L377" s="58"/>
      <c r="V377" s="39"/>
    </row>
    <row r="378" spans="1:22" ht="15" customHeight="1" x14ac:dyDescent="0.25">
      <c r="A378" s="479"/>
      <c r="B378" s="483"/>
      <c r="C378" s="460"/>
      <c r="D378" s="459">
        <v>2</v>
      </c>
      <c r="E378" s="72">
        <f t="shared" si="0"/>
        <v>1</v>
      </c>
      <c r="F378" s="72">
        <f t="shared" si="0"/>
        <v>143.989</v>
      </c>
      <c r="G378" s="73">
        <f t="shared" si="0"/>
        <v>159.55056732405714</v>
      </c>
      <c r="H378" s="69"/>
      <c r="I378" s="487"/>
      <c r="J378" s="462">
        <f>J289</f>
        <v>53.119</v>
      </c>
      <c r="K378" s="455">
        <f>K289</f>
        <v>692.56700000000001</v>
      </c>
      <c r="L378" s="42"/>
      <c r="V378" s="39"/>
    </row>
    <row r="379" spans="1:22" ht="15" customHeight="1" x14ac:dyDescent="0.25">
      <c r="A379" s="479"/>
      <c r="B379" s="483"/>
      <c r="C379" s="460"/>
      <c r="D379" s="460"/>
      <c r="E379" s="3">
        <f t="shared" si="0"/>
        <v>2</v>
      </c>
      <c r="F379" s="3">
        <f t="shared" si="0"/>
        <v>187.1</v>
      </c>
      <c r="G379" s="5">
        <f t="shared" si="0"/>
        <v>207.32077551987365</v>
      </c>
      <c r="H379" s="69"/>
      <c r="I379" s="487"/>
      <c r="J379" s="463"/>
      <c r="K379" s="455"/>
      <c r="L379" s="42"/>
      <c r="V379" s="39"/>
    </row>
    <row r="380" spans="1:22" ht="15" customHeight="1" x14ac:dyDescent="0.25">
      <c r="A380" s="479"/>
      <c r="B380" s="483"/>
      <c r="C380" s="460"/>
      <c r="D380" s="460"/>
      <c r="E380" s="3">
        <f t="shared" si="0"/>
        <v>3</v>
      </c>
      <c r="F380" s="3">
        <f t="shared" si="0"/>
        <v>167.16900000000001</v>
      </c>
      <c r="G380" s="5">
        <f t="shared" si="0"/>
        <v>185.23573876473418</v>
      </c>
      <c r="H380" s="69"/>
      <c r="I380" s="487"/>
      <c r="J380" s="463"/>
      <c r="K380" s="455"/>
      <c r="L380" s="42"/>
      <c r="V380" s="39"/>
    </row>
    <row r="381" spans="1:22" ht="15.75" customHeight="1" thickBot="1" x14ac:dyDescent="0.3">
      <c r="A381" s="479"/>
      <c r="B381" s="483"/>
      <c r="C381" s="460"/>
      <c r="D381" s="461"/>
      <c r="E381" s="6">
        <f t="shared" si="0"/>
        <v>4</v>
      </c>
      <c r="F381" s="6">
        <f t="shared" si="0"/>
        <v>141.18700000000001</v>
      </c>
      <c r="G381" s="7">
        <f t="shared" si="0"/>
        <v>156.4457420273886</v>
      </c>
      <c r="H381" s="69"/>
      <c r="I381" s="487"/>
      <c r="J381" s="464"/>
      <c r="K381" s="456"/>
      <c r="L381" s="42"/>
      <c r="Q381" s="18"/>
      <c r="V381" s="39"/>
    </row>
    <row r="382" spans="1:22" ht="15" customHeight="1" x14ac:dyDescent="0.25">
      <c r="A382" s="479"/>
      <c r="B382" s="483"/>
      <c r="C382" s="460"/>
      <c r="D382" s="459">
        <v>3</v>
      </c>
      <c r="E382" s="72">
        <f t="shared" si="0"/>
        <v>1</v>
      </c>
      <c r="F382" s="72">
        <f t="shared" si="0"/>
        <v>143.89599999999999</v>
      </c>
      <c r="G382" s="73">
        <f t="shared" si="0"/>
        <v>159.44751637737969</v>
      </c>
      <c r="H382" s="69"/>
      <c r="I382" s="487"/>
      <c r="J382" s="462">
        <f>J293</f>
        <v>53.12</v>
      </c>
      <c r="K382" s="455">
        <f>K293</f>
        <v>689.70799999999997</v>
      </c>
      <c r="L382" s="42"/>
      <c r="V382" s="39"/>
    </row>
    <row r="383" spans="1:22" ht="15" customHeight="1" x14ac:dyDescent="0.25">
      <c r="A383" s="479"/>
      <c r="B383" s="483"/>
      <c r="C383" s="460"/>
      <c r="D383" s="460"/>
      <c r="E383" s="3">
        <f t="shared" si="0"/>
        <v>2</v>
      </c>
      <c r="F383" s="3">
        <f t="shared" si="0"/>
        <v>187.20400000000001</v>
      </c>
      <c r="G383" s="5">
        <f t="shared" si="0"/>
        <v>207.43601528820113</v>
      </c>
      <c r="H383" s="69"/>
      <c r="I383" s="487"/>
      <c r="J383" s="463"/>
      <c r="K383" s="455"/>
      <c r="L383" s="42"/>
      <c r="V383" s="39"/>
    </row>
    <row r="384" spans="1:22" ht="15" customHeight="1" x14ac:dyDescent="0.25">
      <c r="A384" s="479"/>
      <c r="B384" s="483"/>
      <c r="C384" s="460"/>
      <c r="D384" s="460"/>
      <c r="E384" s="3">
        <f t="shared" si="0"/>
        <v>3</v>
      </c>
      <c r="F384" s="3">
        <f t="shared" si="0"/>
        <v>164.417</v>
      </c>
      <c r="G384" s="5">
        <f t="shared" si="0"/>
        <v>182.18631720283841</v>
      </c>
      <c r="H384" s="69"/>
      <c r="I384" s="487"/>
      <c r="J384" s="463"/>
      <c r="K384" s="455"/>
      <c r="L384" s="42"/>
      <c r="V384" s="39"/>
    </row>
    <row r="385" spans="1:22" ht="15.75" customHeight="1" thickBot="1" x14ac:dyDescent="0.3">
      <c r="A385" s="479"/>
      <c r="B385" s="483"/>
      <c r="C385" s="460"/>
      <c r="D385" s="461"/>
      <c r="E385" s="6">
        <f t="shared" si="0"/>
        <v>4</v>
      </c>
      <c r="F385" s="6">
        <f t="shared" si="0"/>
        <v>141.07300000000001</v>
      </c>
      <c r="G385" s="7">
        <f t="shared" si="0"/>
        <v>156.31942151210657</v>
      </c>
      <c r="H385" s="69"/>
      <c r="I385" s="487"/>
      <c r="J385" s="464"/>
      <c r="K385" s="456"/>
      <c r="L385" s="42"/>
      <c r="V385" s="39"/>
    </row>
    <row r="386" spans="1:22" ht="18.75" customHeight="1" x14ac:dyDescent="0.3">
      <c r="A386" s="479"/>
      <c r="B386" s="483"/>
      <c r="C386" s="460"/>
      <c r="D386" s="459">
        <v>4</v>
      </c>
      <c r="E386" s="70">
        <f t="shared" si="0"/>
        <v>1</v>
      </c>
      <c r="F386" s="70">
        <f t="shared" si="0"/>
        <v>141.929</v>
      </c>
      <c r="G386" s="65">
        <f t="shared" si="0"/>
        <v>157.26793345141715</v>
      </c>
      <c r="H386" s="69"/>
      <c r="I386" s="487"/>
      <c r="J386" s="462">
        <f>J297</f>
        <v>53.12</v>
      </c>
      <c r="K386" s="455">
        <f>K297</f>
        <v>679.39</v>
      </c>
      <c r="L386" s="42"/>
      <c r="Q386" s="481" t="s">
        <v>34</v>
      </c>
      <c r="R386" s="481"/>
      <c r="S386" s="60"/>
      <c r="V386" s="39"/>
    </row>
    <row r="387" spans="1:22" ht="15" customHeight="1" x14ac:dyDescent="0.25">
      <c r="A387" s="479"/>
      <c r="B387" s="483"/>
      <c r="C387" s="460"/>
      <c r="D387" s="460"/>
      <c r="E387" s="3">
        <f t="shared" si="0"/>
        <v>2</v>
      </c>
      <c r="F387" s="3">
        <f t="shared" si="0"/>
        <v>182.57</v>
      </c>
      <c r="G387" s="5">
        <f t="shared" si="0"/>
        <v>202.30119714945661</v>
      </c>
      <c r="H387" s="69"/>
      <c r="I387" s="487"/>
      <c r="J387" s="463"/>
      <c r="K387" s="455"/>
      <c r="L387" s="42"/>
      <c r="Q387" s="61"/>
      <c r="R387" s="62" t="s">
        <v>35</v>
      </c>
      <c r="S387" s="62"/>
      <c r="V387" s="39"/>
    </row>
    <row r="388" spans="1:22" ht="15" customHeight="1" x14ac:dyDescent="0.25">
      <c r="A388" s="479"/>
      <c r="B388" s="483"/>
      <c r="C388" s="460"/>
      <c r="D388" s="460"/>
      <c r="E388" s="3">
        <f t="shared" si="0"/>
        <v>3</v>
      </c>
      <c r="F388" s="3">
        <f t="shared" si="0"/>
        <v>162.65</v>
      </c>
      <c r="G388" s="5">
        <f t="shared" si="0"/>
        <v>180.22834921596714</v>
      </c>
      <c r="H388" s="69"/>
      <c r="I388" s="487"/>
      <c r="J388" s="463"/>
      <c r="K388" s="455"/>
      <c r="L388" s="42"/>
      <c r="V388" s="39"/>
    </row>
    <row r="389" spans="1:22" ht="15.75" customHeight="1" thickBot="1" x14ac:dyDescent="0.3">
      <c r="A389" s="480"/>
      <c r="B389" s="484"/>
      <c r="C389" s="476"/>
      <c r="D389" s="476"/>
      <c r="E389" s="3">
        <f t="shared" si="0"/>
        <v>4</v>
      </c>
      <c r="F389" s="3">
        <f t="shared" si="0"/>
        <v>139.12700000000001</v>
      </c>
      <c r="G389" s="5">
        <f t="shared" si="0"/>
        <v>154.16310815474861</v>
      </c>
      <c r="H389" s="70"/>
      <c r="I389" s="488"/>
      <c r="J389" s="464"/>
      <c r="K389" s="456"/>
      <c r="L389" s="42"/>
      <c r="V389" s="39"/>
    </row>
    <row r="390" spans="1:22" x14ac:dyDescent="0.25">
      <c r="A390" s="43" t="s">
        <v>4</v>
      </c>
      <c r="B390" s="24"/>
      <c r="C390" s="4"/>
      <c r="D390" s="4"/>
      <c r="E390" s="4"/>
      <c r="F390" s="8">
        <f>SUM(F370:F389)</f>
        <v>3072.9580000000001</v>
      </c>
      <c r="G390" s="8"/>
      <c r="H390" s="8"/>
      <c r="I390" s="8">
        <f>K370+K374+K378+K382+K386</f>
        <v>3405.067</v>
      </c>
      <c r="J390" s="8">
        <f>J386+J382+J378+J374+J370</f>
        <v>332.11199999999997</v>
      </c>
      <c r="K390" s="40"/>
      <c r="L390" s="44"/>
      <c r="V390" s="39"/>
    </row>
    <row r="391" spans="1:22" x14ac:dyDescent="0.25">
      <c r="A391" s="37"/>
      <c r="F391" s="18">
        <f>I390/F390</f>
        <v>1.1080746954562997</v>
      </c>
      <c r="I391" s="45"/>
      <c r="J391" s="9">
        <f>(J370+J374+J378+J382+J386)/I390</f>
        <v>9.7534644692747599E-2</v>
      </c>
      <c r="V391" s="39"/>
    </row>
    <row r="392" spans="1:22" x14ac:dyDescent="0.25">
      <c r="A392" s="37"/>
      <c r="V392" s="39"/>
    </row>
    <row r="393" spans="1:22" x14ac:dyDescent="0.25">
      <c r="A393" s="37"/>
      <c r="V393" s="39"/>
    </row>
    <row r="394" spans="1:22" ht="18.75" x14ac:dyDescent="0.3">
      <c r="A394" s="457" t="s">
        <v>32</v>
      </c>
      <c r="B394" s="458"/>
      <c r="C394" s="458"/>
      <c r="D394" s="458"/>
      <c r="E394" s="458"/>
      <c r="F394" s="458"/>
      <c r="G394" s="458"/>
      <c r="H394" s="458"/>
      <c r="I394" s="458"/>
      <c r="J394" s="458"/>
      <c r="K394" s="46"/>
      <c r="V394" s="39"/>
    </row>
    <row r="395" spans="1:22" ht="30" x14ac:dyDescent="0.25">
      <c r="A395" s="41" t="s">
        <v>9</v>
      </c>
      <c r="B395" s="23" t="s">
        <v>7</v>
      </c>
      <c r="C395" s="2" t="s">
        <v>8</v>
      </c>
      <c r="D395" s="2" t="s">
        <v>10</v>
      </c>
      <c r="E395" s="1" t="s">
        <v>2</v>
      </c>
      <c r="F395" s="19" t="s">
        <v>3</v>
      </c>
      <c r="G395" s="19" t="s">
        <v>5</v>
      </c>
      <c r="H395" s="19" t="s">
        <v>57</v>
      </c>
      <c r="I395" s="28" t="s">
        <v>6</v>
      </c>
      <c r="J395" s="28" t="s">
        <v>1</v>
      </c>
      <c r="K395" s="46"/>
      <c r="V395" s="39"/>
    </row>
    <row r="396" spans="1:22" x14ac:dyDescent="0.25">
      <c r="A396" s="478" t="s">
        <v>33</v>
      </c>
      <c r="B396" s="482" t="s">
        <v>50</v>
      </c>
      <c r="C396" s="485" t="s">
        <v>53</v>
      </c>
      <c r="D396" s="485">
        <v>0</v>
      </c>
      <c r="E396" s="3">
        <f>E307</f>
        <v>1</v>
      </c>
      <c r="F396" s="3">
        <f>F307</f>
        <v>141.82499999999999</v>
      </c>
      <c r="G396" s="5">
        <f>G307</f>
        <v>159.0528991060259</v>
      </c>
      <c r="H396" s="76">
        <v>80.092500000000001</v>
      </c>
      <c r="I396" s="486">
        <f>SUM(G396:G415)</f>
        <v>3065.95</v>
      </c>
      <c r="J396" s="462">
        <f>J307</f>
        <v>99.266000000000005</v>
      </c>
      <c r="K396" s="465">
        <f>K307</f>
        <v>620.59799999999996</v>
      </c>
      <c r="V396" s="39"/>
    </row>
    <row r="397" spans="1:22" x14ac:dyDescent="0.25">
      <c r="A397" s="479"/>
      <c r="B397" s="483"/>
      <c r="C397" s="460"/>
      <c r="D397" s="460"/>
      <c r="E397" s="3">
        <f t="shared" ref="E397:G415" si="1">E308</f>
        <v>2</v>
      </c>
      <c r="F397" s="71">
        <f t="shared" si="1"/>
        <v>142.05600000000001</v>
      </c>
      <c r="G397" s="5">
        <f t="shared" si="1"/>
        <v>159.31195935417324</v>
      </c>
      <c r="H397" s="76">
        <v>97.868200000000002</v>
      </c>
      <c r="I397" s="487"/>
      <c r="J397" s="463"/>
      <c r="K397" s="465"/>
      <c r="V397" s="39"/>
    </row>
    <row r="398" spans="1:22" x14ac:dyDescent="0.25">
      <c r="A398" s="479"/>
      <c r="B398" s="483"/>
      <c r="C398" s="460"/>
      <c r="D398" s="460"/>
      <c r="E398" s="3">
        <f t="shared" si="1"/>
        <v>3</v>
      </c>
      <c r="F398" s="71">
        <f t="shared" si="1"/>
        <v>142.197</v>
      </c>
      <c r="G398" s="5">
        <f t="shared" si="1"/>
        <v>159.47008703810729</v>
      </c>
      <c r="H398" s="76">
        <v>97.259299999999996</v>
      </c>
      <c r="I398" s="487"/>
      <c r="J398" s="463"/>
      <c r="K398" s="465"/>
      <c r="V398" s="39"/>
    </row>
    <row r="399" spans="1:22" ht="15.75" thickBot="1" x14ac:dyDescent="0.3">
      <c r="A399" s="479"/>
      <c r="B399" s="483"/>
      <c r="C399" s="460"/>
      <c r="D399" s="461"/>
      <c r="E399" s="6">
        <f t="shared" si="1"/>
        <v>4</v>
      </c>
      <c r="F399" s="6">
        <f t="shared" si="1"/>
        <v>95.254000000000005</v>
      </c>
      <c r="G399" s="7">
        <f t="shared" si="1"/>
        <v>106.82478301741861</v>
      </c>
      <c r="H399" s="76">
        <v>63.675199999999997</v>
      </c>
      <c r="I399" s="487"/>
      <c r="J399" s="464"/>
      <c r="K399" s="466"/>
      <c r="L399" s="14"/>
      <c r="V399" s="39"/>
    </row>
    <row r="400" spans="1:22" ht="15" customHeight="1" x14ac:dyDescent="0.25">
      <c r="A400" s="479"/>
      <c r="B400" s="483"/>
      <c r="C400" s="460"/>
      <c r="D400" s="459">
        <v>1</v>
      </c>
      <c r="E400" s="72">
        <f t="shared" si="1"/>
        <v>1</v>
      </c>
      <c r="F400" s="72">
        <f t="shared" si="1"/>
        <v>142.977</v>
      </c>
      <c r="G400" s="73">
        <f t="shared" si="1"/>
        <v>160.34483592795536</v>
      </c>
      <c r="H400" s="69"/>
      <c r="I400" s="487"/>
      <c r="J400" s="462">
        <f>J311</f>
        <v>73.486999999999995</v>
      </c>
      <c r="K400" s="465">
        <f>K311</f>
        <v>592.05999999999995</v>
      </c>
      <c r="L400" s="17"/>
      <c r="V400" s="39"/>
    </row>
    <row r="401" spans="1:22" ht="15" customHeight="1" x14ac:dyDescent="0.25">
      <c r="A401" s="479"/>
      <c r="B401" s="483"/>
      <c r="C401" s="460"/>
      <c r="D401" s="460"/>
      <c r="E401" s="3">
        <f t="shared" si="1"/>
        <v>2</v>
      </c>
      <c r="F401" s="71">
        <f t="shared" si="1"/>
        <v>139.572</v>
      </c>
      <c r="G401" s="5">
        <f t="shared" si="1"/>
        <v>156.52622058188788</v>
      </c>
      <c r="H401" s="69"/>
      <c r="I401" s="487"/>
      <c r="J401" s="463"/>
      <c r="K401" s="465"/>
      <c r="L401" s="17"/>
      <c r="V401" s="39"/>
    </row>
    <row r="402" spans="1:22" ht="15" customHeight="1" x14ac:dyDescent="0.25">
      <c r="A402" s="479"/>
      <c r="B402" s="483"/>
      <c r="C402" s="460"/>
      <c r="D402" s="460"/>
      <c r="E402" s="3">
        <f t="shared" si="1"/>
        <v>3</v>
      </c>
      <c r="F402" s="71">
        <f t="shared" si="1"/>
        <v>139.71199999999999</v>
      </c>
      <c r="G402" s="5">
        <f t="shared" si="1"/>
        <v>156.68322679288624</v>
      </c>
      <c r="H402" s="69"/>
      <c r="I402" s="487"/>
      <c r="J402" s="463"/>
      <c r="K402" s="465"/>
      <c r="L402" s="16"/>
      <c r="V402" s="39"/>
    </row>
    <row r="403" spans="1:22" ht="15.75" customHeight="1" thickBot="1" x14ac:dyDescent="0.3">
      <c r="A403" s="479"/>
      <c r="B403" s="483"/>
      <c r="C403" s="460"/>
      <c r="D403" s="461"/>
      <c r="E403" s="6">
        <f t="shared" si="1"/>
        <v>4</v>
      </c>
      <c r="F403" s="6">
        <f t="shared" si="1"/>
        <v>96.311000000000007</v>
      </c>
      <c r="G403" s="7">
        <f t="shared" si="1"/>
        <v>108.01017991045629</v>
      </c>
      <c r="H403" s="69"/>
      <c r="I403" s="487"/>
      <c r="J403" s="464"/>
      <c r="K403" s="466"/>
      <c r="L403" s="15"/>
      <c r="V403" s="39"/>
    </row>
    <row r="404" spans="1:22" ht="15" customHeight="1" x14ac:dyDescent="0.25">
      <c r="A404" s="479"/>
      <c r="B404" s="483"/>
      <c r="C404" s="460"/>
      <c r="D404" s="459">
        <v>2</v>
      </c>
      <c r="E404" s="72">
        <f t="shared" si="1"/>
        <v>1</v>
      </c>
      <c r="F404" s="72">
        <f t="shared" si="1"/>
        <v>141.18700000000001</v>
      </c>
      <c r="G404" s="73">
        <f t="shared" si="1"/>
        <v>158.33739937304765</v>
      </c>
      <c r="H404" s="69"/>
      <c r="I404" s="487"/>
      <c r="J404" s="462">
        <f>J315</f>
        <v>53.119</v>
      </c>
      <c r="K404" s="465">
        <f>K315</f>
        <v>618.55200000000002</v>
      </c>
      <c r="V404" s="39"/>
    </row>
    <row r="405" spans="1:22" ht="15" customHeight="1" x14ac:dyDescent="0.25">
      <c r="A405" s="479"/>
      <c r="B405" s="483"/>
      <c r="C405" s="460"/>
      <c r="D405" s="460"/>
      <c r="E405" s="3">
        <f t="shared" si="1"/>
        <v>2</v>
      </c>
      <c r="F405" s="3">
        <f t="shared" si="1"/>
        <v>141.446</v>
      </c>
      <c r="G405" s="5">
        <f t="shared" si="1"/>
        <v>158.62786086339463</v>
      </c>
      <c r="H405" s="69"/>
      <c r="I405" s="487"/>
      <c r="J405" s="463"/>
      <c r="K405" s="465"/>
      <c r="V405" s="39"/>
    </row>
    <row r="406" spans="1:22" ht="15" customHeight="1" x14ac:dyDescent="0.25">
      <c r="A406" s="479"/>
      <c r="B406" s="483"/>
      <c r="C406" s="460"/>
      <c r="D406" s="460"/>
      <c r="E406" s="3">
        <f t="shared" si="1"/>
        <v>3</v>
      </c>
      <c r="F406" s="3">
        <f t="shared" si="1"/>
        <v>141.572</v>
      </c>
      <c r="G406" s="5">
        <f t="shared" si="1"/>
        <v>158.76916645329317</v>
      </c>
      <c r="H406" s="69"/>
      <c r="I406" s="487"/>
      <c r="J406" s="463"/>
      <c r="K406" s="465"/>
      <c r="V406" s="39"/>
    </row>
    <row r="407" spans="1:22" ht="15.75" customHeight="1" thickBot="1" x14ac:dyDescent="0.3">
      <c r="A407" s="479"/>
      <c r="B407" s="483"/>
      <c r="C407" s="460"/>
      <c r="D407" s="461"/>
      <c r="E407" s="6">
        <f t="shared" si="1"/>
        <v>4</v>
      </c>
      <c r="F407" s="6">
        <f t="shared" si="1"/>
        <v>141.226</v>
      </c>
      <c r="G407" s="7">
        <f t="shared" si="1"/>
        <v>158.38113681754004</v>
      </c>
      <c r="H407" s="69"/>
      <c r="I407" s="487"/>
      <c r="J407" s="464"/>
      <c r="K407" s="466"/>
      <c r="V407" s="39"/>
    </row>
    <row r="408" spans="1:22" ht="15" customHeight="1" x14ac:dyDescent="0.25">
      <c r="A408" s="479"/>
      <c r="B408" s="483"/>
      <c r="C408" s="460"/>
      <c r="D408" s="459">
        <v>3</v>
      </c>
      <c r="E408" s="72">
        <f t="shared" si="1"/>
        <v>1</v>
      </c>
      <c r="F408" s="72">
        <f t="shared" si="1"/>
        <v>141.48599999999999</v>
      </c>
      <c r="G408" s="73">
        <f t="shared" si="1"/>
        <v>158.67271978082272</v>
      </c>
      <c r="H408" s="69"/>
      <c r="I408" s="487"/>
      <c r="J408" s="462">
        <f>J319</f>
        <v>53.119</v>
      </c>
      <c r="K408" s="465">
        <f>K319</f>
        <v>620.15</v>
      </c>
      <c r="V408" s="39"/>
    </row>
    <row r="409" spans="1:22" ht="15" customHeight="1" x14ac:dyDescent="0.25">
      <c r="A409" s="479"/>
      <c r="B409" s="483"/>
      <c r="C409" s="460"/>
      <c r="D409" s="460"/>
      <c r="E409" s="3">
        <f t="shared" si="1"/>
        <v>2</v>
      </c>
      <c r="F409" s="3">
        <f t="shared" si="1"/>
        <v>141.94999999999999</v>
      </c>
      <c r="G409" s="5">
        <f t="shared" si="1"/>
        <v>159.19308322298875</v>
      </c>
      <c r="H409" s="69"/>
      <c r="I409" s="487"/>
      <c r="J409" s="463"/>
      <c r="K409" s="465"/>
      <c r="V409" s="39"/>
    </row>
    <row r="410" spans="1:22" ht="15" customHeight="1" x14ac:dyDescent="0.25">
      <c r="A410" s="479"/>
      <c r="B410" s="483"/>
      <c r="C410" s="460"/>
      <c r="D410" s="460"/>
      <c r="E410" s="3">
        <f t="shared" si="1"/>
        <v>3</v>
      </c>
      <c r="F410" s="3">
        <f t="shared" si="1"/>
        <v>142.07</v>
      </c>
      <c r="G410" s="5">
        <f t="shared" si="1"/>
        <v>159.32765997527306</v>
      </c>
      <c r="H410" s="69"/>
      <c r="I410" s="487"/>
      <c r="J410" s="463"/>
      <c r="K410" s="465"/>
      <c r="V410" s="39"/>
    </row>
    <row r="411" spans="1:22" ht="15.75" customHeight="1" thickBot="1" x14ac:dyDescent="0.3">
      <c r="A411" s="479"/>
      <c r="B411" s="483"/>
      <c r="C411" s="460"/>
      <c r="D411" s="461"/>
      <c r="E411" s="6">
        <f t="shared" si="1"/>
        <v>4</v>
      </c>
      <c r="F411" s="6">
        <f t="shared" si="1"/>
        <v>141.52600000000001</v>
      </c>
      <c r="G411" s="7">
        <f t="shared" si="1"/>
        <v>158.71757869825083</v>
      </c>
      <c r="H411" s="69"/>
      <c r="I411" s="487"/>
      <c r="J411" s="464"/>
      <c r="K411" s="466"/>
      <c r="V411" s="39"/>
    </row>
    <row r="412" spans="1:22" ht="15" customHeight="1" x14ac:dyDescent="0.25">
      <c r="A412" s="479"/>
      <c r="B412" s="483"/>
      <c r="C412" s="460"/>
      <c r="D412" s="459">
        <v>4</v>
      </c>
      <c r="E412" s="70">
        <f t="shared" si="1"/>
        <v>1</v>
      </c>
      <c r="F412" s="70">
        <f t="shared" si="1"/>
        <v>139.13</v>
      </c>
      <c r="G412" s="65">
        <f t="shared" si="1"/>
        <v>156.03052954430731</v>
      </c>
      <c r="H412" s="69"/>
      <c r="I412" s="487"/>
      <c r="J412" s="462">
        <f>J323</f>
        <v>53.119</v>
      </c>
      <c r="K412" s="465">
        <f>K323</f>
        <v>614.59</v>
      </c>
      <c r="V412" s="39"/>
    </row>
    <row r="413" spans="1:22" ht="15" customHeight="1" x14ac:dyDescent="0.25">
      <c r="A413" s="479"/>
      <c r="B413" s="483"/>
      <c r="C413" s="460"/>
      <c r="D413" s="460"/>
      <c r="E413" s="3">
        <f t="shared" si="1"/>
        <v>2</v>
      </c>
      <c r="F413" s="3">
        <f t="shared" si="1"/>
        <v>141.53399999999999</v>
      </c>
      <c r="G413" s="5">
        <f t="shared" si="1"/>
        <v>158.72655048173644</v>
      </c>
      <c r="H413" s="69"/>
      <c r="I413" s="487"/>
      <c r="J413" s="463"/>
      <c r="K413" s="465"/>
      <c r="V413" s="39"/>
    </row>
    <row r="414" spans="1:22" ht="15" customHeight="1" x14ac:dyDescent="0.25">
      <c r="A414" s="479"/>
      <c r="B414" s="483"/>
      <c r="C414" s="460"/>
      <c r="D414" s="460"/>
      <c r="E414" s="3">
        <f t="shared" si="1"/>
        <v>3</v>
      </c>
      <c r="F414" s="3">
        <f t="shared" si="1"/>
        <v>141.65899999999999</v>
      </c>
      <c r="G414" s="5">
        <f t="shared" si="1"/>
        <v>158.86673459869928</v>
      </c>
      <c r="H414" s="69"/>
      <c r="I414" s="487"/>
      <c r="J414" s="463"/>
      <c r="K414" s="465"/>
      <c r="V414" s="39"/>
    </row>
    <row r="415" spans="1:22" ht="15.75" customHeight="1" thickBot="1" x14ac:dyDescent="0.3">
      <c r="A415" s="480"/>
      <c r="B415" s="484"/>
      <c r="C415" s="476"/>
      <c r="D415" s="476"/>
      <c r="E415" s="3">
        <f t="shared" si="1"/>
        <v>4</v>
      </c>
      <c r="F415" s="3">
        <f t="shared" si="1"/>
        <v>139.16999999999999</v>
      </c>
      <c r="G415" s="5">
        <f t="shared" si="1"/>
        <v>156.0753884617354</v>
      </c>
      <c r="H415" s="70"/>
      <c r="I415" s="488"/>
      <c r="J415" s="464"/>
      <c r="K415" s="466"/>
      <c r="V415" s="39"/>
    </row>
    <row r="416" spans="1:22" x14ac:dyDescent="0.25">
      <c r="A416" s="43" t="s">
        <v>4</v>
      </c>
      <c r="B416" s="24"/>
      <c r="C416" s="4"/>
      <c r="D416" s="4"/>
      <c r="E416" s="4"/>
      <c r="F416" s="8">
        <f>SUM(F396:F415)</f>
        <v>2733.86</v>
      </c>
      <c r="G416" s="8"/>
      <c r="H416" s="8"/>
      <c r="I416" s="8">
        <f>K396+K400+K404+K408+K412</f>
        <v>3065.9500000000003</v>
      </c>
      <c r="J416" s="8">
        <f>J412+J408+J404+J400+J396</f>
        <v>332.11</v>
      </c>
      <c r="K416" s="46"/>
      <c r="V416" s="39"/>
    </row>
    <row r="417" spans="1:22" x14ac:dyDescent="0.25">
      <c r="A417" s="37"/>
      <c r="F417" s="18">
        <f>I416/F416</f>
        <v>1.121472935702633</v>
      </c>
      <c r="I417" s="45"/>
      <c r="J417" s="9">
        <f>(J396+J400+J404+J408+J412)/I416</f>
        <v>0.10832205352337775</v>
      </c>
      <c r="K417" s="46"/>
      <c r="V417" s="39"/>
    </row>
    <row r="418" spans="1:22" x14ac:dyDescent="0.25">
      <c r="A418" s="37"/>
      <c r="V418" s="39"/>
    </row>
    <row r="419" spans="1:22" x14ac:dyDescent="0.25">
      <c r="A419" s="37"/>
      <c r="V419" s="39"/>
    </row>
    <row r="420" spans="1:22" ht="18.75" x14ac:dyDescent="0.3">
      <c r="A420" s="457" t="s">
        <v>32</v>
      </c>
      <c r="B420" s="458"/>
      <c r="C420" s="458"/>
      <c r="D420" s="458"/>
      <c r="E420" s="458"/>
      <c r="F420" s="458"/>
      <c r="G420" s="458"/>
      <c r="H420" s="458"/>
      <c r="I420" s="458"/>
      <c r="J420" s="458"/>
      <c r="K420" s="40"/>
      <c r="V420" s="39"/>
    </row>
    <row r="421" spans="1:22" ht="30" x14ac:dyDescent="0.25">
      <c r="A421" s="41" t="s">
        <v>9</v>
      </c>
      <c r="B421" s="23" t="s">
        <v>7</v>
      </c>
      <c r="C421" s="2" t="s">
        <v>8</v>
      </c>
      <c r="D421" s="2" t="s">
        <v>10</v>
      </c>
      <c r="E421" s="1" t="s">
        <v>2</v>
      </c>
      <c r="F421" s="19" t="s">
        <v>3</v>
      </c>
      <c r="G421" s="19" t="s">
        <v>5</v>
      </c>
      <c r="H421" s="19" t="s">
        <v>57</v>
      </c>
      <c r="I421" s="28" t="s">
        <v>6</v>
      </c>
      <c r="J421" s="28" t="s">
        <v>1</v>
      </c>
      <c r="K421" s="40"/>
      <c r="V421" s="39"/>
    </row>
    <row r="422" spans="1:22" x14ac:dyDescent="0.25">
      <c r="A422" s="478" t="s">
        <v>33</v>
      </c>
      <c r="B422" s="482" t="s">
        <v>50</v>
      </c>
      <c r="C422" s="485" t="s">
        <v>54</v>
      </c>
      <c r="D422" s="485">
        <v>0</v>
      </c>
      <c r="E422" s="3">
        <f>E333</f>
        <v>1</v>
      </c>
      <c r="F422" s="3">
        <f>F333</f>
        <v>95.254000000000005</v>
      </c>
      <c r="G422" s="5">
        <f>G333</f>
        <v>105.54728263471846</v>
      </c>
      <c r="H422" s="76">
        <v>63.664700000000003</v>
      </c>
      <c r="I422" s="486">
        <f>SUM(G422:G441)</f>
        <v>3405.5059999999989</v>
      </c>
      <c r="J422" s="462">
        <f>J333</f>
        <v>99.266000000000005</v>
      </c>
      <c r="K422" s="455">
        <f>K333</f>
        <v>685.9</v>
      </c>
      <c r="V422" s="39"/>
    </row>
    <row r="423" spans="1:22" x14ac:dyDescent="0.25">
      <c r="A423" s="479"/>
      <c r="B423" s="483"/>
      <c r="C423" s="460"/>
      <c r="D423" s="460"/>
      <c r="E423" s="3">
        <f t="shared" ref="E423:G441" si="2">E334</f>
        <v>2</v>
      </c>
      <c r="F423" s="3">
        <f t="shared" si="2"/>
        <v>162.82599999999999</v>
      </c>
      <c r="G423" s="5">
        <f t="shared" si="2"/>
        <v>180.42120900204364</v>
      </c>
      <c r="H423" s="76">
        <v>77.610299999999995</v>
      </c>
      <c r="I423" s="487"/>
      <c r="J423" s="463"/>
      <c r="K423" s="455"/>
      <c r="V423" s="39"/>
    </row>
    <row r="424" spans="1:22" x14ac:dyDescent="0.25">
      <c r="A424" s="479"/>
      <c r="B424" s="483"/>
      <c r="C424" s="460"/>
      <c r="D424" s="460"/>
      <c r="E424" s="3">
        <f t="shared" si="2"/>
        <v>3</v>
      </c>
      <c r="F424" s="3">
        <f t="shared" si="2"/>
        <v>183.887</v>
      </c>
      <c r="G424" s="5">
        <f t="shared" si="2"/>
        <v>203.75809059830002</v>
      </c>
      <c r="H424" s="76">
        <v>54.576500000000003</v>
      </c>
      <c r="I424" s="487"/>
      <c r="J424" s="463"/>
      <c r="K424" s="455"/>
      <c r="V424" s="39"/>
    </row>
    <row r="425" spans="1:22" ht="15.75" thickBot="1" x14ac:dyDescent="0.3">
      <c r="A425" s="479"/>
      <c r="B425" s="483"/>
      <c r="C425" s="460"/>
      <c r="D425" s="461"/>
      <c r="E425" s="6">
        <f t="shared" si="2"/>
        <v>4</v>
      </c>
      <c r="F425" s="6">
        <f t="shared" si="2"/>
        <v>144.66</v>
      </c>
      <c r="G425" s="7">
        <f t="shared" si="2"/>
        <v>160.29216522076101</v>
      </c>
      <c r="H425" s="76">
        <v>76.683400000000006</v>
      </c>
      <c r="I425" s="487"/>
      <c r="J425" s="464"/>
      <c r="K425" s="456"/>
      <c r="L425" s="14"/>
      <c r="V425" s="39"/>
    </row>
    <row r="426" spans="1:22" ht="15" customHeight="1" x14ac:dyDescent="0.25">
      <c r="A426" s="479"/>
      <c r="B426" s="483"/>
      <c r="C426" s="460"/>
      <c r="D426" s="459">
        <v>1</v>
      </c>
      <c r="E426" s="72">
        <f t="shared" si="2"/>
        <v>1</v>
      </c>
      <c r="F426" s="72">
        <f t="shared" si="2"/>
        <v>96.311000000000007</v>
      </c>
      <c r="G426" s="73">
        <f t="shared" si="2"/>
        <v>106.71850355714584</v>
      </c>
      <c r="H426" s="69"/>
      <c r="I426" s="487"/>
      <c r="J426" s="462">
        <f>J337</f>
        <v>73.486999999999995</v>
      </c>
      <c r="K426" s="455">
        <f>K337</f>
        <v>657.67399999999998</v>
      </c>
      <c r="L426" s="17"/>
      <c r="V426" s="39"/>
    </row>
    <row r="427" spans="1:22" ht="15" customHeight="1" x14ac:dyDescent="0.25">
      <c r="A427" s="479"/>
      <c r="B427" s="483"/>
      <c r="C427" s="460"/>
      <c r="D427" s="460"/>
      <c r="E427" s="3">
        <f t="shared" si="2"/>
        <v>2</v>
      </c>
      <c r="F427" s="3">
        <f t="shared" si="2"/>
        <v>162.57599999999999</v>
      </c>
      <c r="G427" s="5">
        <f t="shared" si="2"/>
        <v>180.14419364669186</v>
      </c>
      <c r="H427" s="69"/>
      <c r="I427" s="487"/>
      <c r="J427" s="463"/>
      <c r="K427" s="455"/>
      <c r="L427" s="17"/>
      <c r="V427" s="39"/>
    </row>
    <row r="428" spans="1:22" ht="15" customHeight="1" x14ac:dyDescent="0.25">
      <c r="A428" s="479"/>
      <c r="B428" s="483"/>
      <c r="C428" s="460"/>
      <c r="D428" s="460"/>
      <c r="E428" s="3">
        <f t="shared" si="2"/>
        <v>3</v>
      </c>
      <c r="F428" s="3">
        <f t="shared" si="2"/>
        <v>183.637</v>
      </c>
      <c r="G428" s="5">
        <f t="shared" si="2"/>
        <v>203.48107524294824</v>
      </c>
      <c r="H428" s="69"/>
      <c r="I428" s="487"/>
      <c r="J428" s="463"/>
      <c r="K428" s="455"/>
      <c r="L428" s="16"/>
      <c r="R428" s="18"/>
      <c r="V428" s="39"/>
    </row>
    <row r="429" spans="1:22" ht="15.75" customHeight="1" thickBot="1" x14ac:dyDescent="0.3">
      <c r="A429" s="479"/>
      <c r="B429" s="483"/>
      <c r="C429" s="460"/>
      <c r="D429" s="461"/>
      <c r="E429" s="6">
        <f t="shared" si="2"/>
        <v>4</v>
      </c>
      <c r="F429" s="6">
        <f t="shared" si="2"/>
        <v>141.66300000000001</v>
      </c>
      <c r="G429" s="7">
        <f t="shared" si="2"/>
        <v>156.97130514080374</v>
      </c>
      <c r="H429" s="69"/>
      <c r="I429" s="487"/>
      <c r="J429" s="464"/>
      <c r="K429" s="456"/>
      <c r="L429" s="15"/>
      <c r="V429" s="39"/>
    </row>
    <row r="430" spans="1:22" ht="15" customHeight="1" x14ac:dyDescent="0.25">
      <c r="A430" s="479"/>
      <c r="B430" s="483"/>
      <c r="C430" s="460"/>
      <c r="D430" s="459">
        <v>2</v>
      </c>
      <c r="E430" s="72">
        <f t="shared" si="2"/>
        <v>1</v>
      </c>
      <c r="F430" s="72">
        <f t="shared" si="2"/>
        <v>141.22499999999999</v>
      </c>
      <c r="G430" s="73">
        <f t="shared" si="2"/>
        <v>156.48597423822739</v>
      </c>
      <c r="H430" s="69"/>
      <c r="I430" s="487"/>
      <c r="J430" s="462">
        <f>J341</f>
        <v>53.119</v>
      </c>
      <c r="K430" s="455">
        <f>K341</f>
        <v>692.64</v>
      </c>
      <c r="V430" s="39"/>
    </row>
    <row r="431" spans="1:22" ht="15" customHeight="1" x14ac:dyDescent="0.25">
      <c r="A431" s="479"/>
      <c r="B431" s="483"/>
      <c r="C431" s="460"/>
      <c r="D431" s="460"/>
      <c r="E431" s="3">
        <f t="shared" si="2"/>
        <v>2</v>
      </c>
      <c r="F431" s="3">
        <f t="shared" si="2"/>
        <v>167.214</v>
      </c>
      <c r="G431" s="5">
        <f t="shared" si="2"/>
        <v>185.2833825191783</v>
      </c>
      <c r="H431" s="69"/>
      <c r="I431" s="487"/>
      <c r="J431" s="463"/>
      <c r="K431" s="455"/>
      <c r="V431" s="39"/>
    </row>
    <row r="432" spans="1:22" ht="15" customHeight="1" x14ac:dyDescent="0.25">
      <c r="A432" s="479"/>
      <c r="B432" s="483"/>
      <c r="C432" s="460"/>
      <c r="D432" s="460"/>
      <c r="E432" s="3">
        <f t="shared" si="2"/>
        <v>3</v>
      </c>
      <c r="F432" s="3">
        <f t="shared" si="2"/>
        <v>187.10300000000001</v>
      </c>
      <c r="G432" s="5">
        <f t="shared" si="2"/>
        <v>207.3216161295455</v>
      </c>
      <c r="H432" s="69"/>
      <c r="I432" s="487"/>
      <c r="J432" s="463"/>
      <c r="K432" s="455"/>
      <c r="V432" s="39"/>
    </row>
    <row r="433" spans="1:22" ht="15.75" customHeight="1" thickBot="1" x14ac:dyDescent="0.3">
      <c r="A433" s="479"/>
      <c r="B433" s="483"/>
      <c r="C433" s="460"/>
      <c r="D433" s="461"/>
      <c r="E433" s="6">
        <f t="shared" si="2"/>
        <v>4</v>
      </c>
      <c r="F433" s="6">
        <f t="shared" si="2"/>
        <v>143.989</v>
      </c>
      <c r="G433" s="7">
        <f t="shared" si="2"/>
        <v>159.54865600699682</v>
      </c>
      <c r="H433" s="69"/>
      <c r="I433" s="487"/>
      <c r="J433" s="464"/>
      <c r="K433" s="456"/>
      <c r="V433" s="39"/>
    </row>
    <row r="434" spans="1:22" ht="15" customHeight="1" x14ac:dyDescent="0.25">
      <c r="A434" s="479"/>
      <c r="B434" s="483"/>
      <c r="C434" s="460"/>
      <c r="D434" s="459">
        <v>3</v>
      </c>
      <c r="E434" s="72">
        <f t="shared" si="2"/>
        <v>1</v>
      </c>
      <c r="F434" s="72">
        <f t="shared" si="2"/>
        <v>141.131</v>
      </c>
      <c r="G434" s="73">
        <f t="shared" si="2"/>
        <v>156.38181646461513</v>
      </c>
      <c r="H434" s="69"/>
      <c r="I434" s="487"/>
      <c r="J434" s="462">
        <f>J345</f>
        <v>53.12</v>
      </c>
      <c r="K434" s="455">
        <f>K345</f>
        <v>689.822</v>
      </c>
      <c r="V434" s="39"/>
    </row>
    <row r="435" spans="1:22" ht="15" customHeight="1" x14ac:dyDescent="0.25">
      <c r="A435" s="479"/>
      <c r="B435" s="483"/>
      <c r="C435" s="460"/>
      <c r="D435" s="460"/>
      <c r="E435" s="3">
        <f t="shared" si="2"/>
        <v>2</v>
      </c>
      <c r="F435" s="3">
        <f t="shared" si="2"/>
        <v>164.43600000000001</v>
      </c>
      <c r="G435" s="5">
        <f t="shared" si="2"/>
        <v>182.20518789050919</v>
      </c>
      <c r="H435" s="69"/>
      <c r="I435" s="487"/>
      <c r="J435" s="463"/>
      <c r="K435" s="455"/>
      <c r="V435" s="39"/>
    </row>
    <row r="436" spans="1:22" ht="15" customHeight="1" x14ac:dyDescent="0.25">
      <c r="A436" s="479"/>
      <c r="B436" s="483"/>
      <c r="C436" s="460"/>
      <c r="D436" s="460"/>
      <c r="E436" s="3">
        <f t="shared" si="2"/>
        <v>3</v>
      </c>
      <c r="F436" s="3">
        <f t="shared" si="2"/>
        <v>187.20400000000001</v>
      </c>
      <c r="G436" s="5">
        <f t="shared" si="2"/>
        <v>207.43353033310763</v>
      </c>
      <c r="H436" s="69"/>
      <c r="I436" s="487"/>
      <c r="J436" s="463"/>
      <c r="K436" s="455"/>
      <c r="V436" s="39"/>
    </row>
    <row r="437" spans="1:22" ht="15.75" customHeight="1" thickBot="1" x14ac:dyDescent="0.3">
      <c r="A437" s="479"/>
      <c r="B437" s="483"/>
      <c r="C437" s="460"/>
      <c r="D437" s="461"/>
      <c r="E437" s="6">
        <f t="shared" si="2"/>
        <v>4</v>
      </c>
      <c r="F437" s="6">
        <f t="shared" si="2"/>
        <v>143.911</v>
      </c>
      <c r="G437" s="7">
        <f t="shared" si="2"/>
        <v>159.46222721612705</v>
      </c>
      <c r="H437" s="69"/>
      <c r="I437" s="487"/>
      <c r="J437" s="464"/>
      <c r="K437" s="456"/>
      <c r="V437" s="39"/>
    </row>
    <row r="438" spans="1:22" ht="15" customHeight="1" x14ac:dyDescent="0.25">
      <c r="A438" s="479"/>
      <c r="B438" s="483"/>
      <c r="C438" s="460"/>
      <c r="D438" s="459">
        <v>4</v>
      </c>
      <c r="E438" s="70">
        <f t="shared" si="2"/>
        <v>1</v>
      </c>
      <c r="F438" s="70">
        <f t="shared" si="2"/>
        <v>139.16499999999999</v>
      </c>
      <c r="G438" s="65">
        <f t="shared" si="2"/>
        <v>154.20336771012862</v>
      </c>
      <c r="H438" s="69"/>
      <c r="I438" s="487"/>
      <c r="J438" s="462">
        <f>J349</f>
        <v>53.12</v>
      </c>
      <c r="K438" s="455">
        <f>K349</f>
        <v>679.47</v>
      </c>
      <c r="V438" s="39"/>
    </row>
    <row r="439" spans="1:22" ht="15" customHeight="1" x14ac:dyDescent="0.25">
      <c r="A439" s="479"/>
      <c r="B439" s="483"/>
      <c r="C439" s="460"/>
      <c r="D439" s="460"/>
      <c r="E439" s="3">
        <f t="shared" si="2"/>
        <v>2</v>
      </c>
      <c r="F439" s="3">
        <f t="shared" si="2"/>
        <v>162.69999999999999</v>
      </c>
      <c r="G439" s="5">
        <f t="shared" si="2"/>
        <v>180.28159326294633</v>
      </c>
      <c r="H439" s="69"/>
      <c r="I439" s="487"/>
      <c r="J439" s="463"/>
      <c r="K439" s="455"/>
      <c r="V439" s="39"/>
    </row>
    <row r="440" spans="1:22" ht="15" customHeight="1" x14ac:dyDescent="0.25">
      <c r="A440" s="479"/>
      <c r="B440" s="483"/>
      <c r="C440" s="460"/>
      <c r="D440" s="460"/>
      <c r="E440" s="3">
        <f t="shared" si="2"/>
        <v>3</v>
      </c>
      <c r="F440" s="3">
        <f t="shared" si="2"/>
        <v>182.57</v>
      </c>
      <c r="G440" s="5">
        <f t="shared" si="2"/>
        <v>202.29877370630678</v>
      </c>
      <c r="H440" s="69"/>
      <c r="I440" s="487"/>
      <c r="J440" s="463"/>
      <c r="K440" s="455"/>
      <c r="V440" s="39"/>
    </row>
    <row r="441" spans="1:22" ht="15.75" customHeight="1" thickBot="1" x14ac:dyDescent="0.3">
      <c r="A441" s="480"/>
      <c r="B441" s="484"/>
      <c r="C441" s="476"/>
      <c r="D441" s="476"/>
      <c r="E441" s="3">
        <f t="shared" si="2"/>
        <v>4</v>
      </c>
      <c r="F441" s="3">
        <f t="shared" si="2"/>
        <v>141.929</v>
      </c>
      <c r="G441" s="5">
        <f t="shared" si="2"/>
        <v>157.26604947889805</v>
      </c>
      <c r="H441" s="70"/>
      <c r="I441" s="488"/>
      <c r="J441" s="464"/>
      <c r="K441" s="456"/>
      <c r="V441" s="39"/>
    </row>
    <row r="442" spans="1:22" x14ac:dyDescent="0.25">
      <c r="A442" s="43" t="s">
        <v>4</v>
      </c>
      <c r="B442" s="24"/>
      <c r="C442" s="4"/>
      <c r="D442" s="4"/>
      <c r="E442" s="4"/>
      <c r="F442" s="8">
        <f>SUM(F422:F441)</f>
        <v>3073.3910000000005</v>
      </c>
      <c r="G442" s="8"/>
      <c r="H442" s="8"/>
      <c r="I442" s="8">
        <f>K422+K426+K430+K434+K438</f>
        <v>3405.5060000000003</v>
      </c>
      <c r="J442" s="8">
        <f>J438+J434+J430+J426+J422</f>
        <v>332.11199999999997</v>
      </c>
      <c r="K442" s="40"/>
      <c r="V442" s="39"/>
    </row>
    <row r="443" spans="1:22" x14ac:dyDescent="0.25">
      <c r="A443" s="37"/>
      <c r="F443" s="18">
        <f>I442/F442</f>
        <v>1.1080614214071687</v>
      </c>
      <c r="I443" s="45"/>
      <c r="J443" s="9">
        <f>(J422+J426+J430+J434+J438)/I442</f>
        <v>9.7522071609916397E-2</v>
      </c>
      <c r="K443" s="40"/>
      <c r="V443" s="39"/>
    </row>
    <row r="444" spans="1:22" x14ac:dyDescent="0.25">
      <c r="A444" s="37"/>
      <c r="V444" s="39"/>
    </row>
    <row r="445" spans="1:22" x14ac:dyDescent="0.25">
      <c r="A445" s="37"/>
      <c r="V445" s="39"/>
    </row>
    <row r="446" spans="1:22" ht="15.75" thickBot="1" x14ac:dyDescent="0.3">
      <c r="A446" s="47"/>
      <c r="B446" s="48"/>
      <c r="C446" s="49"/>
      <c r="D446" s="49"/>
      <c r="E446" s="49"/>
      <c r="F446" s="50"/>
      <c r="G446" s="50"/>
      <c r="H446" s="50"/>
      <c r="I446" s="50"/>
      <c r="J446" s="50"/>
      <c r="K446" s="50"/>
      <c r="L446" s="49"/>
      <c r="M446" s="49"/>
      <c r="N446" s="49"/>
      <c r="O446" s="49"/>
      <c r="P446" s="49"/>
      <c r="Q446" s="49"/>
      <c r="R446" s="49"/>
      <c r="S446" s="49"/>
      <c r="T446" s="49"/>
      <c r="U446" s="49"/>
      <c r="V446" s="51"/>
    </row>
    <row r="448" spans="1:22" ht="15.75" thickBot="1" x14ac:dyDescent="0.3"/>
    <row r="449" spans="1:22" x14ac:dyDescent="0.25">
      <c r="A449" s="31"/>
      <c r="B449" s="32"/>
      <c r="C449" s="33"/>
      <c r="D449" s="33"/>
      <c r="E449" s="33"/>
      <c r="F449" s="34"/>
      <c r="G449" s="34"/>
      <c r="H449" s="34"/>
      <c r="I449" s="34"/>
      <c r="J449" s="34"/>
      <c r="K449" s="34"/>
      <c r="L449" s="35" t="s">
        <v>0</v>
      </c>
      <c r="M449" s="498" t="s">
        <v>60</v>
      </c>
      <c r="N449" s="498"/>
      <c r="O449" s="498"/>
      <c r="P449" s="498"/>
      <c r="Q449" s="33"/>
      <c r="R449" s="33"/>
      <c r="S449" s="33"/>
      <c r="T449" s="33"/>
      <c r="U449" s="33"/>
      <c r="V449" s="36"/>
    </row>
    <row r="450" spans="1:22" x14ac:dyDescent="0.25">
      <c r="A450" s="37"/>
      <c r="L450" s="38" t="s">
        <v>14</v>
      </c>
      <c r="M450" s="477" t="s">
        <v>12</v>
      </c>
      <c r="N450" s="477"/>
      <c r="O450" s="477" t="s">
        <v>12</v>
      </c>
      <c r="P450" s="477"/>
      <c r="Q450" s="477" t="s">
        <v>12</v>
      </c>
      <c r="R450" s="477"/>
      <c r="V450" s="39"/>
    </row>
    <row r="451" spans="1:22" x14ac:dyDescent="0.25">
      <c r="A451" s="37"/>
      <c r="L451" s="38"/>
      <c r="V451" s="39"/>
    </row>
    <row r="452" spans="1:22" x14ac:dyDescent="0.25">
      <c r="A452" s="37"/>
      <c r="L452" s="499" t="s">
        <v>11</v>
      </c>
      <c r="M452" s="21">
        <v>3</v>
      </c>
      <c r="N452" s="21">
        <v>2</v>
      </c>
      <c r="O452" s="20">
        <v>3</v>
      </c>
      <c r="P452" s="20">
        <v>2</v>
      </c>
      <c r="Q452" s="21">
        <v>3</v>
      </c>
      <c r="R452" s="21">
        <v>2</v>
      </c>
      <c r="V452" s="39"/>
    </row>
    <row r="453" spans="1:22" x14ac:dyDescent="0.25">
      <c r="A453" s="37"/>
      <c r="L453" s="499"/>
      <c r="M453" s="21">
        <v>4</v>
      </c>
      <c r="N453" s="21">
        <v>1</v>
      </c>
      <c r="O453" s="20">
        <v>4</v>
      </c>
      <c r="P453" s="20">
        <v>1</v>
      </c>
      <c r="Q453" s="21">
        <v>4</v>
      </c>
      <c r="R453" s="21">
        <v>1</v>
      </c>
      <c r="V453" s="39"/>
    </row>
    <row r="454" spans="1:22" x14ac:dyDescent="0.25">
      <c r="A454" s="37"/>
      <c r="L454" s="38"/>
      <c r="V454" s="39"/>
    </row>
    <row r="455" spans="1:22" x14ac:dyDescent="0.25">
      <c r="A455" s="37"/>
      <c r="L455" s="38" t="s">
        <v>14</v>
      </c>
      <c r="M455" s="477" t="s">
        <v>13</v>
      </c>
      <c r="N455" s="477"/>
      <c r="O455" s="477" t="s">
        <v>13</v>
      </c>
      <c r="P455" s="477"/>
      <c r="Q455" s="477" t="s">
        <v>13</v>
      </c>
      <c r="R455" s="477"/>
      <c r="V455" s="39"/>
    </row>
    <row r="456" spans="1:22" ht="18.75" x14ac:dyDescent="0.3">
      <c r="A456" s="457" t="s">
        <v>36</v>
      </c>
      <c r="B456" s="458"/>
      <c r="C456" s="458"/>
      <c r="D456" s="458"/>
      <c r="E456" s="458"/>
      <c r="F456" s="458"/>
      <c r="G456" s="458"/>
      <c r="H456" s="458"/>
      <c r="I456" s="458"/>
      <c r="J456" s="458"/>
      <c r="K456" s="40"/>
      <c r="M456" s="477"/>
      <c r="N456" s="477"/>
      <c r="O456" s="477"/>
      <c r="P456" s="477"/>
      <c r="V456" s="39"/>
    </row>
    <row r="457" spans="1:22" ht="30" x14ac:dyDescent="0.25">
      <c r="A457" s="41" t="s">
        <v>9</v>
      </c>
      <c r="B457" s="23" t="s">
        <v>7</v>
      </c>
      <c r="C457" s="2" t="s">
        <v>8</v>
      </c>
      <c r="D457" s="2" t="s">
        <v>10</v>
      </c>
      <c r="E457" s="1" t="s">
        <v>2</v>
      </c>
      <c r="F457" s="19" t="s">
        <v>3</v>
      </c>
      <c r="G457" s="19" t="s">
        <v>5</v>
      </c>
      <c r="H457" s="19" t="s">
        <v>57</v>
      </c>
      <c r="I457" s="28" t="s">
        <v>6</v>
      </c>
      <c r="J457" s="28" t="s">
        <v>1</v>
      </c>
      <c r="K457" s="40"/>
      <c r="M457" s="477"/>
      <c r="N457" s="477"/>
      <c r="O457" s="477"/>
      <c r="P457" s="477"/>
      <c r="V457" s="39"/>
    </row>
    <row r="458" spans="1:22" x14ac:dyDescent="0.25">
      <c r="A458" s="478" t="s">
        <v>38</v>
      </c>
      <c r="B458" s="482" t="s">
        <v>55</v>
      </c>
      <c r="C458" s="485" t="s">
        <v>56</v>
      </c>
      <c r="D458" s="485">
        <v>0</v>
      </c>
      <c r="E458" s="3">
        <f t="shared" ref="E458:G477" si="3">E193</f>
        <v>1</v>
      </c>
      <c r="F458" s="3">
        <f t="shared" si="3"/>
        <v>88.4</v>
      </c>
      <c r="G458" s="5">
        <f t="shared" si="3"/>
        <v>96.063970794270958</v>
      </c>
      <c r="H458" s="77">
        <v>66.235699999999994</v>
      </c>
      <c r="I458" s="486">
        <f>SUM(G458:G477)</f>
        <v>2714.7200000000003</v>
      </c>
      <c r="J458" s="462">
        <f>J193</f>
        <v>73.23</v>
      </c>
      <c r="K458" s="455">
        <f>K193</f>
        <v>547.82000000000005</v>
      </c>
      <c r="L458" s="42"/>
      <c r="V458" s="39"/>
    </row>
    <row r="459" spans="1:22" x14ac:dyDescent="0.25">
      <c r="A459" s="479"/>
      <c r="B459" s="483"/>
      <c r="C459" s="460"/>
      <c r="D459" s="460"/>
      <c r="E459" s="3">
        <f t="shared" si="3"/>
        <v>2</v>
      </c>
      <c r="F459" s="3">
        <f t="shared" si="3"/>
        <v>124.73</v>
      </c>
      <c r="G459" s="5">
        <f t="shared" si="3"/>
        <v>135.54365471911103</v>
      </c>
      <c r="H459" s="77">
        <v>84.036199999999994</v>
      </c>
      <c r="I459" s="487"/>
      <c r="J459" s="463"/>
      <c r="K459" s="455"/>
      <c r="L459" s="42"/>
      <c r="V459" s="39"/>
    </row>
    <row r="460" spans="1:22" x14ac:dyDescent="0.25">
      <c r="A460" s="479"/>
      <c r="B460" s="483"/>
      <c r="C460" s="460"/>
      <c r="D460" s="460"/>
      <c r="E460" s="3">
        <f t="shared" si="3"/>
        <v>3</v>
      </c>
      <c r="F460" s="3">
        <f t="shared" si="3"/>
        <v>129.65</v>
      </c>
      <c r="G460" s="5">
        <f t="shared" si="3"/>
        <v>140.8902015099234</v>
      </c>
      <c r="H460" s="77">
        <v>85.562899999999999</v>
      </c>
      <c r="I460" s="487"/>
      <c r="J460" s="463"/>
      <c r="K460" s="455"/>
      <c r="L460" s="42"/>
      <c r="V460" s="39"/>
    </row>
    <row r="461" spans="1:22" ht="15.75" thickBot="1" x14ac:dyDescent="0.3">
      <c r="A461" s="479"/>
      <c r="B461" s="483"/>
      <c r="C461" s="460"/>
      <c r="D461" s="461"/>
      <c r="E461" s="6">
        <f t="shared" si="3"/>
        <v>4</v>
      </c>
      <c r="F461" s="6">
        <f t="shared" si="3"/>
        <v>131.81</v>
      </c>
      <c r="G461" s="7">
        <f t="shared" si="3"/>
        <v>143.23746595467028</v>
      </c>
      <c r="H461" s="77">
        <v>67.414699999999996</v>
      </c>
      <c r="I461" s="487"/>
      <c r="J461" s="464"/>
      <c r="K461" s="456"/>
      <c r="L461" s="42"/>
      <c r="V461" s="39"/>
    </row>
    <row r="462" spans="1:22" ht="15" customHeight="1" x14ac:dyDescent="0.25">
      <c r="A462" s="479"/>
      <c r="B462" s="483"/>
      <c r="C462" s="460"/>
      <c r="D462" s="459">
        <v>1</v>
      </c>
      <c r="E462" s="72">
        <f t="shared" si="3"/>
        <v>1</v>
      </c>
      <c r="F462" s="72">
        <f t="shared" si="3"/>
        <v>88.73</v>
      </c>
      <c r="G462" s="73">
        <f t="shared" si="3"/>
        <v>96.42258063999617</v>
      </c>
      <c r="H462" s="69"/>
      <c r="I462" s="487"/>
      <c r="J462" s="462">
        <f>J197</f>
        <v>46.84</v>
      </c>
      <c r="K462" s="455">
        <f>K197</f>
        <v>521.86</v>
      </c>
      <c r="L462" s="11"/>
      <c r="M462" s="10"/>
      <c r="V462" s="39"/>
    </row>
    <row r="463" spans="1:22" ht="15" customHeight="1" x14ac:dyDescent="0.25">
      <c r="A463" s="479"/>
      <c r="B463" s="483"/>
      <c r="C463" s="460"/>
      <c r="D463" s="460"/>
      <c r="E463" s="3">
        <f t="shared" si="3"/>
        <v>2</v>
      </c>
      <c r="F463" s="3">
        <f t="shared" si="3"/>
        <v>126.36</v>
      </c>
      <c r="G463" s="5">
        <f t="shared" si="3"/>
        <v>137.31497001769318</v>
      </c>
      <c r="H463" s="69"/>
      <c r="I463" s="487"/>
      <c r="J463" s="463"/>
      <c r="K463" s="455"/>
      <c r="L463" s="11"/>
      <c r="V463" s="39"/>
    </row>
    <row r="464" spans="1:22" ht="15" customHeight="1" x14ac:dyDescent="0.25">
      <c r="A464" s="479"/>
      <c r="B464" s="483"/>
      <c r="C464" s="460"/>
      <c r="D464" s="460"/>
      <c r="E464" s="3">
        <f t="shared" si="3"/>
        <v>3</v>
      </c>
      <c r="F464" s="3">
        <f t="shared" si="3"/>
        <v>131.24</v>
      </c>
      <c r="G464" s="5">
        <f t="shared" si="3"/>
        <v>142.61804894841765</v>
      </c>
      <c r="H464" s="69"/>
      <c r="I464" s="487"/>
      <c r="J464" s="463"/>
      <c r="K464" s="455"/>
      <c r="L464" s="12"/>
      <c r="V464" s="39"/>
    </row>
    <row r="465" spans="1:22" ht="15.75" customHeight="1" thickBot="1" x14ac:dyDescent="0.3">
      <c r="A465" s="479"/>
      <c r="B465" s="483"/>
      <c r="C465" s="460"/>
      <c r="D465" s="461"/>
      <c r="E465" s="6">
        <f t="shared" si="3"/>
        <v>4</v>
      </c>
      <c r="F465" s="6">
        <f t="shared" si="3"/>
        <v>128.69</v>
      </c>
      <c r="G465" s="7">
        <f t="shared" si="3"/>
        <v>139.84697286781366</v>
      </c>
      <c r="H465" s="69"/>
      <c r="I465" s="487"/>
      <c r="J465" s="464"/>
      <c r="K465" s="456"/>
      <c r="L465" s="13"/>
      <c r="V465" s="39"/>
    </row>
    <row r="466" spans="1:22" ht="15" customHeight="1" x14ac:dyDescent="0.25">
      <c r="A466" s="479"/>
      <c r="B466" s="483"/>
      <c r="C466" s="460"/>
      <c r="D466" s="459">
        <v>2</v>
      </c>
      <c r="E466" s="72">
        <f t="shared" si="3"/>
        <v>1</v>
      </c>
      <c r="F466" s="72">
        <f t="shared" si="3"/>
        <v>127.21</v>
      </c>
      <c r="G466" s="73">
        <f t="shared" si="3"/>
        <v>138.23866204456115</v>
      </c>
      <c r="H466" s="69"/>
      <c r="I466" s="487"/>
      <c r="J466" s="462">
        <f>J201</f>
        <v>32.549999999999997</v>
      </c>
      <c r="K466" s="455">
        <f>K201</f>
        <v>549.92999999999995</v>
      </c>
      <c r="L466" s="42"/>
      <c r="V466" s="39"/>
    </row>
    <row r="467" spans="1:22" ht="15" customHeight="1" x14ac:dyDescent="0.25">
      <c r="A467" s="479"/>
      <c r="B467" s="483"/>
      <c r="C467" s="460"/>
      <c r="D467" s="460"/>
      <c r="E467" s="3">
        <f t="shared" si="3"/>
        <v>2</v>
      </c>
      <c r="F467" s="3">
        <f t="shared" si="3"/>
        <v>126.78</v>
      </c>
      <c r="G467" s="5">
        <f t="shared" si="3"/>
        <v>137.77138254861617</v>
      </c>
      <c r="H467" s="69"/>
      <c r="I467" s="487"/>
      <c r="J467" s="463"/>
      <c r="K467" s="455"/>
      <c r="L467" s="42"/>
      <c r="V467" s="39"/>
    </row>
    <row r="468" spans="1:22" ht="15" customHeight="1" x14ac:dyDescent="0.25">
      <c r="A468" s="479"/>
      <c r="B468" s="483"/>
      <c r="C468" s="460"/>
      <c r="D468" s="460"/>
      <c r="E468" s="3">
        <f t="shared" si="3"/>
        <v>3</v>
      </c>
      <c r="F468" s="3">
        <f t="shared" si="3"/>
        <v>131.69999999999999</v>
      </c>
      <c r="G468" s="5">
        <f t="shared" si="3"/>
        <v>143.11792933942854</v>
      </c>
      <c r="H468" s="69"/>
      <c r="I468" s="487"/>
      <c r="J468" s="463"/>
      <c r="K468" s="455"/>
      <c r="L468" s="42"/>
      <c r="V468" s="39"/>
    </row>
    <row r="469" spans="1:22" ht="15.75" customHeight="1" thickBot="1" x14ac:dyDescent="0.3">
      <c r="A469" s="479"/>
      <c r="B469" s="483"/>
      <c r="C469" s="460"/>
      <c r="D469" s="461"/>
      <c r="E469" s="6">
        <f t="shared" si="3"/>
        <v>4</v>
      </c>
      <c r="F469" s="6">
        <f t="shared" si="3"/>
        <v>131.69</v>
      </c>
      <c r="G469" s="7">
        <f t="shared" si="3"/>
        <v>143.10706237440658</v>
      </c>
      <c r="H469" s="69"/>
      <c r="I469" s="487"/>
      <c r="J469" s="464"/>
      <c r="K469" s="456"/>
      <c r="L469" s="42"/>
      <c r="V469" s="39"/>
    </row>
    <row r="470" spans="1:22" ht="15" customHeight="1" x14ac:dyDescent="0.25">
      <c r="A470" s="479"/>
      <c r="B470" s="483"/>
      <c r="C470" s="460"/>
      <c r="D470" s="459">
        <v>3</v>
      </c>
      <c r="E470" s="72">
        <f t="shared" si="3"/>
        <v>1</v>
      </c>
      <c r="F470" s="72">
        <f t="shared" si="3"/>
        <v>131.88</v>
      </c>
      <c r="G470" s="73">
        <f t="shared" si="3"/>
        <v>143.31353470982413</v>
      </c>
      <c r="H470" s="67"/>
      <c r="I470" s="489"/>
      <c r="J470" s="462">
        <f>J205</f>
        <v>32.549999999999997</v>
      </c>
      <c r="K470" s="455">
        <f>K205</f>
        <v>549.14</v>
      </c>
      <c r="L470" s="42"/>
      <c r="V470" s="39"/>
    </row>
    <row r="471" spans="1:22" ht="15" customHeight="1" x14ac:dyDescent="0.25">
      <c r="A471" s="479"/>
      <c r="B471" s="483"/>
      <c r="C471" s="460"/>
      <c r="D471" s="460"/>
      <c r="E471" s="3">
        <f t="shared" si="3"/>
        <v>2</v>
      </c>
      <c r="F471" s="3">
        <f t="shared" si="3"/>
        <v>131.43</v>
      </c>
      <c r="G471" s="5">
        <f t="shared" si="3"/>
        <v>142.8245212838352</v>
      </c>
      <c r="H471" s="67"/>
      <c r="I471" s="489"/>
      <c r="J471" s="463"/>
      <c r="K471" s="455"/>
      <c r="L471" s="42"/>
      <c r="V471" s="39"/>
    </row>
    <row r="472" spans="1:22" ht="15" customHeight="1" x14ac:dyDescent="0.25">
      <c r="A472" s="479"/>
      <c r="B472" s="483"/>
      <c r="C472" s="460"/>
      <c r="D472" s="460"/>
      <c r="E472" s="3">
        <f t="shared" si="3"/>
        <v>3</v>
      </c>
      <c r="F472" s="3">
        <f t="shared" si="3"/>
        <v>126.97</v>
      </c>
      <c r="G472" s="5">
        <f t="shared" si="3"/>
        <v>137.97785488403375</v>
      </c>
      <c r="H472" s="67"/>
      <c r="I472" s="489"/>
      <c r="J472" s="463"/>
      <c r="K472" s="455"/>
      <c r="L472" s="42"/>
      <c r="V472" s="39"/>
    </row>
    <row r="473" spans="1:22" ht="15.75" customHeight="1" thickBot="1" x14ac:dyDescent="0.3">
      <c r="A473" s="479"/>
      <c r="B473" s="483"/>
      <c r="C473" s="460"/>
      <c r="D473" s="461"/>
      <c r="E473" s="6">
        <f t="shared" si="3"/>
        <v>4</v>
      </c>
      <c r="F473" s="6">
        <f t="shared" si="3"/>
        <v>127.45</v>
      </c>
      <c r="G473" s="7">
        <f t="shared" si="3"/>
        <v>138.49946920508859</v>
      </c>
      <c r="H473" s="67"/>
      <c r="I473" s="489"/>
      <c r="J473" s="464"/>
      <c r="K473" s="456"/>
      <c r="L473" s="42"/>
      <c r="V473" s="39"/>
    </row>
    <row r="474" spans="1:22" ht="15" customHeight="1" x14ac:dyDescent="0.25">
      <c r="A474" s="479"/>
      <c r="B474" s="483"/>
      <c r="C474" s="460"/>
      <c r="D474" s="459">
        <v>4</v>
      </c>
      <c r="E474" s="70">
        <f t="shared" si="3"/>
        <v>1</v>
      </c>
      <c r="F474" s="70">
        <f t="shared" si="3"/>
        <v>125.15</v>
      </c>
      <c r="G474" s="65">
        <f t="shared" si="3"/>
        <v>136.00006725003405</v>
      </c>
      <c r="H474" s="69"/>
      <c r="I474" s="487"/>
      <c r="J474" s="462">
        <f>J209</f>
        <v>32.549999999999997</v>
      </c>
      <c r="K474" s="455">
        <f>K209</f>
        <v>545.97</v>
      </c>
      <c r="L474" s="42"/>
      <c r="V474" s="39"/>
    </row>
    <row r="475" spans="1:22" ht="15" customHeight="1" x14ac:dyDescent="0.25">
      <c r="A475" s="479"/>
      <c r="B475" s="483"/>
      <c r="C475" s="460"/>
      <c r="D475" s="460"/>
      <c r="E475" s="3">
        <f t="shared" si="3"/>
        <v>2</v>
      </c>
      <c r="F475" s="3">
        <f t="shared" si="3"/>
        <v>126.87</v>
      </c>
      <c r="G475" s="5">
        <f t="shared" si="3"/>
        <v>137.86918523381397</v>
      </c>
      <c r="H475" s="69"/>
      <c r="I475" s="487"/>
      <c r="J475" s="463"/>
      <c r="K475" s="455"/>
      <c r="L475" s="42"/>
      <c r="V475" s="39"/>
    </row>
    <row r="476" spans="1:22" ht="15" customHeight="1" x14ac:dyDescent="0.25">
      <c r="A476" s="479"/>
      <c r="B476" s="483"/>
      <c r="C476" s="460"/>
      <c r="D476" s="460"/>
      <c r="E476" s="3">
        <f t="shared" si="3"/>
        <v>3</v>
      </c>
      <c r="F476" s="3">
        <f t="shared" si="3"/>
        <v>131.77000000000001</v>
      </c>
      <c r="G476" s="5">
        <f t="shared" si="3"/>
        <v>143.19399809458238</v>
      </c>
      <c r="H476" s="69"/>
      <c r="I476" s="487"/>
      <c r="J476" s="463"/>
      <c r="K476" s="455"/>
      <c r="L476" s="42"/>
      <c r="V476" s="39"/>
    </row>
    <row r="477" spans="1:22" ht="15.75" customHeight="1" thickBot="1" x14ac:dyDescent="0.3">
      <c r="A477" s="480"/>
      <c r="B477" s="484"/>
      <c r="C477" s="476"/>
      <c r="D477" s="476"/>
      <c r="E477" s="3">
        <f t="shared" si="3"/>
        <v>4</v>
      </c>
      <c r="F477" s="3">
        <f t="shared" si="3"/>
        <v>129.63</v>
      </c>
      <c r="G477" s="5">
        <f t="shared" si="3"/>
        <v>140.86846757987945</v>
      </c>
      <c r="H477" s="70"/>
      <c r="I477" s="488"/>
      <c r="J477" s="464"/>
      <c r="K477" s="456"/>
      <c r="L477" s="42"/>
      <c r="V477" s="39"/>
    </row>
    <row r="478" spans="1:22" x14ac:dyDescent="0.25">
      <c r="A478" s="43" t="s">
        <v>4</v>
      </c>
      <c r="B478" s="24"/>
      <c r="C478" s="4"/>
      <c r="D478" s="4"/>
      <c r="E478" s="4"/>
      <c r="F478" s="8">
        <f>SUM(F458:F477)</f>
        <v>2498.14</v>
      </c>
      <c r="G478" s="8"/>
      <c r="H478" s="8"/>
      <c r="I478" s="8">
        <f>K458+K462+K466+K470+K474</f>
        <v>2714.7200000000003</v>
      </c>
      <c r="J478" s="8">
        <f>J474+J470+J466+J462+J458</f>
        <v>217.72000000000003</v>
      </c>
      <c r="K478" s="40"/>
      <c r="L478" s="44"/>
      <c r="V478" s="39"/>
    </row>
    <row r="479" spans="1:22" x14ac:dyDescent="0.25">
      <c r="A479" s="37"/>
      <c r="F479" s="18">
        <f>I478/F478</f>
        <v>1.0866965021976351</v>
      </c>
      <c r="I479" s="45"/>
      <c r="J479" s="9">
        <f>(J458+J462+J466+J470+J474)/I478</f>
        <v>8.0199799611009606E-2</v>
      </c>
      <c r="V479" s="39"/>
    </row>
    <row r="480" spans="1:22" ht="18.75" x14ac:dyDescent="0.3">
      <c r="A480" s="37"/>
      <c r="Q480" s="481" t="s">
        <v>34</v>
      </c>
      <c r="R480" s="481"/>
      <c r="S480" s="60"/>
      <c r="V480" s="39"/>
    </row>
    <row r="481" spans="1:22" x14ac:dyDescent="0.25">
      <c r="A481" s="37"/>
      <c r="Q481" s="61"/>
      <c r="R481" s="62" t="s">
        <v>35</v>
      </c>
      <c r="S481" s="62"/>
      <c r="V481" s="39"/>
    </row>
    <row r="482" spans="1:22" ht="18.75" x14ac:dyDescent="0.3">
      <c r="A482" s="457" t="s">
        <v>36</v>
      </c>
      <c r="B482" s="458"/>
      <c r="C482" s="458"/>
      <c r="D482" s="458"/>
      <c r="E482" s="458"/>
      <c r="F482" s="458"/>
      <c r="G482" s="458"/>
      <c r="H482" s="458"/>
      <c r="I482" s="458"/>
      <c r="J482" s="458"/>
      <c r="K482" s="46"/>
      <c r="V482" s="39"/>
    </row>
    <row r="483" spans="1:22" ht="30" x14ac:dyDescent="0.25">
      <c r="A483" s="41" t="s">
        <v>9</v>
      </c>
      <c r="B483" s="23" t="s">
        <v>7</v>
      </c>
      <c r="C483" s="2" t="s">
        <v>8</v>
      </c>
      <c r="D483" s="2" t="s">
        <v>10</v>
      </c>
      <c r="E483" s="1" t="s">
        <v>2</v>
      </c>
      <c r="F483" s="19" t="s">
        <v>3</v>
      </c>
      <c r="G483" s="19" t="s">
        <v>5</v>
      </c>
      <c r="H483" s="19" t="s">
        <v>57</v>
      </c>
      <c r="I483" s="28" t="s">
        <v>6</v>
      </c>
      <c r="J483" s="28" t="s">
        <v>1</v>
      </c>
      <c r="K483" s="46"/>
      <c r="V483" s="39"/>
    </row>
    <row r="484" spans="1:22" x14ac:dyDescent="0.25">
      <c r="A484" s="478" t="s">
        <v>38</v>
      </c>
      <c r="B484" s="482" t="s">
        <v>55</v>
      </c>
      <c r="C484" s="485" t="s">
        <v>58</v>
      </c>
      <c r="D484" s="485">
        <v>0</v>
      </c>
      <c r="E484" s="3">
        <f>E219</f>
        <v>1</v>
      </c>
      <c r="F484" s="3">
        <f>F219</f>
        <v>131.81</v>
      </c>
      <c r="G484" s="5">
        <f>G219</f>
        <v>143.33409972454882</v>
      </c>
      <c r="H484" s="77">
        <v>81.665000000000006</v>
      </c>
      <c r="I484" s="486">
        <f>SUM(G484:G503)</f>
        <v>2708.2</v>
      </c>
      <c r="J484" s="462">
        <f>J219</f>
        <v>73.23</v>
      </c>
      <c r="K484" s="465">
        <f>K219</f>
        <v>547.82000000000005</v>
      </c>
      <c r="V484" s="39"/>
    </row>
    <row r="485" spans="1:22" x14ac:dyDescent="0.25">
      <c r="A485" s="479"/>
      <c r="B485" s="483"/>
      <c r="C485" s="460"/>
      <c r="D485" s="460"/>
      <c r="E485" s="3">
        <f t="shared" ref="E485:G503" si="4">E220</f>
        <v>2</v>
      </c>
      <c r="F485" s="71">
        <f t="shared" si="4"/>
        <v>129.65</v>
      </c>
      <c r="G485" s="5">
        <f t="shared" si="4"/>
        <v>140.98525172056563</v>
      </c>
      <c r="H485" s="77">
        <v>86.075999999999993</v>
      </c>
      <c r="I485" s="487"/>
      <c r="J485" s="463"/>
      <c r="K485" s="465"/>
      <c r="M485" s="18"/>
      <c r="V485" s="39"/>
    </row>
    <row r="486" spans="1:22" x14ac:dyDescent="0.25">
      <c r="A486" s="479"/>
      <c r="B486" s="483"/>
      <c r="C486" s="460"/>
      <c r="D486" s="460"/>
      <c r="E486" s="3">
        <f t="shared" si="4"/>
        <v>3</v>
      </c>
      <c r="F486" s="71">
        <f t="shared" si="4"/>
        <v>124.73</v>
      </c>
      <c r="G486" s="5">
        <f t="shared" si="4"/>
        <v>135.63509793371503</v>
      </c>
      <c r="H486" s="77">
        <v>85.509600000000006</v>
      </c>
      <c r="I486" s="487"/>
      <c r="J486" s="463"/>
      <c r="K486" s="465"/>
      <c r="V486" s="39"/>
    </row>
    <row r="487" spans="1:22" ht="15.75" thickBot="1" x14ac:dyDescent="0.3">
      <c r="A487" s="479"/>
      <c r="B487" s="483"/>
      <c r="C487" s="460"/>
      <c r="D487" s="461"/>
      <c r="E487" s="6">
        <f t="shared" si="4"/>
        <v>4</v>
      </c>
      <c r="F487" s="6">
        <f t="shared" si="4"/>
        <v>88.4</v>
      </c>
      <c r="G487" s="7">
        <f t="shared" si="4"/>
        <v>96.128779422275372</v>
      </c>
      <c r="H487" s="77">
        <v>66.653899999999993</v>
      </c>
      <c r="I487" s="487"/>
      <c r="J487" s="464"/>
      <c r="K487" s="466"/>
      <c r="L487" s="14"/>
      <c r="V487" s="39"/>
    </row>
    <row r="488" spans="1:22" ht="15" customHeight="1" x14ac:dyDescent="0.25">
      <c r="A488" s="479"/>
      <c r="B488" s="483"/>
      <c r="C488" s="460"/>
      <c r="D488" s="459">
        <v>1</v>
      </c>
      <c r="E488" s="72">
        <f t="shared" si="4"/>
        <v>1</v>
      </c>
      <c r="F488" s="72">
        <f t="shared" si="4"/>
        <v>132.43</v>
      </c>
      <c r="G488" s="73">
        <f t="shared" si="4"/>
        <v>144.00830609606254</v>
      </c>
      <c r="H488" s="69"/>
      <c r="I488" s="487"/>
      <c r="J488" s="462">
        <f>J223</f>
        <v>46.84</v>
      </c>
      <c r="K488" s="465">
        <f>K223</f>
        <v>515.34</v>
      </c>
      <c r="L488" s="17"/>
      <c r="V488" s="39"/>
    </row>
    <row r="489" spans="1:22" ht="15" customHeight="1" x14ac:dyDescent="0.25">
      <c r="A489" s="479"/>
      <c r="B489" s="483"/>
      <c r="C489" s="460"/>
      <c r="D489" s="460"/>
      <c r="E489" s="3">
        <f t="shared" si="4"/>
        <v>2</v>
      </c>
      <c r="F489" s="71">
        <f t="shared" si="4"/>
        <v>126.09</v>
      </c>
      <c r="G489" s="5">
        <f t="shared" si="4"/>
        <v>137.11400223251925</v>
      </c>
      <c r="H489" s="69"/>
      <c r="I489" s="487"/>
      <c r="J489" s="463"/>
      <c r="K489" s="465"/>
      <c r="L489" s="63"/>
      <c r="M489" s="29"/>
      <c r="V489" s="39"/>
    </row>
    <row r="490" spans="1:22" ht="15" customHeight="1" x14ac:dyDescent="0.25">
      <c r="A490" s="479"/>
      <c r="B490" s="483"/>
      <c r="C490" s="460"/>
      <c r="D490" s="460"/>
      <c r="E490" s="3">
        <f t="shared" si="4"/>
        <v>3</v>
      </c>
      <c r="F490" s="71">
        <f t="shared" si="4"/>
        <v>121.24</v>
      </c>
      <c r="G490" s="5">
        <f t="shared" si="4"/>
        <v>131.83996851987177</v>
      </c>
      <c r="H490" s="69"/>
      <c r="I490" s="487"/>
      <c r="J490" s="463"/>
      <c r="K490" s="465"/>
      <c r="L490" s="16"/>
      <c r="M490" s="10"/>
      <c r="V490" s="39"/>
    </row>
    <row r="491" spans="1:22" ht="15.75" customHeight="1" thickBot="1" x14ac:dyDescent="0.3">
      <c r="A491" s="479"/>
      <c r="B491" s="483"/>
      <c r="C491" s="460"/>
      <c r="D491" s="461"/>
      <c r="E491" s="6">
        <f t="shared" si="4"/>
        <v>4</v>
      </c>
      <c r="F491" s="6">
        <f t="shared" si="4"/>
        <v>88.73</v>
      </c>
      <c r="G491" s="7">
        <f t="shared" si="4"/>
        <v>96.487631200661696</v>
      </c>
      <c r="H491" s="69"/>
      <c r="I491" s="487"/>
      <c r="J491" s="464"/>
      <c r="K491" s="466"/>
      <c r="L491" s="15"/>
      <c r="V491" s="39"/>
    </row>
    <row r="492" spans="1:22" ht="15" customHeight="1" x14ac:dyDescent="0.25">
      <c r="A492" s="479"/>
      <c r="B492" s="483"/>
      <c r="C492" s="460"/>
      <c r="D492" s="459">
        <v>2</v>
      </c>
      <c r="E492" s="72">
        <f t="shared" si="4"/>
        <v>1</v>
      </c>
      <c r="F492" s="72">
        <f t="shared" si="4"/>
        <v>131.69</v>
      </c>
      <c r="G492" s="73">
        <f t="shared" si="4"/>
        <v>143.20360816877198</v>
      </c>
      <c r="H492" s="69"/>
      <c r="I492" s="487"/>
      <c r="J492" s="462">
        <f>J227</f>
        <v>32.549999999999997</v>
      </c>
      <c r="K492" s="465">
        <f>K227</f>
        <v>549.92999999999995</v>
      </c>
      <c r="V492" s="39"/>
    </row>
    <row r="493" spans="1:22" ht="15" customHeight="1" x14ac:dyDescent="0.25">
      <c r="A493" s="479"/>
      <c r="B493" s="483"/>
      <c r="C493" s="460"/>
      <c r="D493" s="460"/>
      <c r="E493" s="3">
        <f t="shared" si="4"/>
        <v>2</v>
      </c>
      <c r="F493" s="3">
        <f t="shared" si="4"/>
        <v>131.69999999999999</v>
      </c>
      <c r="G493" s="5">
        <f t="shared" si="4"/>
        <v>143.21448246508672</v>
      </c>
      <c r="H493" s="69"/>
      <c r="I493" s="487"/>
      <c r="J493" s="463"/>
      <c r="K493" s="465"/>
      <c r="M493" s="18"/>
      <c r="V493" s="39"/>
    </row>
    <row r="494" spans="1:22" ht="15" customHeight="1" x14ac:dyDescent="0.25">
      <c r="A494" s="479"/>
      <c r="B494" s="483"/>
      <c r="C494" s="460"/>
      <c r="D494" s="460"/>
      <c r="E494" s="3">
        <f t="shared" si="4"/>
        <v>3</v>
      </c>
      <c r="F494" s="3">
        <f t="shared" si="4"/>
        <v>126.78</v>
      </c>
      <c r="G494" s="5">
        <f t="shared" si="4"/>
        <v>137.86432867823612</v>
      </c>
      <c r="H494" s="69"/>
      <c r="I494" s="487"/>
      <c r="J494" s="463"/>
      <c r="K494" s="465"/>
      <c r="L494" s="18"/>
      <c r="M494" s="18"/>
      <c r="V494" s="39"/>
    </row>
    <row r="495" spans="1:22" ht="15.75" customHeight="1" thickBot="1" x14ac:dyDescent="0.3">
      <c r="A495" s="479"/>
      <c r="B495" s="483"/>
      <c r="C495" s="460"/>
      <c r="D495" s="461"/>
      <c r="E495" s="6">
        <f t="shared" si="4"/>
        <v>4</v>
      </c>
      <c r="F495" s="6">
        <f t="shared" si="4"/>
        <v>127.21</v>
      </c>
      <c r="G495" s="7">
        <f t="shared" si="4"/>
        <v>138.33192341976979</v>
      </c>
      <c r="H495" s="69"/>
      <c r="I495" s="487"/>
      <c r="J495" s="464"/>
      <c r="K495" s="466"/>
      <c r="V495" s="39"/>
    </row>
    <row r="496" spans="1:22" ht="15" customHeight="1" x14ac:dyDescent="0.25">
      <c r="A496" s="479"/>
      <c r="B496" s="483"/>
      <c r="C496" s="460"/>
      <c r="D496" s="459">
        <v>3</v>
      </c>
      <c r="E496" s="72">
        <f t="shared" si="4"/>
        <v>1</v>
      </c>
      <c r="F496" s="72">
        <f t="shared" si="4"/>
        <v>131.59</v>
      </c>
      <c r="G496" s="73">
        <f t="shared" si="4"/>
        <v>143.09486520562461</v>
      </c>
      <c r="H496" s="69"/>
      <c r="I496" s="487"/>
      <c r="J496" s="462">
        <f>J231</f>
        <v>32.549999999999997</v>
      </c>
      <c r="K496" s="465">
        <f>K231</f>
        <v>549.14</v>
      </c>
      <c r="V496" s="39"/>
    </row>
    <row r="497" spans="1:22" ht="15" customHeight="1" x14ac:dyDescent="0.25">
      <c r="A497" s="479"/>
      <c r="B497" s="483"/>
      <c r="C497" s="460"/>
      <c r="D497" s="460"/>
      <c r="E497" s="3">
        <f t="shared" si="4"/>
        <v>2</v>
      </c>
      <c r="F497" s="3">
        <f t="shared" si="4"/>
        <v>131.4</v>
      </c>
      <c r="G497" s="5">
        <f t="shared" si="4"/>
        <v>142.88825357564463</v>
      </c>
      <c r="H497" s="69"/>
      <c r="I497" s="487"/>
      <c r="J497" s="463"/>
      <c r="K497" s="465"/>
      <c r="M497" s="18"/>
      <c r="V497" s="39"/>
    </row>
    <row r="498" spans="1:22" ht="15" customHeight="1" x14ac:dyDescent="0.25">
      <c r="A498" s="479"/>
      <c r="B498" s="483"/>
      <c r="C498" s="460"/>
      <c r="D498" s="460"/>
      <c r="E498" s="3">
        <f t="shared" si="4"/>
        <v>3</v>
      </c>
      <c r="F498" s="3">
        <f t="shared" si="4"/>
        <v>126.49</v>
      </c>
      <c r="G498" s="5">
        <f t="shared" si="4"/>
        <v>137.54897408510874</v>
      </c>
      <c r="H498" s="69"/>
      <c r="I498" s="487"/>
      <c r="J498" s="463"/>
      <c r="K498" s="465"/>
      <c r="M498" s="18"/>
      <c r="V498" s="39"/>
    </row>
    <row r="499" spans="1:22" ht="15.75" customHeight="1" thickBot="1" x14ac:dyDescent="0.3">
      <c r="A499" s="479"/>
      <c r="B499" s="483"/>
      <c r="C499" s="460"/>
      <c r="D499" s="461"/>
      <c r="E499" s="6">
        <f t="shared" si="4"/>
        <v>4</v>
      </c>
      <c r="F499" s="6">
        <f t="shared" si="4"/>
        <v>127.1</v>
      </c>
      <c r="G499" s="7">
        <f t="shared" si="4"/>
        <v>138.21230616030769</v>
      </c>
      <c r="H499" s="69"/>
      <c r="I499" s="487"/>
      <c r="J499" s="464"/>
      <c r="K499" s="466"/>
      <c r="V499" s="39"/>
    </row>
    <row r="500" spans="1:22" ht="15" customHeight="1" x14ac:dyDescent="0.25">
      <c r="A500" s="479"/>
      <c r="B500" s="483"/>
      <c r="C500" s="460"/>
      <c r="D500" s="459">
        <v>4</v>
      </c>
      <c r="E500" s="70">
        <f t="shared" si="4"/>
        <v>1</v>
      </c>
      <c r="F500" s="70">
        <f t="shared" si="4"/>
        <v>129.63</v>
      </c>
      <c r="G500" s="65">
        <f t="shared" si="4"/>
        <v>140.96350312793615</v>
      </c>
      <c r="H500" s="69"/>
      <c r="I500" s="487"/>
      <c r="J500" s="462">
        <f>J235</f>
        <v>32.549999999999997</v>
      </c>
      <c r="K500" s="465">
        <f>K235</f>
        <v>545.97</v>
      </c>
      <c r="V500" s="39"/>
    </row>
    <row r="501" spans="1:22" ht="15" customHeight="1" x14ac:dyDescent="0.25">
      <c r="A501" s="479"/>
      <c r="B501" s="483"/>
      <c r="C501" s="460"/>
      <c r="D501" s="460"/>
      <c r="E501" s="3">
        <f t="shared" si="4"/>
        <v>2</v>
      </c>
      <c r="F501" s="3">
        <f t="shared" si="4"/>
        <v>131.78</v>
      </c>
      <c r="G501" s="5">
        <f t="shared" si="4"/>
        <v>143.30147683560463</v>
      </c>
      <c r="H501" s="69"/>
      <c r="I501" s="487"/>
      <c r="J501" s="463"/>
      <c r="K501" s="465"/>
      <c r="M501" s="18"/>
      <c r="V501" s="39"/>
    </row>
    <row r="502" spans="1:22" ht="15" customHeight="1" x14ac:dyDescent="0.25">
      <c r="A502" s="479"/>
      <c r="B502" s="483"/>
      <c r="C502" s="460"/>
      <c r="D502" s="460"/>
      <c r="E502" s="3">
        <f t="shared" si="4"/>
        <v>3</v>
      </c>
      <c r="F502" s="3">
        <f t="shared" si="4"/>
        <v>126.86</v>
      </c>
      <c r="G502" s="5">
        <f t="shared" si="4"/>
        <v>137.95132304875401</v>
      </c>
      <c r="H502" s="69"/>
      <c r="I502" s="487"/>
      <c r="J502" s="463"/>
      <c r="K502" s="465"/>
      <c r="V502" s="39"/>
    </row>
    <row r="503" spans="1:22" ht="15.75" customHeight="1" thickBot="1" x14ac:dyDescent="0.3">
      <c r="A503" s="480"/>
      <c r="B503" s="484"/>
      <c r="C503" s="476"/>
      <c r="D503" s="476"/>
      <c r="E503" s="3">
        <f t="shared" si="4"/>
        <v>4</v>
      </c>
      <c r="F503" s="3">
        <f t="shared" si="4"/>
        <v>125.15</v>
      </c>
      <c r="G503" s="5">
        <f t="shared" si="4"/>
        <v>136.09181837893397</v>
      </c>
      <c r="H503" s="70"/>
      <c r="I503" s="488"/>
      <c r="J503" s="464"/>
      <c r="K503" s="466"/>
      <c r="V503" s="39"/>
    </row>
    <row r="504" spans="1:22" x14ac:dyDescent="0.25">
      <c r="A504" s="43" t="s">
        <v>4</v>
      </c>
      <c r="B504" s="24"/>
      <c r="C504" s="4"/>
      <c r="D504" s="4"/>
      <c r="E504" s="4"/>
      <c r="F504" s="8">
        <f>SUM(F484:F503)</f>
        <v>2490.4600000000005</v>
      </c>
      <c r="G504" s="8"/>
      <c r="H504" s="8"/>
      <c r="I504" s="8">
        <f>K484+K488+K492+K496+K500</f>
        <v>2708.2</v>
      </c>
      <c r="J504" s="8">
        <f>J500+J496+J492+J488+J484</f>
        <v>217.72000000000003</v>
      </c>
      <c r="K504" s="46"/>
      <c r="V504" s="39"/>
    </row>
    <row r="505" spans="1:22" x14ac:dyDescent="0.25">
      <c r="A505" s="37"/>
      <c r="F505" s="18">
        <f>I504/F504</f>
        <v>1.0874296314737033</v>
      </c>
      <c r="I505" s="45"/>
      <c r="J505" s="9">
        <f>(J484+J488+J492+J496+J500)/I504</f>
        <v>8.0392880880289508E-2</v>
      </c>
      <c r="K505" s="46"/>
      <c r="V505" s="39"/>
    </row>
    <row r="506" spans="1:22" x14ac:dyDescent="0.25">
      <c r="A506" s="37"/>
      <c r="V506" s="39"/>
    </row>
    <row r="507" spans="1:22" x14ac:dyDescent="0.25">
      <c r="A507" s="37"/>
      <c r="V507" s="39"/>
    </row>
    <row r="508" spans="1:22" ht="18.75" x14ac:dyDescent="0.3">
      <c r="A508" s="457" t="s">
        <v>36</v>
      </c>
      <c r="B508" s="458"/>
      <c r="C508" s="458"/>
      <c r="D508" s="458"/>
      <c r="E508" s="458"/>
      <c r="F508" s="458"/>
      <c r="G508" s="458"/>
      <c r="H508" s="458"/>
      <c r="I508" s="458"/>
      <c r="J508" s="458"/>
      <c r="K508" s="40"/>
      <c r="V508" s="39"/>
    </row>
    <row r="509" spans="1:22" ht="30" x14ac:dyDescent="0.25">
      <c r="A509" s="41" t="s">
        <v>9</v>
      </c>
      <c r="B509" s="23" t="s">
        <v>7</v>
      </c>
      <c r="C509" s="2" t="s">
        <v>8</v>
      </c>
      <c r="D509" s="2" t="s">
        <v>10</v>
      </c>
      <c r="E509" s="1" t="s">
        <v>2</v>
      </c>
      <c r="F509" s="19" t="s">
        <v>3</v>
      </c>
      <c r="G509" s="19" t="s">
        <v>5</v>
      </c>
      <c r="H509" s="19" t="s">
        <v>57</v>
      </c>
      <c r="I509" s="28" t="s">
        <v>6</v>
      </c>
      <c r="J509" s="28" t="s">
        <v>1</v>
      </c>
      <c r="K509" s="40"/>
      <c r="V509" s="39"/>
    </row>
    <row r="510" spans="1:22" x14ac:dyDescent="0.25">
      <c r="A510" s="478" t="s">
        <v>38</v>
      </c>
      <c r="B510" s="482" t="s">
        <v>55</v>
      </c>
      <c r="C510" s="485" t="s">
        <v>59</v>
      </c>
      <c r="D510" s="485">
        <v>0</v>
      </c>
      <c r="E510" s="3">
        <f>E245</f>
        <v>1</v>
      </c>
      <c r="F510" s="3">
        <f>F245</f>
        <v>131.81</v>
      </c>
      <c r="G510" s="5">
        <f>G245</f>
        <v>143.30566590029719</v>
      </c>
      <c r="H510" s="77">
        <v>66.414400000000001</v>
      </c>
      <c r="I510" s="486">
        <f>SUM(G510:G529)</f>
        <v>2714.3599999999988</v>
      </c>
      <c r="J510" s="462">
        <f>J245</f>
        <v>73.23</v>
      </c>
      <c r="K510" s="455">
        <f>K245</f>
        <v>547.75</v>
      </c>
      <c r="V510" s="39"/>
    </row>
    <row r="511" spans="1:22" x14ac:dyDescent="0.25">
      <c r="A511" s="479"/>
      <c r="B511" s="483"/>
      <c r="C511" s="460"/>
      <c r="D511" s="460"/>
      <c r="E511" s="3">
        <f t="shared" ref="E511:G529" si="5">E246</f>
        <v>2</v>
      </c>
      <c r="F511" s="3">
        <f t="shared" si="5"/>
        <v>129.65</v>
      </c>
      <c r="G511" s="5">
        <f t="shared" si="5"/>
        <v>140.95728384776217</v>
      </c>
      <c r="H511" s="77">
        <v>85.619500000000002</v>
      </c>
      <c r="I511" s="487"/>
      <c r="J511" s="463"/>
      <c r="K511" s="455"/>
      <c r="V511" s="39"/>
    </row>
    <row r="512" spans="1:22" x14ac:dyDescent="0.25">
      <c r="A512" s="479"/>
      <c r="B512" s="483"/>
      <c r="C512" s="460"/>
      <c r="D512" s="460"/>
      <c r="E512" s="3">
        <f t="shared" si="5"/>
        <v>3</v>
      </c>
      <c r="F512" s="3">
        <f t="shared" si="5"/>
        <v>124.69</v>
      </c>
      <c r="G512" s="5">
        <f t="shared" si="5"/>
        <v>135.56470283823728</v>
      </c>
      <c r="H512" s="77">
        <v>84.075199999999995</v>
      </c>
      <c r="I512" s="487"/>
      <c r="J512" s="463"/>
      <c r="K512" s="455"/>
      <c r="V512" s="39"/>
    </row>
    <row r="513" spans="1:22" ht="15.75" thickBot="1" x14ac:dyDescent="0.3">
      <c r="A513" s="479"/>
      <c r="B513" s="483"/>
      <c r="C513" s="460"/>
      <c r="D513" s="461"/>
      <c r="E513" s="6">
        <f t="shared" si="5"/>
        <v>4</v>
      </c>
      <c r="F513" s="6">
        <f t="shared" si="5"/>
        <v>88.37</v>
      </c>
      <c r="G513" s="7">
        <f t="shared" si="5"/>
        <v>96.077093510426081</v>
      </c>
      <c r="H513" s="77">
        <v>81.358599999999996</v>
      </c>
      <c r="I513" s="487"/>
      <c r="J513" s="464"/>
      <c r="K513" s="456"/>
      <c r="L513" s="14"/>
      <c r="V513" s="39"/>
    </row>
    <row r="514" spans="1:22" ht="15" customHeight="1" x14ac:dyDescent="0.25">
      <c r="A514" s="479"/>
      <c r="B514" s="483"/>
      <c r="C514" s="460"/>
      <c r="D514" s="459">
        <v>1</v>
      </c>
      <c r="E514" s="72">
        <f t="shared" si="5"/>
        <v>1</v>
      </c>
      <c r="F514" s="72">
        <f t="shared" si="5"/>
        <v>128.69</v>
      </c>
      <c r="G514" s="73">
        <f t="shared" si="5"/>
        <v>139.91355849107993</v>
      </c>
      <c r="H514" s="69"/>
      <c r="I514" s="487"/>
      <c r="J514" s="462">
        <f>J249</f>
        <v>46.84</v>
      </c>
      <c r="K514" s="455">
        <f>K249</f>
        <v>521.79</v>
      </c>
      <c r="L514" s="17"/>
      <c r="V514" s="39"/>
    </row>
    <row r="515" spans="1:22" ht="15" customHeight="1" x14ac:dyDescent="0.25">
      <c r="A515" s="479"/>
      <c r="B515" s="483"/>
      <c r="C515" s="460"/>
      <c r="D515" s="460"/>
      <c r="E515" s="3">
        <f t="shared" si="5"/>
        <v>2</v>
      </c>
      <c r="F515" s="3">
        <f t="shared" si="5"/>
        <v>131.24</v>
      </c>
      <c r="G515" s="5">
        <f t="shared" si="5"/>
        <v>142.6859539697671</v>
      </c>
      <c r="H515" s="69"/>
      <c r="I515" s="487"/>
      <c r="J515" s="463"/>
      <c r="K515" s="455"/>
      <c r="L515" s="17"/>
      <c r="M515" s="29"/>
      <c r="V515" s="39"/>
    </row>
    <row r="516" spans="1:22" ht="15" customHeight="1" x14ac:dyDescent="0.25">
      <c r="A516" s="479"/>
      <c r="B516" s="483"/>
      <c r="C516" s="460"/>
      <c r="D516" s="460"/>
      <c r="E516" s="3">
        <f t="shared" si="5"/>
        <v>3</v>
      </c>
      <c r="F516" s="3">
        <f t="shared" si="5"/>
        <v>126.32</v>
      </c>
      <c r="G516" s="5">
        <f t="shared" si="5"/>
        <v>137.33686151677065</v>
      </c>
      <c r="H516" s="69"/>
      <c r="I516" s="487"/>
      <c r="J516" s="463"/>
      <c r="K516" s="455"/>
      <c r="L516" s="16"/>
      <c r="M516" s="10"/>
      <c r="V516" s="39"/>
    </row>
    <row r="517" spans="1:22" ht="15.75" customHeight="1" thickBot="1" x14ac:dyDescent="0.3">
      <c r="A517" s="479"/>
      <c r="B517" s="483"/>
      <c r="C517" s="460"/>
      <c r="D517" s="461"/>
      <c r="E517" s="6">
        <f t="shared" si="5"/>
        <v>4</v>
      </c>
      <c r="F517" s="6">
        <f t="shared" si="5"/>
        <v>88.69</v>
      </c>
      <c r="G517" s="7">
        <f t="shared" si="5"/>
        <v>96.425001962653482</v>
      </c>
      <c r="H517" s="69"/>
      <c r="I517" s="487"/>
      <c r="J517" s="464"/>
      <c r="K517" s="456"/>
      <c r="L517" s="15"/>
      <c r="V517" s="39"/>
    </row>
    <row r="518" spans="1:22" ht="15" customHeight="1" x14ac:dyDescent="0.25">
      <c r="A518" s="479"/>
      <c r="B518" s="483"/>
      <c r="C518" s="460"/>
      <c r="D518" s="459">
        <v>2</v>
      </c>
      <c r="E518" s="72">
        <f t="shared" si="5"/>
        <v>1</v>
      </c>
      <c r="F518" s="72">
        <f t="shared" si="5"/>
        <v>131.69</v>
      </c>
      <c r="G518" s="73">
        <f t="shared" si="5"/>
        <v>143.17520023071191</v>
      </c>
      <c r="H518" s="69"/>
      <c r="I518" s="487"/>
      <c r="J518" s="462">
        <f>J253</f>
        <v>32.549999999999997</v>
      </c>
      <c r="K518" s="455">
        <f>K253</f>
        <v>549.86</v>
      </c>
      <c r="V518" s="39"/>
    </row>
    <row r="519" spans="1:22" ht="15" customHeight="1" x14ac:dyDescent="0.25">
      <c r="A519" s="479"/>
      <c r="B519" s="483"/>
      <c r="C519" s="460"/>
      <c r="D519" s="460"/>
      <c r="E519" s="3">
        <f t="shared" si="5"/>
        <v>2</v>
      </c>
      <c r="F519" s="3">
        <f t="shared" si="5"/>
        <v>131.69999999999999</v>
      </c>
      <c r="G519" s="5">
        <f t="shared" si="5"/>
        <v>143.186072369844</v>
      </c>
      <c r="H519" s="69"/>
      <c r="I519" s="487"/>
      <c r="J519" s="463"/>
      <c r="K519" s="455"/>
      <c r="V519" s="39"/>
    </row>
    <row r="520" spans="1:22" ht="15" customHeight="1" x14ac:dyDescent="0.25">
      <c r="A520" s="479"/>
      <c r="B520" s="483"/>
      <c r="C520" s="460"/>
      <c r="D520" s="460"/>
      <c r="E520" s="3">
        <f t="shared" si="5"/>
        <v>3</v>
      </c>
      <c r="F520" s="3">
        <f t="shared" si="5"/>
        <v>126.75</v>
      </c>
      <c r="G520" s="5">
        <f t="shared" si="5"/>
        <v>137.80436349945123</v>
      </c>
      <c r="H520" s="69"/>
      <c r="I520" s="487"/>
      <c r="J520" s="463"/>
      <c r="K520" s="455"/>
      <c r="V520" s="39"/>
    </row>
    <row r="521" spans="1:22" ht="15.75" customHeight="1" thickBot="1" x14ac:dyDescent="0.3">
      <c r="A521" s="479"/>
      <c r="B521" s="483"/>
      <c r="C521" s="460"/>
      <c r="D521" s="461"/>
      <c r="E521" s="6">
        <f t="shared" si="5"/>
        <v>4</v>
      </c>
      <c r="F521" s="6">
        <f t="shared" si="5"/>
        <v>127.17</v>
      </c>
      <c r="G521" s="7">
        <f t="shared" si="5"/>
        <v>138.26099334299971</v>
      </c>
      <c r="H521" s="69"/>
      <c r="I521" s="487"/>
      <c r="J521" s="464"/>
      <c r="K521" s="456"/>
      <c r="M521" s="18"/>
      <c r="V521" s="39"/>
    </row>
    <row r="522" spans="1:22" ht="15" customHeight="1" x14ac:dyDescent="0.25">
      <c r="A522" s="479"/>
      <c r="B522" s="483"/>
      <c r="C522" s="460"/>
      <c r="D522" s="459">
        <v>3</v>
      </c>
      <c r="E522" s="72">
        <f t="shared" si="5"/>
        <v>1</v>
      </c>
      <c r="F522" s="72">
        <f t="shared" si="5"/>
        <v>131.59</v>
      </c>
      <c r="G522" s="73">
        <f t="shared" si="5"/>
        <v>143.06647883939084</v>
      </c>
      <c r="H522" s="69"/>
      <c r="I522" s="487"/>
      <c r="J522" s="462">
        <f>J257</f>
        <v>32.549999999999997</v>
      </c>
      <c r="K522" s="455">
        <f>K257</f>
        <v>549.05999999999995</v>
      </c>
      <c r="V522" s="39"/>
    </row>
    <row r="523" spans="1:22" ht="15" customHeight="1" x14ac:dyDescent="0.25">
      <c r="A523" s="479"/>
      <c r="B523" s="483"/>
      <c r="C523" s="460"/>
      <c r="D523" s="460"/>
      <c r="E523" s="3">
        <f t="shared" si="5"/>
        <v>2</v>
      </c>
      <c r="F523" s="3">
        <f t="shared" si="5"/>
        <v>131.4</v>
      </c>
      <c r="G523" s="5">
        <f t="shared" si="5"/>
        <v>142.85990819588082</v>
      </c>
      <c r="H523" s="69"/>
      <c r="I523" s="487"/>
      <c r="J523" s="463"/>
      <c r="K523" s="455"/>
      <c r="V523" s="39"/>
    </row>
    <row r="524" spans="1:22" ht="15" customHeight="1" x14ac:dyDescent="0.25">
      <c r="A524" s="479"/>
      <c r="B524" s="483"/>
      <c r="C524" s="460"/>
      <c r="D524" s="460"/>
      <c r="E524" s="3">
        <f t="shared" si="5"/>
        <v>3</v>
      </c>
      <c r="F524" s="3">
        <f t="shared" si="5"/>
        <v>126.46</v>
      </c>
      <c r="G524" s="5">
        <f t="shared" si="5"/>
        <v>137.48907146462014</v>
      </c>
      <c r="H524" s="69"/>
      <c r="I524" s="487"/>
      <c r="J524" s="463"/>
      <c r="K524" s="455"/>
      <c r="V524" s="39"/>
    </row>
    <row r="525" spans="1:22" ht="15.75" customHeight="1" thickBot="1" x14ac:dyDescent="0.3">
      <c r="A525" s="479"/>
      <c r="B525" s="483"/>
      <c r="C525" s="460"/>
      <c r="D525" s="461"/>
      <c r="E525" s="6">
        <f t="shared" si="5"/>
        <v>4</v>
      </c>
      <c r="F525" s="6">
        <f t="shared" si="5"/>
        <v>127.06</v>
      </c>
      <c r="G525" s="7">
        <f t="shared" si="5"/>
        <v>138.14139981254655</v>
      </c>
      <c r="H525" s="69"/>
      <c r="I525" s="487"/>
      <c r="J525" s="464"/>
      <c r="K525" s="456"/>
      <c r="V525" s="39"/>
    </row>
    <row r="526" spans="1:22" ht="15" customHeight="1" x14ac:dyDescent="0.25">
      <c r="A526" s="479"/>
      <c r="B526" s="483"/>
      <c r="C526" s="460"/>
      <c r="D526" s="459">
        <v>4</v>
      </c>
      <c r="E526" s="70">
        <f t="shared" si="5"/>
        <v>1</v>
      </c>
      <c r="F526" s="70">
        <f t="shared" si="5"/>
        <v>129.63</v>
      </c>
      <c r="G526" s="65">
        <f t="shared" si="5"/>
        <v>140.93553956949793</v>
      </c>
      <c r="H526" s="69"/>
      <c r="I526" s="487"/>
      <c r="J526" s="462">
        <f>J261</f>
        <v>32.549999999999997</v>
      </c>
      <c r="K526" s="455">
        <f>K261</f>
        <v>545.9</v>
      </c>
      <c r="V526" s="39"/>
    </row>
    <row r="527" spans="1:22" ht="15" customHeight="1" x14ac:dyDescent="0.25">
      <c r="A527" s="479"/>
      <c r="B527" s="483"/>
      <c r="C527" s="460"/>
      <c r="D527" s="460"/>
      <c r="E527" s="3">
        <f t="shared" si="5"/>
        <v>2</v>
      </c>
      <c r="F527" s="3">
        <f t="shared" si="5"/>
        <v>131.77000000000001</v>
      </c>
      <c r="G527" s="5">
        <f t="shared" si="5"/>
        <v>143.26217734376877</v>
      </c>
      <c r="H527" s="69"/>
      <c r="I527" s="487"/>
      <c r="J527" s="463"/>
      <c r="K527" s="455"/>
      <c r="V527" s="39"/>
    </row>
    <row r="528" spans="1:22" ht="15" customHeight="1" x14ac:dyDescent="0.25">
      <c r="A528" s="479"/>
      <c r="B528" s="483"/>
      <c r="C528" s="460"/>
      <c r="D528" s="460"/>
      <c r="E528" s="3">
        <f t="shared" si="5"/>
        <v>3</v>
      </c>
      <c r="F528" s="3">
        <f t="shared" si="5"/>
        <v>126.83</v>
      </c>
      <c r="G528" s="5">
        <f t="shared" si="5"/>
        <v>137.89134061250809</v>
      </c>
      <c r="H528" s="69"/>
      <c r="I528" s="487"/>
      <c r="J528" s="463"/>
      <c r="K528" s="455"/>
      <c r="V528" s="39"/>
    </row>
    <row r="529" spans="1:22" ht="15.75" customHeight="1" thickBot="1" x14ac:dyDescent="0.3">
      <c r="A529" s="480"/>
      <c r="B529" s="484"/>
      <c r="C529" s="476"/>
      <c r="D529" s="476"/>
      <c r="E529" s="3">
        <f t="shared" si="5"/>
        <v>4</v>
      </c>
      <c r="F529" s="3">
        <f t="shared" si="5"/>
        <v>125.11</v>
      </c>
      <c r="G529" s="5">
        <f t="shared" si="5"/>
        <v>136.02133268178576</v>
      </c>
      <c r="H529" s="70"/>
      <c r="I529" s="488"/>
      <c r="J529" s="464"/>
      <c r="K529" s="456"/>
      <c r="V529" s="39"/>
    </row>
    <row r="530" spans="1:22" x14ac:dyDescent="0.25">
      <c r="A530" s="43" t="s">
        <v>4</v>
      </c>
      <c r="B530" s="24"/>
      <c r="C530" s="4"/>
      <c r="D530" s="4"/>
      <c r="E530" s="4"/>
      <c r="F530" s="8">
        <f>SUM(F510:F529)</f>
        <v>2496.6200000000003</v>
      </c>
      <c r="G530" s="8"/>
      <c r="H530" s="8"/>
      <c r="I530" s="8">
        <f>K510+K514+K518+K522+K526</f>
        <v>2714.36</v>
      </c>
      <c r="J530" s="8">
        <f>J526+J522+J518+J514+J510</f>
        <v>217.72000000000003</v>
      </c>
      <c r="K530" s="40"/>
      <c r="V530" s="39"/>
    </row>
    <row r="531" spans="1:22" x14ac:dyDescent="0.25">
      <c r="A531" s="37"/>
      <c r="F531" s="18">
        <f>I530/F530</f>
        <v>1.0872139132106606</v>
      </c>
      <c r="I531" s="45"/>
      <c r="J531" s="9">
        <f>(J510+J514+J518+J522+J526)/I530</f>
        <v>8.0210436345952638E-2</v>
      </c>
      <c r="K531" s="40"/>
      <c r="V531" s="39"/>
    </row>
    <row r="532" spans="1:22" x14ac:dyDescent="0.25">
      <c r="A532" s="37"/>
      <c r="V532" s="39"/>
    </row>
    <row r="533" spans="1:22" ht="15.75" thickBot="1" x14ac:dyDescent="0.3">
      <c r="A533" s="47"/>
      <c r="B533" s="48"/>
      <c r="C533" s="49"/>
      <c r="D533" s="49"/>
      <c r="E533" s="49"/>
      <c r="F533" s="50"/>
      <c r="G533" s="50"/>
      <c r="H533" s="50"/>
      <c r="I533" s="50"/>
      <c r="J533" s="50"/>
      <c r="K533" s="50"/>
      <c r="L533" s="49"/>
      <c r="M533" s="49"/>
      <c r="N533" s="49"/>
      <c r="O533" s="49"/>
      <c r="P533" s="49"/>
      <c r="Q533" s="49"/>
      <c r="R533" s="49"/>
      <c r="S533" s="49"/>
      <c r="T533" s="49"/>
      <c r="U533" s="49"/>
      <c r="V533" s="51"/>
    </row>
    <row r="535" spans="1:22" ht="15.75" thickBot="1" x14ac:dyDescent="0.3"/>
    <row r="536" spans="1:22" x14ac:dyDescent="0.25">
      <c r="A536" s="31"/>
      <c r="B536" s="32"/>
      <c r="C536" s="33"/>
      <c r="D536" s="33"/>
      <c r="E536" s="33"/>
      <c r="F536" s="34"/>
      <c r="G536" s="34"/>
      <c r="H536" s="34"/>
      <c r="I536" s="34"/>
      <c r="J536" s="34"/>
      <c r="K536" s="34"/>
      <c r="L536" s="33"/>
      <c r="M536" s="33"/>
      <c r="N536" s="33"/>
      <c r="O536" s="33"/>
      <c r="P536" s="33"/>
      <c r="Q536" s="33"/>
      <c r="R536" s="33"/>
      <c r="S536" s="33"/>
      <c r="T536" s="33"/>
      <c r="U536" s="33"/>
      <c r="V536" s="36"/>
    </row>
    <row r="537" spans="1:22" x14ac:dyDescent="0.25">
      <c r="A537" s="37"/>
      <c r="L537" s="52" t="s">
        <v>0</v>
      </c>
      <c r="M537" s="477" t="s">
        <v>64</v>
      </c>
      <c r="N537" s="477"/>
      <c r="O537" s="477"/>
      <c r="P537" s="477"/>
      <c r="V537" s="39"/>
    </row>
    <row r="538" spans="1:22" x14ac:dyDescent="0.25">
      <c r="A538" s="37"/>
      <c r="L538" s="38" t="s">
        <v>14</v>
      </c>
      <c r="M538" s="477" t="s">
        <v>12</v>
      </c>
      <c r="N538" s="477"/>
      <c r="O538" s="477" t="s">
        <v>12</v>
      </c>
      <c r="P538" s="477"/>
      <c r="V538" s="39"/>
    </row>
    <row r="539" spans="1:22" x14ac:dyDescent="0.25">
      <c r="A539" s="37"/>
      <c r="L539" s="38"/>
      <c r="V539" s="39"/>
    </row>
    <row r="540" spans="1:22" x14ac:dyDescent="0.25">
      <c r="A540" s="37"/>
      <c r="L540" s="499" t="s">
        <v>11</v>
      </c>
      <c r="M540" s="21">
        <v>3</v>
      </c>
      <c r="N540" s="21">
        <v>2</v>
      </c>
      <c r="O540" s="20">
        <v>3</v>
      </c>
      <c r="P540" s="20">
        <v>2</v>
      </c>
      <c r="V540" s="39"/>
    </row>
    <row r="541" spans="1:22" x14ac:dyDescent="0.25">
      <c r="A541" s="37"/>
      <c r="L541" s="499"/>
      <c r="M541" s="21">
        <v>4</v>
      </c>
      <c r="N541" s="21">
        <v>1</v>
      </c>
      <c r="O541" s="20">
        <v>4</v>
      </c>
      <c r="P541" s="20">
        <v>1</v>
      </c>
      <c r="V541" s="39"/>
    </row>
    <row r="542" spans="1:22" x14ac:dyDescent="0.25">
      <c r="A542" s="37"/>
      <c r="L542" s="38"/>
      <c r="V542" s="39"/>
    </row>
    <row r="543" spans="1:22" x14ac:dyDescent="0.25">
      <c r="A543" s="37"/>
      <c r="L543" s="38" t="s">
        <v>14</v>
      </c>
      <c r="M543" s="477" t="s">
        <v>13</v>
      </c>
      <c r="N543" s="477"/>
      <c r="O543" s="477" t="s">
        <v>13</v>
      </c>
      <c r="P543" s="477"/>
      <c r="V543" s="39"/>
    </row>
    <row r="544" spans="1:22" ht="18.75" x14ac:dyDescent="0.3">
      <c r="A544" s="457" t="s">
        <v>36</v>
      </c>
      <c r="B544" s="458"/>
      <c r="C544" s="458"/>
      <c r="D544" s="458"/>
      <c r="E544" s="458"/>
      <c r="F544" s="458"/>
      <c r="G544" s="458"/>
      <c r="H544" s="458"/>
      <c r="I544" s="458"/>
      <c r="J544" s="458"/>
      <c r="K544" s="46"/>
      <c r="M544" s="477"/>
      <c r="N544" s="477"/>
      <c r="O544" s="477"/>
      <c r="P544" s="477"/>
      <c r="V544" s="39"/>
    </row>
    <row r="545" spans="1:22" ht="30" x14ac:dyDescent="0.25">
      <c r="A545" s="41" t="s">
        <v>9</v>
      </c>
      <c r="B545" s="23" t="s">
        <v>7</v>
      </c>
      <c r="C545" s="2" t="s">
        <v>8</v>
      </c>
      <c r="D545" s="2" t="s">
        <v>10</v>
      </c>
      <c r="E545" s="1" t="s">
        <v>2</v>
      </c>
      <c r="F545" s="19" t="s">
        <v>3</v>
      </c>
      <c r="G545" s="19" t="s">
        <v>5</v>
      </c>
      <c r="H545" s="19" t="s">
        <v>57</v>
      </c>
      <c r="I545" s="28" t="s">
        <v>6</v>
      </c>
      <c r="J545" s="28" t="s">
        <v>1</v>
      </c>
      <c r="K545" s="46"/>
      <c r="M545" s="477"/>
      <c r="N545" s="477"/>
      <c r="O545" s="477"/>
      <c r="P545" s="477"/>
      <c r="V545" s="39"/>
    </row>
    <row r="546" spans="1:22" x14ac:dyDescent="0.25">
      <c r="A546" s="478" t="s">
        <v>37</v>
      </c>
      <c r="B546" s="482" t="s">
        <v>61</v>
      </c>
      <c r="C546" s="485" t="s">
        <v>62</v>
      </c>
      <c r="D546" s="485">
        <v>0</v>
      </c>
      <c r="E546" s="3">
        <f>[6]B2!E10</f>
        <v>1</v>
      </c>
      <c r="F546" s="3">
        <f>[6]B2!F10</f>
        <v>131.83000000000001</v>
      </c>
      <c r="G546" s="5">
        <f>[6]B2!G10</f>
        <v>143.3085486859535</v>
      </c>
      <c r="H546" s="76">
        <v>84.359399999999994</v>
      </c>
      <c r="I546" s="486">
        <f>SUM(G546:G565)</f>
        <v>2716.34</v>
      </c>
      <c r="J546" s="462">
        <f>[6]B2!I10</f>
        <v>73.11</v>
      </c>
      <c r="K546" s="491">
        <f>[6]B2!J10</f>
        <v>547.82000000000005</v>
      </c>
      <c r="L546" s="42"/>
      <c r="V546" s="39"/>
    </row>
    <row r="547" spans="1:22" x14ac:dyDescent="0.25">
      <c r="A547" s="479"/>
      <c r="B547" s="483"/>
      <c r="C547" s="460"/>
      <c r="D547" s="460"/>
      <c r="E547" s="3">
        <f>[6]B2!E11</f>
        <v>2</v>
      </c>
      <c r="F547" s="3">
        <f>[6]B2!F11</f>
        <v>129.66</v>
      </c>
      <c r="G547" s="5">
        <f>[6]B2!G11</f>
        <v>140.94960496564309</v>
      </c>
      <c r="H547" s="76">
        <v>84.0732</v>
      </c>
      <c r="I547" s="487"/>
      <c r="J547" s="463"/>
      <c r="K547" s="491"/>
      <c r="L547" s="42"/>
      <c r="V547" s="39"/>
    </row>
    <row r="548" spans="1:22" x14ac:dyDescent="0.25">
      <c r="A548" s="479"/>
      <c r="B548" s="483"/>
      <c r="C548" s="460"/>
      <c r="D548" s="460"/>
      <c r="E548" s="3">
        <f>[6]B2!E12</f>
        <v>3</v>
      </c>
      <c r="F548" s="3">
        <f>[6]B2!F12</f>
        <v>124.72</v>
      </c>
      <c r="G548" s="5">
        <f>[6]B2!G12</f>
        <v>135.57947502171066</v>
      </c>
      <c r="H548" s="76">
        <v>85.417599999999993</v>
      </c>
      <c r="I548" s="487"/>
      <c r="J548" s="463"/>
      <c r="K548" s="491"/>
      <c r="L548" s="42"/>
      <c r="V548" s="39"/>
    </row>
    <row r="549" spans="1:22" ht="15.75" thickBot="1" x14ac:dyDescent="0.3">
      <c r="A549" s="479"/>
      <c r="B549" s="483"/>
      <c r="C549" s="460"/>
      <c r="D549" s="461"/>
      <c r="E549" s="6">
        <f>[6]B2!E13</f>
        <v>4</v>
      </c>
      <c r="F549" s="6">
        <f>[6]B2!F13</f>
        <v>88.49</v>
      </c>
      <c r="G549" s="7">
        <f>[6]B2!G13</f>
        <v>96.194898530076784</v>
      </c>
      <c r="H549" s="76">
        <v>67.558899999999994</v>
      </c>
      <c r="I549" s="487"/>
      <c r="J549" s="464"/>
      <c r="K549" s="492"/>
      <c r="L549" s="42"/>
      <c r="V549" s="39"/>
    </row>
    <row r="550" spans="1:22" ht="15" customHeight="1" x14ac:dyDescent="0.25">
      <c r="A550" s="479"/>
      <c r="B550" s="483"/>
      <c r="C550" s="460"/>
      <c r="D550" s="459">
        <v>1</v>
      </c>
      <c r="E550" s="72">
        <f>[6]B2!E14</f>
        <v>1</v>
      </c>
      <c r="F550" s="72">
        <f>[6]B2!F14</f>
        <v>128.71</v>
      </c>
      <c r="G550" s="73">
        <f>[6]B2!G14</f>
        <v>139.91688766873301</v>
      </c>
      <c r="H550" s="64"/>
      <c r="I550" s="487"/>
      <c r="J550" s="462">
        <f>[6]B2!I14</f>
        <v>46.75</v>
      </c>
      <c r="K550" s="491">
        <f>[6]B2!J14</f>
        <v>521.87</v>
      </c>
      <c r="L550" s="11"/>
      <c r="M550" s="10"/>
      <c r="V550" s="39"/>
    </row>
    <row r="551" spans="1:22" ht="15" customHeight="1" x14ac:dyDescent="0.25">
      <c r="A551" s="479"/>
      <c r="B551" s="483"/>
      <c r="C551" s="460"/>
      <c r="D551" s="460"/>
      <c r="E551" s="3">
        <f>[6]B2!E15</f>
        <v>2</v>
      </c>
      <c r="F551" s="3">
        <f>[6]B2!F15</f>
        <v>131.28</v>
      </c>
      <c r="G551" s="5">
        <f>[6]B2!G15</f>
        <v>142.7106597245845</v>
      </c>
      <c r="H551" s="64"/>
      <c r="I551" s="487"/>
      <c r="J551" s="463"/>
      <c r="K551" s="491"/>
      <c r="L551" s="11"/>
      <c r="V551" s="39"/>
    </row>
    <row r="552" spans="1:22" ht="15" customHeight="1" x14ac:dyDescent="0.25">
      <c r="A552" s="479"/>
      <c r="B552" s="483"/>
      <c r="C552" s="460"/>
      <c r="D552" s="460"/>
      <c r="E552" s="3">
        <f>[6]B2!E16</f>
        <v>3</v>
      </c>
      <c r="F552" s="3">
        <f>[6]B2!F16</f>
        <v>126.34</v>
      </c>
      <c r="G552" s="5">
        <f>[6]B2!G16</f>
        <v>137.34052978065208</v>
      </c>
      <c r="H552" s="64"/>
      <c r="I552" s="487"/>
      <c r="J552" s="463"/>
      <c r="K552" s="491"/>
      <c r="L552" s="12"/>
      <c r="V552" s="39"/>
    </row>
    <row r="553" spans="1:22" ht="15.75" customHeight="1" thickBot="1" x14ac:dyDescent="0.3">
      <c r="A553" s="479"/>
      <c r="B553" s="483"/>
      <c r="C553" s="460"/>
      <c r="D553" s="461"/>
      <c r="E553" s="6">
        <f>[6]B2!E17</f>
        <v>4</v>
      </c>
      <c r="F553" s="6">
        <f>[6]B2!F17</f>
        <v>88.79</v>
      </c>
      <c r="G553" s="7">
        <f>[6]B2!G17</f>
        <v>96.521019781732619</v>
      </c>
      <c r="H553" s="64"/>
      <c r="I553" s="487"/>
      <c r="J553" s="464"/>
      <c r="K553" s="492"/>
      <c r="L553" s="13"/>
      <c r="V553" s="39"/>
    </row>
    <row r="554" spans="1:22" ht="15" customHeight="1" x14ac:dyDescent="0.25">
      <c r="A554" s="479"/>
      <c r="B554" s="483"/>
      <c r="C554" s="460"/>
      <c r="D554" s="459">
        <v>2</v>
      </c>
      <c r="E554" s="72">
        <f>[6]B2!E18</f>
        <v>1</v>
      </c>
      <c r="F554" s="72">
        <f>[6]B2!F18</f>
        <v>131.72</v>
      </c>
      <c r="G554" s="73">
        <f>[6]B2!G18</f>
        <v>143.18897089367968</v>
      </c>
      <c r="H554" s="64"/>
      <c r="I554" s="487"/>
      <c r="J554" s="462">
        <f>[6]B2!I18</f>
        <v>32.56</v>
      </c>
      <c r="K554" s="491">
        <f>[6]B2!J18</f>
        <v>549.94000000000005</v>
      </c>
      <c r="L554" s="42"/>
      <c r="V554" s="39"/>
    </row>
    <row r="555" spans="1:22" ht="15" customHeight="1" x14ac:dyDescent="0.25">
      <c r="A555" s="479"/>
      <c r="B555" s="483"/>
      <c r="C555" s="460"/>
      <c r="D555" s="460"/>
      <c r="E555" s="3">
        <f>[6]B2!E19</f>
        <v>2</v>
      </c>
      <c r="F555" s="3">
        <f>[6]B2!F19</f>
        <v>131.72</v>
      </c>
      <c r="G555" s="5">
        <f>[6]B2!G19</f>
        <v>143.18897089367968</v>
      </c>
      <c r="H555" s="64"/>
      <c r="I555" s="487"/>
      <c r="J555" s="463"/>
      <c r="K555" s="491"/>
      <c r="L555" s="42"/>
      <c r="V555" s="39"/>
    </row>
    <row r="556" spans="1:22" ht="15" customHeight="1" x14ac:dyDescent="0.25">
      <c r="A556" s="479"/>
      <c r="B556" s="483"/>
      <c r="C556" s="460"/>
      <c r="D556" s="460"/>
      <c r="E556" s="3">
        <f>[6]B2!E20</f>
        <v>3</v>
      </c>
      <c r="F556" s="3">
        <f>[6]B2!F20</f>
        <v>126.78</v>
      </c>
      <c r="G556" s="5">
        <f>[6]B2!G20</f>
        <v>137.81884094974728</v>
      </c>
      <c r="H556" s="64"/>
      <c r="I556" s="487"/>
      <c r="J556" s="463"/>
      <c r="K556" s="491"/>
      <c r="L556" s="42"/>
      <c r="V556" s="39"/>
    </row>
    <row r="557" spans="1:22" ht="15.75" customHeight="1" thickBot="1" x14ac:dyDescent="0.3">
      <c r="A557" s="479"/>
      <c r="B557" s="483"/>
      <c r="C557" s="460"/>
      <c r="D557" s="461"/>
      <c r="E557" s="6">
        <f>[6]B2!E21</f>
        <v>4</v>
      </c>
      <c r="F557" s="6">
        <f>[6]B2!F21</f>
        <v>127.15</v>
      </c>
      <c r="G557" s="7">
        <f>[6]B2!G21</f>
        <v>138.22105716012277</v>
      </c>
      <c r="H557" s="64"/>
      <c r="I557" s="487"/>
      <c r="J557" s="464"/>
      <c r="K557" s="492"/>
      <c r="L557" s="42"/>
      <c r="V557" s="39"/>
    </row>
    <row r="558" spans="1:22" ht="15" customHeight="1" x14ac:dyDescent="0.25">
      <c r="A558" s="479"/>
      <c r="B558" s="483"/>
      <c r="C558" s="460"/>
      <c r="D558" s="459">
        <v>3</v>
      </c>
      <c r="E558" s="72">
        <f>[6]B2!E22</f>
        <v>1</v>
      </c>
      <c r="F558" s="72">
        <f>[6]B2!F22</f>
        <v>132.02000000000001</v>
      </c>
      <c r="G558" s="73">
        <f>[6]B2!G22</f>
        <v>143.5150921453355</v>
      </c>
      <c r="H558" s="64"/>
      <c r="I558" s="487"/>
      <c r="J558" s="462">
        <f>[6]B2!I22</f>
        <v>32.56</v>
      </c>
      <c r="K558" s="491">
        <f>[6]B2!J22</f>
        <v>550.74</v>
      </c>
      <c r="L558" s="42"/>
      <c r="V558" s="39"/>
    </row>
    <row r="559" spans="1:22" ht="15" customHeight="1" x14ac:dyDescent="0.25">
      <c r="A559" s="479"/>
      <c r="B559" s="483"/>
      <c r="C559" s="460"/>
      <c r="D559" s="460"/>
      <c r="E559" s="3">
        <f>[6]B2!E23</f>
        <v>2</v>
      </c>
      <c r="F559" s="3">
        <f>[6]B2!F23</f>
        <v>131.82</v>
      </c>
      <c r="G559" s="5">
        <f>[6]B2!G23</f>
        <v>143.29767797756494</v>
      </c>
      <c r="H559" s="64"/>
      <c r="I559" s="487"/>
      <c r="J559" s="463"/>
      <c r="K559" s="491"/>
      <c r="L559" s="42"/>
      <c r="V559" s="39"/>
    </row>
    <row r="560" spans="1:22" ht="15" customHeight="1" x14ac:dyDescent="0.25">
      <c r="A560" s="479"/>
      <c r="B560" s="483"/>
      <c r="C560" s="460"/>
      <c r="D560" s="460"/>
      <c r="E560" s="3">
        <f>[6]B2!E24</f>
        <v>3</v>
      </c>
      <c r="F560" s="3">
        <f>[6]B2!F24</f>
        <v>126.88</v>
      </c>
      <c r="G560" s="5">
        <f>[6]B2!G24</f>
        <v>137.92754803363255</v>
      </c>
      <c r="H560" s="64"/>
      <c r="I560" s="487"/>
      <c r="J560" s="463"/>
      <c r="K560" s="491"/>
      <c r="L560" s="42"/>
      <c r="V560" s="39"/>
    </row>
    <row r="561" spans="1:22" ht="15.75" customHeight="1" thickBot="1" x14ac:dyDescent="0.3">
      <c r="A561" s="479"/>
      <c r="B561" s="483"/>
      <c r="C561" s="460"/>
      <c r="D561" s="461"/>
      <c r="E561" s="6">
        <f>[6]B2!E25</f>
        <v>4</v>
      </c>
      <c r="F561" s="6">
        <f>[6]B2!F25</f>
        <v>127.45</v>
      </c>
      <c r="G561" s="7">
        <f>[6]B2!G25</f>
        <v>138.54717841177859</v>
      </c>
      <c r="H561" s="64"/>
      <c r="I561" s="487"/>
      <c r="J561" s="464"/>
      <c r="K561" s="492"/>
      <c r="L561" s="42"/>
      <c r="V561" s="39"/>
    </row>
    <row r="562" spans="1:22" ht="15" customHeight="1" x14ac:dyDescent="0.25">
      <c r="A562" s="479"/>
      <c r="B562" s="483"/>
      <c r="C562" s="460"/>
      <c r="D562" s="459">
        <v>4</v>
      </c>
      <c r="E562" s="70">
        <f>[6]B2!E26</f>
        <v>1</v>
      </c>
      <c r="F562" s="70">
        <f>[6]B2!F26</f>
        <v>129.66</v>
      </c>
      <c r="G562" s="65">
        <f>[6]B2!G26</f>
        <v>140.94960496564309</v>
      </c>
      <c r="H562" s="64"/>
      <c r="I562" s="487"/>
      <c r="J562" s="462">
        <f>[6]B2!I26</f>
        <v>32.56</v>
      </c>
      <c r="K562" s="491">
        <f>[6]B2!J26</f>
        <v>545.97</v>
      </c>
      <c r="L562" s="42"/>
      <c r="V562" s="39"/>
    </row>
    <row r="563" spans="1:22" ht="15" customHeight="1" x14ac:dyDescent="0.25">
      <c r="A563" s="479"/>
      <c r="B563" s="483"/>
      <c r="C563" s="460"/>
      <c r="D563" s="460"/>
      <c r="E563" s="3">
        <f>[6]B2!E27</f>
        <v>2</v>
      </c>
      <c r="F563" s="3">
        <f>[6]B2!F27</f>
        <v>131.80000000000001</v>
      </c>
      <c r="G563" s="5">
        <f>[6]B2!G27</f>
        <v>143.27593656078793</v>
      </c>
      <c r="H563" s="64"/>
      <c r="I563" s="487"/>
      <c r="J563" s="463"/>
      <c r="K563" s="491"/>
      <c r="L563" s="42"/>
      <c r="V563" s="39"/>
    </row>
    <row r="564" spans="1:22" ht="15" customHeight="1" x14ac:dyDescent="0.25">
      <c r="A564" s="479"/>
      <c r="B564" s="483"/>
      <c r="C564" s="460"/>
      <c r="D564" s="460"/>
      <c r="E564" s="3">
        <f>[6]B2!E28</f>
        <v>3</v>
      </c>
      <c r="F564" s="3">
        <f>[6]B2!F28</f>
        <v>126.86</v>
      </c>
      <c r="G564" s="5">
        <f>[6]B2!G28</f>
        <v>137.9058066168555</v>
      </c>
      <c r="H564" s="64"/>
      <c r="I564" s="487"/>
      <c r="J564" s="463"/>
      <c r="K564" s="491"/>
      <c r="L564" s="42"/>
      <c r="V564" s="39"/>
    </row>
    <row r="565" spans="1:22" ht="15.75" customHeight="1" thickBot="1" x14ac:dyDescent="0.3">
      <c r="A565" s="480"/>
      <c r="B565" s="484"/>
      <c r="C565" s="476"/>
      <c r="D565" s="476"/>
      <c r="E565" s="3">
        <f>[6]B2!E29</f>
        <v>4</v>
      </c>
      <c r="F565" s="3">
        <f>[6]B2!F29</f>
        <v>125.09</v>
      </c>
      <c r="G565" s="5">
        <f>[6]B2!G29</f>
        <v>135.98169123208618</v>
      </c>
      <c r="H565" s="65"/>
      <c r="I565" s="488"/>
      <c r="J565" s="464"/>
      <c r="K565" s="492"/>
      <c r="L565" s="42"/>
      <c r="V565" s="39"/>
    </row>
    <row r="566" spans="1:22" x14ac:dyDescent="0.25">
      <c r="A566" s="43" t="s">
        <v>4</v>
      </c>
      <c r="B566" s="24"/>
      <c r="C566" s="4"/>
      <c r="D566" s="4"/>
      <c r="E566" s="4"/>
      <c r="F566" s="8">
        <f>SUM(F546:F565)</f>
        <v>2498.7700000000004</v>
      </c>
      <c r="G566" s="8"/>
      <c r="H566" s="8"/>
      <c r="I566" s="8">
        <f>K546+K550+K554+K558+K562</f>
        <v>2716.34</v>
      </c>
      <c r="J566" s="8">
        <f>J562+J558+J554+J550+J546</f>
        <v>217.54000000000002</v>
      </c>
      <c r="K566" s="46"/>
      <c r="L566" s="44"/>
      <c r="V566" s="39"/>
    </row>
    <row r="567" spans="1:22" x14ac:dyDescent="0.25">
      <c r="A567" s="37"/>
      <c r="F567" s="18">
        <f>I566/F566</f>
        <v>1.0870708388527155</v>
      </c>
      <c r="I567" s="45"/>
      <c r="J567" s="9">
        <f>(J546+J550+J554+J558+J562)/I566</f>
        <v>8.0085703556992127E-2</v>
      </c>
      <c r="V567" s="39"/>
    </row>
    <row r="568" spans="1:22" x14ac:dyDescent="0.25">
      <c r="A568" s="37"/>
      <c r="V568" s="39"/>
    </row>
    <row r="569" spans="1:22" x14ac:dyDescent="0.25">
      <c r="A569" s="37"/>
      <c r="V569" s="39"/>
    </row>
    <row r="570" spans="1:22" ht="18.75" x14ac:dyDescent="0.3">
      <c r="A570" s="457" t="s">
        <v>36</v>
      </c>
      <c r="B570" s="458"/>
      <c r="C570" s="458"/>
      <c r="D570" s="458"/>
      <c r="E570" s="458"/>
      <c r="F570" s="458"/>
      <c r="G570" s="458"/>
      <c r="H570" s="458"/>
      <c r="I570" s="458"/>
      <c r="J570" s="458"/>
      <c r="K570" s="40"/>
      <c r="V570" s="39"/>
    </row>
    <row r="571" spans="1:22" ht="30" x14ac:dyDescent="0.25">
      <c r="A571" s="41" t="s">
        <v>9</v>
      </c>
      <c r="B571" s="23" t="s">
        <v>7</v>
      </c>
      <c r="C571" s="2" t="s">
        <v>8</v>
      </c>
      <c r="D571" s="2" t="s">
        <v>10</v>
      </c>
      <c r="E571" s="1" t="s">
        <v>2</v>
      </c>
      <c r="F571" s="19" t="s">
        <v>3</v>
      </c>
      <c r="G571" s="19" t="s">
        <v>5</v>
      </c>
      <c r="H571" s="19" t="s">
        <v>57</v>
      </c>
      <c r="I571" s="28" t="s">
        <v>6</v>
      </c>
      <c r="J571" s="28" t="s">
        <v>1</v>
      </c>
      <c r="K571" s="40"/>
      <c r="V571" s="39"/>
    </row>
    <row r="572" spans="1:22" x14ac:dyDescent="0.25">
      <c r="A572" s="478" t="s">
        <v>37</v>
      </c>
      <c r="B572" s="482" t="s">
        <v>61</v>
      </c>
      <c r="C572" s="485" t="s">
        <v>63</v>
      </c>
      <c r="D572" s="485">
        <v>0</v>
      </c>
      <c r="E572" s="3">
        <f>[6]B2!E36</f>
        <v>1</v>
      </c>
      <c r="F572" s="3">
        <f>[6]B2!F36</f>
        <v>88.49</v>
      </c>
      <c r="G572" s="5">
        <f>[6]B2!G36</f>
        <v>96.194898530076784</v>
      </c>
      <c r="H572" s="76">
        <v>67.5261</v>
      </c>
      <c r="I572" s="486">
        <f>SUM(G572:G591)</f>
        <v>2716.34</v>
      </c>
      <c r="J572" s="462">
        <f>J546</f>
        <v>73.11</v>
      </c>
      <c r="K572" s="455">
        <f>K546</f>
        <v>547.82000000000005</v>
      </c>
      <c r="V572" s="39"/>
    </row>
    <row r="573" spans="1:22" x14ac:dyDescent="0.25">
      <c r="A573" s="479"/>
      <c r="B573" s="483"/>
      <c r="C573" s="460"/>
      <c r="D573" s="460"/>
      <c r="E573" s="3">
        <f>[6]B2!E37</f>
        <v>2</v>
      </c>
      <c r="F573" s="3">
        <f>[6]B2!F37</f>
        <v>124.72</v>
      </c>
      <c r="G573" s="5">
        <f>[6]B2!G37</f>
        <v>135.57947502171066</v>
      </c>
      <c r="H573" s="76">
        <v>85.417599999999993</v>
      </c>
      <c r="I573" s="487"/>
      <c r="J573" s="463"/>
      <c r="K573" s="455"/>
      <c r="V573" s="39"/>
    </row>
    <row r="574" spans="1:22" x14ac:dyDescent="0.25">
      <c r="A574" s="479"/>
      <c r="B574" s="483"/>
      <c r="C574" s="460"/>
      <c r="D574" s="460"/>
      <c r="E574" s="3">
        <f>[6]B2!E38</f>
        <v>3</v>
      </c>
      <c r="F574" s="3">
        <f>[6]B2!F38</f>
        <v>129.66</v>
      </c>
      <c r="G574" s="5">
        <f>[6]B2!G38</f>
        <v>140.94960496564309</v>
      </c>
      <c r="H574" s="76">
        <v>84.0732</v>
      </c>
      <c r="I574" s="487"/>
      <c r="J574" s="463"/>
      <c r="K574" s="455"/>
      <c r="V574" s="39"/>
    </row>
    <row r="575" spans="1:22" ht="15.75" thickBot="1" x14ac:dyDescent="0.3">
      <c r="A575" s="479"/>
      <c r="B575" s="483"/>
      <c r="C575" s="460"/>
      <c r="D575" s="461"/>
      <c r="E575" s="6">
        <f>[6]B2!E39</f>
        <v>4</v>
      </c>
      <c r="F575" s="6">
        <f>[6]B2!F39</f>
        <v>131.83000000000001</v>
      </c>
      <c r="G575" s="7">
        <f>[6]B2!G39</f>
        <v>143.3085486859535</v>
      </c>
      <c r="H575" s="76">
        <v>83.961500000000001</v>
      </c>
      <c r="I575" s="487"/>
      <c r="J575" s="464"/>
      <c r="K575" s="456"/>
      <c r="L575" s="14"/>
      <c r="V575" s="39"/>
    </row>
    <row r="576" spans="1:22" x14ac:dyDescent="0.25">
      <c r="A576" s="479"/>
      <c r="B576" s="483"/>
      <c r="C576" s="460"/>
      <c r="D576" s="459">
        <v>1</v>
      </c>
      <c r="E576" s="72">
        <f>[6]B2!E40</f>
        <v>1</v>
      </c>
      <c r="F576" s="72">
        <f>[6]B2!F40</f>
        <v>88.79</v>
      </c>
      <c r="G576" s="73">
        <f>[6]B2!G40</f>
        <v>96.521019781732619</v>
      </c>
      <c r="H576" s="64"/>
      <c r="I576" s="487"/>
      <c r="J576" s="490">
        <f>J550</f>
        <v>46.75</v>
      </c>
      <c r="K576" s="455">
        <f>K550</f>
        <v>521.87</v>
      </c>
      <c r="L576" s="17"/>
      <c r="V576" s="39"/>
    </row>
    <row r="577" spans="1:22" x14ac:dyDescent="0.25">
      <c r="A577" s="479"/>
      <c r="B577" s="483"/>
      <c r="C577" s="460"/>
      <c r="D577" s="460"/>
      <c r="E577" s="3">
        <f>[6]B2!E41</f>
        <v>2</v>
      </c>
      <c r="F577" s="3">
        <f>[6]B2!F41</f>
        <v>126.34</v>
      </c>
      <c r="G577" s="5">
        <f>[6]B2!G41</f>
        <v>137.34052978065208</v>
      </c>
      <c r="H577" s="64"/>
      <c r="I577" s="487"/>
      <c r="J577" s="463"/>
      <c r="K577" s="455"/>
      <c r="L577" s="17"/>
      <c r="M577" s="10"/>
      <c r="V577" s="39"/>
    </row>
    <row r="578" spans="1:22" x14ac:dyDescent="0.25">
      <c r="A578" s="479"/>
      <c r="B578" s="483"/>
      <c r="C578" s="460"/>
      <c r="D578" s="460"/>
      <c r="E578" s="3">
        <f>[6]B2!E42</f>
        <v>3</v>
      </c>
      <c r="F578" s="3">
        <f>[6]B2!F42</f>
        <v>131.28</v>
      </c>
      <c r="G578" s="5">
        <f>[6]B2!G42</f>
        <v>142.7106597245845</v>
      </c>
      <c r="H578" s="64"/>
      <c r="I578" s="487"/>
      <c r="J578" s="463"/>
      <c r="K578" s="455"/>
      <c r="L578" s="16"/>
      <c r="M578" s="10"/>
      <c r="V578" s="39"/>
    </row>
    <row r="579" spans="1:22" ht="15.75" thickBot="1" x14ac:dyDescent="0.3">
      <c r="A579" s="479"/>
      <c r="B579" s="483"/>
      <c r="C579" s="460"/>
      <c r="D579" s="461"/>
      <c r="E579" s="6">
        <f>[6]B2!E43</f>
        <v>4</v>
      </c>
      <c r="F579" s="6">
        <f>[6]B2!F43</f>
        <v>128.71</v>
      </c>
      <c r="G579" s="7">
        <f>[6]B2!G43</f>
        <v>139.91688766873301</v>
      </c>
      <c r="H579" s="64"/>
      <c r="I579" s="487"/>
      <c r="J579" s="464"/>
      <c r="K579" s="456"/>
      <c r="L579" s="15"/>
      <c r="V579" s="39"/>
    </row>
    <row r="580" spans="1:22" x14ac:dyDescent="0.25">
      <c r="A580" s="479"/>
      <c r="B580" s="483"/>
      <c r="C580" s="460"/>
      <c r="D580" s="459">
        <v>2</v>
      </c>
      <c r="E580" s="72">
        <f>[6]B2!E44</f>
        <v>1</v>
      </c>
      <c r="F580" s="72">
        <f>[6]B2!F44</f>
        <v>127.15</v>
      </c>
      <c r="G580" s="73">
        <f>[6]B2!G44</f>
        <v>138.22105716012277</v>
      </c>
      <c r="H580" s="64"/>
      <c r="I580" s="487"/>
      <c r="J580" s="490">
        <f>J554</f>
        <v>32.56</v>
      </c>
      <c r="K580" s="455">
        <f>K554</f>
        <v>549.94000000000005</v>
      </c>
      <c r="V580" s="39"/>
    </row>
    <row r="581" spans="1:22" x14ac:dyDescent="0.25">
      <c r="A581" s="479"/>
      <c r="B581" s="483"/>
      <c r="C581" s="460"/>
      <c r="D581" s="460"/>
      <c r="E581" s="3">
        <f>[6]B2!E45</f>
        <v>2</v>
      </c>
      <c r="F581" s="3">
        <f>[6]B2!F45</f>
        <v>126.78</v>
      </c>
      <c r="G581" s="5">
        <f>[6]B2!G45</f>
        <v>137.81884094974728</v>
      </c>
      <c r="H581" s="64"/>
      <c r="I581" s="487"/>
      <c r="J581" s="463"/>
      <c r="K581" s="455"/>
      <c r="V581" s="39"/>
    </row>
    <row r="582" spans="1:22" x14ac:dyDescent="0.25">
      <c r="A582" s="479"/>
      <c r="B582" s="483"/>
      <c r="C582" s="460"/>
      <c r="D582" s="460"/>
      <c r="E582" s="3">
        <f>[6]B2!E46</f>
        <v>3</v>
      </c>
      <c r="F582" s="3">
        <f>[6]B2!F46</f>
        <v>131.72</v>
      </c>
      <c r="G582" s="5">
        <f>[6]B2!G46</f>
        <v>143.18897089367968</v>
      </c>
      <c r="H582" s="64"/>
      <c r="I582" s="487"/>
      <c r="J582" s="463"/>
      <c r="K582" s="455"/>
      <c r="V582" s="39"/>
    </row>
    <row r="583" spans="1:22" ht="15.75" thickBot="1" x14ac:dyDescent="0.3">
      <c r="A583" s="479"/>
      <c r="B583" s="483"/>
      <c r="C583" s="460"/>
      <c r="D583" s="461"/>
      <c r="E583" s="6">
        <f>[6]B2!E47</f>
        <v>4</v>
      </c>
      <c r="F583" s="6">
        <f>[6]B2!F47</f>
        <v>131.72</v>
      </c>
      <c r="G583" s="7">
        <f>[6]B2!G47</f>
        <v>143.18897089367968</v>
      </c>
      <c r="H583" s="64"/>
      <c r="I583" s="487"/>
      <c r="J583" s="464"/>
      <c r="K583" s="456"/>
      <c r="V583" s="39"/>
    </row>
    <row r="584" spans="1:22" x14ac:dyDescent="0.25">
      <c r="A584" s="479"/>
      <c r="B584" s="483"/>
      <c r="C584" s="460"/>
      <c r="D584" s="459">
        <v>3</v>
      </c>
      <c r="E584" s="72">
        <f>[6]B2!E48</f>
        <v>1</v>
      </c>
      <c r="F584" s="72">
        <f>[6]B2!F48</f>
        <v>127.45</v>
      </c>
      <c r="G584" s="73">
        <f>[6]B2!G48</f>
        <v>138.54717841177859</v>
      </c>
      <c r="H584" s="64"/>
      <c r="I584" s="487"/>
      <c r="J584" s="490">
        <f>J558</f>
        <v>32.56</v>
      </c>
      <c r="K584" s="455">
        <f>K558</f>
        <v>550.74</v>
      </c>
      <c r="V584" s="39"/>
    </row>
    <row r="585" spans="1:22" x14ac:dyDescent="0.25">
      <c r="A585" s="479"/>
      <c r="B585" s="483"/>
      <c r="C585" s="460"/>
      <c r="D585" s="460"/>
      <c r="E585" s="3">
        <f>[6]B2!E49</f>
        <v>2</v>
      </c>
      <c r="F585" s="3">
        <f>[6]B2!F49</f>
        <v>126.88</v>
      </c>
      <c r="G585" s="5">
        <f>[6]B2!G49</f>
        <v>137.92754803363255</v>
      </c>
      <c r="H585" s="64"/>
      <c r="I585" s="487"/>
      <c r="J585" s="463"/>
      <c r="K585" s="455"/>
      <c r="V585" s="39"/>
    </row>
    <row r="586" spans="1:22" x14ac:dyDescent="0.25">
      <c r="A586" s="479"/>
      <c r="B586" s="483"/>
      <c r="C586" s="460"/>
      <c r="D586" s="460"/>
      <c r="E586" s="3">
        <f>[6]B2!E50</f>
        <v>3</v>
      </c>
      <c r="F586" s="3">
        <f>[6]B2!F50</f>
        <v>131.82</v>
      </c>
      <c r="G586" s="5">
        <f>[6]B2!G50</f>
        <v>143.29767797756494</v>
      </c>
      <c r="H586" s="64"/>
      <c r="I586" s="487"/>
      <c r="J586" s="463"/>
      <c r="K586" s="455"/>
      <c r="V586" s="39"/>
    </row>
    <row r="587" spans="1:22" ht="15.75" thickBot="1" x14ac:dyDescent="0.3">
      <c r="A587" s="479"/>
      <c r="B587" s="483"/>
      <c r="C587" s="460"/>
      <c r="D587" s="461"/>
      <c r="E587" s="6">
        <f>[6]B2!E51</f>
        <v>4</v>
      </c>
      <c r="F587" s="6">
        <f>[6]B2!F51</f>
        <v>132.02000000000001</v>
      </c>
      <c r="G587" s="7">
        <f>[6]B2!G51</f>
        <v>143.5150921453355</v>
      </c>
      <c r="H587" s="64"/>
      <c r="I587" s="487"/>
      <c r="J587" s="464"/>
      <c r="K587" s="456"/>
      <c r="V587" s="39"/>
    </row>
    <row r="588" spans="1:22" x14ac:dyDescent="0.25">
      <c r="A588" s="479"/>
      <c r="B588" s="483"/>
      <c r="C588" s="460"/>
      <c r="D588" s="459">
        <v>4</v>
      </c>
      <c r="E588" s="70">
        <f>[6]B2!E52</f>
        <v>1</v>
      </c>
      <c r="F588" s="70">
        <f>[6]B2!F52</f>
        <v>125.09</v>
      </c>
      <c r="G588" s="65">
        <f>[6]B2!G52</f>
        <v>135.98169123208618</v>
      </c>
      <c r="H588" s="64"/>
      <c r="I588" s="487"/>
      <c r="J588" s="490">
        <f>J562</f>
        <v>32.56</v>
      </c>
      <c r="K588" s="455">
        <f>K562</f>
        <v>545.97</v>
      </c>
      <c r="V588" s="39"/>
    </row>
    <row r="589" spans="1:22" x14ac:dyDescent="0.25">
      <c r="A589" s="479"/>
      <c r="B589" s="483"/>
      <c r="C589" s="460"/>
      <c r="D589" s="460"/>
      <c r="E589" s="3">
        <f>[6]B2!E53</f>
        <v>2</v>
      </c>
      <c r="F589" s="3">
        <f>[6]B2!F53</f>
        <v>126.86</v>
      </c>
      <c r="G589" s="5">
        <f>[6]B2!G53</f>
        <v>137.9058066168555</v>
      </c>
      <c r="H589" s="64"/>
      <c r="I589" s="487"/>
      <c r="J589" s="463"/>
      <c r="K589" s="455"/>
      <c r="V589" s="39"/>
    </row>
    <row r="590" spans="1:22" x14ac:dyDescent="0.25">
      <c r="A590" s="479"/>
      <c r="B590" s="483"/>
      <c r="C590" s="460"/>
      <c r="D590" s="460"/>
      <c r="E590" s="3">
        <f>[6]B2!E54</f>
        <v>3</v>
      </c>
      <c r="F590" s="3">
        <f>[6]B2!F54</f>
        <v>131.80000000000001</v>
      </c>
      <c r="G590" s="5">
        <f>[6]B2!G54</f>
        <v>143.27593656078793</v>
      </c>
      <c r="H590" s="64"/>
      <c r="I590" s="487"/>
      <c r="J590" s="463"/>
      <c r="K590" s="455"/>
      <c r="V590" s="39"/>
    </row>
    <row r="591" spans="1:22" ht="15.75" thickBot="1" x14ac:dyDescent="0.3">
      <c r="A591" s="480"/>
      <c r="B591" s="484"/>
      <c r="C591" s="476"/>
      <c r="D591" s="476"/>
      <c r="E591" s="3">
        <f>[6]B2!E55</f>
        <v>4</v>
      </c>
      <c r="F591" s="3">
        <f>[6]B2!F55</f>
        <v>129.66</v>
      </c>
      <c r="G591" s="5">
        <f>[6]B2!G55</f>
        <v>140.94960496564309</v>
      </c>
      <c r="H591" s="65"/>
      <c r="I591" s="488"/>
      <c r="J591" s="464"/>
      <c r="K591" s="456"/>
      <c r="V591" s="39"/>
    </row>
    <row r="592" spans="1:22" x14ac:dyDescent="0.25">
      <c r="A592" s="43" t="s">
        <v>4</v>
      </c>
      <c r="B592" s="24"/>
      <c r="C592" s="4"/>
      <c r="D592" s="4"/>
      <c r="E592" s="4"/>
      <c r="F592" s="8">
        <f>SUM(F572:F591)</f>
        <v>2498.77</v>
      </c>
      <c r="G592" s="8"/>
      <c r="H592" s="8"/>
      <c r="I592" s="8">
        <f>K572+K576+K580+K584+K588</f>
        <v>2716.34</v>
      </c>
      <c r="J592" s="8">
        <f>J588+J584+J580+J576+J572</f>
        <v>217.54000000000002</v>
      </c>
      <c r="V592" s="39"/>
    </row>
    <row r="593" spans="1:22" x14ac:dyDescent="0.25">
      <c r="A593" s="37"/>
      <c r="F593" s="18">
        <f>I592/F592</f>
        <v>1.0870708388527155</v>
      </c>
      <c r="I593" s="45"/>
      <c r="J593" s="9">
        <f>(J572+J576+J580+J584+J588)/I592</f>
        <v>8.0085703556992127E-2</v>
      </c>
      <c r="V593" s="39"/>
    </row>
    <row r="594" spans="1:22" x14ac:dyDescent="0.25">
      <c r="A594" s="37"/>
      <c r="V594" s="39"/>
    </row>
    <row r="595" spans="1:22" ht="15.75" thickBot="1" x14ac:dyDescent="0.3">
      <c r="A595" s="47"/>
      <c r="B595" s="48"/>
      <c r="C595" s="49"/>
      <c r="D595" s="49"/>
      <c r="E595" s="49"/>
      <c r="F595" s="50"/>
      <c r="G595" s="50"/>
      <c r="H595" s="50"/>
      <c r="I595" s="50"/>
      <c r="J595" s="50"/>
      <c r="K595" s="50"/>
      <c r="L595" s="49"/>
      <c r="M595" s="49"/>
      <c r="N595" s="49"/>
      <c r="O595" s="49"/>
      <c r="P595" s="49"/>
      <c r="Q595" s="49"/>
      <c r="R595" s="49"/>
      <c r="S595" s="49"/>
      <c r="T595" s="49"/>
      <c r="U595" s="49"/>
      <c r="V595" s="51"/>
    </row>
    <row r="597" spans="1:22" ht="15.75" thickBot="1" x14ac:dyDescent="0.3"/>
    <row r="598" spans="1:22" x14ac:dyDescent="0.25">
      <c r="A598" s="31"/>
      <c r="B598" s="32"/>
      <c r="C598" s="33"/>
      <c r="D598" s="33"/>
      <c r="E598" s="33"/>
      <c r="F598" s="34"/>
      <c r="G598" s="34"/>
      <c r="H598" s="34"/>
      <c r="I598" s="34"/>
      <c r="J598" s="34"/>
      <c r="K598" s="34"/>
      <c r="L598" s="33"/>
      <c r="M598" s="33"/>
      <c r="N598" s="33"/>
      <c r="O598" s="33"/>
      <c r="P598" s="33"/>
      <c r="Q598" s="33"/>
      <c r="R598" s="33"/>
      <c r="S598" s="33"/>
      <c r="T598" s="33"/>
      <c r="U598" s="33"/>
      <c r="V598" s="36"/>
    </row>
    <row r="599" spans="1:22" x14ac:dyDescent="0.25">
      <c r="A599" s="37"/>
      <c r="L599" s="52" t="s">
        <v>0</v>
      </c>
      <c r="M599" s="497" t="s">
        <v>65</v>
      </c>
      <c r="N599" s="497"/>
      <c r="O599" s="497"/>
      <c r="Q599" s="477"/>
      <c r="R599" s="477"/>
      <c r="S599" s="59"/>
      <c r="V599" s="39"/>
    </row>
    <row r="600" spans="1:22" x14ac:dyDescent="0.25">
      <c r="A600" s="37"/>
      <c r="L600" s="38" t="s">
        <v>14</v>
      </c>
      <c r="M600" s="477" t="s">
        <v>12</v>
      </c>
      <c r="N600" s="477"/>
      <c r="O600" s="477" t="s">
        <v>12</v>
      </c>
      <c r="P600" s="477"/>
      <c r="Q600" s="477" t="s">
        <v>12</v>
      </c>
      <c r="R600" s="477"/>
      <c r="S600" s="59"/>
      <c r="V600" s="39"/>
    </row>
    <row r="601" spans="1:22" x14ac:dyDescent="0.25">
      <c r="A601" s="37"/>
      <c r="L601" s="38"/>
      <c r="S601" s="59"/>
      <c r="V601" s="39"/>
    </row>
    <row r="602" spans="1:22" x14ac:dyDescent="0.25">
      <c r="A602" s="37"/>
      <c r="L602" s="499" t="s">
        <v>11</v>
      </c>
      <c r="M602" s="21">
        <v>3</v>
      </c>
      <c r="N602" s="21">
        <v>2</v>
      </c>
      <c r="O602" s="20">
        <v>3</v>
      </c>
      <c r="P602" s="20">
        <v>2</v>
      </c>
      <c r="Q602" s="21">
        <v>3</v>
      </c>
      <c r="R602" s="21">
        <v>2</v>
      </c>
      <c r="S602" s="59"/>
      <c r="V602" s="39"/>
    </row>
    <row r="603" spans="1:22" x14ac:dyDescent="0.25">
      <c r="A603" s="37"/>
      <c r="L603" s="499"/>
      <c r="M603" s="21">
        <v>4</v>
      </c>
      <c r="N603" s="21">
        <v>1</v>
      </c>
      <c r="O603" s="20">
        <v>4</v>
      </c>
      <c r="P603" s="20">
        <v>1</v>
      </c>
      <c r="Q603" s="21">
        <v>4</v>
      </c>
      <c r="R603" s="21">
        <v>1</v>
      </c>
      <c r="S603" s="59"/>
      <c r="V603" s="39"/>
    </row>
    <row r="604" spans="1:22" x14ac:dyDescent="0.25">
      <c r="A604" s="37"/>
      <c r="L604" s="38"/>
      <c r="S604" s="59"/>
      <c r="V604" s="39"/>
    </row>
    <row r="605" spans="1:22" x14ac:dyDescent="0.25">
      <c r="A605" s="37"/>
      <c r="L605" s="38" t="s">
        <v>14</v>
      </c>
      <c r="M605" s="477" t="s">
        <v>13</v>
      </c>
      <c r="N605" s="477"/>
      <c r="O605" s="477" t="s">
        <v>13</v>
      </c>
      <c r="P605" s="477"/>
      <c r="Q605" s="477" t="s">
        <v>13</v>
      </c>
      <c r="R605" s="477"/>
      <c r="S605" s="59"/>
      <c r="V605" s="39"/>
    </row>
    <row r="606" spans="1:22" ht="18.75" x14ac:dyDescent="0.3">
      <c r="A606" s="457" t="s">
        <v>32</v>
      </c>
      <c r="B606" s="458"/>
      <c r="C606" s="458"/>
      <c r="D606" s="458"/>
      <c r="E606" s="458"/>
      <c r="F606" s="458"/>
      <c r="G606" s="458"/>
      <c r="H606" s="458"/>
      <c r="I606" s="458"/>
      <c r="J606" s="458"/>
      <c r="K606" s="40"/>
      <c r="M606" s="477"/>
      <c r="N606" s="477"/>
      <c r="O606" s="477"/>
      <c r="P606" s="477"/>
      <c r="S606" s="59"/>
      <c r="V606" s="39"/>
    </row>
    <row r="607" spans="1:22" ht="30" x14ac:dyDescent="0.25">
      <c r="A607" s="41" t="s">
        <v>9</v>
      </c>
      <c r="B607" s="23" t="s">
        <v>7</v>
      </c>
      <c r="C607" s="2" t="s">
        <v>8</v>
      </c>
      <c r="D607" s="2" t="s">
        <v>10</v>
      </c>
      <c r="E607" s="1" t="s">
        <v>2</v>
      </c>
      <c r="F607" s="19" t="s">
        <v>3</v>
      </c>
      <c r="G607" s="19" t="s">
        <v>5</v>
      </c>
      <c r="H607" s="19" t="s">
        <v>57</v>
      </c>
      <c r="I607" s="28" t="s">
        <v>6</v>
      </c>
      <c r="J607" s="28" t="s">
        <v>1</v>
      </c>
      <c r="K607" s="40"/>
      <c r="S607" s="59"/>
      <c r="V607" s="39"/>
    </row>
    <row r="608" spans="1:22" x14ac:dyDescent="0.25">
      <c r="A608" s="478" t="s">
        <v>33</v>
      </c>
      <c r="B608" s="482" t="s">
        <v>66</v>
      </c>
      <c r="C608" s="485" t="s">
        <v>67</v>
      </c>
      <c r="D608" s="485">
        <v>0</v>
      </c>
      <c r="E608" s="3">
        <f>E281</f>
        <v>1</v>
      </c>
      <c r="F608" s="3">
        <f>F281</f>
        <v>144.66300000000001</v>
      </c>
      <c r="G608" s="5">
        <f>G281</f>
        <v>160.2974096687947</v>
      </c>
      <c r="H608" s="77">
        <v>50.369199999999999</v>
      </c>
      <c r="I608" s="486">
        <f>SUM(G608:G627)</f>
        <v>3405.067</v>
      </c>
      <c r="J608" s="462">
        <f>J333</f>
        <v>99.266000000000005</v>
      </c>
      <c r="K608" s="455">
        <f>K333</f>
        <v>685.9</v>
      </c>
      <c r="L608" s="42"/>
      <c r="V608" s="39"/>
    </row>
    <row r="609" spans="1:22" x14ac:dyDescent="0.25">
      <c r="A609" s="479"/>
      <c r="B609" s="483"/>
      <c r="C609" s="460"/>
      <c r="D609" s="460"/>
      <c r="E609" s="3">
        <f t="shared" ref="E609:G627" si="6">E282</f>
        <v>2</v>
      </c>
      <c r="F609" s="3">
        <f t="shared" si="6"/>
        <v>183.887</v>
      </c>
      <c r="G609" s="5">
        <f t="shared" si="6"/>
        <v>203.76053152337258</v>
      </c>
      <c r="H609" s="77">
        <v>61.522199999999998</v>
      </c>
      <c r="I609" s="487"/>
      <c r="J609" s="463"/>
      <c r="K609" s="455"/>
      <c r="L609" s="42"/>
      <c r="V609" s="39"/>
    </row>
    <row r="610" spans="1:22" x14ac:dyDescent="0.25">
      <c r="A610" s="479"/>
      <c r="B610" s="483"/>
      <c r="C610" s="460"/>
      <c r="D610" s="460"/>
      <c r="E610" s="3">
        <f t="shared" si="6"/>
        <v>3</v>
      </c>
      <c r="F610" s="3">
        <f t="shared" si="6"/>
        <v>162.78100000000001</v>
      </c>
      <c r="G610" s="5">
        <f t="shared" si="6"/>
        <v>180.37350700107191</v>
      </c>
      <c r="H610" s="77">
        <v>77.576999999999998</v>
      </c>
      <c r="I610" s="487"/>
      <c r="J610" s="463"/>
      <c r="K610" s="455"/>
      <c r="L610" s="42"/>
      <c r="V610" s="39"/>
    </row>
    <row r="611" spans="1:22" ht="15.75" thickBot="1" x14ac:dyDescent="0.3">
      <c r="A611" s="479"/>
      <c r="B611" s="483"/>
      <c r="C611" s="460"/>
      <c r="D611" s="461"/>
      <c r="E611" s="6">
        <f t="shared" si="6"/>
        <v>4</v>
      </c>
      <c r="F611" s="6">
        <f t="shared" si="6"/>
        <v>95.213999999999999</v>
      </c>
      <c r="G611" s="7">
        <f t="shared" si="6"/>
        <v>105.50422405317612</v>
      </c>
      <c r="H611" s="77">
        <v>41.666899999999998</v>
      </c>
      <c r="I611" s="487"/>
      <c r="J611" s="464"/>
      <c r="K611" s="456"/>
      <c r="L611" s="42"/>
      <c r="V611" s="39"/>
    </row>
    <row r="612" spans="1:22" ht="15" customHeight="1" x14ac:dyDescent="0.25">
      <c r="A612" s="479"/>
      <c r="B612" s="483"/>
      <c r="C612" s="460"/>
      <c r="D612" s="459">
        <v>1</v>
      </c>
      <c r="E612" s="72">
        <f t="shared" si="6"/>
        <v>1</v>
      </c>
      <c r="F612" s="72">
        <f t="shared" si="6"/>
        <v>141.66300000000001</v>
      </c>
      <c r="G612" s="73">
        <f t="shared" si="6"/>
        <v>156.9731855824258</v>
      </c>
      <c r="H612" s="69"/>
      <c r="I612" s="487"/>
      <c r="J612" s="462">
        <f>J337</f>
        <v>73.486999999999995</v>
      </c>
      <c r="K612" s="455">
        <f>K337</f>
        <v>657.67399999999998</v>
      </c>
      <c r="L612" s="56"/>
      <c r="V612" s="39"/>
    </row>
    <row r="613" spans="1:22" ht="15" customHeight="1" x14ac:dyDescent="0.25">
      <c r="A613" s="479"/>
      <c r="B613" s="483"/>
      <c r="C613" s="460"/>
      <c r="D613" s="460"/>
      <c r="E613" s="3">
        <f t="shared" si="6"/>
        <v>2</v>
      </c>
      <c r="F613" s="3">
        <f t="shared" si="6"/>
        <v>183.637</v>
      </c>
      <c r="G613" s="5">
        <f t="shared" si="6"/>
        <v>203.48351284950851</v>
      </c>
      <c r="H613" s="69"/>
      <c r="I613" s="487"/>
      <c r="J613" s="463"/>
      <c r="K613" s="455"/>
      <c r="L613" s="56"/>
      <c r="V613" s="39"/>
    </row>
    <row r="614" spans="1:22" ht="15" customHeight="1" x14ac:dyDescent="0.25">
      <c r="A614" s="479"/>
      <c r="B614" s="483"/>
      <c r="C614" s="460"/>
      <c r="D614" s="460"/>
      <c r="E614" s="3">
        <f t="shared" si="6"/>
        <v>3</v>
      </c>
      <c r="F614" s="3">
        <f t="shared" si="6"/>
        <v>162.53100000000001</v>
      </c>
      <c r="G614" s="5">
        <f t="shared" si="6"/>
        <v>180.09648832720785</v>
      </c>
      <c r="H614" s="69"/>
      <c r="I614" s="487"/>
      <c r="J614" s="463"/>
      <c r="K614" s="455"/>
      <c r="L614" s="57"/>
      <c r="V614" s="39"/>
    </row>
    <row r="615" spans="1:22" ht="15.75" customHeight="1" thickBot="1" x14ac:dyDescent="0.3">
      <c r="A615" s="479"/>
      <c r="B615" s="483"/>
      <c r="C615" s="460"/>
      <c r="D615" s="461"/>
      <c r="E615" s="6">
        <f t="shared" si="6"/>
        <v>4</v>
      </c>
      <c r="F615" s="6">
        <f t="shared" si="6"/>
        <v>96.271000000000001</v>
      </c>
      <c r="G615" s="7">
        <f t="shared" si="6"/>
        <v>106.67545900627343</v>
      </c>
      <c r="H615" s="69"/>
      <c r="I615" s="487"/>
      <c r="J615" s="464"/>
      <c r="K615" s="456"/>
      <c r="L615" s="58"/>
      <c r="V615" s="39"/>
    </row>
    <row r="616" spans="1:22" ht="15" customHeight="1" x14ac:dyDescent="0.25">
      <c r="A616" s="479"/>
      <c r="B616" s="483"/>
      <c r="C616" s="460"/>
      <c r="D616" s="459">
        <v>2</v>
      </c>
      <c r="E616" s="72">
        <f t="shared" si="6"/>
        <v>1</v>
      </c>
      <c r="F616" s="72">
        <f t="shared" si="6"/>
        <v>143.989</v>
      </c>
      <c r="G616" s="73">
        <f t="shared" si="6"/>
        <v>159.55056732405714</v>
      </c>
      <c r="H616" s="69"/>
      <c r="I616" s="487"/>
      <c r="J616" s="462">
        <f>J341</f>
        <v>53.119</v>
      </c>
      <c r="K616" s="455">
        <f>K341</f>
        <v>692.64</v>
      </c>
      <c r="L616" s="42"/>
      <c r="V616" s="39"/>
    </row>
    <row r="617" spans="1:22" ht="15" customHeight="1" x14ac:dyDescent="0.25">
      <c r="A617" s="479"/>
      <c r="B617" s="483"/>
      <c r="C617" s="460"/>
      <c r="D617" s="460"/>
      <c r="E617" s="3">
        <f t="shared" si="6"/>
        <v>2</v>
      </c>
      <c r="F617" s="3">
        <f t="shared" si="6"/>
        <v>187.1</v>
      </c>
      <c r="G617" s="5">
        <f t="shared" si="6"/>
        <v>207.32077551987365</v>
      </c>
      <c r="H617" s="69"/>
      <c r="I617" s="487"/>
      <c r="J617" s="463"/>
      <c r="K617" s="455"/>
      <c r="L617" s="42"/>
      <c r="V617" s="39"/>
    </row>
    <row r="618" spans="1:22" ht="15" customHeight="1" x14ac:dyDescent="0.25">
      <c r="A618" s="479"/>
      <c r="B618" s="483"/>
      <c r="C618" s="460"/>
      <c r="D618" s="460"/>
      <c r="E618" s="3">
        <f t="shared" si="6"/>
        <v>3</v>
      </c>
      <c r="F618" s="3">
        <f t="shared" si="6"/>
        <v>167.16900000000001</v>
      </c>
      <c r="G618" s="5">
        <f t="shared" si="6"/>
        <v>185.23573876473418</v>
      </c>
      <c r="H618" s="69"/>
      <c r="I618" s="487"/>
      <c r="J618" s="463"/>
      <c r="K618" s="455"/>
      <c r="L618" s="42"/>
      <c r="V618" s="39"/>
    </row>
    <row r="619" spans="1:22" ht="15.75" customHeight="1" thickBot="1" x14ac:dyDescent="0.3">
      <c r="A619" s="479"/>
      <c r="B619" s="483"/>
      <c r="C619" s="460"/>
      <c r="D619" s="461"/>
      <c r="E619" s="6">
        <f t="shared" si="6"/>
        <v>4</v>
      </c>
      <c r="F619" s="6">
        <f t="shared" si="6"/>
        <v>141.18700000000001</v>
      </c>
      <c r="G619" s="7">
        <f t="shared" si="6"/>
        <v>156.4457420273886</v>
      </c>
      <c r="H619" s="69"/>
      <c r="I619" s="487"/>
      <c r="J619" s="464"/>
      <c r="K619" s="456"/>
      <c r="L619" s="42"/>
      <c r="Q619" s="18"/>
      <c r="V619" s="39"/>
    </row>
    <row r="620" spans="1:22" ht="15" customHeight="1" x14ac:dyDescent="0.25">
      <c r="A620" s="479"/>
      <c r="B620" s="483"/>
      <c r="C620" s="460"/>
      <c r="D620" s="459">
        <v>3</v>
      </c>
      <c r="E620" s="72">
        <f t="shared" si="6"/>
        <v>1</v>
      </c>
      <c r="F620" s="72">
        <f t="shared" si="6"/>
        <v>143.89599999999999</v>
      </c>
      <c r="G620" s="73">
        <f t="shared" si="6"/>
        <v>159.44751637737969</v>
      </c>
      <c r="H620" s="69"/>
      <c r="I620" s="487"/>
      <c r="J620" s="462">
        <f>J345</f>
        <v>53.12</v>
      </c>
      <c r="K620" s="455">
        <f>K345</f>
        <v>689.822</v>
      </c>
      <c r="L620" s="42"/>
      <c r="V620" s="39"/>
    </row>
    <row r="621" spans="1:22" ht="15" customHeight="1" x14ac:dyDescent="0.25">
      <c r="A621" s="479"/>
      <c r="B621" s="483"/>
      <c r="C621" s="460"/>
      <c r="D621" s="460"/>
      <c r="E621" s="3">
        <f t="shared" si="6"/>
        <v>2</v>
      </c>
      <c r="F621" s="3">
        <f t="shared" si="6"/>
        <v>187.20400000000001</v>
      </c>
      <c r="G621" s="5">
        <f t="shared" si="6"/>
        <v>207.43601528820113</v>
      </c>
      <c r="H621" s="69"/>
      <c r="I621" s="487"/>
      <c r="J621" s="463"/>
      <c r="K621" s="455"/>
      <c r="L621" s="42"/>
      <c r="V621" s="39"/>
    </row>
    <row r="622" spans="1:22" ht="15" customHeight="1" x14ac:dyDescent="0.25">
      <c r="A622" s="479"/>
      <c r="B622" s="483"/>
      <c r="C622" s="460"/>
      <c r="D622" s="460"/>
      <c r="E622" s="3">
        <f t="shared" si="6"/>
        <v>3</v>
      </c>
      <c r="F622" s="3">
        <f t="shared" si="6"/>
        <v>164.417</v>
      </c>
      <c r="G622" s="5">
        <f t="shared" si="6"/>
        <v>182.18631720283841</v>
      </c>
      <c r="H622" s="69"/>
      <c r="I622" s="487"/>
      <c r="J622" s="463"/>
      <c r="K622" s="455"/>
      <c r="L622" s="42"/>
      <c r="V622" s="39"/>
    </row>
    <row r="623" spans="1:22" ht="15.75" customHeight="1" thickBot="1" x14ac:dyDescent="0.3">
      <c r="A623" s="479"/>
      <c r="B623" s="483"/>
      <c r="C623" s="460"/>
      <c r="D623" s="461"/>
      <c r="E623" s="6">
        <f t="shared" si="6"/>
        <v>4</v>
      </c>
      <c r="F623" s="6">
        <f t="shared" si="6"/>
        <v>141.07300000000001</v>
      </c>
      <c r="G623" s="7">
        <f t="shared" si="6"/>
        <v>156.31942151210657</v>
      </c>
      <c r="H623" s="69"/>
      <c r="I623" s="487"/>
      <c r="J623" s="464"/>
      <c r="K623" s="456"/>
      <c r="L623" s="42"/>
      <c r="V623" s="39"/>
    </row>
    <row r="624" spans="1:22" ht="18.75" customHeight="1" x14ac:dyDescent="0.3">
      <c r="A624" s="479"/>
      <c r="B624" s="483"/>
      <c r="C624" s="460"/>
      <c r="D624" s="459">
        <v>4</v>
      </c>
      <c r="E624" s="70">
        <f t="shared" si="6"/>
        <v>1</v>
      </c>
      <c r="F624" s="70">
        <f t="shared" si="6"/>
        <v>141.929</v>
      </c>
      <c r="G624" s="65">
        <f t="shared" si="6"/>
        <v>157.26793345141715</v>
      </c>
      <c r="H624" s="69"/>
      <c r="I624" s="487"/>
      <c r="J624" s="462">
        <f>J349</f>
        <v>53.12</v>
      </c>
      <c r="K624" s="455">
        <f>K349</f>
        <v>679.47</v>
      </c>
      <c r="L624" s="42"/>
      <c r="Q624" s="481" t="s">
        <v>34</v>
      </c>
      <c r="R624" s="481"/>
      <c r="S624" s="60"/>
      <c r="V624" s="39"/>
    </row>
    <row r="625" spans="1:22" ht="15" customHeight="1" x14ac:dyDescent="0.25">
      <c r="A625" s="479"/>
      <c r="B625" s="483"/>
      <c r="C625" s="460"/>
      <c r="D625" s="460"/>
      <c r="E625" s="3">
        <f t="shared" si="6"/>
        <v>2</v>
      </c>
      <c r="F625" s="3">
        <f t="shared" si="6"/>
        <v>182.57</v>
      </c>
      <c r="G625" s="5">
        <f t="shared" si="6"/>
        <v>202.30119714945661</v>
      </c>
      <c r="H625" s="69"/>
      <c r="I625" s="487"/>
      <c r="J625" s="463"/>
      <c r="K625" s="455"/>
      <c r="L625" s="42"/>
      <c r="Q625" s="61"/>
      <c r="R625" s="62" t="s">
        <v>35</v>
      </c>
      <c r="S625" s="62"/>
      <c r="V625" s="39"/>
    </row>
    <row r="626" spans="1:22" ht="15" customHeight="1" x14ac:dyDescent="0.25">
      <c r="A626" s="479"/>
      <c r="B626" s="483"/>
      <c r="C626" s="460"/>
      <c r="D626" s="460"/>
      <c r="E626" s="3">
        <f t="shared" si="6"/>
        <v>3</v>
      </c>
      <c r="F626" s="3">
        <f t="shared" si="6"/>
        <v>162.65</v>
      </c>
      <c r="G626" s="5">
        <f t="shared" si="6"/>
        <v>180.22834921596714</v>
      </c>
      <c r="H626" s="69"/>
      <c r="I626" s="487"/>
      <c r="J626" s="463"/>
      <c r="K626" s="455"/>
      <c r="L626" s="42"/>
      <c r="V626" s="39"/>
    </row>
    <row r="627" spans="1:22" ht="15.75" customHeight="1" thickBot="1" x14ac:dyDescent="0.3">
      <c r="A627" s="480"/>
      <c r="B627" s="484"/>
      <c r="C627" s="476"/>
      <c r="D627" s="476"/>
      <c r="E627" s="3">
        <f t="shared" si="6"/>
        <v>4</v>
      </c>
      <c r="F627" s="3">
        <f t="shared" si="6"/>
        <v>139.12700000000001</v>
      </c>
      <c r="G627" s="5">
        <f t="shared" si="6"/>
        <v>154.16310815474861</v>
      </c>
      <c r="H627" s="70"/>
      <c r="I627" s="488"/>
      <c r="J627" s="464"/>
      <c r="K627" s="456"/>
      <c r="L627" s="42"/>
      <c r="V627" s="39"/>
    </row>
    <row r="628" spans="1:22" x14ac:dyDescent="0.25">
      <c r="A628" s="43" t="s">
        <v>4</v>
      </c>
      <c r="B628" s="24"/>
      <c r="C628" s="4"/>
      <c r="D628" s="4"/>
      <c r="E628" s="4"/>
      <c r="F628" s="8">
        <f>SUM(F608:F627)</f>
        <v>3072.9580000000001</v>
      </c>
      <c r="G628" s="8"/>
      <c r="H628" s="8"/>
      <c r="I628" s="8">
        <f>K608+K612+K616+K620+K624</f>
        <v>3405.5060000000003</v>
      </c>
      <c r="J628" s="8">
        <f>J624+J620+J616+J612+J608</f>
        <v>332.11199999999997</v>
      </c>
      <c r="K628" s="40"/>
      <c r="L628" s="44"/>
      <c r="V628" s="39"/>
    </row>
    <row r="629" spans="1:22" x14ac:dyDescent="0.25">
      <c r="A629" s="37"/>
      <c r="F629" s="18">
        <f>I628/F628</f>
        <v>1.108217554551673</v>
      </c>
      <c r="I629" s="45"/>
      <c r="J629" s="9">
        <f>(J608+J612+J616+J620+J624)/I628</f>
        <v>9.7522071609916397E-2</v>
      </c>
      <c r="V629" s="39"/>
    </row>
    <row r="630" spans="1:22" x14ac:dyDescent="0.25">
      <c r="A630" s="37"/>
      <c r="V630" s="39"/>
    </row>
    <row r="631" spans="1:22" x14ac:dyDescent="0.25">
      <c r="A631" s="37"/>
      <c r="V631" s="39"/>
    </row>
    <row r="632" spans="1:22" ht="18.75" x14ac:dyDescent="0.3">
      <c r="A632" s="457" t="s">
        <v>32</v>
      </c>
      <c r="B632" s="458"/>
      <c r="C632" s="458"/>
      <c r="D632" s="458"/>
      <c r="E632" s="458"/>
      <c r="F632" s="458"/>
      <c r="G632" s="458"/>
      <c r="H632" s="458"/>
      <c r="I632" s="458"/>
      <c r="J632" s="458"/>
      <c r="K632" s="46"/>
      <c r="V632" s="39"/>
    </row>
    <row r="633" spans="1:22" ht="30" x14ac:dyDescent="0.25">
      <c r="A633" s="41" t="s">
        <v>9</v>
      </c>
      <c r="B633" s="23" t="s">
        <v>7</v>
      </c>
      <c r="C633" s="2" t="s">
        <v>8</v>
      </c>
      <c r="D633" s="2" t="s">
        <v>10</v>
      </c>
      <c r="E633" s="1" t="s">
        <v>2</v>
      </c>
      <c r="F633" s="19" t="s">
        <v>3</v>
      </c>
      <c r="G633" s="19" t="s">
        <v>5</v>
      </c>
      <c r="H633" s="19" t="s">
        <v>57</v>
      </c>
      <c r="I633" s="28" t="s">
        <v>6</v>
      </c>
      <c r="J633" s="28" t="s">
        <v>1</v>
      </c>
      <c r="K633" s="46"/>
      <c r="V633" s="39"/>
    </row>
    <row r="634" spans="1:22" x14ac:dyDescent="0.25">
      <c r="A634" s="478" t="s">
        <v>33</v>
      </c>
      <c r="B634" s="482" t="s">
        <v>66</v>
      </c>
      <c r="C634" s="485" t="s">
        <v>68</v>
      </c>
      <c r="D634" s="485">
        <v>0</v>
      </c>
      <c r="E634" s="3">
        <f>E307</f>
        <v>1</v>
      </c>
      <c r="F634" s="3">
        <f>F307</f>
        <v>141.82499999999999</v>
      </c>
      <c r="G634" s="5">
        <f>G307</f>
        <v>159.0528991060259</v>
      </c>
      <c r="H634" s="77">
        <v>49.875</v>
      </c>
      <c r="I634" s="486">
        <f>SUM(G634:G653)</f>
        <v>3065.95</v>
      </c>
      <c r="J634" s="462">
        <f>J307</f>
        <v>99.266000000000005</v>
      </c>
      <c r="K634" s="465">
        <f>K333</f>
        <v>685.9</v>
      </c>
      <c r="V634" s="39"/>
    </row>
    <row r="635" spans="1:22" x14ac:dyDescent="0.25">
      <c r="A635" s="479"/>
      <c r="B635" s="483"/>
      <c r="C635" s="460"/>
      <c r="D635" s="460"/>
      <c r="E635" s="3">
        <f t="shared" ref="E635:G653" si="7">E308</f>
        <v>2</v>
      </c>
      <c r="F635" s="71">
        <f t="shared" si="7"/>
        <v>142.05600000000001</v>
      </c>
      <c r="G635" s="5">
        <f t="shared" si="7"/>
        <v>159.31195935417324</v>
      </c>
      <c r="H635" s="77">
        <v>97.868200000000002</v>
      </c>
      <c r="I635" s="487"/>
      <c r="J635" s="463"/>
      <c r="K635" s="465"/>
      <c r="V635" s="39"/>
    </row>
    <row r="636" spans="1:22" x14ac:dyDescent="0.25">
      <c r="A636" s="479"/>
      <c r="B636" s="483"/>
      <c r="C636" s="460"/>
      <c r="D636" s="460"/>
      <c r="E636" s="3">
        <f t="shared" si="7"/>
        <v>3</v>
      </c>
      <c r="F636" s="71">
        <f t="shared" si="7"/>
        <v>142.197</v>
      </c>
      <c r="G636" s="5">
        <f t="shared" si="7"/>
        <v>159.47008703810729</v>
      </c>
      <c r="H636" s="77">
        <v>97.259299999999996</v>
      </c>
      <c r="I636" s="487"/>
      <c r="J636" s="463"/>
      <c r="K636" s="465"/>
      <c r="V636" s="39"/>
    </row>
    <row r="637" spans="1:22" ht="15.75" thickBot="1" x14ac:dyDescent="0.3">
      <c r="A637" s="479"/>
      <c r="B637" s="483"/>
      <c r="C637" s="460"/>
      <c r="D637" s="461"/>
      <c r="E637" s="6">
        <f t="shared" si="7"/>
        <v>4</v>
      </c>
      <c r="F637" s="6">
        <f t="shared" si="7"/>
        <v>95.254000000000005</v>
      </c>
      <c r="G637" s="7">
        <f t="shared" si="7"/>
        <v>106.82478301741861</v>
      </c>
      <c r="H637" s="77">
        <v>42.098799999999997</v>
      </c>
      <c r="I637" s="487"/>
      <c r="J637" s="464"/>
      <c r="K637" s="466"/>
      <c r="L637" s="14"/>
      <c r="V637" s="39"/>
    </row>
    <row r="638" spans="1:22" ht="15" customHeight="1" x14ac:dyDescent="0.25">
      <c r="A638" s="479"/>
      <c r="B638" s="483"/>
      <c r="C638" s="460"/>
      <c r="D638" s="459">
        <v>1</v>
      </c>
      <c r="E638" s="72">
        <f t="shared" si="7"/>
        <v>1</v>
      </c>
      <c r="F638" s="72">
        <f t="shared" si="7"/>
        <v>142.977</v>
      </c>
      <c r="G638" s="73">
        <f t="shared" si="7"/>
        <v>160.34483592795536</v>
      </c>
      <c r="H638" s="69"/>
      <c r="I638" s="487"/>
      <c r="J638" s="462">
        <f>J311</f>
        <v>73.486999999999995</v>
      </c>
      <c r="K638" s="465">
        <f>K337</f>
        <v>657.67399999999998</v>
      </c>
      <c r="L638" s="17"/>
      <c r="V638" s="39"/>
    </row>
    <row r="639" spans="1:22" ht="15" customHeight="1" x14ac:dyDescent="0.25">
      <c r="A639" s="479"/>
      <c r="B639" s="483"/>
      <c r="C639" s="460"/>
      <c r="D639" s="460"/>
      <c r="E639" s="3">
        <f t="shared" si="7"/>
        <v>2</v>
      </c>
      <c r="F639" s="71">
        <f t="shared" si="7"/>
        <v>139.572</v>
      </c>
      <c r="G639" s="5">
        <f t="shared" si="7"/>
        <v>156.52622058188788</v>
      </c>
      <c r="H639" s="69"/>
      <c r="I639" s="487"/>
      <c r="J639" s="463"/>
      <c r="K639" s="465"/>
      <c r="L639" s="17"/>
      <c r="V639" s="39"/>
    </row>
    <row r="640" spans="1:22" ht="15" customHeight="1" x14ac:dyDescent="0.25">
      <c r="A640" s="479"/>
      <c r="B640" s="483"/>
      <c r="C640" s="460"/>
      <c r="D640" s="460"/>
      <c r="E640" s="3">
        <f t="shared" si="7"/>
        <v>3</v>
      </c>
      <c r="F640" s="71">
        <f t="shared" si="7"/>
        <v>139.71199999999999</v>
      </c>
      <c r="G640" s="5">
        <f t="shared" si="7"/>
        <v>156.68322679288624</v>
      </c>
      <c r="H640" s="69"/>
      <c r="I640" s="487"/>
      <c r="J640" s="463"/>
      <c r="K640" s="465"/>
      <c r="L640" s="16"/>
      <c r="V640" s="39"/>
    </row>
    <row r="641" spans="1:22" ht="15.75" customHeight="1" thickBot="1" x14ac:dyDescent="0.3">
      <c r="A641" s="479"/>
      <c r="B641" s="483"/>
      <c r="C641" s="460"/>
      <c r="D641" s="461"/>
      <c r="E641" s="6">
        <f t="shared" si="7"/>
        <v>4</v>
      </c>
      <c r="F641" s="6">
        <f t="shared" si="7"/>
        <v>96.311000000000007</v>
      </c>
      <c r="G641" s="7">
        <f t="shared" si="7"/>
        <v>108.01017991045629</v>
      </c>
      <c r="H641" s="69"/>
      <c r="I641" s="487"/>
      <c r="J641" s="464"/>
      <c r="K641" s="466"/>
      <c r="L641" s="15"/>
      <c r="V641" s="39"/>
    </row>
    <row r="642" spans="1:22" ht="15" customHeight="1" x14ac:dyDescent="0.25">
      <c r="A642" s="479"/>
      <c r="B642" s="483"/>
      <c r="C642" s="460"/>
      <c r="D642" s="459">
        <v>2</v>
      </c>
      <c r="E642" s="72">
        <f t="shared" si="7"/>
        <v>1</v>
      </c>
      <c r="F642" s="72">
        <f t="shared" si="7"/>
        <v>141.18700000000001</v>
      </c>
      <c r="G642" s="73">
        <f t="shared" si="7"/>
        <v>158.33739937304765</v>
      </c>
      <c r="H642" s="69"/>
      <c r="I642" s="487"/>
      <c r="J642" s="462">
        <f>J315</f>
        <v>53.119</v>
      </c>
      <c r="K642" s="465">
        <f>K341</f>
        <v>692.64</v>
      </c>
      <c r="V642" s="39"/>
    </row>
    <row r="643" spans="1:22" ht="15" customHeight="1" x14ac:dyDescent="0.25">
      <c r="A643" s="479"/>
      <c r="B643" s="483"/>
      <c r="C643" s="460"/>
      <c r="D643" s="460"/>
      <c r="E643" s="3">
        <f t="shared" si="7"/>
        <v>2</v>
      </c>
      <c r="F643" s="3">
        <f t="shared" si="7"/>
        <v>141.446</v>
      </c>
      <c r="G643" s="5">
        <f t="shared" si="7"/>
        <v>158.62786086339463</v>
      </c>
      <c r="H643" s="69"/>
      <c r="I643" s="487"/>
      <c r="J643" s="463"/>
      <c r="K643" s="465"/>
      <c r="V643" s="39"/>
    </row>
    <row r="644" spans="1:22" ht="15" customHeight="1" x14ac:dyDescent="0.25">
      <c r="A644" s="479"/>
      <c r="B644" s="483"/>
      <c r="C644" s="460"/>
      <c r="D644" s="460"/>
      <c r="E644" s="3">
        <f t="shared" si="7"/>
        <v>3</v>
      </c>
      <c r="F644" s="3">
        <f t="shared" si="7"/>
        <v>141.572</v>
      </c>
      <c r="G644" s="5">
        <f t="shared" si="7"/>
        <v>158.76916645329317</v>
      </c>
      <c r="H644" s="69"/>
      <c r="I644" s="487"/>
      <c r="J644" s="463"/>
      <c r="K644" s="465"/>
      <c r="V644" s="39"/>
    </row>
    <row r="645" spans="1:22" ht="15.75" customHeight="1" thickBot="1" x14ac:dyDescent="0.3">
      <c r="A645" s="479"/>
      <c r="B645" s="483"/>
      <c r="C645" s="460"/>
      <c r="D645" s="461"/>
      <c r="E645" s="6">
        <f t="shared" si="7"/>
        <v>4</v>
      </c>
      <c r="F645" s="6">
        <f t="shared" si="7"/>
        <v>141.226</v>
      </c>
      <c r="G645" s="7">
        <f t="shared" si="7"/>
        <v>158.38113681754004</v>
      </c>
      <c r="H645" s="69"/>
      <c r="I645" s="487"/>
      <c r="J645" s="464"/>
      <c r="K645" s="466"/>
      <c r="V645" s="39"/>
    </row>
    <row r="646" spans="1:22" ht="15" customHeight="1" x14ac:dyDescent="0.25">
      <c r="A646" s="479"/>
      <c r="B646" s="483"/>
      <c r="C646" s="460"/>
      <c r="D646" s="459">
        <v>3</v>
      </c>
      <c r="E646" s="72">
        <f t="shared" si="7"/>
        <v>1</v>
      </c>
      <c r="F646" s="72">
        <f t="shared" si="7"/>
        <v>141.48599999999999</v>
      </c>
      <c r="G646" s="73">
        <f t="shared" si="7"/>
        <v>158.67271978082272</v>
      </c>
      <c r="H646" s="69"/>
      <c r="I646" s="487"/>
      <c r="J646" s="462">
        <f>J319</f>
        <v>53.119</v>
      </c>
      <c r="K646" s="465">
        <f>K345</f>
        <v>689.822</v>
      </c>
      <c r="V646" s="39"/>
    </row>
    <row r="647" spans="1:22" ht="15" customHeight="1" x14ac:dyDescent="0.25">
      <c r="A647" s="479"/>
      <c r="B647" s="483"/>
      <c r="C647" s="460"/>
      <c r="D647" s="460"/>
      <c r="E647" s="3">
        <f t="shared" si="7"/>
        <v>2</v>
      </c>
      <c r="F647" s="3">
        <f t="shared" si="7"/>
        <v>141.94999999999999</v>
      </c>
      <c r="G647" s="5">
        <f t="shared" si="7"/>
        <v>159.19308322298875</v>
      </c>
      <c r="H647" s="69"/>
      <c r="I647" s="487"/>
      <c r="J647" s="463"/>
      <c r="K647" s="465"/>
      <c r="V647" s="39"/>
    </row>
    <row r="648" spans="1:22" ht="15" customHeight="1" x14ac:dyDescent="0.25">
      <c r="A648" s="479"/>
      <c r="B648" s="483"/>
      <c r="C648" s="460"/>
      <c r="D648" s="460"/>
      <c r="E648" s="3">
        <f t="shared" si="7"/>
        <v>3</v>
      </c>
      <c r="F648" s="3">
        <f t="shared" si="7"/>
        <v>142.07</v>
      </c>
      <c r="G648" s="5">
        <f t="shared" si="7"/>
        <v>159.32765997527306</v>
      </c>
      <c r="H648" s="69"/>
      <c r="I648" s="487"/>
      <c r="J648" s="463"/>
      <c r="K648" s="465"/>
      <c r="V648" s="39"/>
    </row>
    <row r="649" spans="1:22" ht="15.75" customHeight="1" thickBot="1" x14ac:dyDescent="0.3">
      <c r="A649" s="479"/>
      <c r="B649" s="483"/>
      <c r="C649" s="460"/>
      <c r="D649" s="461"/>
      <c r="E649" s="6">
        <f t="shared" si="7"/>
        <v>4</v>
      </c>
      <c r="F649" s="6">
        <f t="shared" si="7"/>
        <v>141.52600000000001</v>
      </c>
      <c r="G649" s="7">
        <f t="shared" si="7"/>
        <v>158.71757869825083</v>
      </c>
      <c r="H649" s="69"/>
      <c r="I649" s="487"/>
      <c r="J649" s="464"/>
      <c r="K649" s="466"/>
      <c r="V649" s="39"/>
    </row>
    <row r="650" spans="1:22" ht="15" customHeight="1" x14ac:dyDescent="0.25">
      <c r="A650" s="479"/>
      <c r="B650" s="483"/>
      <c r="C650" s="460"/>
      <c r="D650" s="459">
        <v>4</v>
      </c>
      <c r="E650" s="70">
        <f t="shared" si="7"/>
        <v>1</v>
      </c>
      <c r="F650" s="70">
        <f t="shared" si="7"/>
        <v>139.13</v>
      </c>
      <c r="G650" s="65">
        <f t="shared" si="7"/>
        <v>156.03052954430731</v>
      </c>
      <c r="H650" s="69"/>
      <c r="I650" s="487"/>
      <c r="J650" s="462">
        <f>J323</f>
        <v>53.119</v>
      </c>
      <c r="K650" s="465">
        <f>K349</f>
        <v>679.47</v>
      </c>
      <c r="V650" s="39"/>
    </row>
    <row r="651" spans="1:22" ht="15" customHeight="1" x14ac:dyDescent="0.25">
      <c r="A651" s="479"/>
      <c r="B651" s="483"/>
      <c r="C651" s="460"/>
      <c r="D651" s="460"/>
      <c r="E651" s="3">
        <f t="shared" si="7"/>
        <v>2</v>
      </c>
      <c r="F651" s="3">
        <f t="shared" si="7"/>
        <v>141.53399999999999</v>
      </c>
      <c r="G651" s="5">
        <f t="shared" si="7"/>
        <v>158.72655048173644</v>
      </c>
      <c r="H651" s="69"/>
      <c r="I651" s="487"/>
      <c r="J651" s="463"/>
      <c r="K651" s="465"/>
      <c r="V651" s="39"/>
    </row>
    <row r="652" spans="1:22" ht="15" customHeight="1" x14ac:dyDescent="0.25">
      <c r="A652" s="479"/>
      <c r="B652" s="483"/>
      <c r="C652" s="460"/>
      <c r="D652" s="460"/>
      <c r="E652" s="3">
        <f t="shared" si="7"/>
        <v>3</v>
      </c>
      <c r="F652" s="3">
        <f t="shared" si="7"/>
        <v>141.65899999999999</v>
      </c>
      <c r="G652" s="5">
        <f t="shared" si="7"/>
        <v>158.86673459869928</v>
      </c>
      <c r="H652" s="69"/>
      <c r="I652" s="487"/>
      <c r="J652" s="463"/>
      <c r="K652" s="465"/>
      <c r="V652" s="39"/>
    </row>
    <row r="653" spans="1:22" ht="15.75" customHeight="1" thickBot="1" x14ac:dyDescent="0.3">
      <c r="A653" s="480"/>
      <c r="B653" s="484"/>
      <c r="C653" s="476"/>
      <c r="D653" s="476"/>
      <c r="E653" s="3">
        <f t="shared" si="7"/>
        <v>4</v>
      </c>
      <c r="F653" s="3">
        <f t="shared" si="7"/>
        <v>139.16999999999999</v>
      </c>
      <c r="G653" s="5">
        <f t="shared" si="7"/>
        <v>156.0753884617354</v>
      </c>
      <c r="H653" s="70"/>
      <c r="I653" s="488"/>
      <c r="J653" s="464"/>
      <c r="K653" s="466"/>
      <c r="V653" s="39"/>
    </row>
    <row r="654" spans="1:22" x14ac:dyDescent="0.25">
      <c r="A654" s="43" t="s">
        <v>4</v>
      </c>
      <c r="B654" s="24"/>
      <c r="C654" s="4"/>
      <c r="D654" s="4"/>
      <c r="E654" s="4"/>
      <c r="F654" s="8">
        <f>SUM(F634:F653)</f>
        <v>2733.86</v>
      </c>
      <c r="G654" s="8"/>
      <c r="H654" s="8"/>
      <c r="I654" s="8">
        <f>K634+K638+K642+K646+K650</f>
        <v>3405.5060000000003</v>
      </c>
      <c r="J654" s="8">
        <f>J650+J646+J642+J638+J634</f>
        <v>332.11</v>
      </c>
      <c r="K654" s="46"/>
      <c r="V654" s="39"/>
    </row>
    <row r="655" spans="1:22" x14ac:dyDescent="0.25">
      <c r="A655" s="37"/>
      <c r="F655" s="18">
        <f>I654/F654</f>
        <v>1.2456768086149255</v>
      </c>
      <c r="I655" s="45"/>
      <c r="J655" s="9">
        <f>(J634+J638+J642+J646+J650)/I654</f>
        <v>9.7521484325677296E-2</v>
      </c>
      <c r="K655" s="46"/>
      <c r="V655" s="39"/>
    </row>
    <row r="656" spans="1:22" x14ac:dyDescent="0.25">
      <c r="A656" s="37"/>
      <c r="V656" s="39"/>
    </row>
    <row r="657" spans="1:22" x14ac:dyDescent="0.25">
      <c r="A657" s="37"/>
      <c r="V657" s="39"/>
    </row>
    <row r="658" spans="1:22" ht="18.75" x14ac:dyDescent="0.3">
      <c r="A658" s="457" t="s">
        <v>32</v>
      </c>
      <c r="B658" s="458"/>
      <c r="C658" s="458"/>
      <c r="D658" s="458"/>
      <c r="E658" s="458"/>
      <c r="F658" s="458"/>
      <c r="G658" s="458"/>
      <c r="H658" s="458"/>
      <c r="I658" s="458"/>
      <c r="J658" s="458"/>
      <c r="K658" s="40"/>
      <c r="V658" s="39"/>
    </row>
    <row r="659" spans="1:22" ht="30" x14ac:dyDescent="0.25">
      <c r="A659" s="41" t="s">
        <v>9</v>
      </c>
      <c r="B659" s="23" t="s">
        <v>7</v>
      </c>
      <c r="C659" s="2" t="s">
        <v>8</v>
      </c>
      <c r="D659" s="2" t="s">
        <v>10</v>
      </c>
      <c r="E659" s="1" t="s">
        <v>2</v>
      </c>
      <c r="F659" s="19" t="s">
        <v>3</v>
      </c>
      <c r="G659" s="19" t="s">
        <v>5</v>
      </c>
      <c r="H659" s="19" t="s">
        <v>57</v>
      </c>
      <c r="I659" s="28" t="s">
        <v>6</v>
      </c>
      <c r="J659" s="28" t="s">
        <v>1</v>
      </c>
      <c r="K659" s="40"/>
      <c r="V659" s="39"/>
    </row>
    <row r="660" spans="1:22" x14ac:dyDescent="0.25">
      <c r="A660" s="478" t="s">
        <v>33</v>
      </c>
      <c r="B660" s="482" t="s">
        <v>66</v>
      </c>
      <c r="C660" s="485" t="s">
        <v>69</v>
      </c>
      <c r="D660" s="485">
        <v>0</v>
      </c>
      <c r="E660" s="3">
        <f>E333</f>
        <v>1</v>
      </c>
      <c r="F660" s="3">
        <f>F333</f>
        <v>95.254000000000005</v>
      </c>
      <c r="G660" s="5">
        <f>G333</f>
        <v>105.54728263471846</v>
      </c>
      <c r="H660" s="77">
        <v>42.259599999999999</v>
      </c>
      <c r="I660" s="486">
        <f>SUM(G660:G679)</f>
        <v>3405.5059999999989</v>
      </c>
      <c r="J660" s="462">
        <f>J333</f>
        <v>99.266000000000005</v>
      </c>
      <c r="K660" s="455">
        <f>K333</f>
        <v>685.9</v>
      </c>
      <c r="V660" s="39"/>
    </row>
    <row r="661" spans="1:22" x14ac:dyDescent="0.25">
      <c r="A661" s="479"/>
      <c r="B661" s="483"/>
      <c r="C661" s="460"/>
      <c r="D661" s="460"/>
      <c r="E661" s="3">
        <f t="shared" ref="E661:G679" si="8">E334</f>
        <v>2</v>
      </c>
      <c r="F661" s="3">
        <f t="shared" si="8"/>
        <v>162.82599999999999</v>
      </c>
      <c r="G661" s="5">
        <f t="shared" si="8"/>
        <v>180.42120900204364</v>
      </c>
      <c r="H661" s="77">
        <v>77.610299999999995</v>
      </c>
      <c r="I661" s="487"/>
      <c r="J661" s="463"/>
      <c r="K661" s="455"/>
      <c r="V661" s="39"/>
    </row>
    <row r="662" spans="1:22" x14ac:dyDescent="0.25">
      <c r="A662" s="479"/>
      <c r="B662" s="483"/>
      <c r="C662" s="460"/>
      <c r="D662" s="460"/>
      <c r="E662" s="3">
        <f t="shared" si="8"/>
        <v>3</v>
      </c>
      <c r="F662" s="3">
        <f t="shared" si="8"/>
        <v>183.887</v>
      </c>
      <c r="G662" s="5">
        <f t="shared" si="8"/>
        <v>203.75809059830002</v>
      </c>
      <c r="H662" s="77">
        <v>61.527700000000003</v>
      </c>
      <c r="I662" s="487"/>
      <c r="J662" s="463"/>
      <c r="K662" s="455"/>
      <c r="V662" s="39"/>
    </row>
    <row r="663" spans="1:22" ht="15.75" thickBot="1" x14ac:dyDescent="0.3">
      <c r="A663" s="479"/>
      <c r="B663" s="483"/>
      <c r="C663" s="460"/>
      <c r="D663" s="461"/>
      <c r="E663" s="6">
        <f t="shared" si="8"/>
        <v>4</v>
      </c>
      <c r="F663" s="6">
        <f t="shared" si="8"/>
        <v>144.66</v>
      </c>
      <c r="G663" s="7">
        <f t="shared" si="8"/>
        <v>160.29216522076101</v>
      </c>
      <c r="H663" s="77">
        <v>51.884399999999999</v>
      </c>
      <c r="I663" s="487"/>
      <c r="J663" s="464"/>
      <c r="K663" s="456"/>
      <c r="L663" s="14"/>
      <c r="V663" s="39"/>
    </row>
    <row r="664" spans="1:22" ht="15" customHeight="1" x14ac:dyDescent="0.25">
      <c r="A664" s="479"/>
      <c r="B664" s="483"/>
      <c r="C664" s="460"/>
      <c r="D664" s="459">
        <v>1</v>
      </c>
      <c r="E664" s="72">
        <f t="shared" si="8"/>
        <v>1</v>
      </c>
      <c r="F664" s="72">
        <f t="shared" si="8"/>
        <v>96.311000000000007</v>
      </c>
      <c r="G664" s="73">
        <f t="shared" si="8"/>
        <v>106.71850355714584</v>
      </c>
      <c r="H664" s="69"/>
      <c r="I664" s="487"/>
      <c r="J664" s="462">
        <f>J337</f>
        <v>73.486999999999995</v>
      </c>
      <c r="K664" s="455">
        <f>K337</f>
        <v>657.67399999999998</v>
      </c>
      <c r="L664" s="17"/>
      <c r="V664" s="39"/>
    </row>
    <row r="665" spans="1:22" ht="15" customHeight="1" x14ac:dyDescent="0.25">
      <c r="A665" s="479"/>
      <c r="B665" s="483"/>
      <c r="C665" s="460"/>
      <c r="D665" s="460"/>
      <c r="E665" s="3">
        <f t="shared" si="8"/>
        <v>2</v>
      </c>
      <c r="F665" s="3">
        <f t="shared" si="8"/>
        <v>162.57599999999999</v>
      </c>
      <c r="G665" s="5">
        <f t="shared" si="8"/>
        <v>180.14419364669186</v>
      </c>
      <c r="H665" s="69"/>
      <c r="I665" s="487"/>
      <c r="J665" s="463"/>
      <c r="K665" s="455"/>
      <c r="L665" s="17"/>
      <c r="V665" s="39"/>
    </row>
    <row r="666" spans="1:22" ht="15" customHeight="1" x14ac:dyDescent="0.25">
      <c r="A666" s="479"/>
      <c r="B666" s="483"/>
      <c r="C666" s="460"/>
      <c r="D666" s="460"/>
      <c r="E666" s="3">
        <f t="shared" si="8"/>
        <v>3</v>
      </c>
      <c r="F666" s="3">
        <f t="shared" si="8"/>
        <v>183.637</v>
      </c>
      <c r="G666" s="5">
        <f t="shared" si="8"/>
        <v>203.48107524294824</v>
      </c>
      <c r="H666" s="69"/>
      <c r="I666" s="487"/>
      <c r="J666" s="463"/>
      <c r="K666" s="455"/>
      <c r="L666" s="16"/>
      <c r="R666" s="18"/>
      <c r="V666" s="39"/>
    </row>
    <row r="667" spans="1:22" ht="15.75" customHeight="1" thickBot="1" x14ac:dyDescent="0.3">
      <c r="A667" s="479"/>
      <c r="B667" s="483"/>
      <c r="C667" s="460"/>
      <c r="D667" s="461"/>
      <c r="E667" s="6">
        <f t="shared" si="8"/>
        <v>4</v>
      </c>
      <c r="F667" s="6">
        <f t="shared" si="8"/>
        <v>141.66300000000001</v>
      </c>
      <c r="G667" s="7">
        <f t="shared" si="8"/>
        <v>156.97130514080374</v>
      </c>
      <c r="H667" s="69"/>
      <c r="I667" s="487"/>
      <c r="J667" s="464"/>
      <c r="K667" s="456"/>
      <c r="L667" s="15"/>
      <c r="V667" s="39"/>
    </row>
    <row r="668" spans="1:22" ht="15" customHeight="1" x14ac:dyDescent="0.25">
      <c r="A668" s="479"/>
      <c r="B668" s="483"/>
      <c r="C668" s="460"/>
      <c r="D668" s="459">
        <v>2</v>
      </c>
      <c r="E668" s="72">
        <f t="shared" si="8"/>
        <v>1</v>
      </c>
      <c r="F668" s="72">
        <f t="shared" si="8"/>
        <v>141.22499999999999</v>
      </c>
      <c r="G668" s="73">
        <f t="shared" si="8"/>
        <v>156.48597423822739</v>
      </c>
      <c r="H668" s="69"/>
      <c r="I668" s="487"/>
      <c r="J668" s="462">
        <f>J341</f>
        <v>53.119</v>
      </c>
      <c r="K668" s="455">
        <f>K341</f>
        <v>692.64</v>
      </c>
      <c r="V668" s="39"/>
    </row>
    <row r="669" spans="1:22" ht="15" customHeight="1" x14ac:dyDescent="0.25">
      <c r="A669" s="479"/>
      <c r="B669" s="483"/>
      <c r="C669" s="460"/>
      <c r="D669" s="460"/>
      <c r="E669" s="3">
        <f t="shared" si="8"/>
        <v>2</v>
      </c>
      <c r="F669" s="3">
        <f t="shared" si="8"/>
        <v>167.214</v>
      </c>
      <c r="G669" s="5">
        <f t="shared" si="8"/>
        <v>185.2833825191783</v>
      </c>
      <c r="H669" s="69"/>
      <c r="I669" s="487"/>
      <c r="J669" s="463"/>
      <c r="K669" s="455"/>
      <c r="V669" s="39"/>
    </row>
    <row r="670" spans="1:22" ht="15" customHeight="1" x14ac:dyDescent="0.25">
      <c r="A670" s="479"/>
      <c r="B670" s="483"/>
      <c r="C670" s="460"/>
      <c r="D670" s="460"/>
      <c r="E670" s="3">
        <f t="shared" si="8"/>
        <v>3</v>
      </c>
      <c r="F670" s="3">
        <f t="shared" si="8"/>
        <v>187.10300000000001</v>
      </c>
      <c r="G670" s="5">
        <f t="shared" si="8"/>
        <v>207.3216161295455</v>
      </c>
      <c r="H670" s="69"/>
      <c r="I670" s="487"/>
      <c r="J670" s="463"/>
      <c r="K670" s="455"/>
      <c r="V670" s="39"/>
    </row>
    <row r="671" spans="1:22" ht="15.75" customHeight="1" thickBot="1" x14ac:dyDescent="0.3">
      <c r="A671" s="479"/>
      <c r="B671" s="483"/>
      <c r="C671" s="460"/>
      <c r="D671" s="461"/>
      <c r="E671" s="6">
        <f t="shared" si="8"/>
        <v>4</v>
      </c>
      <c r="F671" s="6">
        <f t="shared" si="8"/>
        <v>143.989</v>
      </c>
      <c r="G671" s="7">
        <f t="shared" si="8"/>
        <v>159.54865600699682</v>
      </c>
      <c r="H671" s="69"/>
      <c r="I671" s="487"/>
      <c r="J671" s="464"/>
      <c r="K671" s="456"/>
      <c r="V671" s="39"/>
    </row>
    <row r="672" spans="1:22" ht="15" customHeight="1" x14ac:dyDescent="0.25">
      <c r="A672" s="479"/>
      <c r="B672" s="483"/>
      <c r="C672" s="460"/>
      <c r="D672" s="459">
        <v>3</v>
      </c>
      <c r="E672" s="72">
        <f t="shared" si="8"/>
        <v>1</v>
      </c>
      <c r="F672" s="72">
        <f t="shared" si="8"/>
        <v>141.131</v>
      </c>
      <c r="G672" s="73">
        <f t="shared" si="8"/>
        <v>156.38181646461513</v>
      </c>
      <c r="H672" s="69"/>
      <c r="I672" s="487"/>
      <c r="J672" s="462">
        <f>J345</f>
        <v>53.12</v>
      </c>
      <c r="K672" s="455">
        <f>K345</f>
        <v>689.822</v>
      </c>
      <c r="V672" s="39"/>
    </row>
    <row r="673" spans="1:22" ht="15" customHeight="1" x14ac:dyDescent="0.25">
      <c r="A673" s="479"/>
      <c r="B673" s="483"/>
      <c r="C673" s="460"/>
      <c r="D673" s="460"/>
      <c r="E673" s="3">
        <f t="shared" si="8"/>
        <v>2</v>
      </c>
      <c r="F673" s="3">
        <f t="shared" si="8"/>
        <v>164.43600000000001</v>
      </c>
      <c r="G673" s="5">
        <f t="shared" si="8"/>
        <v>182.20518789050919</v>
      </c>
      <c r="H673" s="69"/>
      <c r="I673" s="487"/>
      <c r="J673" s="463"/>
      <c r="K673" s="455"/>
      <c r="V673" s="39"/>
    </row>
    <row r="674" spans="1:22" ht="15" customHeight="1" x14ac:dyDescent="0.25">
      <c r="A674" s="479"/>
      <c r="B674" s="483"/>
      <c r="C674" s="460"/>
      <c r="D674" s="460"/>
      <c r="E674" s="3">
        <f t="shared" si="8"/>
        <v>3</v>
      </c>
      <c r="F674" s="3">
        <f t="shared" si="8"/>
        <v>187.20400000000001</v>
      </c>
      <c r="G674" s="5">
        <f t="shared" si="8"/>
        <v>207.43353033310763</v>
      </c>
      <c r="H674" s="69"/>
      <c r="I674" s="487"/>
      <c r="J674" s="463"/>
      <c r="K674" s="455"/>
      <c r="V674" s="39"/>
    </row>
    <row r="675" spans="1:22" ht="15.75" customHeight="1" thickBot="1" x14ac:dyDescent="0.3">
      <c r="A675" s="479"/>
      <c r="B675" s="483"/>
      <c r="C675" s="460"/>
      <c r="D675" s="461"/>
      <c r="E675" s="6">
        <f t="shared" si="8"/>
        <v>4</v>
      </c>
      <c r="F675" s="6">
        <f t="shared" si="8"/>
        <v>143.911</v>
      </c>
      <c r="G675" s="7">
        <f t="shared" si="8"/>
        <v>159.46222721612705</v>
      </c>
      <c r="H675" s="69"/>
      <c r="I675" s="487"/>
      <c r="J675" s="464"/>
      <c r="K675" s="456"/>
      <c r="V675" s="39"/>
    </row>
    <row r="676" spans="1:22" ht="15" customHeight="1" x14ac:dyDescent="0.25">
      <c r="A676" s="479"/>
      <c r="B676" s="483"/>
      <c r="C676" s="460"/>
      <c r="D676" s="459">
        <v>4</v>
      </c>
      <c r="E676" s="70">
        <f t="shared" si="8"/>
        <v>1</v>
      </c>
      <c r="F676" s="70">
        <f t="shared" si="8"/>
        <v>139.16499999999999</v>
      </c>
      <c r="G676" s="65">
        <f t="shared" si="8"/>
        <v>154.20336771012862</v>
      </c>
      <c r="H676" s="69"/>
      <c r="I676" s="487"/>
      <c r="J676" s="462">
        <f>J349</f>
        <v>53.12</v>
      </c>
      <c r="K676" s="455">
        <f>K349</f>
        <v>679.47</v>
      </c>
      <c r="V676" s="39"/>
    </row>
    <row r="677" spans="1:22" ht="15" customHeight="1" x14ac:dyDescent="0.25">
      <c r="A677" s="479"/>
      <c r="B677" s="483"/>
      <c r="C677" s="460"/>
      <c r="D677" s="460"/>
      <c r="E677" s="3">
        <f t="shared" si="8"/>
        <v>2</v>
      </c>
      <c r="F677" s="3">
        <f t="shared" si="8"/>
        <v>162.69999999999999</v>
      </c>
      <c r="G677" s="5">
        <f t="shared" si="8"/>
        <v>180.28159326294633</v>
      </c>
      <c r="H677" s="69"/>
      <c r="I677" s="487"/>
      <c r="J677" s="463"/>
      <c r="K677" s="455"/>
      <c r="V677" s="39"/>
    </row>
    <row r="678" spans="1:22" ht="15" customHeight="1" x14ac:dyDescent="0.25">
      <c r="A678" s="479"/>
      <c r="B678" s="483"/>
      <c r="C678" s="460"/>
      <c r="D678" s="460"/>
      <c r="E678" s="3">
        <f t="shared" si="8"/>
        <v>3</v>
      </c>
      <c r="F678" s="3">
        <f t="shared" si="8"/>
        <v>182.57</v>
      </c>
      <c r="G678" s="5">
        <f t="shared" si="8"/>
        <v>202.29877370630678</v>
      </c>
      <c r="H678" s="69"/>
      <c r="I678" s="487"/>
      <c r="J678" s="463"/>
      <c r="K678" s="455"/>
      <c r="V678" s="39"/>
    </row>
    <row r="679" spans="1:22" ht="15.75" customHeight="1" thickBot="1" x14ac:dyDescent="0.3">
      <c r="A679" s="480"/>
      <c r="B679" s="484"/>
      <c r="C679" s="476"/>
      <c r="D679" s="476"/>
      <c r="E679" s="3">
        <f t="shared" si="8"/>
        <v>4</v>
      </c>
      <c r="F679" s="3">
        <f t="shared" si="8"/>
        <v>141.929</v>
      </c>
      <c r="G679" s="5">
        <f t="shared" si="8"/>
        <v>157.26604947889805</v>
      </c>
      <c r="H679" s="70"/>
      <c r="I679" s="488"/>
      <c r="J679" s="464"/>
      <c r="K679" s="456"/>
      <c r="V679" s="39"/>
    </row>
    <row r="680" spans="1:22" x14ac:dyDescent="0.25">
      <c r="A680" s="43" t="s">
        <v>4</v>
      </c>
      <c r="B680" s="24"/>
      <c r="C680" s="4"/>
      <c r="D680" s="4"/>
      <c r="E680" s="4"/>
      <c r="F680" s="8">
        <f>SUM(F660:F679)</f>
        <v>3073.3910000000005</v>
      </c>
      <c r="G680" s="8"/>
      <c r="H680" s="8"/>
      <c r="I680" s="8">
        <f>K660+K664+K668+K672+K676</f>
        <v>3405.5060000000003</v>
      </c>
      <c r="J680" s="8">
        <f>J676+J672+J668+J664+J660</f>
        <v>332.11199999999997</v>
      </c>
      <c r="K680" s="40"/>
      <c r="V680" s="39"/>
    </row>
    <row r="681" spans="1:22" x14ac:dyDescent="0.25">
      <c r="A681" s="37"/>
      <c r="F681" s="18">
        <f>I680/F680</f>
        <v>1.1080614214071687</v>
      </c>
      <c r="I681" s="45"/>
      <c r="J681" s="9">
        <f>(J660+J664+J668+J672+J676)/I680</f>
        <v>9.7522071609916397E-2</v>
      </c>
      <c r="K681" s="40"/>
      <c r="V681" s="39"/>
    </row>
    <row r="682" spans="1:22" x14ac:dyDescent="0.25">
      <c r="A682" s="37"/>
      <c r="V682" s="39"/>
    </row>
    <row r="683" spans="1:22" x14ac:dyDescent="0.25">
      <c r="A683" s="37"/>
      <c r="V683" s="39"/>
    </row>
    <row r="684" spans="1:22" ht="15.75" thickBot="1" x14ac:dyDescent="0.3">
      <c r="A684" s="47"/>
      <c r="B684" s="48"/>
      <c r="C684" s="49"/>
      <c r="D684" s="49"/>
      <c r="E684" s="49"/>
      <c r="F684" s="50"/>
      <c r="G684" s="50"/>
      <c r="H684" s="50"/>
      <c r="I684" s="50"/>
      <c r="J684" s="50"/>
      <c r="K684" s="50"/>
      <c r="L684" s="49"/>
      <c r="M684" s="49"/>
      <c r="N684" s="49"/>
      <c r="O684" s="49"/>
      <c r="P684" s="49"/>
      <c r="Q684" s="49"/>
      <c r="R684" s="49"/>
      <c r="S684" s="49"/>
      <c r="T684" s="49"/>
      <c r="U684" s="49"/>
      <c r="V684" s="51"/>
    </row>
    <row r="686" spans="1:22" ht="15.75" thickBot="1" x14ac:dyDescent="0.3"/>
    <row r="687" spans="1:22" x14ac:dyDescent="0.25">
      <c r="A687" s="31"/>
      <c r="B687" s="32"/>
      <c r="C687" s="33"/>
      <c r="D687" s="33"/>
      <c r="E687" s="33"/>
      <c r="F687" s="34"/>
      <c r="G687" s="34"/>
      <c r="H687" s="34"/>
      <c r="I687" s="34"/>
      <c r="J687" s="34"/>
      <c r="K687" s="34"/>
      <c r="L687" s="33"/>
      <c r="M687" s="33"/>
      <c r="N687" s="33"/>
      <c r="O687" s="33"/>
      <c r="P687" s="33"/>
      <c r="Q687" s="33"/>
      <c r="R687" s="33"/>
      <c r="S687" s="33"/>
      <c r="T687" s="33"/>
      <c r="U687" s="33"/>
      <c r="V687" s="36"/>
    </row>
    <row r="688" spans="1:22" x14ac:dyDescent="0.25">
      <c r="A688" s="37"/>
      <c r="L688" s="52" t="s">
        <v>0</v>
      </c>
      <c r="M688" s="477" t="s">
        <v>71</v>
      </c>
      <c r="N688" s="477"/>
      <c r="O688" s="477"/>
      <c r="P688" s="477"/>
      <c r="V688" s="39"/>
    </row>
    <row r="689" spans="1:22" x14ac:dyDescent="0.25">
      <c r="A689" s="37"/>
      <c r="L689" s="38" t="s">
        <v>14</v>
      </c>
      <c r="M689" s="477" t="s">
        <v>12</v>
      </c>
      <c r="N689" s="477"/>
      <c r="O689" s="477" t="s">
        <v>12</v>
      </c>
      <c r="P689" s="477"/>
      <c r="V689" s="39"/>
    </row>
    <row r="690" spans="1:22" x14ac:dyDescent="0.25">
      <c r="A690" s="37"/>
      <c r="L690" s="38"/>
      <c r="V690" s="39"/>
    </row>
    <row r="691" spans="1:22" x14ac:dyDescent="0.25">
      <c r="A691" s="37"/>
      <c r="L691" s="499" t="s">
        <v>11</v>
      </c>
      <c r="M691" s="21">
        <v>3</v>
      </c>
      <c r="N691" s="21">
        <v>2</v>
      </c>
      <c r="O691" s="20">
        <v>3</v>
      </c>
      <c r="P691" s="20">
        <v>2</v>
      </c>
      <c r="V691" s="39"/>
    </row>
    <row r="692" spans="1:22" x14ac:dyDescent="0.25">
      <c r="A692" s="37"/>
      <c r="L692" s="499"/>
      <c r="M692" s="21">
        <v>4</v>
      </c>
      <c r="N692" s="21">
        <v>1</v>
      </c>
      <c r="O692" s="20">
        <v>4</v>
      </c>
      <c r="P692" s="20">
        <v>1</v>
      </c>
      <c r="V692" s="39"/>
    </row>
    <row r="693" spans="1:22" x14ac:dyDescent="0.25">
      <c r="A693" s="37"/>
      <c r="L693" s="38"/>
      <c r="V693" s="39"/>
    </row>
    <row r="694" spans="1:22" x14ac:dyDescent="0.25">
      <c r="A694" s="37"/>
      <c r="L694" s="38" t="s">
        <v>14</v>
      </c>
      <c r="M694" s="477" t="s">
        <v>13</v>
      </c>
      <c r="N694" s="477"/>
      <c r="O694" s="477" t="s">
        <v>13</v>
      </c>
      <c r="P694" s="477"/>
      <c r="V694" s="39"/>
    </row>
    <row r="695" spans="1:22" ht="18.75" x14ac:dyDescent="0.3">
      <c r="A695" s="457" t="s">
        <v>36</v>
      </c>
      <c r="B695" s="458"/>
      <c r="C695" s="458"/>
      <c r="D695" s="458"/>
      <c r="E695" s="458"/>
      <c r="F695" s="458"/>
      <c r="G695" s="458"/>
      <c r="H695" s="458"/>
      <c r="I695" s="458"/>
      <c r="J695" s="458"/>
      <c r="K695" s="46"/>
      <c r="M695" s="477"/>
      <c r="N695" s="477"/>
      <c r="O695" s="477"/>
      <c r="P695" s="477"/>
      <c r="V695" s="39"/>
    </row>
    <row r="696" spans="1:22" ht="30" x14ac:dyDescent="0.25">
      <c r="A696" s="41" t="s">
        <v>9</v>
      </c>
      <c r="B696" s="23" t="s">
        <v>7</v>
      </c>
      <c r="C696" s="2" t="s">
        <v>8</v>
      </c>
      <c r="D696" s="2" t="s">
        <v>10</v>
      </c>
      <c r="E696" s="1" t="s">
        <v>2</v>
      </c>
      <c r="F696" s="19" t="s">
        <v>3</v>
      </c>
      <c r="G696" s="19" t="s">
        <v>5</v>
      </c>
      <c r="H696" s="19" t="s">
        <v>57</v>
      </c>
      <c r="I696" s="28" t="s">
        <v>6</v>
      </c>
      <c r="J696" s="28" t="s">
        <v>1</v>
      </c>
      <c r="K696" s="46"/>
      <c r="M696" s="477"/>
      <c r="N696" s="477"/>
      <c r="O696" s="477"/>
      <c r="P696" s="477"/>
      <c r="V696" s="39"/>
    </row>
    <row r="697" spans="1:22" x14ac:dyDescent="0.25">
      <c r="A697" s="478" t="s">
        <v>37</v>
      </c>
      <c r="B697" s="482" t="s">
        <v>70</v>
      </c>
      <c r="C697" s="485" t="s">
        <v>72</v>
      </c>
      <c r="D697" s="485">
        <v>0</v>
      </c>
      <c r="E697" s="3">
        <f>E546</f>
        <v>1</v>
      </c>
      <c r="F697" s="3">
        <f>F546</f>
        <v>131.83000000000001</v>
      </c>
      <c r="G697" s="5">
        <f>G546</f>
        <v>143.3085486859535</v>
      </c>
      <c r="H697" s="76">
        <v>85.031800000000004</v>
      </c>
      <c r="I697" s="486">
        <f>SUM(G697:G716)</f>
        <v>2716.34</v>
      </c>
      <c r="J697" s="462">
        <f>J546</f>
        <v>73.11</v>
      </c>
      <c r="K697" s="491">
        <f>K546</f>
        <v>547.82000000000005</v>
      </c>
      <c r="L697" s="42"/>
      <c r="V697" s="39"/>
    </row>
    <row r="698" spans="1:22" x14ac:dyDescent="0.25">
      <c r="A698" s="479"/>
      <c r="B698" s="483"/>
      <c r="C698" s="460"/>
      <c r="D698" s="460"/>
      <c r="E698" s="3">
        <f t="shared" ref="E698:G716" si="9">E547</f>
        <v>2</v>
      </c>
      <c r="F698" s="3">
        <f t="shared" si="9"/>
        <v>129.66</v>
      </c>
      <c r="G698" s="5">
        <f t="shared" si="9"/>
        <v>140.94960496564309</v>
      </c>
      <c r="H698" s="76">
        <v>84.0732</v>
      </c>
      <c r="I698" s="487"/>
      <c r="J698" s="463"/>
      <c r="K698" s="491"/>
      <c r="L698" s="42"/>
      <c r="V698" s="39"/>
    </row>
    <row r="699" spans="1:22" x14ac:dyDescent="0.25">
      <c r="A699" s="479"/>
      <c r="B699" s="483"/>
      <c r="C699" s="460"/>
      <c r="D699" s="460"/>
      <c r="E699" s="3">
        <f t="shared" si="9"/>
        <v>3</v>
      </c>
      <c r="F699" s="3">
        <f t="shared" si="9"/>
        <v>124.72</v>
      </c>
      <c r="G699" s="5">
        <f t="shared" si="9"/>
        <v>135.57947502171066</v>
      </c>
      <c r="H699" s="76">
        <v>85.417599999999993</v>
      </c>
      <c r="I699" s="487"/>
      <c r="J699" s="463"/>
      <c r="K699" s="491"/>
      <c r="L699" s="42"/>
      <c r="V699" s="39"/>
    </row>
    <row r="700" spans="1:22" ht="15.75" thickBot="1" x14ac:dyDescent="0.3">
      <c r="A700" s="479"/>
      <c r="B700" s="483"/>
      <c r="C700" s="460"/>
      <c r="D700" s="461"/>
      <c r="E700" s="6">
        <f t="shared" si="9"/>
        <v>4</v>
      </c>
      <c r="F700" s="6">
        <f t="shared" si="9"/>
        <v>88.49</v>
      </c>
      <c r="G700" s="7">
        <f t="shared" si="9"/>
        <v>96.194898530076784</v>
      </c>
      <c r="H700" s="76">
        <v>68.089699999999993</v>
      </c>
      <c r="I700" s="487"/>
      <c r="J700" s="464"/>
      <c r="K700" s="492"/>
      <c r="L700" s="42"/>
      <c r="V700" s="39"/>
    </row>
    <row r="701" spans="1:22" ht="15" customHeight="1" x14ac:dyDescent="0.25">
      <c r="A701" s="479"/>
      <c r="B701" s="483"/>
      <c r="C701" s="460"/>
      <c r="D701" s="459">
        <v>1</v>
      </c>
      <c r="E701" s="72">
        <f t="shared" si="9"/>
        <v>1</v>
      </c>
      <c r="F701" s="72">
        <f t="shared" si="9"/>
        <v>128.71</v>
      </c>
      <c r="G701" s="73">
        <f t="shared" si="9"/>
        <v>139.91688766873301</v>
      </c>
      <c r="H701" s="64"/>
      <c r="I701" s="487"/>
      <c r="J701" s="462">
        <f>J550</f>
        <v>46.75</v>
      </c>
      <c r="K701" s="491">
        <f>K550</f>
        <v>521.87</v>
      </c>
      <c r="L701" s="11"/>
      <c r="M701" s="10"/>
      <c r="V701" s="39"/>
    </row>
    <row r="702" spans="1:22" ht="15" customHeight="1" x14ac:dyDescent="0.25">
      <c r="A702" s="479"/>
      <c r="B702" s="483"/>
      <c r="C702" s="460"/>
      <c r="D702" s="460"/>
      <c r="E702" s="3">
        <f t="shared" si="9"/>
        <v>2</v>
      </c>
      <c r="F702" s="3">
        <f t="shared" si="9"/>
        <v>131.28</v>
      </c>
      <c r="G702" s="5">
        <f t="shared" si="9"/>
        <v>142.7106597245845</v>
      </c>
      <c r="H702" s="64"/>
      <c r="I702" s="487"/>
      <c r="J702" s="463"/>
      <c r="K702" s="491"/>
      <c r="L702" s="11"/>
      <c r="V702" s="39"/>
    </row>
    <row r="703" spans="1:22" ht="15" customHeight="1" x14ac:dyDescent="0.25">
      <c r="A703" s="479"/>
      <c r="B703" s="483"/>
      <c r="C703" s="460"/>
      <c r="D703" s="460"/>
      <c r="E703" s="3">
        <f t="shared" si="9"/>
        <v>3</v>
      </c>
      <c r="F703" s="3">
        <f t="shared" si="9"/>
        <v>126.34</v>
      </c>
      <c r="G703" s="5">
        <f t="shared" si="9"/>
        <v>137.34052978065208</v>
      </c>
      <c r="H703" s="64"/>
      <c r="I703" s="487"/>
      <c r="J703" s="463"/>
      <c r="K703" s="491"/>
      <c r="L703" s="12"/>
      <c r="V703" s="39"/>
    </row>
    <row r="704" spans="1:22" ht="15.75" customHeight="1" thickBot="1" x14ac:dyDescent="0.3">
      <c r="A704" s="479"/>
      <c r="B704" s="483"/>
      <c r="C704" s="460"/>
      <c r="D704" s="461"/>
      <c r="E704" s="6">
        <f t="shared" si="9"/>
        <v>4</v>
      </c>
      <c r="F704" s="6">
        <f t="shared" si="9"/>
        <v>88.79</v>
      </c>
      <c r="G704" s="7">
        <f t="shared" si="9"/>
        <v>96.521019781732619</v>
      </c>
      <c r="H704" s="64"/>
      <c r="I704" s="487"/>
      <c r="J704" s="464"/>
      <c r="K704" s="492"/>
      <c r="L704" s="13"/>
      <c r="V704" s="39"/>
    </row>
    <row r="705" spans="1:22" ht="15" customHeight="1" x14ac:dyDescent="0.25">
      <c r="A705" s="479"/>
      <c r="B705" s="483"/>
      <c r="C705" s="460"/>
      <c r="D705" s="459">
        <v>2</v>
      </c>
      <c r="E705" s="72">
        <f t="shared" si="9"/>
        <v>1</v>
      </c>
      <c r="F705" s="72">
        <f t="shared" si="9"/>
        <v>131.72</v>
      </c>
      <c r="G705" s="73">
        <f t="shared" si="9"/>
        <v>143.18897089367968</v>
      </c>
      <c r="H705" s="64"/>
      <c r="I705" s="487"/>
      <c r="J705" s="462">
        <f>J554</f>
        <v>32.56</v>
      </c>
      <c r="K705" s="491">
        <f>K554</f>
        <v>549.94000000000005</v>
      </c>
      <c r="L705" s="42"/>
      <c r="V705" s="39"/>
    </row>
    <row r="706" spans="1:22" ht="15" customHeight="1" x14ac:dyDescent="0.25">
      <c r="A706" s="479"/>
      <c r="B706" s="483"/>
      <c r="C706" s="460"/>
      <c r="D706" s="460"/>
      <c r="E706" s="3">
        <f t="shared" si="9"/>
        <v>2</v>
      </c>
      <c r="F706" s="3">
        <f t="shared" si="9"/>
        <v>131.72</v>
      </c>
      <c r="G706" s="5">
        <f t="shared" si="9"/>
        <v>143.18897089367968</v>
      </c>
      <c r="H706" s="64"/>
      <c r="I706" s="487"/>
      <c r="J706" s="463"/>
      <c r="K706" s="491"/>
      <c r="L706" s="42"/>
      <c r="V706" s="39"/>
    </row>
    <row r="707" spans="1:22" ht="15" customHeight="1" x14ac:dyDescent="0.25">
      <c r="A707" s="479"/>
      <c r="B707" s="483"/>
      <c r="C707" s="460"/>
      <c r="D707" s="460"/>
      <c r="E707" s="3">
        <f t="shared" si="9"/>
        <v>3</v>
      </c>
      <c r="F707" s="3">
        <f t="shared" si="9"/>
        <v>126.78</v>
      </c>
      <c r="G707" s="5">
        <f t="shared" si="9"/>
        <v>137.81884094974728</v>
      </c>
      <c r="H707" s="64"/>
      <c r="I707" s="487"/>
      <c r="J707" s="463"/>
      <c r="K707" s="491"/>
      <c r="L707" s="42"/>
      <c r="V707" s="39"/>
    </row>
    <row r="708" spans="1:22" ht="15.75" customHeight="1" thickBot="1" x14ac:dyDescent="0.3">
      <c r="A708" s="479"/>
      <c r="B708" s="483"/>
      <c r="C708" s="460"/>
      <c r="D708" s="461"/>
      <c r="E708" s="6">
        <f t="shared" si="9"/>
        <v>4</v>
      </c>
      <c r="F708" s="6">
        <f t="shared" si="9"/>
        <v>127.15</v>
      </c>
      <c r="G708" s="7">
        <f t="shared" si="9"/>
        <v>138.22105716012277</v>
      </c>
      <c r="H708" s="64"/>
      <c r="I708" s="487"/>
      <c r="J708" s="464"/>
      <c r="K708" s="492"/>
      <c r="L708" s="42"/>
      <c r="V708" s="39"/>
    </row>
    <row r="709" spans="1:22" ht="15" customHeight="1" x14ac:dyDescent="0.25">
      <c r="A709" s="479"/>
      <c r="B709" s="483"/>
      <c r="C709" s="460"/>
      <c r="D709" s="459">
        <v>3</v>
      </c>
      <c r="E709" s="72">
        <f t="shared" si="9"/>
        <v>1</v>
      </c>
      <c r="F709" s="72">
        <f t="shared" si="9"/>
        <v>132.02000000000001</v>
      </c>
      <c r="G709" s="73">
        <f t="shared" si="9"/>
        <v>143.5150921453355</v>
      </c>
      <c r="H709" s="64"/>
      <c r="I709" s="487"/>
      <c r="J709" s="462">
        <f>J558</f>
        <v>32.56</v>
      </c>
      <c r="K709" s="491">
        <f>K558</f>
        <v>550.74</v>
      </c>
      <c r="L709" s="42"/>
      <c r="V709" s="39"/>
    </row>
    <row r="710" spans="1:22" ht="15" customHeight="1" x14ac:dyDescent="0.25">
      <c r="A710" s="479"/>
      <c r="B710" s="483"/>
      <c r="C710" s="460"/>
      <c r="D710" s="460"/>
      <c r="E710" s="3">
        <f t="shared" si="9"/>
        <v>2</v>
      </c>
      <c r="F710" s="3">
        <f t="shared" si="9"/>
        <v>131.82</v>
      </c>
      <c r="G710" s="5">
        <f t="shared" si="9"/>
        <v>143.29767797756494</v>
      </c>
      <c r="H710" s="64"/>
      <c r="I710" s="487"/>
      <c r="J710" s="463"/>
      <c r="K710" s="491"/>
      <c r="L710" s="42"/>
      <c r="V710" s="39"/>
    </row>
    <row r="711" spans="1:22" ht="15" customHeight="1" x14ac:dyDescent="0.25">
      <c r="A711" s="479"/>
      <c r="B711" s="483"/>
      <c r="C711" s="460"/>
      <c r="D711" s="460"/>
      <c r="E711" s="3">
        <f t="shared" si="9"/>
        <v>3</v>
      </c>
      <c r="F711" s="3">
        <f t="shared" si="9"/>
        <v>126.88</v>
      </c>
      <c r="G711" s="5">
        <f t="shared" si="9"/>
        <v>137.92754803363255</v>
      </c>
      <c r="H711" s="64"/>
      <c r="I711" s="487"/>
      <c r="J711" s="463"/>
      <c r="K711" s="491"/>
      <c r="L711" s="42"/>
      <c r="V711" s="39"/>
    </row>
    <row r="712" spans="1:22" ht="15.75" customHeight="1" thickBot="1" x14ac:dyDescent="0.3">
      <c r="A712" s="479"/>
      <c r="B712" s="483"/>
      <c r="C712" s="460"/>
      <c r="D712" s="461"/>
      <c r="E712" s="6">
        <f t="shared" si="9"/>
        <v>4</v>
      </c>
      <c r="F712" s="6">
        <f t="shared" si="9"/>
        <v>127.45</v>
      </c>
      <c r="G712" s="7">
        <f t="shared" si="9"/>
        <v>138.54717841177859</v>
      </c>
      <c r="H712" s="64"/>
      <c r="I712" s="487"/>
      <c r="J712" s="464"/>
      <c r="K712" s="492"/>
      <c r="L712" s="42"/>
      <c r="V712" s="39"/>
    </row>
    <row r="713" spans="1:22" ht="15" customHeight="1" x14ac:dyDescent="0.25">
      <c r="A713" s="479"/>
      <c r="B713" s="483"/>
      <c r="C713" s="460"/>
      <c r="D713" s="459">
        <v>4</v>
      </c>
      <c r="E713" s="70">
        <f t="shared" si="9"/>
        <v>1</v>
      </c>
      <c r="F713" s="70">
        <f t="shared" si="9"/>
        <v>129.66</v>
      </c>
      <c r="G713" s="65">
        <f t="shared" si="9"/>
        <v>140.94960496564309</v>
      </c>
      <c r="H713" s="64"/>
      <c r="I713" s="487"/>
      <c r="J713" s="462">
        <f>J562</f>
        <v>32.56</v>
      </c>
      <c r="K713" s="491">
        <f>K562</f>
        <v>545.97</v>
      </c>
      <c r="L713" s="42"/>
      <c r="V713" s="39"/>
    </row>
    <row r="714" spans="1:22" ht="15" customHeight="1" x14ac:dyDescent="0.25">
      <c r="A714" s="479"/>
      <c r="B714" s="483"/>
      <c r="C714" s="460"/>
      <c r="D714" s="460"/>
      <c r="E714" s="3">
        <f t="shared" si="9"/>
        <v>2</v>
      </c>
      <c r="F714" s="3">
        <f t="shared" si="9"/>
        <v>131.80000000000001</v>
      </c>
      <c r="G714" s="5">
        <f t="shared" si="9"/>
        <v>143.27593656078793</v>
      </c>
      <c r="H714" s="64"/>
      <c r="I714" s="487"/>
      <c r="J714" s="463"/>
      <c r="K714" s="491"/>
      <c r="L714" s="42"/>
      <c r="V714" s="39"/>
    </row>
    <row r="715" spans="1:22" ht="15" customHeight="1" x14ac:dyDescent="0.25">
      <c r="A715" s="479"/>
      <c r="B715" s="483"/>
      <c r="C715" s="460"/>
      <c r="D715" s="460"/>
      <c r="E715" s="3">
        <f t="shared" si="9"/>
        <v>3</v>
      </c>
      <c r="F715" s="3">
        <f t="shared" si="9"/>
        <v>126.86</v>
      </c>
      <c r="G715" s="5">
        <f t="shared" si="9"/>
        <v>137.9058066168555</v>
      </c>
      <c r="H715" s="64"/>
      <c r="I715" s="487"/>
      <c r="J715" s="463"/>
      <c r="K715" s="491"/>
      <c r="L715" s="42"/>
      <c r="V715" s="39"/>
    </row>
    <row r="716" spans="1:22" ht="15.75" customHeight="1" thickBot="1" x14ac:dyDescent="0.3">
      <c r="A716" s="480"/>
      <c r="B716" s="484"/>
      <c r="C716" s="476"/>
      <c r="D716" s="476"/>
      <c r="E716" s="3">
        <f t="shared" si="9"/>
        <v>4</v>
      </c>
      <c r="F716" s="3">
        <f t="shared" si="9"/>
        <v>125.09</v>
      </c>
      <c r="G716" s="5">
        <f t="shared" si="9"/>
        <v>135.98169123208618</v>
      </c>
      <c r="H716" s="65"/>
      <c r="I716" s="488"/>
      <c r="J716" s="464"/>
      <c r="K716" s="492"/>
      <c r="L716" s="42"/>
      <c r="V716" s="39"/>
    </row>
    <row r="717" spans="1:22" x14ac:dyDescent="0.25">
      <c r="A717" s="43" t="s">
        <v>4</v>
      </c>
      <c r="B717" s="24"/>
      <c r="C717" s="4"/>
      <c r="D717" s="4"/>
      <c r="E717" s="4"/>
      <c r="F717" s="8">
        <f>SUM(F697:F716)</f>
        <v>2498.7700000000004</v>
      </c>
      <c r="G717" s="8"/>
      <c r="H717" s="8"/>
      <c r="I717" s="8">
        <f>K697+K701+K705+K709+K713</f>
        <v>2716.34</v>
      </c>
      <c r="J717" s="8">
        <f>J713+J709+J705+J701+J697</f>
        <v>217.54000000000002</v>
      </c>
      <c r="K717" s="46"/>
      <c r="L717" s="44"/>
      <c r="V717" s="39"/>
    </row>
    <row r="718" spans="1:22" x14ac:dyDescent="0.25">
      <c r="A718" s="37"/>
      <c r="F718" s="18">
        <f>I717/F717</f>
        <v>1.0870708388527155</v>
      </c>
      <c r="I718" s="45"/>
      <c r="J718" s="9">
        <f>(J697+J701+J705+J709+J713)/I717</f>
        <v>8.0085703556992127E-2</v>
      </c>
      <c r="V718" s="39"/>
    </row>
    <row r="719" spans="1:22" x14ac:dyDescent="0.25">
      <c r="A719" s="37"/>
      <c r="V719" s="39"/>
    </row>
    <row r="720" spans="1:22" x14ac:dyDescent="0.25">
      <c r="A720" s="37"/>
      <c r="V720" s="39"/>
    </row>
    <row r="721" spans="1:22" ht="18.75" x14ac:dyDescent="0.3">
      <c r="A721" s="457" t="s">
        <v>36</v>
      </c>
      <c r="B721" s="458"/>
      <c r="C721" s="458"/>
      <c r="D721" s="458"/>
      <c r="E721" s="458"/>
      <c r="F721" s="458"/>
      <c r="G721" s="458"/>
      <c r="H721" s="458"/>
      <c r="I721" s="458"/>
      <c r="J721" s="458"/>
      <c r="K721" s="40"/>
      <c r="V721" s="39"/>
    </row>
    <row r="722" spans="1:22" ht="30" x14ac:dyDescent="0.25">
      <c r="A722" s="41" t="s">
        <v>9</v>
      </c>
      <c r="B722" s="23" t="s">
        <v>7</v>
      </c>
      <c r="C722" s="2" t="s">
        <v>8</v>
      </c>
      <c r="D722" s="2" t="s">
        <v>10</v>
      </c>
      <c r="E722" s="1" t="s">
        <v>2</v>
      </c>
      <c r="F722" s="19" t="s">
        <v>3</v>
      </c>
      <c r="G722" s="19" t="s">
        <v>5</v>
      </c>
      <c r="H722" s="19" t="s">
        <v>57</v>
      </c>
      <c r="I722" s="28" t="s">
        <v>6</v>
      </c>
      <c r="J722" s="28" t="s">
        <v>1</v>
      </c>
      <c r="K722" s="40"/>
      <c r="V722" s="39"/>
    </row>
    <row r="723" spans="1:22" x14ac:dyDescent="0.25">
      <c r="A723" s="478" t="s">
        <v>37</v>
      </c>
      <c r="B723" s="482" t="s">
        <v>70</v>
      </c>
      <c r="C723" s="485" t="s">
        <v>73</v>
      </c>
      <c r="D723" s="485">
        <v>0</v>
      </c>
      <c r="E723" s="3">
        <f>E572</f>
        <v>1</v>
      </c>
      <c r="F723" s="3">
        <f>F572</f>
        <v>88.49</v>
      </c>
      <c r="G723" s="5">
        <f>G572</f>
        <v>96.194898530076784</v>
      </c>
      <c r="H723" s="76">
        <v>67.980199999999996</v>
      </c>
      <c r="I723" s="486">
        <f>SUM(G723:G742)</f>
        <v>2716.34</v>
      </c>
      <c r="J723" s="462">
        <f>J572</f>
        <v>73.11</v>
      </c>
      <c r="K723" s="455">
        <f>K572</f>
        <v>547.82000000000005</v>
      </c>
      <c r="V723" s="39"/>
    </row>
    <row r="724" spans="1:22" x14ac:dyDescent="0.25">
      <c r="A724" s="479"/>
      <c r="B724" s="483"/>
      <c r="C724" s="460"/>
      <c r="D724" s="460"/>
      <c r="E724" s="3">
        <f t="shared" ref="E724:G742" si="10">E573</f>
        <v>2</v>
      </c>
      <c r="F724" s="3">
        <f t="shared" si="10"/>
        <v>124.72</v>
      </c>
      <c r="G724" s="5">
        <f t="shared" si="10"/>
        <v>135.57947502171066</v>
      </c>
      <c r="H724" s="76">
        <v>85.417599999999993</v>
      </c>
      <c r="I724" s="487"/>
      <c r="J724" s="463"/>
      <c r="K724" s="455"/>
      <c r="V724" s="39"/>
    </row>
    <row r="725" spans="1:22" x14ac:dyDescent="0.25">
      <c r="A725" s="479"/>
      <c r="B725" s="483"/>
      <c r="C725" s="460"/>
      <c r="D725" s="460"/>
      <c r="E725" s="3">
        <f t="shared" si="10"/>
        <v>3</v>
      </c>
      <c r="F725" s="3">
        <f t="shared" si="10"/>
        <v>129.66</v>
      </c>
      <c r="G725" s="5">
        <f t="shared" si="10"/>
        <v>140.94960496564309</v>
      </c>
      <c r="H725" s="76">
        <v>84.0732</v>
      </c>
      <c r="I725" s="487"/>
      <c r="J725" s="463"/>
      <c r="K725" s="455"/>
      <c r="V725" s="39"/>
    </row>
    <row r="726" spans="1:22" ht="15.75" thickBot="1" x14ac:dyDescent="0.3">
      <c r="A726" s="479"/>
      <c r="B726" s="483"/>
      <c r="C726" s="460"/>
      <c r="D726" s="461"/>
      <c r="E726" s="6">
        <f t="shared" si="10"/>
        <v>4</v>
      </c>
      <c r="F726" s="6">
        <f t="shared" si="10"/>
        <v>131.83000000000001</v>
      </c>
      <c r="G726" s="7">
        <f t="shared" si="10"/>
        <v>143.3085486859535</v>
      </c>
      <c r="H726" s="76">
        <v>84.652000000000001</v>
      </c>
      <c r="I726" s="487"/>
      <c r="J726" s="464"/>
      <c r="K726" s="456"/>
      <c r="L726" s="14"/>
      <c r="V726" s="39"/>
    </row>
    <row r="727" spans="1:22" ht="15" customHeight="1" x14ac:dyDescent="0.25">
      <c r="A727" s="479"/>
      <c r="B727" s="483"/>
      <c r="C727" s="460"/>
      <c r="D727" s="459">
        <v>1</v>
      </c>
      <c r="E727" s="72">
        <f t="shared" si="10"/>
        <v>1</v>
      </c>
      <c r="F727" s="72">
        <f t="shared" si="10"/>
        <v>88.79</v>
      </c>
      <c r="G727" s="73">
        <f t="shared" si="10"/>
        <v>96.521019781732619</v>
      </c>
      <c r="H727" s="64"/>
      <c r="I727" s="487"/>
      <c r="J727" s="462">
        <f>J576</f>
        <v>46.75</v>
      </c>
      <c r="K727" s="455">
        <f>K576</f>
        <v>521.87</v>
      </c>
      <c r="L727" s="17"/>
      <c r="V727" s="39"/>
    </row>
    <row r="728" spans="1:22" ht="15" customHeight="1" x14ac:dyDescent="0.25">
      <c r="A728" s="479"/>
      <c r="B728" s="483"/>
      <c r="C728" s="460"/>
      <c r="D728" s="460"/>
      <c r="E728" s="3">
        <f t="shared" si="10"/>
        <v>2</v>
      </c>
      <c r="F728" s="3">
        <f t="shared" si="10"/>
        <v>126.34</v>
      </c>
      <c r="G728" s="5">
        <f t="shared" si="10"/>
        <v>137.34052978065208</v>
      </c>
      <c r="H728" s="64"/>
      <c r="I728" s="487"/>
      <c r="J728" s="463"/>
      <c r="K728" s="455"/>
      <c r="L728" s="17"/>
      <c r="M728" s="10"/>
      <c r="V728" s="39"/>
    </row>
    <row r="729" spans="1:22" ht="15" customHeight="1" x14ac:dyDescent="0.25">
      <c r="A729" s="479"/>
      <c r="B729" s="483"/>
      <c r="C729" s="460"/>
      <c r="D729" s="460"/>
      <c r="E729" s="3">
        <f t="shared" si="10"/>
        <v>3</v>
      </c>
      <c r="F729" s="3">
        <f t="shared" si="10"/>
        <v>131.28</v>
      </c>
      <c r="G729" s="5">
        <f t="shared" si="10"/>
        <v>142.7106597245845</v>
      </c>
      <c r="H729" s="64"/>
      <c r="I729" s="487"/>
      <c r="J729" s="463"/>
      <c r="K729" s="455"/>
      <c r="L729" s="16"/>
      <c r="M729" s="10"/>
      <c r="V729" s="39"/>
    </row>
    <row r="730" spans="1:22" ht="15.75" customHeight="1" thickBot="1" x14ac:dyDescent="0.3">
      <c r="A730" s="479"/>
      <c r="B730" s="483"/>
      <c r="C730" s="460"/>
      <c r="D730" s="461"/>
      <c r="E730" s="6">
        <f t="shared" si="10"/>
        <v>4</v>
      </c>
      <c r="F730" s="6">
        <f t="shared" si="10"/>
        <v>128.71</v>
      </c>
      <c r="G730" s="7">
        <f t="shared" si="10"/>
        <v>139.91688766873301</v>
      </c>
      <c r="H730" s="64"/>
      <c r="I730" s="487"/>
      <c r="J730" s="464"/>
      <c r="K730" s="456"/>
      <c r="L730" s="15"/>
      <c r="V730" s="39"/>
    </row>
    <row r="731" spans="1:22" ht="15" customHeight="1" x14ac:dyDescent="0.25">
      <c r="A731" s="479"/>
      <c r="B731" s="483"/>
      <c r="C731" s="460"/>
      <c r="D731" s="459">
        <v>2</v>
      </c>
      <c r="E731" s="72">
        <f t="shared" si="10"/>
        <v>1</v>
      </c>
      <c r="F731" s="72">
        <f t="shared" si="10"/>
        <v>127.15</v>
      </c>
      <c r="G731" s="73">
        <f t="shared" si="10"/>
        <v>138.22105716012277</v>
      </c>
      <c r="H731" s="64"/>
      <c r="I731" s="487"/>
      <c r="J731" s="462">
        <f>J580</f>
        <v>32.56</v>
      </c>
      <c r="K731" s="455">
        <f>K580</f>
        <v>549.94000000000005</v>
      </c>
      <c r="V731" s="39"/>
    </row>
    <row r="732" spans="1:22" ht="15" customHeight="1" x14ac:dyDescent="0.25">
      <c r="A732" s="479"/>
      <c r="B732" s="483"/>
      <c r="C732" s="460"/>
      <c r="D732" s="460"/>
      <c r="E732" s="3">
        <f t="shared" si="10"/>
        <v>2</v>
      </c>
      <c r="F732" s="3">
        <f t="shared" si="10"/>
        <v>126.78</v>
      </c>
      <c r="G732" s="5">
        <f t="shared" si="10"/>
        <v>137.81884094974728</v>
      </c>
      <c r="H732" s="64"/>
      <c r="I732" s="487"/>
      <c r="J732" s="463"/>
      <c r="K732" s="455"/>
      <c r="V732" s="39"/>
    </row>
    <row r="733" spans="1:22" ht="15" customHeight="1" x14ac:dyDescent="0.25">
      <c r="A733" s="479"/>
      <c r="B733" s="483"/>
      <c r="C733" s="460"/>
      <c r="D733" s="460"/>
      <c r="E733" s="3">
        <f t="shared" si="10"/>
        <v>3</v>
      </c>
      <c r="F733" s="3">
        <f t="shared" si="10"/>
        <v>131.72</v>
      </c>
      <c r="G733" s="5">
        <f t="shared" si="10"/>
        <v>143.18897089367968</v>
      </c>
      <c r="H733" s="64"/>
      <c r="I733" s="487"/>
      <c r="J733" s="463"/>
      <c r="K733" s="455"/>
      <c r="V733" s="39"/>
    </row>
    <row r="734" spans="1:22" ht="15.75" customHeight="1" thickBot="1" x14ac:dyDescent="0.3">
      <c r="A734" s="479"/>
      <c r="B734" s="483"/>
      <c r="C734" s="460"/>
      <c r="D734" s="461"/>
      <c r="E734" s="6">
        <f t="shared" si="10"/>
        <v>4</v>
      </c>
      <c r="F734" s="6">
        <f t="shared" si="10"/>
        <v>131.72</v>
      </c>
      <c r="G734" s="7">
        <f t="shared" si="10"/>
        <v>143.18897089367968</v>
      </c>
      <c r="H734" s="64"/>
      <c r="I734" s="487"/>
      <c r="J734" s="464"/>
      <c r="K734" s="456"/>
      <c r="V734" s="39"/>
    </row>
    <row r="735" spans="1:22" ht="15" customHeight="1" x14ac:dyDescent="0.25">
      <c r="A735" s="479"/>
      <c r="B735" s="483"/>
      <c r="C735" s="460"/>
      <c r="D735" s="459">
        <v>3</v>
      </c>
      <c r="E735" s="72">
        <f t="shared" si="10"/>
        <v>1</v>
      </c>
      <c r="F735" s="72">
        <f t="shared" si="10"/>
        <v>127.45</v>
      </c>
      <c r="G735" s="73">
        <f t="shared" si="10"/>
        <v>138.54717841177859</v>
      </c>
      <c r="H735" s="64"/>
      <c r="I735" s="487"/>
      <c r="J735" s="462">
        <f>J584</f>
        <v>32.56</v>
      </c>
      <c r="K735" s="455">
        <f>K584</f>
        <v>550.74</v>
      </c>
      <c r="V735" s="39"/>
    </row>
    <row r="736" spans="1:22" ht="15" customHeight="1" x14ac:dyDescent="0.25">
      <c r="A736" s="479"/>
      <c r="B736" s="483"/>
      <c r="C736" s="460"/>
      <c r="D736" s="460"/>
      <c r="E736" s="3">
        <f t="shared" si="10"/>
        <v>2</v>
      </c>
      <c r="F736" s="3">
        <f t="shared" si="10"/>
        <v>126.88</v>
      </c>
      <c r="G736" s="5">
        <f t="shared" si="10"/>
        <v>137.92754803363255</v>
      </c>
      <c r="H736" s="64"/>
      <c r="I736" s="487"/>
      <c r="J736" s="463"/>
      <c r="K736" s="455"/>
      <c r="V736" s="39"/>
    </row>
    <row r="737" spans="1:22" ht="15" customHeight="1" x14ac:dyDescent="0.25">
      <c r="A737" s="479"/>
      <c r="B737" s="483"/>
      <c r="C737" s="460"/>
      <c r="D737" s="460"/>
      <c r="E737" s="3">
        <f t="shared" si="10"/>
        <v>3</v>
      </c>
      <c r="F737" s="3">
        <f t="shared" si="10"/>
        <v>131.82</v>
      </c>
      <c r="G737" s="5">
        <f t="shared" si="10"/>
        <v>143.29767797756494</v>
      </c>
      <c r="H737" s="64"/>
      <c r="I737" s="487"/>
      <c r="J737" s="463"/>
      <c r="K737" s="455"/>
      <c r="V737" s="39"/>
    </row>
    <row r="738" spans="1:22" ht="15.75" customHeight="1" thickBot="1" x14ac:dyDescent="0.3">
      <c r="A738" s="479"/>
      <c r="B738" s="483"/>
      <c r="C738" s="460"/>
      <c r="D738" s="461"/>
      <c r="E738" s="6">
        <f t="shared" si="10"/>
        <v>4</v>
      </c>
      <c r="F738" s="6">
        <f t="shared" si="10"/>
        <v>132.02000000000001</v>
      </c>
      <c r="G738" s="7">
        <f t="shared" si="10"/>
        <v>143.5150921453355</v>
      </c>
      <c r="H738" s="64"/>
      <c r="I738" s="487"/>
      <c r="J738" s="464"/>
      <c r="K738" s="456"/>
      <c r="V738" s="39"/>
    </row>
    <row r="739" spans="1:22" ht="15" customHeight="1" x14ac:dyDescent="0.25">
      <c r="A739" s="479"/>
      <c r="B739" s="483"/>
      <c r="C739" s="460"/>
      <c r="D739" s="459">
        <v>4</v>
      </c>
      <c r="E739" s="70">
        <f t="shared" si="10"/>
        <v>1</v>
      </c>
      <c r="F739" s="70">
        <f t="shared" si="10"/>
        <v>125.09</v>
      </c>
      <c r="G739" s="65">
        <f t="shared" si="10"/>
        <v>135.98169123208618</v>
      </c>
      <c r="H739" s="64"/>
      <c r="I739" s="487"/>
      <c r="J739" s="462">
        <f>J588</f>
        <v>32.56</v>
      </c>
      <c r="K739" s="455">
        <f>K588</f>
        <v>545.97</v>
      </c>
      <c r="V739" s="39"/>
    </row>
    <row r="740" spans="1:22" ht="15" customHeight="1" x14ac:dyDescent="0.25">
      <c r="A740" s="479"/>
      <c r="B740" s="483"/>
      <c r="C740" s="460"/>
      <c r="D740" s="460"/>
      <c r="E740" s="3">
        <f t="shared" si="10"/>
        <v>2</v>
      </c>
      <c r="F740" s="3">
        <f t="shared" si="10"/>
        <v>126.86</v>
      </c>
      <c r="G740" s="5">
        <f t="shared" si="10"/>
        <v>137.9058066168555</v>
      </c>
      <c r="H740" s="64"/>
      <c r="I740" s="487"/>
      <c r="J740" s="463"/>
      <c r="K740" s="455"/>
      <c r="V740" s="39"/>
    </row>
    <row r="741" spans="1:22" ht="15" customHeight="1" x14ac:dyDescent="0.25">
      <c r="A741" s="479"/>
      <c r="B741" s="483"/>
      <c r="C741" s="460"/>
      <c r="D741" s="460"/>
      <c r="E741" s="3">
        <f t="shared" si="10"/>
        <v>3</v>
      </c>
      <c r="F741" s="3">
        <f t="shared" si="10"/>
        <v>131.80000000000001</v>
      </c>
      <c r="G741" s="5">
        <f t="shared" si="10"/>
        <v>143.27593656078793</v>
      </c>
      <c r="H741" s="64"/>
      <c r="I741" s="487"/>
      <c r="J741" s="463"/>
      <c r="K741" s="455"/>
      <c r="V741" s="39"/>
    </row>
    <row r="742" spans="1:22" ht="15.75" customHeight="1" thickBot="1" x14ac:dyDescent="0.3">
      <c r="A742" s="480"/>
      <c r="B742" s="484"/>
      <c r="C742" s="476"/>
      <c r="D742" s="476"/>
      <c r="E742" s="3">
        <f t="shared" si="10"/>
        <v>4</v>
      </c>
      <c r="F742" s="3">
        <f t="shared" si="10"/>
        <v>129.66</v>
      </c>
      <c r="G742" s="5">
        <f t="shared" si="10"/>
        <v>140.94960496564309</v>
      </c>
      <c r="H742" s="65"/>
      <c r="I742" s="488"/>
      <c r="J742" s="464"/>
      <c r="K742" s="456"/>
      <c r="V742" s="39"/>
    </row>
    <row r="743" spans="1:22" x14ac:dyDescent="0.25">
      <c r="A743" s="43" t="s">
        <v>4</v>
      </c>
      <c r="B743" s="24"/>
      <c r="C743" s="4"/>
      <c r="D743" s="4"/>
      <c r="E743" s="4"/>
      <c r="F743" s="8">
        <f>SUM(F723:F742)</f>
        <v>2498.77</v>
      </c>
      <c r="G743" s="8"/>
      <c r="H743" s="8"/>
      <c r="I743" s="8">
        <f>K723+K727+K731+K735+K739</f>
        <v>2716.34</v>
      </c>
      <c r="J743" s="8">
        <f>J739+J735+J731+J727+J723</f>
        <v>217.54000000000002</v>
      </c>
      <c r="V743" s="39"/>
    </row>
    <row r="744" spans="1:22" x14ac:dyDescent="0.25">
      <c r="A744" s="37"/>
      <c r="F744" s="18">
        <f>I743/F743</f>
        <v>1.0870708388527155</v>
      </c>
      <c r="I744" s="45"/>
      <c r="J744" s="9">
        <f>(J723+J727+J731+J735+J739)/I743</f>
        <v>8.0085703556992127E-2</v>
      </c>
      <c r="V744" s="39"/>
    </row>
    <row r="745" spans="1:22" x14ac:dyDescent="0.25">
      <c r="A745" s="37"/>
      <c r="V745" s="39"/>
    </row>
    <row r="746" spans="1:22" ht="15.75" thickBot="1" x14ac:dyDescent="0.3">
      <c r="A746" s="47"/>
      <c r="B746" s="48"/>
      <c r="C746" s="49"/>
      <c r="D746" s="49"/>
      <c r="E746" s="49"/>
      <c r="F746" s="50"/>
      <c r="G746" s="50"/>
      <c r="H746" s="50"/>
      <c r="I746" s="50"/>
      <c r="J746" s="50"/>
      <c r="K746" s="50"/>
      <c r="L746" s="49"/>
      <c r="M746" s="49"/>
      <c r="N746" s="49"/>
      <c r="O746" s="49"/>
      <c r="P746" s="49"/>
      <c r="Q746" s="49"/>
      <c r="R746" s="49"/>
      <c r="S746" s="49"/>
      <c r="T746" s="49"/>
      <c r="U746" s="49"/>
      <c r="V746" s="51"/>
    </row>
    <row r="748" spans="1:22" ht="15.75" thickBot="1" x14ac:dyDescent="0.3"/>
    <row r="749" spans="1:22" x14ac:dyDescent="0.25">
      <c r="A749" s="31"/>
      <c r="B749" s="32"/>
      <c r="C749" s="33"/>
      <c r="D749" s="33"/>
      <c r="E749" s="33"/>
      <c r="F749" s="34"/>
      <c r="G749" s="34"/>
      <c r="H749" s="34"/>
      <c r="I749" s="34"/>
      <c r="J749" s="34"/>
      <c r="K749" s="34"/>
      <c r="L749" s="35" t="s">
        <v>0</v>
      </c>
      <c r="M749" s="498" t="s">
        <v>74</v>
      </c>
      <c r="N749" s="498"/>
      <c r="O749" s="498"/>
      <c r="P749" s="498"/>
      <c r="Q749" s="33"/>
      <c r="R749" s="33"/>
      <c r="S749" s="33"/>
      <c r="T749" s="33"/>
      <c r="U749" s="33"/>
      <c r="V749" s="36"/>
    </row>
    <row r="750" spans="1:22" x14ac:dyDescent="0.25">
      <c r="A750" s="37"/>
      <c r="L750" s="38" t="s">
        <v>14</v>
      </c>
      <c r="M750" s="477" t="s">
        <v>12</v>
      </c>
      <c r="N750" s="477"/>
      <c r="O750" s="477" t="s">
        <v>12</v>
      </c>
      <c r="P750" s="477"/>
      <c r="Q750" s="477" t="s">
        <v>12</v>
      </c>
      <c r="R750" s="477"/>
      <c r="V750" s="39"/>
    </row>
    <row r="751" spans="1:22" x14ac:dyDescent="0.25">
      <c r="A751" s="37"/>
      <c r="L751" s="38"/>
      <c r="V751" s="39"/>
    </row>
    <row r="752" spans="1:22" x14ac:dyDescent="0.25">
      <c r="A752" s="37"/>
      <c r="L752" s="499" t="s">
        <v>11</v>
      </c>
      <c r="M752" s="21">
        <v>3</v>
      </c>
      <c r="N752" s="21">
        <v>2</v>
      </c>
      <c r="O752" s="20">
        <v>3</v>
      </c>
      <c r="P752" s="20">
        <v>2</v>
      </c>
      <c r="Q752" s="21">
        <v>3</v>
      </c>
      <c r="R752" s="21">
        <v>2</v>
      </c>
      <c r="V752" s="39"/>
    </row>
    <row r="753" spans="1:22" x14ac:dyDescent="0.25">
      <c r="A753" s="37"/>
      <c r="L753" s="499"/>
      <c r="M753" s="21">
        <v>4</v>
      </c>
      <c r="N753" s="21">
        <v>1</v>
      </c>
      <c r="O753" s="20">
        <v>4</v>
      </c>
      <c r="P753" s="20">
        <v>1</v>
      </c>
      <c r="Q753" s="21">
        <v>4</v>
      </c>
      <c r="R753" s="21">
        <v>1</v>
      </c>
      <c r="V753" s="39"/>
    </row>
    <row r="754" spans="1:22" x14ac:dyDescent="0.25">
      <c r="A754" s="37"/>
      <c r="L754" s="38"/>
      <c r="V754" s="39"/>
    </row>
    <row r="755" spans="1:22" x14ac:dyDescent="0.25">
      <c r="A755" s="37"/>
      <c r="L755" s="38" t="s">
        <v>14</v>
      </c>
      <c r="M755" s="477" t="s">
        <v>13</v>
      </c>
      <c r="N755" s="477"/>
      <c r="O755" s="477" t="s">
        <v>13</v>
      </c>
      <c r="P755" s="477"/>
      <c r="Q755" s="477" t="s">
        <v>13</v>
      </c>
      <c r="R755" s="477"/>
      <c r="V755" s="39"/>
    </row>
    <row r="756" spans="1:22" ht="18.75" x14ac:dyDescent="0.3">
      <c r="A756" s="457" t="s">
        <v>36</v>
      </c>
      <c r="B756" s="458"/>
      <c r="C756" s="458"/>
      <c r="D756" s="458"/>
      <c r="E756" s="458"/>
      <c r="F756" s="458"/>
      <c r="G756" s="458"/>
      <c r="H756" s="458"/>
      <c r="I756" s="458"/>
      <c r="J756" s="458"/>
      <c r="K756" s="40"/>
      <c r="M756" s="477"/>
      <c r="N756" s="477"/>
      <c r="O756" s="477"/>
      <c r="P756" s="477"/>
      <c r="V756" s="39"/>
    </row>
    <row r="757" spans="1:22" ht="30" x14ac:dyDescent="0.25">
      <c r="A757" s="41" t="s">
        <v>9</v>
      </c>
      <c r="B757" s="23" t="s">
        <v>7</v>
      </c>
      <c r="C757" s="2" t="s">
        <v>8</v>
      </c>
      <c r="D757" s="2" t="s">
        <v>10</v>
      </c>
      <c r="E757" s="1" t="s">
        <v>2</v>
      </c>
      <c r="F757" s="19" t="s">
        <v>3</v>
      </c>
      <c r="G757" s="19" t="s">
        <v>5</v>
      </c>
      <c r="H757" s="19" t="s">
        <v>57</v>
      </c>
      <c r="I757" s="28" t="s">
        <v>6</v>
      </c>
      <c r="J757" s="28" t="s">
        <v>1</v>
      </c>
      <c r="K757" s="40"/>
      <c r="M757" s="477"/>
      <c r="N757" s="477"/>
      <c r="O757" s="477"/>
      <c r="P757" s="477"/>
      <c r="V757" s="39"/>
    </row>
    <row r="758" spans="1:22" x14ac:dyDescent="0.25">
      <c r="A758" s="478" t="s">
        <v>38</v>
      </c>
      <c r="B758" s="482" t="s">
        <v>75</v>
      </c>
      <c r="C758" s="485" t="s">
        <v>76</v>
      </c>
      <c r="D758" s="485">
        <v>0</v>
      </c>
      <c r="E758" s="3">
        <f>E193</f>
        <v>1</v>
      </c>
      <c r="F758" s="3">
        <f>F193</f>
        <v>88.4</v>
      </c>
      <c r="G758" s="5">
        <f>G193</f>
        <v>96.063970794270958</v>
      </c>
      <c r="H758" s="77">
        <v>88.345699999999994</v>
      </c>
      <c r="I758" s="486">
        <f>SUM(G758:G777)</f>
        <v>2714.7200000000003</v>
      </c>
      <c r="J758" s="462">
        <f>J193</f>
        <v>73.23</v>
      </c>
      <c r="K758" s="455">
        <f>K193</f>
        <v>547.82000000000005</v>
      </c>
      <c r="L758" s="42"/>
      <c r="V758" s="39"/>
    </row>
    <row r="759" spans="1:22" x14ac:dyDescent="0.25">
      <c r="A759" s="479"/>
      <c r="B759" s="483"/>
      <c r="C759" s="460"/>
      <c r="D759" s="460"/>
      <c r="E759" s="3">
        <f t="shared" ref="E759:G777" si="11">E194</f>
        <v>2</v>
      </c>
      <c r="F759" s="3">
        <f t="shared" si="11"/>
        <v>124.73</v>
      </c>
      <c r="G759" s="5">
        <f t="shared" si="11"/>
        <v>135.54365471911103</v>
      </c>
      <c r="H759" s="77">
        <v>84.036199999999994</v>
      </c>
      <c r="I759" s="487"/>
      <c r="J759" s="463"/>
      <c r="K759" s="455"/>
      <c r="L759" s="42"/>
      <c r="V759" s="39"/>
    </row>
    <row r="760" spans="1:22" x14ac:dyDescent="0.25">
      <c r="A760" s="479"/>
      <c r="B760" s="483"/>
      <c r="C760" s="460"/>
      <c r="D760" s="460"/>
      <c r="E760" s="3">
        <f t="shared" si="11"/>
        <v>3</v>
      </c>
      <c r="F760" s="3">
        <f t="shared" si="11"/>
        <v>129.65</v>
      </c>
      <c r="G760" s="5">
        <f t="shared" si="11"/>
        <v>140.8902015099234</v>
      </c>
      <c r="H760" s="77">
        <v>85.562899999999999</v>
      </c>
      <c r="I760" s="487"/>
      <c r="J760" s="463"/>
      <c r="K760" s="455"/>
      <c r="L760" s="42"/>
      <c r="V760" s="39"/>
    </row>
    <row r="761" spans="1:22" ht="15.75" thickBot="1" x14ac:dyDescent="0.3">
      <c r="A761" s="479"/>
      <c r="B761" s="483"/>
      <c r="C761" s="460"/>
      <c r="D761" s="461"/>
      <c r="E761" s="6">
        <f t="shared" si="11"/>
        <v>4</v>
      </c>
      <c r="F761" s="6">
        <f t="shared" si="11"/>
        <v>131.81</v>
      </c>
      <c r="G761" s="7">
        <f t="shared" si="11"/>
        <v>143.23746595467028</v>
      </c>
      <c r="H761" s="77">
        <v>72.451099999999997</v>
      </c>
      <c r="I761" s="487"/>
      <c r="J761" s="464"/>
      <c r="K761" s="456"/>
      <c r="L761" s="42"/>
      <c r="V761" s="39"/>
    </row>
    <row r="762" spans="1:22" ht="15" customHeight="1" x14ac:dyDescent="0.25">
      <c r="A762" s="479"/>
      <c r="B762" s="483"/>
      <c r="C762" s="460"/>
      <c r="D762" s="459">
        <v>1</v>
      </c>
      <c r="E762" s="72">
        <f t="shared" si="11"/>
        <v>1</v>
      </c>
      <c r="F762" s="72">
        <f t="shared" si="11"/>
        <v>88.73</v>
      </c>
      <c r="G762" s="73">
        <f t="shared" si="11"/>
        <v>96.42258063999617</v>
      </c>
      <c r="H762" s="64"/>
      <c r="I762" s="487"/>
      <c r="J762" s="462">
        <f>J197</f>
        <v>46.84</v>
      </c>
      <c r="K762" s="455">
        <f>K197</f>
        <v>521.86</v>
      </c>
      <c r="L762" s="11"/>
      <c r="M762" s="10"/>
      <c r="V762" s="39"/>
    </row>
    <row r="763" spans="1:22" ht="15" customHeight="1" x14ac:dyDescent="0.25">
      <c r="A763" s="479"/>
      <c r="B763" s="483"/>
      <c r="C763" s="460"/>
      <c r="D763" s="460"/>
      <c r="E763" s="3">
        <f t="shared" si="11"/>
        <v>2</v>
      </c>
      <c r="F763" s="3">
        <f t="shared" si="11"/>
        <v>126.36</v>
      </c>
      <c r="G763" s="5">
        <f t="shared" si="11"/>
        <v>137.31497001769318</v>
      </c>
      <c r="H763" s="64"/>
      <c r="I763" s="487"/>
      <c r="J763" s="463"/>
      <c r="K763" s="455"/>
      <c r="L763" s="11"/>
      <c r="V763" s="39"/>
    </row>
    <row r="764" spans="1:22" ht="15" customHeight="1" x14ac:dyDescent="0.25">
      <c r="A764" s="479"/>
      <c r="B764" s="483"/>
      <c r="C764" s="460"/>
      <c r="D764" s="460"/>
      <c r="E764" s="3">
        <f t="shared" si="11"/>
        <v>3</v>
      </c>
      <c r="F764" s="3">
        <f t="shared" si="11"/>
        <v>131.24</v>
      </c>
      <c r="G764" s="5">
        <f t="shared" si="11"/>
        <v>142.61804894841765</v>
      </c>
      <c r="H764" s="64"/>
      <c r="I764" s="487"/>
      <c r="J764" s="463"/>
      <c r="K764" s="455"/>
      <c r="L764" s="12"/>
      <c r="V764" s="39"/>
    </row>
    <row r="765" spans="1:22" ht="15.75" customHeight="1" thickBot="1" x14ac:dyDescent="0.3">
      <c r="A765" s="479"/>
      <c r="B765" s="483"/>
      <c r="C765" s="460"/>
      <c r="D765" s="461"/>
      <c r="E765" s="6">
        <f t="shared" si="11"/>
        <v>4</v>
      </c>
      <c r="F765" s="6">
        <f t="shared" si="11"/>
        <v>128.69</v>
      </c>
      <c r="G765" s="7">
        <f t="shared" si="11"/>
        <v>139.84697286781366</v>
      </c>
      <c r="H765" s="64"/>
      <c r="I765" s="487"/>
      <c r="J765" s="464"/>
      <c r="K765" s="456"/>
      <c r="L765" s="13"/>
      <c r="V765" s="39"/>
    </row>
    <row r="766" spans="1:22" ht="15" customHeight="1" x14ac:dyDescent="0.25">
      <c r="A766" s="479"/>
      <c r="B766" s="483"/>
      <c r="C766" s="460"/>
      <c r="D766" s="459">
        <v>2</v>
      </c>
      <c r="E766" s="72">
        <f t="shared" si="11"/>
        <v>1</v>
      </c>
      <c r="F766" s="72">
        <f t="shared" si="11"/>
        <v>127.21</v>
      </c>
      <c r="G766" s="73">
        <f t="shared" si="11"/>
        <v>138.23866204456115</v>
      </c>
      <c r="H766" s="64"/>
      <c r="I766" s="487"/>
      <c r="J766" s="462">
        <f>J201</f>
        <v>32.549999999999997</v>
      </c>
      <c r="K766" s="455">
        <f>K201</f>
        <v>549.92999999999995</v>
      </c>
      <c r="L766" s="42"/>
      <c r="V766" s="39"/>
    </row>
    <row r="767" spans="1:22" ht="15" customHeight="1" x14ac:dyDescent="0.25">
      <c r="A767" s="479"/>
      <c r="B767" s="483"/>
      <c r="C767" s="460"/>
      <c r="D767" s="460"/>
      <c r="E767" s="3">
        <f t="shared" si="11"/>
        <v>2</v>
      </c>
      <c r="F767" s="3">
        <f t="shared" si="11"/>
        <v>126.78</v>
      </c>
      <c r="G767" s="5">
        <f t="shared" si="11"/>
        <v>137.77138254861617</v>
      </c>
      <c r="H767" s="64"/>
      <c r="I767" s="487"/>
      <c r="J767" s="463"/>
      <c r="K767" s="455"/>
      <c r="L767" s="42"/>
      <c r="V767" s="39"/>
    </row>
    <row r="768" spans="1:22" ht="15" customHeight="1" x14ac:dyDescent="0.25">
      <c r="A768" s="479"/>
      <c r="B768" s="483"/>
      <c r="C768" s="460"/>
      <c r="D768" s="460"/>
      <c r="E768" s="3">
        <f t="shared" si="11"/>
        <v>3</v>
      </c>
      <c r="F768" s="3">
        <f t="shared" si="11"/>
        <v>131.69999999999999</v>
      </c>
      <c r="G768" s="5">
        <f t="shared" si="11"/>
        <v>143.11792933942854</v>
      </c>
      <c r="H768" s="64"/>
      <c r="I768" s="487"/>
      <c r="J768" s="463"/>
      <c r="K768" s="455"/>
      <c r="L768" s="42"/>
      <c r="V768" s="39"/>
    </row>
    <row r="769" spans="1:22" ht="15.75" customHeight="1" thickBot="1" x14ac:dyDescent="0.3">
      <c r="A769" s="479"/>
      <c r="B769" s="483"/>
      <c r="C769" s="460"/>
      <c r="D769" s="461"/>
      <c r="E769" s="6">
        <f t="shared" si="11"/>
        <v>4</v>
      </c>
      <c r="F769" s="6">
        <f t="shared" si="11"/>
        <v>131.69</v>
      </c>
      <c r="G769" s="7">
        <f t="shared" si="11"/>
        <v>143.10706237440658</v>
      </c>
      <c r="H769" s="64"/>
      <c r="I769" s="487"/>
      <c r="J769" s="464"/>
      <c r="K769" s="456"/>
      <c r="L769" s="42"/>
      <c r="V769" s="39"/>
    </row>
    <row r="770" spans="1:22" ht="15" customHeight="1" x14ac:dyDescent="0.25">
      <c r="A770" s="479"/>
      <c r="B770" s="483"/>
      <c r="C770" s="460"/>
      <c r="D770" s="459">
        <v>3</v>
      </c>
      <c r="E770" s="72">
        <f t="shared" si="11"/>
        <v>1</v>
      </c>
      <c r="F770" s="72">
        <f t="shared" si="11"/>
        <v>131.88</v>
      </c>
      <c r="G770" s="73">
        <f t="shared" si="11"/>
        <v>143.31353470982413</v>
      </c>
      <c r="H770" s="66"/>
      <c r="I770" s="489"/>
      <c r="J770" s="462">
        <f>J205</f>
        <v>32.549999999999997</v>
      </c>
      <c r="K770" s="455">
        <f>K205</f>
        <v>549.14</v>
      </c>
      <c r="L770" s="42"/>
      <c r="V770" s="39"/>
    </row>
    <row r="771" spans="1:22" ht="15" customHeight="1" x14ac:dyDescent="0.25">
      <c r="A771" s="479"/>
      <c r="B771" s="483"/>
      <c r="C771" s="460"/>
      <c r="D771" s="460"/>
      <c r="E771" s="3">
        <f t="shared" si="11"/>
        <v>2</v>
      </c>
      <c r="F771" s="3">
        <f t="shared" si="11"/>
        <v>131.43</v>
      </c>
      <c r="G771" s="5">
        <f t="shared" si="11"/>
        <v>142.8245212838352</v>
      </c>
      <c r="H771" s="66"/>
      <c r="I771" s="489"/>
      <c r="J771" s="463"/>
      <c r="K771" s="455"/>
      <c r="L771" s="42"/>
      <c r="V771" s="39"/>
    </row>
    <row r="772" spans="1:22" ht="15" customHeight="1" x14ac:dyDescent="0.25">
      <c r="A772" s="479"/>
      <c r="B772" s="483"/>
      <c r="C772" s="460"/>
      <c r="D772" s="460"/>
      <c r="E772" s="3">
        <f t="shared" si="11"/>
        <v>3</v>
      </c>
      <c r="F772" s="3">
        <f t="shared" si="11"/>
        <v>126.97</v>
      </c>
      <c r="G772" s="5">
        <f t="shared" si="11"/>
        <v>137.97785488403375</v>
      </c>
      <c r="H772" s="66"/>
      <c r="I772" s="489"/>
      <c r="J772" s="463"/>
      <c r="K772" s="455"/>
      <c r="L772" s="42"/>
      <c r="V772" s="39"/>
    </row>
    <row r="773" spans="1:22" ht="15.75" customHeight="1" thickBot="1" x14ac:dyDescent="0.3">
      <c r="A773" s="479"/>
      <c r="B773" s="483"/>
      <c r="C773" s="460"/>
      <c r="D773" s="461"/>
      <c r="E773" s="6">
        <f t="shared" si="11"/>
        <v>4</v>
      </c>
      <c r="F773" s="6">
        <f t="shared" si="11"/>
        <v>127.45</v>
      </c>
      <c r="G773" s="7">
        <f t="shared" si="11"/>
        <v>138.49946920508859</v>
      </c>
      <c r="H773" s="66"/>
      <c r="I773" s="489"/>
      <c r="J773" s="464"/>
      <c r="K773" s="456"/>
      <c r="L773" s="42"/>
      <c r="V773" s="39"/>
    </row>
    <row r="774" spans="1:22" ht="15" customHeight="1" x14ac:dyDescent="0.25">
      <c r="A774" s="479"/>
      <c r="B774" s="483"/>
      <c r="C774" s="460"/>
      <c r="D774" s="459">
        <v>4</v>
      </c>
      <c r="E774" s="70">
        <f t="shared" si="11"/>
        <v>1</v>
      </c>
      <c r="F774" s="70">
        <f t="shared" si="11"/>
        <v>125.15</v>
      </c>
      <c r="G774" s="65">
        <f t="shared" si="11"/>
        <v>136.00006725003405</v>
      </c>
      <c r="H774" s="64"/>
      <c r="I774" s="487"/>
      <c r="J774" s="462">
        <f>J209</f>
        <v>32.549999999999997</v>
      </c>
      <c r="K774" s="455">
        <f>K209</f>
        <v>545.97</v>
      </c>
      <c r="L774" s="42"/>
      <c r="V774" s="39"/>
    </row>
    <row r="775" spans="1:22" ht="15" customHeight="1" x14ac:dyDescent="0.25">
      <c r="A775" s="479"/>
      <c r="B775" s="483"/>
      <c r="C775" s="460"/>
      <c r="D775" s="460"/>
      <c r="E775" s="3">
        <f t="shared" si="11"/>
        <v>2</v>
      </c>
      <c r="F775" s="3">
        <f t="shared" si="11"/>
        <v>126.87</v>
      </c>
      <c r="G775" s="5">
        <f t="shared" si="11"/>
        <v>137.86918523381397</v>
      </c>
      <c r="H775" s="64"/>
      <c r="I775" s="487"/>
      <c r="J775" s="463"/>
      <c r="K775" s="455"/>
      <c r="L775" s="42"/>
      <c r="V775" s="39"/>
    </row>
    <row r="776" spans="1:22" ht="15" customHeight="1" x14ac:dyDescent="0.25">
      <c r="A776" s="479"/>
      <c r="B776" s="483"/>
      <c r="C776" s="460"/>
      <c r="D776" s="460"/>
      <c r="E776" s="3">
        <f t="shared" si="11"/>
        <v>3</v>
      </c>
      <c r="F776" s="3">
        <f t="shared" si="11"/>
        <v>131.77000000000001</v>
      </c>
      <c r="G776" s="5">
        <f t="shared" si="11"/>
        <v>143.19399809458238</v>
      </c>
      <c r="H776" s="64"/>
      <c r="I776" s="487"/>
      <c r="J776" s="463"/>
      <c r="K776" s="455"/>
      <c r="L776" s="42"/>
      <c r="V776" s="39"/>
    </row>
    <row r="777" spans="1:22" ht="15.75" customHeight="1" thickBot="1" x14ac:dyDescent="0.3">
      <c r="A777" s="480"/>
      <c r="B777" s="484"/>
      <c r="C777" s="476"/>
      <c r="D777" s="476"/>
      <c r="E777" s="3">
        <f t="shared" si="11"/>
        <v>4</v>
      </c>
      <c r="F777" s="3">
        <f t="shared" si="11"/>
        <v>129.63</v>
      </c>
      <c r="G777" s="5">
        <f t="shared" si="11"/>
        <v>140.86846757987945</v>
      </c>
      <c r="H777" s="65"/>
      <c r="I777" s="488"/>
      <c r="J777" s="464"/>
      <c r="K777" s="456"/>
      <c r="L777" s="42"/>
      <c r="V777" s="39"/>
    </row>
    <row r="778" spans="1:22" x14ac:dyDescent="0.25">
      <c r="A778" s="43" t="s">
        <v>4</v>
      </c>
      <c r="B778" s="24"/>
      <c r="C778" s="4"/>
      <c r="D778" s="4"/>
      <c r="E778" s="4"/>
      <c r="F778" s="8">
        <f>SUM(F758:F777)</f>
        <v>2498.14</v>
      </c>
      <c r="G778" s="8"/>
      <c r="H778" s="8"/>
      <c r="I778" s="8">
        <f>K758+K762+K766+K770+K774</f>
        <v>2714.7200000000003</v>
      </c>
      <c r="J778" s="8">
        <f>J774+J770+J766+J762+J758</f>
        <v>217.72000000000003</v>
      </c>
      <c r="K778" s="40"/>
      <c r="L778" s="44"/>
      <c r="V778" s="39"/>
    </row>
    <row r="779" spans="1:22" x14ac:dyDescent="0.25">
      <c r="A779" s="37"/>
      <c r="F779" s="18">
        <f>I778/F778</f>
        <v>1.0866965021976351</v>
      </c>
      <c r="I779" s="45"/>
      <c r="J779" s="9">
        <f>(J758+J762+J766+J770+J774)/I778</f>
        <v>8.0199799611009606E-2</v>
      </c>
      <c r="V779" s="39"/>
    </row>
    <row r="780" spans="1:22" ht="18.75" x14ac:dyDescent="0.3">
      <c r="A780" s="37"/>
      <c r="Q780" s="481" t="s">
        <v>34</v>
      </c>
      <c r="R780" s="481"/>
      <c r="S780" s="60"/>
      <c r="V780" s="39"/>
    </row>
    <row r="781" spans="1:22" x14ac:dyDescent="0.25">
      <c r="A781" s="37"/>
      <c r="Q781" s="61"/>
      <c r="R781" s="62" t="s">
        <v>35</v>
      </c>
      <c r="S781" s="62"/>
      <c r="V781" s="39"/>
    </row>
    <row r="782" spans="1:22" ht="18.75" x14ac:dyDescent="0.3">
      <c r="A782" s="457" t="s">
        <v>36</v>
      </c>
      <c r="B782" s="458"/>
      <c r="C782" s="458"/>
      <c r="D782" s="458"/>
      <c r="E782" s="458"/>
      <c r="F782" s="458"/>
      <c r="G782" s="458"/>
      <c r="H782" s="458"/>
      <c r="I782" s="458"/>
      <c r="J782" s="458"/>
      <c r="K782" s="46"/>
      <c r="V782" s="39"/>
    </row>
    <row r="783" spans="1:22" ht="30" x14ac:dyDescent="0.25">
      <c r="A783" s="41" t="s">
        <v>9</v>
      </c>
      <c r="B783" s="23" t="s">
        <v>7</v>
      </c>
      <c r="C783" s="2" t="s">
        <v>8</v>
      </c>
      <c r="D783" s="2" t="s">
        <v>10</v>
      </c>
      <c r="E783" s="1" t="s">
        <v>2</v>
      </c>
      <c r="F783" s="19" t="s">
        <v>3</v>
      </c>
      <c r="G783" s="19" t="s">
        <v>5</v>
      </c>
      <c r="H783" s="19" t="s">
        <v>57</v>
      </c>
      <c r="I783" s="28" t="s">
        <v>6</v>
      </c>
      <c r="J783" s="28" t="s">
        <v>1</v>
      </c>
      <c r="K783" s="46"/>
      <c r="V783" s="39"/>
    </row>
    <row r="784" spans="1:22" x14ac:dyDescent="0.25">
      <c r="A784" s="478" t="s">
        <v>38</v>
      </c>
      <c r="B784" s="482" t="s">
        <v>75</v>
      </c>
      <c r="C784" s="485" t="s">
        <v>77</v>
      </c>
      <c r="D784" s="485">
        <v>0</v>
      </c>
      <c r="E784" s="3">
        <f>E219</f>
        <v>1</v>
      </c>
      <c r="F784" s="3">
        <f>F219</f>
        <v>131.81</v>
      </c>
      <c r="G784" s="5">
        <f>G219</f>
        <v>143.33409972454882</v>
      </c>
      <c r="H784" s="77">
        <v>89.694999999999993</v>
      </c>
      <c r="I784" s="486">
        <f>SUM(G784:G803)</f>
        <v>2708.2</v>
      </c>
      <c r="J784" s="462">
        <f>J219</f>
        <v>73.23</v>
      </c>
      <c r="K784" s="465">
        <f>K219</f>
        <v>547.82000000000005</v>
      </c>
      <c r="V784" s="39"/>
    </row>
    <row r="785" spans="1:22" x14ac:dyDescent="0.25">
      <c r="A785" s="479"/>
      <c r="B785" s="483"/>
      <c r="C785" s="460"/>
      <c r="D785" s="460"/>
      <c r="E785" s="3">
        <f t="shared" ref="E785:G803" si="12">E220</f>
        <v>2</v>
      </c>
      <c r="F785" s="71">
        <f t="shared" si="12"/>
        <v>129.65</v>
      </c>
      <c r="G785" s="5">
        <f t="shared" si="12"/>
        <v>140.98525172056563</v>
      </c>
      <c r="H785" s="77">
        <v>86.075999999999993</v>
      </c>
      <c r="I785" s="487"/>
      <c r="J785" s="463"/>
      <c r="K785" s="465"/>
      <c r="M785" s="18"/>
      <c r="V785" s="39"/>
    </row>
    <row r="786" spans="1:22" x14ac:dyDescent="0.25">
      <c r="A786" s="479"/>
      <c r="B786" s="483"/>
      <c r="C786" s="460"/>
      <c r="D786" s="460"/>
      <c r="E786" s="3">
        <f t="shared" si="12"/>
        <v>3</v>
      </c>
      <c r="F786" s="71">
        <f t="shared" si="12"/>
        <v>124.73</v>
      </c>
      <c r="G786" s="5">
        <f t="shared" si="12"/>
        <v>135.63509793371503</v>
      </c>
      <c r="H786" s="77">
        <v>85.509600000000006</v>
      </c>
      <c r="I786" s="487"/>
      <c r="J786" s="463"/>
      <c r="K786" s="465"/>
      <c r="V786" s="39"/>
    </row>
    <row r="787" spans="1:22" ht="15.75" thickBot="1" x14ac:dyDescent="0.3">
      <c r="A787" s="479"/>
      <c r="B787" s="483"/>
      <c r="C787" s="460"/>
      <c r="D787" s="461"/>
      <c r="E787" s="6">
        <f t="shared" si="12"/>
        <v>4</v>
      </c>
      <c r="F787" s="6">
        <f t="shared" si="12"/>
        <v>88.4</v>
      </c>
      <c r="G787" s="7">
        <f t="shared" si="12"/>
        <v>96.128779422275372</v>
      </c>
      <c r="H787" s="77">
        <v>73.371899999999997</v>
      </c>
      <c r="I787" s="487"/>
      <c r="J787" s="464"/>
      <c r="K787" s="466"/>
      <c r="L787" s="14"/>
      <c r="V787" s="39"/>
    </row>
    <row r="788" spans="1:22" ht="15" customHeight="1" x14ac:dyDescent="0.25">
      <c r="A788" s="479"/>
      <c r="B788" s="483"/>
      <c r="C788" s="460"/>
      <c r="D788" s="459">
        <v>1</v>
      </c>
      <c r="E788" s="72">
        <f t="shared" si="12"/>
        <v>1</v>
      </c>
      <c r="F788" s="72">
        <f t="shared" si="12"/>
        <v>132.43</v>
      </c>
      <c r="G788" s="73">
        <f t="shared" si="12"/>
        <v>144.00830609606254</v>
      </c>
      <c r="H788" s="64"/>
      <c r="I788" s="487"/>
      <c r="J788" s="462">
        <f>J223</f>
        <v>46.84</v>
      </c>
      <c r="K788" s="465">
        <f>K223</f>
        <v>515.34</v>
      </c>
      <c r="L788" s="17"/>
      <c r="V788" s="39"/>
    </row>
    <row r="789" spans="1:22" ht="15" customHeight="1" x14ac:dyDescent="0.25">
      <c r="A789" s="479"/>
      <c r="B789" s="483"/>
      <c r="C789" s="460"/>
      <c r="D789" s="460"/>
      <c r="E789" s="3">
        <f t="shared" si="12"/>
        <v>2</v>
      </c>
      <c r="F789" s="71">
        <f t="shared" si="12"/>
        <v>126.09</v>
      </c>
      <c r="G789" s="5">
        <f t="shared" si="12"/>
        <v>137.11400223251925</v>
      </c>
      <c r="H789" s="64"/>
      <c r="I789" s="487"/>
      <c r="J789" s="463"/>
      <c r="K789" s="465"/>
      <c r="L789" s="63"/>
      <c r="M789" s="29"/>
      <c r="V789" s="39"/>
    </row>
    <row r="790" spans="1:22" ht="15" customHeight="1" x14ac:dyDescent="0.25">
      <c r="A790" s="479"/>
      <c r="B790" s="483"/>
      <c r="C790" s="460"/>
      <c r="D790" s="460"/>
      <c r="E790" s="3">
        <f t="shared" si="12"/>
        <v>3</v>
      </c>
      <c r="F790" s="71">
        <f t="shared" si="12"/>
        <v>121.24</v>
      </c>
      <c r="G790" s="5">
        <f t="shared" si="12"/>
        <v>131.83996851987177</v>
      </c>
      <c r="H790" s="64"/>
      <c r="I790" s="487"/>
      <c r="J790" s="463"/>
      <c r="K790" s="465"/>
      <c r="L790" s="16"/>
      <c r="M790" s="10"/>
      <c r="V790" s="39"/>
    </row>
    <row r="791" spans="1:22" ht="15.75" customHeight="1" thickBot="1" x14ac:dyDescent="0.3">
      <c r="A791" s="479"/>
      <c r="B791" s="483"/>
      <c r="C791" s="460"/>
      <c r="D791" s="461"/>
      <c r="E791" s="6">
        <f t="shared" si="12"/>
        <v>4</v>
      </c>
      <c r="F791" s="6">
        <f t="shared" si="12"/>
        <v>88.73</v>
      </c>
      <c r="G791" s="7">
        <f t="shared" si="12"/>
        <v>96.487631200661696</v>
      </c>
      <c r="H791" s="64"/>
      <c r="I791" s="487"/>
      <c r="J791" s="464"/>
      <c r="K791" s="466"/>
      <c r="L791" s="15"/>
      <c r="V791" s="39"/>
    </row>
    <row r="792" spans="1:22" ht="15" customHeight="1" x14ac:dyDescent="0.25">
      <c r="A792" s="479"/>
      <c r="B792" s="483"/>
      <c r="C792" s="460"/>
      <c r="D792" s="459">
        <v>2</v>
      </c>
      <c r="E792" s="72">
        <f t="shared" si="12"/>
        <v>1</v>
      </c>
      <c r="F792" s="72">
        <f t="shared" si="12"/>
        <v>131.69</v>
      </c>
      <c r="G792" s="73">
        <f t="shared" si="12"/>
        <v>143.20360816877198</v>
      </c>
      <c r="H792" s="64"/>
      <c r="I792" s="487"/>
      <c r="J792" s="462">
        <f>J227</f>
        <v>32.549999999999997</v>
      </c>
      <c r="K792" s="465">
        <f>K227</f>
        <v>549.92999999999995</v>
      </c>
      <c r="V792" s="39"/>
    </row>
    <row r="793" spans="1:22" ht="15" customHeight="1" x14ac:dyDescent="0.25">
      <c r="A793" s="479"/>
      <c r="B793" s="483"/>
      <c r="C793" s="460"/>
      <c r="D793" s="460"/>
      <c r="E793" s="3">
        <f t="shared" si="12"/>
        <v>2</v>
      </c>
      <c r="F793" s="3">
        <f t="shared" si="12"/>
        <v>131.69999999999999</v>
      </c>
      <c r="G793" s="5">
        <f t="shared" si="12"/>
        <v>143.21448246508672</v>
      </c>
      <c r="H793" s="64"/>
      <c r="I793" s="487"/>
      <c r="J793" s="463"/>
      <c r="K793" s="465"/>
      <c r="M793" s="18"/>
      <c r="V793" s="39"/>
    </row>
    <row r="794" spans="1:22" ht="15" customHeight="1" x14ac:dyDescent="0.25">
      <c r="A794" s="479"/>
      <c r="B794" s="483"/>
      <c r="C794" s="460"/>
      <c r="D794" s="460"/>
      <c r="E794" s="3">
        <f t="shared" si="12"/>
        <v>3</v>
      </c>
      <c r="F794" s="3">
        <f t="shared" si="12"/>
        <v>126.78</v>
      </c>
      <c r="G794" s="5">
        <f t="shared" si="12"/>
        <v>137.86432867823612</v>
      </c>
      <c r="H794" s="64"/>
      <c r="I794" s="487"/>
      <c r="J794" s="463"/>
      <c r="K794" s="465"/>
      <c r="L794" s="18" t="s">
        <v>39</v>
      </c>
      <c r="M794" s="18"/>
      <c r="V794" s="39"/>
    </row>
    <row r="795" spans="1:22" ht="15.75" customHeight="1" thickBot="1" x14ac:dyDescent="0.3">
      <c r="A795" s="479"/>
      <c r="B795" s="483"/>
      <c r="C795" s="460"/>
      <c r="D795" s="461"/>
      <c r="E795" s="6">
        <f t="shared" si="12"/>
        <v>4</v>
      </c>
      <c r="F795" s="6">
        <f t="shared" si="12"/>
        <v>127.21</v>
      </c>
      <c r="G795" s="7">
        <f t="shared" si="12"/>
        <v>138.33192341976979</v>
      </c>
      <c r="H795" s="64"/>
      <c r="I795" s="487"/>
      <c r="J795" s="464"/>
      <c r="K795" s="466"/>
      <c r="V795" s="39"/>
    </row>
    <row r="796" spans="1:22" ht="15" customHeight="1" x14ac:dyDescent="0.25">
      <c r="A796" s="479"/>
      <c r="B796" s="483"/>
      <c r="C796" s="460"/>
      <c r="D796" s="459">
        <v>3</v>
      </c>
      <c r="E796" s="72">
        <f t="shared" si="12"/>
        <v>1</v>
      </c>
      <c r="F796" s="72">
        <f t="shared" si="12"/>
        <v>131.59</v>
      </c>
      <c r="G796" s="73">
        <f t="shared" si="12"/>
        <v>143.09486520562461</v>
      </c>
      <c r="H796" s="64"/>
      <c r="I796" s="487"/>
      <c r="J796" s="462">
        <f>J231</f>
        <v>32.549999999999997</v>
      </c>
      <c r="K796" s="465">
        <f>K231</f>
        <v>549.14</v>
      </c>
      <c r="V796" s="39"/>
    </row>
    <row r="797" spans="1:22" ht="15" customHeight="1" x14ac:dyDescent="0.25">
      <c r="A797" s="479"/>
      <c r="B797" s="483"/>
      <c r="C797" s="460"/>
      <c r="D797" s="460"/>
      <c r="E797" s="3">
        <f t="shared" si="12"/>
        <v>2</v>
      </c>
      <c r="F797" s="3">
        <f t="shared" si="12"/>
        <v>131.4</v>
      </c>
      <c r="G797" s="5">
        <f t="shared" si="12"/>
        <v>142.88825357564463</v>
      </c>
      <c r="H797" s="64"/>
      <c r="I797" s="487"/>
      <c r="J797" s="463"/>
      <c r="K797" s="465"/>
      <c r="M797" s="18"/>
      <c r="V797" s="39"/>
    </row>
    <row r="798" spans="1:22" ht="15" customHeight="1" x14ac:dyDescent="0.25">
      <c r="A798" s="479"/>
      <c r="B798" s="483"/>
      <c r="C798" s="460"/>
      <c r="D798" s="460"/>
      <c r="E798" s="3">
        <f t="shared" si="12"/>
        <v>3</v>
      </c>
      <c r="F798" s="3">
        <f t="shared" si="12"/>
        <v>126.49</v>
      </c>
      <c r="G798" s="5">
        <f t="shared" si="12"/>
        <v>137.54897408510874</v>
      </c>
      <c r="H798" s="64"/>
      <c r="I798" s="487"/>
      <c r="J798" s="463"/>
      <c r="K798" s="465"/>
      <c r="M798" s="18"/>
      <c r="V798" s="39"/>
    </row>
    <row r="799" spans="1:22" ht="15.75" customHeight="1" thickBot="1" x14ac:dyDescent="0.3">
      <c r="A799" s="479"/>
      <c r="B799" s="483"/>
      <c r="C799" s="460"/>
      <c r="D799" s="461"/>
      <c r="E799" s="6">
        <f t="shared" si="12"/>
        <v>4</v>
      </c>
      <c r="F799" s="6">
        <f t="shared" si="12"/>
        <v>127.1</v>
      </c>
      <c r="G799" s="7">
        <f t="shared" si="12"/>
        <v>138.21230616030769</v>
      </c>
      <c r="H799" s="64"/>
      <c r="I799" s="487"/>
      <c r="J799" s="464"/>
      <c r="K799" s="466"/>
      <c r="V799" s="39"/>
    </row>
    <row r="800" spans="1:22" ht="15" customHeight="1" x14ac:dyDescent="0.25">
      <c r="A800" s="479"/>
      <c r="B800" s="483"/>
      <c r="C800" s="460"/>
      <c r="D800" s="459">
        <v>4</v>
      </c>
      <c r="E800" s="70">
        <f t="shared" si="12"/>
        <v>1</v>
      </c>
      <c r="F800" s="70">
        <f t="shared" si="12"/>
        <v>129.63</v>
      </c>
      <c r="G800" s="65">
        <f t="shared" si="12"/>
        <v>140.96350312793615</v>
      </c>
      <c r="H800" s="64"/>
      <c r="I800" s="487"/>
      <c r="J800" s="462">
        <f>J235</f>
        <v>32.549999999999997</v>
      </c>
      <c r="K800" s="465">
        <f>K235</f>
        <v>545.97</v>
      </c>
      <c r="V800" s="39"/>
    </row>
    <row r="801" spans="1:22" ht="15" customHeight="1" x14ac:dyDescent="0.25">
      <c r="A801" s="479"/>
      <c r="B801" s="483"/>
      <c r="C801" s="460"/>
      <c r="D801" s="460"/>
      <c r="E801" s="3">
        <f t="shared" si="12"/>
        <v>2</v>
      </c>
      <c r="F801" s="3">
        <f t="shared" si="12"/>
        <v>131.78</v>
      </c>
      <c r="G801" s="5">
        <f t="shared" si="12"/>
        <v>143.30147683560463</v>
      </c>
      <c r="H801" s="64"/>
      <c r="I801" s="487"/>
      <c r="J801" s="463"/>
      <c r="K801" s="465"/>
      <c r="M801" s="18"/>
      <c r="V801" s="39"/>
    </row>
    <row r="802" spans="1:22" ht="15" customHeight="1" x14ac:dyDescent="0.25">
      <c r="A802" s="479"/>
      <c r="B802" s="483"/>
      <c r="C802" s="460"/>
      <c r="D802" s="460"/>
      <c r="E802" s="3">
        <f t="shared" si="12"/>
        <v>3</v>
      </c>
      <c r="F802" s="3">
        <f t="shared" si="12"/>
        <v>126.86</v>
      </c>
      <c r="G802" s="5">
        <f t="shared" si="12"/>
        <v>137.95132304875401</v>
      </c>
      <c r="H802" s="64"/>
      <c r="I802" s="487"/>
      <c r="J802" s="463"/>
      <c r="K802" s="465"/>
      <c r="V802" s="39"/>
    </row>
    <row r="803" spans="1:22" ht="15.75" customHeight="1" thickBot="1" x14ac:dyDescent="0.3">
      <c r="A803" s="480"/>
      <c r="B803" s="484"/>
      <c r="C803" s="476"/>
      <c r="D803" s="476"/>
      <c r="E803" s="3">
        <f t="shared" si="12"/>
        <v>4</v>
      </c>
      <c r="F803" s="3">
        <f t="shared" si="12"/>
        <v>125.15</v>
      </c>
      <c r="G803" s="5">
        <f t="shared" si="12"/>
        <v>136.09181837893397</v>
      </c>
      <c r="H803" s="65"/>
      <c r="I803" s="488"/>
      <c r="J803" s="464"/>
      <c r="K803" s="466"/>
      <c r="V803" s="39"/>
    </row>
    <row r="804" spans="1:22" x14ac:dyDescent="0.25">
      <c r="A804" s="43" t="s">
        <v>4</v>
      </c>
      <c r="B804" s="24"/>
      <c r="C804" s="4"/>
      <c r="D804" s="4"/>
      <c r="E804" s="4"/>
      <c r="F804" s="8">
        <f>SUM(F784:F803)</f>
        <v>2490.4600000000005</v>
      </c>
      <c r="G804" s="8"/>
      <c r="H804" s="8"/>
      <c r="I804" s="8">
        <f>K784+K788+K792+K796+K800</f>
        <v>2708.2</v>
      </c>
      <c r="J804" s="8">
        <f>J800+J796+J792+J788+J784</f>
        <v>217.72000000000003</v>
      </c>
      <c r="K804" s="46"/>
      <c r="V804" s="39"/>
    </row>
    <row r="805" spans="1:22" x14ac:dyDescent="0.25">
      <c r="A805" s="37"/>
      <c r="F805" s="18">
        <f>I804/F804</f>
        <v>1.0874296314737033</v>
      </c>
      <c r="I805" s="45"/>
      <c r="J805" s="9">
        <f>(J784+J788+J792+J796+J800)/I804</f>
        <v>8.0392880880289508E-2</v>
      </c>
      <c r="K805" s="46"/>
      <c r="V805" s="39"/>
    </row>
    <row r="806" spans="1:22" x14ac:dyDescent="0.25">
      <c r="A806" s="37"/>
      <c r="V806" s="39"/>
    </row>
    <row r="807" spans="1:22" x14ac:dyDescent="0.25">
      <c r="A807" s="37"/>
      <c r="V807" s="39"/>
    </row>
    <row r="808" spans="1:22" ht="18.75" x14ac:dyDescent="0.3">
      <c r="A808" s="457" t="s">
        <v>36</v>
      </c>
      <c r="B808" s="458"/>
      <c r="C808" s="458"/>
      <c r="D808" s="458"/>
      <c r="E808" s="458"/>
      <c r="F808" s="458"/>
      <c r="G808" s="458"/>
      <c r="H808" s="458"/>
      <c r="I808" s="458"/>
      <c r="J808" s="458"/>
      <c r="K808" s="40"/>
      <c r="V808" s="39"/>
    </row>
    <row r="809" spans="1:22" ht="30" x14ac:dyDescent="0.25">
      <c r="A809" s="41" t="s">
        <v>9</v>
      </c>
      <c r="B809" s="23" t="s">
        <v>7</v>
      </c>
      <c r="C809" s="2" t="s">
        <v>8</v>
      </c>
      <c r="D809" s="2" t="s">
        <v>10</v>
      </c>
      <c r="E809" s="1" t="s">
        <v>2</v>
      </c>
      <c r="F809" s="19" t="s">
        <v>3</v>
      </c>
      <c r="G809" s="19" t="s">
        <v>5</v>
      </c>
      <c r="H809" s="19" t="s">
        <v>57</v>
      </c>
      <c r="I809" s="28" t="s">
        <v>6</v>
      </c>
      <c r="J809" s="28" t="s">
        <v>1</v>
      </c>
      <c r="K809" s="40"/>
      <c r="V809" s="39"/>
    </row>
    <row r="810" spans="1:22" x14ac:dyDescent="0.25">
      <c r="A810" s="478" t="s">
        <v>38</v>
      </c>
      <c r="B810" s="482" t="s">
        <v>75</v>
      </c>
      <c r="C810" s="485" t="s">
        <v>78</v>
      </c>
      <c r="D810" s="485">
        <v>0</v>
      </c>
      <c r="E810" s="3">
        <f>E245</f>
        <v>1</v>
      </c>
      <c r="F810" s="3">
        <f>F245</f>
        <v>131.81</v>
      </c>
      <c r="G810" s="5">
        <f>G245</f>
        <v>143.30566590029719</v>
      </c>
      <c r="H810" s="77">
        <v>73.757099999999994</v>
      </c>
      <c r="I810" s="486">
        <f>SUM(G810:G829)</f>
        <v>2714.3599999999988</v>
      </c>
      <c r="J810" s="462">
        <f>J245</f>
        <v>73.23</v>
      </c>
      <c r="K810" s="455">
        <f>K245</f>
        <v>547.75</v>
      </c>
      <c r="V810" s="39"/>
    </row>
    <row r="811" spans="1:22" x14ac:dyDescent="0.25">
      <c r="A811" s="479"/>
      <c r="B811" s="483"/>
      <c r="C811" s="460"/>
      <c r="D811" s="460"/>
      <c r="E811" s="3">
        <f t="shared" ref="E811:G829" si="13">E246</f>
        <v>2</v>
      </c>
      <c r="F811" s="3">
        <f t="shared" si="13"/>
        <v>129.65</v>
      </c>
      <c r="G811" s="5">
        <f t="shared" si="13"/>
        <v>140.95728384776217</v>
      </c>
      <c r="H811" s="77">
        <v>85.619500000000002</v>
      </c>
      <c r="I811" s="487"/>
      <c r="J811" s="463"/>
      <c r="K811" s="455"/>
      <c r="V811" s="39"/>
    </row>
    <row r="812" spans="1:22" x14ac:dyDescent="0.25">
      <c r="A812" s="479"/>
      <c r="B812" s="483"/>
      <c r="C812" s="460"/>
      <c r="D812" s="460"/>
      <c r="E812" s="3">
        <f t="shared" si="13"/>
        <v>3</v>
      </c>
      <c r="F812" s="3">
        <f t="shared" si="13"/>
        <v>124.69</v>
      </c>
      <c r="G812" s="5">
        <f t="shared" si="13"/>
        <v>135.56470283823728</v>
      </c>
      <c r="H812" s="77">
        <v>84.075199999999995</v>
      </c>
      <c r="I812" s="487"/>
      <c r="J812" s="463"/>
      <c r="K812" s="455"/>
      <c r="V812" s="39"/>
    </row>
    <row r="813" spans="1:22" ht="15.75" thickBot="1" x14ac:dyDescent="0.3">
      <c r="A813" s="479"/>
      <c r="B813" s="483"/>
      <c r="C813" s="460"/>
      <c r="D813" s="461"/>
      <c r="E813" s="6">
        <f t="shared" si="13"/>
        <v>4</v>
      </c>
      <c r="F813" s="6">
        <f t="shared" si="13"/>
        <v>88.37</v>
      </c>
      <c r="G813" s="7">
        <f t="shared" si="13"/>
        <v>96.077093510426081</v>
      </c>
      <c r="H813" s="77">
        <v>88.6297</v>
      </c>
      <c r="I813" s="487"/>
      <c r="J813" s="464"/>
      <c r="K813" s="456"/>
      <c r="L813" s="14"/>
      <c r="V813" s="39"/>
    </row>
    <row r="814" spans="1:22" ht="15" customHeight="1" x14ac:dyDescent="0.25">
      <c r="A814" s="479"/>
      <c r="B814" s="483"/>
      <c r="C814" s="460"/>
      <c r="D814" s="459">
        <v>1</v>
      </c>
      <c r="E814" s="72">
        <f t="shared" si="13"/>
        <v>1</v>
      </c>
      <c r="F814" s="72">
        <f t="shared" si="13"/>
        <v>128.69</v>
      </c>
      <c r="G814" s="73">
        <f t="shared" si="13"/>
        <v>139.91355849107993</v>
      </c>
      <c r="H814" s="64"/>
      <c r="I814" s="487"/>
      <c r="J814" s="462">
        <f>J249</f>
        <v>46.84</v>
      </c>
      <c r="K814" s="455">
        <f>K249</f>
        <v>521.79</v>
      </c>
      <c r="L814" s="17"/>
      <c r="V814" s="39"/>
    </row>
    <row r="815" spans="1:22" ht="15" customHeight="1" x14ac:dyDescent="0.25">
      <c r="A815" s="479"/>
      <c r="B815" s="483"/>
      <c r="C815" s="460"/>
      <c r="D815" s="460"/>
      <c r="E815" s="3">
        <f t="shared" si="13"/>
        <v>2</v>
      </c>
      <c r="F815" s="3">
        <f t="shared" si="13"/>
        <v>131.24</v>
      </c>
      <c r="G815" s="5">
        <f t="shared" si="13"/>
        <v>142.6859539697671</v>
      </c>
      <c r="H815" s="64"/>
      <c r="I815" s="487"/>
      <c r="J815" s="463"/>
      <c r="K815" s="455"/>
      <c r="L815" s="17"/>
      <c r="M815" s="29"/>
      <c r="V815" s="39"/>
    </row>
    <row r="816" spans="1:22" ht="15" customHeight="1" x14ac:dyDescent="0.25">
      <c r="A816" s="479"/>
      <c r="B816" s="483"/>
      <c r="C816" s="460"/>
      <c r="D816" s="460"/>
      <c r="E816" s="3">
        <f t="shared" si="13"/>
        <v>3</v>
      </c>
      <c r="F816" s="3">
        <f t="shared" si="13"/>
        <v>126.32</v>
      </c>
      <c r="G816" s="5">
        <f t="shared" si="13"/>
        <v>137.33686151677065</v>
      </c>
      <c r="H816" s="64"/>
      <c r="I816" s="487"/>
      <c r="J816" s="463"/>
      <c r="K816" s="455"/>
      <c r="L816" s="16"/>
      <c r="M816" s="10"/>
      <c r="V816" s="39"/>
    </row>
    <row r="817" spans="1:22" ht="15.75" customHeight="1" thickBot="1" x14ac:dyDescent="0.3">
      <c r="A817" s="479"/>
      <c r="B817" s="483"/>
      <c r="C817" s="460"/>
      <c r="D817" s="461"/>
      <c r="E817" s="6">
        <f t="shared" si="13"/>
        <v>4</v>
      </c>
      <c r="F817" s="6">
        <f t="shared" si="13"/>
        <v>88.69</v>
      </c>
      <c r="G817" s="7">
        <f t="shared" si="13"/>
        <v>96.425001962653482</v>
      </c>
      <c r="H817" s="64"/>
      <c r="I817" s="487"/>
      <c r="J817" s="464"/>
      <c r="K817" s="456"/>
      <c r="L817" s="15"/>
      <c r="V817" s="39"/>
    </row>
    <row r="818" spans="1:22" ht="15" customHeight="1" x14ac:dyDescent="0.25">
      <c r="A818" s="479"/>
      <c r="B818" s="483"/>
      <c r="C818" s="460"/>
      <c r="D818" s="459">
        <v>2</v>
      </c>
      <c r="E818" s="72">
        <f t="shared" si="13"/>
        <v>1</v>
      </c>
      <c r="F818" s="72">
        <f t="shared" si="13"/>
        <v>131.69</v>
      </c>
      <c r="G818" s="73">
        <f t="shared" si="13"/>
        <v>143.17520023071191</v>
      </c>
      <c r="H818" s="64"/>
      <c r="I818" s="487"/>
      <c r="J818" s="462">
        <f>J253</f>
        <v>32.549999999999997</v>
      </c>
      <c r="K818" s="455">
        <f>K253</f>
        <v>549.86</v>
      </c>
      <c r="V818" s="39"/>
    </row>
    <row r="819" spans="1:22" ht="15" customHeight="1" x14ac:dyDescent="0.25">
      <c r="A819" s="479"/>
      <c r="B819" s="483"/>
      <c r="C819" s="460"/>
      <c r="D819" s="460"/>
      <c r="E819" s="3">
        <f t="shared" si="13"/>
        <v>2</v>
      </c>
      <c r="F819" s="3">
        <f t="shared" si="13"/>
        <v>131.69999999999999</v>
      </c>
      <c r="G819" s="5">
        <f t="shared" si="13"/>
        <v>143.186072369844</v>
      </c>
      <c r="H819" s="64"/>
      <c r="I819" s="487"/>
      <c r="J819" s="463"/>
      <c r="K819" s="455"/>
      <c r="V819" s="39"/>
    </row>
    <row r="820" spans="1:22" ht="15" customHeight="1" x14ac:dyDescent="0.25">
      <c r="A820" s="479"/>
      <c r="B820" s="483"/>
      <c r="C820" s="460"/>
      <c r="D820" s="460"/>
      <c r="E820" s="3">
        <f t="shared" si="13"/>
        <v>3</v>
      </c>
      <c r="F820" s="3">
        <f t="shared" si="13"/>
        <v>126.75</v>
      </c>
      <c r="G820" s="5">
        <f t="shared" si="13"/>
        <v>137.80436349945123</v>
      </c>
      <c r="H820" s="64"/>
      <c r="I820" s="487"/>
      <c r="J820" s="463"/>
      <c r="K820" s="455"/>
      <c r="V820" s="39"/>
    </row>
    <row r="821" spans="1:22" ht="15.75" customHeight="1" thickBot="1" x14ac:dyDescent="0.3">
      <c r="A821" s="479"/>
      <c r="B821" s="483"/>
      <c r="C821" s="460"/>
      <c r="D821" s="461"/>
      <c r="E821" s="6">
        <f t="shared" si="13"/>
        <v>4</v>
      </c>
      <c r="F821" s="6">
        <f t="shared" si="13"/>
        <v>127.17</v>
      </c>
      <c r="G821" s="7">
        <f t="shared" si="13"/>
        <v>138.26099334299971</v>
      </c>
      <c r="H821" s="64"/>
      <c r="I821" s="487"/>
      <c r="J821" s="464"/>
      <c r="K821" s="456"/>
      <c r="M821" s="18"/>
      <c r="V821" s="39"/>
    </row>
    <row r="822" spans="1:22" ht="15" customHeight="1" x14ac:dyDescent="0.25">
      <c r="A822" s="479"/>
      <c r="B822" s="483"/>
      <c r="C822" s="460"/>
      <c r="D822" s="459">
        <v>3</v>
      </c>
      <c r="E822" s="72">
        <f t="shared" si="13"/>
        <v>1</v>
      </c>
      <c r="F822" s="72">
        <f t="shared" si="13"/>
        <v>131.59</v>
      </c>
      <c r="G822" s="73">
        <f t="shared" si="13"/>
        <v>143.06647883939084</v>
      </c>
      <c r="H822" s="64"/>
      <c r="I822" s="487"/>
      <c r="J822" s="462">
        <f>J257</f>
        <v>32.549999999999997</v>
      </c>
      <c r="K822" s="455">
        <f>K257</f>
        <v>549.05999999999995</v>
      </c>
      <c r="V822" s="39"/>
    </row>
    <row r="823" spans="1:22" ht="15" customHeight="1" x14ac:dyDescent="0.25">
      <c r="A823" s="479"/>
      <c r="B823" s="483"/>
      <c r="C823" s="460"/>
      <c r="D823" s="460"/>
      <c r="E823" s="3">
        <f t="shared" si="13"/>
        <v>2</v>
      </c>
      <c r="F823" s="3">
        <f t="shared" si="13"/>
        <v>131.4</v>
      </c>
      <c r="G823" s="5">
        <f t="shared" si="13"/>
        <v>142.85990819588082</v>
      </c>
      <c r="H823" s="64"/>
      <c r="I823" s="487"/>
      <c r="J823" s="463"/>
      <c r="K823" s="455"/>
      <c r="V823" s="39"/>
    </row>
    <row r="824" spans="1:22" ht="15" customHeight="1" x14ac:dyDescent="0.25">
      <c r="A824" s="479"/>
      <c r="B824" s="483"/>
      <c r="C824" s="460"/>
      <c r="D824" s="460"/>
      <c r="E824" s="3">
        <f t="shared" si="13"/>
        <v>3</v>
      </c>
      <c r="F824" s="3">
        <f t="shared" si="13"/>
        <v>126.46</v>
      </c>
      <c r="G824" s="5">
        <f t="shared" si="13"/>
        <v>137.48907146462014</v>
      </c>
      <c r="H824" s="64"/>
      <c r="I824" s="487"/>
      <c r="J824" s="463"/>
      <c r="K824" s="455"/>
      <c r="V824" s="39"/>
    </row>
    <row r="825" spans="1:22" ht="15.75" customHeight="1" thickBot="1" x14ac:dyDescent="0.3">
      <c r="A825" s="479"/>
      <c r="B825" s="483"/>
      <c r="C825" s="460"/>
      <c r="D825" s="461"/>
      <c r="E825" s="6">
        <f t="shared" si="13"/>
        <v>4</v>
      </c>
      <c r="F825" s="6">
        <f t="shared" si="13"/>
        <v>127.06</v>
      </c>
      <c r="G825" s="7">
        <f t="shared" si="13"/>
        <v>138.14139981254655</v>
      </c>
      <c r="H825" s="64"/>
      <c r="I825" s="487"/>
      <c r="J825" s="464"/>
      <c r="K825" s="456"/>
      <c r="V825" s="39"/>
    </row>
    <row r="826" spans="1:22" ht="15" customHeight="1" x14ac:dyDescent="0.25">
      <c r="A826" s="479"/>
      <c r="B826" s="483"/>
      <c r="C826" s="460"/>
      <c r="D826" s="459">
        <v>4</v>
      </c>
      <c r="E826" s="70">
        <f t="shared" si="13"/>
        <v>1</v>
      </c>
      <c r="F826" s="70">
        <f t="shared" si="13"/>
        <v>129.63</v>
      </c>
      <c r="G826" s="65">
        <f t="shared" si="13"/>
        <v>140.93553956949793</v>
      </c>
      <c r="H826" s="64"/>
      <c r="I826" s="487"/>
      <c r="J826" s="462">
        <f>J261</f>
        <v>32.549999999999997</v>
      </c>
      <c r="K826" s="455">
        <f>K261</f>
        <v>545.9</v>
      </c>
      <c r="V826" s="39"/>
    </row>
    <row r="827" spans="1:22" ht="15" customHeight="1" x14ac:dyDescent="0.25">
      <c r="A827" s="479"/>
      <c r="B827" s="483"/>
      <c r="C827" s="460"/>
      <c r="D827" s="460"/>
      <c r="E827" s="3">
        <f t="shared" si="13"/>
        <v>2</v>
      </c>
      <c r="F827" s="3">
        <f t="shared" si="13"/>
        <v>131.77000000000001</v>
      </c>
      <c r="G827" s="5">
        <f t="shared" si="13"/>
        <v>143.26217734376877</v>
      </c>
      <c r="H827" s="64"/>
      <c r="I827" s="487"/>
      <c r="J827" s="463"/>
      <c r="K827" s="455"/>
      <c r="V827" s="39"/>
    </row>
    <row r="828" spans="1:22" ht="15" customHeight="1" x14ac:dyDescent="0.25">
      <c r="A828" s="479"/>
      <c r="B828" s="483"/>
      <c r="C828" s="460"/>
      <c r="D828" s="460"/>
      <c r="E828" s="3">
        <f t="shared" si="13"/>
        <v>3</v>
      </c>
      <c r="F828" s="3">
        <f t="shared" si="13"/>
        <v>126.83</v>
      </c>
      <c r="G828" s="5">
        <f t="shared" si="13"/>
        <v>137.89134061250809</v>
      </c>
      <c r="H828" s="64"/>
      <c r="I828" s="487"/>
      <c r="J828" s="463"/>
      <c r="K828" s="455"/>
      <c r="V828" s="39"/>
    </row>
    <row r="829" spans="1:22" ht="15.75" customHeight="1" thickBot="1" x14ac:dyDescent="0.3">
      <c r="A829" s="480"/>
      <c r="B829" s="484"/>
      <c r="C829" s="476"/>
      <c r="D829" s="476"/>
      <c r="E829" s="3">
        <f t="shared" si="13"/>
        <v>4</v>
      </c>
      <c r="F829" s="3">
        <f t="shared" si="13"/>
        <v>125.11</v>
      </c>
      <c r="G829" s="5">
        <f t="shared" si="13"/>
        <v>136.02133268178576</v>
      </c>
      <c r="H829" s="65"/>
      <c r="I829" s="488"/>
      <c r="J829" s="464"/>
      <c r="K829" s="456"/>
      <c r="V829" s="39"/>
    </row>
    <row r="830" spans="1:22" x14ac:dyDescent="0.25">
      <c r="A830" s="43" t="s">
        <v>4</v>
      </c>
      <c r="B830" s="24"/>
      <c r="C830" s="4"/>
      <c r="D830" s="4"/>
      <c r="E830" s="4"/>
      <c r="F830" s="8">
        <f>SUM(F810:F829)</f>
        <v>2496.6200000000003</v>
      </c>
      <c r="G830" s="8"/>
      <c r="H830" s="8"/>
      <c r="I830" s="8">
        <f>K810+K814+K818+K822+K826</f>
        <v>2714.36</v>
      </c>
      <c r="J830" s="8">
        <f>J826+J822+J818+J814+J810</f>
        <v>217.72000000000003</v>
      </c>
      <c r="K830" s="40"/>
      <c r="V830" s="39"/>
    </row>
    <row r="831" spans="1:22" x14ac:dyDescent="0.25">
      <c r="A831" s="37"/>
      <c r="F831" s="18">
        <f>I830/F830</f>
        <v>1.0872139132106606</v>
      </c>
      <c r="I831" s="45"/>
      <c r="J831" s="9">
        <f>(J810+J814+J818+J822+J826)/I830</f>
        <v>8.0210436345952638E-2</v>
      </c>
      <c r="K831" s="40"/>
      <c r="V831" s="39"/>
    </row>
    <row r="832" spans="1:22" x14ac:dyDescent="0.25">
      <c r="A832" s="37"/>
      <c r="V832" s="39"/>
    </row>
    <row r="833" spans="1:22" ht="15.75" thickBot="1" x14ac:dyDescent="0.3">
      <c r="A833" s="47"/>
      <c r="B833" s="48"/>
      <c r="C833" s="49"/>
      <c r="D833" s="49"/>
      <c r="E833" s="49"/>
      <c r="F833" s="50"/>
      <c r="G833" s="50"/>
      <c r="H833" s="50"/>
      <c r="I833" s="50"/>
      <c r="J833" s="50"/>
      <c r="K833" s="50"/>
      <c r="L833" s="49"/>
      <c r="M833" s="49"/>
      <c r="N833" s="49"/>
      <c r="O833" s="49"/>
      <c r="P833" s="49"/>
      <c r="Q833" s="49"/>
      <c r="R833" s="49"/>
      <c r="S833" s="49"/>
      <c r="T833" s="49"/>
      <c r="U833" s="49"/>
      <c r="V833" s="51"/>
    </row>
    <row r="835" spans="1:22" ht="15.75" thickBot="1" x14ac:dyDescent="0.3"/>
    <row r="836" spans="1:22" x14ac:dyDescent="0.25">
      <c r="A836" s="31"/>
      <c r="B836" s="32"/>
      <c r="C836" s="33"/>
      <c r="D836" s="33"/>
      <c r="E836" s="33"/>
      <c r="F836" s="34"/>
      <c r="G836" s="34"/>
      <c r="H836" s="34"/>
      <c r="I836" s="34"/>
      <c r="J836" s="34"/>
      <c r="K836" s="34"/>
      <c r="L836" s="33"/>
      <c r="M836" s="33"/>
      <c r="N836" s="33"/>
      <c r="O836" s="33"/>
      <c r="P836" s="33"/>
      <c r="Q836" s="33"/>
      <c r="R836" s="33"/>
      <c r="S836" s="33"/>
      <c r="T836" s="33"/>
      <c r="U836" s="33"/>
      <c r="V836" s="36"/>
    </row>
    <row r="837" spans="1:22" x14ac:dyDescent="0.25">
      <c r="A837" s="37"/>
      <c r="L837" s="52" t="s">
        <v>0</v>
      </c>
      <c r="M837" s="497" t="s">
        <v>79</v>
      </c>
      <c r="N837" s="497"/>
      <c r="O837" s="497"/>
      <c r="Q837" s="477"/>
      <c r="R837" s="477"/>
      <c r="S837" s="59"/>
      <c r="V837" s="39"/>
    </row>
    <row r="838" spans="1:22" x14ac:dyDescent="0.25">
      <c r="A838" s="37"/>
      <c r="L838" s="38" t="s">
        <v>14</v>
      </c>
      <c r="M838" s="477" t="s">
        <v>12</v>
      </c>
      <c r="N838" s="477"/>
      <c r="O838" s="477" t="s">
        <v>12</v>
      </c>
      <c r="P838" s="477"/>
      <c r="Q838" s="477" t="s">
        <v>12</v>
      </c>
      <c r="R838" s="477"/>
      <c r="S838" s="59"/>
      <c r="V838" s="39"/>
    </row>
    <row r="839" spans="1:22" x14ac:dyDescent="0.25">
      <c r="A839" s="37"/>
      <c r="L839" s="38"/>
      <c r="S839" s="59"/>
      <c r="V839" s="39"/>
    </row>
    <row r="840" spans="1:22" x14ac:dyDescent="0.25">
      <c r="A840" s="37"/>
      <c r="L840" s="499" t="s">
        <v>11</v>
      </c>
      <c r="M840" s="21">
        <v>3</v>
      </c>
      <c r="N840" s="21">
        <v>2</v>
      </c>
      <c r="O840" s="20">
        <v>3</v>
      </c>
      <c r="P840" s="20">
        <v>2</v>
      </c>
      <c r="Q840" s="21">
        <v>3</v>
      </c>
      <c r="R840" s="21">
        <v>2</v>
      </c>
      <c r="S840" s="59"/>
      <c r="V840" s="39"/>
    </row>
    <row r="841" spans="1:22" x14ac:dyDescent="0.25">
      <c r="A841" s="37"/>
      <c r="L841" s="499"/>
      <c r="M841" s="21">
        <v>4</v>
      </c>
      <c r="N841" s="21">
        <v>1</v>
      </c>
      <c r="O841" s="20">
        <v>4</v>
      </c>
      <c r="P841" s="20">
        <v>1</v>
      </c>
      <c r="Q841" s="21">
        <v>4</v>
      </c>
      <c r="R841" s="21">
        <v>1</v>
      </c>
      <c r="S841" s="59"/>
      <c r="V841" s="39"/>
    </row>
    <row r="842" spans="1:22" x14ac:dyDescent="0.25">
      <c r="A842" s="37"/>
      <c r="L842" s="38"/>
      <c r="S842" s="59"/>
      <c r="V842" s="39"/>
    </row>
    <row r="843" spans="1:22" x14ac:dyDescent="0.25">
      <c r="A843" s="37"/>
      <c r="L843" s="38" t="s">
        <v>14</v>
      </c>
      <c r="M843" s="477" t="s">
        <v>13</v>
      </c>
      <c r="N843" s="477"/>
      <c r="O843" s="477" t="s">
        <v>13</v>
      </c>
      <c r="P843" s="477"/>
      <c r="Q843" s="477" t="s">
        <v>13</v>
      </c>
      <c r="R843" s="477"/>
      <c r="S843" s="59"/>
      <c r="V843" s="39"/>
    </row>
    <row r="844" spans="1:22" ht="18.75" x14ac:dyDescent="0.3">
      <c r="A844" s="457" t="s">
        <v>32</v>
      </c>
      <c r="B844" s="458"/>
      <c r="C844" s="458"/>
      <c r="D844" s="458"/>
      <c r="E844" s="458"/>
      <c r="F844" s="458"/>
      <c r="G844" s="458"/>
      <c r="H844" s="458"/>
      <c r="I844" s="458"/>
      <c r="J844" s="458"/>
      <c r="K844" s="40"/>
      <c r="M844" s="477"/>
      <c r="N844" s="477"/>
      <c r="O844" s="477"/>
      <c r="P844" s="477"/>
      <c r="S844" s="59"/>
      <c r="V844" s="39"/>
    </row>
    <row r="845" spans="1:22" ht="30" x14ac:dyDescent="0.25">
      <c r="A845" s="41" t="s">
        <v>9</v>
      </c>
      <c r="B845" s="23" t="s">
        <v>7</v>
      </c>
      <c r="C845" s="2" t="s">
        <v>8</v>
      </c>
      <c r="D845" s="2" t="s">
        <v>10</v>
      </c>
      <c r="E845" s="1" t="s">
        <v>2</v>
      </c>
      <c r="F845" s="19" t="s">
        <v>3</v>
      </c>
      <c r="G845" s="19" t="s">
        <v>5</v>
      </c>
      <c r="H845" s="19" t="s">
        <v>57</v>
      </c>
      <c r="I845" s="28" t="s">
        <v>6</v>
      </c>
      <c r="J845" s="28" t="s">
        <v>1</v>
      </c>
      <c r="K845" s="40"/>
      <c r="S845" s="59"/>
      <c r="V845" s="39"/>
    </row>
    <row r="846" spans="1:22" x14ac:dyDescent="0.25">
      <c r="A846" s="478" t="s">
        <v>33</v>
      </c>
      <c r="B846" s="482" t="s">
        <v>80</v>
      </c>
      <c r="C846" s="485" t="s">
        <v>81</v>
      </c>
      <c r="D846" s="485">
        <v>0</v>
      </c>
      <c r="E846" s="3">
        <f>E281</f>
        <v>1</v>
      </c>
      <c r="F846" s="3">
        <f>F281</f>
        <v>144.66300000000001</v>
      </c>
      <c r="G846" s="5">
        <f>G281</f>
        <v>160.2974096687947</v>
      </c>
      <c r="H846" s="76">
        <v>77.696799999999996</v>
      </c>
      <c r="I846" s="486">
        <f>SUM(G846:G865)</f>
        <v>3405.067</v>
      </c>
      <c r="J846" s="462">
        <f>J281</f>
        <v>99.266000000000005</v>
      </c>
      <c r="K846" s="455">
        <f>K281</f>
        <v>685.81200000000001</v>
      </c>
      <c r="L846" s="42"/>
      <c r="V846" s="39"/>
    </row>
    <row r="847" spans="1:22" x14ac:dyDescent="0.25">
      <c r="A847" s="479"/>
      <c r="B847" s="483"/>
      <c r="C847" s="460"/>
      <c r="D847" s="460"/>
      <c r="E847" s="3">
        <f t="shared" ref="E847:G865" si="14">E282</f>
        <v>2</v>
      </c>
      <c r="F847" s="3">
        <f t="shared" si="14"/>
        <v>183.887</v>
      </c>
      <c r="G847" s="5">
        <f t="shared" si="14"/>
        <v>203.76053152337258</v>
      </c>
      <c r="H847" s="76">
        <v>56.4666</v>
      </c>
      <c r="I847" s="487"/>
      <c r="J847" s="463"/>
      <c r="K847" s="455"/>
      <c r="L847" s="42"/>
      <c r="V847" s="39"/>
    </row>
    <row r="848" spans="1:22" x14ac:dyDescent="0.25">
      <c r="A848" s="479"/>
      <c r="B848" s="483"/>
      <c r="C848" s="460"/>
      <c r="D848" s="460"/>
      <c r="E848" s="3">
        <f t="shared" si="14"/>
        <v>3</v>
      </c>
      <c r="F848" s="3">
        <f t="shared" si="14"/>
        <v>162.78100000000001</v>
      </c>
      <c r="G848" s="5">
        <f t="shared" si="14"/>
        <v>180.37350700107191</v>
      </c>
      <c r="H848" s="76">
        <v>77.576999999999998</v>
      </c>
      <c r="I848" s="487"/>
      <c r="J848" s="463"/>
      <c r="K848" s="455"/>
      <c r="L848" s="42"/>
      <c r="V848" s="39"/>
    </row>
    <row r="849" spans="1:22" ht="15.75" thickBot="1" x14ac:dyDescent="0.3">
      <c r="A849" s="479"/>
      <c r="B849" s="483"/>
      <c r="C849" s="460"/>
      <c r="D849" s="461"/>
      <c r="E849" s="6">
        <f t="shared" si="14"/>
        <v>4</v>
      </c>
      <c r="F849" s="6">
        <f t="shared" si="14"/>
        <v>95.213999999999999</v>
      </c>
      <c r="G849" s="7">
        <f t="shared" si="14"/>
        <v>105.50422405317612</v>
      </c>
      <c r="H849" s="76">
        <v>61.981200000000001</v>
      </c>
      <c r="I849" s="487"/>
      <c r="J849" s="464"/>
      <c r="K849" s="456"/>
      <c r="L849" s="42"/>
      <c r="V849" s="39"/>
    </row>
    <row r="850" spans="1:22" ht="15" customHeight="1" x14ac:dyDescent="0.25">
      <c r="A850" s="479"/>
      <c r="B850" s="483"/>
      <c r="C850" s="460"/>
      <c r="D850" s="459">
        <v>1</v>
      </c>
      <c r="E850" s="72">
        <f t="shared" si="14"/>
        <v>1</v>
      </c>
      <c r="F850" s="72">
        <f t="shared" si="14"/>
        <v>141.66300000000001</v>
      </c>
      <c r="G850" s="73">
        <f t="shared" si="14"/>
        <v>156.9731855824258</v>
      </c>
      <c r="H850" s="69"/>
      <c r="I850" s="487"/>
      <c r="J850" s="462">
        <f>J285</f>
        <v>73.486999999999995</v>
      </c>
      <c r="K850" s="455">
        <f>K285</f>
        <v>657.59</v>
      </c>
      <c r="L850" s="56"/>
      <c r="V850" s="39"/>
    </row>
    <row r="851" spans="1:22" ht="15" customHeight="1" x14ac:dyDescent="0.25">
      <c r="A851" s="479"/>
      <c r="B851" s="483"/>
      <c r="C851" s="460"/>
      <c r="D851" s="460"/>
      <c r="E851" s="3">
        <f t="shared" si="14"/>
        <v>2</v>
      </c>
      <c r="F851" s="3">
        <f t="shared" si="14"/>
        <v>183.637</v>
      </c>
      <c r="G851" s="5">
        <f t="shared" si="14"/>
        <v>203.48351284950851</v>
      </c>
      <c r="H851" s="69"/>
      <c r="I851" s="487"/>
      <c r="J851" s="463"/>
      <c r="K851" s="455"/>
      <c r="L851" s="56"/>
      <c r="V851" s="39"/>
    </row>
    <row r="852" spans="1:22" ht="15" customHeight="1" x14ac:dyDescent="0.25">
      <c r="A852" s="479"/>
      <c r="B852" s="483"/>
      <c r="C852" s="460"/>
      <c r="D852" s="460"/>
      <c r="E852" s="3">
        <f t="shared" si="14"/>
        <v>3</v>
      </c>
      <c r="F852" s="3">
        <f t="shared" si="14"/>
        <v>162.53100000000001</v>
      </c>
      <c r="G852" s="5">
        <f t="shared" si="14"/>
        <v>180.09648832720785</v>
      </c>
      <c r="H852" s="69"/>
      <c r="I852" s="487"/>
      <c r="J852" s="463"/>
      <c r="K852" s="455"/>
      <c r="L852" s="57"/>
      <c r="V852" s="39"/>
    </row>
    <row r="853" spans="1:22" ht="15.75" customHeight="1" thickBot="1" x14ac:dyDescent="0.3">
      <c r="A853" s="479"/>
      <c r="B853" s="483"/>
      <c r="C853" s="460"/>
      <c r="D853" s="461"/>
      <c r="E853" s="6">
        <f t="shared" si="14"/>
        <v>4</v>
      </c>
      <c r="F853" s="6">
        <f t="shared" si="14"/>
        <v>96.271000000000001</v>
      </c>
      <c r="G853" s="7">
        <f t="shared" si="14"/>
        <v>106.67545900627343</v>
      </c>
      <c r="H853" s="69"/>
      <c r="I853" s="487"/>
      <c r="J853" s="464"/>
      <c r="K853" s="456"/>
      <c r="L853" s="58"/>
      <c r="V853" s="39"/>
    </row>
    <row r="854" spans="1:22" ht="15" customHeight="1" x14ac:dyDescent="0.25">
      <c r="A854" s="479"/>
      <c r="B854" s="483"/>
      <c r="C854" s="460"/>
      <c r="D854" s="459">
        <v>2</v>
      </c>
      <c r="E854" s="72">
        <f t="shared" si="14"/>
        <v>1</v>
      </c>
      <c r="F854" s="72">
        <f t="shared" si="14"/>
        <v>143.989</v>
      </c>
      <c r="G854" s="73">
        <f t="shared" si="14"/>
        <v>159.55056732405714</v>
      </c>
      <c r="H854" s="69"/>
      <c r="I854" s="487"/>
      <c r="J854" s="462">
        <f>J289</f>
        <v>53.119</v>
      </c>
      <c r="K854" s="455">
        <f>K289</f>
        <v>692.56700000000001</v>
      </c>
      <c r="L854" s="42"/>
      <c r="V854" s="39"/>
    </row>
    <row r="855" spans="1:22" ht="15" customHeight="1" x14ac:dyDescent="0.25">
      <c r="A855" s="479"/>
      <c r="B855" s="483"/>
      <c r="C855" s="460"/>
      <c r="D855" s="460"/>
      <c r="E855" s="3">
        <f t="shared" si="14"/>
        <v>2</v>
      </c>
      <c r="F855" s="3">
        <f t="shared" si="14"/>
        <v>187.1</v>
      </c>
      <c r="G855" s="5">
        <f t="shared" si="14"/>
        <v>207.32077551987365</v>
      </c>
      <c r="H855" s="69"/>
      <c r="I855" s="487"/>
      <c r="J855" s="463"/>
      <c r="K855" s="455"/>
      <c r="L855" s="42"/>
      <c r="V855" s="39"/>
    </row>
    <row r="856" spans="1:22" ht="15" customHeight="1" x14ac:dyDescent="0.25">
      <c r="A856" s="479"/>
      <c r="B856" s="483"/>
      <c r="C856" s="460"/>
      <c r="D856" s="460"/>
      <c r="E856" s="3">
        <f t="shared" si="14"/>
        <v>3</v>
      </c>
      <c r="F856" s="3">
        <f t="shared" si="14"/>
        <v>167.16900000000001</v>
      </c>
      <c r="G856" s="5">
        <f t="shared" si="14"/>
        <v>185.23573876473418</v>
      </c>
      <c r="H856" s="69"/>
      <c r="I856" s="487"/>
      <c r="J856" s="463"/>
      <c r="K856" s="455"/>
      <c r="L856" s="42"/>
      <c r="V856" s="39"/>
    </row>
    <row r="857" spans="1:22" ht="15.75" customHeight="1" thickBot="1" x14ac:dyDescent="0.3">
      <c r="A857" s="479"/>
      <c r="B857" s="483"/>
      <c r="C857" s="460"/>
      <c r="D857" s="461"/>
      <c r="E857" s="6">
        <f t="shared" si="14"/>
        <v>4</v>
      </c>
      <c r="F857" s="6">
        <f t="shared" si="14"/>
        <v>141.18700000000001</v>
      </c>
      <c r="G857" s="7">
        <f t="shared" si="14"/>
        <v>156.4457420273886</v>
      </c>
      <c r="H857" s="69"/>
      <c r="I857" s="487"/>
      <c r="J857" s="464"/>
      <c r="K857" s="456"/>
      <c r="L857" s="42"/>
      <c r="Q857" s="18"/>
      <c r="V857" s="39"/>
    </row>
    <row r="858" spans="1:22" ht="15" customHeight="1" x14ac:dyDescent="0.25">
      <c r="A858" s="479"/>
      <c r="B858" s="483"/>
      <c r="C858" s="460"/>
      <c r="D858" s="459">
        <v>3</v>
      </c>
      <c r="E858" s="72">
        <f t="shared" si="14"/>
        <v>1</v>
      </c>
      <c r="F858" s="72">
        <f t="shared" si="14"/>
        <v>143.89599999999999</v>
      </c>
      <c r="G858" s="73">
        <f t="shared" si="14"/>
        <v>159.44751637737969</v>
      </c>
      <c r="H858" s="69"/>
      <c r="I858" s="487"/>
      <c r="J858" s="462">
        <f>J293</f>
        <v>53.12</v>
      </c>
      <c r="K858" s="455">
        <f>K293</f>
        <v>689.70799999999997</v>
      </c>
      <c r="L858" s="42"/>
      <c r="V858" s="39"/>
    </row>
    <row r="859" spans="1:22" ht="15" customHeight="1" x14ac:dyDescent="0.25">
      <c r="A859" s="479"/>
      <c r="B859" s="483"/>
      <c r="C859" s="460"/>
      <c r="D859" s="460"/>
      <c r="E859" s="3">
        <f t="shared" si="14"/>
        <v>2</v>
      </c>
      <c r="F859" s="3">
        <f t="shared" si="14"/>
        <v>187.20400000000001</v>
      </c>
      <c r="G859" s="5">
        <f t="shared" si="14"/>
        <v>207.43601528820113</v>
      </c>
      <c r="H859" s="69"/>
      <c r="I859" s="487"/>
      <c r="J859" s="463"/>
      <c r="K859" s="455"/>
      <c r="L859" s="42"/>
      <c r="V859" s="39"/>
    </row>
    <row r="860" spans="1:22" ht="15" customHeight="1" x14ac:dyDescent="0.25">
      <c r="A860" s="479"/>
      <c r="B860" s="483"/>
      <c r="C860" s="460"/>
      <c r="D860" s="460"/>
      <c r="E860" s="3">
        <f t="shared" si="14"/>
        <v>3</v>
      </c>
      <c r="F860" s="3">
        <f t="shared" si="14"/>
        <v>164.417</v>
      </c>
      <c r="G860" s="5">
        <f t="shared" si="14"/>
        <v>182.18631720283841</v>
      </c>
      <c r="H860" s="69"/>
      <c r="I860" s="487"/>
      <c r="J860" s="463"/>
      <c r="K860" s="455"/>
      <c r="L860" s="42"/>
      <c r="V860" s="39"/>
    </row>
    <row r="861" spans="1:22" ht="15.75" customHeight="1" thickBot="1" x14ac:dyDescent="0.3">
      <c r="A861" s="479"/>
      <c r="B861" s="483"/>
      <c r="C861" s="460"/>
      <c r="D861" s="461"/>
      <c r="E861" s="6">
        <f t="shared" si="14"/>
        <v>4</v>
      </c>
      <c r="F861" s="6">
        <f t="shared" si="14"/>
        <v>141.07300000000001</v>
      </c>
      <c r="G861" s="7">
        <f t="shared" si="14"/>
        <v>156.31942151210657</v>
      </c>
      <c r="H861" s="69"/>
      <c r="I861" s="487"/>
      <c r="J861" s="464"/>
      <c r="K861" s="456"/>
      <c r="L861" s="42"/>
      <c r="V861" s="39"/>
    </row>
    <row r="862" spans="1:22" ht="18.75" customHeight="1" x14ac:dyDescent="0.3">
      <c r="A862" s="479"/>
      <c r="B862" s="483"/>
      <c r="C862" s="460"/>
      <c r="D862" s="460">
        <v>4</v>
      </c>
      <c r="E862" s="70">
        <f t="shared" si="14"/>
        <v>1</v>
      </c>
      <c r="F862" s="70">
        <f t="shared" si="14"/>
        <v>141.929</v>
      </c>
      <c r="G862" s="65">
        <f t="shared" si="14"/>
        <v>157.26793345141715</v>
      </c>
      <c r="H862" s="69"/>
      <c r="I862" s="487"/>
      <c r="J862" s="462">
        <f>J297</f>
        <v>53.12</v>
      </c>
      <c r="K862" s="455">
        <f>K297</f>
        <v>679.39</v>
      </c>
      <c r="L862" s="42"/>
      <c r="Q862" s="481" t="s">
        <v>34</v>
      </c>
      <c r="R862" s="481"/>
      <c r="S862" s="60"/>
      <c r="V862" s="39"/>
    </row>
    <row r="863" spans="1:22" ht="15" customHeight="1" x14ac:dyDescent="0.25">
      <c r="A863" s="479"/>
      <c r="B863" s="483"/>
      <c r="C863" s="460"/>
      <c r="D863" s="460"/>
      <c r="E863" s="3">
        <f t="shared" si="14"/>
        <v>2</v>
      </c>
      <c r="F863" s="3">
        <f t="shared" si="14"/>
        <v>182.57</v>
      </c>
      <c r="G863" s="5">
        <f t="shared" si="14"/>
        <v>202.30119714945661</v>
      </c>
      <c r="H863" s="69"/>
      <c r="I863" s="487"/>
      <c r="J863" s="463"/>
      <c r="K863" s="455"/>
      <c r="L863" s="42"/>
      <c r="Q863" s="61"/>
      <c r="R863" s="62" t="s">
        <v>35</v>
      </c>
      <c r="S863" s="62"/>
      <c r="V863" s="39"/>
    </row>
    <row r="864" spans="1:22" ht="15" customHeight="1" x14ac:dyDescent="0.25">
      <c r="A864" s="479"/>
      <c r="B864" s="483"/>
      <c r="C864" s="460"/>
      <c r="D864" s="460"/>
      <c r="E864" s="3">
        <f t="shared" si="14"/>
        <v>3</v>
      </c>
      <c r="F864" s="3">
        <f t="shared" si="14"/>
        <v>162.65</v>
      </c>
      <c r="G864" s="5">
        <f t="shared" si="14"/>
        <v>180.22834921596714</v>
      </c>
      <c r="H864" s="69"/>
      <c r="I864" s="487"/>
      <c r="J864" s="463"/>
      <c r="K864" s="455"/>
      <c r="L864" s="42"/>
      <c r="V864" s="39"/>
    </row>
    <row r="865" spans="1:22" ht="15.75" customHeight="1" thickBot="1" x14ac:dyDescent="0.3">
      <c r="A865" s="480"/>
      <c r="B865" s="484"/>
      <c r="C865" s="476"/>
      <c r="D865" s="476"/>
      <c r="E865" s="3">
        <f t="shared" si="14"/>
        <v>4</v>
      </c>
      <c r="F865" s="3">
        <f t="shared" si="14"/>
        <v>139.12700000000001</v>
      </c>
      <c r="G865" s="5">
        <f t="shared" si="14"/>
        <v>154.16310815474861</v>
      </c>
      <c r="H865" s="70"/>
      <c r="I865" s="488"/>
      <c r="J865" s="464"/>
      <c r="K865" s="456"/>
      <c r="L865" s="42"/>
      <c r="V865" s="39"/>
    </row>
    <row r="866" spans="1:22" x14ac:dyDescent="0.25">
      <c r="A866" s="43" t="s">
        <v>4</v>
      </c>
      <c r="B866" s="24"/>
      <c r="C866" s="4"/>
      <c r="D866" s="4"/>
      <c r="E866" s="4"/>
      <c r="F866" s="8">
        <f>SUM(F846:F865)</f>
        <v>3072.9580000000001</v>
      </c>
      <c r="G866" s="8"/>
      <c r="H866" s="8"/>
      <c r="I866" s="8">
        <f>K846+K850+K854+K858+K862</f>
        <v>3405.067</v>
      </c>
      <c r="J866" s="8">
        <f>J862+J858+J854+J850+J846</f>
        <v>332.11199999999997</v>
      </c>
      <c r="K866" s="40"/>
      <c r="L866" s="44"/>
      <c r="V866" s="39"/>
    </row>
    <row r="867" spans="1:22" x14ac:dyDescent="0.25">
      <c r="A867" s="37"/>
      <c r="F867" s="18">
        <f>I866/F866</f>
        <v>1.1080746954562997</v>
      </c>
      <c r="I867" s="45"/>
      <c r="J867" s="9">
        <f>(J846+J850+J854+J858+J862)/I866</f>
        <v>9.7534644692747599E-2</v>
      </c>
      <c r="V867" s="39"/>
    </row>
    <row r="868" spans="1:22" x14ac:dyDescent="0.25">
      <c r="A868" s="37"/>
      <c r="V868" s="39"/>
    </row>
    <row r="869" spans="1:22" x14ac:dyDescent="0.25">
      <c r="A869" s="37"/>
      <c r="V869" s="39"/>
    </row>
    <row r="870" spans="1:22" ht="18.75" x14ac:dyDescent="0.3">
      <c r="A870" s="457" t="s">
        <v>32</v>
      </c>
      <c r="B870" s="458"/>
      <c r="C870" s="458"/>
      <c r="D870" s="458"/>
      <c r="E870" s="458"/>
      <c r="F870" s="458"/>
      <c r="G870" s="458"/>
      <c r="H870" s="458"/>
      <c r="I870" s="458"/>
      <c r="J870" s="458"/>
      <c r="K870" s="46"/>
      <c r="V870" s="39"/>
    </row>
    <row r="871" spans="1:22" ht="30" x14ac:dyDescent="0.25">
      <c r="A871" s="41" t="s">
        <v>9</v>
      </c>
      <c r="B871" s="23" t="s">
        <v>7</v>
      </c>
      <c r="C871" s="2" t="s">
        <v>8</v>
      </c>
      <c r="D871" s="2" t="s">
        <v>10</v>
      </c>
      <c r="E871" s="1" t="s">
        <v>2</v>
      </c>
      <c r="F871" s="19" t="s">
        <v>3</v>
      </c>
      <c r="G871" s="19" t="s">
        <v>5</v>
      </c>
      <c r="H871" s="19" t="s">
        <v>57</v>
      </c>
      <c r="I871" s="28" t="s">
        <v>6</v>
      </c>
      <c r="J871" s="28" t="s">
        <v>1</v>
      </c>
      <c r="K871" s="46"/>
      <c r="V871" s="39"/>
    </row>
    <row r="872" spans="1:22" x14ac:dyDescent="0.25">
      <c r="A872" s="478" t="s">
        <v>33</v>
      </c>
      <c r="B872" s="482" t="s">
        <v>80</v>
      </c>
      <c r="C872" s="485" t="s">
        <v>82</v>
      </c>
      <c r="D872" s="485">
        <v>0</v>
      </c>
      <c r="E872" s="3">
        <f>E307</f>
        <v>1</v>
      </c>
      <c r="F872" s="3">
        <f>F307</f>
        <v>141.82499999999999</v>
      </c>
      <c r="G872" s="5">
        <f>G307</f>
        <v>159.0528991060259</v>
      </c>
      <c r="H872" s="76">
        <v>78.601100000000002</v>
      </c>
      <c r="I872" s="486">
        <f>SUM(G872:G891)</f>
        <v>3065.95</v>
      </c>
      <c r="J872" s="462">
        <f>J307</f>
        <v>99.266000000000005</v>
      </c>
      <c r="K872" s="465">
        <f>K307</f>
        <v>620.59799999999996</v>
      </c>
      <c r="V872" s="39"/>
    </row>
    <row r="873" spans="1:22" x14ac:dyDescent="0.25">
      <c r="A873" s="479"/>
      <c r="B873" s="483"/>
      <c r="C873" s="460"/>
      <c r="D873" s="460"/>
      <c r="E873" s="3">
        <f t="shared" ref="E873:G891" si="15">E308</f>
        <v>2</v>
      </c>
      <c r="F873" s="71">
        <f t="shared" si="15"/>
        <v>142.05600000000001</v>
      </c>
      <c r="G873" s="5">
        <f t="shared" si="15"/>
        <v>159.31195935417324</v>
      </c>
      <c r="H873" s="76">
        <v>97.868200000000002</v>
      </c>
      <c r="I873" s="487"/>
      <c r="J873" s="463"/>
      <c r="K873" s="465"/>
      <c r="V873" s="39"/>
    </row>
    <row r="874" spans="1:22" x14ac:dyDescent="0.25">
      <c r="A874" s="479"/>
      <c r="B874" s="483"/>
      <c r="C874" s="460"/>
      <c r="D874" s="460"/>
      <c r="E874" s="3">
        <f t="shared" si="15"/>
        <v>3</v>
      </c>
      <c r="F874" s="71">
        <f t="shared" si="15"/>
        <v>142.197</v>
      </c>
      <c r="G874" s="5">
        <f t="shared" si="15"/>
        <v>159.47008703810729</v>
      </c>
      <c r="H874" s="76">
        <v>97.259299999999996</v>
      </c>
      <c r="I874" s="487"/>
      <c r="J874" s="463"/>
      <c r="K874" s="465"/>
      <c r="V874" s="39"/>
    </row>
    <row r="875" spans="1:22" ht="15.75" thickBot="1" x14ac:dyDescent="0.3">
      <c r="A875" s="479"/>
      <c r="B875" s="483"/>
      <c r="C875" s="460"/>
      <c r="D875" s="461"/>
      <c r="E875" s="6">
        <f t="shared" si="15"/>
        <v>4</v>
      </c>
      <c r="F875" s="6">
        <f t="shared" si="15"/>
        <v>95.254000000000005</v>
      </c>
      <c r="G875" s="7">
        <f t="shared" si="15"/>
        <v>106.82478301741861</v>
      </c>
      <c r="H875" s="76">
        <v>63.399000000000001</v>
      </c>
      <c r="I875" s="487"/>
      <c r="J875" s="464"/>
      <c r="K875" s="466"/>
      <c r="L875" s="14"/>
      <c r="V875" s="39"/>
    </row>
    <row r="876" spans="1:22" ht="15" customHeight="1" x14ac:dyDescent="0.25">
      <c r="A876" s="479"/>
      <c r="B876" s="483"/>
      <c r="C876" s="460"/>
      <c r="D876" s="459">
        <v>1</v>
      </c>
      <c r="E876" s="72">
        <f t="shared" si="15"/>
        <v>1</v>
      </c>
      <c r="F876" s="72">
        <f t="shared" si="15"/>
        <v>142.977</v>
      </c>
      <c r="G876" s="73">
        <f t="shared" si="15"/>
        <v>160.34483592795536</v>
      </c>
      <c r="H876" s="69"/>
      <c r="I876" s="487"/>
      <c r="J876" s="462">
        <f>J311</f>
        <v>73.486999999999995</v>
      </c>
      <c r="K876" s="465">
        <f>K311</f>
        <v>592.05999999999995</v>
      </c>
      <c r="L876" s="17"/>
      <c r="V876" s="39"/>
    </row>
    <row r="877" spans="1:22" ht="15" customHeight="1" x14ac:dyDescent="0.25">
      <c r="A877" s="479"/>
      <c r="B877" s="483"/>
      <c r="C877" s="460"/>
      <c r="D877" s="460"/>
      <c r="E877" s="3">
        <f t="shared" si="15"/>
        <v>2</v>
      </c>
      <c r="F877" s="71">
        <f t="shared" si="15"/>
        <v>139.572</v>
      </c>
      <c r="G877" s="5">
        <f t="shared" si="15"/>
        <v>156.52622058188788</v>
      </c>
      <c r="H877" s="69"/>
      <c r="I877" s="487"/>
      <c r="J877" s="463"/>
      <c r="K877" s="465"/>
      <c r="L877" s="17"/>
      <c r="V877" s="39"/>
    </row>
    <row r="878" spans="1:22" ht="15" customHeight="1" x14ac:dyDescent="0.25">
      <c r="A878" s="479"/>
      <c r="B878" s="483"/>
      <c r="C878" s="460"/>
      <c r="D878" s="460"/>
      <c r="E878" s="3">
        <f t="shared" si="15"/>
        <v>3</v>
      </c>
      <c r="F878" s="71">
        <f t="shared" si="15"/>
        <v>139.71199999999999</v>
      </c>
      <c r="G878" s="5">
        <f t="shared" si="15"/>
        <v>156.68322679288624</v>
      </c>
      <c r="H878" s="69"/>
      <c r="I878" s="487"/>
      <c r="J878" s="463"/>
      <c r="K878" s="465"/>
      <c r="L878" s="16"/>
      <c r="V878" s="39"/>
    </row>
    <row r="879" spans="1:22" ht="15.75" customHeight="1" thickBot="1" x14ac:dyDescent="0.3">
      <c r="A879" s="479"/>
      <c r="B879" s="483"/>
      <c r="C879" s="460"/>
      <c r="D879" s="461"/>
      <c r="E879" s="6">
        <f t="shared" si="15"/>
        <v>4</v>
      </c>
      <c r="F879" s="6">
        <f t="shared" si="15"/>
        <v>96.311000000000007</v>
      </c>
      <c r="G879" s="7">
        <f t="shared" si="15"/>
        <v>108.01017991045629</v>
      </c>
      <c r="H879" s="69"/>
      <c r="I879" s="487"/>
      <c r="J879" s="464"/>
      <c r="K879" s="466"/>
      <c r="L879" s="15"/>
      <c r="V879" s="39"/>
    </row>
    <row r="880" spans="1:22" ht="15" customHeight="1" x14ac:dyDescent="0.25">
      <c r="A880" s="479"/>
      <c r="B880" s="483"/>
      <c r="C880" s="460"/>
      <c r="D880" s="459">
        <v>2</v>
      </c>
      <c r="E880" s="72">
        <f t="shared" si="15"/>
        <v>1</v>
      </c>
      <c r="F880" s="72">
        <f t="shared" si="15"/>
        <v>141.18700000000001</v>
      </c>
      <c r="G880" s="73">
        <f t="shared" si="15"/>
        <v>158.33739937304765</v>
      </c>
      <c r="H880" s="69"/>
      <c r="I880" s="487"/>
      <c r="J880" s="462">
        <f>J315</f>
        <v>53.119</v>
      </c>
      <c r="K880" s="465">
        <f>K315</f>
        <v>618.55200000000002</v>
      </c>
      <c r="V880" s="39"/>
    </row>
    <row r="881" spans="1:22" ht="15" customHeight="1" x14ac:dyDescent="0.25">
      <c r="A881" s="479"/>
      <c r="B881" s="483"/>
      <c r="C881" s="460"/>
      <c r="D881" s="460"/>
      <c r="E881" s="3">
        <f t="shared" si="15"/>
        <v>2</v>
      </c>
      <c r="F881" s="3">
        <f t="shared" si="15"/>
        <v>141.446</v>
      </c>
      <c r="G881" s="5">
        <f t="shared" si="15"/>
        <v>158.62786086339463</v>
      </c>
      <c r="H881" s="69"/>
      <c r="I881" s="487"/>
      <c r="J881" s="463"/>
      <c r="K881" s="465"/>
      <c r="V881" s="39"/>
    </row>
    <row r="882" spans="1:22" ht="15" customHeight="1" x14ac:dyDescent="0.25">
      <c r="A882" s="479"/>
      <c r="B882" s="483"/>
      <c r="C882" s="460"/>
      <c r="D882" s="460"/>
      <c r="E882" s="3">
        <f t="shared" si="15"/>
        <v>3</v>
      </c>
      <c r="F882" s="3">
        <f t="shared" si="15"/>
        <v>141.572</v>
      </c>
      <c r="G882" s="5">
        <f t="shared" si="15"/>
        <v>158.76916645329317</v>
      </c>
      <c r="H882" s="69"/>
      <c r="I882" s="487"/>
      <c r="J882" s="463"/>
      <c r="K882" s="465"/>
      <c r="V882" s="39"/>
    </row>
    <row r="883" spans="1:22" ht="15.75" customHeight="1" thickBot="1" x14ac:dyDescent="0.3">
      <c r="A883" s="479"/>
      <c r="B883" s="483"/>
      <c r="C883" s="460"/>
      <c r="D883" s="461"/>
      <c r="E883" s="6">
        <f t="shared" si="15"/>
        <v>4</v>
      </c>
      <c r="F883" s="6">
        <f t="shared" si="15"/>
        <v>141.226</v>
      </c>
      <c r="G883" s="7">
        <f t="shared" si="15"/>
        <v>158.38113681754004</v>
      </c>
      <c r="H883" s="69"/>
      <c r="I883" s="487"/>
      <c r="J883" s="464"/>
      <c r="K883" s="466"/>
      <c r="V883" s="39"/>
    </row>
    <row r="884" spans="1:22" ht="15" customHeight="1" x14ac:dyDescent="0.25">
      <c r="A884" s="479"/>
      <c r="B884" s="483"/>
      <c r="C884" s="460"/>
      <c r="D884" s="459">
        <v>3</v>
      </c>
      <c r="E884" s="72">
        <f t="shared" si="15"/>
        <v>1</v>
      </c>
      <c r="F884" s="72">
        <f t="shared" si="15"/>
        <v>141.48599999999999</v>
      </c>
      <c r="G884" s="73">
        <f t="shared" si="15"/>
        <v>158.67271978082272</v>
      </c>
      <c r="H884" s="69"/>
      <c r="I884" s="487"/>
      <c r="J884" s="462">
        <f>J319</f>
        <v>53.119</v>
      </c>
      <c r="K884" s="465">
        <f>K319</f>
        <v>620.15</v>
      </c>
      <c r="V884" s="39"/>
    </row>
    <row r="885" spans="1:22" ht="15" customHeight="1" x14ac:dyDescent="0.25">
      <c r="A885" s="479"/>
      <c r="B885" s="483"/>
      <c r="C885" s="460"/>
      <c r="D885" s="460"/>
      <c r="E885" s="3">
        <f t="shared" si="15"/>
        <v>2</v>
      </c>
      <c r="F885" s="3">
        <f t="shared" si="15"/>
        <v>141.94999999999999</v>
      </c>
      <c r="G885" s="5">
        <f t="shared" si="15"/>
        <v>159.19308322298875</v>
      </c>
      <c r="H885" s="69"/>
      <c r="I885" s="487"/>
      <c r="J885" s="463"/>
      <c r="K885" s="465"/>
      <c r="V885" s="39"/>
    </row>
    <row r="886" spans="1:22" ht="15" customHeight="1" x14ac:dyDescent="0.25">
      <c r="A886" s="479"/>
      <c r="B886" s="483"/>
      <c r="C886" s="460"/>
      <c r="D886" s="460"/>
      <c r="E886" s="3">
        <f t="shared" si="15"/>
        <v>3</v>
      </c>
      <c r="F886" s="3">
        <f t="shared" si="15"/>
        <v>142.07</v>
      </c>
      <c r="G886" s="5">
        <f t="shared" si="15"/>
        <v>159.32765997527306</v>
      </c>
      <c r="H886" s="69"/>
      <c r="I886" s="487"/>
      <c r="J886" s="463"/>
      <c r="K886" s="465"/>
      <c r="V886" s="39"/>
    </row>
    <row r="887" spans="1:22" ht="15.75" customHeight="1" thickBot="1" x14ac:dyDescent="0.3">
      <c r="A887" s="479"/>
      <c r="B887" s="483"/>
      <c r="C887" s="460"/>
      <c r="D887" s="461"/>
      <c r="E887" s="6">
        <f t="shared" si="15"/>
        <v>4</v>
      </c>
      <c r="F887" s="6">
        <f t="shared" si="15"/>
        <v>141.52600000000001</v>
      </c>
      <c r="G887" s="7">
        <f t="shared" si="15"/>
        <v>158.71757869825083</v>
      </c>
      <c r="H887" s="69"/>
      <c r="I887" s="487"/>
      <c r="J887" s="464"/>
      <c r="K887" s="466"/>
      <c r="V887" s="39"/>
    </row>
    <row r="888" spans="1:22" ht="15" customHeight="1" x14ac:dyDescent="0.25">
      <c r="A888" s="479"/>
      <c r="B888" s="483"/>
      <c r="C888" s="460"/>
      <c r="D888" s="460">
        <v>4</v>
      </c>
      <c r="E888" s="70">
        <f t="shared" si="15"/>
        <v>1</v>
      </c>
      <c r="F888" s="70">
        <f t="shared" si="15"/>
        <v>139.13</v>
      </c>
      <c r="G888" s="65">
        <f t="shared" si="15"/>
        <v>156.03052954430731</v>
      </c>
      <c r="H888" s="69"/>
      <c r="I888" s="487"/>
      <c r="J888" s="462">
        <f>J323</f>
        <v>53.119</v>
      </c>
      <c r="K888" s="465">
        <f>K323</f>
        <v>614.59</v>
      </c>
      <c r="V888" s="39"/>
    </row>
    <row r="889" spans="1:22" ht="15" customHeight="1" x14ac:dyDescent="0.25">
      <c r="A889" s="479"/>
      <c r="B889" s="483"/>
      <c r="C889" s="460"/>
      <c r="D889" s="460"/>
      <c r="E889" s="3">
        <f t="shared" si="15"/>
        <v>2</v>
      </c>
      <c r="F889" s="3">
        <f t="shared" si="15"/>
        <v>141.53399999999999</v>
      </c>
      <c r="G889" s="5">
        <f t="shared" si="15"/>
        <v>158.72655048173644</v>
      </c>
      <c r="H889" s="69"/>
      <c r="I889" s="487"/>
      <c r="J889" s="463"/>
      <c r="K889" s="465"/>
      <c r="V889" s="39"/>
    </row>
    <row r="890" spans="1:22" ht="15" customHeight="1" x14ac:dyDescent="0.25">
      <c r="A890" s="479"/>
      <c r="B890" s="483"/>
      <c r="C890" s="460"/>
      <c r="D890" s="460"/>
      <c r="E890" s="3">
        <f t="shared" si="15"/>
        <v>3</v>
      </c>
      <c r="F890" s="3">
        <f t="shared" si="15"/>
        <v>141.65899999999999</v>
      </c>
      <c r="G890" s="5">
        <f t="shared" si="15"/>
        <v>158.86673459869928</v>
      </c>
      <c r="H890" s="69"/>
      <c r="I890" s="487"/>
      <c r="J890" s="463"/>
      <c r="K890" s="465"/>
      <c r="V890" s="39"/>
    </row>
    <row r="891" spans="1:22" ht="15.75" customHeight="1" thickBot="1" x14ac:dyDescent="0.3">
      <c r="A891" s="480"/>
      <c r="B891" s="484"/>
      <c r="C891" s="476"/>
      <c r="D891" s="476"/>
      <c r="E891" s="3">
        <f t="shared" si="15"/>
        <v>4</v>
      </c>
      <c r="F891" s="3">
        <f t="shared" si="15"/>
        <v>139.16999999999999</v>
      </c>
      <c r="G891" s="5">
        <f t="shared" si="15"/>
        <v>156.0753884617354</v>
      </c>
      <c r="H891" s="70"/>
      <c r="I891" s="488"/>
      <c r="J891" s="464"/>
      <c r="K891" s="466"/>
      <c r="V891" s="39"/>
    </row>
    <row r="892" spans="1:22" x14ac:dyDescent="0.25">
      <c r="A892" s="43" t="s">
        <v>4</v>
      </c>
      <c r="B892" s="24"/>
      <c r="C892" s="4"/>
      <c r="D892" s="4"/>
      <c r="E892" s="4"/>
      <c r="F892" s="8">
        <f>SUM(F872:F891)</f>
        <v>2733.86</v>
      </c>
      <c r="G892" s="8"/>
      <c r="H892" s="8"/>
      <c r="I892" s="8">
        <f>K872+K876+K880+K884+K888</f>
        <v>3065.9500000000003</v>
      </c>
      <c r="J892" s="8">
        <f>J888+J884+J880+J876+J872</f>
        <v>332.11</v>
      </c>
      <c r="K892" s="46"/>
      <c r="V892" s="39"/>
    </row>
    <row r="893" spans="1:22" x14ac:dyDescent="0.25">
      <c r="A893" s="37"/>
      <c r="F893" s="18">
        <f>I892/F892</f>
        <v>1.121472935702633</v>
      </c>
      <c r="I893" s="45"/>
      <c r="J893" s="9">
        <f>(J872+J876+J880+J884+J888)/I892</f>
        <v>0.10832205352337775</v>
      </c>
      <c r="K893" s="46"/>
      <c r="V893" s="39"/>
    </row>
    <row r="894" spans="1:22" x14ac:dyDescent="0.25">
      <c r="A894" s="37"/>
      <c r="V894" s="39"/>
    </row>
    <row r="895" spans="1:22" x14ac:dyDescent="0.25">
      <c r="A895" s="37"/>
      <c r="V895" s="39"/>
    </row>
    <row r="896" spans="1:22" ht="18.75" x14ac:dyDescent="0.3">
      <c r="A896" s="457" t="s">
        <v>32</v>
      </c>
      <c r="B896" s="458"/>
      <c r="C896" s="458"/>
      <c r="D896" s="458"/>
      <c r="E896" s="458"/>
      <c r="F896" s="458"/>
      <c r="G896" s="458"/>
      <c r="H896" s="458"/>
      <c r="I896" s="458"/>
      <c r="J896" s="458"/>
      <c r="K896" s="40"/>
      <c r="V896" s="39"/>
    </row>
    <row r="897" spans="1:22" ht="30" x14ac:dyDescent="0.25">
      <c r="A897" s="41" t="s">
        <v>9</v>
      </c>
      <c r="B897" s="23" t="s">
        <v>7</v>
      </c>
      <c r="C897" s="2" t="s">
        <v>8</v>
      </c>
      <c r="D897" s="2" t="s">
        <v>10</v>
      </c>
      <c r="E897" s="1" t="s">
        <v>2</v>
      </c>
      <c r="F897" s="19" t="s">
        <v>3</v>
      </c>
      <c r="G897" s="19" t="s">
        <v>5</v>
      </c>
      <c r="H897" s="19" t="s">
        <v>57</v>
      </c>
      <c r="I897" s="28" t="s">
        <v>6</v>
      </c>
      <c r="J897" s="28" t="s">
        <v>1</v>
      </c>
      <c r="K897" s="40"/>
      <c r="V897" s="39"/>
    </row>
    <row r="898" spans="1:22" x14ac:dyDescent="0.25">
      <c r="A898" s="478" t="s">
        <v>33</v>
      </c>
      <c r="B898" s="482" t="s">
        <v>80</v>
      </c>
      <c r="C898" s="485" t="s">
        <v>83</v>
      </c>
      <c r="D898" s="485">
        <v>0</v>
      </c>
      <c r="E898" s="3">
        <f>E333</f>
        <v>1</v>
      </c>
      <c r="F898" s="3">
        <f>F333</f>
        <v>95.254000000000005</v>
      </c>
      <c r="G898" s="5">
        <f>G333</f>
        <v>105.54728263471846</v>
      </c>
      <c r="H898" s="76">
        <v>63.930199999999999</v>
      </c>
      <c r="I898" s="486">
        <f>SUM(G898:G917)</f>
        <v>3405.5059999999989</v>
      </c>
      <c r="J898" s="462">
        <f>J333</f>
        <v>99.266000000000005</v>
      </c>
      <c r="K898" s="455">
        <f>K333</f>
        <v>685.9</v>
      </c>
      <c r="V898" s="39"/>
    </row>
    <row r="899" spans="1:22" x14ac:dyDescent="0.25">
      <c r="A899" s="479"/>
      <c r="B899" s="483"/>
      <c r="C899" s="460"/>
      <c r="D899" s="460"/>
      <c r="E899" s="3">
        <f t="shared" ref="E899:G917" si="16">E334</f>
        <v>2</v>
      </c>
      <c r="F899" s="3">
        <f t="shared" si="16"/>
        <v>162.82599999999999</v>
      </c>
      <c r="G899" s="5">
        <f t="shared" si="16"/>
        <v>180.42120900204364</v>
      </c>
      <c r="H899" s="76">
        <v>77.610299999999995</v>
      </c>
      <c r="I899" s="487"/>
      <c r="J899" s="463"/>
      <c r="K899" s="455"/>
      <c r="V899" s="39"/>
    </row>
    <row r="900" spans="1:22" x14ac:dyDescent="0.25">
      <c r="A900" s="479"/>
      <c r="B900" s="483"/>
      <c r="C900" s="460"/>
      <c r="D900" s="460"/>
      <c r="E900" s="3">
        <f t="shared" si="16"/>
        <v>3</v>
      </c>
      <c r="F900" s="3">
        <f t="shared" si="16"/>
        <v>183.887</v>
      </c>
      <c r="G900" s="5">
        <f t="shared" si="16"/>
        <v>203.75809059830002</v>
      </c>
      <c r="H900" s="76">
        <v>61.527700000000003</v>
      </c>
      <c r="I900" s="487"/>
      <c r="J900" s="463"/>
      <c r="K900" s="455"/>
      <c r="V900" s="39"/>
    </row>
    <row r="901" spans="1:22" ht="15.75" thickBot="1" x14ac:dyDescent="0.3">
      <c r="A901" s="479"/>
      <c r="B901" s="483"/>
      <c r="C901" s="460"/>
      <c r="D901" s="461"/>
      <c r="E901" s="6">
        <f t="shared" si="16"/>
        <v>4</v>
      </c>
      <c r="F901" s="6">
        <f t="shared" si="16"/>
        <v>144.66</v>
      </c>
      <c r="G901" s="7">
        <f t="shared" si="16"/>
        <v>160.29216522076101</v>
      </c>
      <c r="H901" s="76">
        <v>86.260099999999994</v>
      </c>
      <c r="I901" s="487"/>
      <c r="J901" s="464"/>
      <c r="K901" s="456"/>
      <c r="L901" s="14"/>
      <c r="V901" s="39"/>
    </row>
    <row r="902" spans="1:22" ht="15" customHeight="1" x14ac:dyDescent="0.25">
      <c r="A902" s="479"/>
      <c r="B902" s="483"/>
      <c r="C902" s="460"/>
      <c r="D902" s="459">
        <v>1</v>
      </c>
      <c r="E902" s="72">
        <f t="shared" si="16"/>
        <v>1</v>
      </c>
      <c r="F902" s="72">
        <f t="shared" si="16"/>
        <v>96.311000000000007</v>
      </c>
      <c r="G902" s="73">
        <f t="shared" si="16"/>
        <v>106.71850355714584</v>
      </c>
      <c r="H902" s="69"/>
      <c r="I902" s="487"/>
      <c r="J902" s="462">
        <f>J337</f>
        <v>73.486999999999995</v>
      </c>
      <c r="K902" s="455">
        <f>K337</f>
        <v>657.67399999999998</v>
      </c>
      <c r="L902" s="17"/>
      <c r="V902" s="39"/>
    </row>
    <row r="903" spans="1:22" ht="15" customHeight="1" x14ac:dyDescent="0.25">
      <c r="A903" s="479"/>
      <c r="B903" s="483"/>
      <c r="C903" s="460"/>
      <c r="D903" s="460"/>
      <c r="E903" s="3">
        <f t="shared" si="16"/>
        <v>2</v>
      </c>
      <c r="F903" s="3">
        <f t="shared" si="16"/>
        <v>162.57599999999999</v>
      </c>
      <c r="G903" s="5">
        <f t="shared" si="16"/>
        <v>180.14419364669186</v>
      </c>
      <c r="H903" s="69"/>
      <c r="I903" s="487"/>
      <c r="J903" s="463"/>
      <c r="K903" s="455"/>
      <c r="L903" s="17"/>
      <c r="V903" s="39"/>
    </row>
    <row r="904" spans="1:22" ht="15" customHeight="1" x14ac:dyDescent="0.25">
      <c r="A904" s="479"/>
      <c r="B904" s="483"/>
      <c r="C904" s="460"/>
      <c r="D904" s="460"/>
      <c r="E904" s="3">
        <f t="shared" si="16"/>
        <v>3</v>
      </c>
      <c r="F904" s="3">
        <f t="shared" si="16"/>
        <v>183.637</v>
      </c>
      <c r="G904" s="5">
        <f t="shared" si="16"/>
        <v>203.48107524294824</v>
      </c>
      <c r="H904" s="69"/>
      <c r="I904" s="487"/>
      <c r="J904" s="463"/>
      <c r="K904" s="455"/>
      <c r="L904" s="16"/>
      <c r="R904" s="18"/>
      <c r="V904" s="39"/>
    </row>
    <row r="905" spans="1:22" ht="15.75" customHeight="1" thickBot="1" x14ac:dyDescent="0.3">
      <c r="A905" s="479"/>
      <c r="B905" s="483"/>
      <c r="C905" s="460"/>
      <c r="D905" s="461"/>
      <c r="E905" s="6">
        <f t="shared" si="16"/>
        <v>4</v>
      </c>
      <c r="F905" s="6">
        <f t="shared" si="16"/>
        <v>141.66300000000001</v>
      </c>
      <c r="G905" s="7">
        <f t="shared" si="16"/>
        <v>156.97130514080374</v>
      </c>
      <c r="H905" s="69"/>
      <c r="I905" s="487"/>
      <c r="J905" s="464"/>
      <c r="K905" s="456"/>
      <c r="L905" s="15"/>
      <c r="V905" s="39"/>
    </row>
    <row r="906" spans="1:22" ht="15" customHeight="1" x14ac:dyDescent="0.25">
      <c r="A906" s="479"/>
      <c r="B906" s="483"/>
      <c r="C906" s="460"/>
      <c r="D906" s="459">
        <v>2</v>
      </c>
      <c r="E906" s="72">
        <f t="shared" si="16"/>
        <v>1</v>
      </c>
      <c r="F906" s="72">
        <f t="shared" si="16"/>
        <v>141.22499999999999</v>
      </c>
      <c r="G906" s="73">
        <f t="shared" si="16"/>
        <v>156.48597423822739</v>
      </c>
      <c r="H906" s="69"/>
      <c r="I906" s="487"/>
      <c r="J906" s="462">
        <f>J341</f>
        <v>53.119</v>
      </c>
      <c r="K906" s="455">
        <f>K341</f>
        <v>692.64</v>
      </c>
      <c r="V906" s="39"/>
    </row>
    <row r="907" spans="1:22" ht="15" customHeight="1" x14ac:dyDescent="0.25">
      <c r="A907" s="479"/>
      <c r="B907" s="483"/>
      <c r="C907" s="460"/>
      <c r="D907" s="460"/>
      <c r="E907" s="3">
        <f t="shared" si="16"/>
        <v>2</v>
      </c>
      <c r="F907" s="3">
        <f t="shared" si="16"/>
        <v>167.214</v>
      </c>
      <c r="G907" s="5">
        <f t="shared" si="16"/>
        <v>185.2833825191783</v>
      </c>
      <c r="H907" s="69"/>
      <c r="I907" s="487"/>
      <c r="J907" s="463"/>
      <c r="K907" s="455"/>
      <c r="V907" s="39"/>
    </row>
    <row r="908" spans="1:22" ht="15" customHeight="1" x14ac:dyDescent="0.25">
      <c r="A908" s="479"/>
      <c r="B908" s="483"/>
      <c r="C908" s="460"/>
      <c r="D908" s="460"/>
      <c r="E908" s="3">
        <f t="shared" si="16"/>
        <v>3</v>
      </c>
      <c r="F908" s="3">
        <f t="shared" si="16"/>
        <v>187.10300000000001</v>
      </c>
      <c r="G908" s="5">
        <f t="shared" si="16"/>
        <v>207.3216161295455</v>
      </c>
      <c r="H908" s="69"/>
      <c r="I908" s="487"/>
      <c r="J908" s="463"/>
      <c r="K908" s="455"/>
      <c r="V908" s="39"/>
    </row>
    <row r="909" spans="1:22" ht="15.75" customHeight="1" thickBot="1" x14ac:dyDescent="0.3">
      <c r="A909" s="479"/>
      <c r="B909" s="483"/>
      <c r="C909" s="460"/>
      <c r="D909" s="461"/>
      <c r="E909" s="6">
        <f t="shared" si="16"/>
        <v>4</v>
      </c>
      <c r="F909" s="6">
        <f t="shared" si="16"/>
        <v>143.989</v>
      </c>
      <c r="G909" s="7">
        <f t="shared" si="16"/>
        <v>159.54865600699682</v>
      </c>
      <c r="H909" s="69"/>
      <c r="I909" s="487"/>
      <c r="J909" s="464"/>
      <c r="K909" s="456"/>
      <c r="V909" s="39"/>
    </row>
    <row r="910" spans="1:22" ht="15" customHeight="1" x14ac:dyDescent="0.25">
      <c r="A910" s="479"/>
      <c r="B910" s="483"/>
      <c r="C910" s="460"/>
      <c r="D910" s="459">
        <v>3</v>
      </c>
      <c r="E910" s="72">
        <f t="shared" si="16"/>
        <v>1</v>
      </c>
      <c r="F910" s="72">
        <f t="shared" si="16"/>
        <v>141.131</v>
      </c>
      <c r="G910" s="73">
        <f t="shared" si="16"/>
        <v>156.38181646461513</v>
      </c>
      <c r="H910" s="69"/>
      <c r="I910" s="487"/>
      <c r="J910" s="462">
        <f>J345</f>
        <v>53.12</v>
      </c>
      <c r="K910" s="455">
        <f>K345</f>
        <v>689.822</v>
      </c>
      <c r="V910" s="39"/>
    </row>
    <row r="911" spans="1:22" ht="15" customHeight="1" x14ac:dyDescent="0.25">
      <c r="A911" s="479"/>
      <c r="B911" s="483"/>
      <c r="C911" s="460"/>
      <c r="D911" s="460"/>
      <c r="E911" s="3">
        <f t="shared" si="16"/>
        <v>2</v>
      </c>
      <c r="F911" s="3">
        <f t="shared" si="16"/>
        <v>164.43600000000001</v>
      </c>
      <c r="G911" s="5">
        <f t="shared" si="16"/>
        <v>182.20518789050919</v>
      </c>
      <c r="H911" s="69"/>
      <c r="I911" s="487"/>
      <c r="J911" s="463"/>
      <c r="K911" s="455"/>
      <c r="V911" s="39"/>
    </row>
    <row r="912" spans="1:22" ht="15" customHeight="1" x14ac:dyDescent="0.25">
      <c r="A912" s="479"/>
      <c r="B912" s="483"/>
      <c r="C912" s="460"/>
      <c r="D912" s="460"/>
      <c r="E912" s="3">
        <f t="shared" si="16"/>
        <v>3</v>
      </c>
      <c r="F912" s="3">
        <f t="shared" si="16"/>
        <v>187.20400000000001</v>
      </c>
      <c r="G912" s="5">
        <f t="shared" si="16"/>
        <v>207.43353033310763</v>
      </c>
      <c r="H912" s="69"/>
      <c r="I912" s="487"/>
      <c r="J912" s="463"/>
      <c r="K912" s="455"/>
      <c r="V912" s="39"/>
    </row>
    <row r="913" spans="1:22" ht="15.75" customHeight="1" thickBot="1" x14ac:dyDescent="0.3">
      <c r="A913" s="479"/>
      <c r="B913" s="483"/>
      <c r="C913" s="460"/>
      <c r="D913" s="461"/>
      <c r="E913" s="6">
        <f t="shared" si="16"/>
        <v>4</v>
      </c>
      <c r="F913" s="6">
        <f t="shared" si="16"/>
        <v>143.911</v>
      </c>
      <c r="G913" s="7">
        <f t="shared" si="16"/>
        <v>159.46222721612705</v>
      </c>
      <c r="H913" s="69"/>
      <c r="I913" s="487"/>
      <c r="J913" s="464"/>
      <c r="K913" s="456"/>
      <c r="V913" s="39"/>
    </row>
    <row r="914" spans="1:22" ht="15" customHeight="1" x14ac:dyDescent="0.25">
      <c r="A914" s="479"/>
      <c r="B914" s="483"/>
      <c r="C914" s="460"/>
      <c r="D914" s="460">
        <v>4</v>
      </c>
      <c r="E914" s="70">
        <f t="shared" si="16"/>
        <v>1</v>
      </c>
      <c r="F914" s="70">
        <f t="shared" si="16"/>
        <v>139.16499999999999</v>
      </c>
      <c r="G914" s="65">
        <f t="shared" si="16"/>
        <v>154.20336771012862</v>
      </c>
      <c r="H914" s="69"/>
      <c r="I914" s="487"/>
      <c r="J914" s="462">
        <f>J349</f>
        <v>53.12</v>
      </c>
      <c r="K914" s="455">
        <f>K349</f>
        <v>679.47</v>
      </c>
      <c r="V914" s="39"/>
    </row>
    <row r="915" spans="1:22" ht="15" customHeight="1" x14ac:dyDescent="0.25">
      <c r="A915" s="479"/>
      <c r="B915" s="483"/>
      <c r="C915" s="460"/>
      <c r="D915" s="460"/>
      <c r="E915" s="3">
        <f t="shared" si="16"/>
        <v>2</v>
      </c>
      <c r="F915" s="3">
        <f t="shared" si="16"/>
        <v>162.69999999999999</v>
      </c>
      <c r="G915" s="5">
        <f t="shared" si="16"/>
        <v>180.28159326294633</v>
      </c>
      <c r="H915" s="69"/>
      <c r="I915" s="487"/>
      <c r="J915" s="463"/>
      <c r="K915" s="455"/>
      <c r="V915" s="39"/>
    </row>
    <row r="916" spans="1:22" ht="15" customHeight="1" x14ac:dyDescent="0.25">
      <c r="A916" s="479"/>
      <c r="B916" s="483"/>
      <c r="C916" s="460"/>
      <c r="D916" s="460"/>
      <c r="E916" s="3">
        <f t="shared" si="16"/>
        <v>3</v>
      </c>
      <c r="F916" s="3">
        <f t="shared" si="16"/>
        <v>182.57</v>
      </c>
      <c r="G916" s="5">
        <f t="shared" si="16"/>
        <v>202.29877370630678</v>
      </c>
      <c r="H916" s="69"/>
      <c r="I916" s="487"/>
      <c r="J916" s="463"/>
      <c r="K916" s="455"/>
      <c r="V916" s="39"/>
    </row>
    <row r="917" spans="1:22" ht="15.75" customHeight="1" thickBot="1" x14ac:dyDescent="0.3">
      <c r="A917" s="480"/>
      <c r="B917" s="484"/>
      <c r="C917" s="476"/>
      <c r="D917" s="476"/>
      <c r="E917" s="3">
        <f t="shared" si="16"/>
        <v>4</v>
      </c>
      <c r="F917" s="3">
        <f t="shared" si="16"/>
        <v>141.929</v>
      </c>
      <c r="G917" s="5">
        <f t="shared" si="16"/>
        <v>157.26604947889805</v>
      </c>
      <c r="H917" s="70"/>
      <c r="I917" s="488"/>
      <c r="J917" s="464"/>
      <c r="K917" s="456"/>
      <c r="V917" s="39"/>
    </row>
    <row r="918" spans="1:22" x14ac:dyDescent="0.25">
      <c r="A918" s="43" t="s">
        <v>4</v>
      </c>
      <c r="B918" s="24"/>
      <c r="C918" s="4"/>
      <c r="D918" s="4"/>
      <c r="E918" s="4"/>
      <c r="F918" s="8">
        <f>SUM(F898:F917)</f>
        <v>3073.3910000000005</v>
      </c>
      <c r="G918" s="8"/>
      <c r="H918" s="8"/>
      <c r="I918" s="8">
        <f>K898+K902+K906+K910+K914</f>
        <v>3405.5060000000003</v>
      </c>
      <c r="J918" s="8">
        <f>J914+J910+J906+J902+J898</f>
        <v>332.11199999999997</v>
      </c>
      <c r="K918" s="40"/>
      <c r="V918" s="39"/>
    </row>
    <row r="919" spans="1:22" x14ac:dyDescent="0.25">
      <c r="A919" s="37"/>
      <c r="F919" s="18">
        <f>I918/F918</f>
        <v>1.1080614214071687</v>
      </c>
      <c r="I919" s="45"/>
      <c r="J919" s="9">
        <f>(J898+J902+J906+J910+J914)/I918</f>
        <v>9.7522071609916397E-2</v>
      </c>
      <c r="K919" s="40"/>
      <c r="V919" s="39"/>
    </row>
    <row r="920" spans="1:22" x14ac:dyDescent="0.25">
      <c r="A920" s="37"/>
      <c r="V920" s="39"/>
    </row>
    <row r="921" spans="1:22" x14ac:dyDescent="0.25">
      <c r="A921" s="37"/>
      <c r="V921" s="39"/>
    </row>
    <row r="922" spans="1:22" ht="15.75" thickBot="1" x14ac:dyDescent="0.3">
      <c r="A922" s="47"/>
      <c r="B922" s="48"/>
      <c r="C922" s="49"/>
      <c r="D922" s="49"/>
      <c r="E922" s="49"/>
      <c r="F922" s="50"/>
      <c r="G922" s="50"/>
      <c r="H922" s="50"/>
      <c r="I922" s="50"/>
      <c r="J922" s="50"/>
      <c r="K922" s="50"/>
      <c r="L922" s="49"/>
      <c r="M922" s="49"/>
      <c r="N922" s="49"/>
      <c r="O922" s="49"/>
      <c r="P922" s="49"/>
      <c r="Q922" s="49"/>
      <c r="R922" s="49"/>
      <c r="S922" s="49"/>
      <c r="T922" s="49"/>
      <c r="U922" s="49"/>
      <c r="V922" s="51"/>
    </row>
    <row r="924" spans="1:22" ht="15.75" thickBot="1" x14ac:dyDescent="0.3"/>
    <row r="925" spans="1:22" x14ac:dyDescent="0.25">
      <c r="A925" s="31"/>
      <c r="B925" s="32"/>
      <c r="C925" s="33"/>
      <c r="D925" s="33"/>
      <c r="E925" s="33"/>
      <c r="F925" s="34"/>
      <c r="G925" s="34"/>
      <c r="H925" s="34"/>
      <c r="I925" s="34"/>
      <c r="J925" s="34"/>
      <c r="K925" s="34"/>
      <c r="L925" s="33"/>
      <c r="M925" s="33"/>
      <c r="N925" s="33"/>
      <c r="O925" s="33"/>
      <c r="P925" s="33"/>
      <c r="Q925" s="33"/>
      <c r="R925" s="33"/>
      <c r="S925" s="33"/>
      <c r="T925" s="33"/>
      <c r="U925" s="33"/>
      <c r="V925" s="36"/>
    </row>
    <row r="926" spans="1:22" x14ac:dyDescent="0.25">
      <c r="A926" s="37"/>
      <c r="L926" s="52" t="s">
        <v>0</v>
      </c>
      <c r="M926" s="497" t="s">
        <v>84</v>
      </c>
      <c r="N926" s="497"/>
      <c r="O926" s="497"/>
      <c r="Q926" s="477"/>
      <c r="R926" s="477"/>
      <c r="S926" s="59"/>
      <c r="V926" s="39"/>
    </row>
    <row r="927" spans="1:22" x14ac:dyDescent="0.25">
      <c r="A927" s="37"/>
      <c r="L927" s="38" t="s">
        <v>14</v>
      </c>
      <c r="M927" s="477" t="s">
        <v>12</v>
      </c>
      <c r="N927" s="477"/>
      <c r="O927" s="477" t="s">
        <v>12</v>
      </c>
      <c r="P927" s="477"/>
      <c r="Q927" s="477" t="s">
        <v>12</v>
      </c>
      <c r="R927" s="477"/>
      <c r="S927" s="59"/>
      <c r="V927" s="39"/>
    </row>
    <row r="928" spans="1:22" x14ac:dyDescent="0.25">
      <c r="A928" s="37"/>
      <c r="L928" s="38"/>
      <c r="S928" s="59"/>
      <c r="V928" s="39"/>
    </row>
    <row r="929" spans="1:22" x14ac:dyDescent="0.25">
      <c r="A929" s="37"/>
      <c r="L929" s="499" t="s">
        <v>11</v>
      </c>
      <c r="M929" s="21">
        <v>3</v>
      </c>
      <c r="N929" s="21">
        <v>2</v>
      </c>
      <c r="O929" s="20">
        <v>3</v>
      </c>
      <c r="P929" s="20">
        <v>2</v>
      </c>
      <c r="Q929" s="21">
        <v>3</v>
      </c>
      <c r="R929" s="21">
        <v>2</v>
      </c>
      <c r="S929" s="59"/>
      <c r="V929" s="39"/>
    </row>
    <row r="930" spans="1:22" x14ac:dyDescent="0.25">
      <c r="A930" s="37"/>
      <c r="L930" s="499"/>
      <c r="M930" s="21">
        <v>4</v>
      </c>
      <c r="N930" s="21">
        <v>1</v>
      </c>
      <c r="O930" s="20">
        <v>4</v>
      </c>
      <c r="P930" s="20">
        <v>1</v>
      </c>
      <c r="Q930" s="21">
        <v>4</v>
      </c>
      <c r="R930" s="21">
        <v>1</v>
      </c>
      <c r="S930" s="59"/>
      <c r="V930" s="39"/>
    </row>
    <row r="931" spans="1:22" x14ac:dyDescent="0.25">
      <c r="A931" s="37"/>
      <c r="L931" s="38"/>
      <c r="S931" s="59"/>
      <c r="V931" s="39"/>
    </row>
    <row r="932" spans="1:22" x14ac:dyDescent="0.25">
      <c r="A932" s="37"/>
      <c r="L932" s="38" t="s">
        <v>14</v>
      </c>
      <c r="M932" s="477" t="s">
        <v>13</v>
      </c>
      <c r="N932" s="477"/>
      <c r="O932" s="477" t="s">
        <v>13</v>
      </c>
      <c r="P932" s="477"/>
      <c r="Q932" s="477" t="s">
        <v>13</v>
      </c>
      <c r="R932" s="477"/>
      <c r="S932" s="59"/>
      <c r="V932" s="39"/>
    </row>
    <row r="933" spans="1:22" ht="18.75" x14ac:dyDescent="0.3">
      <c r="A933" s="457" t="s">
        <v>32</v>
      </c>
      <c r="B933" s="458"/>
      <c r="C933" s="458"/>
      <c r="D933" s="458"/>
      <c r="E933" s="458"/>
      <c r="F933" s="458"/>
      <c r="G933" s="458"/>
      <c r="H933" s="458"/>
      <c r="I933" s="458"/>
      <c r="J933" s="458"/>
      <c r="K933" s="40"/>
      <c r="M933" s="477"/>
      <c r="N933" s="477"/>
      <c r="O933" s="477"/>
      <c r="P933" s="477"/>
      <c r="S933" s="59"/>
      <c r="V933" s="39"/>
    </row>
    <row r="934" spans="1:22" ht="30" x14ac:dyDescent="0.25">
      <c r="A934" s="41" t="s">
        <v>9</v>
      </c>
      <c r="B934" s="23" t="s">
        <v>7</v>
      </c>
      <c r="C934" s="2" t="s">
        <v>8</v>
      </c>
      <c r="D934" s="2" t="s">
        <v>10</v>
      </c>
      <c r="E934" s="1" t="s">
        <v>2</v>
      </c>
      <c r="F934" s="19" t="s">
        <v>3</v>
      </c>
      <c r="G934" s="19" t="s">
        <v>5</v>
      </c>
      <c r="H934" s="19" t="s">
        <v>57</v>
      </c>
      <c r="I934" s="28" t="s">
        <v>6</v>
      </c>
      <c r="J934" s="28" t="s">
        <v>1</v>
      </c>
      <c r="K934" s="40"/>
      <c r="S934" s="59"/>
      <c r="V934" s="39"/>
    </row>
    <row r="935" spans="1:22" x14ac:dyDescent="0.25">
      <c r="A935" s="478" t="s">
        <v>33</v>
      </c>
      <c r="B935" s="482" t="s">
        <v>85</v>
      </c>
      <c r="C935" s="485" t="s">
        <v>86</v>
      </c>
      <c r="D935" s="485">
        <v>0</v>
      </c>
      <c r="E935" s="3">
        <f>E281</f>
        <v>1</v>
      </c>
      <c r="F935" s="3">
        <f>F281</f>
        <v>144.66300000000001</v>
      </c>
      <c r="G935" s="5">
        <f>G281</f>
        <v>160.2974096687947</v>
      </c>
      <c r="H935" s="77">
        <v>81.358699999999999</v>
      </c>
      <c r="I935" s="486">
        <f>SUM(G935:G954)</f>
        <v>3405.067</v>
      </c>
      <c r="J935" s="462">
        <f>J281</f>
        <v>99.266000000000005</v>
      </c>
      <c r="K935" s="455">
        <f>K281</f>
        <v>685.81200000000001</v>
      </c>
      <c r="L935" s="42"/>
      <c r="V935" s="39"/>
    </row>
    <row r="936" spans="1:22" x14ac:dyDescent="0.25">
      <c r="A936" s="479"/>
      <c r="B936" s="483"/>
      <c r="C936" s="460"/>
      <c r="D936" s="460"/>
      <c r="E936" s="3">
        <f t="shared" ref="E936:G954" si="17">E282</f>
        <v>2</v>
      </c>
      <c r="F936" s="71">
        <f t="shared" si="17"/>
        <v>183.887</v>
      </c>
      <c r="G936" s="5">
        <f t="shared" si="17"/>
        <v>203.76053152337258</v>
      </c>
      <c r="H936" s="77">
        <v>61.522199999999998</v>
      </c>
      <c r="I936" s="487"/>
      <c r="J936" s="463"/>
      <c r="K936" s="455"/>
      <c r="L936" s="42"/>
      <c r="V936" s="39"/>
    </row>
    <row r="937" spans="1:22" x14ac:dyDescent="0.25">
      <c r="A937" s="479"/>
      <c r="B937" s="483"/>
      <c r="C937" s="460"/>
      <c r="D937" s="460"/>
      <c r="E937" s="3">
        <f t="shared" si="17"/>
        <v>3</v>
      </c>
      <c r="F937" s="71">
        <f t="shared" si="17"/>
        <v>162.78100000000001</v>
      </c>
      <c r="G937" s="5">
        <f t="shared" si="17"/>
        <v>180.37350700107191</v>
      </c>
      <c r="H937" s="77">
        <v>77.576999999999998</v>
      </c>
      <c r="I937" s="487"/>
      <c r="J937" s="463"/>
      <c r="K937" s="455"/>
      <c r="L937" s="42"/>
      <c r="V937" s="39"/>
    </row>
    <row r="938" spans="1:22" ht="15.75" thickBot="1" x14ac:dyDescent="0.3">
      <c r="A938" s="479"/>
      <c r="B938" s="483"/>
      <c r="C938" s="460"/>
      <c r="D938" s="461"/>
      <c r="E938" s="6">
        <f t="shared" si="17"/>
        <v>4</v>
      </c>
      <c r="F938" s="6">
        <f t="shared" si="17"/>
        <v>95.213999999999999</v>
      </c>
      <c r="G938" s="7">
        <f t="shared" si="17"/>
        <v>105.50422405317612</v>
      </c>
      <c r="H938" s="77">
        <v>63.183500000000002</v>
      </c>
      <c r="I938" s="487"/>
      <c r="J938" s="464"/>
      <c r="K938" s="456"/>
      <c r="L938" s="42"/>
      <c r="V938" s="39"/>
    </row>
    <row r="939" spans="1:22" ht="15" customHeight="1" x14ac:dyDescent="0.25">
      <c r="A939" s="479"/>
      <c r="B939" s="483"/>
      <c r="C939" s="460"/>
      <c r="D939" s="459">
        <v>1</v>
      </c>
      <c r="E939" s="72">
        <f t="shared" si="17"/>
        <v>1</v>
      </c>
      <c r="F939" s="72">
        <f t="shared" si="17"/>
        <v>141.66300000000001</v>
      </c>
      <c r="G939" s="73">
        <f t="shared" si="17"/>
        <v>156.9731855824258</v>
      </c>
      <c r="H939" s="69"/>
      <c r="I939" s="487"/>
      <c r="J939" s="462">
        <f>J285</f>
        <v>73.486999999999995</v>
      </c>
      <c r="K939" s="455">
        <f>K285</f>
        <v>657.59</v>
      </c>
      <c r="L939" s="56"/>
      <c r="V939" s="39"/>
    </row>
    <row r="940" spans="1:22" ht="15" customHeight="1" x14ac:dyDescent="0.25">
      <c r="A940" s="479"/>
      <c r="B940" s="483"/>
      <c r="C940" s="460"/>
      <c r="D940" s="460"/>
      <c r="E940" s="3">
        <f t="shared" si="17"/>
        <v>2</v>
      </c>
      <c r="F940" s="71">
        <f t="shared" si="17"/>
        <v>183.637</v>
      </c>
      <c r="G940" s="5">
        <f t="shared" si="17"/>
        <v>203.48351284950851</v>
      </c>
      <c r="H940" s="69"/>
      <c r="I940" s="487"/>
      <c r="J940" s="463"/>
      <c r="K940" s="455"/>
      <c r="L940" s="56"/>
      <c r="V940" s="39"/>
    </row>
    <row r="941" spans="1:22" ht="15" customHeight="1" x14ac:dyDescent="0.25">
      <c r="A941" s="479"/>
      <c r="B941" s="483"/>
      <c r="C941" s="460"/>
      <c r="D941" s="460"/>
      <c r="E941" s="3">
        <f t="shared" si="17"/>
        <v>3</v>
      </c>
      <c r="F941" s="71">
        <f t="shared" si="17"/>
        <v>162.53100000000001</v>
      </c>
      <c r="G941" s="5">
        <f t="shared" si="17"/>
        <v>180.09648832720785</v>
      </c>
      <c r="H941" s="69"/>
      <c r="I941" s="487"/>
      <c r="J941" s="463"/>
      <c r="K941" s="455"/>
      <c r="L941" s="57"/>
      <c r="V941" s="39"/>
    </row>
    <row r="942" spans="1:22" ht="15.75" customHeight="1" thickBot="1" x14ac:dyDescent="0.3">
      <c r="A942" s="479"/>
      <c r="B942" s="483"/>
      <c r="C942" s="460"/>
      <c r="D942" s="461"/>
      <c r="E942" s="6">
        <f t="shared" si="17"/>
        <v>4</v>
      </c>
      <c r="F942" s="6">
        <f t="shared" si="17"/>
        <v>96.271000000000001</v>
      </c>
      <c r="G942" s="7">
        <f t="shared" si="17"/>
        <v>106.67545900627343</v>
      </c>
      <c r="H942" s="69"/>
      <c r="I942" s="487"/>
      <c r="J942" s="464"/>
      <c r="K942" s="456"/>
      <c r="L942" s="58"/>
      <c r="V942" s="39"/>
    </row>
    <row r="943" spans="1:22" ht="15" customHeight="1" x14ac:dyDescent="0.25">
      <c r="A943" s="479"/>
      <c r="B943" s="483"/>
      <c r="C943" s="460"/>
      <c r="D943" s="459">
        <v>2</v>
      </c>
      <c r="E943" s="72">
        <f t="shared" si="17"/>
        <v>1</v>
      </c>
      <c r="F943" s="72">
        <f t="shared" si="17"/>
        <v>143.989</v>
      </c>
      <c r="G943" s="73">
        <f t="shared" si="17"/>
        <v>159.55056732405714</v>
      </c>
      <c r="H943" s="69"/>
      <c r="I943" s="487"/>
      <c r="J943" s="462">
        <f>J289</f>
        <v>53.119</v>
      </c>
      <c r="K943" s="455">
        <f>K289</f>
        <v>692.56700000000001</v>
      </c>
      <c r="L943" s="42"/>
      <c r="V943" s="39"/>
    </row>
    <row r="944" spans="1:22" ht="15" customHeight="1" x14ac:dyDescent="0.25">
      <c r="A944" s="479"/>
      <c r="B944" s="483"/>
      <c r="C944" s="460"/>
      <c r="D944" s="460"/>
      <c r="E944" s="3">
        <f t="shared" si="17"/>
        <v>2</v>
      </c>
      <c r="F944" s="3">
        <f t="shared" si="17"/>
        <v>187.1</v>
      </c>
      <c r="G944" s="5">
        <f t="shared" si="17"/>
        <v>207.32077551987365</v>
      </c>
      <c r="H944" s="69"/>
      <c r="I944" s="487"/>
      <c r="J944" s="463"/>
      <c r="K944" s="455"/>
      <c r="L944" s="42"/>
      <c r="V944" s="39"/>
    </row>
    <row r="945" spans="1:22" ht="15" customHeight="1" x14ac:dyDescent="0.25">
      <c r="A945" s="479"/>
      <c r="B945" s="483"/>
      <c r="C945" s="460"/>
      <c r="D945" s="460"/>
      <c r="E945" s="3">
        <f t="shared" si="17"/>
        <v>3</v>
      </c>
      <c r="F945" s="3">
        <f t="shared" si="17"/>
        <v>167.16900000000001</v>
      </c>
      <c r="G945" s="5">
        <f t="shared" si="17"/>
        <v>185.23573876473418</v>
      </c>
      <c r="H945" s="69"/>
      <c r="I945" s="487"/>
      <c r="J945" s="463"/>
      <c r="K945" s="455"/>
      <c r="L945" s="42"/>
      <c r="V945" s="39"/>
    </row>
    <row r="946" spans="1:22" ht="15.75" customHeight="1" thickBot="1" x14ac:dyDescent="0.3">
      <c r="A946" s="479"/>
      <c r="B946" s="483"/>
      <c r="C946" s="460"/>
      <c r="D946" s="461"/>
      <c r="E946" s="6">
        <f t="shared" si="17"/>
        <v>4</v>
      </c>
      <c r="F946" s="6">
        <f t="shared" si="17"/>
        <v>141.18700000000001</v>
      </c>
      <c r="G946" s="7">
        <f t="shared" si="17"/>
        <v>156.4457420273886</v>
      </c>
      <c r="H946" s="69"/>
      <c r="I946" s="487"/>
      <c r="J946" s="464"/>
      <c r="K946" s="456"/>
      <c r="L946" s="42"/>
      <c r="Q946" s="18"/>
      <c r="V946" s="39"/>
    </row>
    <row r="947" spans="1:22" ht="15" customHeight="1" x14ac:dyDescent="0.25">
      <c r="A947" s="479"/>
      <c r="B947" s="483"/>
      <c r="C947" s="460"/>
      <c r="D947" s="459">
        <v>3</v>
      </c>
      <c r="E947" s="72">
        <f t="shared" si="17"/>
        <v>1</v>
      </c>
      <c r="F947" s="72">
        <f t="shared" si="17"/>
        <v>143.89599999999999</v>
      </c>
      <c r="G947" s="73">
        <f t="shared" si="17"/>
        <v>159.44751637737969</v>
      </c>
      <c r="H947" s="69"/>
      <c r="I947" s="487"/>
      <c r="J947" s="462">
        <f>J293</f>
        <v>53.12</v>
      </c>
      <c r="K947" s="455">
        <f>K293</f>
        <v>689.70799999999997</v>
      </c>
      <c r="L947" s="42"/>
      <c r="V947" s="39"/>
    </row>
    <row r="948" spans="1:22" ht="15" customHeight="1" x14ac:dyDescent="0.25">
      <c r="A948" s="479"/>
      <c r="B948" s="483"/>
      <c r="C948" s="460"/>
      <c r="D948" s="460"/>
      <c r="E948" s="3">
        <f t="shared" si="17"/>
        <v>2</v>
      </c>
      <c r="F948" s="3">
        <f t="shared" si="17"/>
        <v>187.20400000000001</v>
      </c>
      <c r="G948" s="5">
        <f t="shared" si="17"/>
        <v>207.43601528820113</v>
      </c>
      <c r="H948" s="69"/>
      <c r="I948" s="487"/>
      <c r="J948" s="463"/>
      <c r="K948" s="455"/>
      <c r="L948" s="42"/>
      <c r="V948" s="39"/>
    </row>
    <row r="949" spans="1:22" ht="15" customHeight="1" x14ac:dyDescent="0.25">
      <c r="A949" s="479"/>
      <c r="B949" s="483"/>
      <c r="C949" s="460"/>
      <c r="D949" s="460"/>
      <c r="E949" s="3">
        <f t="shared" si="17"/>
        <v>3</v>
      </c>
      <c r="F949" s="3">
        <f t="shared" si="17"/>
        <v>164.417</v>
      </c>
      <c r="G949" s="5">
        <f t="shared" si="17"/>
        <v>182.18631720283841</v>
      </c>
      <c r="H949" s="69"/>
      <c r="I949" s="487"/>
      <c r="J949" s="463"/>
      <c r="K949" s="455"/>
      <c r="L949" s="42"/>
      <c r="V949" s="39"/>
    </row>
    <row r="950" spans="1:22" ht="15.75" customHeight="1" thickBot="1" x14ac:dyDescent="0.3">
      <c r="A950" s="479"/>
      <c r="B950" s="483"/>
      <c r="C950" s="460"/>
      <c r="D950" s="461"/>
      <c r="E950" s="6">
        <f t="shared" si="17"/>
        <v>4</v>
      </c>
      <c r="F950" s="6">
        <f t="shared" si="17"/>
        <v>141.07300000000001</v>
      </c>
      <c r="G950" s="7">
        <f t="shared" si="17"/>
        <v>156.31942151210657</v>
      </c>
      <c r="H950" s="69"/>
      <c r="I950" s="487"/>
      <c r="J950" s="464"/>
      <c r="K950" s="456"/>
      <c r="L950" s="42"/>
      <c r="V950" s="39"/>
    </row>
    <row r="951" spans="1:22" ht="18.75" customHeight="1" x14ac:dyDescent="0.3">
      <c r="A951" s="479"/>
      <c r="B951" s="483"/>
      <c r="C951" s="460"/>
      <c r="D951" s="460">
        <v>4</v>
      </c>
      <c r="E951" s="70">
        <f t="shared" si="17"/>
        <v>1</v>
      </c>
      <c r="F951" s="70">
        <f t="shared" si="17"/>
        <v>141.929</v>
      </c>
      <c r="G951" s="65">
        <f t="shared" si="17"/>
        <v>157.26793345141715</v>
      </c>
      <c r="H951" s="69"/>
      <c r="I951" s="487"/>
      <c r="J951" s="462">
        <f>J297</f>
        <v>53.12</v>
      </c>
      <c r="K951" s="455">
        <f>K297</f>
        <v>679.39</v>
      </c>
      <c r="L951" s="42"/>
      <c r="Q951" s="481" t="s">
        <v>34</v>
      </c>
      <c r="R951" s="481"/>
      <c r="S951" s="60"/>
      <c r="V951" s="39"/>
    </row>
    <row r="952" spans="1:22" ht="15" customHeight="1" x14ac:dyDescent="0.25">
      <c r="A952" s="479"/>
      <c r="B952" s="483"/>
      <c r="C952" s="460"/>
      <c r="D952" s="460"/>
      <c r="E952" s="3">
        <f t="shared" si="17"/>
        <v>2</v>
      </c>
      <c r="F952" s="3">
        <f t="shared" si="17"/>
        <v>182.57</v>
      </c>
      <c r="G952" s="5">
        <f t="shared" si="17"/>
        <v>202.30119714945661</v>
      </c>
      <c r="H952" s="69"/>
      <c r="I952" s="487"/>
      <c r="J952" s="463"/>
      <c r="K952" s="455"/>
      <c r="L952" s="42"/>
      <c r="Q952" s="61"/>
      <c r="R952" s="62" t="s">
        <v>35</v>
      </c>
      <c r="S952" s="62"/>
      <c r="V952" s="39"/>
    </row>
    <row r="953" spans="1:22" ht="15" customHeight="1" x14ac:dyDescent="0.25">
      <c r="A953" s="479"/>
      <c r="B953" s="483"/>
      <c r="C953" s="460"/>
      <c r="D953" s="460"/>
      <c r="E953" s="3">
        <f t="shared" si="17"/>
        <v>3</v>
      </c>
      <c r="F953" s="3">
        <f t="shared" si="17"/>
        <v>162.65</v>
      </c>
      <c r="G953" s="5">
        <f t="shared" si="17"/>
        <v>180.22834921596714</v>
      </c>
      <c r="H953" s="69"/>
      <c r="I953" s="487"/>
      <c r="J953" s="463"/>
      <c r="K953" s="455"/>
      <c r="L953" s="42"/>
      <c r="V953" s="39"/>
    </row>
    <row r="954" spans="1:22" ht="15.75" customHeight="1" thickBot="1" x14ac:dyDescent="0.3">
      <c r="A954" s="480"/>
      <c r="B954" s="484"/>
      <c r="C954" s="476"/>
      <c r="D954" s="476"/>
      <c r="E954" s="3">
        <f t="shared" si="17"/>
        <v>4</v>
      </c>
      <c r="F954" s="3">
        <f t="shared" si="17"/>
        <v>139.12700000000001</v>
      </c>
      <c r="G954" s="5">
        <f t="shared" si="17"/>
        <v>154.16310815474861</v>
      </c>
      <c r="H954" s="70"/>
      <c r="I954" s="488"/>
      <c r="J954" s="464"/>
      <c r="K954" s="456"/>
      <c r="L954" s="42"/>
      <c r="V954" s="39"/>
    </row>
    <row r="955" spans="1:22" x14ac:dyDescent="0.25">
      <c r="A955" s="43" t="s">
        <v>4</v>
      </c>
      <c r="B955" s="24"/>
      <c r="C955" s="4"/>
      <c r="D955" s="4"/>
      <c r="E955" s="4"/>
      <c r="F955" s="8">
        <f>SUM(F935:F954)</f>
        <v>3072.9580000000001</v>
      </c>
      <c r="G955" s="8"/>
      <c r="H955" s="8"/>
      <c r="I955" s="8">
        <f>K935+K939+K943+K947+K951</f>
        <v>3405.067</v>
      </c>
      <c r="J955" s="8">
        <f>J951+J947+J943+J939+J935</f>
        <v>332.11199999999997</v>
      </c>
      <c r="K955" s="40"/>
      <c r="L955" s="44"/>
      <c r="V955" s="39"/>
    </row>
    <row r="956" spans="1:22" x14ac:dyDescent="0.25">
      <c r="A956" s="37"/>
      <c r="F956" s="18">
        <f>I955/F955</f>
        <v>1.1080746954562997</v>
      </c>
      <c r="I956" s="45"/>
      <c r="J956" s="9">
        <f>(J935+J939+J943+J947+J951)/I955</f>
        <v>9.7534644692747599E-2</v>
      </c>
      <c r="V956" s="39"/>
    </row>
    <row r="957" spans="1:22" x14ac:dyDescent="0.25">
      <c r="A957" s="37"/>
      <c r="V957" s="39"/>
    </row>
    <row r="958" spans="1:22" x14ac:dyDescent="0.25">
      <c r="A958" s="37"/>
      <c r="V958" s="39"/>
    </row>
    <row r="959" spans="1:22" ht="18.75" x14ac:dyDescent="0.3">
      <c r="A959" s="457" t="s">
        <v>32</v>
      </c>
      <c r="B959" s="458"/>
      <c r="C959" s="458"/>
      <c r="D959" s="458"/>
      <c r="E959" s="458"/>
      <c r="F959" s="458"/>
      <c r="G959" s="458"/>
      <c r="H959" s="458"/>
      <c r="I959" s="458"/>
      <c r="J959" s="458"/>
      <c r="K959" s="46"/>
      <c r="V959" s="39"/>
    </row>
    <row r="960" spans="1:22" ht="30" x14ac:dyDescent="0.25">
      <c r="A960" s="41" t="s">
        <v>9</v>
      </c>
      <c r="B960" s="23" t="s">
        <v>7</v>
      </c>
      <c r="C960" s="2" t="s">
        <v>8</v>
      </c>
      <c r="D960" s="2" t="s">
        <v>10</v>
      </c>
      <c r="E960" s="1" t="s">
        <v>2</v>
      </c>
      <c r="F960" s="19" t="s">
        <v>3</v>
      </c>
      <c r="G960" s="19" t="s">
        <v>5</v>
      </c>
      <c r="H960" s="19" t="s">
        <v>57</v>
      </c>
      <c r="I960" s="28" t="s">
        <v>6</v>
      </c>
      <c r="J960" s="28" t="s">
        <v>1</v>
      </c>
      <c r="K960" s="46"/>
      <c r="V960" s="39"/>
    </row>
    <row r="961" spans="1:22" x14ac:dyDescent="0.25">
      <c r="A961" s="478" t="s">
        <v>33</v>
      </c>
      <c r="B961" s="482" t="s">
        <v>85</v>
      </c>
      <c r="C961" s="485" t="s">
        <v>87</v>
      </c>
      <c r="D961" s="485">
        <v>0</v>
      </c>
      <c r="E961" s="3">
        <f>E307</f>
        <v>1</v>
      </c>
      <c r="F961" s="3">
        <f>F307</f>
        <v>141.82499999999999</v>
      </c>
      <c r="G961" s="5">
        <f>G307</f>
        <v>159.0528991060259</v>
      </c>
      <c r="H961" s="77">
        <v>79.386099999999999</v>
      </c>
      <c r="I961" s="486">
        <f>SUM(G961:G980)</f>
        <v>3065.95</v>
      </c>
      <c r="J961" s="462">
        <f>J307</f>
        <v>99.266000000000005</v>
      </c>
      <c r="K961" s="465">
        <f>K307</f>
        <v>620.59799999999996</v>
      </c>
      <c r="V961" s="39"/>
    </row>
    <row r="962" spans="1:22" x14ac:dyDescent="0.25">
      <c r="A962" s="479"/>
      <c r="B962" s="483"/>
      <c r="C962" s="460"/>
      <c r="D962" s="460"/>
      <c r="E962" s="3">
        <f t="shared" ref="E962:G980" si="18">E308</f>
        <v>2</v>
      </c>
      <c r="F962" s="71">
        <f t="shared" si="18"/>
        <v>142.05600000000001</v>
      </c>
      <c r="G962" s="5">
        <f t="shared" si="18"/>
        <v>159.31195935417324</v>
      </c>
      <c r="H962" s="77">
        <v>97.868200000000002</v>
      </c>
      <c r="I962" s="487"/>
      <c r="J962" s="463"/>
      <c r="K962" s="465"/>
      <c r="V962" s="39"/>
    </row>
    <row r="963" spans="1:22" x14ac:dyDescent="0.25">
      <c r="A963" s="479"/>
      <c r="B963" s="483"/>
      <c r="C963" s="460"/>
      <c r="D963" s="460"/>
      <c r="E963" s="3">
        <f t="shared" si="18"/>
        <v>3</v>
      </c>
      <c r="F963" s="71">
        <f t="shared" si="18"/>
        <v>142.197</v>
      </c>
      <c r="G963" s="5">
        <f t="shared" si="18"/>
        <v>159.47008703810729</v>
      </c>
      <c r="H963" s="77">
        <v>97.259299999999996</v>
      </c>
      <c r="I963" s="487"/>
      <c r="J963" s="463"/>
      <c r="K963" s="465"/>
      <c r="V963" s="39"/>
    </row>
    <row r="964" spans="1:22" ht="15.75" thickBot="1" x14ac:dyDescent="0.3">
      <c r="A964" s="479"/>
      <c r="B964" s="483"/>
      <c r="C964" s="460"/>
      <c r="D964" s="461"/>
      <c r="E964" s="6">
        <f t="shared" si="18"/>
        <v>4</v>
      </c>
      <c r="F964" s="6">
        <f t="shared" si="18"/>
        <v>95.254000000000005</v>
      </c>
      <c r="G964" s="7">
        <f t="shared" si="18"/>
        <v>106.82478301741861</v>
      </c>
      <c r="H964" s="77">
        <v>63.177900000000001</v>
      </c>
      <c r="I964" s="487"/>
      <c r="J964" s="464"/>
      <c r="K964" s="466"/>
      <c r="L964" s="14"/>
      <c r="V964" s="39"/>
    </row>
    <row r="965" spans="1:22" ht="15" customHeight="1" x14ac:dyDescent="0.25">
      <c r="A965" s="479"/>
      <c r="B965" s="483"/>
      <c r="C965" s="460"/>
      <c r="D965" s="459">
        <v>1</v>
      </c>
      <c r="E965" s="72">
        <f t="shared" si="18"/>
        <v>1</v>
      </c>
      <c r="F965" s="72">
        <f t="shared" si="18"/>
        <v>142.977</v>
      </c>
      <c r="G965" s="73">
        <f t="shared" si="18"/>
        <v>160.34483592795536</v>
      </c>
      <c r="H965" s="69"/>
      <c r="I965" s="487"/>
      <c r="J965" s="462">
        <f>J311</f>
        <v>73.486999999999995</v>
      </c>
      <c r="K965" s="465">
        <f>K311</f>
        <v>592.05999999999995</v>
      </c>
      <c r="L965" s="17"/>
      <c r="V965" s="39"/>
    </row>
    <row r="966" spans="1:22" ht="15" customHeight="1" x14ac:dyDescent="0.25">
      <c r="A966" s="479"/>
      <c r="B966" s="483"/>
      <c r="C966" s="460"/>
      <c r="D966" s="460"/>
      <c r="E966" s="3">
        <f t="shared" si="18"/>
        <v>2</v>
      </c>
      <c r="F966" s="71">
        <f t="shared" si="18"/>
        <v>139.572</v>
      </c>
      <c r="G966" s="5">
        <f t="shared" si="18"/>
        <v>156.52622058188788</v>
      </c>
      <c r="H966" s="69"/>
      <c r="I966" s="487"/>
      <c r="J966" s="463"/>
      <c r="K966" s="465"/>
      <c r="L966" s="17"/>
      <c r="V966" s="39"/>
    </row>
    <row r="967" spans="1:22" ht="15" customHeight="1" x14ac:dyDescent="0.25">
      <c r="A967" s="479"/>
      <c r="B967" s="483"/>
      <c r="C967" s="460"/>
      <c r="D967" s="460"/>
      <c r="E967" s="3">
        <f t="shared" si="18"/>
        <v>3</v>
      </c>
      <c r="F967" s="71">
        <f t="shared" si="18"/>
        <v>139.71199999999999</v>
      </c>
      <c r="G967" s="5">
        <f t="shared" si="18"/>
        <v>156.68322679288624</v>
      </c>
      <c r="H967" s="69"/>
      <c r="I967" s="487"/>
      <c r="J967" s="463"/>
      <c r="K967" s="465"/>
      <c r="L967" s="16"/>
      <c r="V967" s="39"/>
    </row>
    <row r="968" spans="1:22" ht="15.75" customHeight="1" thickBot="1" x14ac:dyDescent="0.3">
      <c r="A968" s="479"/>
      <c r="B968" s="483"/>
      <c r="C968" s="460"/>
      <c r="D968" s="461"/>
      <c r="E968" s="6">
        <f t="shared" si="18"/>
        <v>4</v>
      </c>
      <c r="F968" s="6">
        <f t="shared" si="18"/>
        <v>96.311000000000007</v>
      </c>
      <c r="G968" s="7">
        <f t="shared" si="18"/>
        <v>108.01017991045629</v>
      </c>
      <c r="H968" s="69"/>
      <c r="I968" s="487"/>
      <c r="J968" s="464"/>
      <c r="K968" s="466"/>
      <c r="L968" s="15"/>
      <c r="V968" s="39"/>
    </row>
    <row r="969" spans="1:22" ht="15" customHeight="1" x14ac:dyDescent="0.25">
      <c r="A969" s="479"/>
      <c r="B969" s="483"/>
      <c r="C969" s="460"/>
      <c r="D969" s="459">
        <v>2</v>
      </c>
      <c r="E969" s="72">
        <f t="shared" si="18"/>
        <v>1</v>
      </c>
      <c r="F969" s="72">
        <f t="shared" si="18"/>
        <v>141.18700000000001</v>
      </c>
      <c r="G969" s="73">
        <f t="shared" si="18"/>
        <v>158.33739937304765</v>
      </c>
      <c r="H969" s="69"/>
      <c r="I969" s="487"/>
      <c r="J969" s="462">
        <f>J315</f>
        <v>53.119</v>
      </c>
      <c r="K969" s="465">
        <f>K315</f>
        <v>618.55200000000002</v>
      </c>
      <c r="V969" s="39"/>
    </row>
    <row r="970" spans="1:22" ht="15" customHeight="1" x14ac:dyDescent="0.25">
      <c r="A970" s="479"/>
      <c r="B970" s="483"/>
      <c r="C970" s="460"/>
      <c r="D970" s="460"/>
      <c r="E970" s="3">
        <f t="shared" si="18"/>
        <v>2</v>
      </c>
      <c r="F970" s="3">
        <f t="shared" si="18"/>
        <v>141.446</v>
      </c>
      <c r="G970" s="5">
        <f t="shared" si="18"/>
        <v>158.62786086339463</v>
      </c>
      <c r="H970" s="69"/>
      <c r="I970" s="487"/>
      <c r="J970" s="463"/>
      <c r="K970" s="465"/>
      <c r="V970" s="39"/>
    </row>
    <row r="971" spans="1:22" ht="15" customHeight="1" x14ac:dyDescent="0.25">
      <c r="A971" s="479"/>
      <c r="B971" s="483"/>
      <c r="C971" s="460"/>
      <c r="D971" s="460"/>
      <c r="E971" s="3">
        <f t="shared" si="18"/>
        <v>3</v>
      </c>
      <c r="F971" s="3">
        <f t="shared" si="18"/>
        <v>141.572</v>
      </c>
      <c r="G971" s="5">
        <f t="shared" si="18"/>
        <v>158.76916645329317</v>
      </c>
      <c r="H971" s="69"/>
      <c r="I971" s="487"/>
      <c r="J971" s="463"/>
      <c r="K971" s="465"/>
      <c r="V971" s="39"/>
    </row>
    <row r="972" spans="1:22" ht="15.75" customHeight="1" thickBot="1" x14ac:dyDescent="0.3">
      <c r="A972" s="479"/>
      <c r="B972" s="483"/>
      <c r="C972" s="460"/>
      <c r="D972" s="461"/>
      <c r="E972" s="6">
        <f t="shared" si="18"/>
        <v>4</v>
      </c>
      <c r="F972" s="6">
        <f t="shared" si="18"/>
        <v>141.226</v>
      </c>
      <c r="G972" s="7">
        <f t="shared" si="18"/>
        <v>158.38113681754004</v>
      </c>
      <c r="H972" s="69"/>
      <c r="I972" s="487"/>
      <c r="J972" s="464"/>
      <c r="K972" s="466"/>
      <c r="V972" s="39"/>
    </row>
    <row r="973" spans="1:22" ht="15" customHeight="1" x14ac:dyDescent="0.25">
      <c r="A973" s="479"/>
      <c r="B973" s="483"/>
      <c r="C973" s="460"/>
      <c r="D973" s="459">
        <v>3</v>
      </c>
      <c r="E973" s="72">
        <f t="shared" si="18"/>
        <v>1</v>
      </c>
      <c r="F973" s="72">
        <f t="shared" si="18"/>
        <v>141.48599999999999</v>
      </c>
      <c r="G973" s="73">
        <f t="shared" si="18"/>
        <v>158.67271978082272</v>
      </c>
      <c r="H973" s="69"/>
      <c r="I973" s="487"/>
      <c r="J973" s="462">
        <f>J319</f>
        <v>53.119</v>
      </c>
      <c r="K973" s="465">
        <f>K319</f>
        <v>620.15</v>
      </c>
      <c r="V973" s="39"/>
    </row>
    <row r="974" spans="1:22" ht="15" customHeight="1" x14ac:dyDescent="0.25">
      <c r="A974" s="479"/>
      <c r="B974" s="483"/>
      <c r="C974" s="460"/>
      <c r="D974" s="460"/>
      <c r="E974" s="3">
        <f t="shared" si="18"/>
        <v>2</v>
      </c>
      <c r="F974" s="3">
        <f t="shared" si="18"/>
        <v>141.94999999999999</v>
      </c>
      <c r="G974" s="5">
        <f t="shared" si="18"/>
        <v>159.19308322298875</v>
      </c>
      <c r="H974" s="69"/>
      <c r="I974" s="487"/>
      <c r="J974" s="463"/>
      <c r="K974" s="465"/>
      <c r="V974" s="39"/>
    </row>
    <row r="975" spans="1:22" ht="15" customHeight="1" x14ac:dyDescent="0.25">
      <c r="A975" s="479"/>
      <c r="B975" s="483"/>
      <c r="C975" s="460"/>
      <c r="D975" s="460"/>
      <c r="E975" s="3">
        <f t="shared" si="18"/>
        <v>3</v>
      </c>
      <c r="F975" s="3">
        <f t="shared" si="18"/>
        <v>142.07</v>
      </c>
      <c r="G975" s="5">
        <f t="shared" si="18"/>
        <v>159.32765997527306</v>
      </c>
      <c r="H975" s="69"/>
      <c r="I975" s="487"/>
      <c r="J975" s="463"/>
      <c r="K975" s="465"/>
      <c r="V975" s="39"/>
    </row>
    <row r="976" spans="1:22" ht="15.75" customHeight="1" thickBot="1" x14ac:dyDescent="0.3">
      <c r="A976" s="479"/>
      <c r="B976" s="483"/>
      <c r="C976" s="460"/>
      <c r="D976" s="461"/>
      <c r="E976" s="6">
        <f t="shared" si="18"/>
        <v>4</v>
      </c>
      <c r="F976" s="6">
        <f t="shared" si="18"/>
        <v>141.52600000000001</v>
      </c>
      <c r="G976" s="7">
        <f t="shared" si="18"/>
        <v>158.71757869825083</v>
      </c>
      <c r="H976" s="69"/>
      <c r="I976" s="487"/>
      <c r="J976" s="464"/>
      <c r="K976" s="466"/>
      <c r="V976" s="39"/>
    </row>
    <row r="977" spans="1:22" ht="15" customHeight="1" x14ac:dyDescent="0.25">
      <c r="A977" s="479"/>
      <c r="B977" s="483"/>
      <c r="C977" s="460"/>
      <c r="D977" s="460">
        <v>4</v>
      </c>
      <c r="E977" s="70">
        <f t="shared" si="18"/>
        <v>1</v>
      </c>
      <c r="F977" s="70">
        <f t="shared" si="18"/>
        <v>139.13</v>
      </c>
      <c r="G977" s="65">
        <f t="shared" si="18"/>
        <v>156.03052954430731</v>
      </c>
      <c r="H977" s="69"/>
      <c r="I977" s="487"/>
      <c r="J977" s="462">
        <f>J323</f>
        <v>53.119</v>
      </c>
      <c r="K977" s="465">
        <f>K323</f>
        <v>614.59</v>
      </c>
      <c r="V977" s="39"/>
    </row>
    <row r="978" spans="1:22" ht="15" customHeight="1" x14ac:dyDescent="0.25">
      <c r="A978" s="479"/>
      <c r="B978" s="483"/>
      <c r="C978" s="460"/>
      <c r="D978" s="460"/>
      <c r="E978" s="3">
        <f t="shared" si="18"/>
        <v>2</v>
      </c>
      <c r="F978" s="3">
        <f t="shared" si="18"/>
        <v>141.53399999999999</v>
      </c>
      <c r="G978" s="5">
        <f t="shared" si="18"/>
        <v>158.72655048173644</v>
      </c>
      <c r="H978" s="69"/>
      <c r="I978" s="487"/>
      <c r="J978" s="463"/>
      <c r="K978" s="465"/>
      <c r="V978" s="39"/>
    </row>
    <row r="979" spans="1:22" ht="15" customHeight="1" x14ac:dyDescent="0.25">
      <c r="A979" s="479"/>
      <c r="B979" s="483"/>
      <c r="C979" s="460"/>
      <c r="D979" s="460"/>
      <c r="E979" s="3">
        <f t="shared" si="18"/>
        <v>3</v>
      </c>
      <c r="F979" s="3">
        <f t="shared" si="18"/>
        <v>141.65899999999999</v>
      </c>
      <c r="G979" s="5">
        <f t="shared" si="18"/>
        <v>158.86673459869928</v>
      </c>
      <c r="H979" s="69"/>
      <c r="I979" s="487"/>
      <c r="J979" s="463"/>
      <c r="K979" s="465"/>
      <c r="V979" s="39"/>
    </row>
    <row r="980" spans="1:22" ht="15.75" customHeight="1" thickBot="1" x14ac:dyDescent="0.3">
      <c r="A980" s="480"/>
      <c r="B980" s="484"/>
      <c r="C980" s="476"/>
      <c r="D980" s="476"/>
      <c r="E980" s="3">
        <f t="shared" si="18"/>
        <v>4</v>
      </c>
      <c r="F980" s="3">
        <f t="shared" si="18"/>
        <v>139.16999999999999</v>
      </c>
      <c r="G980" s="5">
        <f t="shared" si="18"/>
        <v>156.0753884617354</v>
      </c>
      <c r="H980" s="70"/>
      <c r="I980" s="488"/>
      <c r="J980" s="464"/>
      <c r="K980" s="466"/>
      <c r="V980" s="39"/>
    </row>
    <row r="981" spans="1:22" x14ac:dyDescent="0.25">
      <c r="A981" s="43" t="s">
        <v>4</v>
      </c>
      <c r="B981" s="24"/>
      <c r="C981" s="4"/>
      <c r="D981" s="4"/>
      <c r="E981" s="4"/>
      <c r="F981" s="8">
        <f>SUM(F961:F980)</f>
        <v>2733.86</v>
      </c>
      <c r="G981" s="8"/>
      <c r="H981" s="8"/>
      <c r="I981" s="8">
        <f>K961+K965+K969+K973+K977</f>
        <v>3065.9500000000003</v>
      </c>
      <c r="J981" s="8">
        <f>J977+J973+J969+J965+J961</f>
        <v>332.11</v>
      </c>
      <c r="K981" s="46"/>
      <c r="V981" s="39"/>
    </row>
    <row r="982" spans="1:22" x14ac:dyDescent="0.25">
      <c r="A982" s="37"/>
      <c r="F982" s="18">
        <f>I981/F981</f>
        <v>1.121472935702633</v>
      </c>
      <c r="I982" s="45"/>
      <c r="J982" s="9">
        <f>(J961+J965+J969+J973+J977)/I981</f>
        <v>0.10832205352337775</v>
      </c>
      <c r="K982" s="46"/>
      <c r="V982" s="39"/>
    </row>
    <row r="983" spans="1:22" x14ac:dyDescent="0.25">
      <c r="A983" s="37"/>
      <c r="V983" s="39"/>
    </row>
    <row r="984" spans="1:22" x14ac:dyDescent="0.25">
      <c r="A984" s="37"/>
      <c r="V984" s="39"/>
    </row>
    <row r="985" spans="1:22" ht="18.75" x14ac:dyDescent="0.3">
      <c r="A985" s="457" t="s">
        <v>32</v>
      </c>
      <c r="B985" s="458"/>
      <c r="C985" s="458"/>
      <c r="D985" s="458"/>
      <c r="E985" s="458"/>
      <c r="F985" s="458"/>
      <c r="G985" s="458"/>
      <c r="H985" s="458"/>
      <c r="I985" s="458"/>
      <c r="J985" s="458"/>
      <c r="K985" s="40"/>
      <c r="V985" s="39"/>
    </row>
    <row r="986" spans="1:22" ht="30" x14ac:dyDescent="0.25">
      <c r="A986" s="41" t="s">
        <v>9</v>
      </c>
      <c r="B986" s="23" t="s">
        <v>7</v>
      </c>
      <c r="C986" s="2" t="s">
        <v>8</v>
      </c>
      <c r="D986" s="2" t="s">
        <v>10</v>
      </c>
      <c r="E986" s="1" t="s">
        <v>2</v>
      </c>
      <c r="F986" s="19" t="s">
        <v>3</v>
      </c>
      <c r="G986" s="19" t="s">
        <v>5</v>
      </c>
      <c r="H986" s="19" t="s">
        <v>57</v>
      </c>
      <c r="I986" s="28" t="s">
        <v>6</v>
      </c>
      <c r="J986" s="28" t="s">
        <v>1</v>
      </c>
      <c r="K986" s="40"/>
      <c r="V986" s="39"/>
    </row>
    <row r="987" spans="1:22" x14ac:dyDescent="0.25">
      <c r="A987" s="478" t="s">
        <v>33</v>
      </c>
      <c r="B987" s="482" t="s">
        <v>85</v>
      </c>
      <c r="C987" s="485" t="s">
        <v>88</v>
      </c>
      <c r="D987" s="485">
        <v>0</v>
      </c>
      <c r="E987" s="3">
        <f>E333</f>
        <v>1</v>
      </c>
      <c r="F987" s="3">
        <f>F333</f>
        <v>95.254000000000005</v>
      </c>
      <c r="G987" s="5">
        <f>G333</f>
        <v>105.54728263471846</v>
      </c>
      <c r="H987" s="77">
        <v>63.1755</v>
      </c>
      <c r="I987" s="486">
        <f>SUM(G987:G1006)</f>
        <v>3405.5059999999989</v>
      </c>
      <c r="J987" s="462">
        <f>J333</f>
        <v>99.266000000000005</v>
      </c>
      <c r="K987" s="455">
        <f>K333</f>
        <v>685.9</v>
      </c>
      <c r="V987" s="39"/>
    </row>
    <row r="988" spans="1:22" x14ac:dyDescent="0.25">
      <c r="A988" s="479"/>
      <c r="B988" s="483"/>
      <c r="C988" s="460"/>
      <c r="D988" s="460"/>
      <c r="E988" s="3">
        <f t="shared" ref="E988:G1006" si="19">E334</f>
        <v>2</v>
      </c>
      <c r="F988" s="3">
        <f t="shared" si="19"/>
        <v>162.82599999999999</v>
      </c>
      <c r="G988" s="5">
        <f t="shared" si="19"/>
        <v>180.42120900204364</v>
      </c>
      <c r="H988" s="77">
        <v>77.610299999999995</v>
      </c>
      <c r="I988" s="487"/>
      <c r="J988" s="463"/>
      <c r="K988" s="455"/>
      <c r="V988" s="39"/>
    </row>
    <row r="989" spans="1:22" x14ac:dyDescent="0.25">
      <c r="A989" s="479"/>
      <c r="B989" s="483"/>
      <c r="C989" s="460"/>
      <c r="D989" s="460"/>
      <c r="E989" s="3">
        <f t="shared" si="19"/>
        <v>3</v>
      </c>
      <c r="F989" s="3">
        <f t="shared" si="19"/>
        <v>183.887</v>
      </c>
      <c r="G989" s="5">
        <f t="shared" si="19"/>
        <v>203.75809059830002</v>
      </c>
      <c r="H989" s="77">
        <v>61.527700000000003</v>
      </c>
      <c r="I989" s="487"/>
      <c r="J989" s="463"/>
      <c r="K989" s="455"/>
      <c r="V989" s="39"/>
    </row>
    <row r="990" spans="1:22" ht="15.75" thickBot="1" x14ac:dyDescent="0.3">
      <c r="A990" s="479"/>
      <c r="B990" s="483"/>
      <c r="C990" s="460"/>
      <c r="D990" s="461"/>
      <c r="E990" s="6">
        <f t="shared" si="19"/>
        <v>4</v>
      </c>
      <c r="F990" s="6">
        <f t="shared" si="19"/>
        <v>144.66</v>
      </c>
      <c r="G990" s="7">
        <f t="shared" si="19"/>
        <v>160.29216522076101</v>
      </c>
      <c r="H990" s="77">
        <v>81.552400000000006</v>
      </c>
      <c r="I990" s="487"/>
      <c r="J990" s="464"/>
      <c r="K990" s="456"/>
      <c r="L990" s="14"/>
      <c r="V990" s="39"/>
    </row>
    <row r="991" spans="1:22" ht="15" customHeight="1" x14ac:dyDescent="0.25">
      <c r="A991" s="479"/>
      <c r="B991" s="483"/>
      <c r="C991" s="460"/>
      <c r="D991" s="459">
        <v>1</v>
      </c>
      <c r="E991" s="72">
        <f t="shared" si="19"/>
        <v>1</v>
      </c>
      <c r="F991" s="72">
        <f t="shared" si="19"/>
        <v>96.311000000000007</v>
      </c>
      <c r="G991" s="73">
        <f t="shared" si="19"/>
        <v>106.71850355714584</v>
      </c>
      <c r="H991" s="69"/>
      <c r="I991" s="487"/>
      <c r="J991" s="462">
        <f>J337</f>
        <v>73.486999999999995</v>
      </c>
      <c r="K991" s="455">
        <f>K337</f>
        <v>657.67399999999998</v>
      </c>
      <c r="L991" s="17"/>
      <c r="V991" s="39"/>
    </row>
    <row r="992" spans="1:22" ht="15" customHeight="1" x14ac:dyDescent="0.25">
      <c r="A992" s="479"/>
      <c r="B992" s="483"/>
      <c r="C992" s="460"/>
      <c r="D992" s="460"/>
      <c r="E992" s="3">
        <f t="shared" si="19"/>
        <v>2</v>
      </c>
      <c r="F992" s="3">
        <f t="shared" si="19"/>
        <v>162.57599999999999</v>
      </c>
      <c r="G992" s="5">
        <f t="shared" si="19"/>
        <v>180.14419364669186</v>
      </c>
      <c r="H992" s="69"/>
      <c r="I992" s="487"/>
      <c r="J992" s="463"/>
      <c r="K992" s="455"/>
      <c r="L992" s="17"/>
      <c r="V992" s="39"/>
    </row>
    <row r="993" spans="1:22" ht="15" customHeight="1" x14ac:dyDescent="0.25">
      <c r="A993" s="479"/>
      <c r="B993" s="483"/>
      <c r="C993" s="460"/>
      <c r="D993" s="460"/>
      <c r="E993" s="3">
        <f t="shared" si="19"/>
        <v>3</v>
      </c>
      <c r="F993" s="3">
        <f t="shared" si="19"/>
        <v>183.637</v>
      </c>
      <c r="G993" s="5">
        <f t="shared" si="19"/>
        <v>203.48107524294824</v>
      </c>
      <c r="H993" s="69"/>
      <c r="I993" s="487"/>
      <c r="J993" s="463"/>
      <c r="K993" s="455"/>
      <c r="L993" s="16"/>
      <c r="R993" s="18"/>
      <c r="V993" s="39"/>
    </row>
    <row r="994" spans="1:22" ht="15.75" customHeight="1" thickBot="1" x14ac:dyDescent="0.3">
      <c r="A994" s="479"/>
      <c r="B994" s="483"/>
      <c r="C994" s="460"/>
      <c r="D994" s="461"/>
      <c r="E994" s="6">
        <f t="shared" si="19"/>
        <v>4</v>
      </c>
      <c r="F994" s="6">
        <f t="shared" si="19"/>
        <v>141.66300000000001</v>
      </c>
      <c r="G994" s="7">
        <f t="shared" si="19"/>
        <v>156.97130514080374</v>
      </c>
      <c r="H994" s="69"/>
      <c r="I994" s="487"/>
      <c r="J994" s="464"/>
      <c r="K994" s="456"/>
      <c r="L994" s="15"/>
      <c r="V994" s="39"/>
    </row>
    <row r="995" spans="1:22" ht="15" customHeight="1" x14ac:dyDescent="0.25">
      <c r="A995" s="479"/>
      <c r="B995" s="483"/>
      <c r="C995" s="460"/>
      <c r="D995" s="459">
        <v>2</v>
      </c>
      <c r="E995" s="72">
        <f t="shared" si="19"/>
        <v>1</v>
      </c>
      <c r="F995" s="72">
        <f t="shared" si="19"/>
        <v>141.22499999999999</v>
      </c>
      <c r="G995" s="73">
        <f t="shared" si="19"/>
        <v>156.48597423822739</v>
      </c>
      <c r="H995" s="69"/>
      <c r="I995" s="487"/>
      <c r="J995" s="462">
        <f>J341</f>
        <v>53.119</v>
      </c>
      <c r="K995" s="455">
        <f>K341</f>
        <v>692.64</v>
      </c>
      <c r="V995" s="39"/>
    </row>
    <row r="996" spans="1:22" ht="15" customHeight="1" x14ac:dyDescent="0.25">
      <c r="A996" s="479"/>
      <c r="B996" s="483"/>
      <c r="C996" s="460"/>
      <c r="D996" s="460"/>
      <c r="E996" s="3">
        <f t="shared" si="19"/>
        <v>2</v>
      </c>
      <c r="F996" s="3">
        <f t="shared" si="19"/>
        <v>167.214</v>
      </c>
      <c r="G996" s="5">
        <f t="shared" si="19"/>
        <v>185.2833825191783</v>
      </c>
      <c r="H996" s="69"/>
      <c r="I996" s="487"/>
      <c r="J996" s="463"/>
      <c r="K996" s="455"/>
      <c r="V996" s="39"/>
    </row>
    <row r="997" spans="1:22" ht="15" customHeight="1" x14ac:dyDescent="0.25">
      <c r="A997" s="479"/>
      <c r="B997" s="483"/>
      <c r="C997" s="460"/>
      <c r="D997" s="460"/>
      <c r="E997" s="3">
        <f t="shared" si="19"/>
        <v>3</v>
      </c>
      <c r="F997" s="3">
        <f t="shared" si="19"/>
        <v>187.10300000000001</v>
      </c>
      <c r="G997" s="5">
        <f t="shared" si="19"/>
        <v>207.3216161295455</v>
      </c>
      <c r="H997" s="69"/>
      <c r="I997" s="487"/>
      <c r="J997" s="463"/>
      <c r="K997" s="455"/>
      <c r="V997" s="39"/>
    </row>
    <row r="998" spans="1:22" ht="15.75" customHeight="1" thickBot="1" x14ac:dyDescent="0.3">
      <c r="A998" s="479"/>
      <c r="B998" s="483"/>
      <c r="C998" s="460"/>
      <c r="D998" s="461"/>
      <c r="E998" s="6">
        <f t="shared" si="19"/>
        <v>4</v>
      </c>
      <c r="F998" s="6">
        <f t="shared" si="19"/>
        <v>143.989</v>
      </c>
      <c r="G998" s="7">
        <f t="shared" si="19"/>
        <v>159.54865600699682</v>
      </c>
      <c r="H998" s="69"/>
      <c r="I998" s="487"/>
      <c r="J998" s="464"/>
      <c r="K998" s="456"/>
      <c r="V998" s="39"/>
    </row>
    <row r="999" spans="1:22" ht="15" customHeight="1" x14ac:dyDescent="0.25">
      <c r="A999" s="479"/>
      <c r="B999" s="483"/>
      <c r="C999" s="460"/>
      <c r="D999" s="459">
        <v>3</v>
      </c>
      <c r="E999" s="72">
        <f t="shared" si="19"/>
        <v>1</v>
      </c>
      <c r="F999" s="72">
        <f t="shared" si="19"/>
        <v>141.131</v>
      </c>
      <c r="G999" s="73">
        <f t="shared" si="19"/>
        <v>156.38181646461513</v>
      </c>
      <c r="H999" s="69"/>
      <c r="I999" s="487"/>
      <c r="J999" s="462">
        <f>J345</f>
        <v>53.12</v>
      </c>
      <c r="K999" s="455">
        <f>K345</f>
        <v>689.822</v>
      </c>
      <c r="V999" s="39"/>
    </row>
    <row r="1000" spans="1:22" ht="15" customHeight="1" x14ac:dyDescent="0.25">
      <c r="A1000" s="479"/>
      <c r="B1000" s="483"/>
      <c r="C1000" s="460"/>
      <c r="D1000" s="460"/>
      <c r="E1000" s="3">
        <f t="shared" si="19"/>
        <v>2</v>
      </c>
      <c r="F1000" s="3">
        <f t="shared" si="19"/>
        <v>164.43600000000001</v>
      </c>
      <c r="G1000" s="5">
        <f t="shared" si="19"/>
        <v>182.20518789050919</v>
      </c>
      <c r="H1000" s="69"/>
      <c r="I1000" s="487"/>
      <c r="J1000" s="463"/>
      <c r="K1000" s="455"/>
      <c r="V1000" s="39"/>
    </row>
    <row r="1001" spans="1:22" ht="15" customHeight="1" x14ac:dyDescent="0.25">
      <c r="A1001" s="479"/>
      <c r="B1001" s="483"/>
      <c r="C1001" s="460"/>
      <c r="D1001" s="460"/>
      <c r="E1001" s="3">
        <f t="shared" si="19"/>
        <v>3</v>
      </c>
      <c r="F1001" s="3">
        <f t="shared" si="19"/>
        <v>187.20400000000001</v>
      </c>
      <c r="G1001" s="5">
        <f t="shared" si="19"/>
        <v>207.43353033310763</v>
      </c>
      <c r="H1001" s="69"/>
      <c r="I1001" s="487"/>
      <c r="J1001" s="463"/>
      <c r="K1001" s="455"/>
      <c r="V1001" s="39"/>
    </row>
    <row r="1002" spans="1:22" ht="15.75" customHeight="1" thickBot="1" x14ac:dyDescent="0.3">
      <c r="A1002" s="479"/>
      <c r="B1002" s="483"/>
      <c r="C1002" s="460"/>
      <c r="D1002" s="461"/>
      <c r="E1002" s="6">
        <f t="shared" si="19"/>
        <v>4</v>
      </c>
      <c r="F1002" s="6">
        <f t="shared" si="19"/>
        <v>143.911</v>
      </c>
      <c r="G1002" s="7">
        <f t="shared" si="19"/>
        <v>159.46222721612705</v>
      </c>
      <c r="H1002" s="69"/>
      <c r="I1002" s="487"/>
      <c r="J1002" s="464"/>
      <c r="K1002" s="456"/>
      <c r="V1002" s="39"/>
    </row>
    <row r="1003" spans="1:22" ht="15" customHeight="1" x14ac:dyDescent="0.25">
      <c r="A1003" s="479"/>
      <c r="B1003" s="483"/>
      <c r="C1003" s="460"/>
      <c r="D1003" s="460">
        <v>4</v>
      </c>
      <c r="E1003" s="70">
        <f t="shared" si="19"/>
        <v>1</v>
      </c>
      <c r="F1003" s="70">
        <f t="shared" si="19"/>
        <v>139.16499999999999</v>
      </c>
      <c r="G1003" s="65">
        <f t="shared" si="19"/>
        <v>154.20336771012862</v>
      </c>
      <c r="H1003" s="69"/>
      <c r="I1003" s="487"/>
      <c r="J1003" s="462">
        <f>J349</f>
        <v>53.12</v>
      </c>
      <c r="K1003" s="455">
        <f>K349</f>
        <v>679.47</v>
      </c>
      <c r="V1003" s="39"/>
    </row>
    <row r="1004" spans="1:22" ht="15" customHeight="1" x14ac:dyDescent="0.25">
      <c r="A1004" s="479"/>
      <c r="B1004" s="483"/>
      <c r="C1004" s="460"/>
      <c r="D1004" s="460"/>
      <c r="E1004" s="3">
        <f t="shared" si="19"/>
        <v>2</v>
      </c>
      <c r="F1004" s="3">
        <f t="shared" si="19"/>
        <v>162.69999999999999</v>
      </c>
      <c r="G1004" s="5">
        <f t="shared" si="19"/>
        <v>180.28159326294633</v>
      </c>
      <c r="H1004" s="69"/>
      <c r="I1004" s="487"/>
      <c r="J1004" s="463"/>
      <c r="K1004" s="455"/>
      <c r="V1004" s="39"/>
    </row>
    <row r="1005" spans="1:22" ht="15" customHeight="1" x14ac:dyDescent="0.25">
      <c r="A1005" s="479"/>
      <c r="B1005" s="483"/>
      <c r="C1005" s="460"/>
      <c r="D1005" s="460"/>
      <c r="E1005" s="3">
        <f t="shared" si="19"/>
        <v>3</v>
      </c>
      <c r="F1005" s="3">
        <f t="shared" si="19"/>
        <v>182.57</v>
      </c>
      <c r="G1005" s="5">
        <f t="shared" si="19"/>
        <v>202.29877370630678</v>
      </c>
      <c r="H1005" s="69"/>
      <c r="I1005" s="487"/>
      <c r="J1005" s="463"/>
      <c r="K1005" s="455"/>
      <c r="V1005" s="39"/>
    </row>
    <row r="1006" spans="1:22" ht="15.75" customHeight="1" thickBot="1" x14ac:dyDescent="0.3">
      <c r="A1006" s="480"/>
      <c r="B1006" s="484"/>
      <c r="C1006" s="476"/>
      <c r="D1006" s="476"/>
      <c r="E1006" s="3">
        <f t="shared" si="19"/>
        <v>4</v>
      </c>
      <c r="F1006" s="3">
        <f t="shared" si="19"/>
        <v>141.929</v>
      </c>
      <c r="G1006" s="5">
        <f t="shared" si="19"/>
        <v>157.26604947889805</v>
      </c>
      <c r="H1006" s="70"/>
      <c r="I1006" s="488"/>
      <c r="J1006" s="464"/>
      <c r="K1006" s="456"/>
      <c r="V1006" s="39"/>
    </row>
    <row r="1007" spans="1:22" x14ac:dyDescent="0.25">
      <c r="A1007" s="43" t="s">
        <v>4</v>
      </c>
      <c r="B1007" s="24"/>
      <c r="C1007" s="4"/>
      <c r="D1007" s="4"/>
      <c r="E1007" s="4"/>
      <c r="F1007" s="8">
        <f>SUM(F987:F1006)</f>
        <v>3073.3910000000005</v>
      </c>
      <c r="G1007" s="8"/>
      <c r="H1007" s="8"/>
      <c r="I1007" s="8">
        <f>K987+K991+K995+K999+K1003</f>
        <v>3405.5060000000003</v>
      </c>
      <c r="J1007" s="8">
        <f>J1003+J999+J995+J991+J987</f>
        <v>332.11199999999997</v>
      </c>
      <c r="K1007" s="40"/>
      <c r="V1007" s="39"/>
    </row>
    <row r="1008" spans="1:22" x14ac:dyDescent="0.25">
      <c r="A1008" s="37"/>
      <c r="F1008" s="18">
        <f>I1007/F1007</f>
        <v>1.1080614214071687</v>
      </c>
      <c r="I1008" s="45"/>
      <c r="J1008" s="9">
        <f>(J987+J991+J995+J999+J1003)/I1007</f>
        <v>9.7522071609916397E-2</v>
      </c>
      <c r="K1008" s="40"/>
      <c r="V1008" s="39"/>
    </row>
    <row r="1009" spans="1:22" x14ac:dyDescent="0.25">
      <c r="A1009" s="37"/>
      <c r="V1009" s="39"/>
    </row>
    <row r="1010" spans="1:22" x14ac:dyDescent="0.25">
      <c r="A1010" s="37"/>
      <c r="V1010" s="39"/>
    </row>
    <row r="1011" spans="1:22" ht="15.75" thickBot="1" x14ac:dyDescent="0.3">
      <c r="A1011" s="47"/>
      <c r="B1011" s="48"/>
      <c r="C1011" s="49"/>
      <c r="D1011" s="49"/>
      <c r="E1011" s="49"/>
      <c r="F1011" s="50"/>
      <c r="G1011" s="50"/>
      <c r="H1011" s="50"/>
      <c r="I1011" s="50"/>
      <c r="J1011" s="50"/>
      <c r="K1011" s="50"/>
      <c r="L1011" s="49"/>
      <c r="M1011" s="49"/>
      <c r="N1011" s="49"/>
      <c r="O1011" s="49"/>
      <c r="P1011" s="49"/>
      <c r="Q1011" s="49"/>
      <c r="R1011" s="49"/>
      <c r="S1011" s="49"/>
      <c r="T1011" s="49"/>
      <c r="U1011" s="49"/>
      <c r="V1011" s="51"/>
    </row>
    <row r="1012" spans="1:22" ht="15.75" thickBot="1" x14ac:dyDescent="0.3"/>
    <row r="1013" spans="1:22" x14ac:dyDescent="0.25">
      <c r="A1013" s="31"/>
      <c r="B1013" s="32"/>
      <c r="C1013" s="33"/>
      <c r="D1013" s="33"/>
      <c r="E1013" s="33"/>
      <c r="F1013" s="34"/>
      <c r="G1013" s="34"/>
      <c r="H1013" s="34"/>
      <c r="I1013" s="34"/>
      <c r="J1013" s="34"/>
      <c r="K1013" s="34"/>
      <c r="L1013" s="35" t="s">
        <v>0</v>
      </c>
      <c r="M1013" s="498" t="s">
        <v>89</v>
      </c>
      <c r="N1013" s="498"/>
      <c r="O1013" s="498"/>
      <c r="P1013" s="498"/>
      <c r="Q1013" s="33"/>
      <c r="R1013" s="33"/>
      <c r="S1013" s="33"/>
      <c r="T1013" s="33"/>
      <c r="U1013" s="33"/>
      <c r="V1013" s="36"/>
    </row>
    <row r="1014" spans="1:22" x14ac:dyDescent="0.25">
      <c r="A1014" s="37"/>
      <c r="L1014" s="38" t="s">
        <v>14</v>
      </c>
      <c r="M1014" s="477" t="s">
        <v>12</v>
      </c>
      <c r="N1014" s="477"/>
      <c r="O1014" s="477" t="s">
        <v>12</v>
      </c>
      <c r="P1014" s="477"/>
      <c r="Q1014" s="477" t="s">
        <v>12</v>
      </c>
      <c r="R1014" s="477"/>
      <c r="V1014" s="39"/>
    </row>
    <row r="1015" spans="1:22" x14ac:dyDescent="0.25">
      <c r="A1015" s="37"/>
      <c r="L1015" s="38"/>
      <c r="V1015" s="39"/>
    </row>
    <row r="1016" spans="1:22" x14ac:dyDescent="0.25">
      <c r="A1016" s="37"/>
      <c r="L1016" s="499" t="s">
        <v>11</v>
      </c>
      <c r="M1016" s="21">
        <v>3</v>
      </c>
      <c r="N1016" s="21">
        <v>2</v>
      </c>
      <c r="O1016" s="20">
        <v>3</v>
      </c>
      <c r="P1016" s="20">
        <v>2</v>
      </c>
      <c r="Q1016" s="21">
        <v>3</v>
      </c>
      <c r="R1016" s="21">
        <v>2</v>
      </c>
      <c r="V1016" s="39"/>
    </row>
    <row r="1017" spans="1:22" x14ac:dyDescent="0.25">
      <c r="A1017" s="37"/>
      <c r="L1017" s="499"/>
      <c r="M1017" s="21">
        <v>4</v>
      </c>
      <c r="N1017" s="21">
        <v>1</v>
      </c>
      <c r="O1017" s="20">
        <v>4</v>
      </c>
      <c r="P1017" s="20">
        <v>1</v>
      </c>
      <c r="Q1017" s="21">
        <v>4</v>
      </c>
      <c r="R1017" s="21">
        <v>1</v>
      </c>
      <c r="V1017" s="39"/>
    </row>
    <row r="1018" spans="1:22" x14ac:dyDescent="0.25">
      <c r="A1018" s="37"/>
      <c r="L1018" s="38"/>
      <c r="V1018" s="39"/>
    </row>
    <row r="1019" spans="1:22" x14ac:dyDescent="0.25">
      <c r="A1019" s="37"/>
      <c r="L1019" s="38" t="s">
        <v>14</v>
      </c>
      <c r="M1019" s="477" t="s">
        <v>13</v>
      </c>
      <c r="N1019" s="477"/>
      <c r="O1019" s="477" t="s">
        <v>13</v>
      </c>
      <c r="P1019" s="477"/>
      <c r="Q1019" s="477" t="s">
        <v>13</v>
      </c>
      <c r="R1019" s="477"/>
      <c r="V1019" s="39"/>
    </row>
    <row r="1020" spans="1:22" ht="18.75" x14ac:dyDescent="0.3">
      <c r="A1020" s="457" t="s">
        <v>36</v>
      </c>
      <c r="B1020" s="458"/>
      <c r="C1020" s="458"/>
      <c r="D1020" s="458"/>
      <c r="E1020" s="458"/>
      <c r="F1020" s="458"/>
      <c r="G1020" s="458"/>
      <c r="H1020" s="458"/>
      <c r="I1020" s="458"/>
      <c r="J1020" s="458"/>
      <c r="K1020" s="40"/>
      <c r="M1020" s="477"/>
      <c r="N1020" s="477"/>
      <c r="O1020" s="477"/>
      <c r="P1020" s="477"/>
      <c r="V1020" s="39"/>
    </row>
    <row r="1021" spans="1:22" ht="30" x14ac:dyDescent="0.25">
      <c r="A1021" s="41" t="s">
        <v>9</v>
      </c>
      <c r="B1021" s="23" t="s">
        <v>7</v>
      </c>
      <c r="C1021" s="2" t="s">
        <v>8</v>
      </c>
      <c r="D1021" s="2" t="s">
        <v>10</v>
      </c>
      <c r="E1021" s="1" t="s">
        <v>2</v>
      </c>
      <c r="F1021" s="19" t="s">
        <v>3</v>
      </c>
      <c r="G1021" s="19" t="s">
        <v>5</v>
      </c>
      <c r="H1021" s="19" t="s">
        <v>57</v>
      </c>
      <c r="I1021" s="28" t="s">
        <v>6</v>
      </c>
      <c r="J1021" s="28" t="s">
        <v>1</v>
      </c>
      <c r="K1021" s="40"/>
      <c r="M1021" s="477"/>
      <c r="N1021" s="477"/>
      <c r="O1021" s="477"/>
      <c r="P1021" s="477"/>
      <c r="V1021" s="39"/>
    </row>
    <row r="1022" spans="1:22" x14ac:dyDescent="0.25">
      <c r="A1022" s="478" t="s">
        <v>38</v>
      </c>
      <c r="B1022" s="482" t="s">
        <v>90</v>
      </c>
      <c r="C1022" s="485" t="s">
        <v>91</v>
      </c>
      <c r="D1022" s="485">
        <v>0</v>
      </c>
      <c r="E1022" s="3">
        <f>E193</f>
        <v>1</v>
      </c>
      <c r="F1022" s="3">
        <f>F193</f>
        <v>88.4</v>
      </c>
      <c r="G1022" s="5">
        <f>G193</f>
        <v>96.063970794270958</v>
      </c>
      <c r="H1022" s="76">
        <v>75.3416</v>
      </c>
      <c r="I1022" s="486">
        <f>SUM(G1022:G1041)</f>
        <v>2714.7200000000003</v>
      </c>
      <c r="J1022" s="462">
        <f>J193</f>
        <v>73.23</v>
      </c>
      <c r="K1022" s="455">
        <f>K193</f>
        <v>547.82000000000005</v>
      </c>
      <c r="L1022" s="42"/>
      <c r="V1022" s="39"/>
    </row>
    <row r="1023" spans="1:22" x14ac:dyDescent="0.25">
      <c r="A1023" s="479"/>
      <c r="B1023" s="483"/>
      <c r="C1023" s="460"/>
      <c r="D1023" s="460"/>
      <c r="E1023" s="3">
        <f t="shared" ref="E1023:G1041" si="20">E194</f>
        <v>2</v>
      </c>
      <c r="F1023" s="3">
        <f t="shared" si="20"/>
        <v>124.73</v>
      </c>
      <c r="G1023" s="5">
        <f t="shared" si="20"/>
        <v>135.54365471911103</v>
      </c>
      <c r="H1023" s="76">
        <v>84.036199999999994</v>
      </c>
      <c r="I1023" s="487"/>
      <c r="J1023" s="463"/>
      <c r="K1023" s="455"/>
      <c r="L1023" s="42"/>
      <c r="V1023" s="39"/>
    </row>
    <row r="1024" spans="1:22" x14ac:dyDescent="0.25">
      <c r="A1024" s="479"/>
      <c r="B1024" s="483"/>
      <c r="C1024" s="460"/>
      <c r="D1024" s="460"/>
      <c r="E1024" s="3">
        <f t="shared" si="20"/>
        <v>3</v>
      </c>
      <c r="F1024" s="3">
        <f t="shared" si="20"/>
        <v>129.65</v>
      </c>
      <c r="G1024" s="5">
        <f t="shared" si="20"/>
        <v>140.8902015099234</v>
      </c>
      <c r="H1024" s="76">
        <v>85.562899999999999</v>
      </c>
      <c r="I1024" s="487"/>
      <c r="J1024" s="463"/>
      <c r="K1024" s="455"/>
      <c r="L1024" s="42"/>
      <c r="V1024" s="39"/>
    </row>
    <row r="1025" spans="1:22" ht="15.75" thickBot="1" x14ac:dyDescent="0.3">
      <c r="A1025" s="479"/>
      <c r="B1025" s="483"/>
      <c r="C1025" s="460"/>
      <c r="D1025" s="461"/>
      <c r="E1025" s="6">
        <f t="shared" si="20"/>
        <v>4</v>
      </c>
      <c r="F1025" s="6">
        <f t="shared" si="20"/>
        <v>131.81</v>
      </c>
      <c r="G1025" s="7">
        <f t="shared" si="20"/>
        <v>143.23746595467028</v>
      </c>
      <c r="H1025" s="76">
        <v>63.087899999999998</v>
      </c>
      <c r="I1025" s="487"/>
      <c r="J1025" s="464"/>
      <c r="K1025" s="456"/>
      <c r="L1025" s="42"/>
      <c r="V1025" s="39"/>
    </row>
    <row r="1026" spans="1:22" ht="15" customHeight="1" x14ac:dyDescent="0.25">
      <c r="A1026" s="479"/>
      <c r="B1026" s="483"/>
      <c r="C1026" s="460"/>
      <c r="D1026" s="460">
        <v>1</v>
      </c>
      <c r="E1026" s="70">
        <f t="shared" si="20"/>
        <v>1</v>
      </c>
      <c r="F1026" s="70">
        <f t="shared" si="20"/>
        <v>88.73</v>
      </c>
      <c r="G1026" s="65">
        <f t="shared" si="20"/>
        <v>96.42258063999617</v>
      </c>
      <c r="H1026" s="64"/>
      <c r="I1026" s="487"/>
      <c r="J1026" s="462">
        <f>J197</f>
        <v>46.84</v>
      </c>
      <c r="K1026" s="455">
        <f>K197</f>
        <v>521.86</v>
      </c>
      <c r="L1026" s="11"/>
      <c r="M1026" s="10"/>
      <c r="V1026" s="39"/>
    </row>
    <row r="1027" spans="1:22" ht="15" customHeight="1" x14ac:dyDescent="0.25">
      <c r="A1027" s="479"/>
      <c r="B1027" s="483"/>
      <c r="C1027" s="460"/>
      <c r="D1027" s="460"/>
      <c r="E1027" s="3">
        <f t="shared" si="20"/>
        <v>2</v>
      </c>
      <c r="F1027" s="3">
        <f t="shared" si="20"/>
        <v>126.36</v>
      </c>
      <c r="G1027" s="5">
        <f t="shared" si="20"/>
        <v>137.31497001769318</v>
      </c>
      <c r="H1027" s="64"/>
      <c r="I1027" s="487"/>
      <c r="J1027" s="463"/>
      <c r="K1027" s="455"/>
      <c r="L1027" s="11"/>
      <c r="V1027" s="39"/>
    </row>
    <row r="1028" spans="1:22" ht="15" customHeight="1" x14ac:dyDescent="0.25">
      <c r="A1028" s="479"/>
      <c r="B1028" s="483"/>
      <c r="C1028" s="460"/>
      <c r="D1028" s="460"/>
      <c r="E1028" s="3">
        <f t="shared" si="20"/>
        <v>3</v>
      </c>
      <c r="F1028" s="3">
        <f t="shared" si="20"/>
        <v>131.24</v>
      </c>
      <c r="G1028" s="5">
        <f t="shared" si="20"/>
        <v>142.61804894841765</v>
      </c>
      <c r="H1028" s="64"/>
      <c r="I1028" s="487"/>
      <c r="J1028" s="463"/>
      <c r="K1028" s="455"/>
      <c r="L1028" s="12"/>
      <c r="V1028" s="39"/>
    </row>
    <row r="1029" spans="1:22" ht="15.75" customHeight="1" thickBot="1" x14ac:dyDescent="0.3">
      <c r="A1029" s="479"/>
      <c r="B1029" s="483"/>
      <c r="C1029" s="460"/>
      <c r="D1029" s="461"/>
      <c r="E1029" s="6">
        <f t="shared" si="20"/>
        <v>4</v>
      </c>
      <c r="F1029" s="6">
        <f t="shared" si="20"/>
        <v>128.69</v>
      </c>
      <c r="G1029" s="7">
        <f t="shared" si="20"/>
        <v>139.84697286781366</v>
      </c>
      <c r="H1029" s="64"/>
      <c r="I1029" s="487"/>
      <c r="J1029" s="464"/>
      <c r="K1029" s="456"/>
      <c r="L1029" s="13"/>
      <c r="V1029" s="39"/>
    </row>
    <row r="1030" spans="1:22" ht="15" customHeight="1" x14ac:dyDescent="0.25">
      <c r="A1030" s="479"/>
      <c r="B1030" s="483"/>
      <c r="C1030" s="460"/>
      <c r="D1030" s="460">
        <v>2</v>
      </c>
      <c r="E1030" s="70">
        <f t="shared" si="20"/>
        <v>1</v>
      </c>
      <c r="F1030" s="70">
        <f t="shared" si="20"/>
        <v>127.21</v>
      </c>
      <c r="G1030" s="65">
        <f t="shared" si="20"/>
        <v>138.23866204456115</v>
      </c>
      <c r="H1030" s="64"/>
      <c r="I1030" s="487"/>
      <c r="J1030" s="462">
        <f>J201</f>
        <v>32.549999999999997</v>
      </c>
      <c r="K1030" s="455">
        <f>K201</f>
        <v>549.92999999999995</v>
      </c>
      <c r="L1030" s="42"/>
      <c r="V1030" s="39"/>
    </row>
    <row r="1031" spans="1:22" ht="15" customHeight="1" x14ac:dyDescent="0.25">
      <c r="A1031" s="479"/>
      <c r="B1031" s="483"/>
      <c r="C1031" s="460"/>
      <c r="D1031" s="460"/>
      <c r="E1031" s="3">
        <f t="shared" si="20"/>
        <v>2</v>
      </c>
      <c r="F1031" s="3">
        <f t="shared" si="20"/>
        <v>126.78</v>
      </c>
      <c r="G1031" s="5">
        <f t="shared" si="20"/>
        <v>137.77138254861617</v>
      </c>
      <c r="H1031" s="64"/>
      <c r="I1031" s="487"/>
      <c r="J1031" s="463"/>
      <c r="K1031" s="455"/>
      <c r="L1031" s="42"/>
      <c r="V1031" s="39"/>
    </row>
    <row r="1032" spans="1:22" ht="15" customHeight="1" x14ac:dyDescent="0.25">
      <c r="A1032" s="479"/>
      <c r="B1032" s="483"/>
      <c r="C1032" s="460"/>
      <c r="D1032" s="460"/>
      <c r="E1032" s="3">
        <f t="shared" si="20"/>
        <v>3</v>
      </c>
      <c r="F1032" s="3">
        <f t="shared" si="20"/>
        <v>131.69999999999999</v>
      </c>
      <c r="G1032" s="5">
        <f t="shared" si="20"/>
        <v>143.11792933942854</v>
      </c>
      <c r="H1032" s="64"/>
      <c r="I1032" s="487"/>
      <c r="J1032" s="463"/>
      <c r="K1032" s="455"/>
      <c r="L1032" s="42"/>
      <c r="V1032" s="39"/>
    </row>
    <row r="1033" spans="1:22" ht="15.75" customHeight="1" thickBot="1" x14ac:dyDescent="0.3">
      <c r="A1033" s="479"/>
      <c r="B1033" s="483"/>
      <c r="C1033" s="460"/>
      <c r="D1033" s="461"/>
      <c r="E1033" s="6">
        <f t="shared" si="20"/>
        <v>4</v>
      </c>
      <c r="F1033" s="6">
        <f t="shared" si="20"/>
        <v>131.69</v>
      </c>
      <c r="G1033" s="7">
        <f t="shared" si="20"/>
        <v>143.10706237440658</v>
      </c>
      <c r="H1033" s="64"/>
      <c r="I1033" s="487"/>
      <c r="J1033" s="464"/>
      <c r="K1033" s="456"/>
      <c r="L1033" s="42"/>
      <c r="V1033" s="39"/>
    </row>
    <row r="1034" spans="1:22" ht="15" customHeight="1" x14ac:dyDescent="0.25">
      <c r="A1034" s="479"/>
      <c r="B1034" s="483"/>
      <c r="C1034" s="460"/>
      <c r="D1034" s="460">
        <v>3</v>
      </c>
      <c r="E1034" s="70">
        <f t="shared" si="20"/>
        <v>1</v>
      </c>
      <c r="F1034" s="70">
        <f t="shared" si="20"/>
        <v>131.88</v>
      </c>
      <c r="G1034" s="65">
        <f t="shared" si="20"/>
        <v>143.31353470982413</v>
      </c>
      <c r="H1034" s="66"/>
      <c r="I1034" s="489"/>
      <c r="J1034" s="462">
        <f>J205</f>
        <v>32.549999999999997</v>
      </c>
      <c r="K1034" s="455">
        <f>K205</f>
        <v>549.14</v>
      </c>
      <c r="L1034" s="42"/>
      <c r="V1034" s="39"/>
    </row>
    <row r="1035" spans="1:22" ht="15" customHeight="1" x14ac:dyDescent="0.25">
      <c r="A1035" s="479"/>
      <c r="B1035" s="483"/>
      <c r="C1035" s="460"/>
      <c r="D1035" s="460"/>
      <c r="E1035" s="3">
        <f t="shared" si="20"/>
        <v>2</v>
      </c>
      <c r="F1035" s="3">
        <f t="shared" si="20"/>
        <v>131.43</v>
      </c>
      <c r="G1035" s="5">
        <f t="shared" si="20"/>
        <v>142.8245212838352</v>
      </c>
      <c r="H1035" s="66"/>
      <c r="I1035" s="489"/>
      <c r="J1035" s="463"/>
      <c r="K1035" s="455"/>
      <c r="L1035" s="42"/>
      <c r="V1035" s="39"/>
    </row>
    <row r="1036" spans="1:22" ht="15" customHeight="1" x14ac:dyDescent="0.25">
      <c r="A1036" s="479"/>
      <c r="B1036" s="483"/>
      <c r="C1036" s="460"/>
      <c r="D1036" s="460"/>
      <c r="E1036" s="3">
        <f t="shared" si="20"/>
        <v>3</v>
      </c>
      <c r="F1036" s="3">
        <f t="shared" si="20"/>
        <v>126.97</v>
      </c>
      <c r="G1036" s="5">
        <f t="shared" si="20"/>
        <v>137.97785488403375</v>
      </c>
      <c r="H1036" s="66"/>
      <c r="I1036" s="489"/>
      <c r="J1036" s="463"/>
      <c r="K1036" s="455"/>
      <c r="L1036" s="42"/>
      <c r="V1036" s="39"/>
    </row>
    <row r="1037" spans="1:22" ht="15.75" customHeight="1" thickBot="1" x14ac:dyDescent="0.3">
      <c r="A1037" s="479"/>
      <c r="B1037" s="483"/>
      <c r="C1037" s="460"/>
      <c r="D1037" s="461"/>
      <c r="E1037" s="6">
        <f t="shared" si="20"/>
        <v>4</v>
      </c>
      <c r="F1037" s="6">
        <f t="shared" si="20"/>
        <v>127.45</v>
      </c>
      <c r="G1037" s="7">
        <f t="shared" si="20"/>
        <v>138.49946920508859</v>
      </c>
      <c r="H1037" s="66"/>
      <c r="I1037" s="489"/>
      <c r="J1037" s="464"/>
      <c r="K1037" s="456"/>
      <c r="L1037" s="42"/>
      <c r="V1037" s="39"/>
    </row>
    <row r="1038" spans="1:22" ht="15" customHeight="1" x14ac:dyDescent="0.25">
      <c r="A1038" s="479"/>
      <c r="B1038" s="483"/>
      <c r="C1038" s="460"/>
      <c r="D1038" s="460">
        <v>4</v>
      </c>
      <c r="E1038" s="70">
        <f t="shared" si="20"/>
        <v>1</v>
      </c>
      <c r="F1038" s="70">
        <f t="shared" si="20"/>
        <v>125.15</v>
      </c>
      <c r="G1038" s="65">
        <f t="shared" si="20"/>
        <v>136.00006725003405</v>
      </c>
      <c r="H1038" s="64"/>
      <c r="I1038" s="487"/>
      <c r="J1038" s="462">
        <f>J209</f>
        <v>32.549999999999997</v>
      </c>
      <c r="K1038" s="455">
        <f>K209</f>
        <v>545.97</v>
      </c>
      <c r="L1038" s="42"/>
      <c r="V1038" s="39"/>
    </row>
    <row r="1039" spans="1:22" ht="15" customHeight="1" x14ac:dyDescent="0.25">
      <c r="A1039" s="479"/>
      <c r="B1039" s="483"/>
      <c r="C1039" s="460"/>
      <c r="D1039" s="460"/>
      <c r="E1039" s="3">
        <f t="shared" si="20"/>
        <v>2</v>
      </c>
      <c r="F1039" s="3">
        <f t="shared" si="20"/>
        <v>126.87</v>
      </c>
      <c r="G1039" s="5">
        <f t="shared" si="20"/>
        <v>137.86918523381397</v>
      </c>
      <c r="H1039" s="64"/>
      <c r="I1039" s="487"/>
      <c r="J1039" s="463"/>
      <c r="K1039" s="455"/>
      <c r="L1039" s="42"/>
      <c r="V1039" s="39"/>
    </row>
    <row r="1040" spans="1:22" ht="15" customHeight="1" x14ac:dyDescent="0.25">
      <c r="A1040" s="479"/>
      <c r="B1040" s="483"/>
      <c r="C1040" s="460"/>
      <c r="D1040" s="460"/>
      <c r="E1040" s="3">
        <f t="shared" si="20"/>
        <v>3</v>
      </c>
      <c r="F1040" s="3">
        <f t="shared" si="20"/>
        <v>131.77000000000001</v>
      </c>
      <c r="G1040" s="5">
        <f t="shared" si="20"/>
        <v>143.19399809458238</v>
      </c>
      <c r="H1040" s="64"/>
      <c r="I1040" s="487"/>
      <c r="J1040" s="463"/>
      <c r="K1040" s="455"/>
      <c r="L1040" s="42"/>
      <c r="V1040" s="39"/>
    </row>
    <row r="1041" spans="1:22" ht="15.75" customHeight="1" thickBot="1" x14ac:dyDescent="0.3">
      <c r="A1041" s="480"/>
      <c r="B1041" s="484"/>
      <c r="C1041" s="476"/>
      <c r="D1041" s="476"/>
      <c r="E1041" s="3">
        <f t="shared" si="20"/>
        <v>4</v>
      </c>
      <c r="F1041" s="3">
        <f t="shared" si="20"/>
        <v>129.63</v>
      </c>
      <c r="G1041" s="5">
        <f t="shared" si="20"/>
        <v>140.86846757987945</v>
      </c>
      <c r="H1041" s="65"/>
      <c r="I1041" s="488"/>
      <c r="J1041" s="464"/>
      <c r="K1041" s="456"/>
      <c r="L1041" s="42"/>
      <c r="V1041" s="39"/>
    </row>
    <row r="1042" spans="1:22" x14ac:dyDescent="0.25">
      <c r="A1042" s="43" t="s">
        <v>4</v>
      </c>
      <c r="B1042" s="24"/>
      <c r="C1042" s="4"/>
      <c r="D1042" s="4"/>
      <c r="E1042" s="4"/>
      <c r="F1042" s="8">
        <f>SUM(F1022:F1041)</f>
        <v>2498.14</v>
      </c>
      <c r="G1042" s="8"/>
      <c r="H1042" s="8"/>
      <c r="I1042" s="8">
        <f>K1022+K1026+K1030+K1034+K1038</f>
        <v>2714.7200000000003</v>
      </c>
      <c r="J1042" s="8">
        <f>J1038+J1034+J1030+J1026+J1022</f>
        <v>217.72000000000003</v>
      </c>
      <c r="K1042" s="40"/>
      <c r="L1042" s="44"/>
      <c r="V1042" s="39"/>
    </row>
    <row r="1043" spans="1:22" x14ac:dyDescent="0.25">
      <c r="A1043" s="37"/>
      <c r="F1043" s="18">
        <f>I1042/F1042</f>
        <v>1.0866965021976351</v>
      </c>
      <c r="I1043" s="45"/>
      <c r="J1043" s="9">
        <f>(J1022+J1026+J1030+J1034+J1038)/I1042</f>
        <v>8.0199799611009606E-2</v>
      </c>
      <c r="V1043" s="39"/>
    </row>
    <row r="1044" spans="1:22" ht="18.75" x14ac:dyDescent="0.3">
      <c r="A1044" s="37"/>
      <c r="Q1044" s="481" t="s">
        <v>34</v>
      </c>
      <c r="R1044" s="481"/>
      <c r="S1044" s="60"/>
      <c r="V1044" s="39"/>
    </row>
    <row r="1045" spans="1:22" x14ac:dyDescent="0.25">
      <c r="A1045" s="37"/>
      <c r="Q1045" s="61"/>
      <c r="R1045" s="62" t="s">
        <v>35</v>
      </c>
      <c r="S1045" s="62"/>
      <c r="V1045" s="39"/>
    </row>
    <row r="1046" spans="1:22" ht="18.75" x14ac:dyDescent="0.3">
      <c r="A1046" s="457" t="s">
        <v>36</v>
      </c>
      <c r="B1046" s="458"/>
      <c r="C1046" s="458"/>
      <c r="D1046" s="458"/>
      <c r="E1046" s="458"/>
      <c r="F1046" s="458"/>
      <c r="G1046" s="458"/>
      <c r="H1046" s="458"/>
      <c r="I1046" s="458"/>
      <c r="J1046" s="458"/>
      <c r="K1046" s="46"/>
      <c r="V1046" s="39"/>
    </row>
    <row r="1047" spans="1:22" ht="30" x14ac:dyDescent="0.25">
      <c r="A1047" s="41" t="s">
        <v>9</v>
      </c>
      <c r="B1047" s="23" t="s">
        <v>7</v>
      </c>
      <c r="C1047" s="2" t="s">
        <v>8</v>
      </c>
      <c r="D1047" s="2" t="s">
        <v>10</v>
      </c>
      <c r="E1047" s="1" t="s">
        <v>2</v>
      </c>
      <c r="F1047" s="19" t="s">
        <v>3</v>
      </c>
      <c r="G1047" s="19" t="s">
        <v>5</v>
      </c>
      <c r="H1047" s="19" t="s">
        <v>57</v>
      </c>
      <c r="I1047" s="28" t="s">
        <v>6</v>
      </c>
      <c r="J1047" s="28" t="s">
        <v>1</v>
      </c>
      <c r="K1047" s="46"/>
      <c r="V1047" s="39"/>
    </row>
    <row r="1048" spans="1:22" x14ac:dyDescent="0.25">
      <c r="A1048" s="478" t="s">
        <v>38</v>
      </c>
      <c r="B1048" s="482" t="s">
        <v>90</v>
      </c>
      <c r="C1048" s="485" t="s">
        <v>92</v>
      </c>
      <c r="D1048" s="485">
        <v>0</v>
      </c>
      <c r="E1048" s="3">
        <f>E219</f>
        <v>1</v>
      </c>
      <c r="F1048" s="3">
        <f>F219</f>
        <v>131.81</v>
      </c>
      <c r="G1048" s="5">
        <f>G219</f>
        <v>143.33409972454882</v>
      </c>
      <c r="H1048" s="76">
        <v>76.728700000000003</v>
      </c>
      <c r="I1048" s="486">
        <f>SUM(G1048:G1067)</f>
        <v>2708.2</v>
      </c>
      <c r="J1048" s="462">
        <f>J219</f>
        <v>73.23</v>
      </c>
      <c r="K1048" s="465">
        <f>K219</f>
        <v>547.82000000000005</v>
      </c>
      <c r="V1048" s="39"/>
    </row>
    <row r="1049" spans="1:22" x14ac:dyDescent="0.25">
      <c r="A1049" s="479"/>
      <c r="B1049" s="483"/>
      <c r="C1049" s="460"/>
      <c r="D1049" s="460"/>
      <c r="E1049" s="3">
        <f t="shared" ref="E1049:G1067" si="21">E220</f>
        <v>2</v>
      </c>
      <c r="F1049" s="71">
        <f t="shared" si="21"/>
        <v>129.65</v>
      </c>
      <c r="G1049" s="5">
        <f t="shared" si="21"/>
        <v>140.98525172056563</v>
      </c>
      <c r="H1049" s="76">
        <v>86.075999999999993</v>
      </c>
      <c r="I1049" s="487"/>
      <c r="J1049" s="463"/>
      <c r="K1049" s="465"/>
      <c r="M1049" s="18"/>
      <c r="V1049" s="39"/>
    </row>
    <row r="1050" spans="1:22" x14ac:dyDescent="0.25">
      <c r="A1050" s="479"/>
      <c r="B1050" s="483"/>
      <c r="C1050" s="460"/>
      <c r="D1050" s="460"/>
      <c r="E1050" s="3">
        <f t="shared" si="21"/>
        <v>3</v>
      </c>
      <c r="F1050" s="71">
        <f t="shared" si="21"/>
        <v>124.73</v>
      </c>
      <c r="G1050" s="5">
        <f t="shared" si="21"/>
        <v>135.63509793371503</v>
      </c>
      <c r="H1050" s="76">
        <v>85.509600000000006</v>
      </c>
      <c r="I1050" s="487"/>
      <c r="J1050" s="463"/>
      <c r="K1050" s="465"/>
      <c r="V1050" s="39"/>
    </row>
    <row r="1051" spans="1:22" ht="15.75" thickBot="1" x14ac:dyDescent="0.3">
      <c r="A1051" s="479"/>
      <c r="B1051" s="483"/>
      <c r="C1051" s="460"/>
      <c r="D1051" s="461"/>
      <c r="E1051" s="6">
        <f t="shared" si="21"/>
        <v>4</v>
      </c>
      <c r="F1051" s="6">
        <f t="shared" si="21"/>
        <v>88.4</v>
      </c>
      <c r="G1051" s="7">
        <f t="shared" si="21"/>
        <v>96.128779422275372</v>
      </c>
      <c r="H1051" s="76">
        <v>64.038600000000002</v>
      </c>
      <c r="I1051" s="487"/>
      <c r="J1051" s="464"/>
      <c r="K1051" s="466"/>
      <c r="L1051" s="14"/>
      <c r="V1051" s="39"/>
    </row>
    <row r="1052" spans="1:22" ht="15" customHeight="1" x14ac:dyDescent="0.25">
      <c r="A1052" s="479"/>
      <c r="B1052" s="483"/>
      <c r="C1052" s="460"/>
      <c r="D1052" s="460">
        <v>1</v>
      </c>
      <c r="E1052" s="70">
        <f t="shared" si="21"/>
        <v>1</v>
      </c>
      <c r="F1052" s="70">
        <f t="shared" si="21"/>
        <v>132.43</v>
      </c>
      <c r="G1052" s="65">
        <f t="shared" si="21"/>
        <v>144.00830609606254</v>
      </c>
      <c r="H1052" s="64"/>
      <c r="I1052" s="487"/>
      <c r="J1052" s="462">
        <f>J223</f>
        <v>46.84</v>
      </c>
      <c r="K1052" s="465">
        <f>K223</f>
        <v>515.34</v>
      </c>
      <c r="L1052" s="17"/>
      <c r="V1052" s="39"/>
    </row>
    <row r="1053" spans="1:22" ht="15" customHeight="1" x14ac:dyDescent="0.25">
      <c r="A1053" s="479"/>
      <c r="B1053" s="483"/>
      <c r="C1053" s="460"/>
      <c r="D1053" s="460"/>
      <c r="E1053" s="3">
        <f t="shared" si="21"/>
        <v>2</v>
      </c>
      <c r="F1053" s="71">
        <f t="shared" si="21"/>
        <v>126.09</v>
      </c>
      <c r="G1053" s="5">
        <f t="shared" si="21"/>
        <v>137.11400223251925</v>
      </c>
      <c r="H1053" s="64"/>
      <c r="I1053" s="487"/>
      <c r="J1053" s="463"/>
      <c r="K1053" s="465"/>
      <c r="L1053" s="63"/>
      <c r="M1053" s="29"/>
      <c r="V1053" s="39"/>
    </row>
    <row r="1054" spans="1:22" ht="15" customHeight="1" x14ac:dyDescent="0.25">
      <c r="A1054" s="479"/>
      <c r="B1054" s="483"/>
      <c r="C1054" s="460"/>
      <c r="D1054" s="460"/>
      <c r="E1054" s="3">
        <f t="shared" si="21"/>
        <v>3</v>
      </c>
      <c r="F1054" s="71">
        <f t="shared" si="21"/>
        <v>121.24</v>
      </c>
      <c r="G1054" s="5">
        <f t="shared" si="21"/>
        <v>131.83996851987177</v>
      </c>
      <c r="H1054" s="64"/>
      <c r="I1054" s="487"/>
      <c r="J1054" s="463"/>
      <c r="K1054" s="465"/>
      <c r="L1054" s="16"/>
      <c r="M1054" s="10"/>
      <c r="V1054" s="39"/>
    </row>
    <row r="1055" spans="1:22" ht="15.75" customHeight="1" thickBot="1" x14ac:dyDescent="0.3">
      <c r="A1055" s="479"/>
      <c r="B1055" s="483"/>
      <c r="C1055" s="460"/>
      <c r="D1055" s="461"/>
      <c r="E1055" s="3">
        <f t="shared" si="21"/>
        <v>4</v>
      </c>
      <c r="F1055" s="3">
        <f t="shared" si="21"/>
        <v>88.73</v>
      </c>
      <c r="G1055" s="5">
        <f t="shared" si="21"/>
        <v>96.487631200661696</v>
      </c>
      <c r="H1055" s="64"/>
      <c r="I1055" s="487"/>
      <c r="J1055" s="464"/>
      <c r="K1055" s="466"/>
      <c r="L1055" s="15"/>
      <c r="V1055" s="39"/>
    </row>
    <row r="1056" spans="1:22" ht="15" customHeight="1" x14ac:dyDescent="0.25">
      <c r="A1056" s="479"/>
      <c r="B1056" s="483"/>
      <c r="C1056" s="460"/>
      <c r="D1056" s="459">
        <v>2</v>
      </c>
      <c r="E1056" s="3">
        <f t="shared" si="21"/>
        <v>1</v>
      </c>
      <c r="F1056" s="3">
        <f t="shared" si="21"/>
        <v>131.69</v>
      </c>
      <c r="G1056" s="5">
        <f t="shared" si="21"/>
        <v>143.20360816877198</v>
      </c>
      <c r="H1056" s="64"/>
      <c r="I1056" s="487"/>
      <c r="J1056" s="462">
        <f>J227</f>
        <v>32.549999999999997</v>
      </c>
      <c r="K1056" s="465">
        <f>K227</f>
        <v>549.92999999999995</v>
      </c>
      <c r="V1056" s="39"/>
    </row>
    <row r="1057" spans="1:22" ht="15" customHeight="1" x14ac:dyDescent="0.25">
      <c r="A1057" s="479"/>
      <c r="B1057" s="483"/>
      <c r="C1057" s="460"/>
      <c r="D1057" s="460"/>
      <c r="E1057" s="3">
        <f t="shared" si="21"/>
        <v>2</v>
      </c>
      <c r="F1057" s="3">
        <f t="shared" si="21"/>
        <v>131.69999999999999</v>
      </c>
      <c r="G1057" s="5">
        <f t="shared" si="21"/>
        <v>143.21448246508672</v>
      </c>
      <c r="H1057" s="64"/>
      <c r="I1057" s="487"/>
      <c r="J1057" s="463"/>
      <c r="K1057" s="465"/>
      <c r="M1057" s="18"/>
      <c r="V1057" s="39"/>
    </row>
    <row r="1058" spans="1:22" ht="15" customHeight="1" x14ac:dyDescent="0.25">
      <c r="A1058" s="479"/>
      <c r="B1058" s="483"/>
      <c r="C1058" s="460"/>
      <c r="D1058" s="460"/>
      <c r="E1058" s="3">
        <f t="shared" si="21"/>
        <v>3</v>
      </c>
      <c r="F1058" s="3">
        <f t="shared" si="21"/>
        <v>126.78</v>
      </c>
      <c r="G1058" s="5">
        <f t="shared" si="21"/>
        <v>137.86432867823612</v>
      </c>
      <c r="H1058" s="64"/>
      <c r="I1058" s="487"/>
      <c r="J1058" s="463"/>
      <c r="K1058" s="465"/>
      <c r="L1058" s="18" t="s">
        <v>39</v>
      </c>
      <c r="M1058" s="18"/>
      <c r="V1058" s="39"/>
    </row>
    <row r="1059" spans="1:22" ht="15.75" customHeight="1" thickBot="1" x14ac:dyDescent="0.3">
      <c r="A1059" s="479"/>
      <c r="B1059" s="483"/>
      <c r="C1059" s="460"/>
      <c r="D1059" s="461"/>
      <c r="E1059" s="6">
        <f t="shared" si="21"/>
        <v>4</v>
      </c>
      <c r="F1059" s="6">
        <f t="shared" si="21"/>
        <v>127.21</v>
      </c>
      <c r="G1059" s="7">
        <f t="shared" si="21"/>
        <v>138.33192341976979</v>
      </c>
      <c r="H1059" s="64"/>
      <c r="I1059" s="487"/>
      <c r="J1059" s="464"/>
      <c r="K1059" s="466"/>
      <c r="V1059" s="39"/>
    </row>
    <row r="1060" spans="1:22" ht="15" customHeight="1" x14ac:dyDescent="0.25">
      <c r="A1060" s="479"/>
      <c r="B1060" s="483"/>
      <c r="C1060" s="460"/>
      <c r="D1060" s="460">
        <v>3</v>
      </c>
      <c r="E1060" s="70">
        <f t="shared" si="21"/>
        <v>1</v>
      </c>
      <c r="F1060" s="70">
        <f t="shared" si="21"/>
        <v>131.59</v>
      </c>
      <c r="G1060" s="65">
        <f t="shared" si="21"/>
        <v>143.09486520562461</v>
      </c>
      <c r="H1060" s="64"/>
      <c r="I1060" s="487"/>
      <c r="J1060" s="462">
        <f>J231</f>
        <v>32.549999999999997</v>
      </c>
      <c r="K1060" s="465">
        <f>K231</f>
        <v>549.14</v>
      </c>
      <c r="V1060" s="39"/>
    </row>
    <row r="1061" spans="1:22" ht="15" customHeight="1" x14ac:dyDescent="0.25">
      <c r="A1061" s="479"/>
      <c r="B1061" s="483"/>
      <c r="C1061" s="460"/>
      <c r="D1061" s="460"/>
      <c r="E1061" s="3">
        <f t="shared" si="21"/>
        <v>2</v>
      </c>
      <c r="F1061" s="3">
        <f t="shared" si="21"/>
        <v>131.4</v>
      </c>
      <c r="G1061" s="5">
        <f t="shared" si="21"/>
        <v>142.88825357564463</v>
      </c>
      <c r="H1061" s="64"/>
      <c r="I1061" s="487"/>
      <c r="J1061" s="463"/>
      <c r="K1061" s="465"/>
      <c r="M1061" s="18"/>
      <c r="V1061" s="39"/>
    </row>
    <row r="1062" spans="1:22" ht="15" customHeight="1" x14ac:dyDescent="0.25">
      <c r="A1062" s="479"/>
      <c r="B1062" s="483"/>
      <c r="C1062" s="460"/>
      <c r="D1062" s="460"/>
      <c r="E1062" s="3">
        <f t="shared" si="21"/>
        <v>3</v>
      </c>
      <c r="F1062" s="3">
        <f t="shared" si="21"/>
        <v>126.49</v>
      </c>
      <c r="G1062" s="5">
        <f t="shared" si="21"/>
        <v>137.54897408510874</v>
      </c>
      <c r="H1062" s="64"/>
      <c r="I1062" s="487"/>
      <c r="J1062" s="463"/>
      <c r="K1062" s="465"/>
      <c r="M1062" s="18"/>
      <c r="V1062" s="39"/>
    </row>
    <row r="1063" spans="1:22" ht="15.75" customHeight="1" thickBot="1" x14ac:dyDescent="0.3">
      <c r="A1063" s="479"/>
      <c r="B1063" s="483"/>
      <c r="C1063" s="460"/>
      <c r="D1063" s="461"/>
      <c r="E1063" s="6">
        <f t="shared" si="21"/>
        <v>4</v>
      </c>
      <c r="F1063" s="6">
        <f t="shared" si="21"/>
        <v>127.1</v>
      </c>
      <c r="G1063" s="7">
        <f t="shared" si="21"/>
        <v>138.21230616030769</v>
      </c>
      <c r="H1063" s="64"/>
      <c r="I1063" s="487"/>
      <c r="J1063" s="464"/>
      <c r="K1063" s="466"/>
      <c r="V1063" s="39"/>
    </row>
    <row r="1064" spans="1:22" ht="15" customHeight="1" x14ac:dyDescent="0.25">
      <c r="A1064" s="479"/>
      <c r="B1064" s="483"/>
      <c r="C1064" s="460"/>
      <c r="D1064" s="460">
        <v>4</v>
      </c>
      <c r="E1064" s="70">
        <f t="shared" si="21"/>
        <v>1</v>
      </c>
      <c r="F1064" s="70">
        <f t="shared" si="21"/>
        <v>129.63</v>
      </c>
      <c r="G1064" s="65">
        <f t="shared" si="21"/>
        <v>140.96350312793615</v>
      </c>
      <c r="H1064" s="64"/>
      <c r="I1064" s="487"/>
      <c r="J1064" s="462">
        <f>J235</f>
        <v>32.549999999999997</v>
      </c>
      <c r="K1064" s="465">
        <f>K235</f>
        <v>545.97</v>
      </c>
      <c r="V1064" s="39"/>
    </row>
    <row r="1065" spans="1:22" ht="15" customHeight="1" x14ac:dyDescent="0.25">
      <c r="A1065" s="479"/>
      <c r="B1065" s="483"/>
      <c r="C1065" s="460"/>
      <c r="D1065" s="460"/>
      <c r="E1065" s="3">
        <f t="shared" si="21"/>
        <v>2</v>
      </c>
      <c r="F1065" s="3">
        <f t="shared" si="21"/>
        <v>131.78</v>
      </c>
      <c r="G1065" s="5">
        <f t="shared" si="21"/>
        <v>143.30147683560463</v>
      </c>
      <c r="H1065" s="64"/>
      <c r="I1065" s="487"/>
      <c r="J1065" s="463"/>
      <c r="K1065" s="465"/>
      <c r="M1065" s="18"/>
      <c r="V1065" s="39"/>
    </row>
    <row r="1066" spans="1:22" ht="15" customHeight="1" x14ac:dyDescent="0.25">
      <c r="A1066" s="479"/>
      <c r="B1066" s="483"/>
      <c r="C1066" s="460"/>
      <c r="D1066" s="460"/>
      <c r="E1066" s="3">
        <f t="shared" si="21"/>
        <v>3</v>
      </c>
      <c r="F1066" s="3">
        <f t="shared" si="21"/>
        <v>126.86</v>
      </c>
      <c r="G1066" s="5">
        <f t="shared" si="21"/>
        <v>137.95132304875401</v>
      </c>
      <c r="H1066" s="64"/>
      <c r="I1066" s="487"/>
      <c r="J1066" s="463"/>
      <c r="K1066" s="465"/>
      <c r="V1066" s="39"/>
    </row>
    <row r="1067" spans="1:22" ht="15.75" customHeight="1" thickBot="1" x14ac:dyDescent="0.3">
      <c r="A1067" s="480"/>
      <c r="B1067" s="484"/>
      <c r="C1067" s="476"/>
      <c r="D1067" s="476"/>
      <c r="E1067" s="3">
        <f t="shared" si="21"/>
        <v>4</v>
      </c>
      <c r="F1067" s="3">
        <f t="shared" si="21"/>
        <v>125.15</v>
      </c>
      <c r="G1067" s="5">
        <f t="shared" si="21"/>
        <v>136.09181837893397</v>
      </c>
      <c r="H1067" s="65"/>
      <c r="I1067" s="488"/>
      <c r="J1067" s="464"/>
      <c r="K1067" s="466"/>
      <c r="V1067" s="39"/>
    </row>
    <row r="1068" spans="1:22" x14ac:dyDescent="0.25">
      <c r="A1068" s="43" t="s">
        <v>4</v>
      </c>
      <c r="B1068" s="24"/>
      <c r="C1068" s="4"/>
      <c r="D1068" s="4"/>
      <c r="E1068" s="4"/>
      <c r="F1068" s="8">
        <f>SUM(F1048:F1067)</f>
        <v>2490.4600000000005</v>
      </c>
      <c r="G1068" s="8"/>
      <c r="H1068" s="8"/>
      <c r="I1068" s="8">
        <f>K1048+K1052+K1056+K1060+K1064</f>
        <v>2708.2</v>
      </c>
      <c r="J1068" s="8">
        <f>J1064+J1060+J1056+J1052+J1048</f>
        <v>217.72000000000003</v>
      </c>
      <c r="K1068" s="46"/>
      <c r="V1068" s="39"/>
    </row>
    <row r="1069" spans="1:22" x14ac:dyDescent="0.25">
      <c r="A1069" s="37"/>
      <c r="F1069" s="18">
        <f>I1068/F1068</f>
        <v>1.0874296314737033</v>
      </c>
      <c r="I1069" s="45"/>
      <c r="J1069" s="9">
        <f>(J1048+J1052+J1056+J1060+J1064)/I1068</f>
        <v>8.0392880880289508E-2</v>
      </c>
      <c r="K1069" s="46"/>
      <c r="V1069" s="39"/>
    </row>
    <row r="1070" spans="1:22" x14ac:dyDescent="0.25">
      <c r="A1070" s="37"/>
      <c r="V1070" s="39"/>
    </row>
    <row r="1071" spans="1:22" x14ac:dyDescent="0.25">
      <c r="A1071" s="37"/>
      <c r="V1071" s="39"/>
    </row>
    <row r="1072" spans="1:22" ht="18.75" x14ac:dyDescent="0.3">
      <c r="A1072" s="457" t="s">
        <v>36</v>
      </c>
      <c r="B1072" s="458"/>
      <c r="C1072" s="458"/>
      <c r="D1072" s="458"/>
      <c r="E1072" s="458"/>
      <c r="F1072" s="458"/>
      <c r="G1072" s="458"/>
      <c r="H1072" s="458"/>
      <c r="I1072" s="458"/>
      <c r="J1072" s="458"/>
      <c r="K1072" s="40"/>
      <c r="V1072" s="39"/>
    </row>
    <row r="1073" spans="1:22" ht="30" x14ac:dyDescent="0.25">
      <c r="A1073" s="41" t="s">
        <v>9</v>
      </c>
      <c r="B1073" s="23" t="s">
        <v>7</v>
      </c>
      <c r="C1073" s="2" t="s">
        <v>8</v>
      </c>
      <c r="D1073" s="2" t="s">
        <v>10</v>
      </c>
      <c r="E1073" s="1" t="s">
        <v>2</v>
      </c>
      <c r="F1073" s="19" t="s">
        <v>3</v>
      </c>
      <c r="G1073" s="19" t="s">
        <v>5</v>
      </c>
      <c r="H1073" s="19" t="s">
        <v>57</v>
      </c>
      <c r="I1073" s="28" t="s">
        <v>6</v>
      </c>
      <c r="J1073" s="28" t="s">
        <v>1</v>
      </c>
      <c r="K1073" s="40"/>
      <c r="V1073" s="39"/>
    </row>
    <row r="1074" spans="1:22" x14ac:dyDescent="0.25">
      <c r="A1074" s="478" t="s">
        <v>38</v>
      </c>
      <c r="B1074" s="482" t="s">
        <v>90</v>
      </c>
      <c r="C1074" s="485" t="s">
        <v>93</v>
      </c>
      <c r="D1074" s="485">
        <v>0</v>
      </c>
      <c r="E1074" s="3">
        <f>E245</f>
        <v>1</v>
      </c>
      <c r="F1074" s="3">
        <f>F245</f>
        <v>131.81</v>
      </c>
      <c r="G1074" s="5">
        <f>G245</f>
        <v>143.30566590029719</v>
      </c>
      <c r="H1074" s="76">
        <v>64.4328</v>
      </c>
      <c r="I1074" s="486">
        <f>SUM(G1074:G1093)</f>
        <v>2714.3599999999988</v>
      </c>
      <c r="J1074" s="462">
        <f>J245</f>
        <v>73.23</v>
      </c>
      <c r="K1074" s="455">
        <f>K245</f>
        <v>547.75</v>
      </c>
      <c r="V1074" s="39"/>
    </row>
    <row r="1075" spans="1:22" x14ac:dyDescent="0.25">
      <c r="A1075" s="479"/>
      <c r="B1075" s="483"/>
      <c r="C1075" s="460"/>
      <c r="D1075" s="460"/>
      <c r="E1075" s="3">
        <f t="shared" ref="E1075:G1093" si="22">E246</f>
        <v>2</v>
      </c>
      <c r="F1075" s="3">
        <f t="shared" si="22"/>
        <v>129.65</v>
      </c>
      <c r="G1075" s="5">
        <f t="shared" si="22"/>
        <v>140.95728384776217</v>
      </c>
      <c r="H1075" s="76">
        <v>85.619500000000002</v>
      </c>
      <c r="I1075" s="487"/>
      <c r="J1075" s="463"/>
      <c r="K1075" s="455"/>
      <c r="V1075" s="39"/>
    </row>
    <row r="1076" spans="1:22" x14ac:dyDescent="0.25">
      <c r="A1076" s="479"/>
      <c r="B1076" s="483"/>
      <c r="C1076" s="460"/>
      <c r="D1076" s="460"/>
      <c r="E1076" s="3">
        <f t="shared" si="22"/>
        <v>3</v>
      </c>
      <c r="F1076" s="3">
        <f t="shared" si="22"/>
        <v>124.69</v>
      </c>
      <c r="G1076" s="5">
        <f t="shared" si="22"/>
        <v>135.56470283823728</v>
      </c>
      <c r="H1076" s="76">
        <v>84.075199999999995</v>
      </c>
      <c r="I1076" s="487"/>
      <c r="J1076" s="463"/>
      <c r="K1076" s="455"/>
      <c r="V1076" s="39"/>
    </row>
    <row r="1077" spans="1:22" ht="15.75" thickBot="1" x14ac:dyDescent="0.3">
      <c r="A1077" s="479"/>
      <c r="B1077" s="483"/>
      <c r="C1077" s="460"/>
      <c r="D1077" s="461"/>
      <c r="E1077" s="6">
        <f t="shared" si="22"/>
        <v>4</v>
      </c>
      <c r="F1077" s="6">
        <f t="shared" si="22"/>
        <v>88.37</v>
      </c>
      <c r="G1077" s="7">
        <f t="shared" si="22"/>
        <v>96.077093510426081</v>
      </c>
      <c r="H1077" s="76">
        <v>72.604399999999998</v>
      </c>
      <c r="I1077" s="487"/>
      <c r="J1077" s="464"/>
      <c r="K1077" s="456"/>
      <c r="L1077" s="14"/>
      <c r="V1077" s="39"/>
    </row>
    <row r="1078" spans="1:22" ht="15" customHeight="1" x14ac:dyDescent="0.25">
      <c r="A1078" s="479"/>
      <c r="B1078" s="483"/>
      <c r="C1078" s="460"/>
      <c r="D1078" s="459">
        <v>1</v>
      </c>
      <c r="E1078" s="72">
        <f t="shared" si="22"/>
        <v>1</v>
      </c>
      <c r="F1078" s="72">
        <f t="shared" si="22"/>
        <v>128.69</v>
      </c>
      <c r="G1078" s="73">
        <f t="shared" si="22"/>
        <v>139.91355849107993</v>
      </c>
      <c r="H1078" s="64"/>
      <c r="I1078" s="487"/>
      <c r="J1078" s="462">
        <f>J249</f>
        <v>46.84</v>
      </c>
      <c r="K1078" s="455">
        <f>K249</f>
        <v>521.79</v>
      </c>
      <c r="L1078" s="17"/>
      <c r="V1078" s="39"/>
    </row>
    <row r="1079" spans="1:22" ht="15" customHeight="1" x14ac:dyDescent="0.25">
      <c r="A1079" s="479"/>
      <c r="B1079" s="483"/>
      <c r="C1079" s="460"/>
      <c r="D1079" s="460"/>
      <c r="E1079" s="3">
        <f t="shared" si="22"/>
        <v>2</v>
      </c>
      <c r="F1079" s="3">
        <f t="shared" si="22"/>
        <v>131.24</v>
      </c>
      <c r="G1079" s="5">
        <f t="shared" si="22"/>
        <v>142.6859539697671</v>
      </c>
      <c r="H1079" s="64"/>
      <c r="I1079" s="487"/>
      <c r="J1079" s="463"/>
      <c r="K1079" s="455"/>
      <c r="L1079" s="17"/>
      <c r="M1079" s="29"/>
      <c r="V1079" s="39"/>
    </row>
    <row r="1080" spans="1:22" ht="15" customHeight="1" x14ac:dyDescent="0.25">
      <c r="A1080" s="479"/>
      <c r="B1080" s="483"/>
      <c r="C1080" s="460"/>
      <c r="D1080" s="460"/>
      <c r="E1080" s="3">
        <f t="shared" si="22"/>
        <v>3</v>
      </c>
      <c r="F1080" s="3">
        <f t="shared" si="22"/>
        <v>126.32</v>
      </c>
      <c r="G1080" s="5">
        <f t="shared" si="22"/>
        <v>137.33686151677065</v>
      </c>
      <c r="H1080" s="64"/>
      <c r="I1080" s="487"/>
      <c r="J1080" s="463"/>
      <c r="K1080" s="455"/>
      <c r="L1080" s="16"/>
      <c r="M1080" s="10"/>
      <c r="V1080" s="39"/>
    </row>
    <row r="1081" spans="1:22" ht="15.75" customHeight="1" thickBot="1" x14ac:dyDescent="0.3">
      <c r="A1081" s="479"/>
      <c r="B1081" s="483"/>
      <c r="C1081" s="460"/>
      <c r="D1081" s="461"/>
      <c r="E1081" s="6">
        <f t="shared" si="22"/>
        <v>4</v>
      </c>
      <c r="F1081" s="6">
        <f t="shared" si="22"/>
        <v>88.69</v>
      </c>
      <c r="G1081" s="7">
        <f t="shared" si="22"/>
        <v>96.425001962653482</v>
      </c>
      <c r="H1081" s="64"/>
      <c r="I1081" s="487"/>
      <c r="J1081" s="464"/>
      <c r="K1081" s="456"/>
      <c r="L1081" s="15"/>
      <c r="V1081" s="39"/>
    </row>
    <row r="1082" spans="1:22" ht="15" customHeight="1" x14ac:dyDescent="0.25">
      <c r="A1082" s="479"/>
      <c r="B1082" s="483"/>
      <c r="C1082" s="460"/>
      <c r="D1082" s="459">
        <v>2</v>
      </c>
      <c r="E1082" s="72">
        <f t="shared" si="22"/>
        <v>1</v>
      </c>
      <c r="F1082" s="72">
        <f t="shared" si="22"/>
        <v>131.69</v>
      </c>
      <c r="G1082" s="73">
        <f t="shared" si="22"/>
        <v>143.17520023071191</v>
      </c>
      <c r="H1082" s="64"/>
      <c r="I1082" s="487"/>
      <c r="J1082" s="462">
        <f>J253</f>
        <v>32.549999999999997</v>
      </c>
      <c r="K1082" s="455">
        <f>K253</f>
        <v>549.86</v>
      </c>
      <c r="V1082" s="39"/>
    </row>
    <row r="1083" spans="1:22" ht="15" customHeight="1" x14ac:dyDescent="0.25">
      <c r="A1083" s="479"/>
      <c r="B1083" s="483"/>
      <c r="C1083" s="460"/>
      <c r="D1083" s="460"/>
      <c r="E1083" s="3">
        <f t="shared" si="22"/>
        <v>2</v>
      </c>
      <c r="F1083" s="3">
        <f t="shared" si="22"/>
        <v>131.69999999999999</v>
      </c>
      <c r="G1083" s="5">
        <f t="shared" si="22"/>
        <v>143.186072369844</v>
      </c>
      <c r="H1083" s="64"/>
      <c r="I1083" s="487"/>
      <c r="J1083" s="463"/>
      <c r="K1083" s="455"/>
      <c r="V1083" s="39"/>
    </row>
    <row r="1084" spans="1:22" ht="15" customHeight="1" x14ac:dyDescent="0.25">
      <c r="A1084" s="479"/>
      <c r="B1084" s="483"/>
      <c r="C1084" s="460"/>
      <c r="D1084" s="460"/>
      <c r="E1084" s="3">
        <f t="shared" si="22"/>
        <v>3</v>
      </c>
      <c r="F1084" s="3">
        <f t="shared" si="22"/>
        <v>126.75</v>
      </c>
      <c r="G1084" s="5">
        <f t="shared" si="22"/>
        <v>137.80436349945123</v>
      </c>
      <c r="H1084" s="64"/>
      <c r="I1084" s="487"/>
      <c r="J1084" s="463"/>
      <c r="K1084" s="455"/>
      <c r="V1084" s="39"/>
    </row>
    <row r="1085" spans="1:22" ht="15.75" customHeight="1" thickBot="1" x14ac:dyDescent="0.3">
      <c r="A1085" s="479"/>
      <c r="B1085" s="483"/>
      <c r="C1085" s="460"/>
      <c r="D1085" s="461"/>
      <c r="E1085" s="6">
        <f t="shared" si="22"/>
        <v>4</v>
      </c>
      <c r="F1085" s="6">
        <f t="shared" si="22"/>
        <v>127.17</v>
      </c>
      <c r="G1085" s="7">
        <f t="shared" si="22"/>
        <v>138.26099334299971</v>
      </c>
      <c r="H1085" s="64"/>
      <c r="I1085" s="487"/>
      <c r="J1085" s="464"/>
      <c r="K1085" s="456"/>
      <c r="M1085" s="18"/>
      <c r="V1085" s="39"/>
    </row>
    <row r="1086" spans="1:22" ht="15" customHeight="1" x14ac:dyDescent="0.25">
      <c r="A1086" s="479"/>
      <c r="B1086" s="483"/>
      <c r="C1086" s="460"/>
      <c r="D1086" s="459">
        <v>3</v>
      </c>
      <c r="E1086" s="72">
        <f t="shared" si="22"/>
        <v>1</v>
      </c>
      <c r="F1086" s="72">
        <f t="shared" si="22"/>
        <v>131.59</v>
      </c>
      <c r="G1086" s="73">
        <f t="shared" si="22"/>
        <v>143.06647883939084</v>
      </c>
      <c r="H1086" s="64"/>
      <c r="I1086" s="487"/>
      <c r="J1086" s="462">
        <f>J257</f>
        <v>32.549999999999997</v>
      </c>
      <c r="K1086" s="455">
        <f>K257</f>
        <v>549.05999999999995</v>
      </c>
      <c r="V1086" s="39"/>
    </row>
    <row r="1087" spans="1:22" ht="15" customHeight="1" x14ac:dyDescent="0.25">
      <c r="A1087" s="479"/>
      <c r="B1087" s="483"/>
      <c r="C1087" s="460"/>
      <c r="D1087" s="460"/>
      <c r="E1087" s="3">
        <f t="shared" si="22"/>
        <v>2</v>
      </c>
      <c r="F1087" s="3">
        <f t="shared" si="22"/>
        <v>131.4</v>
      </c>
      <c r="G1087" s="5">
        <f t="shared" si="22"/>
        <v>142.85990819588082</v>
      </c>
      <c r="H1087" s="64"/>
      <c r="I1087" s="487"/>
      <c r="J1087" s="463"/>
      <c r="K1087" s="455"/>
      <c r="V1087" s="39"/>
    </row>
    <row r="1088" spans="1:22" ht="15" customHeight="1" x14ac:dyDescent="0.25">
      <c r="A1088" s="479"/>
      <c r="B1088" s="483"/>
      <c r="C1088" s="460"/>
      <c r="D1088" s="460"/>
      <c r="E1088" s="3">
        <f t="shared" si="22"/>
        <v>3</v>
      </c>
      <c r="F1088" s="3">
        <f t="shared" si="22"/>
        <v>126.46</v>
      </c>
      <c r="G1088" s="5">
        <f t="shared" si="22"/>
        <v>137.48907146462014</v>
      </c>
      <c r="H1088" s="64"/>
      <c r="I1088" s="487"/>
      <c r="J1088" s="463"/>
      <c r="K1088" s="455"/>
      <c r="V1088" s="39"/>
    </row>
    <row r="1089" spans="1:22" ht="15.75" customHeight="1" thickBot="1" x14ac:dyDescent="0.3">
      <c r="A1089" s="479"/>
      <c r="B1089" s="483"/>
      <c r="C1089" s="460"/>
      <c r="D1089" s="461"/>
      <c r="E1089" s="6">
        <f t="shared" si="22"/>
        <v>4</v>
      </c>
      <c r="F1089" s="6">
        <f t="shared" si="22"/>
        <v>127.06</v>
      </c>
      <c r="G1089" s="7">
        <f t="shared" si="22"/>
        <v>138.14139981254655</v>
      </c>
      <c r="H1089" s="64"/>
      <c r="I1089" s="487"/>
      <c r="J1089" s="464"/>
      <c r="K1089" s="456"/>
      <c r="V1089" s="39"/>
    </row>
    <row r="1090" spans="1:22" ht="15" customHeight="1" x14ac:dyDescent="0.25">
      <c r="A1090" s="479"/>
      <c r="B1090" s="483"/>
      <c r="C1090" s="460"/>
      <c r="D1090" s="460">
        <v>4</v>
      </c>
      <c r="E1090" s="70">
        <f t="shared" si="22"/>
        <v>1</v>
      </c>
      <c r="F1090" s="70">
        <f t="shared" si="22"/>
        <v>129.63</v>
      </c>
      <c r="G1090" s="65">
        <f t="shared" si="22"/>
        <v>140.93553956949793</v>
      </c>
      <c r="H1090" s="64"/>
      <c r="I1090" s="487"/>
      <c r="J1090" s="462">
        <f>J261</f>
        <v>32.549999999999997</v>
      </c>
      <c r="K1090" s="455">
        <f>K261</f>
        <v>545.9</v>
      </c>
      <c r="V1090" s="39"/>
    </row>
    <row r="1091" spans="1:22" ht="15" customHeight="1" x14ac:dyDescent="0.25">
      <c r="A1091" s="479"/>
      <c r="B1091" s="483"/>
      <c r="C1091" s="460"/>
      <c r="D1091" s="460"/>
      <c r="E1091" s="3">
        <f t="shared" si="22"/>
        <v>2</v>
      </c>
      <c r="F1091" s="3">
        <f t="shared" si="22"/>
        <v>131.77000000000001</v>
      </c>
      <c r="G1091" s="5">
        <f t="shared" si="22"/>
        <v>143.26217734376877</v>
      </c>
      <c r="H1091" s="64"/>
      <c r="I1091" s="487"/>
      <c r="J1091" s="463"/>
      <c r="K1091" s="455"/>
      <c r="V1091" s="39"/>
    </row>
    <row r="1092" spans="1:22" ht="15" customHeight="1" x14ac:dyDescent="0.25">
      <c r="A1092" s="479"/>
      <c r="B1092" s="483"/>
      <c r="C1092" s="460"/>
      <c r="D1092" s="460"/>
      <c r="E1092" s="3">
        <f t="shared" si="22"/>
        <v>3</v>
      </c>
      <c r="F1092" s="3">
        <f t="shared" si="22"/>
        <v>126.83</v>
      </c>
      <c r="G1092" s="5">
        <f t="shared" si="22"/>
        <v>137.89134061250809</v>
      </c>
      <c r="H1092" s="64"/>
      <c r="I1092" s="487"/>
      <c r="J1092" s="463"/>
      <c r="K1092" s="455"/>
      <c r="V1092" s="39"/>
    </row>
    <row r="1093" spans="1:22" ht="15.75" customHeight="1" thickBot="1" x14ac:dyDescent="0.3">
      <c r="A1093" s="480"/>
      <c r="B1093" s="484"/>
      <c r="C1093" s="476"/>
      <c r="D1093" s="476"/>
      <c r="E1093" s="3">
        <f t="shared" si="22"/>
        <v>4</v>
      </c>
      <c r="F1093" s="3">
        <f t="shared" si="22"/>
        <v>125.11</v>
      </c>
      <c r="G1093" s="5">
        <f t="shared" si="22"/>
        <v>136.02133268178576</v>
      </c>
      <c r="H1093" s="65"/>
      <c r="I1093" s="488"/>
      <c r="J1093" s="464"/>
      <c r="K1093" s="456"/>
      <c r="V1093" s="39"/>
    </row>
    <row r="1094" spans="1:22" x14ac:dyDescent="0.25">
      <c r="A1094" s="43" t="s">
        <v>4</v>
      </c>
      <c r="B1094" s="24"/>
      <c r="C1094" s="4"/>
      <c r="D1094" s="4"/>
      <c r="E1094" s="4"/>
      <c r="F1094" s="8">
        <f>SUM(F1074:F1093)</f>
        <v>2496.6200000000003</v>
      </c>
      <c r="G1094" s="8"/>
      <c r="H1094" s="8"/>
      <c r="I1094" s="8">
        <f>K1074+K1078+K1082+K1086+K1090</f>
        <v>2714.36</v>
      </c>
      <c r="J1094" s="8">
        <f>J1090+J1086+J1082+J1078+J1074</f>
        <v>217.72000000000003</v>
      </c>
      <c r="K1094" s="40"/>
      <c r="V1094" s="39"/>
    </row>
    <row r="1095" spans="1:22" x14ac:dyDescent="0.25">
      <c r="A1095" s="37"/>
      <c r="F1095" s="18">
        <f>I1094/F1094</f>
        <v>1.0872139132106606</v>
      </c>
      <c r="I1095" s="45"/>
      <c r="J1095" s="9">
        <f>(J1074+J1078+J1082+J1086+J1090)/I1094</f>
        <v>8.0210436345952638E-2</v>
      </c>
      <c r="K1095" s="40"/>
      <c r="V1095" s="39"/>
    </row>
    <row r="1096" spans="1:22" x14ac:dyDescent="0.25">
      <c r="A1096" s="37"/>
      <c r="V1096" s="39"/>
    </row>
    <row r="1097" spans="1:22" ht="15.75" thickBot="1" x14ac:dyDescent="0.3">
      <c r="A1097" s="47"/>
      <c r="B1097" s="48"/>
      <c r="C1097" s="49"/>
      <c r="D1097" s="49"/>
      <c r="E1097" s="49"/>
      <c r="F1097" s="50"/>
      <c r="G1097" s="50"/>
      <c r="H1097" s="50"/>
      <c r="I1097" s="50"/>
      <c r="J1097" s="50"/>
      <c r="K1097" s="50"/>
      <c r="L1097" s="49"/>
      <c r="M1097" s="49"/>
      <c r="N1097" s="49"/>
      <c r="O1097" s="49"/>
      <c r="P1097" s="49"/>
      <c r="Q1097" s="49"/>
      <c r="R1097" s="49"/>
      <c r="S1097" s="49"/>
      <c r="T1097" s="49"/>
      <c r="U1097" s="49"/>
      <c r="V1097" s="51"/>
    </row>
    <row r="1099" spans="1:22" ht="15.75" thickBot="1" x14ac:dyDescent="0.3">
      <c r="A1099" s="37"/>
    </row>
    <row r="1100" spans="1:22" x14ac:dyDescent="0.25">
      <c r="A1100" s="31"/>
      <c r="B1100" s="32"/>
      <c r="C1100" s="33"/>
      <c r="D1100" s="33"/>
      <c r="E1100" s="33"/>
      <c r="F1100" s="34"/>
      <c r="G1100" s="34"/>
      <c r="H1100" s="34"/>
      <c r="I1100" s="33"/>
      <c r="J1100" s="33"/>
      <c r="K1100" s="33"/>
      <c r="L1100" s="35" t="s">
        <v>0</v>
      </c>
      <c r="M1100" s="498" t="s">
        <v>94</v>
      </c>
      <c r="N1100" s="498"/>
      <c r="O1100" s="498"/>
      <c r="P1100" s="498"/>
      <c r="Q1100" s="33"/>
      <c r="R1100" s="33"/>
      <c r="S1100" s="33"/>
      <c r="T1100" s="33"/>
      <c r="U1100" s="33"/>
      <c r="V1100" s="36"/>
    </row>
    <row r="1101" spans="1:22" x14ac:dyDescent="0.25">
      <c r="A1101" s="37"/>
      <c r="I1101"/>
      <c r="J1101"/>
      <c r="K1101"/>
      <c r="L1101" s="38" t="s">
        <v>14</v>
      </c>
      <c r="M1101" s="477" t="s">
        <v>12</v>
      </c>
      <c r="N1101" s="477"/>
      <c r="O1101" s="477" t="s">
        <v>12</v>
      </c>
      <c r="P1101" s="477"/>
      <c r="V1101" s="39"/>
    </row>
    <row r="1102" spans="1:22" x14ac:dyDescent="0.25">
      <c r="A1102" s="37"/>
      <c r="I1102"/>
      <c r="J1102"/>
      <c r="K1102"/>
      <c r="L1102" s="38"/>
      <c r="V1102" s="39"/>
    </row>
    <row r="1103" spans="1:22" x14ac:dyDescent="0.25">
      <c r="A1103" s="37"/>
      <c r="I1103"/>
      <c r="J1103"/>
      <c r="K1103"/>
      <c r="L1103" s="499" t="s">
        <v>11</v>
      </c>
      <c r="M1103" s="21">
        <v>3</v>
      </c>
      <c r="N1103" s="21">
        <v>2</v>
      </c>
      <c r="O1103" s="20">
        <v>3</v>
      </c>
      <c r="P1103" s="20">
        <v>2</v>
      </c>
      <c r="V1103" s="39"/>
    </row>
    <row r="1104" spans="1:22" x14ac:dyDescent="0.25">
      <c r="A1104" s="37"/>
      <c r="I1104"/>
      <c r="J1104"/>
      <c r="K1104"/>
      <c r="L1104" s="499"/>
      <c r="M1104" s="21">
        <v>4</v>
      </c>
      <c r="N1104" s="21">
        <v>1</v>
      </c>
      <c r="O1104" s="20">
        <v>4</v>
      </c>
      <c r="P1104" s="20">
        <v>1</v>
      </c>
      <c r="V1104" s="39"/>
    </row>
    <row r="1105" spans="1:22" x14ac:dyDescent="0.25">
      <c r="A1105" s="37"/>
      <c r="I1105"/>
      <c r="J1105"/>
      <c r="K1105"/>
      <c r="L1105" s="38"/>
      <c r="V1105" s="39"/>
    </row>
    <row r="1106" spans="1:22" x14ac:dyDescent="0.25">
      <c r="A1106" s="37"/>
      <c r="I1106"/>
      <c r="J1106"/>
      <c r="K1106"/>
      <c r="L1106" s="38" t="s">
        <v>14</v>
      </c>
      <c r="M1106" s="477" t="s">
        <v>13</v>
      </c>
      <c r="N1106" s="477"/>
      <c r="O1106" s="477" t="s">
        <v>13</v>
      </c>
      <c r="P1106" s="477"/>
      <c r="V1106" s="39"/>
    </row>
    <row r="1107" spans="1:22" ht="18.75" x14ac:dyDescent="0.3">
      <c r="A1107" s="457" t="s">
        <v>30</v>
      </c>
      <c r="B1107" s="458"/>
      <c r="C1107" s="458"/>
      <c r="D1107" s="458"/>
      <c r="E1107" s="458"/>
      <c r="F1107" s="458"/>
      <c r="G1107" s="458"/>
      <c r="H1107" s="458"/>
      <c r="I1107" s="458"/>
      <c r="J1107" s="458"/>
      <c r="K1107" s="504"/>
      <c r="M1107" s="477"/>
      <c r="N1107" s="477"/>
      <c r="O1107" s="477"/>
      <c r="P1107" s="477"/>
      <c r="V1107" s="39"/>
    </row>
    <row r="1108" spans="1:22" ht="30" x14ac:dyDescent="0.25">
      <c r="A1108" s="41" t="s">
        <v>9</v>
      </c>
      <c r="B1108" s="23" t="s">
        <v>7</v>
      </c>
      <c r="C1108" s="2" t="s">
        <v>8</v>
      </c>
      <c r="D1108" s="2" t="s">
        <v>10</v>
      </c>
      <c r="E1108" s="1" t="s">
        <v>2</v>
      </c>
      <c r="F1108" s="19" t="s">
        <v>3</v>
      </c>
      <c r="G1108" s="19" t="s">
        <v>5</v>
      </c>
      <c r="H1108" s="19" t="s">
        <v>57</v>
      </c>
      <c r="I1108" s="1" t="s">
        <v>6</v>
      </c>
      <c r="J1108" s="53" t="s">
        <v>1</v>
      </c>
      <c r="K1108" s="504"/>
      <c r="V1108" s="39"/>
    </row>
    <row r="1109" spans="1:22" x14ac:dyDescent="0.25">
      <c r="A1109" s="478" t="s">
        <v>31</v>
      </c>
      <c r="B1109" s="482" t="s">
        <v>95</v>
      </c>
      <c r="C1109" s="485" t="s">
        <v>96</v>
      </c>
      <c r="D1109" s="485">
        <v>0</v>
      </c>
      <c r="E1109" s="3">
        <f>E133</f>
        <v>1</v>
      </c>
      <c r="F1109" s="3">
        <f>F133</f>
        <v>144.66</v>
      </c>
      <c r="G1109" s="5">
        <f>G133</f>
        <v>160.29183324060244</v>
      </c>
      <c r="H1109" s="77">
        <v>80.513400000000004</v>
      </c>
      <c r="I1109" s="486">
        <f>SUM(G1109:G1128)</f>
        <v>3405.5199999999986</v>
      </c>
      <c r="J1109" s="494">
        <f>J133</f>
        <v>99.27</v>
      </c>
      <c r="K1109" s="501">
        <f>K133</f>
        <v>685.9</v>
      </c>
      <c r="L1109" s="42"/>
      <c r="V1109" s="39"/>
    </row>
    <row r="1110" spans="1:22" x14ac:dyDescent="0.25">
      <c r="A1110" s="479"/>
      <c r="B1110" s="483"/>
      <c r="C1110" s="460"/>
      <c r="D1110" s="460"/>
      <c r="E1110" s="3">
        <f t="shared" ref="E1110:G1128" si="23">E134</f>
        <v>2</v>
      </c>
      <c r="F1110" s="3">
        <f t="shared" si="23"/>
        <v>183.89</v>
      </c>
      <c r="G1110" s="5">
        <f t="shared" si="23"/>
        <v>203.76099277349911</v>
      </c>
      <c r="H1110" s="77">
        <v>61.571399999999997</v>
      </c>
      <c r="I1110" s="487"/>
      <c r="J1110" s="495"/>
      <c r="K1110" s="502"/>
      <c r="L1110" s="42"/>
      <c r="V1110" s="39"/>
    </row>
    <row r="1111" spans="1:22" x14ac:dyDescent="0.25">
      <c r="A1111" s="479"/>
      <c r="B1111" s="483"/>
      <c r="C1111" s="460"/>
      <c r="D1111" s="460"/>
      <c r="E1111" s="3">
        <f t="shared" si="23"/>
        <v>3</v>
      </c>
      <c r="F1111" s="3">
        <f t="shared" si="23"/>
        <v>162.83000000000001</v>
      </c>
      <c r="G1111" s="5">
        <f t="shared" si="23"/>
        <v>180.42526756924718</v>
      </c>
      <c r="H1111" s="77">
        <v>76.321799999999996</v>
      </c>
      <c r="I1111" s="487"/>
      <c r="J1111" s="495"/>
      <c r="K1111" s="502"/>
      <c r="L1111" s="42"/>
      <c r="V1111" s="39"/>
    </row>
    <row r="1112" spans="1:22" ht="15.75" thickBot="1" x14ac:dyDescent="0.3">
      <c r="A1112" s="479"/>
      <c r="B1112" s="483"/>
      <c r="C1112" s="460"/>
      <c r="D1112" s="461"/>
      <c r="E1112" s="6">
        <f t="shared" si="23"/>
        <v>4</v>
      </c>
      <c r="F1112" s="6">
        <f t="shared" si="23"/>
        <v>95.25</v>
      </c>
      <c r="G1112" s="7">
        <f t="shared" si="23"/>
        <v>105.54263179985747</v>
      </c>
      <c r="H1112" s="77">
        <v>62.141199999999998</v>
      </c>
      <c r="I1112" s="487"/>
      <c r="J1112" s="496"/>
      <c r="K1112" s="503"/>
      <c r="L1112" s="42"/>
      <c r="V1112" s="39"/>
    </row>
    <row r="1113" spans="1:22" ht="15" customHeight="1" x14ac:dyDescent="0.25">
      <c r="A1113" s="479"/>
      <c r="B1113" s="483"/>
      <c r="C1113" s="460"/>
      <c r="D1113" s="459">
        <v>1</v>
      </c>
      <c r="E1113" s="72">
        <f t="shared" si="23"/>
        <v>1</v>
      </c>
      <c r="F1113" s="72">
        <f t="shared" si="23"/>
        <v>141.66</v>
      </c>
      <c r="G1113" s="73">
        <f t="shared" si="23"/>
        <v>156.96765586107935</v>
      </c>
      <c r="H1113" s="64"/>
      <c r="I1113" s="487"/>
      <c r="J1113" s="494">
        <f>J137</f>
        <v>73.489999999999995</v>
      </c>
      <c r="K1113" s="501">
        <f>K137</f>
        <v>657.67</v>
      </c>
      <c r="L1113" s="54"/>
      <c r="M1113" s="10"/>
      <c r="V1113" s="39"/>
    </row>
    <row r="1114" spans="1:22" ht="15" customHeight="1" x14ac:dyDescent="0.25">
      <c r="A1114" s="479"/>
      <c r="B1114" s="483"/>
      <c r="C1114" s="460"/>
      <c r="D1114" s="460"/>
      <c r="E1114" s="3">
        <f t="shared" si="23"/>
        <v>2</v>
      </c>
      <c r="F1114" s="3">
        <f t="shared" si="23"/>
        <v>183.64</v>
      </c>
      <c r="G1114" s="5">
        <f t="shared" si="23"/>
        <v>203.48397799187217</v>
      </c>
      <c r="H1114" s="64"/>
      <c r="I1114" s="487"/>
      <c r="J1114" s="495"/>
      <c r="K1114" s="502"/>
      <c r="L1114" s="54"/>
      <c r="V1114" s="39"/>
    </row>
    <row r="1115" spans="1:22" ht="15" customHeight="1" x14ac:dyDescent="0.25">
      <c r="A1115" s="479"/>
      <c r="B1115" s="483"/>
      <c r="C1115" s="460"/>
      <c r="D1115" s="460"/>
      <c r="E1115" s="3">
        <f t="shared" si="23"/>
        <v>3</v>
      </c>
      <c r="F1115" s="3">
        <f t="shared" si="23"/>
        <v>162.58000000000001</v>
      </c>
      <c r="G1115" s="5">
        <f t="shared" si="23"/>
        <v>180.14825278762027</v>
      </c>
      <c r="H1115" s="64"/>
      <c r="I1115" s="487"/>
      <c r="J1115" s="495"/>
      <c r="K1115" s="502"/>
      <c r="L1115" s="12"/>
      <c r="V1115" s="39"/>
    </row>
    <row r="1116" spans="1:22" ht="15.75" customHeight="1" thickBot="1" x14ac:dyDescent="0.3">
      <c r="A1116" s="479"/>
      <c r="B1116" s="483"/>
      <c r="C1116" s="460"/>
      <c r="D1116" s="461"/>
      <c r="E1116" s="6">
        <f t="shared" si="23"/>
        <v>4</v>
      </c>
      <c r="F1116" s="6">
        <f t="shared" si="23"/>
        <v>96.31</v>
      </c>
      <c r="G1116" s="7">
        <f t="shared" si="23"/>
        <v>106.71717447395562</v>
      </c>
      <c r="H1116" s="64"/>
      <c r="I1116" s="487"/>
      <c r="J1116" s="496"/>
      <c r="K1116" s="503"/>
      <c r="L1116" s="13"/>
      <c r="V1116" s="39"/>
    </row>
    <row r="1117" spans="1:22" ht="15" customHeight="1" x14ac:dyDescent="0.25">
      <c r="A1117" s="479"/>
      <c r="B1117" s="483"/>
      <c r="C1117" s="460"/>
      <c r="D1117" s="459">
        <v>2</v>
      </c>
      <c r="E1117" s="72">
        <f t="shared" si="23"/>
        <v>1</v>
      </c>
      <c r="F1117" s="72">
        <f t="shared" si="23"/>
        <v>143.99</v>
      </c>
      <c r="G1117" s="73">
        <f t="shared" si="23"/>
        <v>159.54943362584228</v>
      </c>
      <c r="H1117" s="64"/>
      <c r="I1117" s="487"/>
      <c r="J1117" s="494">
        <f>J141</f>
        <v>53.12</v>
      </c>
      <c r="K1117" s="501">
        <f>K141</f>
        <v>692.65</v>
      </c>
      <c r="L1117" s="42"/>
      <c r="V1117" s="39"/>
    </row>
    <row r="1118" spans="1:22" ht="15" customHeight="1" x14ac:dyDescent="0.25">
      <c r="A1118" s="479"/>
      <c r="B1118" s="483"/>
      <c r="C1118" s="460"/>
      <c r="D1118" s="460"/>
      <c r="E1118" s="3">
        <f t="shared" si="23"/>
        <v>2</v>
      </c>
      <c r="F1118" s="3">
        <f t="shared" si="23"/>
        <v>187.1</v>
      </c>
      <c r="G1118" s="5">
        <f t="shared" si="23"/>
        <v>207.31786256958878</v>
      </c>
      <c r="H1118" s="64"/>
      <c r="I1118" s="487"/>
      <c r="J1118" s="495"/>
      <c r="K1118" s="502"/>
      <c r="L1118" s="42"/>
      <c r="V1118" s="39"/>
    </row>
    <row r="1119" spans="1:22" ht="15" customHeight="1" x14ac:dyDescent="0.25">
      <c r="A1119" s="479"/>
      <c r="B1119" s="483"/>
      <c r="C1119" s="460"/>
      <c r="D1119" s="460"/>
      <c r="E1119" s="3">
        <f t="shared" si="23"/>
        <v>3</v>
      </c>
      <c r="F1119" s="3">
        <f t="shared" si="23"/>
        <v>167.21</v>
      </c>
      <c r="G1119" s="5">
        <f t="shared" si="23"/>
        <v>185.27856654335085</v>
      </c>
      <c r="H1119" s="64"/>
      <c r="I1119" s="487"/>
      <c r="J1119" s="495"/>
      <c r="K1119" s="502"/>
      <c r="L1119" s="42"/>
      <c r="V1119" s="39"/>
    </row>
    <row r="1120" spans="1:22" ht="15.75" customHeight="1" thickBot="1" x14ac:dyDescent="0.3">
      <c r="A1120" s="479"/>
      <c r="B1120" s="483"/>
      <c r="C1120" s="460"/>
      <c r="D1120" s="461"/>
      <c r="E1120" s="6">
        <f t="shared" si="23"/>
        <v>4</v>
      </c>
      <c r="F1120" s="6">
        <f t="shared" si="23"/>
        <v>141.22999999999999</v>
      </c>
      <c r="G1120" s="7">
        <f t="shared" si="23"/>
        <v>156.49119043668105</v>
      </c>
      <c r="H1120" s="64"/>
      <c r="I1120" s="487"/>
      <c r="J1120" s="496"/>
      <c r="K1120" s="503"/>
      <c r="L1120" s="42"/>
      <c r="V1120" s="39"/>
    </row>
    <row r="1121" spans="1:22" ht="15" customHeight="1" x14ac:dyDescent="0.25">
      <c r="A1121" s="479"/>
      <c r="B1121" s="483"/>
      <c r="C1121" s="460"/>
      <c r="D1121" s="459">
        <v>3</v>
      </c>
      <c r="E1121" s="72">
        <f t="shared" si="23"/>
        <v>1</v>
      </c>
      <c r="F1121" s="72">
        <f t="shared" si="23"/>
        <v>143.9</v>
      </c>
      <c r="G1121" s="73">
        <f t="shared" si="23"/>
        <v>159.44970830445661</v>
      </c>
      <c r="H1121" s="64"/>
      <c r="I1121" s="487"/>
      <c r="J1121" s="494">
        <f>J145</f>
        <v>53.12</v>
      </c>
      <c r="K1121" s="501">
        <f>K145</f>
        <v>689.81</v>
      </c>
      <c r="L1121" s="42"/>
      <c r="V1121" s="39"/>
    </row>
    <row r="1122" spans="1:22" ht="15" customHeight="1" x14ac:dyDescent="0.25">
      <c r="A1122" s="479"/>
      <c r="B1122" s="483"/>
      <c r="C1122" s="460"/>
      <c r="D1122" s="460"/>
      <c r="E1122" s="3">
        <f t="shared" si="23"/>
        <v>2</v>
      </c>
      <c r="F1122" s="3">
        <f t="shared" si="23"/>
        <v>187.2</v>
      </c>
      <c r="G1122" s="5">
        <f t="shared" si="23"/>
        <v>207.42866848223954</v>
      </c>
      <c r="H1122" s="64"/>
      <c r="I1122" s="487"/>
      <c r="J1122" s="495"/>
      <c r="K1122" s="502"/>
      <c r="L1122" s="42"/>
      <c r="V1122" s="39"/>
    </row>
    <row r="1123" spans="1:22" ht="15" customHeight="1" x14ac:dyDescent="0.25">
      <c r="A1123" s="479"/>
      <c r="B1123" s="483"/>
      <c r="C1123" s="460"/>
      <c r="D1123" s="460"/>
      <c r="E1123" s="3">
        <f t="shared" si="23"/>
        <v>3</v>
      </c>
      <c r="F1123" s="3">
        <f t="shared" si="23"/>
        <v>164.46</v>
      </c>
      <c r="G1123" s="5">
        <f t="shared" si="23"/>
        <v>182.2314039454547</v>
      </c>
      <c r="H1123" s="64"/>
      <c r="I1123" s="487"/>
      <c r="J1123" s="495"/>
      <c r="K1123" s="502"/>
      <c r="L1123" s="42"/>
      <c r="V1123" s="39"/>
    </row>
    <row r="1124" spans="1:22" ht="15.75" customHeight="1" thickBot="1" x14ac:dyDescent="0.3">
      <c r="A1124" s="479"/>
      <c r="B1124" s="483"/>
      <c r="C1124" s="460"/>
      <c r="D1124" s="461"/>
      <c r="E1124" s="6">
        <f t="shared" si="23"/>
        <v>4</v>
      </c>
      <c r="F1124" s="6">
        <f t="shared" si="23"/>
        <v>141.13</v>
      </c>
      <c r="G1124" s="7">
        <f t="shared" si="23"/>
        <v>156.38038452403029</v>
      </c>
      <c r="H1124" s="64"/>
      <c r="I1124" s="487"/>
      <c r="J1124" s="496"/>
      <c r="K1124" s="503"/>
      <c r="L1124" s="42"/>
      <c r="V1124" s="39"/>
    </row>
    <row r="1125" spans="1:22" ht="15" customHeight="1" x14ac:dyDescent="0.25">
      <c r="A1125" s="479"/>
      <c r="B1125" s="483"/>
      <c r="C1125" s="460"/>
      <c r="D1125" s="460">
        <v>4</v>
      </c>
      <c r="E1125" s="70">
        <f t="shared" si="23"/>
        <v>1</v>
      </c>
      <c r="F1125" s="70">
        <f t="shared" si="23"/>
        <v>141.93</v>
      </c>
      <c r="G1125" s="65">
        <f t="shared" si="23"/>
        <v>157.26683182523644</v>
      </c>
      <c r="H1125" s="64"/>
      <c r="I1125" s="487"/>
      <c r="J1125" s="494">
        <f>J149</f>
        <v>53.12</v>
      </c>
      <c r="K1125" s="501">
        <f>K149</f>
        <v>679.49</v>
      </c>
      <c r="L1125" s="42"/>
      <c r="V1125" s="39"/>
    </row>
    <row r="1126" spans="1:22" ht="15" customHeight="1" x14ac:dyDescent="0.25">
      <c r="A1126" s="479"/>
      <c r="B1126" s="483"/>
      <c r="C1126" s="460"/>
      <c r="D1126" s="460"/>
      <c r="E1126" s="3">
        <f t="shared" si="23"/>
        <v>2</v>
      </c>
      <c r="F1126" s="3">
        <f t="shared" si="23"/>
        <v>182.57</v>
      </c>
      <c r="G1126" s="5">
        <f t="shared" si="23"/>
        <v>202.29835472650896</v>
      </c>
      <c r="H1126" s="64"/>
      <c r="I1126" s="487"/>
      <c r="J1126" s="495"/>
      <c r="K1126" s="502"/>
      <c r="L1126" s="42"/>
      <c r="V1126" s="39"/>
    </row>
    <row r="1127" spans="1:22" ht="15" customHeight="1" x14ac:dyDescent="0.25">
      <c r="A1127" s="479"/>
      <c r="B1127" s="483"/>
      <c r="C1127" s="460"/>
      <c r="D1127" s="460"/>
      <c r="E1127" s="3">
        <f t="shared" si="23"/>
        <v>3</v>
      </c>
      <c r="F1127" s="3">
        <f t="shared" si="23"/>
        <v>162.69999999999999</v>
      </c>
      <c r="G1127" s="5">
        <f t="shared" si="23"/>
        <v>180.28121988280114</v>
      </c>
      <c r="H1127" s="64"/>
      <c r="I1127" s="487"/>
      <c r="J1127" s="495"/>
      <c r="K1127" s="502"/>
      <c r="L1127" s="42"/>
      <c r="V1127" s="39"/>
    </row>
    <row r="1128" spans="1:22" ht="15.75" customHeight="1" thickBot="1" x14ac:dyDescent="0.3">
      <c r="A1128" s="480"/>
      <c r="B1128" s="484"/>
      <c r="C1128" s="476"/>
      <c r="D1128" s="476"/>
      <c r="E1128" s="3">
        <f t="shared" si="23"/>
        <v>4</v>
      </c>
      <c r="F1128" s="3">
        <f t="shared" si="23"/>
        <v>139.16999999999999</v>
      </c>
      <c r="G1128" s="5">
        <f t="shared" si="23"/>
        <v>154.20858863607521</v>
      </c>
      <c r="H1128" s="65"/>
      <c r="I1128" s="488"/>
      <c r="J1128" s="496"/>
      <c r="K1128" s="503"/>
      <c r="L1128" s="42"/>
      <c r="V1128" s="39"/>
    </row>
    <row r="1129" spans="1:22" x14ac:dyDescent="0.25">
      <c r="A1129" s="43" t="s">
        <v>4</v>
      </c>
      <c r="B1129" s="24"/>
      <c r="C1129" s="4"/>
      <c r="D1129" s="4"/>
      <c r="E1129" s="4"/>
      <c r="F1129" s="8">
        <f>SUM(F1109:F1128)</f>
        <v>3073.41</v>
      </c>
      <c r="G1129" s="8"/>
      <c r="H1129" s="8"/>
      <c r="I1129" s="8">
        <f>K1109+K1113+K1117+K1121+K1125</f>
        <v>3405.5199999999995</v>
      </c>
      <c r="J1129" s="4">
        <f>J1125+J1121+J1117+J1113+J1109</f>
        <v>332.11999999999995</v>
      </c>
      <c r="K1129" s="504"/>
      <c r="L1129" s="44"/>
      <c r="V1129" s="39"/>
    </row>
    <row r="1130" spans="1:22" x14ac:dyDescent="0.25">
      <c r="A1130" s="37"/>
      <c r="F1130" s="18">
        <f>I1129/F1129</f>
        <v>1.10805912650769</v>
      </c>
      <c r="I1130" s="45"/>
      <c r="J1130" s="9">
        <f>(J1109+J1113+J1117+J1121+J1125)/I1129</f>
        <v>9.7524019826634417E-2</v>
      </c>
      <c r="K1130" s="504"/>
      <c r="V1130" s="39"/>
    </row>
    <row r="1131" spans="1:22" x14ac:dyDescent="0.25">
      <c r="A1131" s="37"/>
      <c r="I1131"/>
      <c r="J1131"/>
      <c r="K1131"/>
      <c r="V1131" s="39"/>
    </row>
    <row r="1132" spans="1:22" x14ac:dyDescent="0.25">
      <c r="A1132" s="37"/>
      <c r="I1132"/>
      <c r="J1132"/>
      <c r="K1132"/>
      <c r="V1132" s="39"/>
    </row>
    <row r="1133" spans="1:22" ht="18.75" x14ac:dyDescent="0.3">
      <c r="A1133" s="457" t="s">
        <v>30</v>
      </c>
      <c r="B1133" s="458"/>
      <c r="C1133" s="458"/>
      <c r="D1133" s="458"/>
      <c r="E1133" s="458"/>
      <c r="F1133" s="458"/>
      <c r="G1133" s="458"/>
      <c r="H1133" s="458"/>
      <c r="I1133" s="458"/>
      <c r="J1133" s="458"/>
      <c r="K1133" s="493"/>
      <c r="V1133" s="39"/>
    </row>
    <row r="1134" spans="1:22" ht="30" x14ac:dyDescent="0.25">
      <c r="A1134" s="41" t="s">
        <v>9</v>
      </c>
      <c r="B1134" s="23" t="s">
        <v>7</v>
      </c>
      <c r="C1134" s="2" t="s">
        <v>8</v>
      </c>
      <c r="D1134" s="2" t="s">
        <v>10</v>
      </c>
      <c r="E1134" s="1" t="s">
        <v>2</v>
      </c>
      <c r="F1134" s="19" t="s">
        <v>3</v>
      </c>
      <c r="G1134" s="19" t="s">
        <v>5</v>
      </c>
      <c r="H1134" s="19" t="s">
        <v>57</v>
      </c>
      <c r="I1134" s="1" t="s">
        <v>6</v>
      </c>
      <c r="J1134" s="1" t="s">
        <v>1</v>
      </c>
      <c r="K1134" s="493"/>
      <c r="V1134" s="39"/>
    </row>
    <row r="1135" spans="1:22" x14ac:dyDescent="0.25">
      <c r="A1135" s="478" t="s">
        <v>31</v>
      </c>
      <c r="B1135" s="482" t="s">
        <v>95</v>
      </c>
      <c r="C1135" s="485" t="s">
        <v>97</v>
      </c>
      <c r="D1135" s="485">
        <v>0</v>
      </c>
      <c r="E1135" s="3">
        <f>E159</f>
        <v>1</v>
      </c>
      <c r="F1135" s="3">
        <f>F159</f>
        <v>95.25</v>
      </c>
      <c r="G1135" s="5">
        <f>G159</f>
        <v>105.54263179985747</v>
      </c>
      <c r="H1135" s="77">
        <v>62.982999999999997</v>
      </c>
      <c r="I1135" s="486">
        <f>SUM(G1135:G1154)</f>
        <v>3405.5199999999986</v>
      </c>
      <c r="J1135" s="494">
        <f>J159</f>
        <v>99.27</v>
      </c>
      <c r="K1135" s="493">
        <f>K159</f>
        <v>685.9</v>
      </c>
      <c r="V1135" s="39"/>
    </row>
    <row r="1136" spans="1:22" x14ac:dyDescent="0.25">
      <c r="A1136" s="479"/>
      <c r="B1136" s="483"/>
      <c r="C1136" s="460"/>
      <c r="D1136" s="460"/>
      <c r="E1136" s="3">
        <f t="shared" ref="E1136:G1154" si="24">E160</f>
        <v>2</v>
      </c>
      <c r="F1136" s="3">
        <f t="shared" si="24"/>
        <v>162.83000000000001</v>
      </c>
      <c r="G1136" s="5">
        <f t="shared" si="24"/>
        <v>180.42526756924718</v>
      </c>
      <c r="H1136" s="77">
        <v>76.321799999999996</v>
      </c>
      <c r="I1136" s="487"/>
      <c r="J1136" s="495"/>
      <c r="K1136" s="493"/>
      <c r="V1136" s="39"/>
    </row>
    <row r="1137" spans="1:22" x14ac:dyDescent="0.25">
      <c r="A1137" s="479"/>
      <c r="B1137" s="483"/>
      <c r="C1137" s="460"/>
      <c r="D1137" s="460"/>
      <c r="E1137" s="3">
        <f t="shared" si="24"/>
        <v>3</v>
      </c>
      <c r="F1137" s="3">
        <f t="shared" si="24"/>
        <v>183.89</v>
      </c>
      <c r="G1137" s="5">
        <f t="shared" si="24"/>
        <v>203.76099277349911</v>
      </c>
      <c r="H1137" s="77">
        <v>61.571399999999997</v>
      </c>
      <c r="I1137" s="487"/>
      <c r="J1137" s="495"/>
      <c r="K1137" s="493"/>
      <c r="V1137" s="39"/>
    </row>
    <row r="1138" spans="1:22" ht="15.75" thickBot="1" x14ac:dyDescent="0.3">
      <c r="A1138" s="479"/>
      <c r="B1138" s="483"/>
      <c r="C1138" s="460"/>
      <c r="D1138" s="461"/>
      <c r="E1138" s="6">
        <f t="shared" si="24"/>
        <v>4</v>
      </c>
      <c r="F1138" s="6">
        <f t="shared" si="24"/>
        <v>144.66</v>
      </c>
      <c r="G1138" s="7">
        <f t="shared" si="24"/>
        <v>160.29183324060244</v>
      </c>
      <c r="H1138" s="77">
        <v>85.360500000000002</v>
      </c>
      <c r="I1138" s="487"/>
      <c r="J1138" s="496"/>
      <c r="K1138" s="493"/>
      <c r="L1138" s="14"/>
      <c r="V1138" s="39"/>
    </row>
    <row r="1139" spans="1:22" ht="15" customHeight="1" x14ac:dyDescent="0.25">
      <c r="A1139" s="479"/>
      <c r="B1139" s="483"/>
      <c r="C1139" s="460"/>
      <c r="D1139" s="459">
        <v>1</v>
      </c>
      <c r="E1139" s="72">
        <f t="shared" si="24"/>
        <v>1</v>
      </c>
      <c r="F1139" s="72">
        <f t="shared" si="24"/>
        <v>96.31</v>
      </c>
      <c r="G1139" s="73">
        <f t="shared" si="24"/>
        <v>106.71717447395562</v>
      </c>
      <c r="H1139" s="69"/>
      <c r="I1139" s="487"/>
      <c r="J1139" s="494">
        <f>J163</f>
        <v>73.489999999999995</v>
      </c>
      <c r="K1139" s="493">
        <f>K163</f>
        <v>657.67</v>
      </c>
      <c r="L1139" s="17"/>
      <c r="V1139" s="39"/>
    </row>
    <row r="1140" spans="1:22" ht="15" customHeight="1" x14ac:dyDescent="0.25">
      <c r="A1140" s="479"/>
      <c r="B1140" s="483"/>
      <c r="C1140" s="460"/>
      <c r="D1140" s="460"/>
      <c r="E1140" s="3">
        <f t="shared" si="24"/>
        <v>2</v>
      </c>
      <c r="F1140" s="3">
        <f t="shared" si="24"/>
        <v>162.58000000000001</v>
      </c>
      <c r="G1140" s="5">
        <f t="shared" si="24"/>
        <v>180.14825278762027</v>
      </c>
      <c r="H1140" s="69"/>
      <c r="I1140" s="487"/>
      <c r="J1140" s="495"/>
      <c r="K1140" s="493"/>
      <c r="L1140" s="17"/>
      <c r="M1140" s="10"/>
      <c r="V1140" s="39"/>
    </row>
    <row r="1141" spans="1:22" ht="15" customHeight="1" x14ac:dyDescent="0.25">
      <c r="A1141" s="479"/>
      <c r="B1141" s="483"/>
      <c r="C1141" s="460"/>
      <c r="D1141" s="460"/>
      <c r="E1141" s="3">
        <f t="shared" si="24"/>
        <v>3</v>
      </c>
      <c r="F1141" s="3">
        <f t="shared" si="24"/>
        <v>183.64</v>
      </c>
      <c r="G1141" s="5">
        <f t="shared" si="24"/>
        <v>203.48397799187217</v>
      </c>
      <c r="H1141" s="69"/>
      <c r="I1141" s="487"/>
      <c r="J1141" s="495"/>
      <c r="K1141" s="493"/>
      <c r="L1141" s="16"/>
      <c r="M1141" s="10"/>
      <c r="V1141" s="39"/>
    </row>
    <row r="1142" spans="1:22" ht="15.75" customHeight="1" thickBot="1" x14ac:dyDescent="0.3">
      <c r="A1142" s="479"/>
      <c r="B1142" s="483"/>
      <c r="C1142" s="460"/>
      <c r="D1142" s="461"/>
      <c r="E1142" s="6">
        <f t="shared" si="24"/>
        <v>4</v>
      </c>
      <c r="F1142" s="6">
        <f t="shared" si="24"/>
        <v>141.66</v>
      </c>
      <c r="G1142" s="7">
        <f t="shared" si="24"/>
        <v>156.96765586107935</v>
      </c>
      <c r="H1142" s="69"/>
      <c r="I1142" s="487"/>
      <c r="J1142" s="496"/>
      <c r="K1142" s="493"/>
      <c r="L1142" s="15"/>
      <c r="V1142" s="39"/>
    </row>
    <row r="1143" spans="1:22" ht="15" customHeight="1" x14ac:dyDescent="0.25">
      <c r="A1143" s="479"/>
      <c r="B1143" s="483"/>
      <c r="C1143" s="460"/>
      <c r="D1143" s="459">
        <v>2</v>
      </c>
      <c r="E1143" s="72">
        <f t="shared" si="24"/>
        <v>1</v>
      </c>
      <c r="F1143" s="72">
        <f t="shared" si="24"/>
        <v>141.22999999999999</v>
      </c>
      <c r="G1143" s="73">
        <f t="shared" si="24"/>
        <v>156.49119043668105</v>
      </c>
      <c r="H1143" s="69"/>
      <c r="I1143" s="487"/>
      <c r="J1143" s="494">
        <f>J167</f>
        <v>53.12</v>
      </c>
      <c r="K1143" s="493">
        <f>K167</f>
        <v>692.65</v>
      </c>
      <c r="V1143" s="39"/>
    </row>
    <row r="1144" spans="1:22" ht="15" customHeight="1" x14ac:dyDescent="0.25">
      <c r="A1144" s="479"/>
      <c r="B1144" s="483"/>
      <c r="C1144" s="460"/>
      <c r="D1144" s="460"/>
      <c r="E1144" s="3">
        <f t="shared" si="24"/>
        <v>2</v>
      </c>
      <c r="F1144" s="3">
        <f t="shared" si="24"/>
        <v>167.21</v>
      </c>
      <c r="G1144" s="5">
        <f t="shared" si="24"/>
        <v>185.27856654335085</v>
      </c>
      <c r="H1144" s="69"/>
      <c r="I1144" s="487"/>
      <c r="J1144" s="495"/>
      <c r="K1144" s="493"/>
      <c r="V1144" s="39"/>
    </row>
    <row r="1145" spans="1:22" ht="15" customHeight="1" x14ac:dyDescent="0.25">
      <c r="A1145" s="479"/>
      <c r="B1145" s="483"/>
      <c r="C1145" s="460"/>
      <c r="D1145" s="460"/>
      <c r="E1145" s="3">
        <f t="shared" si="24"/>
        <v>3</v>
      </c>
      <c r="F1145" s="3">
        <f t="shared" si="24"/>
        <v>187.1</v>
      </c>
      <c r="G1145" s="5">
        <f t="shared" si="24"/>
        <v>207.31786256958878</v>
      </c>
      <c r="H1145" s="69"/>
      <c r="I1145" s="487"/>
      <c r="J1145" s="495"/>
      <c r="K1145" s="493"/>
      <c r="V1145" s="39"/>
    </row>
    <row r="1146" spans="1:22" ht="15.75" customHeight="1" thickBot="1" x14ac:dyDescent="0.3">
      <c r="A1146" s="479"/>
      <c r="B1146" s="483"/>
      <c r="C1146" s="460"/>
      <c r="D1146" s="461"/>
      <c r="E1146" s="6">
        <f t="shared" si="24"/>
        <v>4</v>
      </c>
      <c r="F1146" s="6">
        <f t="shared" si="24"/>
        <v>143.99</v>
      </c>
      <c r="G1146" s="7">
        <f t="shared" si="24"/>
        <v>159.54943362584228</v>
      </c>
      <c r="H1146" s="69"/>
      <c r="I1146" s="487"/>
      <c r="J1146" s="496"/>
      <c r="K1146" s="493"/>
      <c r="V1146" s="39"/>
    </row>
    <row r="1147" spans="1:22" ht="15" customHeight="1" x14ac:dyDescent="0.25">
      <c r="A1147" s="479"/>
      <c r="B1147" s="483"/>
      <c r="C1147" s="460"/>
      <c r="D1147" s="459">
        <v>3</v>
      </c>
      <c r="E1147" s="72">
        <f t="shared" si="24"/>
        <v>1</v>
      </c>
      <c r="F1147" s="72">
        <f t="shared" si="24"/>
        <v>141.13</v>
      </c>
      <c r="G1147" s="73">
        <f t="shared" si="24"/>
        <v>156.38038452403029</v>
      </c>
      <c r="H1147" s="69"/>
      <c r="I1147" s="487"/>
      <c r="J1147" s="494">
        <f>J171</f>
        <v>53.12</v>
      </c>
      <c r="K1147" s="493">
        <f>K171</f>
        <v>689.81</v>
      </c>
      <c r="V1147" s="39"/>
    </row>
    <row r="1148" spans="1:22" ht="15" customHeight="1" x14ac:dyDescent="0.25">
      <c r="A1148" s="479"/>
      <c r="B1148" s="483"/>
      <c r="C1148" s="460"/>
      <c r="D1148" s="460"/>
      <c r="E1148" s="3">
        <f t="shared" si="24"/>
        <v>2</v>
      </c>
      <c r="F1148" s="3">
        <f t="shared" si="24"/>
        <v>164.46</v>
      </c>
      <c r="G1148" s="5">
        <f t="shared" si="24"/>
        <v>182.2314039454547</v>
      </c>
      <c r="H1148" s="69"/>
      <c r="I1148" s="487"/>
      <c r="J1148" s="495"/>
      <c r="K1148" s="493"/>
      <c r="V1148" s="39"/>
    </row>
    <row r="1149" spans="1:22" ht="15" customHeight="1" x14ac:dyDescent="0.25">
      <c r="A1149" s="479"/>
      <c r="B1149" s="483"/>
      <c r="C1149" s="460"/>
      <c r="D1149" s="460"/>
      <c r="E1149" s="3">
        <f t="shared" si="24"/>
        <v>3</v>
      </c>
      <c r="F1149" s="3">
        <f t="shared" si="24"/>
        <v>187.2</v>
      </c>
      <c r="G1149" s="5">
        <f t="shared" si="24"/>
        <v>207.42866848223954</v>
      </c>
      <c r="H1149" s="69"/>
      <c r="I1149" s="487"/>
      <c r="J1149" s="495"/>
      <c r="K1149" s="493"/>
      <c r="V1149" s="39"/>
    </row>
    <row r="1150" spans="1:22" ht="15.75" customHeight="1" thickBot="1" x14ac:dyDescent="0.3">
      <c r="A1150" s="479"/>
      <c r="B1150" s="483"/>
      <c r="C1150" s="460"/>
      <c r="D1150" s="461"/>
      <c r="E1150" s="6">
        <f t="shared" si="24"/>
        <v>4</v>
      </c>
      <c r="F1150" s="6">
        <f t="shared" si="24"/>
        <v>143.9</v>
      </c>
      <c r="G1150" s="7">
        <f t="shared" si="24"/>
        <v>159.44970830445661</v>
      </c>
      <c r="H1150" s="69"/>
      <c r="I1150" s="487"/>
      <c r="J1150" s="496"/>
      <c r="K1150" s="493"/>
      <c r="V1150" s="39"/>
    </row>
    <row r="1151" spans="1:22" ht="15" customHeight="1" x14ac:dyDescent="0.25">
      <c r="A1151" s="479"/>
      <c r="B1151" s="483"/>
      <c r="C1151" s="460"/>
      <c r="D1151" s="460">
        <v>4</v>
      </c>
      <c r="E1151" s="70">
        <f t="shared" si="24"/>
        <v>1</v>
      </c>
      <c r="F1151" s="70">
        <f t="shared" si="24"/>
        <v>139.16999999999999</v>
      </c>
      <c r="G1151" s="65">
        <f t="shared" si="24"/>
        <v>154.20858863607521</v>
      </c>
      <c r="H1151" s="69"/>
      <c r="I1151" s="487"/>
      <c r="J1151" s="494">
        <f>J175</f>
        <v>53.12</v>
      </c>
      <c r="K1151" s="493">
        <f>K175</f>
        <v>679.49</v>
      </c>
      <c r="V1151" s="39"/>
    </row>
    <row r="1152" spans="1:22" ht="15" customHeight="1" x14ac:dyDescent="0.25">
      <c r="A1152" s="479"/>
      <c r="B1152" s="483"/>
      <c r="C1152" s="460"/>
      <c r="D1152" s="460"/>
      <c r="E1152" s="3">
        <f t="shared" si="24"/>
        <v>2</v>
      </c>
      <c r="F1152" s="3">
        <f t="shared" si="24"/>
        <v>162.69999999999999</v>
      </c>
      <c r="G1152" s="5">
        <f t="shared" si="24"/>
        <v>180.28121988280114</v>
      </c>
      <c r="H1152" s="69"/>
      <c r="I1152" s="487"/>
      <c r="J1152" s="495"/>
      <c r="K1152" s="493"/>
      <c r="V1152" s="39"/>
    </row>
    <row r="1153" spans="1:22" ht="15" customHeight="1" x14ac:dyDescent="0.25">
      <c r="A1153" s="479"/>
      <c r="B1153" s="483"/>
      <c r="C1153" s="460"/>
      <c r="D1153" s="460"/>
      <c r="E1153" s="3">
        <f t="shared" si="24"/>
        <v>3</v>
      </c>
      <c r="F1153" s="3">
        <f t="shared" si="24"/>
        <v>182.57</v>
      </c>
      <c r="G1153" s="5">
        <f t="shared" si="24"/>
        <v>202.29835472650896</v>
      </c>
      <c r="H1153" s="69"/>
      <c r="I1153" s="487"/>
      <c r="J1153" s="495"/>
      <c r="K1153" s="493"/>
      <c r="V1153" s="39"/>
    </row>
    <row r="1154" spans="1:22" ht="15.75" customHeight="1" thickBot="1" x14ac:dyDescent="0.3">
      <c r="A1154" s="480"/>
      <c r="B1154" s="484"/>
      <c r="C1154" s="476"/>
      <c r="D1154" s="476"/>
      <c r="E1154" s="3">
        <f t="shared" si="24"/>
        <v>4</v>
      </c>
      <c r="F1154" s="3">
        <f t="shared" si="24"/>
        <v>141.93</v>
      </c>
      <c r="G1154" s="5">
        <f t="shared" si="24"/>
        <v>157.26683182523644</v>
      </c>
      <c r="H1154" s="70"/>
      <c r="I1154" s="488"/>
      <c r="J1154" s="496"/>
      <c r="K1154" s="493"/>
      <c r="V1154" s="39"/>
    </row>
    <row r="1155" spans="1:22" x14ac:dyDescent="0.25">
      <c r="A1155" s="43" t="s">
        <v>4</v>
      </c>
      <c r="B1155" s="24"/>
      <c r="C1155" s="4"/>
      <c r="D1155" s="4"/>
      <c r="E1155" s="4"/>
      <c r="F1155" s="8">
        <f>SUM(F1135:F1154)</f>
        <v>3073.41</v>
      </c>
      <c r="G1155" s="8"/>
      <c r="H1155" s="8"/>
      <c r="I1155" s="8">
        <f>K1135+K1139+K1143+K1147+K1151</f>
        <v>3405.5199999999995</v>
      </c>
      <c r="J1155" s="4">
        <f>J1151+J1147+J1143+J1139+J1135</f>
        <v>332.11999999999995</v>
      </c>
      <c r="K1155" s="493"/>
      <c r="V1155" s="39"/>
    </row>
    <row r="1156" spans="1:22" x14ac:dyDescent="0.25">
      <c r="A1156" s="37"/>
      <c r="F1156" s="18">
        <f>I1155/F1155</f>
        <v>1.10805912650769</v>
      </c>
      <c r="I1156" s="55"/>
      <c r="J1156" s="9">
        <f>(J1135+J1139+J1143+J1147+J1151)/I1155</f>
        <v>9.7524019826634417E-2</v>
      </c>
      <c r="K1156" s="493"/>
      <c r="V1156" s="39"/>
    </row>
    <row r="1157" spans="1:22" ht="15.75" thickBot="1" x14ac:dyDescent="0.3">
      <c r="A1157" s="47"/>
      <c r="B1157" s="48"/>
      <c r="C1157" s="49"/>
      <c r="D1157" s="49"/>
      <c r="E1157" s="49"/>
      <c r="F1157" s="50"/>
      <c r="G1157" s="50"/>
      <c r="H1157" s="50"/>
      <c r="I1157" s="49"/>
      <c r="J1157" s="49"/>
      <c r="K1157" s="49"/>
      <c r="L1157" s="49"/>
      <c r="M1157" s="49"/>
      <c r="N1157" s="49"/>
      <c r="O1157" s="49"/>
      <c r="P1157" s="49"/>
      <c r="Q1157" s="49"/>
      <c r="R1157" s="49"/>
      <c r="S1157" s="49"/>
      <c r="T1157" s="49"/>
      <c r="U1157" s="49"/>
      <c r="V1157" s="51"/>
    </row>
    <row r="1158" spans="1:22" x14ac:dyDescent="0.25">
      <c r="I1158"/>
      <c r="J1158"/>
      <c r="K1158"/>
    </row>
    <row r="1159" spans="1:22" ht="15.75" thickBot="1" x14ac:dyDescent="0.3"/>
    <row r="1160" spans="1:22" x14ac:dyDescent="0.25">
      <c r="A1160" s="31"/>
      <c r="B1160" s="32"/>
      <c r="C1160" s="33"/>
      <c r="D1160" s="33"/>
      <c r="E1160" s="33"/>
      <c r="F1160" s="34"/>
      <c r="G1160" s="34"/>
      <c r="H1160" s="34"/>
      <c r="I1160" s="34"/>
      <c r="J1160" s="34"/>
      <c r="K1160" s="34"/>
      <c r="L1160" s="35" t="s">
        <v>0</v>
      </c>
      <c r="M1160" s="509" t="s">
        <v>22</v>
      </c>
      <c r="N1160" s="509"/>
      <c r="O1160" s="509"/>
      <c r="P1160" s="509"/>
      <c r="Q1160" s="33">
        <v>5</v>
      </c>
      <c r="R1160" s="498"/>
      <c r="S1160" s="498"/>
      <c r="T1160" s="33"/>
      <c r="U1160" s="33"/>
      <c r="V1160" s="36"/>
    </row>
    <row r="1161" spans="1:22" x14ac:dyDescent="0.25">
      <c r="A1161" s="37"/>
      <c r="L1161" s="38" t="s">
        <v>14</v>
      </c>
      <c r="M1161" s="477" t="s">
        <v>12</v>
      </c>
      <c r="N1161" s="477"/>
      <c r="O1161" s="477"/>
      <c r="P1161" s="477" t="s">
        <v>12</v>
      </c>
      <c r="Q1161" s="477"/>
      <c r="R1161" s="477" t="s">
        <v>12</v>
      </c>
      <c r="S1161" s="477"/>
      <c r="T1161" s="477" t="s">
        <v>12</v>
      </c>
      <c r="U1161" s="477"/>
      <c r="V1161" s="39"/>
    </row>
    <row r="1162" spans="1:22" x14ac:dyDescent="0.25">
      <c r="A1162" s="37"/>
      <c r="L1162" s="38"/>
      <c r="V1162" s="39"/>
    </row>
    <row r="1163" spans="1:22" x14ac:dyDescent="0.25">
      <c r="A1163" s="37"/>
      <c r="L1163" s="499" t="s">
        <v>11</v>
      </c>
      <c r="M1163" s="20">
        <v>4</v>
      </c>
      <c r="N1163" s="20">
        <v>3</v>
      </c>
      <c r="O1163" s="20">
        <v>2</v>
      </c>
      <c r="P1163" s="21">
        <v>3</v>
      </c>
      <c r="Q1163" s="21">
        <v>2</v>
      </c>
      <c r="R1163" s="20">
        <v>3</v>
      </c>
      <c r="S1163" s="20">
        <v>2</v>
      </c>
      <c r="T1163" s="21">
        <v>3</v>
      </c>
      <c r="U1163" s="21">
        <v>2</v>
      </c>
      <c r="V1163" s="39"/>
    </row>
    <row r="1164" spans="1:22" x14ac:dyDescent="0.25">
      <c r="A1164" s="37"/>
      <c r="L1164" s="499"/>
      <c r="M1164" s="20">
        <v>5</v>
      </c>
      <c r="N1164" s="20">
        <v>6</v>
      </c>
      <c r="O1164" s="20">
        <v>1</v>
      </c>
      <c r="P1164" s="21">
        <v>4</v>
      </c>
      <c r="Q1164" s="21">
        <v>1</v>
      </c>
      <c r="R1164" s="20">
        <v>4</v>
      </c>
      <c r="S1164" s="20">
        <v>1</v>
      </c>
      <c r="T1164" s="21">
        <v>4</v>
      </c>
      <c r="U1164" s="21">
        <v>1</v>
      </c>
      <c r="V1164" s="39"/>
    </row>
    <row r="1165" spans="1:22" x14ac:dyDescent="0.25">
      <c r="A1165" s="37"/>
      <c r="L1165" s="38"/>
      <c r="V1165" s="39"/>
    </row>
    <row r="1166" spans="1:22" x14ac:dyDescent="0.25">
      <c r="A1166" s="37"/>
      <c r="L1166" s="38" t="s">
        <v>14</v>
      </c>
      <c r="M1166" s="477" t="s">
        <v>13</v>
      </c>
      <c r="N1166" s="477"/>
      <c r="O1166" s="477"/>
      <c r="P1166" s="477" t="s">
        <v>13</v>
      </c>
      <c r="Q1166" s="477"/>
      <c r="R1166" s="477" t="s">
        <v>13</v>
      </c>
      <c r="S1166" s="477"/>
      <c r="T1166" s="477" t="s">
        <v>13</v>
      </c>
      <c r="U1166" s="477"/>
      <c r="V1166" s="39"/>
    </row>
    <row r="1167" spans="1:22" ht="18.75" x14ac:dyDescent="0.3">
      <c r="A1167" s="505" t="s">
        <v>16</v>
      </c>
      <c r="B1167" s="506"/>
      <c r="C1167" s="506"/>
      <c r="D1167" s="506"/>
      <c r="E1167" s="506"/>
      <c r="F1167" s="506"/>
      <c r="G1167" s="506"/>
      <c r="H1167" s="506"/>
      <c r="I1167" s="506"/>
      <c r="J1167" s="506"/>
      <c r="K1167" s="40"/>
      <c r="M1167" s="477"/>
      <c r="N1167" s="477"/>
      <c r="O1167" s="477"/>
      <c r="P1167" s="477"/>
      <c r="Q1167" s="477"/>
      <c r="V1167" s="39"/>
    </row>
    <row r="1168" spans="1:22" ht="30" x14ac:dyDescent="0.25">
      <c r="A1168" s="41" t="s">
        <v>9</v>
      </c>
      <c r="B1168" s="23" t="s">
        <v>7</v>
      </c>
      <c r="C1168" s="2" t="s">
        <v>8</v>
      </c>
      <c r="D1168" s="2" t="s">
        <v>10</v>
      </c>
      <c r="E1168" s="1" t="s">
        <v>2</v>
      </c>
      <c r="F1168" s="19" t="s">
        <v>3</v>
      </c>
      <c r="G1168" s="19" t="s">
        <v>5</v>
      </c>
      <c r="H1168" s="19" t="s">
        <v>57</v>
      </c>
      <c r="I1168" s="28" t="s">
        <v>6</v>
      </c>
      <c r="J1168" s="28" t="s">
        <v>1</v>
      </c>
      <c r="K1168" s="40"/>
      <c r="M1168" s="477"/>
      <c r="N1168" s="477"/>
      <c r="O1168" s="477"/>
      <c r="P1168" s="477"/>
      <c r="Q1168" s="477"/>
      <c r="V1168" s="39"/>
    </row>
    <row r="1169" spans="1:22" ht="15" customHeight="1" x14ac:dyDescent="0.25">
      <c r="A1169" s="478" t="s">
        <v>15</v>
      </c>
      <c r="B1169" s="482" t="s">
        <v>18</v>
      </c>
      <c r="C1169" s="485" t="s">
        <v>17</v>
      </c>
      <c r="D1169" s="485">
        <v>0</v>
      </c>
      <c r="E1169" s="3">
        <f>[7]A!E10</f>
        <v>1</v>
      </c>
      <c r="F1169" s="3">
        <f>[7]A!F10</f>
        <v>110.32</v>
      </c>
      <c r="G1169" s="5">
        <f>[7]A!G10</f>
        <v>120.40866089136887</v>
      </c>
      <c r="H1169" s="76">
        <v>42.779499999999999</v>
      </c>
      <c r="I1169" s="486">
        <f>SUM(G1169:G1188)</f>
        <v>2124.1999999999998</v>
      </c>
      <c r="J1169" s="462">
        <f>[7]A!I10</f>
        <v>48.87</v>
      </c>
      <c r="K1169" s="455">
        <f>[7]A!J10</f>
        <v>420.41</v>
      </c>
      <c r="L1169" s="42"/>
      <c r="V1169" s="39"/>
    </row>
    <row r="1170" spans="1:22" ht="15" customHeight="1" x14ac:dyDescent="0.25">
      <c r="A1170" s="479"/>
      <c r="B1170" s="483"/>
      <c r="C1170" s="460"/>
      <c r="D1170" s="460"/>
      <c r="E1170" s="3">
        <f>[7]A!E11</f>
        <v>2</v>
      </c>
      <c r="F1170" s="3">
        <f>[7]A!F11</f>
        <v>110.14</v>
      </c>
      <c r="G1170" s="5">
        <f>[7]A!G11</f>
        <v>120.21220005960269</v>
      </c>
      <c r="H1170" s="76">
        <v>59.482100000000003</v>
      </c>
      <c r="I1170" s="487"/>
      <c r="J1170" s="463"/>
      <c r="K1170" s="455"/>
      <c r="L1170" s="42"/>
      <c r="M1170" s="18"/>
      <c r="N1170" s="18"/>
      <c r="V1170" s="39"/>
    </row>
    <row r="1171" spans="1:22" ht="15" customHeight="1" x14ac:dyDescent="0.25">
      <c r="A1171" s="479"/>
      <c r="B1171" s="483"/>
      <c r="C1171" s="460"/>
      <c r="D1171" s="460"/>
      <c r="E1171" s="3">
        <f>[7]A!E12</f>
        <v>3</v>
      </c>
      <c r="F1171" s="3">
        <f>[7]A!F12</f>
        <v>89.96</v>
      </c>
      <c r="G1171" s="5">
        <f>[7]A!G12</f>
        <v>98.186757920481725</v>
      </c>
      <c r="H1171" s="76">
        <v>50.507800000000003</v>
      </c>
      <c r="I1171" s="487"/>
      <c r="J1171" s="463"/>
      <c r="K1171" s="455"/>
      <c r="L1171" s="42"/>
      <c r="V1171" s="39"/>
    </row>
    <row r="1172" spans="1:22" ht="15.75" customHeight="1" thickBot="1" x14ac:dyDescent="0.3">
      <c r="A1172" s="479"/>
      <c r="B1172" s="483"/>
      <c r="C1172" s="460"/>
      <c r="D1172" s="461"/>
      <c r="E1172" s="6">
        <f>[7]A!E13</f>
        <v>4</v>
      </c>
      <c r="F1172" s="6">
        <f>[7]A!F13</f>
        <v>60.98</v>
      </c>
      <c r="G1172" s="7">
        <f>[7]A!G13</f>
        <v>66.556564006124674</v>
      </c>
      <c r="H1172" s="76">
        <v>23.808399999999999</v>
      </c>
      <c r="I1172" s="487"/>
      <c r="J1172" s="464"/>
      <c r="K1172" s="456"/>
      <c r="L1172" s="42"/>
      <c r="V1172" s="39"/>
    </row>
    <row r="1173" spans="1:22" ht="15" customHeight="1" x14ac:dyDescent="0.25">
      <c r="A1173" s="479"/>
      <c r="B1173" s="483"/>
      <c r="C1173" s="460"/>
      <c r="D1173" s="459">
        <v>1</v>
      </c>
      <c r="E1173" s="72">
        <f>[7]A!E14</f>
        <v>1</v>
      </c>
      <c r="F1173" s="72">
        <f>[7]A!F14</f>
        <v>110.61</v>
      </c>
      <c r="G1173" s="73">
        <f>[7]A!G14</f>
        <v>120.72518112032553</v>
      </c>
      <c r="H1173" s="64"/>
      <c r="I1173" s="487"/>
      <c r="J1173" s="462">
        <f>[7]A!I14</f>
        <v>35.729999999999997</v>
      </c>
      <c r="K1173" s="455">
        <f>[7]A!J14</f>
        <v>407.35</v>
      </c>
      <c r="L1173" s="11"/>
      <c r="M1173" s="10"/>
      <c r="V1173" s="39"/>
    </row>
    <row r="1174" spans="1:22" ht="15" customHeight="1" x14ac:dyDescent="0.25">
      <c r="A1174" s="479"/>
      <c r="B1174" s="483"/>
      <c r="C1174" s="460"/>
      <c r="D1174" s="460"/>
      <c r="E1174" s="3">
        <f>[7]A!E15</f>
        <v>2</v>
      </c>
      <c r="F1174" s="3">
        <f>[7]A!F15</f>
        <v>110.14</v>
      </c>
      <c r="G1174" s="5">
        <f>[7]A!G15</f>
        <v>120.21220005960269</v>
      </c>
      <c r="H1174" s="64"/>
      <c r="I1174" s="487"/>
      <c r="J1174" s="463"/>
      <c r="K1174" s="455"/>
      <c r="L1174" s="11"/>
      <c r="V1174" s="39"/>
    </row>
    <row r="1175" spans="1:22" ht="15" customHeight="1" x14ac:dyDescent="0.25">
      <c r="A1175" s="479"/>
      <c r="B1175" s="483"/>
      <c r="C1175" s="460"/>
      <c r="D1175" s="460"/>
      <c r="E1175" s="3">
        <f>[7]A!E16</f>
        <v>3</v>
      </c>
      <c r="F1175" s="3">
        <f>[7]A!F16</f>
        <v>89.05</v>
      </c>
      <c r="G1175" s="5">
        <f>[7]A!G16</f>
        <v>97.193539270997093</v>
      </c>
      <c r="H1175" s="64"/>
      <c r="I1175" s="487"/>
      <c r="J1175" s="463"/>
      <c r="K1175" s="455"/>
      <c r="L1175" s="12"/>
      <c r="V1175" s="39"/>
    </row>
    <row r="1176" spans="1:22" ht="15.75" customHeight="1" thickBot="1" x14ac:dyDescent="0.3">
      <c r="A1176" s="479"/>
      <c r="B1176" s="483"/>
      <c r="C1176" s="460"/>
      <c r="D1176" s="461"/>
      <c r="E1176" s="6">
        <f>[7]A!E17</f>
        <v>4</v>
      </c>
      <c r="F1176" s="6">
        <f>[7]A!F17</f>
        <v>61.82</v>
      </c>
      <c r="G1176" s="7">
        <f>[7]A!G17</f>
        <v>67.473381221033577</v>
      </c>
      <c r="H1176" s="64"/>
      <c r="I1176" s="487"/>
      <c r="J1176" s="464"/>
      <c r="K1176" s="456"/>
      <c r="L1176" s="13"/>
      <c r="V1176" s="39"/>
    </row>
    <row r="1177" spans="1:22" ht="15" customHeight="1" x14ac:dyDescent="0.25">
      <c r="A1177" s="479"/>
      <c r="B1177" s="483"/>
      <c r="C1177" s="460"/>
      <c r="D1177" s="459">
        <v>2</v>
      </c>
      <c r="E1177" s="72">
        <f>[7]A!E18</f>
        <v>1</v>
      </c>
      <c r="F1177" s="72">
        <f>[7]A!F18</f>
        <v>112.2</v>
      </c>
      <c r="G1177" s="73">
        <f>[7]A!G18</f>
        <v>122.46058513426023</v>
      </c>
      <c r="H1177" s="64"/>
      <c r="I1177" s="487"/>
      <c r="J1177" s="462">
        <f>[7]A!I18</f>
        <v>29.85</v>
      </c>
      <c r="K1177" s="455">
        <f>[7]A!J18</f>
        <v>436.05</v>
      </c>
      <c r="L1177" s="42"/>
      <c r="V1177" s="39"/>
    </row>
    <row r="1178" spans="1:22" ht="15" customHeight="1" x14ac:dyDescent="0.25">
      <c r="A1178" s="479"/>
      <c r="B1178" s="483"/>
      <c r="C1178" s="460"/>
      <c r="D1178" s="460"/>
      <c r="E1178" s="3">
        <f>[7]A!E19</f>
        <v>2</v>
      </c>
      <c r="F1178" s="3">
        <f>[7]A!F19</f>
        <v>112.2</v>
      </c>
      <c r="G1178" s="5">
        <f>[7]A!G19</f>
        <v>122.46058513426023</v>
      </c>
      <c r="H1178" s="64"/>
      <c r="I1178" s="487"/>
      <c r="J1178" s="463"/>
      <c r="K1178" s="455"/>
      <c r="L1178" s="42"/>
      <c r="M1178" s="18"/>
      <c r="N1178" s="18"/>
      <c r="V1178" s="39"/>
    </row>
    <row r="1179" spans="1:22" ht="15" customHeight="1" x14ac:dyDescent="0.25">
      <c r="A1179" s="479"/>
      <c r="B1179" s="483"/>
      <c r="C1179" s="460"/>
      <c r="D1179" s="460"/>
      <c r="E1179" s="3">
        <f>[7]A!E20</f>
        <v>3</v>
      </c>
      <c r="F1179" s="3">
        <f>[7]A!F20</f>
        <v>90.91</v>
      </c>
      <c r="G1179" s="5">
        <f>[7]A!G20</f>
        <v>99.223634532581073</v>
      </c>
      <c r="H1179" s="64"/>
      <c r="I1179" s="487"/>
      <c r="J1179" s="463"/>
      <c r="K1179" s="455"/>
      <c r="L1179" s="42"/>
      <c r="V1179" s="39"/>
    </row>
    <row r="1180" spans="1:22" ht="15.75" customHeight="1" thickBot="1" x14ac:dyDescent="0.3">
      <c r="A1180" s="479"/>
      <c r="B1180" s="483"/>
      <c r="C1180" s="460"/>
      <c r="D1180" s="461"/>
      <c r="E1180" s="6">
        <f>[7]A!E21</f>
        <v>4</v>
      </c>
      <c r="F1180" s="6">
        <f>[7]A!F21</f>
        <v>90.91</v>
      </c>
      <c r="G1180" s="7">
        <f>[7]A!G21</f>
        <v>99.223634532581073</v>
      </c>
      <c r="H1180" s="64"/>
      <c r="I1180" s="487"/>
      <c r="J1180" s="464"/>
      <c r="K1180" s="456"/>
      <c r="L1180" s="42"/>
      <c r="V1180" s="39"/>
    </row>
    <row r="1181" spans="1:22" ht="15" customHeight="1" x14ac:dyDescent="0.25">
      <c r="A1181" s="479"/>
      <c r="B1181" s="483"/>
      <c r="C1181" s="460"/>
      <c r="D1181" s="459">
        <v>3</v>
      </c>
      <c r="E1181" s="72">
        <f>[7]A!E22</f>
        <v>1</v>
      </c>
      <c r="F1181" s="72">
        <f>[7]A!F22</f>
        <v>110.14</v>
      </c>
      <c r="G1181" s="73">
        <f>[7]A!G22</f>
        <v>120.21220005960269</v>
      </c>
      <c r="H1181" s="64"/>
      <c r="I1181" s="487"/>
      <c r="J1181" s="462">
        <f>[7]A!I22</f>
        <v>29.85</v>
      </c>
      <c r="K1181" s="455">
        <f>[7]A!J22</f>
        <v>428.22</v>
      </c>
      <c r="L1181" s="42"/>
      <c r="V1181" s="39"/>
    </row>
    <row r="1182" spans="1:22" ht="15" customHeight="1" x14ac:dyDescent="0.25">
      <c r="A1182" s="479"/>
      <c r="B1182" s="483"/>
      <c r="C1182" s="460"/>
      <c r="D1182" s="460"/>
      <c r="E1182" s="3">
        <f>[7]A!E23</f>
        <v>2</v>
      </c>
      <c r="F1182" s="3">
        <f>[7]A!F23</f>
        <v>110.14</v>
      </c>
      <c r="G1182" s="5">
        <f>[7]A!G23</f>
        <v>120.21220005960269</v>
      </c>
      <c r="H1182" s="64"/>
      <c r="I1182" s="487"/>
      <c r="J1182" s="463"/>
      <c r="K1182" s="455"/>
      <c r="L1182" s="42"/>
      <c r="V1182" s="39"/>
    </row>
    <row r="1183" spans="1:22" ht="15" customHeight="1" x14ac:dyDescent="0.25">
      <c r="A1183" s="479"/>
      <c r="B1183" s="483"/>
      <c r="C1183" s="460"/>
      <c r="D1183" s="460"/>
      <c r="E1183" s="3">
        <f>[7]A!E24</f>
        <v>3</v>
      </c>
      <c r="F1183" s="3">
        <f>[7]A!F24</f>
        <v>89.05</v>
      </c>
      <c r="G1183" s="5">
        <f>[7]A!G24</f>
        <v>97.193539270997093</v>
      </c>
      <c r="H1183" s="64"/>
      <c r="I1183" s="487"/>
      <c r="J1183" s="463"/>
      <c r="K1183" s="455"/>
      <c r="L1183" s="42"/>
      <c r="M1183" s="18"/>
      <c r="N1183" s="18"/>
      <c r="V1183" s="39"/>
    </row>
    <row r="1184" spans="1:22" ht="15.75" customHeight="1" thickBot="1" x14ac:dyDescent="0.3">
      <c r="A1184" s="479"/>
      <c r="B1184" s="483"/>
      <c r="C1184" s="460"/>
      <c r="D1184" s="461"/>
      <c r="E1184" s="6">
        <f>[7]A!E25</f>
        <v>4</v>
      </c>
      <c r="F1184" s="6">
        <f>[7]A!F25</f>
        <v>89.05</v>
      </c>
      <c r="G1184" s="7">
        <f>[7]A!G25</f>
        <v>97.193539270997093</v>
      </c>
      <c r="H1184" s="64"/>
      <c r="I1184" s="487"/>
      <c r="J1184" s="464"/>
      <c r="K1184" s="456"/>
      <c r="L1184" s="42"/>
      <c r="V1184" s="39"/>
    </row>
    <row r="1185" spans="1:22" ht="15" customHeight="1" x14ac:dyDescent="0.25">
      <c r="A1185" s="479"/>
      <c r="B1185" s="483"/>
      <c r="C1185" s="460"/>
      <c r="D1185" s="460">
        <v>4</v>
      </c>
      <c r="E1185" s="70">
        <f>[7]A!E26</f>
        <v>1</v>
      </c>
      <c r="F1185" s="70">
        <f>[7]A!F26</f>
        <v>110.18</v>
      </c>
      <c r="G1185" s="65">
        <f>[7]A!G26</f>
        <v>120.25585802221741</v>
      </c>
      <c r="H1185" s="64"/>
      <c r="I1185" s="487"/>
      <c r="J1185" s="462">
        <f>[7]A!I26</f>
        <v>29.85</v>
      </c>
      <c r="K1185" s="455">
        <f>[7]A!J26</f>
        <v>432.17</v>
      </c>
      <c r="L1185" s="42"/>
      <c r="V1185" s="39"/>
    </row>
    <row r="1186" spans="1:22" ht="15" customHeight="1" x14ac:dyDescent="0.25">
      <c r="A1186" s="479"/>
      <c r="B1186" s="483"/>
      <c r="C1186" s="460"/>
      <c r="D1186" s="460"/>
      <c r="E1186" s="3">
        <f>[7]A!E27</f>
        <v>2</v>
      </c>
      <c r="F1186" s="3">
        <f>[7]A!F27</f>
        <v>110.18</v>
      </c>
      <c r="G1186" s="5">
        <f>[7]A!G27</f>
        <v>120.25585802221741</v>
      </c>
      <c r="H1186" s="64"/>
      <c r="I1186" s="487"/>
      <c r="J1186" s="463"/>
      <c r="K1186" s="455"/>
      <c r="L1186" s="42"/>
      <c r="M1186" s="18"/>
      <c r="N1186" s="18"/>
      <c r="V1186" s="39"/>
    </row>
    <row r="1187" spans="1:22" ht="15" customHeight="1" x14ac:dyDescent="0.25">
      <c r="A1187" s="479"/>
      <c r="B1187" s="483"/>
      <c r="C1187" s="460"/>
      <c r="D1187" s="460"/>
      <c r="E1187" s="3">
        <f>[7]A!E28</f>
        <v>3</v>
      </c>
      <c r="F1187" s="3">
        <f>[7]A!F28</f>
        <v>89.12</v>
      </c>
      <c r="G1187" s="5">
        <f>[7]A!G28</f>
        <v>97.269940705572836</v>
      </c>
      <c r="H1187" s="64"/>
      <c r="I1187" s="487"/>
      <c r="J1187" s="463"/>
      <c r="K1187" s="455"/>
      <c r="L1187" s="42"/>
      <c r="V1187" s="39"/>
    </row>
    <row r="1188" spans="1:22" ht="15" customHeight="1" thickBot="1" x14ac:dyDescent="0.3">
      <c r="A1188" s="480"/>
      <c r="B1188" s="484"/>
      <c r="C1188" s="476"/>
      <c r="D1188" s="476"/>
      <c r="E1188" s="3">
        <f>[7]A!E29</f>
        <v>4</v>
      </c>
      <c r="F1188" s="3">
        <f>[7]A!F29</f>
        <v>89.12</v>
      </c>
      <c r="G1188" s="5">
        <f>[7]A!G29</f>
        <v>97.269940705572836</v>
      </c>
      <c r="H1188" s="65"/>
      <c r="I1188" s="488"/>
      <c r="J1188" s="464"/>
      <c r="K1188" s="456"/>
      <c r="L1188" s="42"/>
      <c r="V1188" s="39"/>
    </row>
    <row r="1189" spans="1:22" x14ac:dyDescent="0.25">
      <c r="A1189" s="43" t="s">
        <v>4</v>
      </c>
      <c r="B1189" s="24"/>
      <c r="C1189" s="4"/>
      <c r="D1189" s="4"/>
      <c r="E1189" s="4"/>
      <c r="F1189" s="8">
        <f>SUM(F1169:F1188)</f>
        <v>1946.2200000000003</v>
      </c>
      <c r="G1189" s="8"/>
      <c r="H1189" s="8"/>
      <c r="I1189" s="8">
        <f>K1169+K1173+K1177+K1181+K1185</f>
        <v>2124.1999999999998</v>
      </c>
      <c r="J1189" s="8">
        <f>J1185+J1181+J1177+J1173+J1169</f>
        <v>174.15</v>
      </c>
      <c r="K1189" s="40"/>
      <c r="L1189" s="44"/>
      <c r="V1189" s="39"/>
    </row>
    <row r="1190" spans="1:22" x14ac:dyDescent="0.25">
      <c r="A1190" s="37"/>
      <c r="F1190" s="18">
        <f>I1189/F1189</f>
        <v>1.0914490653677382</v>
      </c>
      <c r="I1190" s="45"/>
      <c r="J1190" s="9">
        <f>(J1169+J1173+J1177+J1181+J1185)/I1189</f>
        <v>8.1983805668016191E-2</v>
      </c>
      <c r="V1190" s="39"/>
    </row>
    <row r="1191" spans="1:22" x14ac:dyDescent="0.25">
      <c r="A1191" s="37"/>
      <c r="V1191" s="39"/>
    </row>
    <row r="1192" spans="1:22" x14ac:dyDescent="0.25">
      <c r="A1192" s="37"/>
      <c r="V1192" s="39"/>
    </row>
    <row r="1193" spans="1:22" ht="18.75" x14ac:dyDescent="0.3">
      <c r="A1193" s="505" t="s">
        <v>16</v>
      </c>
      <c r="B1193" s="506"/>
      <c r="C1193" s="506"/>
      <c r="D1193" s="506"/>
      <c r="E1193" s="506"/>
      <c r="F1193" s="506"/>
      <c r="G1193" s="506"/>
      <c r="H1193" s="506"/>
      <c r="I1193" s="506"/>
      <c r="J1193" s="506"/>
      <c r="K1193" s="46"/>
      <c r="V1193" s="39"/>
    </row>
    <row r="1194" spans="1:22" ht="30" x14ac:dyDescent="0.25">
      <c r="A1194" s="41" t="s">
        <v>9</v>
      </c>
      <c r="B1194" s="23" t="s">
        <v>7</v>
      </c>
      <c r="C1194" s="2" t="s">
        <v>8</v>
      </c>
      <c r="D1194" s="2" t="s">
        <v>10</v>
      </c>
      <c r="E1194" s="1" t="s">
        <v>2</v>
      </c>
      <c r="F1194" s="19" t="s">
        <v>3</v>
      </c>
      <c r="G1194" s="19" t="s">
        <v>5</v>
      </c>
      <c r="H1194" s="19" t="s">
        <v>57</v>
      </c>
      <c r="I1194" s="28" t="s">
        <v>6</v>
      </c>
      <c r="J1194" s="28" t="s">
        <v>1</v>
      </c>
      <c r="K1194" s="46"/>
      <c r="V1194" s="39"/>
    </row>
    <row r="1195" spans="1:22" ht="15" customHeight="1" x14ac:dyDescent="0.25">
      <c r="A1195" s="478" t="s">
        <v>15</v>
      </c>
      <c r="B1195" s="482" t="s">
        <v>18</v>
      </c>
      <c r="C1195" s="485" t="s">
        <v>19</v>
      </c>
      <c r="D1195" s="485">
        <v>0</v>
      </c>
      <c r="E1195" s="3">
        <v>1</v>
      </c>
      <c r="F1195" s="25">
        <f>[7]A!F36</f>
        <v>60.98</v>
      </c>
      <c r="G1195" s="25">
        <f>[7]A!G36</f>
        <v>66.844099610330389</v>
      </c>
      <c r="H1195" s="76">
        <v>23.808399999999999</v>
      </c>
      <c r="I1195" s="486">
        <f>SUM(G1195:G1214)</f>
        <v>1994.46</v>
      </c>
      <c r="J1195" s="462">
        <f>J1169</f>
        <v>48.87</v>
      </c>
      <c r="K1195" s="465">
        <f>[7]A!J36</f>
        <v>396.25</v>
      </c>
      <c r="V1195" s="39"/>
    </row>
    <row r="1196" spans="1:22" ht="15" customHeight="1" x14ac:dyDescent="0.25">
      <c r="A1196" s="479"/>
      <c r="B1196" s="483"/>
      <c r="C1196" s="460"/>
      <c r="D1196" s="460"/>
      <c r="E1196" s="3">
        <v>2</v>
      </c>
      <c r="F1196" s="25">
        <f>[7]A!F37</f>
        <v>89.96</v>
      </c>
      <c r="G1196" s="25">
        <f>[7]A!G37</f>
        <v>98.610941307729107</v>
      </c>
      <c r="H1196" s="76">
        <v>50.503900000000002</v>
      </c>
      <c r="I1196" s="487"/>
      <c r="J1196" s="463"/>
      <c r="K1196" s="465"/>
      <c r="M1196" s="18"/>
      <c r="N1196" s="18"/>
      <c r="V1196" s="39"/>
    </row>
    <row r="1197" spans="1:22" ht="15" customHeight="1" x14ac:dyDescent="0.25">
      <c r="A1197" s="479"/>
      <c r="B1197" s="483"/>
      <c r="C1197" s="460"/>
      <c r="D1197" s="460"/>
      <c r="E1197" s="3">
        <v>3</v>
      </c>
      <c r="F1197" s="25">
        <f>[7]A!F38</f>
        <v>97.98</v>
      </c>
      <c r="G1197" s="25">
        <f>[7]A!G38</f>
        <v>107.40217907215762</v>
      </c>
      <c r="H1197" s="76">
        <v>50.705300000000001</v>
      </c>
      <c r="I1197" s="487"/>
      <c r="J1197" s="463"/>
      <c r="K1197" s="465"/>
      <c r="V1197" s="39"/>
    </row>
    <row r="1198" spans="1:22" ht="15.75" customHeight="1" thickBot="1" x14ac:dyDescent="0.3">
      <c r="A1198" s="479"/>
      <c r="B1198" s="483"/>
      <c r="C1198" s="460"/>
      <c r="D1198" s="461"/>
      <c r="E1198" s="6">
        <v>4</v>
      </c>
      <c r="F1198" s="26">
        <f>[7]A!F39</f>
        <v>98.17</v>
      </c>
      <c r="G1198" s="26">
        <f>[7]A!G39</f>
        <v>107.61045029101565</v>
      </c>
      <c r="H1198" s="76">
        <v>31.613900000000001</v>
      </c>
      <c r="I1198" s="487"/>
      <c r="J1198" s="464"/>
      <c r="K1198" s="466"/>
      <c r="L1198" s="14"/>
      <c r="V1198" s="39"/>
    </row>
    <row r="1199" spans="1:22" ht="15" customHeight="1" x14ac:dyDescent="0.25">
      <c r="A1199" s="479"/>
      <c r="B1199" s="483"/>
      <c r="C1199" s="460"/>
      <c r="D1199" s="459">
        <v>1</v>
      </c>
      <c r="E1199" s="72">
        <v>1</v>
      </c>
      <c r="F1199" s="74">
        <f>[7]A!F40</f>
        <v>61.82</v>
      </c>
      <c r="G1199" s="74">
        <f>[7]A!G40</f>
        <v>67.764877630544845</v>
      </c>
      <c r="H1199" s="68"/>
      <c r="I1199" s="487"/>
      <c r="J1199" s="490">
        <f>J1173</f>
        <v>35.729999999999997</v>
      </c>
      <c r="K1199" s="465">
        <f>[7]A!J40</f>
        <v>380.7</v>
      </c>
      <c r="L1199" s="17"/>
      <c r="V1199" s="39"/>
    </row>
    <row r="1200" spans="1:22" ht="15" customHeight="1" x14ac:dyDescent="0.25">
      <c r="A1200" s="479"/>
      <c r="B1200" s="483"/>
      <c r="C1200" s="460"/>
      <c r="D1200" s="460"/>
      <c r="E1200" s="3">
        <v>2</v>
      </c>
      <c r="F1200" s="25">
        <f>[7]A!F41</f>
        <v>89.05</v>
      </c>
      <c r="G1200" s="25">
        <f>[7]A!G41</f>
        <v>97.61343178583013</v>
      </c>
      <c r="H1200" s="68"/>
      <c r="I1200" s="487"/>
      <c r="J1200" s="463"/>
      <c r="K1200" s="465"/>
      <c r="L1200" s="17"/>
      <c r="M1200" s="29"/>
      <c r="N1200" s="18"/>
      <c r="V1200" s="39"/>
    </row>
    <row r="1201" spans="1:22" ht="15" customHeight="1" x14ac:dyDescent="0.25">
      <c r="A1201" s="479"/>
      <c r="B1201" s="483"/>
      <c r="C1201" s="460"/>
      <c r="D1201" s="460"/>
      <c r="E1201" s="3">
        <v>3</v>
      </c>
      <c r="F1201" s="25">
        <f>[7]A!F42</f>
        <v>97.06</v>
      </c>
      <c r="G1201" s="25">
        <f>[7]A!G42</f>
        <v>106.39370790716083</v>
      </c>
      <c r="H1201" s="68"/>
      <c r="I1201" s="487"/>
      <c r="J1201" s="463"/>
      <c r="K1201" s="465"/>
      <c r="L1201" s="16"/>
      <c r="M1201" s="10"/>
      <c r="V1201" s="39"/>
    </row>
    <row r="1202" spans="1:22" ht="15.75" customHeight="1" thickBot="1" x14ac:dyDescent="0.3">
      <c r="A1202" s="479"/>
      <c r="B1202" s="483"/>
      <c r="C1202" s="460"/>
      <c r="D1202" s="461"/>
      <c r="E1202" s="6">
        <v>4</v>
      </c>
      <c r="F1202" s="26">
        <f>[7]A!F43</f>
        <v>97.09</v>
      </c>
      <c r="G1202" s="26">
        <f>[7]A!G43</f>
        <v>106.4265928364542</v>
      </c>
      <c r="H1202" s="68"/>
      <c r="I1202" s="487"/>
      <c r="J1202" s="464"/>
      <c r="K1202" s="466"/>
      <c r="L1202" s="15"/>
      <c r="V1202" s="39"/>
    </row>
    <row r="1203" spans="1:22" ht="15" customHeight="1" x14ac:dyDescent="0.25">
      <c r="A1203" s="479"/>
      <c r="B1203" s="483"/>
      <c r="C1203" s="460"/>
      <c r="D1203" s="459">
        <v>2</v>
      </c>
      <c r="E1203" s="72">
        <v>1</v>
      </c>
      <c r="F1203" s="74">
        <f>[7]A!F44</f>
        <v>90.91</v>
      </c>
      <c r="G1203" s="74">
        <f>[7]A!G44</f>
        <v>99.652297402019272</v>
      </c>
      <c r="H1203" s="68"/>
      <c r="I1203" s="487"/>
      <c r="J1203" s="490">
        <f>J1177</f>
        <v>29.85</v>
      </c>
      <c r="K1203" s="465">
        <f>[7]A!J44</f>
        <v>409.54</v>
      </c>
      <c r="V1203" s="39"/>
    </row>
    <row r="1204" spans="1:22" ht="15" customHeight="1" x14ac:dyDescent="0.25">
      <c r="A1204" s="479"/>
      <c r="B1204" s="483"/>
      <c r="C1204" s="460"/>
      <c r="D1204" s="460"/>
      <c r="E1204" s="3">
        <v>2</v>
      </c>
      <c r="F1204" s="25">
        <f>[7]A!F45</f>
        <v>90.91</v>
      </c>
      <c r="G1204" s="25">
        <f>[7]A!G45</f>
        <v>99.652297402019272</v>
      </c>
      <c r="H1204" s="68"/>
      <c r="I1204" s="487"/>
      <c r="J1204" s="463"/>
      <c r="K1204" s="465"/>
      <c r="M1204" s="18"/>
      <c r="N1204" s="18"/>
      <c r="V1204" s="39"/>
    </row>
    <row r="1205" spans="1:22" ht="15" customHeight="1" x14ac:dyDescent="0.25">
      <c r="A1205" s="479"/>
      <c r="B1205" s="483"/>
      <c r="C1205" s="460"/>
      <c r="D1205" s="460"/>
      <c r="E1205" s="3">
        <v>3</v>
      </c>
      <c r="F1205" s="25">
        <f>[7]A!F46</f>
        <v>98.95</v>
      </c>
      <c r="G1205" s="25">
        <f>[7]A!G46</f>
        <v>108.46545845264336</v>
      </c>
      <c r="H1205" s="68"/>
      <c r="I1205" s="487"/>
      <c r="J1205" s="463"/>
      <c r="K1205" s="465"/>
      <c r="V1205" s="39"/>
    </row>
    <row r="1206" spans="1:22" ht="15.75" customHeight="1" thickBot="1" x14ac:dyDescent="0.3">
      <c r="A1206" s="479"/>
      <c r="B1206" s="483"/>
      <c r="C1206" s="460"/>
      <c r="D1206" s="461"/>
      <c r="E1206" s="6">
        <v>4</v>
      </c>
      <c r="F1206" s="26">
        <f>[7]A!F47</f>
        <v>98.95</v>
      </c>
      <c r="G1206" s="26">
        <f>[7]A!G47</f>
        <v>108.46545845264336</v>
      </c>
      <c r="H1206" s="68"/>
      <c r="I1206" s="487"/>
      <c r="J1206" s="464"/>
      <c r="K1206" s="466"/>
      <c r="V1206" s="39"/>
    </row>
    <row r="1207" spans="1:22" ht="15" customHeight="1" x14ac:dyDescent="0.25">
      <c r="A1207" s="479"/>
      <c r="B1207" s="483"/>
      <c r="C1207" s="460"/>
      <c r="D1207" s="459">
        <v>3</v>
      </c>
      <c r="E1207" s="72">
        <v>1</v>
      </c>
      <c r="F1207" s="74">
        <f>[7]A!F48</f>
        <v>89.05</v>
      </c>
      <c r="G1207" s="74">
        <f>[7]A!G48</f>
        <v>97.61343178583013</v>
      </c>
      <c r="H1207" s="68"/>
      <c r="I1207" s="487"/>
      <c r="J1207" s="490">
        <f>J1181</f>
        <v>29.85</v>
      </c>
      <c r="K1207" s="465">
        <f>[7]A!J48</f>
        <v>402.11</v>
      </c>
      <c r="V1207" s="39"/>
    </row>
    <row r="1208" spans="1:22" ht="15" customHeight="1" x14ac:dyDescent="0.25">
      <c r="A1208" s="479"/>
      <c r="B1208" s="483"/>
      <c r="C1208" s="460"/>
      <c r="D1208" s="460"/>
      <c r="E1208" s="3">
        <v>2</v>
      </c>
      <c r="F1208" s="25">
        <f>[7]A!F49</f>
        <v>89.05</v>
      </c>
      <c r="G1208" s="25">
        <f>[7]A!G49</f>
        <v>97.61343178583013</v>
      </c>
      <c r="H1208" s="68"/>
      <c r="I1208" s="487"/>
      <c r="J1208" s="463"/>
      <c r="K1208" s="465"/>
      <c r="M1208" s="18"/>
      <c r="N1208" s="18"/>
      <c r="V1208" s="39"/>
    </row>
    <row r="1209" spans="1:22" ht="15" customHeight="1" x14ac:dyDescent="0.25">
      <c r="A1209" s="479"/>
      <c r="B1209" s="483"/>
      <c r="C1209" s="460"/>
      <c r="D1209" s="460"/>
      <c r="E1209" s="3">
        <v>3</v>
      </c>
      <c r="F1209" s="25">
        <f>[7]A!F50</f>
        <v>97.09</v>
      </c>
      <c r="G1209" s="25">
        <f>[7]A!G50</f>
        <v>106.4265928364542</v>
      </c>
      <c r="H1209" s="68"/>
      <c r="I1209" s="487"/>
      <c r="J1209" s="463"/>
      <c r="K1209" s="465"/>
      <c r="V1209" s="39"/>
    </row>
    <row r="1210" spans="1:22" ht="15.75" customHeight="1" thickBot="1" x14ac:dyDescent="0.3">
      <c r="A1210" s="479"/>
      <c r="B1210" s="483"/>
      <c r="C1210" s="460"/>
      <c r="D1210" s="461"/>
      <c r="E1210" s="6">
        <v>4</v>
      </c>
      <c r="F1210" s="26">
        <f>[7]A!F51</f>
        <v>97.09</v>
      </c>
      <c r="G1210" s="26">
        <f>[7]A!G51</f>
        <v>106.4265928364542</v>
      </c>
      <c r="H1210" s="68"/>
      <c r="I1210" s="487"/>
      <c r="J1210" s="464"/>
      <c r="K1210" s="466"/>
      <c r="V1210" s="39"/>
    </row>
    <row r="1211" spans="1:22" ht="15" customHeight="1" x14ac:dyDescent="0.25">
      <c r="A1211" s="479"/>
      <c r="B1211" s="483"/>
      <c r="C1211" s="460"/>
      <c r="D1211" s="460">
        <v>4</v>
      </c>
      <c r="E1211" s="70">
        <v>1</v>
      </c>
      <c r="F1211" s="27">
        <f>[7]A!F52</f>
        <v>89.12</v>
      </c>
      <c r="G1211" s="27">
        <f>[7]A!G52</f>
        <v>97.690163287514665</v>
      </c>
      <c r="H1211" s="68"/>
      <c r="I1211" s="487"/>
      <c r="J1211" s="490">
        <f>J1185</f>
        <v>29.85</v>
      </c>
      <c r="K1211" s="465">
        <f>[7]A!J52</f>
        <v>405.86</v>
      </c>
      <c r="V1211" s="39"/>
    </row>
    <row r="1212" spans="1:22" ht="15" customHeight="1" x14ac:dyDescent="0.25">
      <c r="A1212" s="479"/>
      <c r="B1212" s="483"/>
      <c r="C1212" s="460"/>
      <c r="D1212" s="460"/>
      <c r="E1212" s="3">
        <v>2</v>
      </c>
      <c r="F1212" s="25">
        <f>[7]A!F53</f>
        <v>90.52</v>
      </c>
      <c r="G1212" s="25">
        <f>[7]A!G53</f>
        <v>99.224793321205425</v>
      </c>
      <c r="H1212" s="68"/>
      <c r="I1212" s="487"/>
      <c r="J1212" s="463"/>
      <c r="K1212" s="465"/>
      <c r="M1212" s="18"/>
      <c r="N1212" s="18"/>
      <c r="V1212" s="39"/>
    </row>
    <row r="1213" spans="1:22" ht="15" customHeight="1" x14ac:dyDescent="0.25">
      <c r="A1213" s="479"/>
      <c r="B1213" s="483"/>
      <c r="C1213" s="460"/>
      <c r="D1213" s="460"/>
      <c r="E1213" s="3">
        <v>3</v>
      </c>
      <c r="F1213" s="25">
        <f>[7]A!F54</f>
        <v>98.57</v>
      </c>
      <c r="G1213" s="25">
        <f>[7]A!G54</f>
        <v>108.04891601492729</v>
      </c>
      <c r="H1213" s="68"/>
      <c r="I1213" s="487"/>
      <c r="J1213" s="463"/>
      <c r="K1213" s="465"/>
      <c r="V1213" s="39"/>
    </row>
    <row r="1214" spans="1:22" ht="15" customHeight="1" thickBot="1" x14ac:dyDescent="0.3">
      <c r="A1214" s="480"/>
      <c r="B1214" s="484"/>
      <c r="C1214" s="476"/>
      <c r="D1214" s="476"/>
      <c r="E1214" s="3">
        <v>4</v>
      </c>
      <c r="F1214" s="25">
        <f>[7]A!F55</f>
        <v>97.17</v>
      </c>
      <c r="G1214" s="25">
        <f>[7]A!G55</f>
        <v>106.51428598123654</v>
      </c>
      <c r="H1214" s="27"/>
      <c r="I1214" s="488"/>
      <c r="J1214" s="464"/>
      <c r="K1214" s="466"/>
      <c r="V1214" s="39"/>
    </row>
    <row r="1215" spans="1:22" x14ac:dyDescent="0.25">
      <c r="A1215" s="43" t="s">
        <v>4</v>
      </c>
      <c r="B1215" s="24"/>
      <c r="C1215" s="4"/>
      <c r="D1215" s="4"/>
      <c r="E1215" s="4"/>
      <c r="F1215" s="8">
        <f>SUM(F1195:F1214)</f>
        <v>1819.4899999999996</v>
      </c>
      <c r="G1215" s="8"/>
      <c r="H1215" s="8"/>
      <c r="I1215" s="8">
        <f>K1195+K1199+K1203+K1207+K1211</f>
        <v>1994.46</v>
      </c>
      <c r="J1215" s="8">
        <f>J1211+J1207+J1203+J1199+J1195</f>
        <v>174.15</v>
      </c>
      <c r="K1215" s="46"/>
      <c r="V1215" s="39"/>
    </row>
    <row r="1216" spans="1:22" x14ac:dyDescent="0.25">
      <c r="A1216" s="37"/>
      <c r="F1216" s="18">
        <f>I1215/F1215</f>
        <v>1.0961643097791143</v>
      </c>
      <c r="I1216" s="45"/>
      <c r="J1216" s="9">
        <f>(J1195+J1199+J1203+J1207+J1211)/I1215</f>
        <v>8.7316867723594344E-2</v>
      </c>
      <c r="K1216" s="46"/>
      <c r="V1216" s="39"/>
    </row>
    <row r="1217" spans="1:22" x14ac:dyDescent="0.25">
      <c r="A1217" s="37"/>
      <c r="V1217" s="39"/>
    </row>
    <row r="1218" spans="1:22" x14ac:dyDescent="0.25">
      <c r="A1218" s="37"/>
      <c r="V1218" s="39"/>
    </row>
    <row r="1219" spans="1:22" ht="18.75" x14ac:dyDescent="0.3">
      <c r="A1219" s="505" t="s">
        <v>16</v>
      </c>
      <c r="B1219" s="506"/>
      <c r="C1219" s="506"/>
      <c r="D1219" s="506"/>
      <c r="E1219" s="506"/>
      <c r="F1219" s="506"/>
      <c r="G1219" s="506"/>
      <c r="H1219" s="506"/>
      <c r="I1219" s="506"/>
      <c r="J1219" s="506"/>
      <c r="K1219" s="40"/>
      <c r="V1219" s="39"/>
    </row>
    <row r="1220" spans="1:22" ht="30" x14ac:dyDescent="0.25">
      <c r="A1220" s="41" t="s">
        <v>9</v>
      </c>
      <c r="B1220" s="23" t="s">
        <v>7</v>
      </c>
      <c r="C1220" s="2" t="s">
        <v>8</v>
      </c>
      <c r="D1220" s="2" t="s">
        <v>10</v>
      </c>
      <c r="E1220" s="1" t="s">
        <v>2</v>
      </c>
      <c r="F1220" s="19" t="s">
        <v>3</v>
      </c>
      <c r="G1220" s="19" t="s">
        <v>5</v>
      </c>
      <c r="H1220" s="19" t="s">
        <v>57</v>
      </c>
      <c r="I1220" s="28" t="s">
        <v>6</v>
      </c>
      <c r="J1220" s="28" t="s">
        <v>1</v>
      </c>
      <c r="K1220" s="40"/>
      <c r="V1220" s="39"/>
    </row>
    <row r="1221" spans="1:22" ht="15" customHeight="1" x14ac:dyDescent="0.25">
      <c r="A1221" s="478" t="s">
        <v>15</v>
      </c>
      <c r="B1221" s="482" t="s">
        <v>18</v>
      </c>
      <c r="C1221" s="485" t="s">
        <v>20</v>
      </c>
      <c r="D1221" s="485">
        <v>0</v>
      </c>
      <c r="E1221" s="3">
        <f>[7]A!E62</f>
        <v>1</v>
      </c>
      <c r="F1221" s="3">
        <f>[7]A!F62</f>
        <v>98.17</v>
      </c>
      <c r="G1221" s="5">
        <f>[7]A!G62</f>
        <v>107.61222461609491</v>
      </c>
      <c r="H1221" s="76">
        <v>31.614699999999999</v>
      </c>
      <c r="I1221" s="486">
        <f>SUM(G1221:G1240)</f>
        <v>1994.4600000000009</v>
      </c>
      <c r="J1221" s="462">
        <f>J1169</f>
        <v>48.87</v>
      </c>
      <c r="K1221" s="455">
        <f>K1195</f>
        <v>396.25</v>
      </c>
      <c r="V1221" s="39"/>
    </row>
    <row r="1222" spans="1:22" ht="15" customHeight="1" x14ac:dyDescent="0.25">
      <c r="A1222" s="479"/>
      <c r="B1222" s="483"/>
      <c r="C1222" s="460"/>
      <c r="D1222" s="460"/>
      <c r="E1222" s="3">
        <f>[7]A!E63</f>
        <v>2</v>
      </c>
      <c r="F1222" s="3">
        <f>[7]A!F63</f>
        <v>97.98</v>
      </c>
      <c r="G1222" s="5">
        <f>[7]A!G63</f>
        <v>107.40394996317592</v>
      </c>
      <c r="H1222" s="76">
        <v>50.705300000000001</v>
      </c>
      <c r="I1222" s="487"/>
      <c r="J1222" s="463"/>
      <c r="K1222" s="455"/>
      <c r="M1222" s="18"/>
      <c r="N1222" s="18"/>
      <c r="V1222" s="39"/>
    </row>
    <row r="1223" spans="1:22" ht="15" customHeight="1" x14ac:dyDescent="0.25">
      <c r="A1223" s="479"/>
      <c r="B1223" s="483"/>
      <c r="C1223" s="460"/>
      <c r="D1223" s="460"/>
      <c r="E1223" s="3">
        <f>[7]A!E64</f>
        <v>3</v>
      </c>
      <c r="F1223" s="3">
        <f>[7]A!F64</f>
        <v>89.96</v>
      </c>
      <c r="G1223" s="5">
        <f>[7]A!G64</f>
        <v>98.612567245226629</v>
      </c>
      <c r="H1223" s="76">
        <v>50.540100000000002</v>
      </c>
      <c r="I1223" s="487"/>
      <c r="J1223" s="463"/>
      <c r="K1223" s="455"/>
      <c r="V1223" s="39"/>
    </row>
    <row r="1224" spans="1:22" ht="15.75" customHeight="1" thickBot="1" x14ac:dyDescent="0.3">
      <c r="A1224" s="479"/>
      <c r="B1224" s="483"/>
      <c r="C1224" s="460"/>
      <c r="D1224" s="461"/>
      <c r="E1224" s="6">
        <f>[7]A!E65</f>
        <v>4</v>
      </c>
      <c r="F1224" s="6">
        <f>[7]A!F65</f>
        <v>60.98</v>
      </c>
      <c r="G1224" s="7">
        <f>[7]A!G65</f>
        <v>66.845201763160517</v>
      </c>
      <c r="H1224" s="76">
        <v>23.830100000000002</v>
      </c>
      <c r="I1224" s="487"/>
      <c r="J1224" s="464"/>
      <c r="K1224" s="456"/>
      <c r="L1224" s="14"/>
      <c r="V1224" s="39"/>
    </row>
    <row r="1225" spans="1:22" ht="15" customHeight="1" x14ac:dyDescent="0.25">
      <c r="A1225" s="479"/>
      <c r="B1225" s="483"/>
      <c r="C1225" s="460"/>
      <c r="D1225" s="459">
        <v>1</v>
      </c>
      <c r="E1225" s="72">
        <f>[7]A!E66</f>
        <v>1</v>
      </c>
      <c r="F1225" s="72">
        <f>[7]A!F66</f>
        <v>97.09</v>
      </c>
      <c r="G1225" s="73">
        <f>[7]A!G66</f>
        <v>106.42834764160798</v>
      </c>
      <c r="H1225" s="64"/>
      <c r="I1225" s="487"/>
      <c r="J1225" s="490">
        <f>J1173</f>
        <v>35.729999999999997</v>
      </c>
      <c r="K1225" s="455">
        <f>K1199</f>
        <v>380.7</v>
      </c>
      <c r="L1225" s="17"/>
      <c r="V1225" s="39"/>
    </row>
    <row r="1226" spans="1:22" ht="15" customHeight="1" x14ac:dyDescent="0.25">
      <c r="A1226" s="479"/>
      <c r="B1226" s="483"/>
      <c r="C1226" s="460"/>
      <c r="D1226" s="460"/>
      <c r="E1226" s="3">
        <f>[7]A!E67</f>
        <v>2</v>
      </c>
      <c r="F1226" s="3">
        <f>[7]A!F67</f>
        <v>97.06</v>
      </c>
      <c r="G1226" s="5">
        <f>[7]A!G67</f>
        <v>106.39546217009445</v>
      </c>
      <c r="H1226" s="64"/>
      <c r="I1226" s="487"/>
      <c r="J1226" s="463"/>
      <c r="K1226" s="455"/>
      <c r="L1226" s="17"/>
      <c r="M1226" s="29"/>
      <c r="N1226" s="18"/>
      <c r="V1226" s="39"/>
    </row>
    <row r="1227" spans="1:22" ht="15" customHeight="1" x14ac:dyDescent="0.25">
      <c r="A1227" s="479"/>
      <c r="B1227" s="483"/>
      <c r="C1227" s="460"/>
      <c r="D1227" s="460"/>
      <c r="E1227" s="3">
        <f>[7]A!E68</f>
        <v>3</v>
      </c>
      <c r="F1227" s="3">
        <f>[7]A!F68</f>
        <v>89.05</v>
      </c>
      <c r="G1227" s="5">
        <f>[7]A!G68</f>
        <v>97.615041275983003</v>
      </c>
      <c r="H1227" s="64"/>
      <c r="I1227" s="487"/>
      <c r="J1227" s="463"/>
      <c r="K1227" s="455"/>
      <c r="L1227" s="16"/>
      <c r="M1227" s="10"/>
      <c r="V1227" s="39"/>
    </row>
    <row r="1228" spans="1:22" ht="15.75" customHeight="1" thickBot="1" x14ac:dyDescent="0.3">
      <c r="A1228" s="479"/>
      <c r="B1228" s="483"/>
      <c r="C1228" s="460"/>
      <c r="D1228" s="461"/>
      <c r="E1228" s="6">
        <f>[7]A!E69</f>
        <v>4</v>
      </c>
      <c r="F1228" s="6">
        <f>[7]A!F69</f>
        <v>61.82</v>
      </c>
      <c r="G1228" s="7">
        <f>[7]A!G69</f>
        <v>67.765994965539235</v>
      </c>
      <c r="H1228" s="64"/>
      <c r="I1228" s="487"/>
      <c r="J1228" s="464"/>
      <c r="K1228" s="456"/>
      <c r="L1228" s="15"/>
      <c r="V1228" s="39"/>
    </row>
    <row r="1229" spans="1:22" ht="15" customHeight="1" x14ac:dyDescent="0.25">
      <c r="A1229" s="479"/>
      <c r="B1229" s="483"/>
      <c r="C1229" s="460"/>
      <c r="D1229" s="459">
        <v>2</v>
      </c>
      <c r="E1229" s="72">
        <f>[7]A!E70</f>
        <v>1</v>
      </c>
      <c r="F1229" s="72">
        <f>[7]A!F70</f>
        <v>98.95</v>
      </c>
      <c r="G1229" s="73">
        <f>[7]A!G70</f>
        <v>108.46724687544659</v>
      </c>
      <c r="H1229" s="64"/>
      <c r="I1229" s="487"/>
      <c r="J1229" s="490">
        <f>J1177</f>
        <v>29.85</v>
      </c>
      <c r="K1229" s="455">
        <f>K1203</f>
        <v>409.54</v>
      </c>
      <c r="V1229" s="39"/>
    </row>
    <row r="1230" spans="1:22" ht="15" customHeight="1" x14ac:dyDescent="0.25">
      <c r="A1230" s="479"/>
      <c r="B1230" s="483"/>
      <c r="C1230" s="460"/>
      <c r="D1230" s="460"/>
      <c r="E1230" s="3">
        <f>[7]A!E71</f>
        <v>2</v>
      </c>
      <c r="F1230" s="3">
        <f>[7]A!F71</f>
        <v>98.93</v>
      </c>
      <c r="G1230" s="5">
        <f>[7]A!G71</f>
        <v>108.44532322777091</v>
      </c>
      <c r="H1230" s="64"/>
      <c r="I1230" s="487"/>
      <c r="J1230" s="463"/>
      <c r="K1230" s="455"/>
      <c r="M1230" s="18"/>
      <c r="N1230" s="18"/>
      <c r="V1230" s="39"/>
    </row>
    <row r="1231" spans="1:22" ht="15" customHeight="1" x14ac:dyDescent="0.25">
      <c r="A1231" s="479"/>
      <c r="B1231" s="483"/>
      <c r="C1231" s="460"/>
      <c r="D1231" s="460"/>
      <c r="E1231" s="3">
        <f>[7]A!E72</f>
        <v>3</v>
      </c>
      <c r="F1231" s="3">
        <f>[7]A!F72</f>
        <v>90.91</v>
      </c>
      <c r="G1231" s="5">
        <f>[7]A!G72</f>
        <v>99.653940509821609</v>
      </c>
      <c r="H1231" s="64"/>
      <c r="I1231" s="487"/>
      <c r="J1231" s="463"/>
      <c r="K1231" s="455"/>
      <c r="O1231" s="18"/>
      <c r="V1231" s="39"/>
    </row>
    <row r="1232" spans="1:22" ht="15.75" customHeight="1" thickBot="1" x14ac:dyDescent="0.3">
      <c r="A1232" s="479"/>
      <c r="B1232" s="483"/>
      <c r="C1232" s="460"/>
      <c r="D1232" s="461"/>
      <c r="E1232" s="6">
        <f>[7]A!E73</f>
        <v>4</v>
      </c>
      <c r="F1232" s="6">
        <f>[7]A!F73</f>
        <v>90.9</v>
      </c>
      <c r="G1232" s="7">
        <f>[7]A!G73</f>
        <v>99.642978685983778</v>
      </c>
      <c r="H1232" s="64"/>
      <c r="I1232" s="487"/>
      <c r="J1232" s="464"/>
      <c r="K1232" s="456"/>
      <c r="V1232" s="39"/>
    </row>
    <row r="1233" spans="1:22" ht="15" customHeight="1" x14ac:dyDescent="0.25">
      <c r="A1233" s="479"/>
      <c r="B1233" s="483"/>
      <c r="C1233" s="460"/>
      <c r="D1233" s="459">
        <v>3</v>
      </c>
      <c r="E1233" s="72">
        <f>[7]A!E74</f>
        <v>1</v>
      </c>
      <c r="F1233" s="72">
        <f>[7]A!F74</f>
        <v>97.09</v>
      </c>
      <c r="G1233" s="73">
        <f>[7]A!G74</f>
        <v>106.42834764160798</v>
      </c>
      <c r="H1233" s="64"/>
      <c r="I1233" s="487"/>
      <c r="J1233" s="490">
        <f>J1181</f>
        <v>29.85</v>
      </c>
      <c r="K1233" s="455">
        <f>K1207</f>
        <v>402.11</v>
      </c>
      <c r="M1233" s="18"/>
      <c r="N1233" s="18"/>
      <c r="O1233" s="18"/>
      <c r="V1233" s="39"/>
    </row>
    <row r="1234" spans="1:22" ht="15" customHeight="1" x14ac:dyDescent="0.25">
      <c r="A1234" s="479"/>
      <c r="B1234" s="483"/>
      <c r="C1234" s="460"/>
      <c r="D1234" s="460"/>
      <c r="E1234" s="3">
        <f>[7]A!E75</f>
        <v>2</v>
      </c>
      <c r="F1234" s="3">
        <f>[7]A!F75</f>
        <v>97.09</v>
      </c>
      <c r="G1234" s="5">
        <f>[7]A!G75</f>
        <v>106.42834764160798</v>
      </c>
      <c r="H1234" s="64"/>
      <c r="I1234" s="487"/>
      <c r="J1234" s="463"/>
      <c r="K1234" s="455"/>
      <c r="M1234" s="18"/>
      <c r="N1234" s="18"/>
      <c r="V1234" s="39"/>
    </row>
    <row r="1235" spans="1:22" ht="15" customHeight="1" x14ac:dyDescent="0.25">
      <c r="A1235" s="479"/>
      <c r="B1235" s="483"/>
      <c r="C1235" s="460"/>
      <c r="D1235" s="460"/>
      <c r="E1235" s="3">
        <f>[7]A!E76</f>
        <v>3</v>
      </c>
      <c r="F1235" s="3">
        <f>[7]A!F76</f>
        <v>89.05</v>
      </c>
      <c r="G1235" s="5">
        <f>[7]A!G76</f>
        <v>97.615041275983003</v>
      </c>
      <c r="H1235" s="64"/>
      <c r="I1235" s="487"/>
      <c r="J1235" s="463"/>
      <c r="K1235" s="455"/>
      <c r="V1235" s="39"/>
    </row>
    <row r="1236" spans="1:22" ht="15.75" customHeight="1" thickBot="1" x14ac:dyDescent="0.3">
      <c r="A1236" s="479"/>
      <c r="B1236" s="483"/>
      <c r="C1236" s="460"/>
      <c r="D1236" s="461"/>
      <c r="E1236" s="6">
        <f>[7]A!E77</f>
        <v>4</v>
      </c>
      <c r="F1236" s="6">
        <f>[7]A!F77</f>
        <v>89.05</v>
      </c>
      <c r="G1236" s="7">
        <f>[7]A!G77</f>
        <v>97.615041275983003</v>
      </c>
      <c r="H1236" s="64"/>
      <c r="I1236" s="487"/>
      <c r="J1236" s="464"/>
      <c r="K1236" s="456"/>
      <c r="V1236" s="39"/>
    </row>
    <row r="1237" spans="1:22" ht="15" customHeight="1" x14ac:dyDescent="0.25">
      <c r="A1237" s="479"/>
      <c r="B1237" s="483"/>
      <c r="C1237" s="460"/>
      <c r="D1237" s="459">
        <v>4</v>
      </c>
      <c r="E1237" s="70">
        <f>[7]A!E78</f>
        <v>1</v>
      </c>
      <c r="F1237" s="70">
        <f>[7]A!F78</f>
        <v>97.17</v>
      </c>
      <c r="G1237" s="65">
        <f>[7]A!G78</f>
        <v>106.51604223231071</v>
      </c>
      <c r="H1237" s="64"/>
      <c r="I1237" s="487"/>
      <c r="J1237" s="490">
        <f>J1185</f>
        <v>29.85</v>
      </c>
      <c r="K1237" s="455">
        <f>K1211</f>
        <v>405.86</v>
      </c>
      <c r="M1237" s="18"/>
      <c r="N1237" s="18"/>
      <c r="V1237" s="39"/>
    </row>
    <row r="1238" spans="1:22" ht="15" customHeight="1" x14ac:dyDescent="0.25">
      <c r="A1238" s="479"/>
      <c r="B1238" s="483"/>
      <c r="C1238" s="460"/>
      <c r="D1238" s="460"/>
      <c r="E1238" s="3">
        <f>[7]A!E79</f>
        <v>2</v>
      </c>
      <c r="F1238" s="3">
        <f>[7]A!F79</f>
        <v>98.57</v>
      </c>
      <c r="G1238" s="5">
        <f>[7]A!G79</f>
        <v>108.05069756960859</v>
      </c>
      <c r="H1238" s="64"/>
      <c r="I1238" s="487"/>
      <c r="J1238" s="463"/>
      <c r="K1238" s="455"/>
      <c r="M1238" s="18"/>
      <c r="N1238" s="18"/>
      <c r="V1238" s="39"/>
    </row>
    <row r="1239" spans="1:22" ht="15" customHeight="1" x14ac:dyDescent="0.25">
      <c r="A1239" s="479"/>
      <c r="B1239" s="483"/>
      <c r="C1239" s="460"/>
      <c r="D1239" s="460"/>
      <c r="E1239" s="3">
        <f>[7]A!E80</f>
        <v>3</v>
      </c>
      <c r="F1239" s="3">
        <f>[7]A!F80</f>
        <v>90.52</v>
      </c>
      <c r="G1239" s="5">
        <f>[7]A!G80</f>
        <v>99.226429380145774</v>
      </c>
      <c r="H1239" s="64"/>
      <c r="I1239" s="487"/>
      <c r="J1239" s="463"/>
      <c r="K1239" s="455"/>
      <c r="V1239" s="39"/>
    </row>
    <row r="1240" spans="1:22" ht="15" customHeight="1" thickBot="1" x14ac:dyDescent="0.3">
      <c r="A1240" s="480"/>
      <c r="B1240" s="484"/>
      <c r="C1240" s="476"/>
      <c r="D1240" s="476"/>
      <c r="E1240" s="3">
        <f>[7]A!E81</f>
        <v>4</v>
      </c>
      <c r="F1240" s="3">
        <f>[7]A!F81</f>
        <v>89.12</v>
      </c>
      <c r="G1240" s="5">
        <f>[7]A!G81</f>
        <v>97.691774042847911</v>
      </c>
      <c r="H1240" s="65"/>
      <c r="I1240" s="488"/>
      <c r="J1240" s="464"/>
      <c r="K1240" s="456"/>
      <c r="V1240" s="39"/>
    </row>
    <row r="1241" spans="1:22" x14ac:dyDescent="0.25">
      <c r="A1241" s="43" t="s">
        <v>4</v>
      </c>
      <c r="B1241" s="24"/>
      <c r="C1241" s="4"/>
      <c r="D1241" s="4"/>
      <c r="E1241" s="4"/>
      <c r="F1241" s="8">
        <f>SUM(F1221:F1240)</f>
        <v>1819.4599999999996</v>
      </c>
      <c r="G1241" s="8"/>
      <c r="H1241" s="8"/>
      <c r="I1241" s="8">
        <f>K1221+K1225+K1229+K1233+K1237</f>
        <v>1994.46</v>
      </c>
      <c r="J1241" s="8">
        <f>J1237+J1233+J1229+J1225+J1221</f>
        <v>174.15</v>
      </c>
      <c r="K1241" s="40"/>
      <c r="V1241" s="39"/>
    </row>
    <row r="1242" spans="1:22" x14ac:dyDescent="0.25">
      <c r="A1242" s="37"/>
      <c r="F1242" s="18">
        <f>I1241/F1241</f>
        <v>1.0961823837842</v>
      </c>
      <c r="I1242" s="45"/>
      <c r="J1242" s="9">
        <f>(J1221+J1225+J1229+J1233+J1237)/I1241</f>
        <v>8.7316867723594344E-2</v>
      </c>
      <c r="K1242" s="40"/>
      <c r="V1242" s="39"/>
    </row>
    <row r="1243" spans="1:22" x14ac:dyDescent="0.25">
      <c r="A1243" s="37"/>
      <c r="V1243" s="39"/>
    </row>
    <row r="1244" spans="1:22" ht="18.75" x14ac:dyDescent="0.3">
      <c r="A1244" s="505" t="s">
        <v>16</v>
      </c>
      <c r="B1244" s="506"/>
      <c r="C1244" s="506"/>
      <c r="D1244" s="506"/>
      <c r="E1244" s="506"/>
      <c r="F1244" s="506"/>
      <c r="G1244" s="506"/>
      <c r="H1244" s="506"/>
      <c r="I1244" s="506"/>
      <c r="J1244" s="506"/>
      <c r="K1244" s="46"/>
      <c r="V1244" s="39"/>
    </row>
    <row r="1245" spans="1:22" ht="30.75" thickBot="1" x14ac:dyDescent="0.3">
      <c r="A1245" s="41" t="s">
        <v>9</v>
      </c>
      <c r="B1245" s="23" t="s">
        <v>7</v>
      </c>
      <c r="C1245" s="2" t="s">
        <v>8</v>
      </c>
      <c r="D1245" s="2" t="s">
        <v>10</v>
      </c>
      <c r="E1245" s="1" t="s">
        <v>2</v>
      </c>
      <c r="F1245" s="19" t="s">
        <v>3</v>
      </c>
      <c r="G1245" s="19" t="s">
        <v>5</v>
      </c>
      <c r="H1245" s="19" t="s">
        <v>57</v>
      </c>
      <c r="I1245" s="28" t="s">
        <v>6</v>
      </c>
      <c r="J1245" s="28" t="s">
        <v>1</v>
      </c>
      <c r="K1245" s="46"/>
      <c r="V1245" s="39"/>
    </row>
    <row r="1246" spans="1:22" ht="15" customHeight="1" x14ac:dyDescent="0.25">
      <c r="A1246" s="478" t="s">
        <v>15</v>
      </c>
      <c r="B1246" s="482" t="s">
        <v>18</v>
      </c>
      <c r="C1246" s="485" t="s">
        <v>21</v>
      </c>
      <c r="D1246" s="459">
        <v>0</v>
      </c>
      <c r="E1246" s="3">
        <f>[7]A!E87</f>
        <v>1</v>
      </c>
      <c r="F1246" s="3">
        <f>[7]A!F87</f>
        <v>63.79</v>
      </c>
      <c r="G1246" s="5">
        <f>[7]A!G87</f>
        <v>81.452738123463917</v>
      </c>
      <c r="H1246" s="76">
        <v>24.682200000000002</v>
      </c>
      <c r="I1246" s="486">
        <f>SUM(G1246:G1273)</f>
        <v>2208.06</v>
      </c>
      <c r="J1246" s="462">
        <f>[7]A!I87</f>
        <v>125.92</v>
      </c>
      <c r="K1246" s="465">
        <f>[7]A!J87</f>
        <v>441.66</v>
      </c>
      <c r="V1246" s="39"/>
    </row>
    <row r="1247" spans="1:22" ht="15" customHeight="1" x14ac:dyDescent="0.25">
      <c r="A1247" s="479"/>
      <c r="B1247" s="483"/>
      <c r="C1247" s="460"/>
      <c r="D1247" s="460"/>
      <c r="E1247" s="3">
        <f>[7]A!E88</f>
        <v>2</v>
      </c>
      <c r="F1247" s="3">
        <f>[7]A!F88</f>
        <v>63.16</v>
      </c>
      <c r="G1247" s="5">
        <f>[7]A!G88</f>
        <v>80.648298163943892</v>
      </c>
      <c r="H1247" s="76">
        <v>37.717199999999998</v>
      </c>
      <c r="I1247" s="487"/>
      <c r="J1247" s="463"/>
      <c r="K1247" s="465"/>
      <c r="M1247" s="18"/>
      <c r="N1247" s="18"/>
      <c r="V1247" s="39"/>
    </row>
    <row r="1248" spans="1:22" ht="15" customHeight="1" x14ac:dyDescent="0.25">
      <c r="A1248" s="479"/>
      <c r="B1248" s="483"/>
      <c r="C1248" s="460"/>
      <c r="D1248" s="460"/>
      <c r="E1248" s="3">
        <f>[7]A!E89</f>
        <v>3</v>
      </c>
      <c r="F1248" s="3">
        <f>[7]A!F89</f>
        <v>51.02</v>
      </c>
      <c r="G1248" s="5">
        <f>[7]A!G89</f>
        <v>65.146867832875529</v>
      </c>
      <c r="H1248" s="76">
        <v>34.889099999999999</v>
      </c>
      <c r="I1248" s="487"/>
      <c r="J1248" s="463"/>
      <c r="K1248" s="465"/>
      <c r="V1248" s="39"/>
    </row>
    <row r="1249" spans="1:22" ht="15" customHeight="1" x14ac:dyDescent="0.25">
      <c r="A1249" s="479"/>
      <c r="B1249" s="483"/>
      <c r="C1249" s="460"/>
      <c r="D1249" s="460"/>
      <c r="E1249" s="3">
        <f>[7]A!E90</f>
        <v>4</v>
      </c>
      <c r="F1249" s="3">
        <f>[7]A!F90</f>
        <v>68.59</v>
      </c>
      <c r="G1249" s="5">
        <f>[7]A!G90</f>
        <v>87.581804481711714</v>
      </c>
      <c r="H1249" s="76">
        <v>35.785600000000002</v>
      </c>
      <c r="I1249" s="487"/>
      <c r="J1249" s="463"/>
      <c r="K1249" s="465"/>
      <c r="V1249" s="39"/>
    </row>
    <row r="1250" spans="1:22" ht="15.75" customHeight="1" thickBot="1" x14ac:dyDescent="0.3">
      <c r="A1250" s="479"/>
      <c r="B1250" s="483"/>
      <c r="C1250" s="460"/>
      <c r="D1250" s="461"/>
      <c r="E1250" s="6">
        <f>[7]A!E91</f>
        <v>5</v>
      </c>
      <c r="F1250" s="6">
        <f>[7]A!F91</f>
        <v>69.17</v>
      </c>
      <c r="G1250" s="7">
        <f>[7]A!G91</f>
        <v>88.322399999999988</v>
      </c>
      <c r="H1250" s="78">
        <v>24.142299999999999</v>
      </c>
      <c r="I1250" s="487"/>
      <c r="J1250" s="464"/>
      <c r="K1250" s="466"/>
      <c r="L1250" s="14"/>
      <c r="V1250" s="39"/>
    </row>
    <row r="1251" spans="1:22" ht="15" customHeight="1" x14ac:dyDescent="0.25">
      <c r="A1251" s="479"/>
      <c r="B1251" s="483"/>
      <c r="C1251" s="460"/>
      <c r="D1251" s="459">
        <v>1</v>
      </c>
      <c r="E1251" s="72">
        <f>[7]A!E92</f>
        <v>1</v>
      </c>
      <c r="F1251" s="72">
        <f>[7]A!F92</f>
        <v>63.79</v>
      </c>
      <c r="G1251" s="73">
        <f>[7]A!G92</f>
        <v>81.452738123463917</v>
      </c>
      <c r="H1251" s="64"/>
      <c r="I1251" s="487"/>
      <c r="J1251" s="462">
        <f>[7]A!I92</f>
        <v>125.92</v>
      </c>
      <c r="K1251" s="465">
        <f>[7]A!J92</f>
        <v>440.97</v>
      </c>
      <c r="L1251" s="17"/>
      <c r="V1251" s="39"/>
    </row>
    <row r="1252" spans="1:22" ht="15" customHeight="1" x14ac:dyDescent="0.25">
      <c r="A1252" s="479"/>
      <c r="B1252" s="483"/>
      <c r="C1252" s="460"/>
      <c r="D1252" s="460"/>
      <c r="E1252" s="3">
        <f>[7]A!E93</f>
        <v>2</v>
      </c>
      <c r="F1252" s="3">
        <f>[7]A!F93</f>
        <v>62.9</v>
      </c>
      <c r="G1252" s="5">
        <f>[7]A!G93</f>
        <v>80.316307069538809</v>
      </c>
      <c r="H1252" s="64"/>
      <c r="I1252" s="487"/>
      <c r="J1252" s="463"/>
      <c r="K1252" s="465"/>
      <c r="L1252" s="17"/>
      <c r="M1252" s="10"/>
      <c r="V1252" s="39"/>
    </row>
    <row r="1253" spans="1:22" ht="15" customHeight="1" x14ac:dyDescent="0.25">
      <c r="A1253" s="479"/>
      <c r="B1253" s="483"/>
      <c r="C1253" s="460"/>
      <c r="D1253" s="460"/>
      <c r="E1253" s="3">
        <f>[7]A!E94</f>
        <v>3</v>
      </c>
      <c r="F1253" s="3">
        <f>[7]A!F94</f>
        <v>51.02</v>
      </c>
      <c r="G1253" s="5">
        <f>[7]A!G94</f>
        <v>65.146867832875529</v>
      </c>
      <c r="H1253" s="64"/>
      <c r="I1253" s="487"/>
      <c r="J1253" s="463"/>
      <c r="K1253" s="465"/>
      <c r="L1253" s="16"/>
      <c r="M1253" s="10"/>
      <c r="V1253" s="39"/>
    </row>
    <row r="1254" spans="1:22" ht="15" customHeight="1" x14ac:dyDescent="0.25">
      <c r="A1254" s="479"/>
      <c r="B1254" s="483"/>
      <c r="C1254" s="460"/>
      <c r="D1254" s="460"/>
      <c r="E1254" s="3">
        <f>[7]A!E95</f>
        <v>4</v>
      </c>
      <c r="F1254" s="3">
        <f>[7]A!F95</f>
        <v>68.59</v>
      </c>
      <c r="G1254" s="5">
        <f>[7]A!G95</f>
        <v>87.581804481711714</v>
      </c>
      <c r="H1254" s="64"/>
      <c r="I1254" s="487"/>
      <c r="J1254" s="463"/>
      <c r="K1254" s="465"/>
      <c r="L1254" s="30"/>
      <c r="V1254" s="39"/>
    </row>
    <row r="1255" spans="1:22" ht="15" customHeight="1" thickBot="1" x14ac:dyDescent="0.3">
      <c r="A1255" s="479"/>
      <c r="B1255" s="483"/>
      <c r="C1255" s="460"/>
      <c r="D1255" s="461"/>
      <c r="E1255" s="6">
        <f>[7]A!E96</f>
        <v>5</v>
      </c>
      <c r="F1255" s="6">
        <f>[7]A!F96</f>
        <v>69.17</v>
      </c>
      <c r="G1255" s="7">
        <f>[7]A!G96</f>
        <v>88.322399999999988</v>
      </c>
      <c r="H1255" s="64"/>
      <c r="I1255" s="487"/>
      <c r="J1255" s="464"/>
      <c r="K1255" s="466"/>
      <c r="L1255" s="30"/>
      <c r="V1255" s="39"/>
    </row>
    <row r="1256" spans="1:22" ht="14.25" customHeight="1" x14ac:dyDescent="0.25">
      <c r="A1256" s="479"/>
      <c r="B1256" s="483"/>
      <c r="C1256" s="460"/>
      <c r="D1256" s="459">
        <v>2</v>
      </c>
      <c r="E1256" s="72">
        <f>[7]A!E97</f>
        <v>1</v>
      </c>
      <c r="F1256" s="72">
        <f>[7]A!F97</f>
        <v>63.16</v>
      </c>
      <c r="G1256" s="73">
        <f>[7]A!G97</f>
        <v>80.648298163943892</v>
      </c>
      <c r="H1256" s="64"/>
      <c r="I1256" s="487"/>
      <c r="J1256" s="490">
        <f>[7]A!I97</f>
        <v>75.75</v>
      </c>
      <c r="K1256" s="465">
        <f>[7]A!J97</f>
        <v>442.77</v>
      </c>
      <c r="V1256" s="39"/>
    </row>
    <row r="1257" spans="1:22" ht="15" customHeight="1" x14ac:dyDescent="0.25">
      <c r="A1257" s="479"/>
      <c r="B1257" s="483"/>
      <c r="C1257" s="460"/>
      <c r="D1257" s="460"/>
      <c r="E1257" s="3">
        <f>[7]A!E98</f>
        <v>2</v>
      </c>
      <c r="F1257" s="3">
        <f>[7]A!F98</f>
        <v>63.11</v>
      </c>
      <c r="G1257" s="5">
        <f>[7]A!G98</f>
        <v>80.584453722712155</v>
      </c>
      <c r="H1257" s="64"/>
      <c r="I1257" s="487"/>
      <c r="J1257" s="463"/>
      <c r="K1257" s="465"/>
      <c r="M1257" s="18"/>
      <c r="N1257" s="18"/>
      <c r="V1257" s="39"/>
    </row>
    <row r="1258" spans="1:22" ht="15" customHeight="1" x14ac:dyDescent="0.25">
      <c r="A1258" s="479"/>
      <c r="B1258" s="483"/>
      <c r="C1258" s="460"/>
      <c r="D1258" s="460"/>
      <c r="E1258" s="3">
        <f>[7]A!E99</f>
        <v>3</v>
      </c>
      <c r="F1258" s="3">
        <f>[7]A!F99</f>
        <v>51.48</v>
      </c>
      <c r="G1258" s="5">
        <f>[7]A!G99</f>
        <v>65.734236692207588</v>
      </c>
      <c r="H1258" s="64"/>
      <c r="I1258" s="487"/>
      <c r="J1258" s="463"/>
      <c r="K1258" s="465"/>
      <c r="V1258" s="39"/>
    </row>
    <row r="1259" spans="1:22" ht="15" customHeight="1" x14ac:dyDescent="0.25">
      <c r="A1259" s="479"/>
      <c r="B1259" s="483"/>
      <c r="C1259" s="460"/>
      <c r="D1259" s="460"/>
      <c r="E1259" s="3">
        <f>[7]A!E100</f>
        <v>4</v>
      </c>
      <c r="F1259" s="3">
        <f>[7]A!F100</f>
        <v>68.89</v>
      </c>
      <c r="G1259" s="5">
        <f>[7]A!G100</f>
        <v>87.964871129102207</v>
      </c>
      <c r="H1259" s="64"/>
      <c r="I1259" s="487"/>
      <c r="J1259" s="463"/>
      <c r="K1259" s="465"/>
      <c r="V1259" s="39"/>
    </row>
    <row r="1260" spans="1:22" ht="15" customHeight="1" x14ac:dyDescent="0.25">
      <c r="A1260" s="479"/>
      <c r="B1260" s="483"/>
      <c r="C1260" s="460"/>
      <c r="D1260" s="460"/>
      <c r="E1260" s="3">
        <f>[7]A!E101</f>
        <v>5</v>
      </c>
      <c r="F1260" s="3">
        <f>[7]A!F101</f>
        <v>68.91</v>
      </c>
      <c r="G1260" s="5">
        <f>[7]A!G101</f>
        <v>87.990408905594904</v>
      </c>
      <c r="H1260" s="64"/>
      <c r="I1260" s="487"/>
      <c r="J1260" s="463"/>
      <c r="K1260" s="465"/>
      <c r="V1260" s="39"/>
    </row>
    <row r="1261" spans="1:22" ht="15" customHeight="1" thickBot="1" x14ac:dyDescent="0.3">
      <c r="A1261" s="479"/>
      <c r="B1261" s="483"/>
      <c r="C1261" s="460"/>
      <c r="D1261" s="461"/>
      <c r="E1261" s="6">
        <f>[7]A!E102</f>
        <v>6</v>
      </c>
      <c r="F1261" s="6">
        <f>[7]A!F102</f>
        <v>51.5</v>
      </c>
      <c r="G1261" s="7">
        <f>[7]A!G102</f>
        <v>65.7597744687003</v>
      </c>
      <c r="H1261" s="64"/>
      <c r="I1261" s="487"/>
      <c r="J1261" s="464"/>
      <c r="K1261" s="465"/>
      <c r="V1261" s="39"/>
    </row>
    <row r="1262" spans="1:22" ht="15" customHeight="1" x14ac:dyDescent="0.25">
      <c r="A1262" s="479"/>
      <c r="B1262" s="483"/>
      <c r="C1262" s="460"/>
      <c r="D1262" s="459">
        <v>3</v>
      </c>
      <c r="E1262" s="72">
        <f>[7]A!E103</f>
        <v>1</v>
      </c>
      <c r="F1262" s="72">
        <f>[7]A!F103</f>
        <v>62.86</v>
      </c>
      <c r="G1262" s="73">
        <f>[7]A!G103</f>
        <v>80.265231516553413</v>
      </c>
      <c r="H1262" s="64"/>
      <c r="I1262" s="487"/>
      <c r="J1262" s="490">
        <f>[7]A!I103</f>
        <v>75.75</v>
      </c>
      <c r="K1262" s="465">
        <f>[7]A!J103</f>
        <v>440.39</v>
      </c>
      <c r="V1262" s="39"/>
    </row>
    <row r="1263" spans="1:22" ht="15" customHeight="1" x14ac:dyDescent="0.25">
      <c r="A1263" s="479"/>
      <c r="B1263" s="483"/>
      <c r="C1263" s="460"/>
      <c r="D1263" s="460"/>
      <c r="E1263" s="3">
        <f>[7]A!E104</f>
        <v>2</v>
      </c>
      <c r="F1263" s="3">
        <f>[7]A!F104</f>
        <v>62.84</v>
      </c>
      <c r="G1263" s="5">
        <f>[7]A!G104</f>
        <v>80.239693740060716</v>
      </c>
      <c r="H1263" s="64"/>
      <c r="I1263" s="487"/>
      <c r="J1263" s="463"/>
      <c r="K1263" s="465"/>
      <c r="V1263" s="39"/>
    </row>
    <row r="1264" spans="1:22" ht="15" customHeight="1" x14ac:dyDescent="0.25">
      <c r="A1264" s="479"/>
      <c r="B1264" s="483"/>
      <c r="C1264" s="460"/>
      <c r="D1264" s="460"/>
      <c r="E1264" s="3">
        <f>[7]A!E105</f>
        <v>3</v>
      </c>
      <c r="F1264" s="3">
        <f>[7]A!F105</f>
        <v>50.89</v>
      </c>
      <c r="G1264" s="5">
        <f>[7]A!G105</f>
        <v>64.980872285672973</v>
      </c>
      <c r="H1264" s="64"/>
      <c r="I1264" s="487"/>
      <c r="J1264" s="463"/>
      <c r="K1264" s="465"/>
      <c r="V1264" s="39"/>
    </row>
    <row r="1265" spans="1:22" ht="15" customHeight="1" x14ac:dyDescent="0.25">
      <c r="A1265" s="479"/>
      <c r="B1265" s="483"/>
      <c r="C1265" s="460"/>
      <c r="D1265" s="460"/>
      <c r="E1265" s="3">
        <f>[7]A!E106</f>
        <v>4</v>
      </c>
      <c r="F1265" s="3">
        <f>[7]A!F106</f>
        <v>68.599999999999994</v>
      </c>
      <c r="G1265" s="5">
        <f>[7]A!G106</f>
        <v>87.594573369958056</v>
      </c>
      <c r="H1265" s="64"/>
      <c r="I1265" s="487"/>
      <c r="J1265" s="463"/>
      <c r="K1265" s="465"/>
      <c r="V1265" s="39"/>
    </row>
    <row r="1266" spans="1:22" ht="15" customHeight="1" x14ac:dyDescent="0.25">
      <c r="A1266" s="479"/>
      <c r="B1266" s="483"/>
      <c r="C1266" s="460"/>
      <c r="D1266" s="460"/>
      <c r="E1266" s="3">
        <f>[7]A!E107</f>
        <v>5</v>
      </c>
      <c r="F1266" s="3">
        <f>[7]A!F107</f>
        <v>68.62</v>
      </c>
      <c r="G1266" s="5">
        <f>[7]A!G107</f>
        <v>87.620111146450768</v>
      </c>
      <c r="H1266" s="64"/>
      <c r="I1266" s="487"/>
      <c r="J1266" s="463"/>
      <c r="K1266" s="465"/>
      <c r="V1266" s="39"/>
    </row>
    <row r="1267" spans="1:22" ht="15.75" customHeight="1" thickBot="1" x14ac:dyDescent="0.3">
      <c r="A1267" s="479"/>
      <c r="B1267" s="483"/>
      <c r="C1267" s="460"/>
      <c r="D1267" s="461"/>
      <c r="E1267" s="6">
        <f>[7]A!E108</f>
        <v>6</v>
      </c>
      <c r="F1267" s="6">
        <f>[7]A!F108</f>
        <v>50.89</v>
      </c>
      <c r="G1267" s="7">
        <f>[7]A!G108</f>
        <v>64.980872285672973</v>
      </c>
      <c r="H1267" s="64"/>
      <c r="I1267" s="487"/>
      <c r="J1267" s="464"/>
      <c r="K1267" s="465"/>
      <c r="V1267" s="39"/>
    </row>
    <row r="1268" spans="1:22" ht="15" customHeight="1" x14ac:dyDescent="0.25">
      <c r="A1268" s="479"/>
      <c r="B1268" s="483"/>
      <c r="C1268" s="460"/>
      <c r="D1268" s="459">
        <v>4</v>
      </c>
      <c r="E1268" s="70">
        <f>[7]A!E109</f>
        <v>1</v>
      </c>
      <c r="F1268" s="70">
        <f>[7]A!F109</f>
        <v>62.97</v>
      </c>
      <c r="G1268" s="65">
        <f>[7]A!G109</f>
        <v>80.405689287263257</v>
      </c>
      <c r="H1268" s="64"/>
      <c r="I1268" s="487"/>
      <c r="J1268" s="490">
        <f>[7]A!I109</f>
        <v>75.75</v>
      </c>
      <c r="K1268" s="465">
        <f>[7]A!J109</f>
        <v>442.27</v>
      </c>
      <c r="V1268" s="39"/>
    </row>
    <row r="1269" spans="1:22" ht="15" customHeight="1" x14ac:dyDescent="0.25">
      <c r="A1269" s="479"/>
      <c r="B1269" s="483"/>
      <c r="C1269" s="460"/>
      <c r="D1269" s="460"/>
      <c r="E1269" s="3">
        <f>[7]A!E110</f>
        <v>2</v>
      </c>
      <c r="F1269" s="3">
        <f>[7]A!F110</f>
        <v>62.97</v>
      </c>
      <c r="G1269" s="5">
        <f>[7]A!G110</f>
        <v>80.405689287263257</v>
      </c>
      <c r="H1269" s="64"/>
      <c r="I1269" s="487"/>
      <c r="J1269" s="463"/>
      <c r="K1269" s="465"/>
      <c r="V1269" s="39"/>
    </row>
    <row r="1270" spans="1:22" ht="15" customHeight="1" x14ac:dyDescent="0.25">
      <c r="A1270" s="479"/>
      <c r="B1270" s="483"/>
      <c r="C1270" s="460"/>
      <c r="D1270" s="460"/>
      <c r="E1270" s="3">
        <f>[7]A!E111</f>
        <v>3</v>
      </c>
      <c r="F1270" s="3">
        <f>[7]A!F111</f>
        <v>51.5</v>
      </c>
      <c r="G1270" s="5">
        <f>[7]A!G111</f>
        <v>65.7597744687003</v>
      </c>
      <c r="H1270" s="64"/>
      <c r="I1270" s="487"/>
      <c r="J1270" s="463"/>
      <c r="K1270" s="465"/>
      <c r="V1270" s="39"/>
    </row>
    <row r="1271" spans="1:22" ht="15" customHeight="1" x14ac:dyDescent="0.25">
      <c r="A1271" s="479"/>
      <c r="B1271" s="483"/>
      <c r="C1271" s="460"/>
      <c r="D1271" s="460"/>
      <c r="E1271" s="3">
        <f>[7]A!E112</f>
        <v>4</v>
      </c>
      <c r="F1271" s="3">
        <f>[7]A!F112</f>
        <v>68.680000000000007</v>
      </c>
      <c r="G1271" s="5">
        <f>[7]A!G112</f>
        <v>87.696724475928875</v>
      </c>
      <c r="H1271" s="64"/>
      <c r="I1271" s="487"/>
      <c r="J1271" s="463"/>
      <c r="K1271" s="465"/>
      <c r="V1271" s="39"/>
    </row>
    <row r="1272" spans="1:22" ht="15" customHeight="1" x14ac:dyDescent="0.25">
      <c r="A1272" s="479"/>
      <c r="B1272" s="483"/>
      <c r="C1272" s="460"/>
      <c r="D1272" s="460"/>
      <c r="E1272" s="3">
        <f>[7]A!E113</f>
        <v>5</v>
      </c>
      <c r="F1272" s="3">
        <f>[7]A!F113</f>
        <v>68.680000000000007</v>
      </c>
      <c r="G1272" s="5">
        <f>[7]A!G113</f>
        <v>87.696724475928875</v>
      </c>
      <c r="H1272" s="64"/>
      <c r="I1272" s="487"/>
      <c r="J1272" s="463"/>
      <c r="K1272" s="465"/>
      <c r="V1272" s="39"/>
    </row>
    <row r="1273" spans="1:22" ht="15" customHeight="1" thickBot="1" x14ac:dyDescent="0.3">
      <c r="A1273" s="480"/>
      <c r="B1273" s="484"/>
      <c r="C1273" s="476"/>
      <c r="D1273" s="476"/>
      <c r="E1273" s="3">
        <f>[7]A!E114</f>
        <v>6</v>
      </c>
      <c r="F1273" s="3">
        <f>[7]A!F114</f>
        <v>51.5</v>
      </c>
      <c r="G1273" s="5">
        <f>[7]A!G114</f>
        <v>65.7597744687003</v>
      </c>
      <c r="H1273" s="65"/>
      <c r="I1273" s="488"/>
      <c r="J1273" s="464"/>
      <c r="K1273" s="465"/>
      <c r="V1273" s="39"/>
    </row>
    <row r="1274" spans="1:22" x14ac:dyDescent="0.25">
      <c r="A1274" s="43" t="s">
        <v>4</v>
      </c>
      <c r="B1274" s="24"/>
      <c r="C1274" s="4"/>
      <c r="D1274" s="4"/>
      <c r="E1274" s="4"/>
      <c r="F1274" s="8">
        <f>SUM(F1246:F1273)</f>
        <v>1729.2500000000002</v>
      </c>
      <c r="G1274" s="8"/>
      <c r="H1274" s="8"/>
      <c r="I1274" s="8">
        <f>K1246+K1251+K1256+K1262+K1268</f>
        <v>2208.06</v>
      </c>
      <c r="J1274" s="8">
        <f>J1268+J1262+J1256+J1251+J1246</f>
        <v>479.09000000000003</v>
      </c>
      <c r="K1274" s="46"/>
      <c r="V1274" s="39"/>
    </row>
    <row r="1275" spans="1:22" x14ac:dyDescent="0.25">
      <c r="A1275" s="37"/>
      <c r="F1275" s="18">
        <f>I1274/F1274</f>
        <v>1.2768888246349572</v>
      </c>
      <c r="I1275" s="45"/>
      <c r="J1275" s="9">
        <f>(J1246+J1251+J1256+J1262+J1268)/I1274</f>
        <v>0.21697327065387717</v>
      </c>
      <c r="K1275" s="46"/>
      <c r="V1275" s="39"/>
    </row>
    <row r="1276" spans="1:22" x14ac:dyDescent="0.25">
      <c r="A1276" s="37"/>
      <c r="V1276" s="39"/>
    </row>
    <row r="1277" spans="1:22" ht="15.75" thickBot="1" x14ac:dyDescent="0.3">
      <c r="A1277" s="47"/>
      <c r="B1277" s="48"/>
      <c r="C1277" s="49"/>
      <c r="D1277" s="49"/>
      <c r="E1277" s="49"/>
      <c r="F1277" s="50"/>
      <c r="G1277" s="50"/>
      <c r="H1277" s="50"/>
      <c r="I1277" s="50"/>
      <c r="J1277" s="50"/>
      <c r="K1277" s="50"/>
      <c r="L1277" s="49"/>
      <c r="M1277" s="49"/>
      <c r="N1277" s="49"/>
      <c r="O1277" s="49"/>
      <c r="P1277" s="49"/>
      <c r="Q1277" s="49"/>
      <c r="R1277" s="49"/>
      <c r="S1277" s="49"/>
      <c r="T1277" s="49"/>
      <c r="U1277" s="49"/>
      <c r="V1277" s="51"/>
    </row>
    <row r="1278" spans="1:22" ht="15.75" thickBot="1" x14ac:dyDescent="0.3"/>
    <row r="1279" spans="1:22" x14ac:dyDescent="0.25">
      <c r="A1279" s="467" t="s">
        <v>99</v>
      </c>
      <c r="B1279" s="468"/>
      <c r="C1279" s="468"/>
      <c r="D1279" s="468"/>
      <c r="E1279" s="469"/>
    </row>
    <row r="1280" spans="1:22" x14ac:dyDescent="0.25">
      <c r="A1280" s="470"/>
      <c r="B1280" s="471"/>
      <c r="C1280" s="471"/>
      <c r="D1280" s="471"/>
      <c r="E1280" s="472"/>
    </row>
    <row r="1281" spans="1:5" x14ac:dyDescent="0.25">
      <c r="A1281" s="470"/>
      <c r="B1281" s="471"/>
      <c r="C1281" s="471"/>
      <c r="D1281" s="471"/>
      <c r="E1281" s="472"/>
    </row>
    <row r="1282" spans="1:5" ht="15.75" thickBot="1" x14ac:dyDescent="0.3">
      <c r="A1282" s="473"/>
      <c r="B1282" s="474"/>
      <c r="C1282" s="474"/>
      <c r="D1282" s="474"/>
      <c r="E1282" s="475"/>
    </row>
    <row r="1283" spans="1:5" x14ac:dyDescent="0.25">
      <c r="A1283" s="467" t="s">
        <v>100</v>
      </c>
      <c r="B1283" s="468"/>
      <c r="C1283" s="468"/>
      <c r="D1283" s="468"/>
      <c r="E1283" s="469"/>
    </row>
    <row r="1284" spans="1:5" x14ac:dyDescent="0.25">
      <c r="A1284" s="470"/>
      <c r="B1284" s="471"/>
      <c r="C1284" s="471"/>
      <c r="D1284" s="471"/>
      <c r="E1284" s="472"/>
    </row>
    <row r="1285" spans="1:5" x14ac:dyDescent="0.25">
      <c r="A1285" s="470"/>
      <c r="B1285" s="471"/>
      <c r="C1285" s="471"/>
      <c r="D1285" s="471"/>
      <c r="E1285" s="472"/>
    </row>
    <row r="1286" spans="1:5" ht="15.75" thickBot="1" x14ac:dyDescent="0.3">
      <c r="A1286" s="473"/>
      <c r="B1286" s="474"/>
      <c r="C1286" s="474"/>
      <c r="D1286" s="474"/>
      <c r="E1286" s="475"/>
    </row>
  </sheetData>
  <dataConsolidate/>
  <mergeCells count="1056">
    <mergeCell ref="K1155:K1156"/>
    <mergeCell ref="K1129:K1130"/>
    <mergeCell ref="A1133:J1133"/>
    <mergeCell ref="K1133:K1134"/>
    <mergeCell ref="A1135:A1154"/>
    <mergeCell ref="B1135:B1154"/>
    <mergeCell ref="C1135:C1154"/>
    <mergeCell ref="D1135:D1138"/>
    <mergeCell ref="I1135:I1154"/>
    <mergeCell ref="J1135:J1138"/>
    <mergeCell ref="K1135:K1138"/>
    <mergeCell ref="D1139:D1142"/>
    <mergeCell ref="J1139:J1142"/>
    <mergeCell ref="K1139:K1142"/>
    <mergeCell ref="D1143:D1146"/>
    <mergeCell ref="J1143:J1146"/>
    <mergeCell ref="K1143:K1146"/>
    <mergeCell ref="D1147:D1150"/>
    <mergeCell ref="J1147:J1150"/>
    <mergeCell ref="K1147:K1150"/>
    <mergeCell ref="D1151:D1154"/>
    <mergeCell ref="J1151:J1154"/>
    <mergeCell ref="K1151:K1154"/>
    <mergeCell ref="A1109:A1128"/>
    <mergeCell ref="B1109:B1128"/>
    <mergeCell ref="C1109:C1128"/>
    <mergeCell ref="D1109:D1112"/>
    <mergeCell ref="I1109:I1128"/>
    <mergeCell ref="J1109:J1112"/>
    <mergeCell ref="K1109:K1112"/>
    <mergeCell ref="D1113:D1116"/>
    <mergeCell ref="J1113:J1116"/>
    <mergeCell ref="K1113:K1116"/>
    <mergeCell ref="D1117:D1120"/>
    <mergeCell ref="J1117:J1120"/>
    <mergeCell ref="K1117:K1120"/>
    <mergeCell ref="D1121:D1124"/>
    <mergeCell ref="J1121:J1124"/>
    <mergeCell ref="K1121:K1124"/>
    <mergeCell ref="D1125:D1128"/>
    <mergeCell ref="J1125:J1128"/>
    <mergeCell ref="K1125:K1128"/>
    <mergeCell ref="M1100:N1100"/>
    <mergeCell ref="O1100:P1100"/>
    <mergeCell ref="M1101:N1101"/>
    <mergeCell ref="O1101:P1101"/>
    <mergeCell ref="L1103:L1104"/>
    <mergeCell ref="M1106:N1106"/>
    <mergeCell ref="O1106:P1106"/>
    <mergeCell ref="A1107:J1107"/>
    <mergeCell ref="K1107:K1108"/>
    <mergeCell ref="M1107:N1107"/>
    <mergeCell ref="O1107:P1107"/>
    <mergeCell ref="A1072:J1072"/>
    <mergeCell ref="A1074:A1093"/>
    <mergeCell ref="B1074:B1093"/>
    <mergeCell ref="C1074:C1093"/>
    <mergeCell ref="D1074:D1077"/>
    <mergeCell ref="I1074:I1093"/>
    <mergeCell ref="J1074:J1077"/>
    <mergeCell ref="K1074:K1077"/>
    <mergeCell ref="D1078:D1081"/>
    <mergeCell ref="J1078:J1081"/>
    <mergeCell ref="K1078:K1081"/>
    <mergeCell ref="D1082:D1085"/>
    <mergeCell ref="J1082:J1085"/>
    <mergeCell ref="K1082:K1085"/>
    <mergeCell ref="D1086:D1089"/>
    <mergeCell ref="J1086:J1089"/>
    <mergeCell ref="K1086:K1089"/>
    <mergeCell ref="D1090:D1093"/>
    <mergeCell ref="J1090:J1093"/>
    <mergeCell ref="K1090:K1093"/>
    <mergeCell ref="Q1044:R1044"/>
    <mergeCell ref="A1046:J1046"/>
    <mergeCell ref="A1048:A1067"/>
    <mergeCell ref="B1048:B1067"/>
    <mergeCell ref="C1048:C1067"/>
    <mergeCell ref="D1048:D1051"/>
    <mergeCell ref="I1048:I1067"/>
    <mergeCell ref="J1048:J1051"/>
    <mergeCell ref="K1048:K1051"/>
    <mergeCell ref="D1052:D1055"/>
    <mergeCell ref="J1052:J1055"/>
    <mergeCell ref="K1052:K1055"/>
    <mergeCell ref="D1056:D1059"/>
    <mergeCell ref="J1056:J1059"/>
    <mergeCell ref="K1056:K1059"/>
    <mergeCell ref="D1060:D1063"/>
    <mergeCell ref="J1060:J1063"/>
    <mergeCell ref="K1060:K1063"/>
    <mergeCell ref="D1064:D1067"/>
    <mergeCell ref="J1064:J1067"/>
    <mergeCell ref="K1064:K1067"/>
    <mergeCell ref="A1020:J1020"/>
    <mergeCell ref="M1020:N1020"/>
    <mergeCell ref="O1020:P1020"/>
    <mergeCell ref="M1021:N1021"/>
    <mergeCell ref="O1021:P1021"/>
    <mergeCell ref="A1022:A1041"/>
    <mergeCell ref="B1022:B1041"/>
    <mergeCell ref="C1022:C1041"/>
    <mergeCell ref="D1022:D1025"/>
    <mergeCell ref="I1022:I1041"/>
    <mergeCell ref="J1022:J1025"/>
    <mergeCell ref="K1022:K1025"/>
    <mergeCell ref="D1026:D1029"/>
    <mergeCell ref="J1026:J1029"/>
    <mergeCell ref="K1026:K1029"/>
    <mergeCell ref="D1030:D1033"/>
    <mergeCell ref="J1030:J1033"/>
    <mergeCell ref="K1030:K1033"/>
    <mergeCell ref="D1034:D1037"/>
    <mergeCell ref="J1034:J1037"/>
    <mergeCell ref="K1034:K1037"/>
    <mergeCell ref="D1038:D1041"/>
    <mergeCell ref="J1038:J1041"/>
    <mergeCell ref="K1038:K1041"/>
    <mergeCell ref="M1013:N1013"/>
    <mergeCell ref="O1013:P1013"/>
    <mergeCell ref="M1014:N1014"/>
    <mergeCell ref="O1014:P1014"/>
    <mergeCell ref="Q1014:R1014"/>
    <mergeCell ref="L1016:L1017"/>
    <mergeCell ref="M1019:N1019"/>
    <mergeCell ref="O1019:P1019"/>
    <mergeCell ref="Q1019:R1019"/>
    <mergeCell ref="A985:J985"/>
    <mergeCell ref="A987:A1006"/>
    <mergeCell ref="B987:B1006"/>
    <mergeCell ref="C987:C1006"/>
    <mergeCell ref="D987:D990"/>
    <mergeCell ref="I987:I1006"/>
    <mergeCell ref="J987:J990"/>
    <mergeCell ref="K987:K990"/>
    <mergeCell ref="D991:D994"/>
    <mergeCell ref="J991:J994"/>
    <mergeCell ref="K991:K994"/>
    <mergeCell ref="D995:D998"/>
    <mergeCell ref="J995:J998"/>
    <mergeCell ref="K995:K998"/>
    <mergeCell ref="D999:D1002"/>
    <mergeCell ref="J999:J1002"/>
    <mergeCell ref="K999:K1002"/>
    <mergeCell ref="D1003:D1006"/>
    <mergeCell ref="J1003:J1006"/>
    <mergeCell ref="K1003:K1006"/>
    <mergeCell ref="Q951:R951"/>
    <mergeCell ref="A959:J959"/>
    <mergeCell ref="A961:A980"/>
    <mergeCell ref="B961:B980"/>
    <mergeCell ref="C961:C980"/>
    <mergeCell ref="D961:D964"/>
    <mergeCell ref="I961:I980"/>
    <mergeCell ref="J961:J964"/>
    <mergeCell ref="K961:K964"/>
    <mergeCell ref="D965:D968"/>
    <mergeCell ref="J965:J968"/>
    <mergeCell ref="K965:K968"/>
    <mergeCell ref="D969:D972"/>
    <mergeCell ref="J969:J972"/>
    <mergeCell ref="K969:K972"/>
    <mergeCell ref="D973:D976"/>
    <mergeCell ref="J973:J976"/>
    <mergeCell ref="K973:K976"/>
    <mergeCell ref="D977:D980"/>
    <mergeCell ref="J977:J980"/>
    <mergeCell ref="K977:K980"/>
    <mergeCell ref="A933:J933"/>
    <mergeCell ref="M933:N933"/>
    <mergeCell ref="O933:P933"/>
    <mergeCell ref="A935:A954"/>
    <mergeCell ref="B935:B954"/>
    <mergeCell ref="C935:C954"/>
    <mergeCell ref="D935:D938"/>
    <mergeCell ref="I935:I954"/>
    <mergeCell ref="J935:J938"/>
    <mergeCell ref="K935:K938"/>
    <mergeCell ref="D939:D942"/>
    <mergeCell ref="J939:J942"/>
    <mergeCell ref="K939:K942"/>
    <mergeCell ref="D943:D946"/>
    <mergeCell ref="J943:J946"/>
    <mergeCell ref="K943:K946"/>
    <mergeCell ref="D947:D950"/>
    <mergeCell ref="J947:J950"/>
    <mergeCell ref="K947:K950"/>
    <mergeCell ref="D951:D954"/>
    <mergeCell ref="J951:J954"/>
    <mergeCell ref="K951:K954"/>
    <mergeCell ref="M926:O926"/>
    <mergeCell ref="Q926:R926"/>
    <mergeCell ref="M927:N927"/>
    <mergeCell ref="O927:P927"/>
    <mergeCell ref="Q927:R927"/>
    <mergeCell ref="L929:L930"/>
    <mergeCell ref="M932:N932"/>
    <mergeCell ref="O932:P932"/>
    <mergeCell ref="Q932:R932"/>
    <mergeCell ref="A896:J896"/>
    <mergeCell ref="A898:A917"/>
    <mergeCell ref="B898:B917"/>
    <mergeCell ref="C898:C917"/>
    <mergeCell ref="D898:D901"/>
    <mergeCell ref="I898:I917"/>
    <mergeCell ref="J898:J901"/>
    <mergeCell ref="K898:K901"/>
    <mergeCell ref="D902:D905"/>
    <mergeCell ref="J902:J905"/>
    <mergeCell ref="K902:K905"/>
    <mergeCell ref="D906:D909"/>
    <mergeCell ref="J906:J909"/>
    <mergeCell ref="K906:K909"/>
    <mergeCell ref="D910:D913"/>
    <mergeCell ref="J910:J913"/>
    <mergeCell ref="K910:K913"/>
    <mergeCell ref="D914:D917"/>
    <mergeCell ref="J914:J917"/>
    <mergeCell ref="K914:K917"/>
    <mergeCell ref="Q862:R862"/>
    <mergeCell ref="A870:J870"/>
    <mergeCell ref="A872:A891"/>
    <mergeCell ref="B872:B891"/>
    <mergeCell ref="C872:C891"/>
    <mergeCell ref="D872:D875"/>
    <mergeCell ref="I872:I891"/>
    <mergeCell ref="J872:J875"/>
    <mergeCell ref="K872:K875"/>
    <mergeCell ref="D876:D879"/>
    <mergeCell ref="J876:J879"/>
    <mergeCell ref="K876:K879"/>
    <mergeCell ref="D880:D883"/>
    <mergeCell ref="J880:J883"/>
    <mergeCell ref="K880:K883"/>
    <mergeCell ref="D884:D887"/>
    <mergeCell ref="J884:J887"/>
    <mergeCell ref="K884:K887"/>
    <mergeCell ref="D888:D891"/>
    <mergeCell ref="J888:J891"/>
    <mergeCell ref="K888:K891"/>
    <mergeCell ref="A844:J844"/>
    <mergeCell ref="M844:N844"/>
    <mergeCell ref="O844:P844"/>
    <mergeCell ref="A846:A865"/>
    <mergeCell ref="B846:B865"/>
    <mergeCell ref="C846:C865"/>
    <mergeCell ref="D846:D849"/>
    <mergeCell ref="I846:I865"/>
    <mergeCell ref="J846:J849"/>
    <mergeCell ref="K846:K849"/>
    <mergeCell ref="D850:D853"/>
    <mergeCell ref="J850:J853"/>
    <mergeCell ref="K850:K853"/>
    <mergeCell ref="D854:D857"/>
    <mergeCell ref="J854:J857"/>
    <mergeCell ref="K854:K857"/>
    <mergeCell ref="D858:D861"/>
    <mergeCell ref="J858:J861"/>
    <mergeCell ref="K858:K861"/>
    <mergeCell ref="D862:D865"/>
    <mergeCell ref="J862:J865"/>
    <mergeCell ref="K862:K865"/>
    <mergeCell ref="M837:O837"/>
    <mergeCell ref="Q837:R837"/>
    <mergeCell ref="M838:N838"/>
    <mergeCell ref="O838:P838"/>
    <mergeCell ref="Q838:R838"/>
    <mergeCell ref="L840:L841"/>
    <mergeCell ref="M843:N843"/>
    <mergeCell ref="O843:P843"/>
    <mergeCell ref="Q843:R843"/>
    <mergeCell ref="A721:J721"/>
    <mergeCell ref="A723:A742"/>
    <mergeCell ref="B723:B742"/>
    <mergeCell ref="C723:C742"/>
    <mergeCell ref="D723:D726"/>
    <mergeCell ref="I723:I742"/>
    <mergeCell ref="J723:J726"/>
    <mergeCell ref="K723:K726"/>
    <mergeCell ref="D727:D730"/>
    <mergeCell ref="J727:J730"/>
    <mergeCell ref="K727:K730"/>
    <mergeCell ref="D731:D734"/>
    <mergeCell ref="J731:J734"/>
    <mergeCell ref="K731:K734"/>
    <mergeCell ref="D735:D738"/>
    <mergeCell ref="J735:J738"/>
    <mergeCell ref="K735:K738"/>
    <mergeCell ref="D739:D742"/>
    <mergeCell ref="J739:J742"/>
    <mergeCell ref="K739:K742"/>
    <mergeCell ref="A756:J756"/>
    <mergeCell ref="J770:J773"/>
    <mergeCell ref="K770:K773"/>
    <mergeCell ref="M696:N696"/>
    <mergeCell ref="O696:P696"/>
    <mergeCell ref="A697:A716"/>
    <mergeCell ref="B697:B716"/>
    <mergeCell ref="C697:C716"/>
    <mergeCell ref="D697:D700"/>
    <mergeCell ref="I697:I716"/>
    <mergeCell ref="J697:J700"/>
    <mergeCell ref="K697:K700"/>
    <mergeCell ref="D701:D704"/>
    <mergeCell ref="J701:J704"/>
    <mergeCell ref="K701:K704"/>
    <mergeCell ref="D705:D708"/>
    <mergeCell ref="J705:J708"/>
    <mergeCell ref="K705:K708"/>
    <mergeCell ref="D709:D712"/>
    <mergeCell ref="J709:J712"/>
    <mergeCell ref="K709:K712"/>
    <mergeCell ref="D713:D716"/>
    <mergeCell ref="J713:J716"/>
    <mergeCell ref="K713:K716"/>
    <mergeCell ref="M688:N688"/>
    <mergeCell ref="O688:P688"/>
    <mergeCell ref="M689:N689"/>
    <mergeCell ref="O689:P689"/>
    <mergeCell ref="L691:L692"/>
    <mergeCell ref="M694:N694"/>
    <mergeCell ref="O694:P694"/>
    <mergeCell ref="A695:J695"/>
    <mergeCell ref="M695:N695"/>
    <mergeCell ref="O695:P695"/>
    <mergeCell ref="A658:J658"/>
    <mergeCell ref="A660:A679"/>
    <mergeCell ref="B660:B679"/>
    <mergeCell ref="C660:C679"/>
    <mergeCell ref="D660:D663"/>
    <mergeCell ref="I660:I679"/>
    <mergeCell ref="J660:J663"/>
    <mergeCell ref="K660:K663"/>
    <mergeCell ref="D664:D667"/>
    <mergeCell ref="J664:J667"/>
    <mergeCell ref="K664:K667"/>
    <mergeCell ref="D668:D671"/>
    <mergeCell ref="J668:J671"/>
    <mergeCell ref="K668:K671"/>
    <mergeCell ref="D672:D675"/>
    <mergeCell ref="J672:J675"/>
    <mergeCell ref="K672:K675"/>
    <mergeCell ref="D676:D679"/>
    <mergeCell ref="J676:J679"/>
    <mergeCell ref="K676:K679"/>
    <mergeCell ref="Q624:R624"/>
    <mergeCell ref="A632:J632"/>
    <mergeCell ref="A634:A653"/>
    <mergeCell ref="B634:B653"/>
    <mergeCell ref="C634:C653"/>
    <mergeCell ref="D634:D637"/>
    <mergeCell ref="I634:I653"/>
    <mergeCell ref="J634:J637"/>
    <mergeCell ref="K634:K637"/>
    <mergeCell ref="D638:D641"/>
    <mergeCell ref="J638:J641"/>
    <mergeCell ref="K638:K641"/>
    <mergeCell ref="D642:D645"/>
    <mergeCell ref="J642:J645"/>
    <mergeCell ref="K642:K645"/>
    <mergeCell ref="D646:D649"/>
    <mergeCell ref="J646:J649"/>
    <mergeCell ref="K646:K649"/>
    <mergeCell ref="D650:D653"/>
    <mergeCell ref="J650:J653"/>
    <mergeCell ref="K650:K653"/>
    <mergeCell ref="A606:J606"/>
    <mergeCell ref="M606:N606"/>
    <mergeCell ref="O606:P606"/>
    <mergeCell ref="A608:A627"/>
    <mergeCell ref="B608:B627"/>
    <mergeCell ref="C608:C627"/>
    <mergeCell ref="D608:D611"/>
    <mergeCell ref="I608:I627"/>
    <mergeCell ref="J608:J611"/>
    <mergeCell ref="K608:K611"/>
    <mergeCell ref="D612:D615"/>
    <mergeCell ref="J612:J615"/>
    <mergeCell ref="K612:K615"/>
    <mergeCell ref="D616:D619"/>
    <mergeCell ref="J616:J619"/>
    <mergeCell ref="K616:K619"/>
    <mergeCell ref="D620:D623"/>
    <mergeCell ref="J620:J623"/>
    <mergeCell ref="K620:K623"/>
    <mergeCell ref="D624:D627"/>
    <mergeCell ref="J624:J627"/>
    <mergeCell ref="K624:K627"/>
    <mergeCell ref="M599:O599"/>
    <mergeCell ref="Q599:R599"/>
    <mergeCell ref="M600:N600"/>
    <mergeCell ref="O600:P600"/>
    <mergeCell ref="Q600:R600"/>
    <mergeCell ref="L602:L603"/>
    <mergeCell ref="M605:N605"/>
    <mergeCell ref="O605:P605"/>
    <mergeCell ref="Q605:R605"/>
    <mergeCell ref="A508:J508"/>
    <mergeCell ref="A510:A529"/>
    <mergeCell ref="B510:B529"/>
    <mergeCell ref="C510:C529"/>
    <mergeCell ref="D510:D513"/>
    <mergeCell ref="I510:I529"/>
    <mergeCell ref="J510:J513"/>
    <mergeCell ref="K510:K513"/>
    <mergeCell ref="D514:D517"/>
    <mergeCell ref="J514:J517"/>
    <mergeCell ref="K514:K517"/>
    <mergeCell ref="D518:D521"/>
    <mergeCell ref="J518:J521"/>
    <mergeCell ref="K518:K521"/>
    <mergeCell ref="D522:D525"/>
    <mergeCell ref="J522:J525"/>
    <mergeCell ref="K522:K525"/>
    <mergeCell ref="D526:D529"/>
    <mergeCell ref="J526:J529"/>
    <mergeCell ref="K526:K529"/>
    <mergeCell ref="C546:C565"/>
    <mergeCell ref="D546:D549"/>
    <mergeCell ref="I546:I565"/>
    <mergeCell ref="Q480:R480"/>
    <mergeCell ref="A482:J482"/>
    <mergeCell ref="A484:A503"/>
    <mergeCell ref="B484:B503"/>
    <mergeCell ref="C484:C503"/>
    <mergeCell ref="D484:D487"/>
    <mergeCell ref="I484:I503"/>
    <mergeCell ref="J484:J487"/>
    <mergeCell ref="K484:K487"/>
    <mergeCell ref="D488:D491"/>
    <mergeCell ref="J488:J491"/>
    <mergeCell ref="K488:K491"/>
    <mergeCell ref="D492:D495"/>
    <mergeCell ref="J492:J495"/>
    <mergeCell ref="K492:K495"/>
    <mergeCell ref="D496:D499"/>
    <mergeCell ref="J496:J499"/>
    <mergeCell ref="K496:K499"/>
    <mergeCell ref="D500:D503"/>
    <mergeCell ref="J500:J503"/>
    <mergeCell ref="K500:K503"/>
    <mergeCell ref="A458:A477"/>
    <mergeCell ref="B458:B477"/>
    <mergeCell ref="C458:C477"/>
    <mergeCell ref="D458:D461"/>
    <mergeCell ref="I458:I477"/>
    <mergeCell ref="J458:J461"/>
    <mergeCell ref="K458:K461"/>
    <mergeCell ref="D462:D465"/>
    <mergeCell ref="J462:J465"/>
    <mergeCell ref="K462:K465"/>
    <mergeCell ref="D466:D469"/>
    <mergeCell ref="J466:J469"/>
    <mergeCell ref="K466:K469"/>
    <mergeCell ref="D470:D473"/>
    <mergeCell ref="J470:J473"/>
    <mergeCell ref="K470:K473"/>
    <mergeCell ref="D474:D477"/>
    <mergeCell ref="J474:J477"/>
    <mergeCell ref="K474:K477"/>
    <mergeCell ref="D438:D441"/>
    <mergeCell ref="J438:J441"/>
    <mergeCell ref="K438:K441"/>
    <mergeCell ref="Q455:R455"/>
    <mergeCell ref="A456:J456"/>
    <mergeCell ref="M456:N456"/>
    <mergeCell ref="O456:P456"/>
    <mergeCell ref="M457:N457"/>
    <mergeCell ref="O457:P457"/>
    <mergeCell ref="D426:D429"/>
    <mergeCell ref="J426:J429"/>
    <mergeCell ref="K426:K429"/>
    <mergeCell ref="D430:D433"/>
    <mergeCell ref="J430:J433"/>
    <mergeCell ref="K430:K433"/>
    <mergeCell ref="D434:D437"/>
    <mergeCell ref="J434:J437"/>
    <mergeCell ref="K434:K437"/>
    <mergeCell ref="L452:L453"/>
    <mergeCell ref="M455:N455"/>
    <mergeCell ref="O455:P455"/>
    <mergeCell ref="A422:A441"/>
    <mergeCell ref="B422:B441"/>
    <mergeCell ref="C422:C441"/>
    <mergeCell ref="D422:D425"/>
    <mergeCell ref="I422:I441"/>
    <mergeCell ref="J422:J425"/>
    <mergeCell ref="A394:J394"/>
    <mergeCell ref="A396:A415"/>
    <mergeCell ref="B396:B415"/>
    <mergeCell ref="C396:C415"/>
    <mergeCell ref="D396:D399"/>
    <mergeCell ref="I396:I415"/>
    <mergeCell ref="J396:J399"/>
    <mergeCell ref="K396:K399"/>
    <mergeCell ref="D400:D403"/>
    <mergeCell ref="J400:J403"/>
    <mergeCell ref="K400:K403"/>
    <mergeCell ref="D404:D407"/>
    <mergeCell ref="J404:J407"/>
    <mergeCell ref="K404:K407"/>
    <mergeCell ref="D408:D411"/>
    <mergeCell ref="J408:J411"/>
    <mergeCell ref="K408:K411"/>
    <mergeCell ref="D412:D415"/>
    <mergeCell ref="J412:J415"/>
    <mergeCell ref="K412:K415"/>
    <mergeCell ref="M361:O361"/>
    <mergeCell ref="Q361:R361"/>
    <mergeCell ref="M362:N362"/>
    <mergeCell ref="O362:P362"/>
    <mergeCell ref="Q362:R362"/>
    <mergeCell ref="L364:L365"/>
    <mergeCell ref="M367:N367"/>
    <mergeCell ref="O367:P367"/>
    <mergeCell ref="Q367:R367"/>
    <mergeCell ref="O368:P368"/>
    <mergeCell ref="K370:K373"/>
    <mergeCell ref="K374:K377"/>
    <mergeCell ref="K378:K381"/>
    <mergeCell ref="K382:K385"/>
    <mergeCell ref="M449:N449"/>
    <mergeCell ref="O449:P449"/>
    <mergeCell ref="M450:N450"/>
    <mergeCell ref="O450:P450"/>
    <mergeCell ref="K386:K389"/>
    <mergeCell ref="K422:K425"/>
    <mergeCell ref="Q450:R450"/>
    <mergeCell ref="Q386:R386"/>
    <mergeCell ref="M5:N5"/>
    <mergeCell ref="O5:P5"/>
    <mergeCell ref="Q780:R780"/>
    <mergeCell ref="T1161:U1161"/>
    <mergeCell ref="T1166:U1166"/>
    <mergeCell ref="R1166:S1166"/>
    <mergeCell ref="R1161:S1161"/>
    <mergeCell ref="M273:N273"/>
    <mergeCell ref="O273:P273"/>
    <mergeCell ref="Q273:R273"/>
    <mergeCell ref="L275:L276"/>
    <mergeCell ref="M278:N278"/>
    <mergeCell ref="O278:P278"/>
    <mergeCell ref="Q278:R278"/>
    <mergeCell ref="O537:P537"/>
    <mergeCell ref="M538:N538"/>
    <mergeCell ref="O538:P538"/>
    <mergeCell ref="L540:L541"/>
    <mergeCell ref="M543:N543"/>
    <mergeCell ref="O543:P543"/>
    <mergeCell ref="M537:N537"/>
    <mergeCell ref="L752:L753"/>
    <mergeCell ref="M755:N755"/>
    <mergeCell ref="O755:P755"/>
    <mergeCell ref="Q755:R755"/>
    <mergeCell ref="M756:N756"/>
    <mergeCell ref="O756:P756"/>
    <mergeCell ref="M749:N749"/>
    <mergeCell ref="O749:P749"/>
    <mergeCell ref="M750:N750"/>
    <mergeCell ref="O750:P750"/>
    <mergeCell ref="Q750:R750"/>
    <mergeCell ref="A1244:J1244"/>
    <mergeCell ref="A1246:A1273"/>
    <mergeCell ref="B1246:B1273"/>
    <mergeCell ref="C1246:C1273"/>
    <mergeCell ref="I1246:I1273"/>
    <mergeCell ref="J1246:J1250"/>
    <mergeCell ref="K1246:K1250"/>
    <mergeCell ref="D1251:D1255"/>
    <mergeCell ref="J1251:J1255"/>
    <mergeCell ref="K1251:K1255"/>
    <mergeCell ref="D1256:D1261"/>
    <mergeCell ref="J1256:J1261"/>
    <mergeCell ref="K1256:K1261"/>
    <mergeCell ref="D1262:D1267"/>
    <mergeCell ref="J1262:J1267"/>
    <mergeCell ref="K1262:K1267"/>
    <mergeCell ref="D1268:D1273"/>
    <mergeCell ref="J1268:J1273"/>
    <mergeCell ref="K1268:K1273"/>
    <mergeCell ref="D1246:D1250"/>
    <mergeCell ref="J1229:J1232"/>
    <mergeCell ref="A1167:J1167"/>
    <mergeCell ref="A1169:A1188"/>
    <mergeCell ref="R1160:S1160"/>
    <mergeCell ref="M1160:P1160"/>
    <mergeCell ref="K1195:K1198"/>
    <mergeCell ref="K1199:K1202"/>
    <mergeCell ref="K1203:K1206"/>
    <mergeCell ref="M1161:O1161"/>
    <mergeCell ref="P1161:Q1161"/>
    <mergeCell ref="L1163:L1164"/>
    <mergeCell ref="P1168:Q1168"/>
    <mergeCell ref="M1167:O1167"/>
    <mergeCell ref="P1167:Q1167"/>
    <mergeCell ref="K1169:K1172"/>
    <mergeCell ref="M1166:O1166"/>
    <mergeCell ref="P1166:Q1166"/>
    <mergeCell ref="K1173:K1176"/>
    <mergeCell ref="K1177:K1180"/>
    <mergeCell ref="B1169:B1188"/>
    <mergeCell ref="C1169:C1188"/>
    <mergeCell ref="D1169:D1172"/>
    <mergeCell ref="I1169:I1188"/>
    <mergeCell ref="J1169:J1172"/>
    <mergeCell ref="D1173:D1176"/>
    <mergeCell ref="J1173:J1176"/>
    <mergeCell ref="D1177:D1180"/>
    <mergeCell ref="J1177:J1180"/>
    <mergeCell ref="D1181:D1184"/>
    <mergeCell ref="J1181:J1184"/>
    <mergeCell ref="D1185:D1188"/>
    <mergeCell ref="J1185:J1188"/>
    <mergeCell ref="O98:P98"/>
    <mergeCell ref="D1233:D1236"/>
    <mergeCell ref="J1233:J1236"/>
    <mergeCell ref="J1207:J1210"/>
    <mergeCell ref="A1219:J1219"/>
    <mergeCell ref="A1221:A1240"/>
    <mergeCell ref="B1221:B1240"/>
    <mergeCell ref="K1207:K1210"/>
    <mergeCell ref="K1211:K1214"/>
    <mergeCell ref="A1193:J1193"/>
    <mergeCell ref="A1195:A1214"/>
    <mergeCell ref="B1195:B1214"/>
    <mergeCell ref="C1195:C1214"/>
    <mergeCell ref="D1195:D1198"/>
    <mergeCell ref="I1195:I1214"/>
    <mergeCell ref="J1195:J1198"/>
    <mergeCell ref="D1211:D1214"/>
    <mergeCell ref="J1211:J1214"/>
    <mergeCell ref="D1199:D1202"/>
    <mergeCell ref="J1199:J1202"/>
    <mergeCell ref="D1203:D1206"/>
    <mergeCell ref="J1203:J1206"/>
    <mergeCell ref="D1207:D1210"/>
    <mergeCell ref="K1233:K1236"/>
    <mergeCell ref="D1237:D1240"/>
    <mergeCell ref="J1237:J1240"/>
    <mergeCell ref="K1237:K1240"/>
    <mergeCell ref="K1221:K1224"/>
    <mergeCell ref="D1225:D1228"/>
    <mergeCell ref="J1225:J1228"/>
    <mergeCell ref="K1225:K1228"/>
    <mergeCell ref="D1229:D1232"/>
    <mergeCell ref="J29:J34"/>
    <mergeCell ref="K1229:K1232"/>
    <mergeCell ref="K1181:K1184"/>
    <mergeCell ref="K1185:K1188"/>
    <mergeCell ref="M1168:O1168"/>
    <mergeCell ref="C1221:C1240"/>
    <mergeCell ref="D1221:D1224"/>
    <mergeCell ref="I1221:I1240"/>
    <mergeCell ref="J1221:J1224"/>
    <mergeCell ref="S5:U5"/>
    <mergeCell ref="L7:L8"/>
    <mergeCell ref="L127:L128"/>
    <mergeCell ref="M130:N130"/>
    <mergeCell ref="O130:P130"/>
    <mergeCell ref="A131:J131"/>
    <mergeCell ref="K131:K132"/>
    <mergeCell ref="M131:N131"/>
    <mergeCell ref="O131:P131"/>
    <mergeCell ref="D137:D140"/>
    <mergeCell ref="J137:J140"/>
    <mergeCell ref="K137:K140"/>
    <mergeCell ref="D133:D136"/>
    <mergeCell ref="I133:I152"/>
    <mergeCell ref="D141:D144"/>
    <mergeCell ref="D149:D152"/>
    <mergeCell ref="A159:A178"/>
    <mergeCell ref="M10:N10"/>
    <mergeCell ref="O10:P10"/>
    <mergeCell ref="Q10:R10"/>
    <mergeCell ref="S10:U10"/>
    <mergeCell ref="O97:P97"/>
    <mergeCell ref="M98:N98"/>
    <mergeCell ref="J77:J80"/>
    <mergeCell ref="K77:K80"/>
    <mergeCell ref="D81:D84"/>
    <mergeCell ref="J81:J84"/>
    <mergeCell ref="K81:K84"/>
    <mergeCell ref="K55:K58"/>
    <mergeCell ref="D59:D62"/>
    <mergeCell ref="J59:J62"/>
    <mergeCell ref="K59:K62"/>
    <mergeCell ref="M4:O4"/>
    <mergeCell ref="Q4:R4"/>
    <mergeCell ref="Q5:R5"/>
    <mergeCell ref="K13:K17"/>
    <mergeCell ref="D18:D22"/>
    <mergeCell ref="J18:J22"/>
    <mergeCell ref="K18:K22"/>
    <mergeCell ref="K29:K34"/>
    <mergeCell ref="D35:D40"/>
    <mergeCell ref="J35:J40"/>
    <mergeCell ref="K35:K40"/>
    <mergeCell ref="A45:J45"/>
    <mergeCell ref="D23:D28"/>
    <mergeCell ref="J23:J28"/>
    <mergeCell ref="K23:K28"/>
    <mergeCell ref="A11:J11"/>
    <mergeCell ref="A13:A40"/>
    <mergeCell ref="B13:B40"/>
    <mergeCell ref="C13:C40"/>
    <mergeCell ref="D13:D17"/>
    <mergeCell ref="I13:I40"/>
    <mergeCell ref="J13:J17"/>
    <mergeCell ref="D29:D34"/>
    <mergeCell ref="J47:J50"/>
    <mergeCell ref="K47:K50"/>
    <mergeCell ref="D51:D54"/>
    <mergeCell ref="J51:J54"/>
    <mergeCell ref="M97:N97"/>
    <mergeCell ref="K51:K54"/>
    <mergeCell ref="D47:D50"/>
    <mergeCell ref="I47:I66"/>
    <mergeCell ref="D55:D58"/>
    <mergeCell ref="D63:D66"/>
    <mergeCell ref="J63:J66"/>
    <mergeCell ref="K63:K66"/>
    <mergeCell ref="A47:A66"/>
    <mergeCell ref="B47:B66"/>
    <mergeCell ref="C47:C66"/>
    <mergeCell ref="A97:J97"/>
    <mergeCell ref="A71:J71"/>
    <mergeCell ref="A73:A92"/>
    <mergeCell ref="B73:B92"/>
    <mergeCell ref="C73:C92"/>
    <mergeCell ref="D73:D76"/>
    <mergeCell ref="J55:J58"/>
    <mergeCell ref="D85:D88"/>
    <mergeCell ref="J85:J88"/>
    <mergeCell ref="K85:K88"/>
    <mergeCell ref="D89:D92"/>
    <mergeCell ref="J89:J92"/>
    <mergeCell ref="K89:K92"/>
    <mergeCell ref="I73:I92"/>
    <mergeCell ref="J73:J76"/>
    <mergeCell ref="K73:K76"/>
    <mergeCell ref="D77:D80"/>
    <mergeCell ref="J141:J144"/>
    <mergeCell ref="K141:K144"/>
    <mergeCell ref="D145:D148"/>
    <mergeCell ref="J145:J148"/>
    <mergeCell ref="K145:K148"/>
    <mergeCell ref="J133:J136"/>
    <mergeCell ref="K133:K136"/>
    <mergeCell ref="J103:J106"/>
    <mergeCell ref="K103:K106"/>
    <mergeCell ref="I99:I118"/>
    <mergeCell ref="D107:D110"/>
    <mergeCell ref="D115:D118"/>
    <mergeCell ref="J115:J118"/>
    <mergeCell ref="K115:K118"/>
    <mergeCell ref="M124:N124"/>
    <mergeCell ref="O124:P124"/>
    <mergeCell ref="M125:N125"/>
    <mergeCell ref="O125:P125"/>
    <mergeCell ref="A99:A118"/>
    <mergeCell ref="B99:B118"/>
    <mergeCell ref="C99:C118"/>
    <mergeCell ref="J107:J110"/>
    <mergeCell ref="K107:K110"/>
    <mergeCell ref="D111:D114"/>
    <mergeCell ref="J111:J114"/>
    <mergeCell ref="K111:K114"/>
    <mergeCell ref="J99:J102"/>
    <mergeCell ref="K99:K102"/>
    <mergeCell ref="D103:D106"/>
    <mergeCell ref="D99:D102"/>
    <mergeCell ref="B159:B178"/>
    <mergeCell ref="C159:C178"/>
    <mergeCell ref="D159:D162"/>
    <mergeCell ref="I159:I178"/>
    <mergeCell ref="D167:D170"/>
    <mergeCell ref="D175:D178"/>
    <mergeCell ref="J149:J152"/>
    <mergeCell ref="K149:K152"/>
    <mergeCell ref="K153:K154"/>
    <mergeCell ref="A157:J157"/>
    <mergeCell ref="K157:K158"/>
    <mergeCell ref="A133:A152"/>
    <mergeCell ref="B133:B152"/>
    <mergeCell ref="C133:C152"/>
    <mergeCell ref="J167:J170"/>
    <mergeCell ref="K167:K170"/>
    <mergeCell ref="D171:D174"/>
    <mergeCell ref="J171:J174"/>
    <mergeCell ref="K171:K174"/>
    <mergeCell ref="J159:J162"/>
    <mergeCell ref="K159:K162"/>
    <mergeCell ref="D163:D166"/>
    <mergeCell ref="J163:J166"/>
    <mergeCell ref="K163:K166"/>
    <mergeCell ref="J175:J178"/>
    <mergeCell ref="K175:K178"/>
    <mergeCell ref="K179:K180"/>
    <mergeCell ref="M272:O272"/>
    <mergeCell ref="Q272:R272"/>
    <mergeCell ref="M184:N184"/>
    <mergeCell ref="O184:P184"/>
    <mergeCell ref="M185:N185"/>
    <mergeCell ref="O185:P185"/>
    <mergeCell ref="Q185:R185"/>
    <mergeCell ref="L187:L188"/>
    <mergeCell ref="M190:N190"/>
    <mergeCell ref="O190:P190"/>
    <mergeCell ref="Q190:R190"/>
    <mergeCell ref="M191:N191"/>
    <mergeCell ref="O191:P191"/>
    <mergeCell ref="A191:J191"/>
    <mergeCell ref="A193:A212"/>
    <mergeCell ref="B193:B212"/>
    <mergeCell ref="C193:C212"/>
    <mergeCell ref="D193:D196"/>
    <mergeCell ref="I193:I212"/>
    <mergeCell ref="J193:J196"/>
    <mergeCell ref="K193:K196"/>
    <mergeCell ref="A219:A238"/>
    <mergeCell ref="B219:B238"/>
    <mergeCell ref="C219:C238"/>
    <mergeCell ref="K231:K234"/>
    <mergeCell ref="D293:D296"/>
    <mergeCell ref="J293:J296"/>
    <mergeCell ref="K293:K296"/>
    <mergeCell ref="D297:D300"/>
    <mergeCell ref="J297:J300"/>
    <mergeCell ref="K297:K300"/>
    <mergeCell ref="A279:J279"/>
    <mergeCell ref="M279:N279"/>
    <mergeCell ref="O279:P279"/>
    <mergeCell ref="A281:A300"/>
    <mergeCell ref="B281:B300"/>
    <mergeCell ref="C281:C300"/>
    <mergeCell ref="D281:D284"/>
    <mergeCell ref="I281:I300"/>
    <mergeCell ref="J281:J284"/>
    <mergeCell ref="K281:K284"/>
    <mergeCell ref="D285:D288"/>
    <mergeCell ref="J285:J288"/>
    <mergeCell ref="K285:K288"/>
    <mergeCell ref="D289:D292"/>
    <mergeCell ref="J289:J292"/>
    <mergeCell ref="K289:K292"/>
    <mergeCell ref="J319:J322"/>
    <mergeCell ref="K319:K322"/>
    <mergeCell ref="D323:D326"/>
    <mergeCell ref="J323:J326"/>
    <mergeCell ref="K323:K326"/>
    <mergeCell ref="Q297:R297"/>
    <mergeCell ref="A305:J305"/>
    <mergeCell ref="A307:A326"/>
    <mergeCell ref="B307:B326"/>
    <mergeCell ref="C307:C326"/>
    <mergeCell ref="D307:D310"/>
    <mergeCell ref="I307:I326"/>
    <mergeCell ref="J307:J310"/>
    <mergeCell ref="K307:K310"/>
    <mergeCell ref="D311:D314"/>
    <mergeCell ref="J311:J314"/>
    <mergeCell ref="K311:K314"/>
    <mergeCell ref="D315:D318"/>
    <mergeCell ref="J315:J318"/>
    <mergeCell ref="K315:K318"/>
    <mergeCell ref="D319:D322"/>
    <mergeCell ref="K333:K336"/>
    <mergeCell ref="D337:D340"/>
    <mergeCell ref="J337:J340"/>
    <mergeCell ref="K337:K340"/>
    <mergeCell ref="D341:D344"/>
    <mergeCell ref="J341:J344"/>
    <mergeCell ref="K341:K344"/>
    <mergeCell ref="A331:J331"/>
    <mergeCell ref="A333:A352"/>
    <mergeCell ref="B333:B352"/>
    <mergeCell ref="C333:C352"/>
    <mergeCell ref="D333:D336"/>
    <mergeCell ref="I333:I352"/>
    <mergeCell ref="J333:J336"/>
    <mergeCell ref="D345:D348"/>
    <mergeCell ref="J345:J348"/>
    <mergeCell ref="K345:K348"/>
    <mergeCell ref="D349:D352"/>
    <mergeCell ref="J349:J352"/>
    <mergeCell ref="K349:K352"/>
    <mergeCell ref="A544:J544"/>
    <mergeCell ref="M544:N544"/>
    <mergeCell ref="O544:P544"/>
    <mergeCell ref="M545:N545"/>
    <mergeCell ref="O545:P545"/>
    <mergeCell ref="J554:J557"/>
    <mergeCell ref="K554:K557"/>
    <mergeCell ref="D558:D561"/>
    <mergeCell ref="J558:J561"/>
    <mergeCell ref="K558:K561"/>
    <mergeCell ref="J546:J549"/>
    <mergeCell ref="K546:K549"/>
    <mergeCell ref="D550:D553"/>
    <mergeCell ref="J550:J553"/>
    <mergeCell ref="K550:K553"/>
    <mergeCell ref="A368:J368"/>
    <mergeCell ref="A370:A389"/>
    <mergeCell ref="B370:B389"/>
    <mergeCell ref="C370:C389"/>
    <mergeCell ref="D370:D373"/>
    <mergeCell ref="I370:I389"/>
    <mergeCell ref="J370:J373"/>
    <mergeCell ref="D374:D377"/>
    <mergeCell ref="J374:J377"/>
    <mergeCell ref="D378:D381"/>
    <mergeCell ref="J378:J381"/>
    <mergeCell ref="D382:D385"/>
    <mergeCell ref="J382:J385"/>
    <mergeCell ref="M368:N368"/>
    <mergeCell ref="D386:D389"/>
    <mergeCell ref="J386:J389"/>
    <mergeCell ref="A420:J420"/>
    <mergeCell ref="D584:D587"/>
    <mergeCell ref="J584:J587"/>
    <mergeCell ref="K584:K587"/>
    <mergeCell ref="D588:D591"/>
    <mergeCell ref="J588:J591"/>
    <mergeCell ref="K588:K591"/>
    <mergeCell ref="J562:J565"/>
    <mergeCell ref="K562:K565"/>
    <mergeCell ref="A570:J570"/>
    <mergeCell ref="A572:A591"/>
    <mergeCell ref="B572:B591"/>
    <mergeCell ref="C572:C591"/>
    <mergeCell ref="D572:D575"/>
    <mergeCell ref="I572:I591"/>
    <mergeCell ref="J572:J575"/>
    <mergeCell ref="K572:K575"/>
    <mergeCell ref="D576:D579"/>
    <mergeCell ref="J576:J579"/>
    <mergeCell ref="K576:K579"/>
    <mergeCell ref="D580:D583"/>
    <mergeCell ref="J580:J583"/>
    <mergeCell ref="K580:K583"/>
    <mergeCell ref="A546:A565"/>
    <mergeCell ref="B546:B565"/>
    <mergeCell ref="D554:D557"/>
    <mergeCell ref="D562:D565"/>
    <mergeCell ref="D774:D777"/>
    <mergeCell ref="J774:J777"/>
    <mergeCell ref="K774:K777"/>
    <mergeCell ref="M757:N757"/>
    <mergeCell ref="O757:P757"/>
    <mergeCell ref="A758:A777"/>
    <mergeCell ref="B758:B777"/>
    <mergeCell ref="C758:C777"/>
    <mergeCell ref="D758:D761"/>
    <mergeCell ref="I758:I777"/>
    <mergeCell ref="J758:J761"/>
    <mergeCell ref="K758:K761"/>
    <mergeCell ref="D762:D765"/>
    <mergeCell ref="J762:J765"/>
    <mergeCell ref="K762:K765"/>
    <mergeCell ref="D766:D769"/>
    <mergeCell ref="J766:J769"/>
    <mergeCell ref="K766:K769"/>
    <mergeCell ref="D770:D773"/>
    <mergeCell ref="B784:B803"/>
    <mergeCell ref="C784:C803"/>
    <mergeCell ref="D784:D787"/>
    <mergeCell ref="I784:I803"/>
    <mergeCell ref="J784:J787"/>
    <mergeCell ref="D796:D799"/>
    <mergeCell ref="J796:J799"/>
    <mergeCell ref="A810:A829"/>
    <mergeCell ref="B810:B829"/>
    <mergeCell ref="C810:C829"/>
    <mergeCell ref="D810:D813"/>
    <mergeCell ref="I810:I829"/>
    <mergeCell ref="D818:D821"/>
    <mergeCell ref="D826:D829"/>
    <mergeCell ref="K796:K799"/>
    <mergeCell ref="D800:D803"/>
    <mergeCell ref="J800:J803"/>
    <mergeCell ref="K800:K803"/>
    <mergeCell ref="A808:J808"/>
    <mergeCell ref="J826:J829"/>
    <mergeCell ref="K826:K829"/>
    <mergeCell ref="J818:J821"/>
    <mergeCell ref="K818:K821"/>
    <mergeCell ref="J810:J813"/>
    <mergeCell ref="K810:K813"/>
    <mergeCell ref="D814:D817"/>
    <mergeCell ref="J814:J817"/>
    <mergeCell ref="K814:K817"/>
    <mergeCell ref="K784:K787"/>
    <mergeCell ref="Q215:R215"/>
    <mergeCell ref="A243:J243"/>
    <mergeCell ref="A245:A264"/>
    <mergeCell ref="B245:B264"/>
    <mergeCell ref="C245:C264"/>
    <mergeCell ref="D245:D248"/>
    <mergeCell ref="I245:I264"/>
    <mergeCell ref="J245:J248"/>
    <mergeCell ref="K245:K248"/>
    <mergeCell ref="D249:D252"/>
    <mergeCell ref="J249:J252"/>
    <mergeCell ref="K249:K252"/>
    <mergeCell ref="D253:D256"/>
    <mergeCell ref="J253:J256"/>
    <mergeCell ref="K253:K256"/>
    <mergeCell ref="D257:D260"/>
    <mergeCell ref="J257:J260"/>
    <mergeCell ref="K257:K260"/>
    <mergeCell ref="D261:D264"/>
    <mergeCell ref="J261:J264"/>
    <mergeCell ref="D219:D222"/>
    <mergeCell ref="I219:I238"/>
    <mergeCell ref="J219:J222"/>
    <mergeCell ref="K219:K222"/>
    <mergeCell ref="D223:D226"/>
    <mergeCell ref="J223:J226"/>
    <mergeCell ref="K223:K226"/>
    <mergeCell ref="D227:D230"/>
    <mergeCell ref="J227:J230"/>
    <mergeCell ref="K227:K230"/>
    <mergeCell ref="D231:D234"/>
    <mergeCell ref="J231:J234"/>
    <mergeCell ref="K261:K264"/>
    <mergeCell ref="A217:J217"/>
    <mergeCell ref="D822:D825"/>
    <mergeCell ref="J822:J825"/>
    <mergeCell ref="K822:K825"/>
    <mergeCell ref="D788:D791"/>
    <mergeCell ref="J788:J791"/>
    <mergeCell ref="K788:K791"/>
    <mergeCell ref="D792:D795"/>
    <mergeCell ref="J792:J795"/>
    <mergeCell ref="A1279:E1282"/>
    <mergeCell ref="A1283:E1286"/>
    <mergeCell ref="D235:D238"/>
    <mergeCell ref="J235:J238"/>
    <mergeCell ref="K235:K238"/>
    <mergeCell ref="M192:N192"/>
    <mergeCell ref="O192:P192"/>
    <mergeCell ref="D197:D200"/>
    <mergeCell ref="J197:J200"/>
    <mergeCell ref="K197:K200"/>
    <mergeCell ref="D201:D204"/>
    <mergeCell ref="J201:J204"/>
    <mergeCell ref="K201:K204"/>
    <mergeCell ref="D205:D208"/>
    <mergeCell ref="J205:J208"/>
    <mergeCell ref="K205:K208"/>
    <mergeCell ref="D209:D212"/>
    <mergeCell ref="J209:J212"/>
    <mergeCell ref="K209:K212"/>
    <mergeCell ref="K792:K795"/>
    <mergeCell ref="A782:J782"/>
    <mergeCell ref="A784:A80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1269E-D071-4954-A107-07C8FFE329FD}">
  <dimension ref="A1:O1065"/>
  <sheetViews>
    <sheetView workbookViewId="0">
      <selection sqref="A1:XFD1048576"/>
    </sheetView>
  </sheetViews>
  <sheetFormatPr defaultRowHeight="18.75" x14ac:dyDescent="0.25"/>
  <cols>
    <col min="1" max="1" width="7" style="87" bestFit="1" customWidth="1"/>
    <col min="2" max="2" width="6.42578125" style="87" bestFit="1" customWidth="1"/>
    <col min="3" max="3" width="5.7109375" style="87" bestFit="1" customWidth="1"/>
    <col min="4" max="4" width="7.140625" style="101" bestFit="1" customWidth="1"/>
    <col min="5" max="5" width="7.42578125" style="101" bestFit="1" customWidth="1"/>
    <col min="6" max="6" width="10.5703125" style="87" bestFit="1" customWidth="1"/>
    <col min="7" max="7" width="11.5703125" style="87" bestFit="1" customWidth="1"/>
    <col min="8" max="8" width="13.85546875" style="87" bestFit="1" customWidth="1"/>
    <col min="9" max="9" width="15" style="87" bestFit="1" customWidth="1"/>
    <col min="10" max="10" width="15.7109375" style="87" bestFit="1" customWidth="1"/>
    <col min="11" max="11" width="20.28515625" style="87" bestFit="1" customWidth="1"/>
    <col min="12" max="12" width="15.7109375" style="87" bestFit="1" customWidth="1"/>
    <col min="13" max="16384" width="9.140625" style="87"/>
  </cols>
  <sheetData>
    <row r="1" spans="1:15" ht="15" customHeight="1" x14ac:dyDescent="0.25"/>
    <row r="2" spans="1:15" ht="15" customHeight="1" x14ac:dyDescent="0.25"/>
    <row r="3" spans="1:15" ht="15" customHeight="1" x14ac:dyDescent="0.25"/>
    <row r="4" spans="1:15" ht="39.950000000000003" customHeight="1" x14ac:dyDescent="0.25">
      <c r="A4" s="82" t="s">
        <v>9</v>
      </c>
      <c r="B4" s="83" t="s">
        <v>7</v>
      </c>
      <c r="C4" s="82" t="s">
        <v>8</v>
      </c>
      <c r="D4" s="102" t="s">
        <v>10</v>
      </c>
      <c r="E4" s="103" t="s">
        <v>2</v>
      </c>
      <c r="F4" s="82" t="s">
        <v>104</v>
      </c>
      <c r="G4" s="82" t="s">
        <v>3</v>
      </c>
      <c r="H4" s="82" t="s">
        <v>102</v>
      </c>
      <c r="I4" s="82" t="s">
        <v>101</v>
      </c>
      <c r="J4" s="82" t="s">
        <v>103</v>
      </c>
      <c r="K4" s="83" t="s">
        <v>6</v>
      </c>
      <c r="L4" s="83" t="s">
        <v>1</v>
      </c>
    </row>
    <row r="5" spans="1:15" ht="15" customHeight="1" x14ac:dyDescent="0.25">
      <c r="A5" s="511" t="s">
        <v>15</v>
      </c>
      <c r="B5" s="511" t="s">
        <v>18</v>
      </c>
      <c r="C5" s="95" t="s">
        <v>17</v>
      </c>
      <c r="D5" s="104">
        <v>0</v>
      </c>
      <c r="E5" s="105">
        <v>1</v>
      </c>
      <c r="F5" s="85" t="str">
        <f>LEFT(C5,2)&amp;D5&amp;E5</f>
        <v>A101</v>
      </c>
      <c r="G5" s="85">
        <v>110.32</v>
      </c>
      <c r="H5" s="85">
        <v>120.40866089136887</v>
      </c>
      <c r="I5" s="85">
        <f>G5*1.22</f>
        <v>134.59039999999999</v>
      </c>
      <c r="J5" s="86">
        <v>42.779499999999999</v>
      </c>
      <c r="K5" s="512">
        <f>SUM(H5:H24)</f>
        <v>2124.1999999999998</v>
      </c>
      <c r="L5" s="510">
        <v>48.87</v>
      </c>
      <c r="O5" s="96"/>
    </row>
    <row r="6" spans="1:15" ht="15" customHeight="1" x14ac:dyDescent="0.25">
      <c r="A6" s="511"/>
      <c r="B6" s="511"/>
      <c r="C6" s="95" t="s">
        <v>17</v>
      </c>
      <c r="D6" s="104">
        <v>0</v>
      </c>
      <c r="E6" s="105">
        <v>2</v>
      </c>
      <c r="F6" s="85" t="str">
        <f t="shared" ref="F6:F24" si="0">LEFT(C6,2)&amp;D6&amp;E6</f>
        <v>A102</v>
      </c>
      <c r="G6" s="85">
        <v>110.14</v>
      </c>
      <c r="H6" s="85">
        <v>120.21220005960269</v>
      </c>
      <c r="I6" s="85">
        <f t="shared" ref="I6:I24" si="1">G6*1.22</f>
        <v>134.3708</v>
      </c>
      <c r="J6" s="86">
        <v>59.482100000000003</v>
      </c>
      <c r="K6" s="512"/>
      <c r="L6" s="510"/>
    </row>
    <row r="7" spans="1:15" ht="15" customHeight="1" x14ac:dyDescent="0.25">
      <c r="A7" s="511"/>
      <c r="B7" s="511"/>
      <c r="C7" s="95" t="s">
        <v>17</v>
      </c>
      <c r="D7" s="104">
        <v>0</v>
      </c>
      <c r="E7" s="105">
        <v>3</v>
      </c>
      <c r="F7" s="85" t="str">
        <f t="shared" si="0"/>
        <v>A103</v>
      </c>
      <c r="G7" s="85">
        <v>89.96</v>
      </c>
      <c r="H7" s="85">
        <v>98.186757920481725</v>
      </c>
      <c r="I7" s="85">
        <f t="shared" si="1"/>
        <v>109.75119999999998</v>
      </c>
      <c r="J7" s="86">
        <v>50.507800000000003</v>
      </c>
      <c r="K7" s="512"/>
      <c r="L7" s="510"/>
    </row>
    <row r="8" spans="1:15" ht="15" customHeight="1" x14ac:dyDescent="0.25">
      <c r="A8" s="511"/>
      <c r="B8" s="511"/>
      <c r="C8" s="95" t="s">
        <v>17</v>
      </c>
      <c r="D8" s="104">
        <v>0</v>
      </c>
      <c r="E8" s="105">
        <v>4</v>
      </c>
      <c r="F8" s="85" t="str">
        <f t="shared" si="0"/>
        <v>A104</v>
      </c>
      <c r="G8" s="85">
        <v>60.98</v>
      </c>
      <c r="H8" s="85">
        <v>66.556564006124674</v>
      </c>
      <c r="I8" s="85">
        <f t="shared" si="1"/>
        <v>74.395599999999988</v>
      </c>
      <c r="J8" s="86">
        <v>23.808399999999999</v>
      </c>
      <c r="K8" s="512"/>
      <c r="L8" s="510"/>
    </row>
    <row r="9" spans="1:15" ht="15" customHeight="1" x14ac:dyDescent="0.25">
      <c r="A9" s="511"/>
      <c r="B9" s="511"/>
      <c r="C9" s="95" t="s">
        <v>17</v>
      </c>
      <c r="D9" s="104">
        <v>1</v>
      </c>
      <c r="E9" s="105">
        <v>1</v>
      </c>
      <c r="F9" s="85" t="str">
        <f t="shared" si="0"/>
        <v>A111</v>
      </c>
      <c r="G9" s="85">
        <v>110.61</v>
      </c>
      <c r="H9" s="85">
        <v>120.72518112032553</v>
      </c>
      <c r="I9" s="85">
        <f t="shared" si="1"/>
        <v>134.9442</v>
      </c>
      <c r="J9" s="85"/>
      <c r="K9" s="512"/>
      <c r="L9" s="510">
        <v>35.729999999999997</v>
      </c>
    </row>
    <row r="10" spans="1:15" ht="15" customHeight="1" x14ac:dyDescent="0.25">
      <c r="A10" s="511"/>
      <c r="B10" s="511"/>
      <c r="C10" s="95" t="s">
        <v>17</v>
      </c>
      <c r="D10" s="104">
        <v>1</v>
      </c>
      <c r="E10" s="105">
        <v>2</v>
      </c>
      <c r="F10" s="85" t="str">
        <f t="shared" si="0"/>
        <v>A112</v>
      </c>
      <c r="G10" s="85">
        <v>110.14</v>
      </c>
      <c r="H10" s="85">
        <v>120.21220005960269</v>
      </c>
      <c r="I10" s="85">
        <f t="shared" si="1"/>
        <v>134.3708</v>
      </c>
      <c r="J10" s="85"/>
      <c r="K10" s="512"/>
      <c r="L10" s="510"/>
    </row>
    <row r="11" spans="1:15" ht="15" customHeight="1" x14ac:dyDescent="0.25">
      <c r="A11" s="511"/>
      <c r="B11" s="511"/>
      <c r="C11" s="95" t="s">
        <v>17</v>
      </c>
      <c r="D11" s="104">
        <v>1</v>
      </c>
      <c r="E11" s="105">
        <v>3</v>
      </c>
      <c r="F11" s="85" t="str">
        <f t="shared" si="0"/>
        <v>A113</v>
      </c>
      <c r="G11" s="85">
        <v>89.05</v>
      </c>
      <c r="H11" s="85">
        <v>97.193539270997093</v>
      </c>
      <c r="I11" s="85">
        <f t="shared" si="1"/>
        <v>108.64099999999999</v>
      </c>
      <c r="J11" s="85"/>
      <c r="K11" s="512"/>
      <c r="L11" s="510"/>
    </row>
    <row r="12" spans="1:15" ht="15" customHeight="1" x14ac:dyDescent="0.25">
      <c r="A12" s="511"/>
      <c r="B12" s="511"/>
      <c r="C12" s="95" t="s">
        <v>17</v>
      </c>
      <c r="D12" s="104">
        <v>1</v>
      </c>
      <c r="E12" s="105">
        <v>4</v>
      </c>
      <c r="F12" s="85" t="str">
        <f t="shared" si="0"/>
        <v>A114</v>
      </c>
      <c r="G12" s="85">
        <v>61.82</v>
      </c>
      <c r="H12" s="85">
        <v>67.473381221033577</v>
      </c>
      <c r="I12" s="85">
        <f t="shared" si="1"/>
        <v>75.420400000000001</v>
      </c>
      <c r="J12" s="85"/>
      <c r="K12" s="512"/>
      <c r="L12" s="510"/>
    </row>
    <row r="13" spans="1:15" ht="15" customHeight="1" x14ac:dyDescent="0.25">
      <c r="A13" s="511"/>
      <c r="B13" s="511"/>
      <c r="C13" s="95" t="s">
        <v>17</v>
      </c>
      <c r="D13" s="104">
        <v>2</v>
      </c>
      <c r="E13" s="105">
        <v>1</v>
      </c>
      <c r="F13" s="85" t="str">
        <f t="shared" si="0"/>
        <v>A121</v>
      </c>
      <c r="G13" s="85">
        <v>112.2</v>
      </c>
      <c r="H13" s="85">
        <v>122.46058513426023</v>
      </c>
      <c r="I13" s="85">
        <f t="shared" si="1"/>
        <v>136.88400000000001</v>
      </c>
      <c r="J13" s="85"/>
      <c r="K13" s="512"/>
      <c r="L13" s="510">
        <v>29.85</v>
      </c>
    </row>
    <row r="14" spans="1:15" ht="15" customHeight="1" x14ac:dyDescent="0.25">
      <c r="A14" s="511"/>
      <c r="B14" s="511"/>
      <c r="C14" s="95" t="s">
        <v>17</v>
      </c>
      <c r="D14" s="104">
        <v>2</v>
      </c>
      <c r="E14" s="105">
        <v>2</v>
      </c>
      <c r="F14" s="85" t="str">
        <f t="shared" si="0"/>
        <v>A122</v>
      </c>
      <c r="G14" s="85">
        <v>112.2</v>
      </c>
      <c r="H14" s="85">
        <v>122.46058513426023</v>
      </c>
      <c r="I14" s="85">
        <f t="shared" si="1"/>
        <v>136.88400000000001</v>
      </c>
      <c r="J14" s="85"/>
      <c r="K14" s="512"/>
      <c r="L14" s="510"/>
    </row>
    <row r="15" spans="1:15" ht="15" customHeight="1" x14ac:dyDescent="0.25">
      <c r="A15" s="511"/>
      <c r="B15" s="511"/>
      <c r="C15" s="95" t="s">
        <v>17</v>
      </c>
      <c r="D15" s="104">
        <v>2</v>
      </c>
      <c r="E15" s="105">
        <v>3</v>
      </c>
      <c r="F15" s="85" t="str">
        <f t="shared" si="0"/>
        <v>A123</v>
      </c>
      <c r="G15" s="85">
        <v>90.91</v>
      </c>
      <c r="H15" s="85">
        <v>99.223634532581073</v>
      </c>
      <c r="I15" s="85">
        <f t="shared" si="1"/>
        <v>110.91019999999999</v>
      </c>
      <c r="J15" s="85"/>
      <c r="K15" s="512"/>
      <c r="L15" s="510"/>
    </row>
    <row r="16" spans="1:15" ht="15" customHeight="1" x14ac:dyDescent="0.25">
      <c r="A16" s="511"/>
      <c r="B16" s="511"/>
      <c r="C16" s="95" t="s">
        <v>17</v>
      </c>
      <c r="D16" s="104">
        <v>2</v>
      </c>
      <c r="E16" s="105">
        <v>4</v>
      </c>
      <c r="F16" s="85" t="str">
        <f t="shared" si="0"/>
        <v>A124</v>
      </c>
      <c r="G16" s="85">
        <v>90.91</v>
      </c>
      <c r="H16" s="85">
        <v>99.223634532581073</v>
      </c>
      <c r="I16" s="85">
        <f t="shared" si="1"/>
        <v>110.91019999999999</v>
      </c>
      <c r="J16" s="85"/>
      <c r="K16" s="512"/>
      <c r="L16" s="510"/>
    </row>
    <row r="17" spans="1:12" ht="15" customHeight="1" x14ac:dyDescent="0.25">
      <c r="A17" s="511"/>
      <c r="B17" s="511"/>
      <c r="C17" s="95" t="s">
        <v>17</v>
      </c>
      <c r="D17" s="104">
        <v>3</v>
      </c>
      <c r="E17" s="105">
        <v>1</v>
      </c>
      <c r="F17" s="85" t="str">
        <f t="shared" si="0"/>
        <v>A131</v>
      </c>
      <c r="G17" s="85">
        <v>110.14</v>
      </c>
      <c r="H17" s="85">
        <v>120.21220005960269</v>
      </c>
      <c r="I17" s="85">
        <f t="shared" si="1"/>
        <v>134.3708</v>
      </c>
      <c r="J17" s="85"/>
      <c r="K17" s="512"/>
      <c r="L17" s="510">
        <v>29.85</v>
      </c>
    </row>
    <row r="18" spans="1:12" ht="15" customHeight="1" x14ac:dyDescent="0.25">
      <c r="A18" s="511"/>
      <c r="B18" s="511"/>
      <c r="C18" s="95" t="s">
        <v>17</v>
      </c>
      <c r="D18" s="104">
        <v>3</v>
      </c>
      <c r="E18" s="105">
        <v>2</v>
      </c>
      <c r="F18" s="85" t="str">
        <f t="shared" si="0"/>
        <v>A132</v>
      </c>
      <c r="G18" s="85">
        <v>110.14</v>
      </c>
      <c r="H18" s="85">
        <v>120.21220005960269</v>
      </c>
      <c r="I18" s="85">
        <f t="shared" si="1"/>
        <v>134.3708</v>
      </c>
      <c r="J18" s="85"/>
      <c r="K18" s="512"/>
      <c r="L18" s="510"/>
    </row>
    <row r="19" spans="1:12" ht="15" customHeight="1" x14ac:dyDescent="0.25">
      <c r="A19" s="511"/>
      <c r="B19" s="511"/>
      <c r="C19" s="95" t="s">
        <v>17</v>
      </c>
      <c r="D19" s="104">
        <v>3</v>
      </c>
      <c r="E19" s="105">
        <v>3</v>
      </c>
      <c r="F19" s="85" t="str">
        <f t="shared" si="0"/>
        <v>A133</v>
      </c>
      <c r="G19" s="85">
        <v>89.05</v>
      </c>
      <c r="H19" s="85">
        <v>97.193539270997093</v>
      </c>
      <c r="I19" s="85">
        <f t="shared" si="1"/>
        <v>108.64099999999999</v>
      </c>
      <c r="J19" s="85"/>
      <c r="K19" s="512"/>
      <c r="L19" s="510"/>
    </row>
    <row r="20" spans="1:12" ht="15" customHeight="1" x14ac:dyDescent="0.25">
      <c r="A20" s="511"/>
      <c r="B20" s="511"/>
      <c r="C20" s="95" t="s">
        <v>17</v>
      </c>
      <c r="D20" s="104">
        <v>3</v>
      </c>
      <c r="E20" s="105">
        <v>4</v>
      </c>
      <c r="F20" s="85" t="str">
        <f t="shared" si="0"/>
        <v>A134</v>
      </c>
      <c r="G20" s="85">
        <v>89.05</v>
      </c>
      <c r="H20" s="85">
        <v>97.193539270997093</v>
      </c>
      <c r="I20" s="85">
        <f t="shared" si="1"/>
        <v>108.64099999999999</v>
      </c>
      <c r="J20" s="85"/>
      <c r="K20" s="512"/>
      <c r="L20" s="510"/>
    </row>
    <row r="21" spans="1:12" ht="15" customHeight="1" x14ac:dyDescent="0.25">
      <c r="A21" s="511"/>
      <c r="B21" s="511"/>
      <c r="C21" s="95" t="s">
        <v>17</v>
      </c>
      <c r="D21" s="104">
        <v>4</v>
      </c>
      <c r="E21" s="105">
        <v>1</v>
      </c>
      <c r="F21" s="85" t="str">
        <f t="shared" si="0"/>
        <v>A141</v>
      </c>
      <c r="G21" s="85">
        <v>110.18</v>
      </c>
      <c r="H21" s="85">
        <v>120.25585802221741</v>
      </c>
      <c r="I21" s="85">
        <f t="shared" si="1"/>
        <v>134.4196</v>
      </c>
      <c r="J21" s="85"/>
      <c r="K21" s="512"/>
      <c r="L21" s="510">
        <v>29.85</v>
      </c>
    </row>
    <row r="22" spans="1:12" ht="15" customHeight="1" x14ac:dyDescent="0.25">
      <c r="A22" s="511"/>
      <c r="B22" s="511"/>
      <c r="C22" s="95" t="s">
        <v>17</v>
      </c>
      <c r="D22" s="104">
        <v>4</v>
      </c>
      <c r="E22" s="105">
        <v>2</v>
      </c>
      <c r="F22" s="85" t="str">
        <f t="shared" si="0"/>
        <v>A142</v>
      </c>
      <c r="G22" s="85">
        <v>110.18</v>
      </c>
      <c r="H22" s="85">
        <v>120.25585802221741</v>
      </c>
      <c r="I22" s="85">
        <f t="shared" si="1"/>
        <v>134.4196</v>
      </c>
      <c r="J22" s="85"/>
      <c r="K22" s="512"/>
      <c r="L22" s="510"/>
    </row>
    <row r="23" spans="1:12" ht="15" customHeight="1" x14ac:dyDescent="0.25">
      <c r="A23" s="511"/>
      <c r="B23" s="511"/>
      <c r="C23" s="95" t="s">
        <v>17</v>
      </c>
      <c r="D23" s="104">
        <v>4</v>
      </c>
      <c r="E23" s="105">
        <v>3</v>
      </c>
      <c r="F23" s="85" t="str">
        <f t="shared" si="0"/>
        <v>A143</v>
      </c>
      <c r="G23" s="85">
        <v>89.12</v>
      </c>
      <c r="H23" s="85">
        <v>97.269940705572836</v>
      </c>
      <c r="I23" s="85">
        <f t="shared" si="1"/>
        <v>108.7264</v>
      </c>
      <c r="J23" s="85"/>
      <c r="K23" s="512"/>
      <c r="L23" s="510"/>
    </row>
    <row r="24" spans="1:12" ht="15" customHeight="1" x14ac:dyDescent="0.25">
      <c r="A24" s="511"/>
      <c r="B24" s="511"/>
      <c r="C24" s="95" t="s">
        <v>17</v>
      </c>
      <c r="D24" s="104">
        <v>4</v>
      </c>
      <c r="E24" s="105">
        <v>4</v>
      </c>
      <c r="F24" s="85" t="str">
        <f t="shared" si="0"/>
        <v>A144</v>
      </c>
      <c r="G24" s="85">
        <v>89.12</v>
      </c>
      <c r="H24" s="85">
        <v>97.269940705572836</v>
      </c>
      <c r="I24" s="85">
        <f t="shared" si="1"/>
        <v>108.7264</v>
      </c>
      <c r="J24" s="85"/>
      <c r="K24" s="512"/>
      <c r="L24" s="510"/>
    </row>
    <row r="25" spans="1:12" ht="15" customHeight="1" x14ac:dyDescent="0.25">
      <c r="A25" s="83" t="s">
        <v>4</v>
      </c>
      <c r="B25" s="83"/>
      <c r="C25" s="95"/>
      <c r="D25" s="103"/>
      <c r="E25" s="103"/>
      <c r="F25" s="83"/>
      <c r="G25" s="83">
        <v>1946.2200000000003</v>
      </c>
      <c r="H25" s="83"/>
      <c r="I25" s="83">
        <f>SUM(I5:I24)</f>
        <v>2374.3883999999998</v>
      </c>
      <c r="J25" s="83"/>
      <c r="K25" s="83">
        <f>SUM(K5)</f>
        <v>2124.1999999999998</v>
      </c>
      <c r="L25" s="83">
        <f>L21+L17+L13+L9+L5</f>
        <v>174.15</v>
      </c>
    </row>
    <row r="26" spans="1:12" ht="15" customHeight="1" x14ac:dyDescent="0.25">
      <c r="A26" s="97"/>
      <c r="C26" s="94"/>
      <c r="G26" s="87">
        <f>K25/G25</f>
        <v>1.0914490653677382</v>
      </c>
      <c r="L26" s="98">
        <f>(L5+L9+L13+L17+L21)/K25</f>
        <v>8.1983805668016191E-2</v>
      </c>
    </row>
    <row r="27" spans="1:12" ht="15" customHeight="1" x14ac:dyDescent="0.25">
      <c r="A27" s="97"/>
    </row>
    <row r="28" spans="1:12" ht="15" customHeight="1" x14ac:dyDescent="0.25">
      <c r="A28" s="97"/>
    </row>
    <row r="29" spans="1:12" ht="15" customHeight="1" x14ac:dyDescent="0.25">
      <c r="A29" s="513" t="s">
        <v>16</v>
      </c>
      <c r="B29" s="514"/>
      <c r="C29" s="514"/>
      <c r="D29" s="514"/>
      <c r="E29" s="514"/>
      <c r="F29" s="514"/>
      <c r="G29" s="514"/>
      <c r="H29" s="514"/>
      <c r="I29" s="514"/>
      <c r="J29" s="514"/>
      <c r="K29" s="514"/>
      <c r="L29" s="514"/>
    </row>
    <row r="30" spans="1:12" ht="39.950000000000003" customHeight="1" x14ac:dyDescent="0.25">
      <c r="A30" s="82" t="s">
        <v>9</v>
      </c>
      <c r="B30" s="83" t="s">
        <v>7</v>
      </c>
      <c r="C30" s="82" t="s">
        <v>8</v>
      </c>
      <c r="D30" s="102" t="s">
        <v>10</v>
      </c>
      <c r="E30" s="103" t="s">
        <v>2</v>
      </c>
      <c r="F30" s="82" t="s">
        <v>104</v>
      </c>
      <c r="G30" s="82" t="s">
        <v>3</v>
      </c>
      <c r="H30" s="82" t="s">
        <v>102</v>
      </c>
      <c r="I30" s="82" t="s">
        <v>101</v>
      </c>
      <c r="J30" s="82" t="s">
        <v>103</v>
      </c>
      <c r="K30" s="83" t="s">
        <v>6</v>
      </c>
      <c r="L30" s="83" t="s">
        <v>1</v>
      </c>
    </row>
    <row r="31" spans="1:12" ht="15" customHeight="1" x14ac:dyDescent="0.25">
      <c r="A31" s="511" t="s">
        <v>15</v>
      </c>
      <c r="B31" s="511" t="s">
        <v>18</v>
      </c>
      <c r="C31" s="95" t="s">
        <v>19</v>
      </c>
      <c r="D31" s="104">
        <v>0</v>
      </c>
      <c r="E31" s="105">
        <v>1</v>
      </c>
      <c r="F31" s="85" t="str">
        <f>LEFT(C31,2)&amp;D31&amp;E31</f>
        <v>A201</v>
      </c>
      <c r="G31" s="85">
        <v>60.98</v>
      </c>
      <c r="H31" s="85">
        <v>66.844099610330389</v>
      </c>
      <c r="I31" s="85">
        <f>G31*1.22</f>
        <v>74.395599999999988</v>
      </c>
      <c r="J31" s="86">
        <v>23.808399999999999</v>
      </c>
      <c r="K31" s="512">
        <f>SUM(I31:I50)</f>
        <v>2219.7778000000003</v>
      </c>
      <c r="L31" s="510">
        <f>L5</f>
        <v>48.87</v>
      </c>
    </row>
    <row r="32" spans="1:12" ht="15" customHeight="1" x14ac:dyDescent="0.25">
      <c r="A32" s="511"/>
      <c r="B32" s="511"/>
      <c r="C32" s="95" t="s">
        <v>19</v>
      </c>
      <c r="D32" s="104">
        <v>0</v>
      </c>
      <c r="E32" s="105">
        <v>2</v>
      </c>
      <c r="F32" s="85" t="str">
        <f t="shared" ref="F32:F50" si="2">LEFT(C32,2)&amp;D32&amp;E32</f>
        <v>A202</v>
      </c>
      <c r="G32" s="85">
        <v>89.96</v>
      </c>
      <c r="H32" s="85">
        <v>98.610941307729107</v>
      </c>
      <c r="I32" s="85">
        <f t="shared" ref="I32:I50" si="3">G32*1.22</f>
        <v>109.75119999999998</v>
      </c>
      <c r="J32" s="86">
        <v>50.503900000000002</v>
      </c>
      <c r="K32" s="512"/>
      <c r="L32" s="510"/>
    </row>
    <row r="33" spans="1:12" ht="15" customHeight="1" x14ac:dyDescent="0.25">
      <c r="A33" s="511"/>
      <c r="B33" s="511"/>
      <c r="C33" s="95" t="s">
        <v>19</v>
      </c>
      <c r="D33" s="104">
        <v>0</v>
      </c>
      <c r="E33" s="105">
        <v>3</v>
      </c>
      <c r="F33" s="85" t="str">
        <f t="shared" si="2"/>
        <v>A203</v>
      </c>
      <c r="G33" s="85">
        <v>97.98</v>
      </c>
      <c r="H33" s="85">
        <v>107.40217907215762</v>
      </c>
      <c r="I33" s="85">
        <f t="shared" si="3"/>
        <v>119.5356</v>
      </c>
      <c r="J33" s="86">
        <v>50.705300000000001</v>
      </c>
      <c r="K33" s="512"/>
      <c r="L33" s="510"/>
    </row>
    <row r="34" spans="1:12" ht="15" customHeight="1" x14ac:dyDescent="0.25">
      <c r="A34" s="511"/>
      <c r="B34" s="511"/>
      <c r="C34" s="95" t="s">
        <v>19</v>
      </c>
      <c r="D34" s="104">
        <v>0</v>
      </c>
      <c r="E34" s="105">
        <v>4</v>
      </c>
      <c r="F34" s="85" t="str">
        <f t="shared" si="2"/>
        <v>A204</v>
      </c>
      <c r="G34" s="85">
        <v>98.17</v>
      </c>
      <c r="H34" s="85">
        <v>107.61045029101565</v>
      </c>
      <c r="I34" s="85">
        <f t="shared" si="3"/>
        <v>119.76739999999999</v>
      </c>
      <c r="J34" s="86">
        <v>31.613900000000001</v>
      </c>
      <c r="K34" s="512"/>
      <c r="L34" s="510"/>
    </row>
    <row r="35" spans="1:12" ht="15" customHeight="1" x14ac:dyDescent="0.25">
      <c r="A35" s="511"/>
      <c r="B35" s="511"/>
      <c r="C35" s="95" t="s">
        <v>19</v>
      </c>
      <c r="D35" s="104">
        <v>1</v>
      </c>
      <c r="E35" s="105">
        <v>1</v>
      </c>
      <c r="F35" s="85" t="str">
        <f t="shared" si="2"/>
        <v>A211</v>
      </c>
      <c r="G35" s="85">
        <v>61.82</v>
      </c>
      <c r="H35" s="85">
        <v>67.764877630544845</v>
      </c>
      <c r="I35" s="85">
        <f t="shared" si="3"/>
        <v>75.420400000000001</v>
      </c>
      <c r="J35" s="85"/>
      <c r="K35" s="512"/>
      <c r="L35" s="510">
        <f>L9</f>
        <v>35.729999999999997</v>
      </c>
    </row>
    <row r="36" spans="1:12" ht="15" customHeight="1" x14ac:dyDescent="0.25">
      <c r="A36" s="511"/>
      <c r="B36" s="511"/>
      <c r="C36" s="95" t="s">
        <v>19</v>
      </c>
      <c r="D36" s="104">
        <v>1</v>
      </c>
      <c r="E36" s="105">
        <v>2</v>
      </c>
      <c r="F36" s="85" t="str">
        <f t="shared" si="2"/>
        <v>A212</v>
      </c>
      <c r="G36" s="85">
        <v>89.05</v>
      </c>
      <c r="H36" s="85">
        <v>97.61343178583013</v>
      </c>
      <c r="I36" s="85">
        <f t="shared" si="3"/>
        <v>108.64099999999999</v>
      </c>
      <c r="J36" s="85"/>
      <c r="K36" s="512"/>
      <c r="L36" s="510"/>
    </row>
    <row r="37" spans="1:12" ht="15" customHeight="1" x14ac:dyDescent="0.25">
      <c r="A37" s="511"/>
      <c r="B37" s="511"/>
      <c r="C37" s="95" t="s">
        <v>19</v>
      </c>
      <c r="D37" s="104">
        <v>1</v>
      </c>
      <c r="E37" s="105">
        <v>3</v>
      </c>
      <c r="F37" s="85" t="str">
        <f t="shared" si="2"/>
        <v>A213</v>
      </c>
      <c r="G37" s="85">
        <v>97.06</v>
      </c>
      <c r="H37" s="85">
        <v>106.39370790716083</v>
      </c>
      <c r="I37" s="85">
        <f t="shared" si="3"/>
        <v>118.4132</v>
      </c>
      <c r="J37" s="85"/>
      <c r="K37" s="512"/>
      <c r="L37" s="510"/>
    </row>
    <row r="38" spans="1:12" ht="15" customHeight="1" x14ac:dyDescent="0.25">
      <c r="A38" s="511"/>
      <c r="B38" s="511"/>
      <c r="C38" s="95" t="s">
        <v>19</v>
      </c>
      <c r="D38" s="104">
        <v>1</v>
      </c>
      <c r="E38" s="105">
        <v>4</v>
      </c>
      <c r="F38" s="85" t="str">
        <f t="shared" si="2"/>
        <v>A214</v>
      </c>
      <c r="G38" s="85">
        <v>97.09</v>
      </c>
      <c r="H38" s="85">
        <v>106.4265928364542</v>
      </c>
      <c r="I38" s="85">
        <f t="shared" si="3"/>
        <v>118.4498</v>
      </c>
      <c r="J38" s="85"/>
      <c r="K38" s="512"/>
      <c r="L38" s="510"/>
    </row>
    <row r="39" spans="1:12" ht="15" customHeight="1" x14ac:dyDescent="0.25">
      <c r="A39" s="511"/>
      <c r="B39" s="511"/>
      <c r="C39" s="95" t="s">
        <v>19</v>
      </c>
      <c r="D39" s="104">
        <v>2</v>
      </c>
      <c r="E39" s="105">
        <v>1</v>
      </c>
      <c r="F39" s="85" t="str">
        <f t="shared" si="2"/>
        <v>A221</v>
      </c>
      <c r="G39" s="85">
        <v>90.91</v>
      </c>
      <c r="H39" s="85">
        <v>99.652297402019272</v>
      </c>
      <c r="I39" s="85">
        <f t="shared" si="3"/>
        <v>110.91019999999999</v>
      </c>
      <c r="J39" s="85"/>
      <c r="K39" s="512"/>
      <c r="L39" s="510">
        <f>L13</f>
        <v>29.85</v>
      </c>
    </row>
    <row r="40" spans="1:12" ht="15" customHeight="1" x14ac:dyDescent="0.25">
      <c r="A40" s="511"/>
      <c r="B40" s="511"/>
      <c r="C40" s="95" t="s">
        <v>19</v>
      </c>
      <c r="D40" s="104">
        <v>2</v>
      </c>
      <c r="E40" s="105">
        <v>2</v>
      </c>
      <c r="F40" s="85" t="str">
        <f t="shared" si="2"/>
        <v>A222</v>
      </c>
      <c r="G40" s="85">
        <v>90.91</v>
      </c>
      <c r="H40" s="85">
        <v>99.652297402019272</v>
      </c>
      <c r="I40" s="85">
        <f t="shared" si="3"/>
        <v>110.91019999999999</v>
      </c>
      <c r="J40" s="85"/>
      <c r="K40" s="512"/>
      <c r="L40" s="510"/>
    </row>
    <row r="41" spans="1:12" ht="15" customHeight="1" x14ac:dyDescent="0.25">
      <c r="A41" s="511"/>
      <c r="B41" s="511"/>
      <c r="C41" s="95" t="s">
        <v>19</v>
      </c>
      <c r="D41" s="104">
        <v>2</v>
      </c>
      <c r="E41" s="105">
        <v>3</v>
      </c>
      <c r="F41" s="85" t="str">
        <f t="shared" si="2"/>
        <v>A223</v>
      </c>
      <c r="G41" s="85">
        <v>98.95</v>
      </c>
      <c r="H41" s="85">
        <v>108.46545845264336</v>
      </c>
      <c r="I41" s="85">
        <f t="shared" si="3"/>
        <v>120.71899999999999</v>
      </c>
      <c r="J41" s="85"/>
      <c r="K41" s="512"/>
      <c r="L41" s="510"/>
    </row>
    <row r="42" spans="1:12" ht="15" customHeight="1" x14ac:dyDescent="0.25">
      <c r="A42" s="511"/>
      <c r="B42" s="511"/>
      <c r="C42" s="95" t="s">
        <v>19</v>
      </c>
      <c r="D42" s="104">
        <v>2</v>
      </c>
      <c r="E42" s="105">
        <v>4</v>
      </c>
      <c r="F42" s="85" t="str">
        <f t="shared" si="2"/>
        <v>A224</v>
      </c>
      <c r="G42" s="85">
        <v>98.95</v>
      </c>
      <c r="H42" s="85">
        <v>108.46545845264336</v>
      </c>
      <c r="I42" s="85">
        <f t="shared" si="3"/>
        <v>120.71899999999999</v>
      </c>
      <c r="J42" s="85"/>
      <c r="K42" s="512"/>
      <c r="L42" s="510"/>
    </row>
    <row r="43" spans="1:12" ht="15" customHeight="1" x14ac:dyDescent="0.25">
      <c r="A43" s="511"/>
      <c r="B43" s="511"/>
      <c r="C43" s="95" t="s">
        <v>19</v>
      </c>
      <c r="D43" s="104">
        <v>3</v>
      </c>
      <c r="E43" s="105">
        <v>1</v>
      </c>
      <c r="F43" s="85" t="str">
        <f t="shared" si="2"/>
        <v>A231</v>
      </c>
      <c r="G43" s="85">
        <v>89.05</v>
      </c>
      <c r="H43" s="85">
        <v>97.61343178583013</v>
      </c>
      <c r="I43" s="85">
        <f t="shared" si="3"/>
        <v>108.64099999999999</v>
      </c>
      <c r="J43" s="85"/>
      <c r="K43" s="512"/>
      <c r="L43" s="510">
        <f>L17</f>
        <v>29.85</v>
      </c>
    </row>
    <row r="44" spans="1:12" ht="15" customHeight="1" x14ac:dyDescent="0.25">
      <c r="A44" s="511"/>
      <c r="B44" s="511"/>
      <c r="C44" s="95" t="s">
        <v>19</v>
      </c>
      <c r="D44" s="104">
        <v>3</v>
      </c>
      <c r="E44" s="105">
        <v>2</v>
      </c>
      <c r="F44" s="85" t="str">
        <f t="shared" si="2"/>
        <v>A232</v>
      </c>
      <c r="G44" s="85">
        <v>89.05</v>
      </c>
      <c r="H44" s="85">
        <v>97.61343178583013</v>
      </c>
      <c r="I44" s="85">
        <f t="shared" si="3"/>
        <v>108.64099999999999</v>
      </c>
      <c r="J44" s="85"/>
      <c r="K44" s="512"/>
      <c r="L44" s="510"/>
    </row>
    <row r="45" spans="1:12" ht="15" customHeight="1" x14ac:dyDescent="0.25">
      <c r="A45" s="511"/>
      <c r="B45" s="511"/>
      <c r="C45" s="95" t="s">
        <v>19</v>
      </c>
      <c r="D45" s="104">
        <v>3</v>
      </c>
      <c r="E45" s="105">
        <v>3</v>
      </c>
      <c r="F45" s="85" t="str">
        <f t="shared" si="2"/>
        <v>A233</v>
      </c>
      <c r="G45" s="85">
        <v>97.09</v>
      </c>
      <c r="H45" s="85">
        <v>106.4265928364542</v>
      </c>
      <c r="I45" s="85">
        <f t="shared" si="3"/>
        <v>118.4498</v>
      </c>
      <c r="J45" s="85"/>
      <c r="K45" s="512"/>
      <c r="L45" s="510"/>
    </row>
    <row r="46" spans="1:12" ht="15" customHeight="1" x14ac:dyDescent="0.25">
      <c r="A46" s="511"/>
      <c r="B46" s="511"/>
      <c r="C46" s="95" t="s">
        <v>19</v>
      </c>
      <c r="D46" s="104">
        <v>3</v>
      </c>
      <c r="E46" s="105">
        <v>4</v>
      </c>
      <c r="F46" s="85" t="str">
        <f t="shared" si="2"/>
        <v>A234</v>
      </c>
      <c r="G46" s="85">
        <v>97.09</v>
      </c>
      <c r="H46" s="85">
        <v>106.4265928364542</v>
      </c>
      <c r="I46" s="85">
        <f t="shared" si="3"/>
        <v>118.4498</v>
      </c>
      <c r="J46" s="85"/>
      <c r="K46" s="512"/>
      <c r="L46" s="510"/>
    </row>
    <row r="47" spans="1:12" ht="15" customHeight="1" x14ac:dyDescent="0.25">
      <c r="A47" s="511"/>
      <c r="B47" s="511"/>
      <c r="C47" s="95" t="s">
        <v>19</v>
      </c>
      <c r="D47" s="104">
        <v>4</v>
      </c>
      <c r="E47" s="105">
        <v>1</v>
      </c>
      <c r="F47" s="85" t="str">
        <f t="shared" si="2"/>
        <v>A241</v>
      </c>
      <c r="G47" s="85">
        <v>89.12</v>
      </c>
      <c r="H47" s="85">
        <v>97.690163287514665</v>
      </c>
      <c r="I47" s="85">
        <f t="shared" si="3"/>
        <v>108.7264</v>
      </c>
      <c r="J47" s="85"/>
      <c r="K47" s="512"/>
      <c r="L47" s="510">
        <f>L21</f>
        <v>29.85</v>
      </c>
    </row>
    <row r="48" spans="1:12" ht="15" customHeight="1" x14ac:dyDescent="0.25">
      <c r="A48" s="511"/>
      <c r="B48" s="511"/>
      <c r="C48" s="95" t="s">
        <v>19</v>
      </c>
      <c r="D48" s="104">
        <v>4</v>
      </c>
      <c r="E48" s="105">
        <v>2</v>
      </c>
      <c r="F48" s="85" t="str">
        <f t="shared" si="2"/>
        <v>A242</v>
      </c>
      <c r="G48" s="85">
        <v>90.52</v>
      </c>
      <c r="H48" s="85">
        <v>99.224793321205425</v>
      </c>
      <c r="I48" s="85">
        <f t="shared" si="3"/>
        <v>110.4344</v>
      </c>
      <c r="J48" s="85"/>
      <c r="K48" s="512"/>
      <c r="L48" s="510"/>
    </row>
    <row r="49" spans="1:12" ht="15" customHeight="1" x14ac:dyDescent="0.25">
      <c r="A49" s="511"/>
      <c r="B49" s="511"/>
      <c r="C49" s="95" t="s">
        <v>19</v>
      </c>
      <c r="D49" s="104">
        <v>4</v>
      </c>
      <c r="E49" s="105">
        <v>3</v>
      </c>
      <c r="F49" s="85" t="str">
        <f t="shared" si="2"/>
        <v>A243</v>
      </c>
      <c r="G49" s="85">
        <v>98.57</v>
      </c>
      <c r="H49" s="85">
        <v>108.04891601492729</v>
      </c>
      <c r="I49" s="85">
        <f t="shared" si="3"/>
        <v>120.25539999999999</v>
      </c>
      <c r="J49" s="85"/>
      <c r="K49" s="512"/>
      <c r="L49" s="510"/>
    </row>
    <row r="50" spans="1:12" ht="15" customHeight="1" x14ac:dyDescent="0.25">
      <c r="A50" s="511"/>
      <c r="B50" s="511"/>
      <c r="C50" s="95" t="s">
        <v>19</v>
      </c>
      <c r="D50" s="104">
        <v>4</v>
      </c>
      <c r="E50" s="105">
        <v>4</v>
      </c>
      <c r="F50" s="85" t="str">
        <f t="shared" si="2"/>
        <v>A244</v>
      </c>
      <c r="G50" s="85">
        <v>97.17</v>
      </c>
      <c r="H50" s="85">
        <v>106.51428598123654</v>
      </c>
      <c r="I50" s="85">
        <f t="shared" si="3"/>
        <v>118.5474</v>
      </c>
      <c r="J50" s="85"/>
      <c r="K50" s="512"/>
      <c r="L50" s="510"/>
    </row>
    <row r="51" spans="1:12" ht="15" customHeight="1" x14ac:dyDescent="0.25">
      <c r="A51" s="83" t="s">
        <v>4</v>
      </c>
      <c r="B51" s="83"/>
      <c r="C51" s="83"/>
      <c r="D51" s="103"/>
      <c r="E51" s="103"/>
      <c r="F51" s="83"/>
      <c r="G51" s="83">
        <f>SUM(G31:G50)</f>
        <v>1819.4899999999996</v>
      </c>
      <c r="H51" s="83"/>
      <c r="I51" s="83">
        <f>SUM(I31:I50)</f>
        <v>2219.7778000000003</v>
      </c>
      <c r="J51" s="83"/>
      <c r="K51" s="83">
        <f>SUM(K31)</f>
        <v>2219.7778000000003</v>
      </c>
      <c r="L51" s="83">
        <f>L47+L43+L39+L35+L31</f>
        <v>174.15</v>
      </c>
    </row>
    <row r="52" spans="1:12" ht="15" customHeight="1" x14ac:dyDescent="0.25">
      <c r="A52" s="97"/>
      <c r="G52" s="87">
        <f>K51/G51</f>
        <v>1.2200000000000004</v>
      </c>
      <c r="L52" s="99">
        <f>(L31+L35+L39+L43+L47)/K51</f>
        <v>7.8453798393695054E-2</v>
      </c>
    </row>
    <row r="53" spans="1:12" ht="15" customHeight="1" x14ac:dyDescent="0.25">
      <c r="A53" s="97"/>
    </row>
    <row r="54" spans="1:12" ht="15" customHeight="1" x14ac:dyDescent="0.25">
      <c r="A54" s="97"/>
    </row>
    <row r="55" spans="1:12" ht="15" customHeight="1" x14ac:dyDescent="0.25">
      <c r="A55" s="513" t="s">
        <v>16</v>
      </c>
      <c r="B55" s="514"/>
      <c r="C55" s="514"/>
      <c r="D55" s="514"/>
      <c r="E55" s="514"/>
      <c r="F55" s="514"/>
      <c r="G55" s="514"/>
      <c r="H55" s="514"/>
      <c r="I55" s="514"/>
      <c r="J55" s="514"/>
      <c r="K55" s="514"/>
      <c r="L55" s="514"/>
    </row>
    <row r="56" spans="1:12" ht="39.950000000000003" customHeight="1" x14ac:dyDescent="0.25">
      <c r="A56" s="82" t="s">
        <v>9</v>
      </c>
      <c r="B56" s="83" t="s">
        <v>7</v>
      </c>
      <c r="C56" s="82" t="s">
        <v>8</v>
      </c>
      <c r="D56" s="102" t="s">
        <v>10</v>
      </c>
      <c r="E56" s="103" t="s">
        <v>2</v>
      </c>
      <c r="F56" s="82" t="s">
        <v>104</v>
      </c>
      <c r="G56" s="82" t="s">
        <v>3</v>
      </c>
      <c r="H56" s="82" t="s">
        <v>102</v>
      </c>
      <c r="I56" s="82" t="s">
        <v>101</v>
      </c>
      <c r="J56" s="82" t="s">
        <v>103</v>
      </c>
      <c r="K56" s="83" t="s">
        <v>6</v>
      </c>
      <c r="L56" s="83" t="s">
        <v>1</v>
      </c>
    </row>
    <row r="57" spans="1:12" ht="15" customHeight="1" x14ac:dyDescent="0.25">
      <c r="A57" s="511" t="s">
        <v>15</v>
      </c>
      <c r="B57" s="511" t="s">
        <v>18</v>
      </c>
      <c r="C57" s="95" t="s">
        <v>20</v>
      </c>
      <c r="D57" s="104">
        <v>0</v>
      </c>
      <c r="E57" s="105">
        <v>1</v>
      </c>
      <c r="F57" s="85" t="str">
        <f>LEFT(C57,2)&amp;D57&amp;E57</f>
        <v>A301</v>
      </c>
      <c r="G57" s="85">
        <v>98.17</v>
      </c>
      <c r="H57" s="85">
        <v>107.61163316790055</v>
      </c>
      <c r="I57" s="85">
        <f>G57*1.22</f>
        <v>119.76739999999999</v>
      </c>
      <c r="J57" s="85">
        <v>31.614699999999999</v>
      </c>
      <c r="K57" s="512">
        <f>SUM(H57:H76)</f>
        <v>1994.4600000000003</v>
      </c>
      <c r="L57" s="510">
        <f>L5</f>
        <v>48.87</v>
      </c>
    </row>
    <row r="58" spans="1:12" ht="15" customHeight="1" x14ac:dyDescent="0.25">
      <c r="A58" s="511"/>
      <c r="B58" s="511"/>
      <c r="C58" s="95" t="s">
        <v>20</v>
      </c>
      <c r="D58" s="104">
        <v>0</v>
      </c>
      <c r="E58" s="105">
        <v>2</v>
      </c>
      <c r="F58" s="85" t="str">
        <f t="shared" ref="F58:F76" si="4">LEFT(C58,2)&amp;D58&amp;E58</f>
        <v>A302</v>
      </c>
      <c r="G58" s="85">
        <v>97.98</v>
      </c>
      <c r="H58" s="85">
        <v>107.40335965968113</v>
      </c>
      <c r="I58" s="85">
        <f t="shared" ref="I58:I76" si="5">G58*1.22</f>
        <v>119.5356</v>
      </c>
      <c r="J58" s="85">
        <v>50.705300000000001</v>
      </c>
      <c r="K58" s="512"/>
      <c r="L58" s="510"/>
    </row>
    <row r="59" spans="1:12" ht="15" customHeight="1" x14ac:dyDescent="0.25">
      <c r="A59" s="511"/>
      <c r="B59" s="511"/>
      <c r="C59" s="95" t="s">
        <v>20</v>
      </c>
      <c r="D59" s="104">
        <v>0</v>
      </c>
      <c r="E59" s="105">
        <v>3</v>
      </c>
      <c r="F59" s="85" t="str">
        <f t="shared" si="4"/>
        <v>A303</v>
      </c>
      <c r="G59" s="85">
        <v>89.96</v>
      </c>
      <c r="H59" s="85">
        <v>98.612025260103209</v>
      </c>
      <c r="I59" s="85">
        <f t="shared" si="5"/>
        <v>109.75119999999998</v>
      </c>
      <c r="J59" s="85">
        <v>50.540100000000002</v>
      </c>
      <c r="K59" s="512"/>
      <c r="L59" s="510"/>
    </row>
    <row r="60" spans="1:12" ht="15" customHeight="1" x14ac:dyDescent="0.25">
      <c r="A60" s="511"/>
      <c r="B60" s="511"/>
      <c r="C60" s="95" t="s">
        <v>20</v>
      </c>
      <c r="D60" s="104">
        <v>0</v>
      </c>
      <c r="E60" s="105">
        <v>4</v>
      </c>
      <c r="F60" s="85" t="str">
        <f t="shared" si="4"/>
        <v>A304</v>
      </c>
      <c r="G60" s="85">
        <v>60.98</v>
      </c>
      <c r="H60" s="85">
        <v>66.844834374845419</v>
      </c>
      <c r="I60" s="85">
        <f t="shared" si="5"/>
        <v>74.395599999999988</v>
      </c>
      <c r="J60" s="85">
        <v>23.830100000000002</v>
      </c>
      <c r="K60" s="512"/>
      <c r="L60" s="510"/>
    </row>
    <row r="61" spans="1:12" ht="15" customHeight="1" x14ac:dyDescent="0.25">
      <c r="A61" s="511"/>
      <c r="B61" s="511"/>
      <c r="C61" s="95" t="s">
        <v>20</v>
      </c>
      <c r="D61" s="104">
        <v>1</v>
      </c>
      <c r="E61" s="105">
        <v>1</v>
      </c>
      <c r="F61" s="85" t="str">
        <f t="shared" si="4"/>
        <v>A311</v>
      </c>
      <c r="G61" s="85">
        <v>97.09</v>
      </c>
      <c r="H61" s="85">
        <v>106.42776270012698</v>
      </c>
      <c r="I61" s="85">
        <f t="shared" si="5"/>
        <v>118.4498</v>
      </c>
      <c r="J61" s="85"/>
      <c r="K61" s="512"/>
      <c r="L61" s="510">
        <f>L9</f>
        <v>35.729999999999997</v>
      </c>
    </row>
    <row r="62" spans="1:12" ht="15" customHeight="1" x14ac:dyDescent="0.25">
      <c r="A62" s="511"/>
      <c r="B62" s="511"/>
      <c r="C62" s="95" t="s">
        <v>20</v>
      </c>
      <c r="D62" s="104">
        <v>1</v>
      </c>
      <c r="E62" s="105">
        <v>2</v>
      </c>
      <c r="F62" s="85" t="str">
        <f t="shared" si="4"/>
        <v>A312</v>
      </c>
      <c r="G62" s="85">
        <v>97.06</v>
      </c>
      <c r="H62" s="85">
        <v>106.39487740935549</v>
      </c>
      <c r="I62" s="85">
        <f t="shared" si="5"/>
        <v>118.4132</v>
      </c>
      <c r="J62" s="85"/>
      <c r="K62" s="512"/>
      <c r="L62" s="510"/>
    </row>
    <row r="63" spans="1:12" ht="15" customHeight="1" x14ac:dyDescent="0.25">
      <c r="A63" s="511"/>
      <c r="B63" s="511"/>
      <c r="C63" s="95" t="s">
        <v>20</v>
      </c>
      <c r="D63" s="104">
        <v>1</v>
      </c>
      <c r="E63" s="105">
        <v>3</v>
      </c>
      <c r="F63" s="85" t="str">
        <f t="shared" si="4"/>
        <v>A313</v>
      </c>
      <c r="G63" s="85">
        <v>89.05</v>
      </c>
      <c r="H63" s="85">
        <v>97.614504773368068</v>
      </c>
      <c r="I63" s="85">
        <f t="shared" si="5"/>
        <v>108.64099999999999</v>
      </c>
      <c r="J63" s="85"/>
      <c r="K63" s="512"/>
      <c r="L63" s="510"/>
    </row>
    <row r="64" spans="1:12" ht="15" customHeight="1" x14ac:dyDescent="0.25">
      <c r="A64" s="511"/>
      <c r="B64" s="511"/>
      <c r="C64" s="95" t="s">
        <v>20</v>
      </c>
      <c r="D64" s="104">
        <v>1</v>
      </c>
      <c r="E64" s="105">
        <v>4</v>
      </c>
      <c r="F64" s="85" t="str">
        <f t="shared" si="4"/>
        <v>A314</v>
      </c>
      <c r="G64" s="85">
        <v>61.82</v>
      </c>
      <c r="H64" s="85">
        <v>67.765622516447095</v>
      </c>
      <c r="I64" s="85">
        <f t="shared" si="5"/>
        <v>75.420400000000001</v>
      </c>
      <c r="J64" s="85"/>
      <c r="K64" s="512"/>
      <c r="L64" s="510"/>
    </row>
    <row r="65" spans="1:12" ht="15" customHeight="1" x14ac:dyDescent="0.25">
      <c r="A65" s="511"/>
      <c r="B65" s="511"/>
      <c r="C65" s="95" t="s">
        <v>20</v>
      </c>
      <c r="D65" s="104">
        <v>2</v>
      </c>
      <c r="E65" s="105">
        <v>1</v>
      </c>
      <c r="F65" s="85" t="str">
        <f t="shared" si="4"/>
        <v>A321</v>
      </c>
      <c r="G65" s="85">
        <v>98.95</v>
      </c>
      <c r="H65" s="85">
        <v>108.46665072795925</v>
      </c>
      <c r="I65" s="85">
        <f t="shared" si="5"/>
        <v>120.71899999999999</v>
      </c>
      <c r="J65" s="85"/>
      <c r="K65" s="512"/>
      <c r="L65" s="510">
        <f>L13</f>
        <v>29.85</v>
      </c>
    </row>
    <row r="66" spans="1:12" ht="15" customHeight="1" x14ac:dyDescent="0.25">
      <c r="A66" s="511"/>
      <c r="B66" s="511"/>
      <c r="C66" s="95" t="s">
        <v>20</v>
      </c>
      <c r="D66" s="104">
        <v>2</v>
      </c>
      <c r="E66" s="105">
        <v>2</v>
      </c>
      <c r="F66" s="85" t="str">
        <f t="shared" si="4"/>
        <v>A322</v>
      </c>
      <c r="G66" s="85">
        <v>98.93</v>
      </c>
      <c r="H66" s="85">
        <v>108.44472720077826</v>
      </c>
      <c r="I66" s="85">
        <f t="shared" si="5"/>
        <v>120.69460000000001</v>
      </c>
      <c r="J66" s="85"/>
      <c r="K66" s="512"/>
      <c r="L66" s="510"/>
    </row>
    <row r="67" spans="1:12" ht="15" customHeight="1" x14ac:dyDescent="0.25">
      <c r="A67" s="511"/>
      <c r="B67" s="511"/>
      <c r="C67" s="95" t="s">
        <v>20</v>
      </c>
      <c r="D67" s="104">
        <v>2</v>
      </c>
      <c r="E67" s="105">
        <v>3</v>
      </c>
      <c r="F67" s="85" t="str">
        <f t="shared" si="4"/>
        <v>A323</v>
      </c>
      <c r="G67" s="85">
        <v>90.91</v>
      </c>
      <c r="H67" s="85">
        <v>99.653392801200354</v>
      </c>
      <c r="I67" s="85">
        <f t="shared" si="5"/>
        <v>110.91019999999999</v>
      </c>
      <c r="J67" s="85"/>
      <c r="K67" s="512"/>
      <c r="L67" s="510"/>
    </row>
    <row r="68" spans="1:12" ht="15" customHeight="1" x14ac:dyDescent="0.25">
      <c r="A68" s="511"/>
      <c r="B68" s="511"/>
      <c r="C68" s="95" t="s">
        <v>20</v>
      </c>
      <c r="D68" s="104">
        <v>2</v>
      </c>
      <c r="E68" s="105">
        <v>4</v>
      </c>
      <c r="F68" s="85" t="str">
        <f t="shared" si="4"/>
        <v>A324</v>
      </c>
      <c r="G68" s="85">
        <v>90.91</v>
      </c>
      <c r="H68" s="85">
        <v>99.653392801200354</v>
      </c>
      <c r="I68" s="85">
        <f t="shared" si="5"/>
        <v>110.91019999999999</v>
      </c>
      <c r="J68" s="85"/>
      <c r="K68" s="512"/>
      <c r="L68" s="510"/>
    </row>
    <row r="69" spans="1:12" ht="15" customHeight="1" x14ac:dyDescent="0.25">
      <c r="A69" s="511"/>
      <c r="B69" s="511"/>
      <c r="C69" s="95" t="s">
        <v>20</v>
      </c>
      <c r="D69" s="104">
        <v>3</v>
      </c>
      <c r="E69" s="105">
        <v>1</v>
      </c>
      <c r="F69" s="85" t="str">
        <f t="shared" si="4"/>
        <v>A331</v>
      </c>
      <c r="G69" s="85">
        <v>97.09</v>
      </c>
      <c r="H69" s="85">
        <v>106.42776270012698</v>
      </c>
      <c r="I69" s="85">
        <f t="shared" si="5"/>
        <v>118.4498</v>
      </c>
      <c r="J69" s="85"/>
      <c r="K69" s="512"/>
      <c r="L69" s="510">
        <f>L17</f>
        <v>29.85</v>
      </c>
    </row>
    <row r="70" spans="1:12" ht="15" customHeight="1" x14ac:dyDescent="0.25">
      <c r="A70" s="511"/>
      <c r="B70" s="511"/>
      <c r="C70" s="95" t="s">
        <v>20</v>
      </c>
      <c r="D70" s="104">
        <v>3</v>
      </c>
      <c r="E70" s="105">
        <v>2</v>
      </c>
      <c r="F70" s="85" t="str">
        <f t="shared" si="4"/>
        <v>A332</v>
      </c>
      <c r="G70" s="85">
        <v>97.09</v>
      </c>
      <c r="H70" s="85">
        <v>106.42776270012698</v>
      </c>
      <c r="I70" s="85">
        <f t="shared" si="5"/>
        <v>118.4498</v>
      </c>
      <c r="J70" s="85"/>
      <c r="K70" s="512"/>
      <c r="L70" s="510"/>
    </row>
    <row r="71" spans="1:12" ht="15" customHeight="1" x14ac:dyDescent="0.25">
      <c r="A71" s="511"/>
      <c r="B71" s="511"/>
      <c r="C71" s="95" t="s">
        <v>20</v>
      </c>
      <c r="D71" s="104">
        <v>3</v>
      </c>
      <c r="E71" s="105">
        <v>3</v>
      </c>
      <c r="F71" s="85" t="str">
        <f t="shared" si="4"/>
        <v>A333</v>
      </c>
      <c r="G71" s="85">
        <v>89.05</v>
      </c>
      <c r="H71" s="85">
        <v>97.614504773368068</v>
      </c>
      <c r="I71" s="85">
        <f t="shared" si="5"/>
        <v>108.64099999999999</v>
      </c>
      <c r="J71" s="85"/>
      <c r="K71" s="512"/>
      <c r="L71" s="510"/>
    </row>
    <row r="72" spans="1:12" ht="15" customHeight="1" x14ac:dyDescent="0.25">
      <c r="A72" s="511"/>
      <c r="B72" s="511"/>
      <c r="C72" s="95" t="s">
        <v>20</v>
      </c>
      <c r="D72" s="104">
        <v>3</v>
      </c>
      <c r="E72" s="105">
        <v>4</v>
      </c>
      <c r="F72" s="85" t="str">
        <f t="shared" si="4"/>
        <v>A334</v>
      </c>
      <c r="G72" s="85">
        <v>89.05</v>
      </c>
      <c r="H72" s="85">
        <v>97.614504773368068</v>
      </c>
      <c r="I72" s="85">
        <f t="shared" si="5"/>
        <v>108.64099999999999</v>
      </c>
      <c r="J72" s="85"/>
      <c r="K72" s="512"/>
      <c r="L72" s="510"/>
    </row>
    <row r="73" spans="1:12" ht="15" customHeight="1" x14ac:dyDescent="0.25">
      <c r="A73" s="511"/>
      <c r="B73" s="511"/>
      <c r="C73" s="95" t="s">
        <v>20</v>
      </c>
      <c r="D73" s="104">
        <v>4</v>
      </c>
      <c r="E73" s="105">
        <v>1</v>
      </c>
      <c r="F73" s="85" t="str">
        <f t="shared" si="4"/>
        <v>A341</v>
      </c>
      <c r="G73" s="85">
        <v>97.17</v>
      </c>
      <c r="H73" s="85">
        <v>106.51545680885094</v>
      </c>
      <c r="I73" s="85">
        <f t="shared" si="5"/>
        <v>118.5474</v>
      </c>
      <c r="J73" s="85"/>
      <c r="K73" s="512"/>
      <c r="L73" s="510">
        <f>L21</f>
        <v>29.85</v>
      </c>
    </row>
    <row r="74" spans="1:12" ht="15" customHeight="1" x14ac:dyDescent="0.25">
      <c r="A74" s="511"/>
      <c r="B74" s="511"/>
      <c r="C74" s="95" t="s">
        <v>20</v>
      </c>
      <c r="D74" s="104">
        <v>4</v>
      </c>
      <c r="E74" s="105">
        <v>2</v>
      </c>
      <c r="F74" s="85" t="str">
        <f t="shared" si="4"/>
        <v>A342</v>
      </c>
      <c r="G74" s="85">
        <v>98.57</v>
      </c>
      <c r="H74" s="85">
        <v>108.05010371152039</v>
      </c>
      <c r="I74" s="85">
        <f t="shared" si="5"/>
        <v>120.25539999999999</v>
      </c>
      <c r="J74" s="85"/>
      <c r="K74" s="512"/>
      <c r="L74" s="510"/>
    </row>
    <row r="75" spans="1:12" ht="15" customHeight="1" x14ac:dyDescent="0.25">
      <c r="A75" s="511"/>
      <c r="B75" s="511"/>
      <c r="C75" s="95" t="s">
        <v>20</v>
      </c>
      <c r="D75" s="104">
        <v>4</v>
      </c>
      <c r="E75" s="105">
        <v>3</v>
      </c>
      <c r="F75" s="85" t="str">
        <f t="shared" si="4"/>
        <v>A343</v>
      </c>
      <c r="G75" s="85">
        <v>90.52</v>
      </c>
      <c r="H75" s="85">
        <v>99.225884021170998</v>
      </c>
      <c r="I75" s="85">
        <f t="shared" si="5"/>
        <v>110.4344</v>
      </c>
      <c r="J75" s="85"/>
      <c r="K75" s="512"/>
      <c r="L75" s="510"/>
    </row>
    <row r="76" spans="1:12" ht="15" customHeight="1" x14ac:dyDescent="0.25">
      <c r="A76" s="511"/>
      <c r="B76" s="511"/>
      <c r="C76" s="95" t="s">
        <v>20</v>
      </c>
      <c r="D76" s="104">
        <v>4</v>
      </c>
      <c r="E76" s="105">
        <v>4</v>
      </c>
      <c r="F76" s="85" t="str">
        <f t="shared" si="4"/>
        <v>A344</v>
      </c>
      <c r="G76" s="85">
        <v>89.12</v>
      </c>
      <c r="H76" s="85">
        <v>97.691237118501547</v>
      </c>
      <c r="I76" s="85">
        <f t="shared" si="5"/>
        <v>108.7264</v>
      </c>
      <c r="J76" s="85"/>
      <c r="K76" s="512"/>
      <c r="L76" s="510"/>
    </row>
    <row r="77" spans="1:12" ht="15" customHeight="1" x14ac:dyDescent="0.25">
      <c r="A77" s="83" t="s">
        <v>4</v>
      </c>
      <c r="B77" s="83"/>
      <c r="C77" s="83"/>
      <c r="D77" s="103"/>
      <c r="E77" s="103"/>
      <c r="F77" s="83"/>
      <c r="G77" s="83">
        <f>SUM(G57:G76)</f>
        <v>1819.4699999999998</v>
      </c>
      <c r="H77" s="83"/>
      <c r="I77" s="83">
        <f>SUM(I57:I76)</f>
        <v>2219.7534000000001</v>
      </c>
      <c r="J77" s="83"/>
      <c r="K77" s="83">
        <f>SUM(K57)</f>
        <v>1994.4600000000003</v>
      </c>
      <c r="L77" s="83">
        <f>L73+L69+L65+L61+L57</f>
        <v>174.15</v>
      </c>
    </row>
    <row r="78" spans="1:12" ht="15" customHeight="1" x14ac:dyDescent="0.25">
      <c r="A78" s="97"/>
      <c r="G78" s="87">
        <f>K77/G77</f>
        <v>1.0961763590496136</v>
      </c>
      <c r="L78" s="99">
        <f>(L57+L61+L65+L69+L73)/K77</f>
        <v>8.731686772359433E-2</v>
      </c>
    </row>
    <row r="79" spans="1:12" ht="15" customHeight="1" x14ac:dyDescent="0.25">
      <c r="A79" s="97"/>
    </row>
    <row r="80" spans="1:12" ht="15" customHeight="1" x14ac:dyDescent="0.25">
      <c r="A80" s="513" t="s">
        <v>16</v>
      </c>
      <c r="B80" s="514"/>
      <c r="C80" s="514"/>
      <c r="D80" s="514"/>
      <c r="E80" s="514"/>
      <c r="F80" s="514"/>
      <c r="G80" s="514"/>
      <c r="H80" s="514"/>
      <c r="I80" s="514"/>
      <c r="J80" s="514"/>
      <c r="K80" s="514"/>
      <c r="L80" s="514"/>
    </row>
    <row r="81" spans="1:15" ht="39.950000000000003" customHeight="1" x14ac:dyDescent="0.25">
      <c r="A81" s="82" t="s">
        <v>9</v>
      </c>
      <c r="B81" s="83" t="s">
        <v>7</v>
      </c>
      <c r="C81" s="82" t="s">
        <v>8</v>
      </c>
      <c r="D81" s="102" t="s">
        <v>10</v>
      </c>
      <c r="E81" s="103" t="s">
        <v>2</v>
      </c>
      <c r="F81" s="82" t="s">
        <v>104</v>
      </c>
      <c r="G81" s="82" t="s">
        <v>3</v>
      </c>
      <c r="H81" s="82" t="s">
        <v>102</v>
      </c>
      <c r="I81" s="82" t="s">
        <v>101</v>
      </c>
      <c r="J81" s="82" t="s">
        <v>103</v>
      </c>
      <c r="K81" s="83" t="s">
        <v>6</v>
      </c>
      <c r="L81" s="83" t="s">
        <v>1</v>
      </c>
    </row>
    <row r="82" spans="1:15" ht="15" customHeight="1" x14ac:dyDescent="0.25">
      <c r="A82" s="511" t="s">
        <v>15</v>
      </c>
      <c r="B82" s="511" t="s">
        <v>18</v>
      </c>
      <c r="C82" s="95" t="s">
        <v>21</v>
      </c>
      <c r="D82" s="104">
        <v>0</v>
      </c>
      <c r="E82" s="105">
        <v>1</v>
      </c>
      <c r="F82" s="85" t="str">
        <f>LEFT(C82,2)&amp;D82&amp;E82</f>
        <v>A401</v>
      </c>
      <c r="G82" s="85">
        <v>63.79</v>
      </c>
      <c r="H82" s="85">
        <v>81.452738123463917</v>
      </c>
      <c r="I82" s="85">
        <f>G82*1.28</f>
        <v>81.651200000000003</v>
      </c>
      <c r="J82" s="85">
        <v>24.682200000000002</v>
      </c>
      <c r="K82" s="512">
        <f>SUM(H82:H109)</f>
        <v>2208.06</v>
      </c>
      <c r="L82" s="510">
        <v>125.92</v>
      </c>
    </row>
    <row r="83" spans="1:15" ht="15" customHeight="1" x14ac:dyDescent="0.25">
      <c r="A83" s="511"/>
      <c r="B83" s="511"/>
      <c r="C83" s="95" t="s">
        <v>21</v>
      </c>
      <c r="D83" s="104">
        <v>0</v>
      </c>
      <c r="E83" s="105">
        <v>2</v>
      </c>
      <c r="F83" s="85" t="str">
        <f t="shared" ref="F83:F109" si="6">LEFT(C83,2)&amp;D83&amp;E83</f>
        <v>A402</v>
      </c>
      <c r="G83" s="85">
        <v>63.16</v>
      </c>
      <c r="H83" s="85">
        <v>80.648298163943892</v>
      </c>
      <c r="I83" s="85">
        <f t="shared" ref="I83:I109" si="7">G83*1.28</f>
        <v>80.844799999999992</v>
      </c>
      <c r="J83" s="85">
        <v>37.717199999999998</v>
      </c>
      <c r="K83" s="512"/>
      <c r="L83" s="510"/>
      <c r="O83" s="96"/>
    </row>
    <row r="84" spans="1:15" ht="15" customHeight="1" x14ac:dyDescent="0.25">
      <c r="A84" s="511"/>
      <c r="B84" s="511"/>
      <c r="C84" s="95" t="s">
        <v>21</v>
      </c>
      <c r="D84" s="104">
        <v>0</v>
      </c>
      <c r="E84" s="105">
        <v>3</v>
      </c>
      <c r="F84" s="85" t="str">
        <f t="shared" si="6"/>
        <v>A403</v>
      </c>
      <c r="G84" s="85">
        <v>51.02</v>
      </c>
      <c r="H84" s="85">
        <v>65.146867832875529</v>
      </c>
      <c r="I84" s="85">
        <f t="shared" si="7"/>
        <v>65.305599999999998</v>
      </c>
      <c r="J84" s="85">
        <v>34.889099999999999</v>
      </c>
      <c r="K84" s="512"/>
      <c r="L84" s="510"/>
    </row>
    <row r="85" spans="1:15" ht="15" customHeight="1" x14ac:dyDescent="0.25">
      <c r="A85" s="511"/>
      <c r="B85" s="511"/>
      <c r="C85" s="95" t="s">
        <v>21</v>
      </c>
      <c r="D85" s="104">
        <v>0</v>
      </c>
      <c r="E85" s="105">
        <v>4</v>
      </c>
      <c r="F85" s="85" t="str">
        <f t="shared" si="6"/>
        <v>A404</v>
      </c>
      <c r="G85" s="85">
        <v>68.59</v>
      </c>
      <c r="H85" s="85">
        <v>87.581804481711714</v>
      </c>
      <c r="I85" s="85">
        <f t="shared" si="7"/>
        <v>87.795200000000008</v>
      </c>
      <c r="J85" s="85">
        <v>35.785600000000002</v>
      </c>
      <c r="K85" s="512"/>
      <c r="L85" s="510"/>
    </row>
    <row r="86" spans="1:15" ht="15" customHeight="1" x14ac:dyDescent="0.25">
      <c r="A86" s="511"/>
      <c r="B86" s="511"/>
      <c r="C86" s="95" t="s">
        <v>21</v>
      </c>
      <c r="D86" s="104">
        <v>0</v>
      </c>
      <c r="E86" s="105">
        <v>5</v>
      </c>
      <c r="F86" s="85" t="str">
        <f t="shared" si="6"/>
        <v>A405</v>
      </c>
      <c r="G86" s="85">
        <v>69.17</v>
      </c>
      <c r="H86" s="85">
        <v>88.322399999999988</v>
      </c>
      <c r="I86" s="85">
        <f t="shared" si="7"/>
        <v>88.537599999999998</v>
      </c>
      <c r="J86" s="85">
        <v>24.142299999999999</v>
      </c>
      <c r="K86" s="512"/>
      <c r="L86" s="510"/>
    </row>
    <row r="87" spans="1:15" ht="15" customHeight="1" x14ac:dyDescent="0.25">
      <c r="A87" s="511"/>
      <c r="B87" s="511"/>
      <c r="C87" s="95" t="s">
        <v>21</v>
      </c>
      <c r="D87" s="104">
        <v>1</v>
      </c>
      <c r="E87" s="105">
        <v>1</v>
      </c>
      <c r="F87" s="85" t="str">
        <f t="shared" si="6"/>
        <v>A411</v>
      </c>
      <c r="G87" s="85">
        <v>63.79</v>
      </c>
      <c r="H87" s="85">
        <v>81.452738123463917</v>
      </c>
      <c r="I87" s="85">
        <f t="shared" si="7"/>
        <v>81.651200000000003</v>
      </c>
      <c r="J87" s="85"/>
      <c r="K87" s="512"/>
      <c r="L87" s="510">
        <v>125.92</v>
      </c>
    </row>
    <row r="88" spans="1:15" ht="15" customHeight="1" x14ac:dyDescent="0.25">
      <c r="A88" s="511"/>
      <c r="B88" s="511"/>
      <c r="C88" s="95" t="s">
        <v>21</v>
      </c>
      <c r="D88" s="104">
        <v>1</v>
      </c>
      <c r="E88" s="105">
        <v>2</v>
      </c>
      <c r="F88" s="85" t="str">
        <f t="shared" si="6"/>
        <v>A412</v>
      </c>
      <c r="G88" s="85">
        <v>62.9</v>
      </c>
      <c r="H88" s="85">
        <v>80.316307069538809</v>
      </c>
      <c r="I88" s="85">
        <f t="shared" si="7"/>
        <v>80.512</v>
      </c>
      <c r="J88" s="85"/>
      <c r="K88" s="512"/>
      <c r="L88" s="510"/>
    </row>
    <row r="89" spans="1:15" ht="15" customHeight="1" x14ac:dyDescent="0.25">
      <c r="A89" s="511"/>
      <c r="B89" s="511"/>
      <c r="C89" s="95" t="s">
        <v>21</v>
      </c>
      <c r="D89" s="104">
        <v>1</v>
      </c>
      <c r="E89" s="105">
        <v>3</v>
      </c>
      <c r="F89" s="85" t="str">
        <f t="shared" si="6"/>
        <v>A413</v>
      </c>
      <c r="G89" s="85">
        <v>51.02</v>
      </c>
      <c r="H89" s="85">
        <v>65.146867832875529</v>
      </c>
      <c r="I89" s="85">
        <f t="shared" si="7"/>
        <v>65.305599999999998</v>
      </c>
      <c r="J89" s="85"/>
      <c r="K89" s="512"/>
      <c r="L89" s="510"/>
    </row>
    <row r="90" spans="1:15" ht="15" customHeight="1" x14ac:dyDescent="0.25">
      <c r="A90" s="511"/>
      <c r="B90" s="511"/>
      <c r="C90" s="95" t="s">
        <v>21</v>
      </c>
      <c r="D90" s="104">
        <v>1</v>
      </c>
      <c r="E90" s="105">
        <v>4</v>
      </c>
      <c r="F90" s="85" t="str">
        <f t="shared" si="6"/>
        <v>A414</v>
      </c>
      <c r="G90" s="85">
        <v>68.59</v>
      </c>
      <c r="H90" s="85">
        <v>87.581804481711714</v>
      </c>
      <c r="I90" s="85">
        <f t="shared" si="7"/>
        <v>87.795200000000008</v>
      </c>
      <c r="J90" s="85"/>
      <c r="K90" s="512"/>
      <c r="L90" s="510"/>
    </row>
    <row r="91" spans="1:15" ht="15" customHeight="1" x14ac:dyDescent="0.25">
      <c r="A91" s="511"/>
      <c r="B91" s="511"/>
      <c r="C91" s="95" t="s">
        <v>21</v>
      </c>
      <c r="D91" s="104">
        <v>1</v>
      </c>
      <c r="E91" s="105">
        <v>5</v>
      </c>
      <c r="F91" s="85" t="str">
        <f t="shared" si="6"/>
        <v>A415</v>
      </c>
      <c r="G91" s="85">
        <v>69.17</v>
      </c>
      <c r="H91" s="85">
        <v>88.322399999999988</v>
      </c>
      <c r="I91" s="85">
        <f t="shared" si="7"/>
        <v>88.537599999999998</v>
      </c>
      <c r="J91" s="85"/>
      <c r="K91" s="512"/>
      <c r="L91" s="510"/>
    </row>
    <row r="92" spans="1:15" ht="15" customHeight="1" x14ac:dyDescent="0.25">
      <c r="A92" s="511"/>
      <c r="B92" s="511"/>
      <c r="C92" s="95" t="s">
        <v>21</v>
      </c>
      <c r="D92" s="104">
        <v>2</v>
      </c>
      <c r="E92" s="105">
        <v>1</v>
      </c>
      <c r="F92" s="85" t="str">
        <f t="shared" si="6"/>
        <v>A421</v>
      </c>
      <c r="G92" s="85">
        <v>63.16</v>
      </c>
      <c r="H92" s="85">
        <v>80.648298163943892</v>
      </c>
      <c r="I92" s="85">
        <f t="shared" si="7"/>
        <v>80.844799999999992</v>
      </c>
      <c r="J92" s="85"/>
      <c r="K92" s="512"/>
      <c r="L92" s="510">
        <v>75.75</v>
      </c>
    </row>
    <row r="93" spans="1:15" ht="15" customHeight="1" x14ac:dyDescent="0.25">
      <c r="A93" s="511"/>
      <c r="B93" s="511"/>
      <c r="C93" s="95" t="s">
        <v>21</v>
      </c>
      <c r="D93" s="104">
        <v>2</v>
      </c>
      <c r="E93" s="105">
        <v>2</v>
      </c>
      <c r="F93" s="85" t="str">
        <f t="shared" si="6"/>
        <v>A422</v>
      </c>
      <c r="G93" s="85">
        <v>63.11</v>
      </c>
      <c r="H93" s="85">
        <v>80.584453722712155</v>
      </c>
      <c r="I93" s="85">
        <f t="shared" si="7"/>
        <v>80.780799999999999</v>
      </c>
      <c r="J93" s="85"/>
      <c r="K93" s="512"/>
      <c r="L93" s="510"/>
    </row>
    <row r="94" spans="1:15" ht="15" customHeight="1" x14ac:dyDescent="0.25">
      <c r="A94" s="511"/>
      <c r="B94" s="511"/>
      <c r="C94" s="95" t="s">
        <v>21</v>
      </c>
      <c r="D94" s="104">
        <v>2</v>
      </c>
      <c r="E94" s="105">
        <v>3</v>
      </c>
      <c r="F94" s="85" t="str">
        <f t="shared" si="6"/>
        <v>A423</v>
      </c>
      <c r="G94" s="85">
        <v>51.48</v>
      </c>
      <c r="H94" s="85">
        <v>65.734236692207588</v>
      </c>
      <c r="I94" s="85">
        <f t="shared" si="7"/>
        <v>65.89439999999999</v>
      </c>
      <c r="J94" s="85"/>
      <c r="K94" s="512"/>
      <c r="L94" s="510"/>
    </row>
    <row r="95" spans="1:15" ht="15" customHeight="1" x14ac:dyDescent="0.25">
      <c r="A95" s="511"/>
      <c r="B95" s="511"/>
      <c r="C95" s="95" t="s">
        <v>21</v>
      </c>
      <c r="D95" s="104">
        <v>2</v>
      </c>
      <c r="E95" s="105">
        <v>4</v>
      </c>
      <c r="F95" s="85" t="str">
        <f t="shared" si="6"/>
        <v>A424</v>
      </c>
      <c r="G95" s="85">
        <v>68.89</v>
      </c>
      <c r="H95" s="85">
        <v>87.964871129102207</v>
      </c>
      <c r="I95" s="85">
        <f t="shared" si="7"/>
        <v>88.179200000000009</v>
      </c>
      <c r="J95" s="85"/>
      <c r="K95" s="512"/>
      <c r="L95" s="510"/>
    </row>
    <row r="96" spans="1:15" ht="15" customHeight="1" x14ac:dyDescent="0.25">
      <c r="A96" s="511"/>
      <c r="B96" s="511"/>
      <c r="C96" s="95" t="s">
        <v>21</v>
      </c>
      <c r="D96" s="104">
        <v>2</v>
      </c>
      <c r="E96" s="105">
        <v>5</v>
      </c>
      <c r="F96" s="85" t="str">
        <f t="shared" si="6"/>
        <v>A425</v>
      </c>
      <c r="G96" s="85">
        <v>68.91</v>
      </c>
      <c r="H96" s="85">
        <v>87.990408905594904</v>
      </c>
      <c r="I96" s="85">
        <f t="shared" si="7"/>
        <v>88.204799999999992</v>
      </c>
      <c r="J96" s="85"/>
      <c r="K96" s="512"/>
      <c r="L96" s="510"/>
    </row>
    <row r="97" spans="1:12" ht="15" customHeight="1" x14ac:dyDescent="0.25">
      <c r="A97" s="511"/>
      <c r="B97" s="511"/>
      <c r="C97" s="95" t="s">
        <v>21</v>
      </c>
      <c r="D97" s="104">
        <v>2</v>
      </c>
      <c r="E97" s="105">
        <v>6</v>
      </c>
      <c r="F97" s="85" t="str">
        <f t="shared" si="6"/>
        <v>A426</v>
      </c>
      <c r="G97" s="85">
        <v>51.5</v>
      </c>
      <c r="H97" s="85">
        <v>65.7597744687003</v>
      </c>
      <c r="I97" s="85">
        <f t="shared" si="7"/>
        <v>65.92</v>
      </c>
      <c r="J97" s="85"/>
      <c r="K97" s="512"/>
      <c r="L97" s="510"/>
    </row>
    <row r="98" spans="1:12" ht="15" customHeight="1" x14ac:dyDescent="0.25">
      <c r="A98" s="511"/>
      <c r="B98" s="511"/>
      <c r="C98" s="95" t="s">
        <v>21</v>
      </c>
      <c r="D98" s="104">
        <v>3</v>
      </c>
      <c r="E98" s="105">
        <v>1</v>
      </c>
      <c r="F98" s="85" t="str">
        <f t="shared" si="6"/>
        <v>A431</v>
      </c>
      <c r="G98" s="85">
        <v>62.86</v>
      </c>
      <c r="H98" s="85">
        <v>80.265231516553413</v>
      </c>
      <c r="I98" s="85">
        <f t="shared" si="7"/>
        <v>80.460800000000006</v>
      </c>
      <c r="J98" s="85"/>
      <c r="K98" s="512"/>
      <c r="L98" s="510">
        <v>75.75</v>
      </c>
    </row>
    <row r="99" spans="1:12" ht="15" customHeight="1" x14ac:dyDescent="0.25">
      <c r="A99" s="511"/>
      <c r="B99" s="511"/>
      <c r="C99" s="95" t="s">
        <v>21</v>
      </c>
      <c r="D99" s="104">
        <v>3</v>
      </c>
      <c r="E99" s="105">
        <v>2</v>
      </c>
      <c r="F99" s="85" t="str">
        <f t="shared" si="6"/>
        <v>A432</v>
      </c>
      <c r="G99" s="85">
        <v>62.84</v>
      </c>
      <c r="H99" s="85">
        <v>80.239693740060716</v>
      </c>
      <c r="I99" s="85">
        <f t="shared" si="7"/>
        <v>80.435200000000009</v>
      </c>
      <c r="J99" s="85"/>
      <c r="K99" s="512"/>
      <c r="L99" s="510"/>
    </row>
    <row r="100" spans="1:12" ht="15" customHeight="1" x14ac:dyDescent="0.25">
      <c r="A100" s="511"/>
      <c r="B100" s="511"/>
      <c r="C100" s="95" t="s">
        <v>21</v>
      </c>
      <c r="D100" s="104">
        <v>3</v>
      </c>
      <c r="E100" s="105">
        <v>3</v>
      </c>
      <c r="F100" s="85" t="str">
        <f t="shared" si="6"/>
        <v>A433</v>
      </c>
      <c r="G100" s="85">
        <v>50.89</v>
      </c>
      <c r="H100" s="85">
        <v>64.980872285672973</v>
      </c>
      <c r="I100" s="85">
        <f t="shared" si="7"/>
        <v>65.139200000000002</v>
      </c>
      <c r="J100" s="85"/>
      <c r="K100" s="512"/>
      <c r="L100" s="510"/>
    </row>
    <row r="101" spans="1:12" ht="15" customHeight="1" x14ac:dyDescent="0.25">
      <c r="A101" s="511"/>
      <c r="B101" s="511"/>
      <c r="C101" s="95" t="s">
        <v>21</v>
      </c>
      <c r="D101" s="104">
        <v>3</v>
      </c>
      <c r="E101" s="105">
        <v>4</v>
      </c>
      <c r="F101" s="85" t="str">
        <f t="shared" si="6"/>
        <v>A434</v>
      </c>
      <c r="G101" s="85">
        <v>68.599999999999994</v>
      </c>
      <c r="H101" s="85">
        <v>87.594573369958056</v>
      </c>
      <c r="I101" s="85">
        <f t="shared" si="7"/>
        <v>87.807999999999993</v>
      </c>
      <c r="J101" s="85"/>
      <c r="K101" s="512"/>
      <c r="L101" s="510"/>
    </row>
    <row r="102" spans="1:12" ht="15" customHeight="1" x14ac:dyDescent="0.25">
      <c r="A102" s="511"/>
      <c r="B102" s="511"/>
      <c r="C102" s="95" t="s">
        <v>21</v>
      </c>
      <c r="D102" s="104">
        <v>3</v>
      </c>
      <c r="E102" s="105">
        <v>5</v>
      </c>
      <c r="F102" s="85" t="str">
        <f t="shared" si="6"/>
        <v>A435</v>
      </c>
      <c r="G102" s="85">
        <v>68.62</v>
      </c>
      <c r="H102" s="85">
        <v>87.620111146450768</v>
      </c>
      <c r="I102" s="85">
        <f t="shared" si="7"/>
        <v>87.833600000000004</v>
      </c>
      <c r="J102" s="85"/>
      <c r="K102" s="512"/>
      <c r="L102" s="510"/>
    </row>
    <row r="103" spans="1:12" ht="15" customHeight="1" x14ac:dyDescent="0.25">
      <c r="A103" s="511"/>
      <c r="B103" s="511"/>
      <c r="C103" s="95" t="s">
        <v>21</v>
      </c>
      <c r="D103" s="104">
        <v>3</v>
      </c>
      <c r="E103" s="105">
        <v>6</v>
      </c>
      <c r="F103" s="85" t="str">
        <f t="shared" si="6"/>
        <v>A436</v>
      </c>
      <c r="G103" s="85">
        <v>50.89</v>
      </c>
      <c r="H103" s="85">
        <v>64.980872285672973</v>
      </c>
      <c r="I103" s="85">
        <f t="shared" si="7"/>
        <v>65.139200000000002</v>
      </c>
      <c r="J103" s="85"/>
      <c r="K103" s="512"/>
      <c r="L103" s="510"/>
    </row>
    <row r="104" spans="1:12" ht="15" customHeight="1" x14ac:dyDescent="0.25">
      <c r="A104" s="511"/>
      <c r="B104" s="511"/>
      <c r="C104" s="95" t="s">
        <v>21</v>
      </c>
      <c r="D104" s="104">
        <v>4</v>
      </c>
      <c r="E104" s="105">
        <v>1</v>
      </c>
      <c r="F104" s="85" t="str">
        <f t="shared" si="6"/>
        <v>A441</v>
      </c>
      <c r="G104" s="85">
        <v>62.97</v>
      </c>
      <c r="H104" s="85">
        <v>80.405689287263257</v>
      </c>
      <c r="I104" s="85">
        <f t="shared" si="7"/>
        <v>80.601600000000005</v>
      </c>
      <c r="J104" s="85"/>
      <c r="K104" s="512"/>
      <c r="L104" s="510">
        <v>75.75</v>
      </c>
    </row>
    <row r="105" spans="1:12" ht="15" customHeight="1" x14ac:dyDescent="0.25">
      <c r="A105" s="511"/>
      <c r="B105" s="511"/>
      <c r="C105" s="95" t="s">
        <v>21</v>
      </c>
      <c r="D105" s="104">
        <v>4</v>
      </c>
      <c r="E105" s="105">
        <v>2</v>
      </c>
      <c r="F105" s="85" t="str">
        <f t="shared" si="6"/>
        <v>A442</v>
      </c>
      <c r="G105" s="85">
        <v>62.97</v>
      </c>
      <c r="H105" s="85">
        <v>80.405689287263257</v>
      </c>
      <c r="I105" s="85">
        <f t="shared" si="7"/>
        <v>80.601600000000005</v>
      </c>
      <c r="J105" s="85"/>
      <c r="K105" s="512"/>
      <c r="L105" s="510"/>
    </row>
    <row r="106" spans="1:12" ht="15" customHeight="1" x14ac:dyDescent="0.25">
      <c r="A106" s="511"/>
      <c r="B106" s="511"/>
      <c r="C106" s="95" t="s">
        <v>21</v>
      </c>
      <c r="D106" s="104">
        <v>4</v>
      </c>
      <c r="E106" s="105">
        <v>3</v>
      </c>
      <c r="F106" s="85" t="str">
        <f t="shared" si="6"/>
        <v>A443</v>
      </c>
      <c r="G106" s="85">
        <v>51.5</v>
      </c>
      <c r="H106" s="85">
        <v>65.7597744687003</v>
      </c>
      <c r="I106" s="85">
        <f t="shared" si="7"/>
        <v>65.92</v>
      </c>
      <c r="J106" s="85"/>
      <c r="K106" s="512"/>
      <c r="L106" s="510"/>
    </row>
    <row r="107" spans="1:12" ht="15" customHeight="1" x14ac:dyDescent="0.25">
      <c r="A107" s="511"/>
      <c r="B107" s="511"/>
      <c r="C107" s="95" t="s">
        <v>21</v>
      </c>
      <c r="D107" s="104">
        <v>4</v>
      </c>
      <c r="E107" s="105">
        <v>4</v>
      </c>
      <c r="F107" s="85" t="str">
        <f t="shared" si="6"/>
        <v>A444</v>
      </c>
      <c r="G107" s="85">
        <v>68.680000000000007</v>
      </c>
      <c r="H107" s="85">
        <v>87.696724475928875</v>
      </c>
      <c r="I107" s="85">
        <f t="shared" si="7"/>
        <v>87.91040000000001</v>
      </c>
      <c r="J107" s="85"/>
      <c r="K107" s="512"/>
      <c r="L107" s="510"/>
    </row>
    <row r="108" spans="1:12" ht="15" customHeight="1" x14ac:dyDescent="0.25">
      <c r="A108" s="511"/>
      <c r="B108" s="511"/>
      <c r="C108" s="95" t="s">
        <v>21</v>
      </c>
      <c r="D108" s="104">
        <v>4</v>
      </c>
      <c r="E108" s="105">
        <v>5</v>
      </c>
      <c r="F108" s="85" t="str">
        <f t="shared" si="6"/>
        <v>A445</v>
      </c>
      <c r="G108" s="85">
        <v>68.680000000000007</v>
      </c>
      <c r="H108" s="85">
        <v>87.696724475928875</v>
      </c>
      <c r="I108" s="85">
        <f t="shared" si="7"/>
        <v>87.91040000000001</v>
      </c>
      <c r="J108" s="85"/>
      <c r="K108" s="512"/>
      <c r="L108" s="510"/>
    </row>
    <row r="109" spans="1:12" ht="15" customHeight="1" x14ac:dyDescent="0.25">
      <c r="A109" s="511"/>
      <c r="B109" s="511"/>
      <c r="C109" s="95" t="s">
        <v>21</v>
      </c>
      <c r="D109" s="104">
        <v>4</v>
      </c>
      <c r="E109" s="105">
        <v>6</v>
      </c>
      <c r="F109" s="85" t="str">
        <f t="shared" si="6"/>
        <v>A446</v>
      </c>
      <c r="G109" s="85">
        <v>51.5</v>
      </c>
      <c r="H109" s="85">
        <v>65.7597744687003</v>
      </c>
      <c r="I109" s="85">
        <f t="shared" si="7"/>
        <v>65.92</v>
      </c>
      <c r="J109" s="85"/>
      <c r="K109" s="512"/>
      <c r="L109" s="510"/>
    </row>
    <row r="110" spans="1:12" ht="15" customHeight="1" x14ac:dyDescent="0.25">
      <c r="A110" s="83" t="s">
        <v>4</v>
      </c>
      <c r="B110" s="83"/>
      <c r="C110" s="83"/>
      <c r="D110" s="103"/>
      <c r="E110" s="103"/>
      <c r="F110" s="83"/>
      <c r="G110" s="83">
        <f>SUM(G82:G109)</f>
        <v>1729.2500000000002</v>
      </c>
      <c r="H110" s="83"/>
      <c r="I110" s="83">
        <f>SUM(I82:I109)</f>
        <v>2213.4400000000005</v>
      </c>
      <c r="J110" s="83"/>
      <c r="K110" s="83">
        <f>SUM(K82)</f>
        <v>2208.06</v>
      </c>
      <c r="L110" s="83">
        <f>L104+L98+L92+L87+L82</f>
        <v>479.09000000000003</v>
      </c>
    </row>
    <row r="111" spans="1:12" ht="15" customHeight="1" x14ac:dyDescent="0.25">
      <c r="A111" s="97"/>
      <c r="G111" s="87">
        <f>K110/G110</f>
        <v>1.2768888246349572</v>
      </c>
      <c r="L111" s="99">
        <f>(L82+L87+L92+L98+L104)/K110</f>
        <v>0.21697327065387717</v>
      </c>
    </row>
    <row r="112" spans="1:12" ht="15" customHeight="1" x14ac:dyDescent="0.25"/>
    <row r="113" spans="1:12" ht="15" customHeight="1" x14ac:dyDescent="0.25"/>
    <row r="114" spans="1:12" ht="39.950000000000003" customHeight="1" x14ac:dyDescent="0.25">
      <c r="A114" s="82" t="s">
        <v>9</v>
      </c>
      <c r="B114" s="83" t="s">
        <v>7</v>
      </c>
      <c r="C114" s="82" t="s">
        <v>8</v>
      </c>
      <c r="D114" s="102" t="s">
        <v>10</v>
      </c>
      <c r="E114" s="103" t="s">
        <v>2</v>
      </c>
      <c r="F114" s="82" t="s">
        <v>104</v>
      </c>
      <c r="G114" s="82" t="s">
        <v>3</v>
      </c>
      <c r="H114" s="82" t="s">
        <v>102</v>
      </c>
      <c r="I114" s="82" t="s">
        <v>101</v>
      </c>
      <c r="J114" s="82" t="s">
        <v>103</v>
      </c>
      <c r="K114" s="83" t="s">
        <v>6</v>
      </c>
      <c r="L114" s="83" t="s">
        <v>1</v>
      </c>
    </row>
    <row r="115" spans="1:12" ht="15" customHeight="1" x14ac:dyDescent="0.25">
      <c r="A115" s="511" t="s">
        <v>24</v>
      </c>
      <c r="B115" s="511" t="s">
        <v>25</v>
      </c>
      <c r="C115" s="95" t="s">
        <v>26</v>
      </c>
      <c r="D115" s="104">
        <v>0</v>
      </c>
      <c r="E115" s="105">
        <v>1</v>
      </c>
      <c r="F115" s="85" t="str">
        <f>LEFT(C115,2)&amp;D115&amp;E115</f>
        <v>A501</v>
      </c>
      <c r="G115" s="85">
        <v>69.17</v>
      </c>
      <c r="H115" s="85">
        <v>88.027152070545512</v>
      </c>
      <c r="I115" s="85">
        <f>G115*1.28</f>
        <v>88.537599999999998</v>
      </c>
      <c r="J115" s="85">
        <v>24.4619</v>
      </c>
      <c r="K115" s="512">
        <f>SUM(H115:H142)</f>
        <v>2208.0600000000004</v>
      </c>
      <c r="L115" s="510">
        <v>125.92</v>
      </c>
    </row>
    <row r="116" spans="1:12" ht="15" customHeight="1" x14ac:dyDescent="0.25">
      <c r="A116" s="511"/>
      <c r="B116" s="511"/>
      <c r="C116" s="95" t="s">
        <v>26</v>
      </c>
      <c r="D116" s="104">
        <v>0</v>
      </c>
      <c r="E116" s="105">
        <v>2</v>
      </c>
      <c r="F116" s="85" t="str">
        <f t="shared" ref="F116:F142" si="8">LEFT(C116,2)&amp;D116&amp;E116</f>
        <v>A502</v>
      </c>
      <c r="G116" s="85">
        <v>68.59</v>
      </c>
      <c r="H116" s="85">
        <v>87.289032246909315</v>
      </c>
      <c r="I116" s="85">
        <f t="shared" ref="I116:I142" si="9">G116*1.28</f>
        <v>87.795200000000008</v>
      </c>
      <c r="J116" s="85">
        <v>35.785600000000002</v>
      </c>
      <c r="K116" s="512"/>
      <c r="L116" s="510"/>
    </row>
    <row r="117" spans="1:12" ht="15" customHeight="1" x14ac:dyDescent="0.25">
      <c r="A117" s="511"/>
      <c r="B117" s="511"/>
      <c r="C117" s="95" t="s">
        <v>26</v>
      </c>
      <c r="D117" s="104">
        <v>0</v>
      </c>
      <c r="E117" s="105">
        <v>3</v>
      </c>
      <c r="F117" s="85" t="str">
        <f t="shared" si="8"/>
        <v>A503</v>
      </c>
      <c r="G117" s="85">
        <v>51.02</v>
      </c>
      <c r="H117" s="85">
        <v>64.929092072274571</v>
      </c>
      <c r="I117" s="85">
        <f t="shared" si="9"/>
        <v>65.305599999999998</v>
      </c>
      <c r="J117" s="85">
        <v>34.889099999999999</v>
      </c>
      <c r="K117" s="512"/>
      <c r="L117" s="510"/>
    </row>
    <row r="118" spans="1:12" ht="15" customHeight="1" x14ac:dyDescent="0.25">
      <c r="A118" s="511"/>
      <c r="B118" s="511"/>
      <c r="C118" s="95" t="s">
        <v>26</v>
      </c>
      <c r="D118" s="104">
        <v>0</v>
      </c>
      <c r="E118" s="105">
        <v>4</v>
      </c>
      <c r="F118" s="85" t="str">
        <f t="shared" si="8"/>
        <v>A504</v>
      </c>
      <c r="G118" s="85">
        <v>63.16</v>
      </c>
      <c r="H118" s="85">
        <v>80.378703553211722</v>
      </c>
      <c r="I118" s="85">
        <f t="shared" si="9"/>
        <v>80.844799999999992</v>
      </c>
      <c r="J118" s="85">
        <v>37.717199999999998</v>
      </c>
      <c r="K118" s="512"/>
      <c r="L118" s="510"/>
    </row>
    <row r="119" spans="1:12" ht="15" customHeight="1" x14ac:dyDescent="0.25">
      <c r="A119" s="511"/>
      <c r="B119" s="511"/>
      <c r="C119" s="95" t="s">
        <v>26</v>
      </c>
      <c r="D119" s="104">
        <v>0</v>
      </c>
      <c r="E119" s="105">
        <v>5</v>
      </c>
      <c r="F119" s="85" t="str">
        <f t="shared" si="8"/>
        <v>A505</v>
      </c>
      <c r="G119" s="85">
        <v>63.79</v>
      </c>
      <c r="H119" s="85">
        <v>81.180454396126905</v>
      </c>
      <c r="I119" s="85">
        <f t="shared" si="9"/>
        <v>81.651200000000003</v>
      </c>
      <c r="J119" s="85">
        <v>24.668800000000001</v>
      </c>
      <c r="K119" s="512"/>
      <c r="L119" s="510"/>
    </row>
    <row r="120" spans="1:12" ht="15" customHeight="1" x14ac:dyDescent="0.25">
      <c r="A120" s="511"/>
      <c r="B120" s="511"/>
      <c r="C120" s="95" t="s">
        <v>26</v>
      </c>
      <c r="D120" s="104">
        <v>1</v>
      </c>
      <c r="E120" s="105">
        <v>1</v>
      </c>
      <c r="F120" s="85" t="str">
        <f t="shared" si="8"/>
        <v>A511</v>
      </c>
      <c r="G120" s="85">
        <v>69.17</v>
      </c>
      <c r="H120" s="85">
        <v>88.027152070545512</v>
      </c>
      <c r="I120" s="85">
        <f t="shared" si="9"/>
        <v>88.537599999999998</v>
      </c>
      <c r="J120" s="85"/>
      <c r="K120" s="512"/>
      <c r="L120" s="510">
        <v>125.92</v>
      </c>
    </row>
    <row r="121" spans="1:12" ht="15" customHeight="1" x14ac:dyDescent="0.25">
      <c r="A121" s="511"/>
      <c r="B121" s="511"/>
      <c r="C121" s="95" t="s">
        <v>26</v>
      </c>
      <c r="D121" s="104">
        <v>1</v>
      </c>
      <c r="E121" s="105">
        <v>2</v>
      </c>
      <c r="F121" s="85" t="str">
        <f t="shared" si="8"/>
        <v>A512</v>
      </c>
      <c r="G121" s="85">
        <v>68.59</v>
      </c>
      <c r="H121" s="85">
        <v>87.289032246909315</v>
      </c>
      <c r="I121" s="85">
        <f t="shared" si="9"/>
        <v>87.795200000000008</v>
      </c>
      <c r="J121" s="85"/>
      <c r="K121" s="512"/>
      <c r="L121" s="510"/>
    </row>
    <row r="122" spans="1:12" ht="15" customHeight="1" x14ac:dyDescent="0.25">
      <c r="A122" s="511"/>
      <c r="B122" s="511"/>
      <c r="C122" s="95" t="s">
        <v>26</v>
      </c>
      <c r="D122" s="104">
        <v>1</v>
      </c>
      <c r="E122" s="105">
        <v>3</v>
      </c>
      <c r="F122" s="85" t="str">
        <f t="shared" si="8"/>
        <v>A513</v>
      </c>
      <c r="G122" s="85">
        <v>51.02</v>
      </c>
      <c r="H122" s="85">
        <v>64.929092072274571</v>
      </c>
      <c r="I122" s="85">
        <f t="shared" si="9"/>
        <v>65.305599999999998</v>
      </c>
      <c r="J122" s="85"/>
      <c r="K122" s="512"/>
      <c r="L122" s="510"/>
    </row>
    <row r="123" spans="1:12" ht="15" customHeight="1" x14ac:dyDescent="0.25">
      <c r="A123" s="511"/>
      <c r="B123" s="511"/>
      <c r="C123" s="95" t="s">
        <v>26</v>
      </c>
      <c r="D123" s="104">
        <v>1</v>
      </c>
      <c r="E123" s="105">
        <v>4</v>
      </c>
      <c r="F123" s="85" t="str">
        <f t="shared" si="8"/>
        <v>A514</v>
      </c>
      <c r="G123" s="85">
        <v>62.9</v>
      </c>
      <c r="H123" s="85">
        <v>80.047822252961012</v>
      </c>
      <c r="I123" s="85">
        <f t="shared" si="9"/>
        <v>80.512</v>
      </c>
      <c r="J123" s="85"/>
      <c r="K123" s="512"/>
      <c r="L123" s="510"/>
    </row>
    <row r="124" spans="1:12" ht="15" customHeight="1" x14ac:dyDescent="0.25">
      <c r="A124" s="511"/>
      <c r="B124" s="511"/>
      <c r="C124" s="95" t="s">
        <v>26</v>
      </c>
      <c r="D124" s="104">
        <v>1</v>
      </c>
      <c r="E124" s="105">
        <v>5</v>
      </c>
      <c r="F124" s="85" t="str">
        <f t="shared" si="8"/>
        <v>A515</v>
      </c>
      <c r="G124" s="85">
        <v>63.79</v>
      </c>
      <c r="H124" s="85">
        <v>81.180454396126905</v>
      </c>
      <c r="I124" s="85">
        <f t="shared" si="9"/>
        <v>81.651200000000003</v>
      </c>
      <c r="J124" s="85"/>
      <c r="K124" s="512"/>
      <c r="L124" s="510"/>
    </row>
    <row r="125" spans="1:12" ht="15" customHeight="1" x14ac:dyDescent="0.25">
      <c r="A125" s="511"/>
      <c r="B125" s="511"/>
      <c r="C125" s="95" t="s">
        <v>26</v>
      </c>
      <c r="D125" s="104">
        <v>2</v>
      </c>
      <c r="E125" s="105">
        <v>1</v>
      </c>
      <c r="F125" s="85" t="str">
        <f t="shared" si="8"/>
        <v>A521</v>
      </c>
      <c r="G125" s="85">
        <v>68.91</v>
      </c>
      <c r="H125" s="85">
        <v>87.696270770294802</v>
      </c>
      <c r="I125" s="85">
        <f t="shared" si="9"/>
        <v>88.204799999999992</v>
      </c>
      <c r="J125" s="85"/>
      <c r="K125" s="512"/>
      <c r="L125" s="510">
        <v>75.75</v>
      </c>
    </row>
    <row r="126" spans="1:12" ht="15" customHeight="1" x14ac:dyDescent="0.25">
      <c r="A126" s="511"/>
      <c r="B126" s="511"/>
      <c r="C126" s="95" t="s">
        <v>26</v>
      </c>
      <c r="D126" s="104">
        <v>2</v>
      </c>
      <c r="E126" s="105">
        <v>2</v>
      </c>
      <c r="F126" s="85" t="str">
        <f t="shared" si="8"/>
        <v>A522</v>
      </c>
      <c r="G126" s="85">
        <v>68.89</v>
      </c>
      <c r="H126" s="85">
        <v>87.670818362583205</v>
      </c>
      <c r="I126" s="85">
        <f t="shared" si="9"/>
        <v>88.179200000000009</v>
      </c>
      <c r="J126" s="85"/>
      <c r="K126" s="512"/>
      <c r="L126" s="510"/>
    </row>
    <row r="127" spans="1:12" ht="15" customHeight="1" x14ac:dyDescent="0.25">
      <c r="A127" s="511"/>
      <c r="B127" s="511"/>
      <c r="C127" s="95" t="s">
        <v>26</v>
      </c>
      <c r="D127" s="104">
        <v>2</v>
      </c>
      <c r="E127" s="105">
        <v>3</v>
      </c>
      <c r="F127" s="85" t="str">
        <f t="shared" si="8"/>
        <v>A523</v>
      </c>
      <c r="G127" s="85">
        <v>51.48</v>
      </c>
      <c r="H127" s="85">
        <v>65.514497449641212</v>
      </c>
      <c r="I127" s="85">
        <f t="shared" si="9"/>
        <v>65.89439999999999</v>
      </c>
      <c r="J127" s="85"/>
      <c r="K127" s="512"/>
      <c r="L127" s="510"/>
    </row>
    <row r="128" spans="1:12" ht="15" customHeight="1" x14ac:dyDescent="0.25">
      <c r="A128" s="511"/>
      <c r="B128" s="511"/>
      <c r="C128" s="95" t="s">
        <v>26</v>
      </c>
      <c r="D128" s="104">
        <v>2</v>
      </c>
      <c r="E128" s="105">
        <v>4</v>
      </c>
      <c r="F128" s="85" t="str">
        <f t="shared" si="8"/>
        <v>A524</v>
      </c>
      <c r="G128" s="85">
        <v>63.16</v>
      </c>
      <c r="H128" s="85">
        <v>80.378703553211722</v>
      </c>
      <c r="I128" s="85">
        <f t="shared" si="9"/>
        <v>80.844799999999992</v>
      </c>
      <c r="J128" s="85"/>
      <c r="K128" s="512"/>
      <c r="L128" s="510"/>
    </row>
    <row r="129" spans="1:12" ht="15" customHeight="1" x14ac:dyDescent="0.25">
      <c r="A129" s="511"/>
      <c r="B129" s="511"/>
      <c r="C129" s="95" t="s">
        <v>26</v>
      </c>
      <c r="D129" s="104">
        <v>2</v>
      </c>
      <c r="E129" s="105">
        <v>5</v>
      </c>
      <c r="F129" s="85" t="str">
        <f t="shared" si="8"/>
        <v>A525</v>
      </c>
      <c r="G129" s="85">
        <v>51.5</v>
      </c>
      <c r="H129" s="85">
        <v>65.539949857352809</v>
      </c>
      <c r="I129" s="85">
        <f t="shared" si="9"/>
        <v>65.92</v>
      </c>
      <c r="J129" s="85"/>
      <c r="K129" s="512"/>
      <c r="L129" s="510"/>
    </row>
    <row r="130" spans="1:12" ht="15" customHeight="1" x14ac:dyDescent="0.25">
      <c r="A130" s="511"/>
      <c r="B130" s="511"/>
      <c r="C130" s="95" t="s">
        <v>26</v>
      </c>
      <c r="D130" s="104">
        <v>2</v>
      </c>
      <c r="E130" s="105">
        <v>6</v>
      </c>
      <c r="F130" s="85" t="str">
        <f t="shared" si="8"/>
        <v>A526</v>
      </c>
      <c r="G130" s="85">
        <v>68.91</v>
      </c>
      <c r="H130" s="85">
        <v>87.696270770294802</v>
      </c>
      <c r="I130" s="85">
        <f t="shared" si="9"/>
        <v>88.204799999999992</v>
      </c>
      <c r="J130" s="85"/>
      <c r="K130" s="512"/>
      <c r="L130" s="510"/>
    </row>
    <row r="131" spans="1:12" ht="15" customHeight="1" x14ac:dyDescent="0.25">
      <c r="A131" s="511"/>
      <c r="B131" s="511"/>
      <c r="C131" s="95" t="s">
        <v>26</v>
      </c>
      <c r="D131" s="104">
        <v>3</v>
      </c>
      <c r="E131" s="105">
        <v>1</v>
      </c>
      <c r="F131" s="85" t="str">
        <f t="shared" si="8"/>
        <v>A531</v>
      </c>
      <c r="G131" s="85">
        <v>68.62</v>
      </c>
      <c r="H131" s="85">
        <v>87.327210858476704</v>
      </c>
      <c r="I131" s="85">
        <f t="shared" si="9"/>
        <v>87.833600000000004</v>
      </c>
      <c r="J131" s="85"/>
      <c r="K131" s="512"/>
      <c r="L131" s="510">
        <v>75.75</v>
      </c>
    </row>
    <row r="132" spans="1:12" ht="15" customHeight="1" x14ac:dyDescent="0.25">
      <c r="A132" s="511"/>
      <c r="B132" s="511"/>
      <c r="C132" s="95" t="s">
        <v>26</v>
      </c>
      <c r="D132" s="104">
        <v>3</v>
      </c>
      <c r="E132" s="105">
        <v>2</v>
      </c>
      <c r="F132" s="85" t="str">
        <f t="shared" si="8"/>
        <v>A532</v>
      </c>
      <c r="G132" s="85">
        <v>68.599999999999994</v>
      </c>
      <c r="H132" s="85">
        <v>87.301758450765107</v>
      </c>
      <c r="I132" s="85">
        <f t="shared" si="9"/>
        <v>87.807999999999993</v>
      </c>
      <c r="J132" s="85"/>
      <c r="K132" s="512"/>
      <c r="L132" s="510"/>
    </row>
    <row r="133" spans="1:12" ht="15" customHeight="1" x14ac:dyDescent="0.25">
      <c r="A133" s="511"/>
      <c r="B133" s="511"/>
      <c r="C133" s="95" t="s">
        <v>26</v>
      </c>
      <c r="D133" s="104">
        <v>3</v>
      </c>
      <c r="E133" s="105">
        <v>3</v>
      </c>
      <c r="F133" s="85" t="str">
        <f t="shared" si="8"/>
        <v>A533</v>
      </c>
      <c r="G133" s="85">
        <v>50.89</v>
      </c>
      <c r="H133" s="85">
        <v>64.763651422149223</v>
      </c>
      <c r="I133" s="85">
        <f t="shared" si="9"/>
        <v>65.139200000000002</v>
      </c>
      <c r="J133" s="85"/>
      <c r="K133" s="512"/>
      <c r="L133" s="510"/>
    </row>
    <row r="134" spans="1:12" ht="15" customHeight="1" x14ac:dyDescent="0.25">
      <c r="A134" s="511"/>
      <c r="B134" s="511"/>
      <c r="C134" s="95" t="s">
        <v>26</v>
      </c>
      <c r="D134" s="104">
        <v>3</v>
      </c>
      <c r="E134" s="105">
        <v>4</v>
      </c>
      <c r="F134" s="85" t="str">
        <f t="shared" si="8"/>
        <v>A534</v>
      </c>
      <c r="G134" s="85">
        <v>62.84</v>
      </c>
      <c r="H134" s="85">
        <v>79.971465029826234</v>
      </c>
      <c r="I134" s="85">
        <f t="shared" si="9"/>
        <v>80.435200000000009</v>
      </c>
      <c r="J134" s="85"/>
      <c r="K134" s="512"/>
      <c r="L134" s="510"/>
    </row>
    <row r="135" spans="1:12" ht="15" customHeight="1" x14ac:dyDescent="0.25">
      <c r="A135" s="511"/>
      <c r="B135" s="511"/>
      <c r="C135" s="95" t="s">
        <v>26</v>
      </c>
      <c r="D135" s="104">
        <v>3</v>
      </c>
      <c r="E135" s="105">
        <v>5</v>
      </c>
      <c r="F135" s="85" t="str">
        <f t="shared" si="8"/>
        <v>A535</v>
      </c>
      <c r="G135" s="85">
        <v>62.86</v>
      </c>
      <c r="H135" s="85">
        <v>79.996917437537817</v>
      </c>
      <c r="I135" s="85">
        <f t="shared" si="9"/>
        <v>80.460800000000006</v>
      </c>
      <c r="J135" s="85"/>
      <c r="K135" s="512"/>
      <c r="L135" s="510"/>
    </row>
    <row r="136" spans="1:12" ht="15" customHeight="1" x14ac:dyDescent="0.25">
      <c r="A136" s="511"/>
      <c r="B136" s="511"/>
      <c r="C136" s="95" t="s">
        <v>26</v>
      </c>
      <c r="D136" s="104">
        <v>3</v>
      </c>
      <c r="E136" s="105">
        <v>6</v>
      </c>
      <c r="F136" s="85" t="str">
        <f t="shared" si="8"/>
        <v>A536</v>
      </c>
      <c r="G136" s="85">
        <v>50.89</v>
      </c>
      <c r="H136" s="85">
        <v>64.763651422149223</v>
      </c>
      <c r="I136" s="85">
        <f t="shared" si="9"/>
        <v>65.139200000000002</v>
      </c>
      <c r="J136" s="85"/>
      <c r="K136" s="512"/>
      <c r="L136" s="510"/>
    </row>
    <row r="137" spans="1:12" ht="15" customHeight="1" x14ac:dyDescent="0.25">
      <c r="A137" s="511"/>
      <c r="B137" s="511"/>
      <c r="C137" s="95" t="s">
        <v>26</v>
      </c>
      <c r="D137" s="104">
        <v>4</v>
      </c>
      <c r="E137" s="105">
        <v>1</v>
      </c>
      <c r="F137" s="85" t="str">
        <f t="shared" si="8"/>
        <v>A541</v>
      </c>
      <c r="G137" s="85">
        <v>68.680000000000007</v>
      </c>
      <c r="H137" s="85">
        <v>87.403568081611482</v>
      </c>
      <c r="I137" s="85">
        <f t="shared" si="9"/>
        <v>87.91040000000001</v>
      </c>
      <c r="J137" s="85"/>
      <c r="K137" s="512"/>
      <c r="L137" s="510">
        <v>75.75</v>
      </c>
    </row>
    <row r="138" spans="1:12" ht="15" customHeight="1" x14ac:dyDescent="0.25">
      <c r="A138" s="511"/>
      <c r="B138" s="511"/>
      <c r="C138" s="95" t="s">
        <v>26</v>
      </c>
      <c r="D138" s="104">
        <v>4</v>
      </c>
      <c r="E138" s="105">
        <v>2</v>
      </c>
      <c r="F138" s="85" t="str">
        <f t="shared" si="8"/>
        <v>A542</v>
      </c>
      <c r="G138" s="85">
        <v>68.680000000000007</v>
      </c>
      <c r="H138" s="85">
        <v>87.403568081611482</v>
      </c>
      <c r="I138" s="85">
        <f t="shared" si="9"/>
        <v>87.91040000000001</v>
      </c>
      <c r="J138" s="85"/>
      <c r="K138" s="512"/>
      <c r="L138" s="510"/>
    </row>
    <row r="139" spans="1:12" ht="15" customHeight="1" x14ac:dyDescent="0.25">
      <c r="A139" s="511"/>
      <c r="B139" s="511"/>
      <c r="C139" s="95" t="s">
        <v>26</v>
      </c>
      <c r="D139" s="104">
        <v>4</v>
      </c>
      <c r="E139" s="105">
        <v>3</v>
      </c>
      <c r="F139" s="85" t="str">
        <f t="shared" si="8"/>
        <v>A543</v>
      </c>
      <c r="G139" s="85">
        <v>51.5</v>
      </c>
      <c r="H139" s="85">
        <v>65.539949857352809</v>
      </c>
      <c r="I139" s="85">
        <f t="shared" si="9"/>
        <v>65.92</v>
      </c>
      <c r="J139" s="85"/>
      <c r="K139" s="512"/>
      <c r="L139" s="510"/>
    </row>
    <row r="140" spans="1:12" ht="15" customHeight="1" x14ac:dyDescent="0.25">
      <c r="A140" s="511"/>
      <c r="B140" s="511"/>
      <c r="C140" s="95" t="s">
        <v>26</v>
      </c>
      <c r="D140" s="104">
        <v>4</v>
      </c>
      <c r="E140" s="105">
        <v>4</v>
      </c>
      <c r="F140" s="85" t="str">
        <f t="shared" si="8"/>
        <v>A544</v>
      </c>
      <c r="G140" s="85">
        <v>62.97</v>
      </c>
      <c r="H140" s="85">
        <v>80.136905679951582</v>
      </c>
      <c r="I140" s="85">
        <f t="shared" si="9"/>
        <v>80.601600000000005</v>
      </c>
      <c r="J140" s="85"/>
      <c r="K140" s="512"/>
      <c r="L140" s="510"/>
    </row>
    <row r="141" spans="1:12" ht="15" customHeight="1" x14ac:dyDescent="0.25">
      <c r="A141" s="511"/>
      <c r="B141" s="511"/>
      <c r="C141" s="95" t="s">
        <v>26</v>
      </c>
      <c r="D141" s="104">
        <v>4</v>
      </c>
      <c r="E141" s="105">
        <v>5</v>
      </c>
      <c r="F141" s="85" t="str">
        <f t="shared" si="8"/>
        <v>A545</v>
      </c>
      <c r="G141" s="85">
        <v>62.97</v>
      </c>
      <c r="H141" s="85">
        <v>80.136905679951582</v>
      </c>
      <c r="I141" s="85">
        <f t="shared" si="9"/>
        <v>80.601600000000005</v>
      </c>
      <c r="J141" s="85"/>
      <c r="K141" s="512"/>
      <c r="L141" s="510"/>
    </row>
    <row r="142" spans="1:12" ht="15" customHeight="1" x14ac:dyDescent="0.25">
      <c r="A142" s="511"/>
      <c r="B142" s="511"/>
      <c r="C142" s="95" t="s">
        <v>26</v>
      </c>
      <c r="D142" s="104">
        <v>4</v>
      </c>
      <c r="E142" s="105">
        <v>6</v>
      </c>
      <c r="F142" s="85" t="str">
        <f t="shared" si="8"/>
        <v>A546</v>
      </c>
      <c r="G142" s="85">
        <v>51.5</v>
      </c>
      <c r="H142" s="85">
        <v>65.539949857352809</v>
      </c>
      <c r="I142" s="85">
        <f t="shared" si="9"/>
        <v>65.92</v>
      </c>
      <c r="J142" s="85"/>
      <c r="K142" s="512"/>
      <c r="L142" s="510"/>
    </row>
    <row r="143" spans="1:12" ht="15" customHeight="1" x14ac:dyDescent="0.25">
      <c r="A143" s="83" t="s">
        <v>4</v>
      </c>
      <c r="B143" s="83"/>
      <c r="C143" s="83"/>
      <c r="D143" s="103"/>
      <c r="E143" s="103"/>
      <c r="F143" s="83"/>
      <c r="G143" s="83">
        <f>SUM(G115:G142)</f>
        <v>1735.05</v>
      </c>
      <c r="H143" s="83"/>
      <c r="I143" s="83">
        <f>SUM(I115:I142)</f>
        <v>2220.8640000000005</v>
      </c>
      <c r="J143" s="83"/>
      <c r="K143" s="83">
        <f>SUM(K115)</f>
        <v>2208.0600000000004</v>
      </c>
      <c r="L143" s="83">
        <f>L137+L131+L125+L120+L115</f>
        <v>479.09000000000003</v>
      </c>
    </row>
    <row r="144" spans="1:12" ht="15" customHeight="1" x14ac:dyDescent="0.25">
      <c r="A144" s="97"/>
      <c r="G144" s="87">
        <f>K143/G143</f>
        <v>1.2726203855796665</v>
      </c>
      <c r="L144" s="98">
        <f>(L115+L120+L125+L131+L137)/K143</f>
        <v>0.21697327065387714</v>
      </c>
    </row>
    <row r="145" spans="1:12" ht="15" customHeight="1" x14ac:dyDescent="0.25">
      <c r="A145" s="97"/>
    </row>
    <row r="146" spans="1:12" ht="15" customHeight="1" x14ac:dyDescent="0.25">
      <c r="A146" s="97"/>
    </row>
    <row r="147" spans="1:12" ht="39.950000000000003" customHeight="1" x14ac:dyDescent="0.25">
      <c r="A147" s="82" t="s">
        <v>9</v>
      </c>
      <c r="B147" s="83" t="s">
        <v>7</v>
      </c>
      <c r="C147" s="82" t="s">
        <v>8</v>
      </c>
      <c r="D147" s="102" t="s">
        <v>10</v>
      </c>
      <c r="E147" s="103" t="s">
        <v>2</v>
      </c>
      <c r="F147" s="82" t="s">
        <v>104</v>
      </c>
      <c r="G147" s="82" t="s">
        <v>3</v>
      </c>
      <c r="H147" s="82" t="s">
        <v>102</v>
      </c>
      <c r="I147" s="82" t="s">
        <v>101</v>
      </c>
      <c r="J147" s="82" t="s">
        <v>103</v>
      </c>
      <c r="K147" s="83" t="s">
        <v>6</v>
      </c>
      <c r="L147" s="83" t="s">
        <v>1</v>
      </c>
    </row>
    <row r="148" spans="1:12" ht="15" customHeight="1" x14ac:dyDescent="0.25">
      <c r="A148" s="511" t="s">
        <v>24</v>
      </c>
      <c r="B148" s="511" t="s">
        <v>25</v>
      </c>
      <c r="C148" s="95" t="s">
        <v>27</v>
      </c>
      <c r="D148" s="104">
        <v>0</v>
      </c>
      <c r="E148" s="105">
        <v>1</v>
      </c>
      <c r="F148" s="85" t="str">
        <f>LEFT(C148,2)&amp;D148&amp;E148</f>
        <v>A601</v>
      </c>
      <c r="G148" s="85">
        <v>60.98</v>
      </c>
      <c r="H148" s="85">
        <v>66.845201763160503</v>
      </c>
      <c r="I148" s="85">
        <f>G148*1.22</f>
        <v>74.395599999999988</v>
      </c>
      <c r="J148" s="86">
        <v>23.818100000000001</v>
      </c>
      <c r="K148" s="512">
        <f>SUM(H148:H167)</f>
        <v>1994.46</v>
      </c>
      <c r="L148" s="510">
        <v>48.87</v>
      </c>
    </row>
    <row r="149" spans="1:12" ht="15" customHeight="1" x14ac:dyDescent="0.25">
      <c r="A149" s="511"/>
      <c r="B149" s="511"/>
      <c r="C149" s="95" t="s">
        <v>27</v>
      </c>
      <c r="D149" s="104">
        <v>0</v>
      </c>
      <c r="E149" s="105">
        <v>2</v>
      </c>
      <c r="F149" s="85" t="str">
        <f t="shared" ref="F149:F167" si="10">LEFT(C149,2)&amp;D149&amp;E149</f>
        <v>A602</v>
      </c>
      <c r="G149" s="85">
        <v>89.96</v>
      </c>
      <c r="H149" s="85">
        <v>98.6125672452266</v>
      </c>
      <c r="I149" s="85">
        <f t="shared" ref="I149:I167" si="11">G149*1.22</f>
        <v>109.75119999999998</v>
      </c>
      <c r="J149" s="86">
        <v>50.540100000000002</v>
      </c>
      <c r="K149" s="512"/>
      <c r="L149" s="510"/>
    </row>
    <row r="150" spans="1:12" ht="15" customHeight="1" x14ac:dyDescent="0.25">
      <c r="A150" s="511"/>
      <c r="B150" s="511"/>
      <c r="C150" s="95" t="s">
        <v>27</v>
      </c>
      <c r="D150" s="104">
        <v>0</v>
      </c>
      <c r="E150" s="105">
        <v>3</v>
      </c>
      <c r="F150" s="85" t="str">
        <f t="shared" si="10"/>
        <v>A603</v>
      </c>
      <c r="G150" s="85">
        <v>97.98</v>
      </c>
      <c r="H150" s="85">
        <v>107.40394996317589</v>
      </c>
      <c r="I150" s="85">
        <f t="shared" si="11"/>
        <v>119.5356</v>
      </c>
      <c r="J150" s="86">
        <v>50.705300000000001</v>
      </c>
      <c r="K150" s="512"/>
      <c r="L150" s="510"/>
    </row>
    <row r="151" spans="1:12" ht="15" customHeight="1" x14ac:dyDescent="0.25">
      <c r="A151" s="511"/>
      <c r="B151" s="511"/>
      <c r="C151" s="95" t="s">
        <v>27</v>
      </c>
      <c r="D151" s="104">
        <v>0</v>
      </c>
      <c r="E151" s="105">
        <v>4</v>
      </c>
      <c r="F151" s="85" t="str">
        <f t="shared" si="10"/>
        <v>A604</v>
      </c>
      <c r="G151" s="85">
        <v>98.17</v>
      </c>
      <c r="H151" s="85">
        <v>107.61222461609489</v>
      </c>
      <c r="I151" s="85">
        <f t="shared" si="11"/>
        <v>119.76739999999999</v>
      </c>
      <c r="J151" s="86">
        <v>31.597200000000001</v>
      </c>
      <c r="K151" s="512"/>
      <c r="L151" s="510"/>
    </row>
    <row r="152" spans="1:12" ht="15" customHeight="1" x14ac:dyDescent="0.25">
      <c r="A152" s="511"/>
      <c r="B152" s="511"/>
      <c r="C152" s="95" t="s">
        <v>27</v>
      </c>
      <c r="D152" s="104">
        <v>1</v>
      </c>
      <c r="E152" s="105">
        <v>1</v>
      </c>
      <c r="F152" s="85" t="str">
        <f t="shared" si="10"/>
        <v>A611</v>
      </c>
      <c r="G152" s="85">
        <v>61.82</v>
      </c>
      <c r="H152" s="85">
        <v>67.765994965539235</v>
      </c>
      <c r="I152" s="85">
        <f t="shared" si="11"/>
        <v>75.420400000000001</v>
      </c>
      <c r="J152" s="85"/>
      <c r="K152" s="512"/>
      <c r="L152" s="510">
        <v>35.729999999999997</v>
      </c>
    </row>
    <row r="153" spans="1:12" ht="15" customHeight="1" x14ac:dyDescent="0.25">
      <c r="A153" s="511"/>
      <c r="B153" s="511"/>
      <c r="C153" s="95" t="s">
        <v>27</v>
      </c>
      <c r="D153" s="104">
        <v>1</v>
      </c>
      <c r="E153" s="105">
        <v>2</v>
      </c>
      <c r="F153" s="85" t="str">
        <f t="shared" si="10"/>
        <v>A612</v>
      </c>
      <c r="G153" s="85">
        <v>89.05</v>
      </c>
      <c r="H153" s="85">
        <v>97.615041275982989</v>
      </c>
      <c r="I153" s="85">
        <f t="shared" si="11"/>
        <v>108.64099999999999</v>
      </c>
      <c r="J153" s="85"/>
      <c r="K153" s="512"/>
      <c r="L153" s="510"/>
    </row>
    <row r="154" spans="1:12" ht="15" customHeight="1" x14ac:dyDescent="0.25">
      <c r="A154" s="511"/>
      <c r="B154" s="511"/>
      <c r="C154" s="95" t="s">
        <v>27</v>
      </c>
      <c r="D154" s="104">
        <v>1</v>
      </c>
      <c r="E154" s="105">
        <v>3</v>
      </c>
      <c r="F154" s="85" t="str">
        <f t="shared" si="10"/>
        <v>A613</v>
      </c>
      <c r="G154" s="85">
        <v>97.06</v>
      </c>
      <c r="H154" s="85">
        <v>106.39546217009443</v>
      </c>
      <c r="I154" s="85">
        <f t="shared" si="11"/>
        <v>118.4132</v>
      </c>
      <c r="J154" s="85"/>
      <c r="K154" s="512"/>
      <c r="L154" s="510"/>
    </row>
    <row r="155" spans="1:12" ht="15" customHeight="1" x14ac:dyDescent="0.25">
      <c r="A155" s="511"/>
      <c r="B155" s="511"/>
      <c r="C155" s="95" t="s">
        <v>27</v>
      </c>
      <c r="D155" s="104">
        <v>1</v>
      </c>
      <c r="E155" s="105">
        <v>4</v>
      </c>
      <c r="F155" s="85" t="str">
        <f t="shared" si="10"/>
        <v>A614</v>
      </c>
      <c r="G155" s="85">
        <v>97.09</v>
      </c>
      <c r="H155" s="85">
        <v>106.42834764160796</v>
      </c>
      <c r="I155" s="85">
        <f t="shared" si="11"/>
        <v>118.4498</v>
      </c>
      <c r="J155" s="85"/>
      <c r="K155" s="512"/>
      <c r="L155" s="510"/>
    </row>
    <row r="156" spans="1:12" ht="15" customHeight="1" x14ac:dyDescent="0.25">
      <c r="A156" s="511"/>
      <c r="B156" s="511"/>
      <c r="C156" s="95" t="s">
        <v>27</v>
      </c>
      <c r="D156" s="104">
        <v>2</v>
      </c>
      <c r="E156" s="105">
        <v>1</v>
      </c>
      <c r="F156" s="85" t="str">
        <f t="shared" si="10"/>
        <v>A621</v>
      </c>
      <c r="G156" s="85">
        <v>90.9</v>
      </c>
      <c r="H156" s="85">
        <v>99.642978685983763</v>
      </c>
      <c r="I156" s="85">
        <f t="shared" si="11"/>
        <v>110.89800000000001</v>
      </c>
      <c r="J156" s="85"/>
      <c r="K156" s="512"/>
      <c r="L156" s="510">
        <v>29.85</v>
      </c>
    </row>
    <row r="157" spans="1:12" ht="15" customHeight="1" x14ac:dyDescent="0.25">
      <c r="A157" s="511"/>
      <c r="B157" s="511"/>
      <c r="C157" s="95" t="s">
        <v>27</v>
      </c>
      <c r="D157" s="104">
        <v>2</v>
      </c>
      <c r="E157" s="105">
        <v>2</v>
      </c>
      <c r="F157" s="85" t="str">
        <f t="shared" si="10"/>
        <v>A622</v>
      </c>
      <c r="G157" s="85">
        <v>90.91</v>
      </c>
      <c r="H157" s="85">
        <v>99.653940509821595</v>
      </c>
      <c r="I157" s="85">
        <f t="shared" si="11"/>
        <v>110.91019999999999</v>
      </c>
      <c r="J157" s="85"/>
      <c r="K157" s="512"/>
      <c r="L157" s="510"/>
    </row>
    <row r="158" spans="1:12" ht="15" customHeight="1" x14ac:dyDescent="0.25">
      <c r="A158" s="511"/>
      <c r="B158" s="511"/>
      <c r="C158" s="95" t="s">
        <v>27</v>
      </c>
      <c r="D158" s="104">
        <v>2</v>
      </c>
      <c r="E158" s="105">
        <v>3</v>
      </c>
      <c r="F158" s="85" t="str">
        <f t="shared" si="10"/>
        <v>A623</v>
      </c>
      <c r="G158" s="85">
        <v>98.93</v>
      </c>
      <c r="H158" s="85">
        <v>108.44532322777088</v>
      </c>
      <c r="I158" s="85">
        <f t="shared" si="11"/>
        <v>120.69460000000001</v>
      </c>
      <c r="J158" s="85"/>
      <c r="K158" s="512"/>
      <c r="L158" s="510"/>
    </row>
    <row r="159" spans="1:12" ht="15" customHeight="1" x14ac:dyDescent="0.25">
      <c r="A159" s="511"/>
      <c r="B159" s="511"/>
      <c r="C159" s="95" t="s">
        <v>27</v>
      </c>
      <c r="D159" s="104">
        <v>2</v>
      </c>
      <c r="E159" s="105">
        <v>4</v>
      </c>
      <c r="F159" s="85" t="str">
        <f t="shared" si="10"/>
        <v>A624</v>
      </c>
      <c r="G159" s="85">
        <v>98.95</v>
      </c>
      <c r="H159" s="85">
        <v>108.46724687544656</v>
      </c>
      <c r="I159" s="85">
        <f t="shared" si="11"/>
        <v>120.71899999999999</v>
      </c>
      <c r="J159" s="85"/>
      <c r="K159" s="512"/>
      <c r="L159" s="510"/>
    </row>
    <row r="160" spans="1:12" ht="15" customHeight="1" x14ac:dyDescent="0.25">
      <c r="A160" s="511"/>
      <c r="B160" s="511"/>
      <c r="C160" s="95" t="s">
        <v>27</v>
      </c>
      <c r="D160" s="104">
        <v>3</v>
      </c>
      <c r="E160" s="105">
        <v>1</v>
      </c>
      <c r="F160" s="85" t="str">
        <f t="shared" si="10"/>
        <v>A631</v>
      </c>
      <c r="G160" s="85">
        <v>89.05</v>
      </c>
      <c r="H160" s="85">
        <v>97.615041275982989</v>
      </c>
      <c r="I160" s="85">
        <f t="shared" si="11"/>
        <v>108.64099999999999</v>
      </c>
      <c r="J160" s="85"/>
      <c r="K160" s="512"/>
      <c r="L160" s="510">
        <v>29.85</v>
      </c>
    </row>
    <row r="161" spans="1:12" ht="15" customHeight="1" x14ac:dyDescent="0.25">
      <c r="A161" s="511"/>
      <c r="B161" s="511"/>
      <c r="C161" s="95" t="s">
        <v>27</v>
      </c>
      <c r="D161" s="104">
        <v>3</v>
      </c>
      <c r="E161" s="105">
        <v>2</v>
      </c>
      <c r="F161" s="85" t="str">
        <f t="shared" si="10"/>
        <v>A632</v>
      </c>
      <c r="G161" s="85">
        <v>89.05</v>
      </c>
      <c r="H161" s="85">
        <v>97.615041275982989</v>
      </c>
      <c r="I161" s="85">
        <f t="shared" si="11"/>
        <v>108.64099999999999</v>
      </c>
      <c r="J161" s="85"/>
      <c r="K161" s="512"/>
      <c r="L161" s="510"/>
    </row>
    <row r="162" spans="1:12" ht="15" customHeight="1" x14ac:dyDescent="0.25">
      <c r="A162" s="511"/>
      <c r="B162" s="511"/>
      <c r="C162" s="95" t="s">
        <v>27</v>
      </c>
      <c r="D162" s="104">
        <v>3</v>
      </c>
      <c r="E162" s="105">
        <v>3</v>
      </c>
      <c r="F162" s="85" t="str">
        <f t="shared" si="10"/>
        <v>A633</v>
      </c>
      <c r="G162" s="85">
        <v>97.09</v>
      </c>
      <c r="H162" s="85">
        <v>106.42834764160796</v>
      </c>
      <c r="I162" s="85">
        <f t="shared" si="11"/>
        <v>118.4498</v>
      </c>
      <c r="J162" s="85"/>
      <c r="K162" s="512"/>
      <c r="L162" s="510"/>
    </row>
    <row r="163" spans="1:12" ht="15" customHeight="1" x14ac:dyDescent="0.25">
      <c r="A163" s="511"/>
      <c r="B163" s="511"/>
      <c r="C163" s="95" t="s">
        <v>27</v>
      </c>
      <c r="D163" s="104">
        <v>3</v>
      </c>
      <c r="E163" s="105">
        <v>4</v>
      </c>
      <c r="F163" s="85" t="str">
        <f t="shared" si="10"/>
        <v>A634</v>
      </c>
      <c r="G163" s="85">
        <v>97.09</v>
      </c>
      <c r="H163" s="85">
        <v>106.42834764160796</v>
      </c>
      <c r="I163" s="85">
        <f t="shared" si="11"/>
        <v>118.4498</v>
      </c>
      <c r="J163" s="85"/>
      <c r="K163" s="512"/>
      <c r="L163" s="510"/>
    </row>
    <row r="164" spans="1:12" ht="15" customHeight="1" x14ac:dyDescent="0.25">
      <c r="A164" s="511"/>
      <c r="B164" s="511"/>
      <c r="C164" s="95" t="s">
        <v>27</v>
      </c>
      <c r="D164" s="104">
        <v>4</v>
      </c>
      <c r="E164" s="105">
        <v>1</v>
      </c>
      <c r="F164" s="85" t="str">
        <f t="shared" si="10"/>
        <v>A641</v>
      </c>
      <c r="G164" s="85">
        <v>89.12</v>
      </c>
      <c r="H164" s="85">
        <v>97.691774042847882</v>
      </c>
      <c r="I164" s="85">
        <f t="shared" si="11"/>
        <v>108.7264</v>
      </c>
      <c r="J164" s="85"/>
      <c r="K164" s="512"/>
      <c r="L164" s="510">
        <v>29.85</v>
      </c>
    </row>
    <row r="165" spans="1:12" ht="15" customHeight="1" x14ac:dyDescent="0.25">
      <c r="A165" s="511"/>
      <c r="B165" s="511"/>
      <c r="C165" s="95" t="s">
        <v>27</v>
      </c>
      <c r="D165" s="104">
        <v>4</v>
      </c>
      <c r="E165" s="105">
        <v>2</v>
      </c>
      <c r="F165" s="85" t="str">
        <f t="shared" si="10"/>
        <v>A642</v>
      </c>
      <c r="G165" s="85">
        <v>90.52</v>
      </c>
      <c r="H165" s="85">
        <v>99.22642938014576</v>
      </c>
      <c r="I165" s="85">
        <f t="shared" si="11"/>
        <v>110.4344</v>
      </c>
      <c r="J165" s="85"/>
      <c r="K165" s="512"/>
      <c r="L165" s="510"/>
    </row>
    <row r="166" spans="1:12" ht="15" customHeight="1" x14ac:dyDescent="0.25">
      <c r="A166" s="511"/>
      <c r="B166" s="511"/>
      <c r="C166" s="95" t="s">
        <v>27</v>
      </c>
      <c r="D166" s="104">
        <v>4</v>
      </c>
      <c r="E166" s="105">
        <v>3</v>
      </c>
      <c r="F166" s="85" t="str">
        <f t="shared" si="10"/>
        <v>A643</v>
      </c>
      <c r="G166" s="85">
        <v>98.57</v>
      </c>
      <c r="H166" s="85">
        <v>108.05069756960856</v>
      </c>
      <c r="I166" s="85">
        <f t="shared" si="11"/>
        <v>120.25539999999999</v>
      </c>
      <c r="J166" s="85"/>
      <c r="K166" s="512"/>
      <c r="L166" s="510"/>
    </row>
    <row r="167" spans="1:12" ht="15" customHeight="1" x14ac:dyDescent="0.25">
      <c r="A167" s="511"/>
      <c r="B167" s="511"/>
      <c r="C167" s="95" t="s">
        <v>27</v>
      </c>
      <c r="D167" s="104">
        <v>4</v>
      </c>
      <c r="E167" s="105">
        <v>4</v>
      </c>
      <c r="F167" s="85" t="str">
        <f t="shared" si="10"/>
        <v>A644</v>
      </c>
      <c r="G167" s="85">
        <v>97.17</v>
      </c>
      <c r="H167" s="85">
        <v>106.5160422323107</v>
      </c>
      <c r="I167" s="85">
        <f t="shared" si="11"/>
        <v>118.5474</v>
      </c>
      <c r="J167" s="85"/>
      <c r="K167" s="512"/>
      <c r="L167" s="510"/>
    </row>
    <row r="168" spans="1:12" ht="15" customHeight="1" x14ac:dyDescent="0.25">
      <c r="A168" s="83" t="s">
        <v>4</v>
      </c>
      <c r="B168" s="83"/>
      <c r="C168" s="83"/>
      <c r="D168" s="103"/>
      <c r="E168" s="103"/>
      <c r="F168" s="83"/>
      <c r="G168" s="83">
        <f>SUM(G148:G167)</f>
        <v>1819.4599999999998</v>
      </c>
      <c r="H168" s="83"/>
      <c r="I168" s="83">
        <f>SUM(I148:I167)</f>
        <v>2219.7412000000004</v>
      </c>
      <c r="J168" s="83"/>
      <c r="K168" s="83">
        <f>SUM(K148)</f>
        <v>1994.46</v>
      </c>
      <c r="L168" s="83">
        <f>L164+L160+L156+L152+L148</f>
        <v>174.15</v>
      </c>
    </row>
    <row r="169" spans="1:12" ht="15" customHeight="1" x14ac:dyDescent="0.25">
      <c r="A169" s="97"/>
      <c r="G169" s="87">
        <f>K168/G168</f>
        <v>1.0961823837841997</v>
      </c>
      <c r="L169" s="98">
        <f>(L148+L152+L156+L160+L164)/K168</f>
        <v>8.7316867723594344E-2</v>
      </c>
    </row>
    <row r="170" spans="1:12" ht="15" customHeight="1" x14ac:dyDescent="0.25">
      <c r="A170" s="97"/>
    </row>
    <row r="171" spans="1:12" ht="15" customHeight="1" x14ac:dyDescent="0.25">
      <c r="A171" s="97"/>
    </row>
    <row r="172" spans="1:12" ht="39.950000000000003" customHeight="1" x14ac:dyDescent="0.25">
      <c r="A172" s="82" t="s">
        <v>9</v>
      </c>
      <c r="B172" s="83" t="s">
        <v>7</v>
      </c>
      <c r="C172" s="82" t="s">
        <v>8</v>
      </c>
      <c r="D172" s="102" t="s">
        <v>10</v>
      </c>
      <c r="E172" s="103" t="s">
        <v>2</v>
      </c>
      <c r="F172" s="82" t="s">
        <v>104</v>
      </c>
      <c r="G172" s="82" t="s">
        <v>3</v>
      </c>
      <c r="H172" s="82" t="s">
        <v>102</v>
      </c>
      <c r="I172" s="82" t="s">
        <v>101</v>
      </c>
      <c r="J172" s="82" t="s">
        <v>103</v>
      </c>
      <c r="K172" s="83" t="s">
        <v>6</v>
      </c>
      <c r="L172" s="83" t="s">
        <v>1</v>
      </c>
    </row>
    <row r="173" spans="1:12" ht="15" customHeight="1" x14ac:dyDescent="0.25">
      <c r="A173" s="511" t="s">
        <v>24</v>
      </c>
      <c r="B173" s="511" t="s">
        <v>25</v>
      </c>
      <c r="C173" s="95" t="s">
        <v>28</v>
      </c>
      <c r="D173" s="104">
        <v>0</v>
      </c>
      <c r="E173" s="105">
        <v>1</v>
      </c>
      <c r="F173" s="85" t="str">
        <f>LEFT(C173,2)&amp;D173&amp;E173</f>
        <v>A701</v>
      </c>
      <c r="G173" s="85">
        <v>98.17</v>
      </c>
      <c r="H173" s="85">
        <v>107.61045029101562</v>
      </c>
      <c r="I173" s="85">
        <f>G173*1.22</f>
        <v>119.76739999999999</v>
      </c>
      <c r="J173" s="85">
        <v>31.597899999999999</v>
      </c>
      <c r="K173" s="512">
        <f>SUM(H173:H192)</f>
        <v>1994.46</v>
      </c>
      <c r="L173" s="510">
        <v>48.87</v>
      </c>
    </row>
    <row r="174" spans="1:12" ht="15" customHeight="1" x14ac:dyDescent="0.25">
      <c r="A174" s="511"/>
      <c r="B174" s="511"/>
      <c r="C174" s="95" t="s">
        <v>28</v>
      </c>
      <c r="D174" s="104">
        <v>0</v>
      </c>
      <c r="E174" s="105">
        <v>2</v>
      </c>
      <c r="F174" s="85" t="str">
        <f t="shared" ref="F174:F192" si="12">LEFT(C174,2)&amp;D174&amp;E174</f>
        <v>A702</v>
      </c>
      <c r="G174" s="85">
        <v>97.98</v>
      </c>
      <c r="H174" s="85">
        <v>107.40217907215759</v>
      </c>
      <c r="I174" s="85">
        <f t="shared" ref="I174:I192" si="13">G174*1.22</f>
        <v>119.5356</v>
      </c>
      <c r="J174" s="85">
        <v>50.705300000000001</v>
      </c>
      <c r="K174" s="512"/>
      <c r="L174" s="510"/>
    </row>
    <row r="175" spans="1:12" ht="15" customHeight="1" x14ac:dyDescent="0.25">
      <c r="A175" s="511"/>
      <c r="B175" s="511"/>
      <c r="C175" s="95" t="s">
        <v>28</v>
      </c>
      <c r="D175" s="104">
        <v>0</v>
      </c>
      <c r="E175" s="105">
        <v>3</v>
      </c>
      <c r="F175" s="85" t="str">
        <f t="shared" si="12"/>
        <v>A703</v>
      </c>
      <c r="G175" s="85">
        <v>89.96</v>
      </c>
      <c r="H175" s="85">
        <v>98.610941307729092</v>
      </c>
      <c r="I175" s="85">
        <f t="shared" si="13"/>
        <v>109.75119999999998</v>
      </c>
      <c r="J175" s="85">
        <v>50.503900000000002</v>
      </c>
      <c r="K175" s="512"/>
      <c r="L175" s="510"/>
    </row>
    <row r="176" spans="1:12" ht="15" customHeight="1" x14ac:dyDescent="0.25">
      <c r="A176" s="511"/>
      <c r="B176" s="511"/>
      <c r="C176" s="95" t="s">
        <v>28</v>
      </c>
      <c r="D176" s="104">
        <v>0</v>
      </c>
      <c r="E176" s="105">
        <v>4</v>
      </c>
      <c r="F176" s="85" t="str">
        <f t="shared" si="12"/>
        <v>A704</v>
      </c>
      <c r="G176" s="85">
        <v>60.98</v>
      </c>
      <c r="H176" s="85">
        <v>66.844099610330375</v>
      </c>
      <c r="I176" s="85">
        <f t="shared" si="13"/>
        <v>74.395599999999988</v>
      </c>
      <c r="J176" s="85">
        <v>23.799600000000002</v>
      </c>
      <c r="K176" s="512"/>
      <c r="L176" s="510"/>
    </row>
    <row r="177" spans="1:12" ht="15" customHeight="1" x14ac:dyDescent="0.25">
      <c r="A177" s="511"/>
      <c r="B177" s="511"/>
      <c r="C177" s="95" t="s">
        <v>28</v>
      </c>
      <c r="D177" s="104">
        <v>1</v>
      </c>
      <c r="E177" s="105">
        <v>1</v>
      </c>
      <c r="F177" s="85" t="str">
        <f t="shared" si="12"/>
        <v>A711</v>
      </c>
      <c r="G177" s="85">
        <v>97.09</v>
      </c>
      <c r="H177" s="85">
        <v>106.42659283645419</v>
      </c>
      <c r="I177" s="85">
        <f t="shared" si="13"/>
        <v>118.4498</v>
      </c>
      <c r="J177" s="85"/>
      <c r="K177" s="512"/>
      <c r="L177" s="510">
        <v>35.729999999999997</v>
      </c>
    </row>
    <row r="178" spans="1:12" ht="15" customHeight="1" x14ac:dyDescent="0.25">
      <c r="A178" s="511"/>
      <c r="B178" s="511"/>
      <c r="C178" s="95" t="s">
        <v>28</v>
      </c>
      <c r="D178" s="104">
        <v>1</v>
      </c>
      <c r="E178" s="105">
        <v>2</v>
      </c>
      <c r="F178" s="85" t="str">
        <f t="shared" si="12"/>
        <v>A712</v>
      </c>
      <c r="G178" s="85">
        <v>97.06</v>
      </c>
      <c r="H178" s="85">
        <v>106.39370790716082</v>
      </c>
      <c r="I178" s="85">
        <f t="shared" si="13"/>
        <v>118.4132</v>
      </c>
      <c r="J178" s="85"/>
      <c r="K178" s="512"/>
      <c r="L178" s="510"/>
    </row>
    <row r="179" spans="1:12" ht="15" customHeight="1" x14ac:dyDescent="0.25">
      <c r="A179" s="511"/>
      <c r="B179" s="511"/>
      <c r="C179" s="95" t="s">
        <v>28</v>
      </c>
      <c r="D179" s="104">
        <v>1</v>
      </c>
      <c r="E179" s="105">
        <v>3</v>
      </c>
      <c r="F179" s="85" t="str">
        <f t="shared" si="12"/>
        <v>A713</v>
      </c>
      <c r="G179" s="85">
        <v>89.05</v>
      </c>
      <c r="H179" s="85">
        <v>97.613431785830102</v>
      </c>
      <c r="I179" s="85">
        <f t="shared" si="13"/>
        <v>108.64099999999999</v>
      </c>
      <c r="J179" s="85"/>
      <c r="K179" s="512"/>
      <c r="L179" s="510"/>
    </row>
    <row r="180" spans="1:12" ht="15" customHeight="1" x14ac:dyDescent="0.25">
      <c r="A180" s="511"/>
      <c r="B180" s="511"/>
      <c r="C180" s="95" t="s">
        <v>28</v>
      </c>
      <c r="D180" s="104">
        <v>1</v>
      </c>
      <c r="E180" s="105">
        <v>4</v>
      </c>
      <c r="F180" s="85" t="str">
        <f t="shared" si="12"/>
        <v>A714</v>
      </c>
      <c r="G180" s="85">
        <v>61.82</v>
      </c>
      <c r="H180" s="85">
        <v>67.764877630544831</v>
      </c>
      <c r="I180" s="85">
        <f t="shared" si="13"/>
        <v>75.420400000000001</v>
      </c>
      <c r="J180" s="85"/>
      <c r="K180" s="512"/>
      <c r="L180" s="510"/>
    </row>
    <row r="181" spans="1:12" ht="15" customHeight="1" x14ac:dyDescent="0.25">
      <c r="A181" s="511"/>
      <c r="B181" s="511"/>
      <c r="C181" s="95" t="s">
        <v>28</v>
      </c>
      <c r="D181" s="104">
        <v>2</v>
      </c>
      <c r="E181" s="105">
        <v>1</v>
      </c>
      <c r="F181" s="85" t="str">
        <f t="shared" si="12"/>
        <v>A721</v>
      </c>
      <c r="G181" s="85">
        <v>98.95</v>
      </c>
      <c r="H181" s="85">
        <v>108.46545845264333</v>
      </c>
      <c r="I181" s="85">
        <f t="shared" si="13"/>
        <v>120.71899999999999</v>
      </c>
      <c r="J181" s="85"/>
      <c r="K181" s="512"/>
      <c r="L181" s="510">
        <v>29.85</v>
      </c>
    </row>
    <row r="182" spans="1:12" ht="15" customHeight="1" x14ac:dyDescent="0.25">
      <c r="A182" s="511"/>
      <c r="B182" s="511"/>
      <c r="C182" s="95" t="s">
        <v>28</v>
      </c>
      <c r="D182" s="104">
        <v>2</v>
      </c>
      <c r="E182" s="105">
        <v>2</v>
      </c>
      <c r="F182" s="85" t="str">
        <f t="shared" si="12"/>
        <v>A722</v>
      </c>
      <c r="G182" s="85">
        <v>98.95</v>
      </c>
      <c r="H182" s="85">
        <v>108.46545845264333</v>
      </c>
      <c r="I182" s="85">
        <f t="shared" si="13"/>
        <v>120.71899999999999</v>
      </c>
      <c r="J182" s="85"/>
      <c r="K182" s="512"/>
      <c r="L182" s="510"/>
    </row>
    <row r="183" spans="1:12" ht="15" customHeight="1" x14ac:dyDescent="0.25">
      <c r="A183" s="511"/>
      <c r="B183" s="511"/>
      <c r="C183" s="95" t="s">
        <v>28</v>
      </c>
      <c r="D183" s="104">
        <v>2</v>
      </c>
      <c r="E183" s="105">
        <v>3</v>
      </c>
      <c r="F183" s="85" t="str">
        <f t="shared" si="12"/>
        <v>A723</v>
      </c>
      <c r="G183" s="85">
        <v>90.91</v>
      </c>
      <c r="H183" s="85">
        <v>99.652297402019258</v>
      </c>
      <c r="I183" s="85">
        <f t="shared" si="13"/>
        <v>110.91019999999999</v>
      </c>
      <c r="J183" s="85"/>
      <c r="K183" s="512"/>
      <c r="L183" s="510"/>
    </row>
    <row r="184" spans="1:12" ht="15" customHeight="1" x14ac:dyDescent="0.25">
      <c r="A184" s="511"/>
      <c r="B184" s="511"/>
      <c r="C184" s="95" t="s">
        <v>28</v>
      </c>
      <c r="D184" s="104">
        <v>2</v>
      </c>
      <c r="E184" s="105">
        <v>4</v>
      </c>
      <c r="F184" s="85" t="str">
        <f t="shared" si="12"/>
        <v>A724</v>
      </c>
      <c r="G184" s="85">
        <v>90.91</v>
      </c>
      <c r="H184" s="85">
        <v>99.652297402019258</v>
      </c>
      <c r="I184" s="85">
        <f t="shared" si="13"/>
        <v>110.91019999999999</v>
      </c>
      <c r="J184" s="85"/>
      <c r="K184" s="512"/>
      <c r="L184" s="510"/>
    </row>
    <row r="185" spans="1:12" ht="15" customHeight="1" x14ac:dyDescent="0.25">
      <c r="A185" s="511"/>
      <c r="B185" s="511"/>
      <c r="C185" s="95" t="s">
        <v>28</v>
      </c>
      <c r="D185" s="104">
        <v>3</v>
      </c>
      <c r="E185" s="105">
        <v>1</v>
      </c>
      <c r="F185" s="85" t="str">
        <f t="shared" si="12"/>
        <v>A731</v>
      </c>
      <c r="G185" s="85">
        <v>97.09</v>
      </c>
      <c r="H185" s="85">
        <v>106.42659283645419</v>
      </c>
      <c r="I185" s="85">
        <f t="shared" si="13"/>
        <v>118.4498</v>
      </c>
      <c r="J185" s="85"/>
      <c r="K185" s="512"/>
      <c r="L185" s="510">
        <v>29.85</v>
      </c>
    </row>
    <row r="186" spans="1:12" ht="15" customHeight="1" x14ac:dyDescent="0.25">
      <c r="A186" s="511"/>
      <c r="B186" s="511"/>
      <c r="C186" s="95" t="s">
        <v>28</v>
      </c>
      <c r="D186" s="104">
        <v>3</v>
      </c>
      <c r="E186" s="105">
        <v>2</v>
      </c>
      <c r="F186" s="85" t="str">
        <f t="shared" si="12"/>
        <v>A732</v>
      </c>
      <c r="G186" s="85">
        <v>97.09</v>
      </c>
      <c r="H186" s="85">
        <v>106.42659283645419</v>
      </c>
      <c r="I186" s="85">
        <f t="shared" si="13"/>
        <v>118.4498</v>
      </c>
      <c r="J186" s="85"/>
      <c r="K186" s="512"/>
      <c r="L186" s="510"/>
    </row>
    <row r="187" spans="1:12" ht="15" customHeight="1" x14ac:dyDescent="0.25">
      <c r="A187" s="511"/>
      <c r="B187" s="511"/>
      <c r="C187" s="95" t="s">
        <v>28</v>
      </c>
      <c r="D187" s="104">
        <v>3</v>
      </c>
      <c r="E187" s="105">
        <v>3</v>
      </c>
      <c r="F187" s="85" t="str">
        <f t="shared" si="12"/>
        <v>A733</v>
      </c>
      <c r="G187" s="85">
        <v>89.05</v>
      </c>
      <c r="H187" s="85">
        <v>97.613431785830102</v>
      </c>
      <c r="I187" s="85">
        <f t="shared" si="13"/>
        <v>108.64099999999999</v>
      </c>
      <c r="J187" s="85"/>
      <c r="K187" s="512"/>
      <c r="L187" s="510"/>
    </row>
    <row r="188" spans="1:12" ht="15" customHeight="1" x14ac:dyDescent="0.25">
      <c r="A188" s="511"/>
      <c r="B188" s="511"/>
      <c r="C188" s="95" t="s">
        <v>28</v>
      </c>
      <c r="D188" s="104">
        <v>3</v>
      </c>
      <c r="E188" s="105">
        <v>4</v>
      </c>
      <c r="F188" s="85" t="str">
        <f t="shared" si="12"/>
        <v>A734</v>
      </c>
      <c r="G188" s="85">
        <v>89.05</v>
      </c>
      <c r="H188" s="85">
        <v>97.613431785830102</v>
      </c>
      <c r="I188" s="85">
        <f t="shared" si="13"/>
        <v>108.64099999999999</v>
      </c>
      <c r="J188" s="85"/>
      <c r="K188" s="512"/>
      <c r="L188" s="510"/>
    </row>
    <row r="189" spans="1:12" ht="15" customHeight="1" x14ac:dyDescent="0.25">
      <c r="A189" s="511"/>
      <c r="B189" s="511"/>
      <c r="C189" s="95" t="s">
        <v>28</v>
      </c>
      <c r="D189" s="104">
        <v>4</v>
      </c>
      <c r="E189" s="105">
        <v>1</v>
      </c>
      <c r="F189" s="85" t="str">
        <f t="shared" si="12"/>
        <v>A741</v>
      </c>
      <c r="G189" s="85">
        <v>97.17</v>
      </c>
      <c r="H189" s="85">
        <v>106.51428598123651</v>
      </c>
      <c r="I189" s="85">
        <f t="shared" si="13"/>
        <v>118.5474</v>
      </c>
      <c r="J189" s="85"/>
      <c r="K189" s="512"/>
      <c r="L189" s="510">
        <v>29.85</v>
      </c>
    </row>
    <row r="190" spans="1:12" ht="15" customHeight="1" x14ac:dyDescent="0.25">
      <c r="A190" s="511"/>
      <c r="B190" s="511"/>
      <c r="C190" s="95" t="s">
        <v>28</v>
      </c>
      <c r="D190" s="104">
        <v>4</v>
      </c>
      <c r="E190" s="105">
        <v>2</v>
      </c>
      <c r="F190" s="85" t="str">
        <f t="shared" si="12"/>
        <v>A742</v>
      </c>
      <c r="G190" s="85">
        <v>98.57</v>
      </c>
      <c r="H190" s="85">
        <v>108.04891601492726</v>
      </c>
      <c r="I190" s="85">
        <f t="shared" si="13"/>
        <v>120.25539999999999</v>
      </c>
      <c r="J190" s="85"/>
      <c r="K190" s="512"/>
      <c r="L190" s="510"/>
    </row>
    <row r="191" spans="1:12" ht="15" customHeight="1" x14ac:dyDescent="0.25">
      <c r="A191" s="511"/>
      <c r="B191" s="511"/>
      <c r="C191" s="95" t="s">
        <v>28</v>
      </c>
      <c r="D191" s="104">
        <v>4</v>
      </c>
      <c r="E191" s="105">
        <v>3</v>
      </c>
      <c r="F191" s="85" t="str">
        <f t="shared" si="12"/>
        <v>A743</v>
      </c>
      <c r="G191" s="85">
        <v>90.52</v>
      </c>
      <c r="H191" s="85">
        <v>99.224793321205397</v>
      </c>
      <c r="I191" s="85">
        <f t="shared" si="13"/>
        <v>110.4344</v>
      </c>
      <c r="J191" s="85"/>
      <c r="K191" s="512"/>
      <c r="L191" s="510"/>
    </row>
    <row r="192" spans="1:12" ht="15" customHeight="1" x14ac:dyDescent="0.25">
      <c r="A192" s="511"/>
      <c r="B192" s="511"/>
      <c r="C192" s="95" t="s">
        <v>28</v>
      </c>
      <c r="D192" s="104">
        <v>4</v>
      </c>
      <c r="E192" s="105">
        <v>4</v>
      </c>
      <c r="F192" s="85" t="str">
        <f t="shared" si="12"/>
        <v>A744</v>
      </c>
      <c r="G192" s="85">
        <v>89.12</v>
      </c>
      <c r="H192" s="85">
        <v>97.69016328751465</v>
      </c>
      <c r="I192" s="85">
        <f t="shared" si="13"/>
        <v>108.7264</v>
      </c>
      <c r="J192" s="85"/>
      <c r="K192" s="512"/>
      <c r="L192" s="510"/>
    </row>
    <row r="193" spans="1:12" ht="15" customHeight="1" x14ac:dyDescent="0.25">
      <c r="A193" s="83" t="s">
        <v>4</v>
      </c>
      <c r="B193" s="83"/>
      <c r="C193" s="83"/>
      <c r="D193" s="103"/>
      <c r="E193" s="103"/>
      <c r="F193" s="83"/>
      <c r="G193" s="83">
        <f>SUM(G173:G192)</f>
        <v>1819.4899999999998</v>
      </c>
      <c r="H193" s="83"/>
      <c r="I193" s="83">
        <f>SUM(I173:I192)</f>
        <v>2219.7778000000003</v>
      </c>
      <c r="J193" s="83"/>
      <c r="K193" s="83">
        <f>SUM(K173)</f>
        <v>1994.46</v>
      </c>
      <c r="L193" s="83">
        <f>L189+L185+L181+L177+L173</f>
        <v>174.15</v>
      </c>
    </row>
    <row r="194" spans="1:12" ht="15" customHeight="1" x14ac:dyDescent="0.25">
      <c r="A194" s="97"/>
      <c r="G194" s="87">
        <f>K193/G193</f>
        <v>1.0961643097791141</v>
      </c>
      <c r="L194" s="98">
        <f>(L173+L177+L181+L185+L189)/K193</f>
        <v>8.7316867723594344E-2</v>
      </c>
    </row>
    <row r="195" spans="1:12" ht="15" customHeight="1" x14ac:dyDescent="0.25">
      <c r="A195" s="97"/>
    </row>
    <row r="196" spans="1:12" ht="15" customHeight="1" x14ac:dyDescent="0.25">
      <c r="A196" s="97"/>
    </row>
    <row r="197" spans="1:12" ht="39.950000000000003" customHeight="1" x14ac:dyDescent="0.25">
      <c r="A197" s="82" t="s">
        <v>9</v>
      </c>
      <c r="B197" s="83" t="s">
        <v>7</v>
      </c>
      <c r="C197" s="82" t="s">
        <v>8</v>
      </c>
      <c r="D197" s="102" t="s">
        <v>10</v>
      </c>
      <c r="E197" s="103" t="s">
        <v>2</v>
      </c>
      <c r="F197" s="82" t="s">
        <v>104</v>
      </c>
      <c r="G197" s="82" t="s">
        <v>3</v>
      </c>
      <c r="H197" s="82" t="s">
        <v>102</v>
      </c>
      <c r="I197" s="82" t="s">
        <v>101</v>
      </c>
      <c r="J197" s="82" t="s">
        <v>103</v>
      </c>
      <c r="K197" s="83" t="s">
        <v>6</v>
      </c>
      <c r="L197" s="83" t="s">
        <v>1</v>
      </c>
    </row>
    <row r="198" spans="1:12" ht="15" customHeight="1" x14ac:dyDescent="0.25">
      <c r="A198" s="511" t="s">
        <v>24</v>
      </c>
      <c r="B198" s="511" t="s">
        <v>25</v>
      </c>
      <c r="C198" s="95" t="s">
        <v>29</v>
      </c>
      <c r="D198" s="104">
        <v>0</v>
      </c>
      <c r="E198" s="105">
        <v>1</v>
      </c>
      <c r="F198" s="85" t="str">
        <f>LEFT(C198,2)&amp;D198&amp;E198</f>
        <v>A801</v>
      </c>
      <c r="G198" s="85">
        <v>60.98</v>
      </c>
      <c r="H198" s="85">
        <v>66.556564006124674</v>
      </c>
      <c r="I198" s="85">
        <f>G198*1.22</f>
        <v>74.395599999999988</v>
      </c>
      <c r="J198" s="85">
        <v>23.800799999999999</v>
      </c>
      <c r="K198" s="512">
        <f>SUM(H198:H217)</f>
        <v>2124.1999999999998</v>
      </c>
      <c r="L198" s="510">
        <v>48.87</v>
      </c>
    </row>
    <row r="199" spans="1:12" ht="15" customHeight="1" x14ac:dyDescent="0.25">
      <c r="A199" s="511"/>
      <c r="B199" s="511"/>
      <c r="C199" s="95" t="s">
        <v>29</v>
      </c>
      <c r="D199" s="104">
        <v>0</v>
      </c>
      <c r="E199" s="105">
        <v>2</v>
      </c>
      <c r="F199" s="85" t="str">
        <f t="shared" ref="F199:F217" si="14">LEFT(C199,2)&amp;D199&amp;E199</f>
        <v>A802</v>
      </c>
      <c r="G199" s="85">
        <v>89.96</v>
      </c>
      <c r="H199" s="85">
        <v>98.186757920481725</v>
      </c>
      <c r="I199" s="85">
        <f t="shared" ref="I199:I217" si="15">G199*1.22</f>
        <v>109.75119999999998</v>
      </c>
      <c r="J199" s="85">
        <v>50.507800000000003</v>
      </c>
      <c r="K199" s="512"/>
      <c r="L199" s="510"/>
    </row>
    <row r="200" spans="1:12" ht="15" customHeight="1" x14ac:dyDescent="0.25">
      <c r="A200" s="511"/>
      <c r="B200" s="511"/>
      <c r="C200" s="95" t="s">
        <v>29</v>
      </c>
      <c r="D200" s="104">
        <v>0</v>
      </c>
      <c r="E200" s="105">
        <v>3</v>
      </c>
      <c r="F200" s="85" t="str">
        <f t="shared" si="14"/>
        <v>A803</v>
      </c>
      <c r="G200" s="85">
        <v>110.14</v>
      </c>
      <c r="H200" s="85">
        <v>120.21220005960269</v>
      </c>
      <c r="I200" s="85">
        <f t="shared" si="15"/>
        <v>134.3708</v>
      </c>
      <c r="J200" s="85">
        <v>59.482100000000003</v>
      </c>
      <c r="K200" s="512"/>
      <c r="L200" s="510"/>
    </row>
    <row r="201" spans="1:12" ht="15" customHeight="1" x14ac:dyDescent="0.25">
      <c r="A201" s="511"/>
      <c r="B201" s="511"/>
      <c r="C201" s="95" t="s">
        <v>29</v>
      </c>
      <c r="D201" s="104">
        <v>0</v>
      </c>
      <c r="E201" s="105">
        <v>4</v>
      </c>
      <c r="F201" s="85" t="str">
        <f t="shared" si="14"/>
        <v>A804</v>
      </c>
      <c r="G201" s="85">
        <v>110.32</v>
      </c>
      <c r="H201" s="85">
        <v>120.40866089136887</v>
      </c>
      <c r="I201" s="85">
        <f t="shared" si="15"/>
        <v>134.59039999999999</v>
      </c>
      <c r="J201" s="85">
        <v>50.038899999999998</v>
      </c>
      <c r="K201" s="512"/>
      <c r="L201" s="510"/>
    </row>
    <row r="202" spans="1:12" ht="15" customHeight="1" x14ac:dyDescent="0.25">
      <c r="A202" s="511"/>
      <c r="B202" s="511"/>
      <c r="C202" s="95" t="s">
        <v>29</v>
      </c>
      <c r="D202" s="104">
        <v>1</v>
      </c>
      <c r="E202" s="105">
        <v>1</v>
      </c>
      <c r="F202" s="85" t="str">
        <f t="shared" si="14"/>
        <v>A811</v>
      </c>
      <c r="G202" s="85">
        <v>61.82</v>
      </c>
      <c r="H202" s="85">
        <v>67.473381221033577</v>
      </c>
      <c r="I202" s="85">
        <f t="shared" si="15"/>
        <v>75.420400000000001</v>
      </c>
      <c r="J202" s="85"/>
      <c r="K202" s="512"/>
      <c r="L202" s="510">
        <v>35.729999999999997</v>
      </c>
    </row>
    <row r="203" spans="1:12" ht="15" customHeight="1" x14ac:dyDescent="0.25">
      <c r="A203" s="511"/>
      <c r="B203" s="511"/>
      <c r="C203" s="95" t="s">
        <v>29</v>
      </c>
      <c r="D203" s="104">
        <v>1</v>
      </c>
      <c r="E203" s="105">
        <v>2</v>
      </c>
      <c r="F203" s="85" t="str">
        <f t="shared" si="14"/>
        <v>A812</v>
      </c>
      <c r="G203" s="85">
        <v>89.05</v>
      </c>
      <c r="H203" s="85">
        <v>97.193539270997093</v>
      </c>
      <c r="I203" s="85">
        <f t="shared" si="15"/>
        <v>108.64099999999999</v>
      </c>
      <c r="J203" s="85"/>
      <c r="K203" s="512"/>
      <c r="L203" s="510"/>
    </row>
    <row r="204" spans="1:12" ht="15" customHeight="1" x14ac:dyDescent="0.25">
      <c r="A204" s="511"/>
      <c r="B204" s="511"/>
      <c r="C204" s="95" t="s">
        <v>29</v>
      </c>
      <c r="D204" s="104">
        <v>1</v>
      </c>
      <c r="E204" s="105">
        <v>3</v>
      </c>
      <c r="F204" s="85" t="str">
        <f t="shared" si="14"/>
        <v>A813</v>
      </c>
      <c r="G204" s="85">
        <v>110.14</v>
      </c>
      <c r="H204" s="85">
        <v>120.21220005960269</v>
      </c>
      <c r="I204" s="85">
        <f t="shared" si="15"/>
        <v>134.3708</v>
      </c>
      <c r="J204" s="85"/>
      <c r="K204" s="512"/>
      <c r="L204" s="510"/>
    </row>
    <row r="205" spans="1:12" ht="15" customHeight="1" x14ac:dyDescent="0.25">
      <c r="A205" s="511"/>
      <c r="B205" s="511"/>
      <c r="C205" s="95" t="s">
        <v>29</v>
      </c>
      <c r="D205" s="104">
        <v>1</v>
      </c>
      <c r="E205" s="105">
        <v>4</v>
      </c>
      <c r="F205" s="85" t="str">
        <f t="shared" si="14"/>
        <v>A814</v>
      </c>
      <c r="G205" s="85">
        <v>110.61</v>
      </c>
      <c r="H205" s="85">
        <v>120.72518112032553</v>
      </c>
      <c r="I205" s="85">
        <f t="shared" si="15"/>
        <v>134.9442</v>
      </c>
      <c r="J205" s="85"/>
      <c r="K205" s="512"/>
      <c r="L205" s="510"/>
    </row>
    <row r="206" spans="1:12" ht="15" customHeight="1" x14ac:dyDescent="0.25">
      <c r="A206" s="511"/>
      <c r="B206" s="511"/>
      <c r="C206" s="95" t="s">
        <v>29</v>
      </c>
      <c r="D206" s="104">
        <v>2</v>
      </c>
      <c r="E206" s="105">
        <v>1</v>
      </c>
      <c r="F206" s="85" t="str">
        <f t="shared" si="14"/>
        <v>A821</v>
      </c>
      <c r="G206" s="85">
        <v>90.91</v>
      </c>
      <c r="H206" s="85">
        <v>99.223634532581073</v>
      </c>
      <c r="I206" s="85">
        <f t="shared" si="15"/>
        <v>110.91019999999999</v>
      </c>
      <c r="J206" s="85"/>
      <c r="K206" s="512"/>
      <c r="L206" s="510">
        <v>29.85</v>
      </c>
    </row>
    <row r="207" spans="1:12" ht="15" customHeight="1" x14ac:dyDescent="0.25">
      <c r="A207" s="511"/>
      <c r="B207" s="511"/>
      <c r="C207" s="95" t="s">
        <v>29</v>
      </c>
      <c r="D207" s="104">
        <v>2</v>
      </c>
      <c r="E207" s="105">
        <v>2</v>
      </c>
      <c r="F207" s="85" t="str">
        <f t="shared" si="14"/>
        <v>A822</v>
      </c>
      <c r="G207" s="85">
        <v>90.91</v>
      </c>
      <c r="H207" s="85">
        <v>99.223634532581073</v>
      </c>
      <c r="I207" s="85">
        <f t="shared" si="15"/>
        <v>110.91019999999999</v>
      </c>
      <c r="J207" s="85"/>
      <c r="K207" s="512"/>
      <c r="L207" s="510"/>
    </row>
    <row r="208" spans="1:12" ht="15" customHeight="1" x14ac:dyDescent="0.25">
      <c r="A208" s="511"/>
      <c r="B208" s="511"/>
      <c r="C208" s="95" t="s">
        <v>29</v>
      </c>
      <c r="D208" s="104">
        <v>2</v>
      </c>
      <c r="E208" s="105">
        <v>3</v>
      </c>
      <c r="F208" s="85" t="str">
        <f t="shared" si="14"/>
        <v>A823</v>
      </c>
      <c r="G208" s="85">
        <v>112.2</v>
      </c>
      <c r="H208" s="85">
        <v>122.46058513426023</v>
      </c>
      <c r="I208" s="85">
        <f t="shared" si="15"/>
        <v>136.88400000000001</v>
      </c>
      <c r="J208" s="85"/>
      <c r="K208" s="512"/>
      <c r="L208" s="510"/>
    </row>
    <row r="209" spans="1:12" ht="15" customHeight="1" x14ac:dyDescent="0.25">
      <c r="A209" s="511"/>
      <c r="B209" s="511"/>
      <c r="C209" s="95" t="s">
        <v>29</v>
      </c>
      <c r="D209" s="104">
        <v>2</v>
      </c>
      <c r="E209" s="105">
        <v>4</v>
      </c>
      <c r="F209" s="85" t="str">
        <f t="shared" si="14"/>
        <v>A824</v>
      </c>
      <c r="G209" s="85">
        <v>112.2</v>
      </c>
      <c r="H209" s="85">
        <v>122.46058513426023</v>
      </c>
      <c r="I209" s="85">
        <f t="shared" si="15"/>
        <v>136.88400000000001</v>
      </c>
      <c r="J209" s="85"/>
      <c r="K209" s="512"/>
      <c r="L209" s="510"/>
    </row>
    <row r="210" spans="1:12" ht="15" customHeight="1" x14ac:dyDescent="0.25">
      <c r="A210" s="511"/>
      <c r="B210" s="511"/>
      <c r="C210" s="95" t="s">
        <v>29</v>
      </c>
      <c r="D210" s="104">
        <v>3</v>
      </c>
      <c r="E210" s="105">
        <v>1</v>
      </c>
      <c r="F210" s="85" t="str">
        <f t="shared" si="14"/>
        <v>A831</v>
      </c>
      <c r="G210" s="85">
        <v>89.05</v>
      </c>
      <c r="H210" s="85">
        <v>97.193539270997093</v>
      </c>
      <c r="I210" s="85">
        <f t="shared" si="15"/>
        <v>108.64099999999999</v>
      </c>
      <c r="J210" s="85"/>
      <c r="K210" s="512"/>
      <c r="L210" s="510">
        <v>29.85</v>
      </c>
    </row>
    <row r="211" spans="1:12" ht="15" customHeight="1" x14ac:dyDescent="0.25">
      <c r="A211" s="511"/>
      <c r="B211" s="511"/>
      <c r="C211" s="95" t="s">
        <v>29</v>
      </c>
      <c r="D211" s="104">
        <v>3</v>
      </c>
      <c r="E211" s="105">
        <v>2</v>
      </c>
      <c r="F211" s="85" t="str">
        <f t="shared" si="14"/>
        <v>A832</v>
      </c>
      <c r="G211" s="85">
        <v>89.05</v>
      </c>
      <c r="H211" s="85">
        <v>97.193539270997093</v>
      </c>
      <c r="I211" s="85">
        <f t="shared" si="15"/>
        <v>108.64099999999999</v>
      </c>
      <c r="J211" s="85"/>
      <c r="K211" s="512"/>
      <c r="L211" s="510"/>
    </row>
    <row r="212" spans="1:12" ht="15" customHeight="1" x14ac:dyDescent="0.25">
      <c r="A212" s="511"/>
      <c r="B212" s="511"/>
      <c r="C212" s="95" t="s">
        <v>29</v>
      </c>
      <c r="D212" s="104">
        <v>3</v>
      </c>
      <c r="E212" s="105">
        <v>3</v>
      </c>
      <c r="F212" s="85" t="str">
        <f t="shared" si="14"/>
        <v>A833</v>
      </c>
      <c r="G212" s="85">
        <v>110.14</v>
      </c>
      <c r="H212" s="85">
        <v>120.21220005960269</v>
      </c>
      <c r="I212" s="85">
        <f t="shared" si="15"/>
        <v>134.3708</v>
      </c>
      <c r="J212" s="85"/>
      <c r="K212" s="512"/>
      <c r="L212" s="510"/>
    </row>
    <row r="213" spans="1:12" ht="15" customHeight="1" x14ac:dyDescent="0.25">
      <c r="A213" s="511"/>
      <c r="B213" s="511"/>
      <c r="C213" s="95" t="s">
        <v>29</v>
      </c>
      <c r="D213" s="104">
        <v>3</v>
      </c>
      <c r="E213" s="105">
        <v>4</v>
      </c>
      <c r="F213" s="85" t="str">
        <f t="shared" si="14"/>
        <v>A834</v>
      </c>
      <c r="G213" s="85">
        <v>110.14</v>
      </c>
      <c r="H213" s="85">
        <v>120.21220005960269</v>
      </c>
      <c r="I213" s="85">
        <f t="shared" si="15"/>
        <v>134.3708</v>
      </c>
      <c r="J213" s="85"/>
      <c r="K213" s="512"/>
      <c r="L213" s="510"/>
    </row>
    <row r="214" spans="1:12" ht="15" customHeight="1" x14ac:dyDescent="0.25">
      <c r="A214" s="511"/>
      <c r="B214" s="511"/>
      <c r="C214" s="95" t="s">
        <v>29</v>
      </c>
      <c r="D214" s="104">
        <v>4</v>
      </c>
      <c r="E214" s="105">
        <v>1</v>
      </c>
      <c r="F214" s="85" t="str">
        <f t="shared" si="14"/>
        <v>A841</v>
      </c>
      <c r="G214" s="85">
        <v>89.12</v>
      </c>
      <c r="H214" s="85">
        <v>97.269940705572836</v>
      </c>
      <c r="I214" s="85">
        <f t="shared" si="15"/>
        <v>108.7264</v>
      </c>
      <c r="J214" s="85"/>
      <c r="K214" s="512"/>
      <c r="L214" s="510">
        <v>29.85</v>
      </c>
    </row>
    <row r="215" spans="1:12" ht="15" customHeight="1" x14ac:dyDescent="0.25">
      <c r="A215" s="511"/>
      <c r="B215" s="511"/>
      <c r="C215" s="95" t="s">
        <v>29</v>
      </c>
      <c r="D215" s="104">
        <v>4</v>
      </c>
      <c r="E215" s="105">
        <v>2</v>
      </c>
      <c r="F215" s="85" t="str">
        <f t="shared" si="14"/>
        <v>A842</v>
      </c>
      <c r="G215" s="85">
        <v>89.12</v>
      </c>
      <c r="H215" s="85">
        <v>97.269940705572836</v>
      </c>
      <c r="I215" s="85">
        <f t="shared" si="15"/>
        <v>108.7264</v>
      </c>
      <c r="J215" s="85"/>
      <c r="K215" s="512"/>
      <c r="L215" s="510"/>
    </row>
    <row r="216" spans="1:12" ht="15" customHeight="1" x14ac:dyDescent="0.25">
      <c r="A216" s="511"/>
      <c r="B216" s="511"/>
      <c r="C216" s="95" t="s">
        <v>29</v>
      </c>
      <c r="D216" s="104">
        <v>4</v>
      </c>
      <c r="E216" s="105">
        <v>3</v>
      </c>
      <c r="F216" s="85" t="str">
        <f t="shared" si="14"/>
        <v>A843</v>
      </c>
      <c r="G216" s="85">
        <v>110.18</v>
      </c>
      <c r="H216" s="85">
        <v>120.25585802221741</v>
      </c>
      <c r="I216" s="85">
        <f t="shared" si="15"/>
        <v>134.4196</v>
      </c>
      <c r="J216" s="85"/>
      <c r="K216" s="512"/>
      <c r="L216" s="510"/>
    </row>
    <row r="217" spans="1:12" ht="15" customHeight="1" x14ac:dyDescent="0.25">
      <c r="A217" s="511"/>
      <c r="B217" s="511"/>
      <c r="C217" s="95" t="s">
        <v>29</v>
      </c>
      <c r="D217" s="104">
        <v>4</v>
      </c>
      <c r="E217" s="105">
        <v>4</v>
      </c>
      <c r="F217" s="85" t="str">
        <f t="shared" si="14"/>
        <v>A844</v>
      </c>
      <c r="G217" s="85">
        <v>110.18</v>
      </c>
      <c r="H217" s="85">
        <v>120.25585802221741</v>
      </c>
      <c r="I217" s="85">
        <f t="shared" si="15"/>
        <v>134.4196</v>
      </c>
      <c r="J217" s="85"/>
      <c r="K217" s="512"/>
      <c r="L217" s="510"/>
    </row>
    <row r="218" spans="1:12" ht="15" customHeight="1" x14ac:dyDescent="0.25">
      <c r="A218" s="83" t="s">
        <v>4</v>
      </c>
      <c r="B218" s="83"/>
      <c r="C218" s="83"/>
      <c r="D218" s="103"/>
      <c r="E218" s="103"/>
      <c r="F218" s="83"/>
      <c r="G218" s="83">
        <f>SUM(G198:G217)</f>
        <v>1946.2200000000003</v>
      </c>
      <c r="H218" s="83"/>
      <c r="I218" s="83">
        <f>SUM(I198:I217)</f>
        <v>2374.3884000000003</v>
      </c>
      <c r="J218" s="83"/>
      <c r="K218" s="83">
        <f>SUM(K198)</f>
        <v>2124.1999999999998</v>
      </c>
      <c r="L218" s="83">
        <f>L214+L210+L206+L202+L198</f>
        <v>174.15</v>
      </c>
    </row>
    <row r="219" spans="1:12" ht="15" customHeight="1" x14ac:dyDescent="0.25">
      <c r="A219" s="97"/>
      <c r="G219" s="87">
        <f>K218/G218</f>
        <v>1.0914490653677382</v>
      </c>
      <c r="L219" s="98">
        <f>(L198+L202+L206+L210+L214)/K218</f>
        <v>8.1983805668016191E-2</v>
      </c>
    </row>
    <row r="220" spans="1:12" ht="15" customHeight="1" x14ac:dyDescent="0.25"/>
    <row r="221" spans="1:12" ht="39.950000000000003" customHeight="1" x14ac:dyDescent="0.25">
      <c r="A221" s="82" t="s">
        <v>9</v>
      </c>
      <c r="B221" s="83" t="s">
        <v>7</v>
      </c>
      <c r="C221" s="82" t="s">
        <v>8</v>
      </c>
      <c r="D221" s="102" t="s">
        <v>10</v>
      </c>
      <c r="E221" s="103" t="s">
        <v>2</v>
      </c>
      <c r="F221" s="82" t="s">
        <v>104</v>
      </c>
      <c r="G221" s="82" t="s">
        <v>3</v>
      </c>
      <c r="H221" s="82" t="s">
        <v>102</v>
      </c>
      <c r="I221" s="82" t="s">
        <v>101</v>
      </c>
      <c r="J221" s="82" t="s">
        <v>103</v>
      </c>
      <c r="K221" s="83" t="s">
        <v>6</v>
      </c>
      <c r="L221" s="83" t="s">
        <v>1</v>
      </c>
    </row>
    <row r="222" spans="1:12" ht="15" customHeight="1" x14ac:dyDescent="0.25">
      <c r="A222" s="511" t="s">
        <v>31</v>
      </c>
      <c r="B222" s="511" t="s">
        <v>40</v>
      </c>
      <c r="C222" s="95" t="s">
        <v>42</v>
      </c>
      <c r="D222" s="104">
        <v>0</v>
      </c>
      <c r="E222" s="105">
        <v>1</v>
      </c>
      <c r="F222" s="85" t="str">
        <f>LEFT(C222,2)&amp;D222&amp;E222</f>
        <v>B101</v>
      </c>
      <c r="G222" s="85">
        <v>94.92</v>
      </c>
      <c r="H222" s="85">
        <v>105.12823941945527</v>
      </c>
      <c r="I222" s="85">
        <f>G222*1.22</f>
        <v>115.80240000000001</v>
      </c>
      <c r="J222" s="86">
        <v>62.601799999999997</v>
      </c>
      <c r="K222" s="512">
        <f>SUM(H222:H241)</f>
        <v>3408.0399999999995</v>
      </c>
      <c r="L222" s="510">
        <v>99.03</v>
      </c>
    </row>
    <row r="223" spans="1:12" ht="15" customHeight="1" x14ac:dyDescent="0.25">
      <c r="A223" s="511"/>
      <c r="B223" s="511"/>
      <c r="C223" s="95" t="s">
        <v>42</v>
      </c>
      <c r="D223" s="104">
        <v>0</v>
      </c>
      <c r="E223" s="105">
        <v>2</v>
      </c>
      <c r="F223" s="85" t="str">
        <f t="shared" ref="F223:F241" si="16">LEFT(C223,2)&amp;D223&amp;E223</f>
        <v>B102</v>
      </c>
      <c r="G223" s="85">
        <v>163.35</v>
      </c>
      <c r="H223" s="85">
        <v>180.91759280623702</v>
      </c>
      <c r="I223" s="85">
        <f t="shared" ref="I223:I241" si="17">G223*1.22</f>
        <v>199.28699999999998</v>
      </c>
      <c r="J223" s="86">
        <v>76.321799999999996</v>
      </c>
      <c r="K223" s="512"/>
      <c r="L223" s="510"/>
    </row>
    <row r="224" spans="1:12" ht="15" customHeight="1" x14ac:dyDescent="0.25">
      <c r="A224" s="511"/>
      <c r="B224" s="511"/>
      <c r="C224" s="95" t="s">
        <v>42</v>
      </c>
      <c r="D224" s="104">
        <v>0</v>
      </c>
      <c r="E224" s="105">
        <v>3</v>
      </c>
      <c r="F224" s="85" t="str">
        <f t="shared" si="16"/>
        <v>B103</v>
      </c>
      <c r="G224" s="85">
        <v>183.89</v>
      </c>
      <c r="H224" s="85">
        <v>203.66658182515411</v>
      </c>
      <c r="I224" s="85">
        <f t="shared" si="17"/>
        <v>224.34579999999997</v>
      </c>
      <c r="J224" s="86">
        <v>61.571399999999997</v>
      </c>
      <c r="K224" s="512"/>
      <c r="L224" s="510"/>
    </row>
    <row r="225" spans="1:12" ht="15" customHeight="1" x14ac:dyDescent="0.25">
      <c r="A225" s="511"/>
      <c r="B225" s="511"/>
      <c r="C225" s="95" t="s">
        <v>42</v>
      </c>
      <c r="D225" s="104">
        <v>0</v>
      </c>
      <c r="E225" s="105">
        <v>4</v>
      </c>
      <c r="F225" s="85" t="str">
        <f t="shared" si="16"/>
        <v>B104</v>
      </c>
      <c r="G225" s="85">
        <v>144.21</v>
      </c>
      <c r="H225" s="85">
        <v>159.71916779055672</v>
      </c>
      <c r="I225" s="85">
        <f t="shared" si="17"/>
        <v>175.93620000000001</v>
      </c>
      <c r="J225" s="86">
        <v>83.296199999999999</v>
      </c>
      <c r="K225" s="512"/>
      <c r="L225" s="510"/>
    </row>
    <row r="226" spans="1:12" ht="15" customHeight="1" x14ac:dyDescent="0.25">
      <c r="A226" s="511"/>
      <c r="B226" s="511"/>
      <c r="C226" s="95" t="s">
        <v>42</v>
      </c>
      <c r="D226" s="104">
        <v>1</v>
      </c>
      <c r="E226" s="105">
        <v>1</v>
      </c>
      <c r="F226" s="85" t="str">
        <f t="shared" si="16"/>
        <v>B111</v>
      </c>
      <c r="G226" s="85">
        <v>96.29</v>
      </c>
      <c r="H226" s="85">
        <v>106.64557705119415</v>
      </c>
      <c r="I226" s="85">
        <f t="shared" si="17"/>
        <v>117.47380000000001</v>
      </c>
      <c r="J226" s="85"/>
      <c r="K226" s="512"/>
      <c r="L226" s="510">
        <v>73.14</v>
      </c>
    </row>
    <row r="227" spans="1:12" ht="15" customHeight="1" x14ac:dyDescent="0.25">
      <c r="A227" s="511"/>
      <c r="B227" s="511"/>
      <c r="C227" s="95" t="s">
        <v>42</v>
      </c>
      <c r="D227" s="104">
        <v>1</v>
      </c>
      <c r="E227" s="105">
        <v>2</v>
      </c>
      <c r="F227" s="85" t="str">
        <f t="shared" si="16"/>
        <v>B112</v>
      </c>
      <c r="G227" s="85">
        <v>163.05000000000001</v>
      </c>
      <c r="H227" s="85">
        <v>180.58532909125773</v>
      </c>
      <c r="I227" s="85">
        <f t="shared" si="17"/>
        <v>198.92100000000002</v>
      </c>
      <c r="J227" s="85"/>
      <c r="K227" s="512"/>
      <c r="L227" s="510"/>
    </row>
    <row r="228" spans="1:12" ht="15" customHeight="1" x14ac:dyDescent="0.25">
      <c r="A228" s="511"/>
      <c r="B228" s="511"/>
      <c r="C228" s="95" t="s">
        <v>42</v>
      </c>
      <c r="D228" s="104">
        <v>1</v>
      </c>
      <c r="E228" s="105">
        <v>3</v>
      </c>
      <c r="F228" s="85" t="str">
        <f t="shared" si="16"/>
        <v>B113</v>
      </c>
      <c r="G228" s="85">
        <v>183.59</v>
      </c>
      <c r="H228" s="85">
        <v>203.33431811017482</v>
      </c>
      <c r="I228" s="85">
        <f t="shared" si="17"/>
        <v>223.97980000000001</v>
      </c>
      <c r="J228" s="85"/>
      <c r="K228" s="512"/>
      <c r="L228" s="510"/>
    </row>
    <row r="229" spans="1:12" ht="15" customHeight="1" x14ac:dyDescent="0.25">
      <c r="A229" s="511"/>
      <c r="B229" s="511"/>
      <c r="C229" s="95" t="s">
        <v>42</v>
      </c>
      <c r="D229" s="104">
        <v>1</v>
      </c>
      <c r="E229" s="105">
        <v>4</v>
      </c>
      <c r="F229" s="85" t="str">
        <f t="shared" si="16"/>
        <v>B114</v>
      </c>
      <c r="G229" s="85">
        <v>141.59</v>
      </c>
      <c r="H229" s="85">
        <v>156.81739801307072</v>
      </c>
      <c r="I229" s="85">
        <f t="shared" si="17"/>
        <v>172.7398</v>
      </c>
      <c r="J229" s="85"/>
      <c r="K229" s="512"/>
      <c r="L229" s="510"/>
    </row>
    <row r="230" spans="1:12" ht="15" customHeight="1" x14ac:dyDescent="0.25">
      <c r="A230" s="511"/>
      <c r="B230" s="511"/>
      <c r="C230" s="95" t="s">
        <v>42</v>
      </c>
      <c r="D230" s="104">
        <v>2</v>
      </c>
      <c r="E230" s="105">
        <v>1</v>
      </c>
      <c r="F230" s="85" t="str">
        <f t="shared" si="16"/>
        <v>B121</v>
      </c>
      <c r="G230" s="85">
        <v>141.15</v>
      </c>
      <c r="H230" s="85">
        <v>156.33007789776772</v>
      </c>
      <c r="I230" s="85">
        <f t="shared" si="17"/>
        <v>172.203</v>
      </c>
      <c r="J230" s="85"/>
      <c r="K230" s="512"/>
      <c r="L230" s="510">
        <v>52.92</v>
      </c>
    </row>
    <row r="231" spans="1:12" ht="15" customHeight="1" x14ac:dyDescent="0.25">
      <c r="A231" s="511"/>
      <c r="B231" s="511"/>
      <c r="C231" s="95" t="s">
        <v>42</v>
      </c>
      <c r="D231" s="104">
        <v>2</v>
      </c>
      <c r="E231" s="105">
        <v>2</v>
      </c>
      <c r="F231" s="85" t="str">
        <f t="shared" si="16"/>
        <v>B122</v>
      </c>
      <c r="G231" s="85">
        <v>167.88</v>
      </c>
      <c r="H231" s="85">
        <v>185.93477490242469</v>
      </c>
      <c r="I231" s="85">
        <f t="shared" si="17"/>
        <v>204.81359999999998</v>
      </c>
      <c r="J231" s="85"/>
      <c r="K231" s="512"/>
      <c r="L231" s="510"/>
    </row>
    <row r="232" spans="1:12" ht="15" customHeight="1" x14ac:dyDescent="0.25">
      <c r="A232" s="511"/>
      <c r="B232" s="511"/>
      <c r="C232" s="95" t="s">
        <v>42</v>
      </c>
      <c r="D232" s="104">
        <v>2</v>
      </c>
      <c r="E232" s="105">
        <v>3</v>
      </c>
      <c r="F232" s="85" t="str">
        <f t="shared" si="16"/>
        <v>B123</v>
      </c>
      <c r="G232" s="85">
        <v>187.09</v>
      </c>
      <c r="H232" s="85">
        <v>207.21072811826681</v>
      </c>
      <c r="I232" s="85">
        <f t="shared" si="17"/>
        <v>228.24979999999999</v>
      </c>
      <c r="J232" s="85"/>
      <c r="K232" s="512"/>
      <c r="L232" s="510"/>
    </row>
    <row r="233" spans="1:12" ht="15" customHeight="1" x14ac:dyDescent="0.25">
      <c r="A233" s="511"/>
      <c r="B233" s="511"/>
      <c r="C233" s="95" t="s">
        <v>42</v>
      </c>
      <c r="D233" s="104">
        <v>2</v>
      </c>
      <c r="E233" s="105">
        <v>4</v>
      </c>
      <c r="F233" s="85" t="str">
        <f t="shared" si="16"/>
        <v>B124</v>
      </c>
      <c r="G233" s="85">
        <v>143.97</v>
      </c>
      <c r="H233" s="85">
        <v>159.45335681857327</v>
      </c>
      <c r="I233" s="85">
        <f t="shared" si="17"/>
        <v>175.64339999999999</v>
      </c>
      <c r="J233" s="85"/>
      <c r="K233" s="512"/>
      <c r="L233" s="510"/>
    </row>
    <row r="234" spans="1:12" ht="15" customHeight="1" x14ac:dyDescent="0.25">
      <c r="A234" s="511"/>
      <c r="B234" s="511"/>
      <c r="C234" s="95" t="s">
        <v>42</v>
      </c>
      <c r="D234" s="104">
        <v>3</v>
      </c>
      <c r="E234" s="105">
        <v>1</v>
      </c>
      <c r="F234" s="85" t="str">
        <f t="shared" si="16"/>
        <v>B131</v>
      </c>
      <c r="G234" s="85">
        <v>141.38999999999999</v>
      </c>
      <c r="H234" s="85">
        <v>156.59588886975115</v>
      </c>
      <c r="I234" s="85">
        <f t="shared" si="17"/>
        <v>172.49579999999997</v>
      </c>
      <c r="J234" s="85"/>
      <c r="K234" s="512"/>
      <c r="L234" s="510">
        <v>52.92</v>
      </c>
    </row>
    <row r="235" spans="1:12" ht="15" customHeight="1" x14ac:dyDescent="0.25">
      <c r="A235" s="511"/>
      <c r="B235" s="511"/>
      <c r="C235" s="95" t="s">
        <v>42</v>
      </c>
      <c r="D235" s="104">
        <v>3</v>
      </c>
      <c r="E235" s="105">
        <v>2</v>
      </c>
      <c r="F235" s="85" t="str">
        <f t="shared" si="16"/>
        <v>B132</v>
      </c>
      <c r="G235" s="85">
        <v>165.71</v>
      </c>
      <c r="H235" s="85">
        <v>183.53140069740763</v>
      </c>
      <c r="I235" s="85">
        <f t="shared" si="17"/>
        <v>202.1662</v>
      </c>
      <c r="J235" s="85"/>
      <c r="K235" s="512"/>
      <c r="L235" s="510"/>
    </row>
    <row r="236" spans="1:12" ht="15" customHeight="1" x14ac:dyDescent="0.25">
      <c r="A236" s="511"/>
      <c r="B236" s="511"/>
      <c r="C236" s="95" t="s">
        <v>42</v>
      </c>
      <c r="D236" s="104">
        <v>3</v>
      </c>
      <c r="E236" s="105">
        <v>3</v>
      </c>
      <c r="F236" s="85" t="str">
        <f t="shared" si="16"/>
        <v>B133</v>
      </c>
      <c r="G236" s="85">
        <v>187.91</v>
      </c>
      <c r="H236" s="85">
        <v>208.11891560587694</v>
      </c>
      <c r="I236" s="85">
        <f t="shared" si="17"/>
        <v>229.25019999999998</v>
      </c>
      <c r="J236" s="85"/>
      <c r="K236" s="512"/>
      <c r="L236" s="510"/>
    </row>
    <row r="237" spans="1:12" ht="15" customHeight="1" x14ac:dyDescent="0.25">
      <c r="A237" s="511"/>
      <c r="B237" s="511"/>
      <c r="C237" s="95" t="s">
        <v>42</v>
      </c>
      <c r="D237" s="104">
        <v>3</v>
      </c>
      <c r="E237" s="105">
        <v>4</v>
      </c>
      <c r="F237" s="85" t="str">
        <f t="shared" si="16"/>
        <v>B134</v>
      </c>
      <c r="G237" s="85">
        <v>144.21</v>
      </c>
      <c r="H237" s="85">
        <v>159.71916779055672</v>
      </c>
      <c r="I237" s="85">
        <f t="shared" si="17"/>
        <v>175.93620000000001</v>
      </c>
      <c r="J237" s="85"/>
      <c r="K237" s="512"/>
      <c r="L237" s="510"/>
    </row>
    <row r="238" spans="1:12" ht="15" customHeight="1" x14ac:dyDescent="0.25">
      <c r="A238" s="511"/>
      <c r="B238" s="511"/>
      <c r="C238" s="95" t="s">
        <v>42</v>
      </c>
      <c r="D238" s="104">
        <v>4</v>
      </c>
      <c r="E238" s="105">
        <v>1</v>
      </c>
      <c r="F238" s="85" t="str">
        <f t="shared" si="16"/>
        <v>B141</v>
      </c>
      <c r="G238" s="85">
        <v>139.09</v>
      </c>
      <c r="H238" s="85">
        <v>154.04853372157643</v>
      </c>
      <c r="I238" s="85">
        <f t="shared" si="17"/>
        <v>169.68979999999999</v>
      </c>
      <c r="J238" s="85"/>
      <c r="K238" s="512"/>
      <c r="L238" s="510">
        <v>52.92</v>
      </c>
    </row>
    <row r="239" spans="1:12" ht="15" customHeight="1" x14ac:dyDescent="0.25">
      <c r="A239" s="511"/>
      <c r="B239" s="511"/>
      <c r="C239" s="95" t="s">
        <v>42</v>
      </c>
      <c r="D239" s="104">
        <v>4</v>
      </c>
      <c r="E239" s="105">
        <v>2</v>
      </c>
      <c r="F239" s="85" t="str">
        <f t="shared" si="16"/>
        <v>B142</v>
      </c>
      <c r="G239" s="85">
        <v>163.35</v>
      </c>
      <c r="H239" s="85">
        <v>180.91759280623702</v>
      </c>
      <c r="I239" s="85">
        <f t="shared" si="17"/>
        <v>199.28699999999998</v>
      </c>
      <c r="J239" s="85"/>
      <c r="K239" s="512"/>
      <c r="L239" s="510"/>
    </row>
    <row r="240" spans="1:12" ht="15" customHeight="1" x14ac:dyDescent="0.25">
      <c r="A240" s="511"/>
      <c r="B240" s="511"/>
      <c r="C240" s="95" t="s">
        <v>42</v>
      </c>
      <c r="D240" s="104">
        <v>4</v>
      </c>
      <c r="E240" s="105">
        <v>3</v>
      </c>
      <c r="F240" s="85" t="str">
        <f t="shared" si="16"/>
        <v>B143</v>
      </c>
      <c r="G240" s="85">
        <v>182.56</v>
      </c>
      <c r="H240" s="85">
        <v>202.19354602207918</v>
      </c>
      <c r="I240" s="85">
        <f t="shared" si="17"/>
        <v>222.72319999999999</v>
      </c>
      <c r="J240" s="85"/>
      <c r="K240" s="512"/>
      <c r="L240" s="510"/>
    </row>
    <row r="241" spans="1:12" ht="15" customHeight="1" x14ac:dyDescent="0.25">
      <c r="A241" s="511"/>
      <c r="B241" s="511"/>
      <c r="C241" s="95" t="s">
        <v>42</v>
      </c>
      <c r="D241" s="104">
        <v>4</v>
      </c>
      <c r="E241" s="105">
        <v>4</v>
      </c>
      <c r="F241" s="85" t="str">
        <f t="shared" si="16"/>
        <v>B144</v>
      </c>
      <c r="G241" s="85">
        <v>141.91</v>
      </c>
      <c r="H241" s="85">
        <v>157.17181264238198</v>
      </c>
      <c r="I241" s="85">
        <f t="shared" si="17"/>
        <v>173.1302</v>
      </c>
      <c r="J241" s="85"/>
      <c r="K241" s="512"/>
      <c r="L241" s="510"/>
    </row>
    <row r="242" spans="1:12" ht="15" customHeight="1" x14ac:dyDescent="0.25">
      <c r="A242" s="83" t="s">
        <v>4</v>
      </c>
      <c r="B242" s="83"/>
      <c r="C242" s="83"/>
      <c r="D242" s="103"/>
      <c r="E242" s="103"/>
      <c r="F242" s="83"/>
      <c r="G242" s="83">
        <f>SUM(H222:H241)</f>
        <v>3408.0399999999995</v>
      </c>
      <c r="H242" s="83"/>
      <c r="I242" s="83">
        <f>SUM(I222:I241)</f>
        <v>3754.0742</v>
      </c>
      <c r="J242" s="83"/>
      <c r="K242" s="83">
        <f>SUM(K222)</f>
        <v>3408.0399999999995</v>
      </c>
      <c r="L242" s="83">
        <f>L238+L234+L230+L226+L222</f>
        <v>330.92999999999995</v>
      </c>
    </row>
    <row r="243" spans="1:12" ht="15" customHeight="1" x14ac:dyDescent="0.25">
      <c r="A243" s="97"/>
      <c r="G243" s="87">
        <f>K242/G242</f>
        <v>1</v>
      </c>
      <c r="L243" s="99">
        <f>(L222+L226+L230+L234+L238)/K242</f>
        <v>9.7102733535991401E-2</v>
      </c>
    </row>
    <row r="244" spans="1:12" ht="15" customHeight="1" x14ac:dyDescent="0.25"/>
    <row r="245" spans="1:12" ht="15" customHeight="1" x14ac:dyDescent="0.25"/>
    <row r="246" spans="1:12" ht="39.950000000000003" customHeight="1" x14ac:dyDescent="0.25">
      <c r="A246" s="82" t="s">
        <v>9</v>
      </c>
      <c r="B246" s="83" t="s">
        <v>7</v>
      </c>
      <c r="C246" s="82" t="s">
        <v>8</v>
      </c>
      <c r="D246" s="102" t="s">
        <v>10</v>
      </c>
      <c r="E246" s="103" t="s">
        <v>2</v>
      </c>
      <c r="F246" s="82" t="s">
        <v>104</v>
      </c>
      <c r="G246" s="82" t="s">
        <v>3</v>
      </c>
      <c r="H246" s="82" t="s">
        <v>102</v>
      </c>
      <c r="I246" s="82" t="s">
        <v>101</v>
      </c>
      <c r="J246" s="82" t="s">
        <v>103</v>
      </c>
      <c r="K246" s="83" t="s">
        <v>6</v>
      </c>
      <c r="L246" s="83" t="s">
        <v>1</v>
      </c>
    </row>
    <row r="247" spans="1:12" ht="15" customHeight="1" x14ac:dyDescent="0.25">
      <c r="A247" s="511" t="s">
        <v>31</v>
      </c>
      <c r="B247" s="511" t="s">
        <v>40</v>
      </c>
      <c r="C247" s="95" t="s">
        <v>31</v>
      </c>
      <c r="D247" s="104">
        <v>0</v>
      </c>
      <c r="E247" s="105">
        <v>1</v>
      </c>
      <c r="F247" s="85" t="str">
        <f>LEFT(C247,2)&amp;D247&amp;E247</f>
        <v>B201</v>
      </c>
      <c r="G247" s="85">
        <v>144.21</v>
      </c>
      <c r="H247" s="85">
        <v>159.71916779055672</v>
      </c>
      <c r="I247" s="85">
        <f>1.22*G247</f>
        <v>175.93620000000001</v>
      </c>
      <c r="J247" s="86">
        <v>82.528400000000005</v>
      </c>
      <c r="K247" s="512">
        <f>SUM(H247:H266)</f>
        <v>3408.0399999999995</v>
      </c>
      <c r="L247" s="510">
        <v>99.03</v>
      </c>
    </row>
    <row r="248" spans="1:12" ht="15" customHeight="1" x14ac:dyDescent="0.25">
      <c r="A248" s="511"/>
      <c r="B248" s="511"/>
      <c r="C248" s="95" t="s">
        <v>31</v>
      </c>
      <c r="D248" s="104">
        <v>0</v>
      </c>
      <c r="E248" s="105">
        <v>2</v>
      </c>
      <c r="F248" s="85" t="str">
        <f t="shared" ref="F248:F266" si="18">LEFT(C248,2)&amp;D248&amp;E248</f>
        <v>B202</v>
      </c>
      <c r="G248" s="85">
        <v>183.89</v>
      </c>
      <c r="H248" s="85">
        <v>203.66658182515411</v>
      </c>
      <c r="I248" s="85">
        <f t="shared" ref="I248:I266" si="19">1.22*G248</f>
        <v>224.34579999999997</v>
      </c>
      <c r="J248" s="86">
        <v>61.571399999999997</v>
      </c>
      <c r="K248" s="512"/>
      <c r="L248" s="510"/>
    </row>
    <row r="249" spans="1:12" ht="15" customHeight="1" x14ac:dyDescent="0.25">
      <c r="A249" s="511"/>
      <c r="B249" s="511"/>
      <c r="C249" s="95" t="s">
        <v>31</v>
      </c>
      <c r="D249" s="104">
        <v>0</v>
      </c>
      <c r="E249" s="105">
        <v>3</v>
      </c>
      <c r="F249" s="85" t="str">
        <f t="shared" si="18"/>
        <v>B203</v>
      </c>
      <c r="G249" s="85">
        <v>163.35</v>
      </c>
      <c r="H249" s="85">
        <v>180.91759280623702</v>
      </c>
      <c r="I249" s="85">
        <f t="shared" si="19"/>
        <v>199.28699999999998</v>
      </c>
      <c r="J249" s="86">
        <v>76.321799999999996</v>
      </c>
      <c r="K249" s="512"/>
      <c r="L249" s="510"/>
    </row>
    <row r="250" spans="1:12" ht="15" customHeight="1" x14ac:dyDescent="0.25">
      <c r="A250" s="511"/>
      <c r="B250" s="511"/>
      <c r="C250" s="95" t="s">
        <v>31</v>
      </c>
      <c r="D250" s="104">
        <v>0</v>
      </c>
      <c r="E250" s="105">
        <v>4</v>
      </c>
      <c r="F250" s="85" t="str">
        <f t="shared" si="18"/>
        <v>B204</v>
      </c>
      <c r="G250" s="85">
        <v>94.92</v>
      </c>
      <c r="H250" s="85">
        <v>105.12823941945527</v>
      </c>
      <c r="I250" s="85">
        <f t="shared" si="19"/>
        <v>115.80240000000001</v>
      </c>
      <c r="J250" s="86">
        <v>62.468000000000004</v>
      </c>
      <c r="K250" s="512"/>
      <c r="L250" s="510"/>
    </row>
    <row r="251" spans="1:12" ht="15" customHeight="1" x14ac:dyDescent="0.25">
      <c r="A251" s="511"/>
      <c r="B251" s="511"/>
      <c r="C251" s="95" t="s">
        <v>31</v>
      </c>
      <c r="D251" s="104">
        <v>1</v>
      </c>
      <c r="E251" s="105">
        <v>1</v>
      </c>
      <c r="F251" s="85" t="str">
        <f t="shared" si="18"/>
        <v>B211</v>
      </c>
      <c r="G251" s="85">
        <v>141.59</v>
      </c>
      <c r="H251" s="85">
        <v>156.81739801307072</v>
      </c>
      <c r="I251" s="85">
        <f t="shared" si="19"/>
        <v>172.7398</v>
      </c>
      <c r="J251" s="85"/>
      <c r="K251" s="512"/>
      <c r="L251" s="510">
        <v>73.14</v>
      </c>
    </row>
    <row r="252" spans="1:12" ht="15" customHeight="1" x14ac:dyDescent="0.25">
      <c r="A252" s="511"/>
      <c r="B252" s="511"/>
      <c r="C252" s="95" t="s">
        <v>31</v>
      </c>
      <c r="D252" s="104">
        <v>1</v>
      </c>
      <c r="E252" s="105">
        <v>2</v>
      </c>
      <c r="F252" s="85" t="str">
        <f t="shared" si="18"/>
        <v>B212</v>
      </c>
      <c r="G252" s="85">
        <v>183.59</v>
      </c>
      <c r="H252" s="85">
        <v>203.33431811017482</v>
      </c>
      <c r="I252" s="85">
        <f t="shared" si="19"/>
        <v>223.97980000000001</v>
      </c>
      <c r="J252" s="85"/>
      <c r="K252" s="512"/>
      <c r="L252" s="510"/>
    </row>
    <row r="253" spans="1:12" ht="15" customHeight="1" x14ac:dyDescent="0.25">
      <c r="A253" s="511"/>
      <c r="B253" s="511"/>
      <c r="C253" s="95" t="s">
        <v>31</v>
      </c>
      <c r="D253" s="104">
        <v>1</v>
      </c>
      <c r="E253" s="105">
        <v>3</v>
      </c>
      <c r="F253" s="85" t="str">
        <f t="shared" si="18"/>
        <v>B213</v>
      </c>
      <c r="G253" s="85">
        <v>163.05000000000001</v>
      </c>
      <c r="H253" s="85">
        <v>180.58532909125773</v>
      </c>
      <c r="I253" s="85">
        <f t="shared" si="19"/>
        <v>198.92100000000002</v>
      </c>
      <c r="J253" s="85"/>
      <c r="K253" s="512"/>
      <c r="L253" s="510"/>
    </row>
    <row r="254" spans="1:12" ht="15" customHeight="1" x14ac:dyDescent="0.25">
      <c r="A254" s="511"/>
      <c r="B254" s="511"/>
      <c r="C254" s="95" t="s">
        <v>31</v>
      </c>
      <c r="D254" s="104">
        <v>1</v>
      </c>
      <c r="E254" s="105">
        <v>4</v>
      </c>
      <c r="F254" s="85" t="str">
        <f t="shared" si="18"/>
        <v>B214</v>
      </c>
      <c r="G254" s="85">
        <v>96.29</v>
      </c>
      <c r="H254" s="85">
        <v>106.64557705119415</v>
      </c>
      <c r="I254" s="85">
        <f t="shared" si="19"/>
        <v>117.47380000000001</v>
      </c>
      <c r="J254" s="85"/>
      <c r="K254" s="512"/>
      <c r="L254" s="510"/>
    </row>
    <row r="255" spans="1:12" ht="15" customHeight="1" x14ac:dyDescent="0.25">
      <c r="A255" s="511"/>
      <c r="B255" s="511"/>
      <c r="C255" s="95" t="s">
        <v>31</v>
      </c>
      <c r="D255" s="104">
        <v>2</v>
      </c>
      <c r="E255" s="105">
        <v>1</v>
      </c>
      <c r="F255" s="85" t="str">
        <f t="shared" si="18"/>
        <v>B221</v>
      </c>
      <c r="G255" s="85">
        <v>143.97</v>
      </c>
      <c r="H255" s="85">
        <v>159.45335681857327</v>
      </c>
      <c r="I255" s="85">
        <f t="shared" si="19"/>
        <v>175.64339999999999</v>
      </c>
      <c r="J255" s="85"/>
      <c r="K255" s="512"/>
      <c r="L255" s="510">
        <v>52.92</v>
      </c>
    </row>
    <row r="256" spans="1:12" ht="15" customHeight="1" x14ac:dyDescent="0.25">
      <c r="A256" s="511"/>
      <c r="B256" s="511"/>
      <c r="C256" s="95" t="s">
        <v>31</v>
      </c>
      <c r="D256" s="104">
        <v>2</v>
      </c>
      <c r="E256" s="105">
        <v>2</v>
      </c>
      <c r="F256" s="85" t="str">
        <f t="shared" si="18"/>
        <v>B222</v>
      </c>
      <c r="G256" s="85">
        <v>187.09</v>
      </c>
      <c r="H256" s="85">
        <v>207.21072811826681</v>
      </c>
      <c r="I256" s="85">
        <f t="shared" si="19"/>
        <v>228.24979999999999</v>
      </c>
      <c r="J256" s="85"/>
      <c r="K256" s="512"/>
      <c r="L256" s="510"/>
    </row>
    <row r="257" spans="1:12" ht="15" customHeight="1" x14ac:dyDescent="0.25">
      <c r="A257" s="511"/>
      <c r="B257" s="511"/>
      <c r="C257" s="95" t="s">
        <v>31</v>
      </c>
      <c r="D257" s="104">
        <v>2</v>
      </c>
      <c r="E257" s="105">
        <v>3</v>
      </c>
      <c r="F257" s="85" t="str">
        <f t="shared" si="18"/>
        <v>B223</v>
      </c>
      <c r="G257" s="85">
        <v>167.88</v>
      </c>
      <c r="H257" s="85">
        <v>185.93477490242469</v>
      </c>
      <c r="I257" s="85">
        <f t="shared" si="19"/>
        <v>204.81359999999998</v>
      </c>
      <c r="J257" s="85"/>
      <c r="K257" s="512"/>
      <c r="L257" s="510"/>
    </row>
    <row r="258" spans="1:12" ht="15" customHeight="1" x14ac:dyDescent="0.25">
      <c r="A258" s="511"/>
      <c r="B258" s="511"/>
      <c r="C258" s="95" t="s">
        <v>31</v>
      </c>
      <c r="D258" s="104">
        <v>2</v>
      </c>
      <c r="E258" s="105">
        <v>4</v>
      </c>
      <c r="F258" s="85" t="str">
        <f t="shared" si="18"/>
        <v>B224</v>
      </c>
      <c r="G258" s="85">
        <v>141.15</v>
      </c>
      <c r="H258" s="85">
        <v>156.33007789776772</v>
      </c>
      <c r="I258" s="85">
        <f t="shared" si="19"/>
        <v>172.203</v>
      </c>
      <c r="J258" s="85"/>
      <c r="K258" s="512"/>
      <c r="L258" s="510"/>
    </row>
    <row r="259" spans="1:12" ht="15" customHeight="1" x14ac:dyDescent="0.25">
      <c r="A259" s="511"/>
      <c r="B259" s="511"/>
      <c r="C259" s="95" t="s">
        <v>31</v>
      </c>
      <c r="D259" s="104">
        <v>3</v>
      </c>
      <c r="E259" s="105">
        <v>1</v>
      </c>
      <c r="F259" s="85" t="str">
        <f t="shared" si="18"/>
        <v>B231</v>
      </c>
      <c r="G259" s="85">
        <v>144.21</v>
      </c>
      <c r="H259" s="85">
        <v>159.71916779055672</v>
      </c>
      <c r="I259" s="85">
        <f t="shared" si="19"/>
        <v>175.93620000000001</v>
      </c>
      <c r="J259" s="85"/>
      <c r="K259" s="512"/>
      <c r="L259" s="510">
        <v>52.92</v>
      </c>
    </row>
    <row r="260" spans="1:12" ht="15" customHeight="1" x14ac:dyDescent="0.25">
      <c r="A260" s="511"/>
      <c r="B260" s="511"/>
      <c r="C260" s="95" t="s">
        <v>31</v>
      </c>
      <c r="D260" s="104">
        <v>3</v>
      </c>
      <c r="E260" s="105">
        <v>2</v>
      </c>
      <c r="F260" s="85" t="str">
        <f t="shared" si="18"/>
        <v>B232</v>
      </c>
      <c r="G260" s="85">
        <v>187.91</v>
      </c>
      <c r="H260" s="85">
        <v>208.11891560587694</v>
      </c>
      <c r="I260" s="85">
        <f t="shared" si="19"/>
        <v>229.25019999999998</v>
      </c>
      <c r="J260" s="85"/>
      <c r="K260" s="512"/>
      <c r="L260" s="510"/>
    </row>
    <row r="261" spans="1:12" ht="15" customHeight="1" x14ac:dyDescent="0.25">
      <c r="A261" s="511"/>
      <c r="B261" s="511"/>
      <c r="C261" s="95" t="s">
        <v>31</v>
      </c>
      <c r="D261" s="104">
        <v>3</v>
      </c>
      <c r="E261" s="105">
        <v>3</v>
      </c>
      <c r="F261" s="85" t="str">
        <f t="shared" si="18"/>
        <v>B233</v>
      </c>
      <c r="G261" s="85">
        <v>165.71</v>
      </c>
      <c r="H261" s="85">
        <v>183.53140069740763</v>
      </c>
      <c r="I261" s="85">
        <f t="shared" si="19"/>
        <v>202.1662</v>
      </c>
      <c r="J261" s="85"/>
      <c r="K261" s="512"/>
      <c r="L261" s="510"/>
    </row>
    <row r="262" spans="1:12" ht="15" customHeight="1" x14ac:dyDescent="0.25">
      <c r="A262" s="511"/>
      <c r="B262" s="511"/>
      <c r="C262" s="95" t="s">
        <v>31</v>
      </c>
      <c r="D262" s="104">
        <v>3</v>
      </c>
      <c r="E262" s="105">
        <v>4</v>
      </c>
      <c r="F262" s="85" t="str">
        <f t="shared" si="18"/>
        <v>B234</v>
      </c>
      <c r="G262" s="85">
        <v>141.38999999999999</v>
      </c>
      <c r="H262" s="85">
        <v>156.59588886975115</v>
      </c>
      <c r="I262" s="85">
        <f t="shared" si="19"/>
        <v>172.49579999999997</v>
      </c>
      <c r="J262" s="85"/>
      <c r="K262" s="512"/>
      <c r="L262" s="510"/>
    </row>
    <row r="263" spans="1:12" ht="15" customHeight="1" x14ac:dyDescent="0.25">
      <c r="A263" s="511"/>
      <c r="B263" s="511"/>
      <c r="C263" s="95" t="s">
        <v>31</v>
      </c>
      <c r="D263" s="104">
        <v>4</v>
      </c>
      <c r="E263" s="105">
        <v>1</v>
      </c>
      <c r="F263" s="85" t="str">
        <f t="shared" si="18"/>
        <v>B241</v>
      </c>
      <c r="G263" s="85">
        <v>141.91</v>
      </c>
      <c r="H263" s="85">
        <v>157.17181264238198</v>
      </c>
      <c r="I263" s="85">
        <f t="shared" si="19"/>
        <v>173.1302</v>
      </c>
      <c r="J263" s="85"/>
      <c r="K263" s="512"/>
      <c r="L263" s="510">
        <v>52.92</v>
      </c>
    </row>
    <row r="264" spans="1:12" ht="15" customHeight="1" x14ac:dyDescent="0.25">
      <c r="A264" s="511"/>
      <c r="B264" s="511"/>
      <c r="C264" s="95" t="s">
        <v>31</v>
      </c>
      <c r="D264" s="104">
        <v>4</v>
      </c>
      <c r="E264" s="105">
        <v>2</v>
      </c>
      <c r="F264" s="85" t="str">
        <f t="shared" si="18"/>
        <v>B242</v>
      </c>
      <c r="G264" s="85">
        <v>182.56</v>
      </c>
      <c r="H264" s="85">
        <v>202.19354602207918</v>
      </c>
      <c r="I264" s="85">
        <f t="shared" si="19"/>
        <v>222.72319999999999</v>
      </c>
      <c r="J264" s="85"/>
      <c r="K264" s="512"/>
      <c r="L264" s="510"/>
    </row>
    <row r="265" spans="1:12" ht="15" customHeight="1" x14ac:dyDescent="0.25">
      <c r="A265" s="511"/>
      <c r="B265" s="511"/>
      <c r="C265" s="95" t="s">
        <v>31</v>
      </c>
      <c r="D265" s="104">
        <v>4</v>
      </c>
      <c r="E265" s="105">
        <v>3</v>
      </c>
      <c r="F265" s="85" t="str">
        <f t="shared" si="18"/>
        <v>B243</v>
      </c>
      <c r="G265" s="85">
        <v>163.35</v>
      </c>
      <c r="H265" s="85">
        <v>180.91759280623702</v>
      </c>
      <c r="I265" s="85">
        <f t="shared" si="19"/>
        <v>199.28699999999998</v>
      </c>
      <c r="J265" s="85"/>
      <c r="K265" s="512"/>
      <c r="L265" s="510"/>
    </row>
    <row r="266" spans="1:12" ht="15" customHeight="1" x14ac:dyDescent="0.25">
      <c r="A266" s="511"/>
      <c r="B266" s="511"/>
      <c r="C266" s="95" t="s">
        <v>31</v>
      </c>
      <c r="D266" s="104">
        <v>4</v>
      </c>
      <c r="E266" s="105">
        <v>4</v>
      </c>
      <c r="F266" s="85" t="str">
        <f t="shared" si="18"/>
        <v>B244</v>
      </c>
      <c r="G266" s="85">
        <v>139.09</v>
      </c>
      <c r="H266" s="85">
        <v>154.04853372157643</v>
      </c>
      <c r="I266" s="85">
        <f t="shared" si="19"/>
        <v>169.68979999999999</v>
      </c>
      <c r="J266" s="85"/>
      <c r="K266" s="512"/>
      <c r="L266" s="510"/>
    </row>
    <row r="267" spans="1:12" ht="15" customHeight="1" x14ac:dyDescent="0.25">
      <c r="A267" s="83" t="s">
        <v>4</v>
      </c>
      <c r="B267" s="83"/>
      <c r="C267" s="83"/>
      <c r="D267" s="103"/>
      <c r="E267" s="103"/>
      <c r="F267" s="83"/>
      <c r="G267" s="83">
        <f>SUM(G247:G266)</f>
        <v>3077.1099999999997</v>
      </c>
      <c r="H267" s="83"/>
      <c r="I267" s="83"/>
      <c r="J267" s="83"/>
      <c r="K267" s="83">
        <f>SUM(K247)</f>
        <v>3408.0399999999995</v>
      </c>
      <c r="L267" s="83">
        <f>L263+L259+L255+L251+L247</f>
        <v>330.92999999999995</v>
      </c>
    </row>
    <row r="268" spans="1:12" ht="15" customHeight="1" x14ac:dyDescent="0.25">
      <c r="A268" s="97"/>
      <c r="G268" s="87">
        <f>K267/G267</f>
        <v>1.1075457165977167</v>
      </c>
      <c r="L268" s="99">
        <f>(L247+L251+L255+L259+L263)/K267</f>
        <v>9.7102733535991401E-2</v>
      </c>
    </row>
    <row r="269" spans="1:12" ht="15" customHeight="1" x14ac:dyDescent="0.25">
      <c r="A269" s="97"/>
    </row>
    <row r="270" spans="1:12" ht="15" customHeight="1" x14ac:dyDescent="0.25"/>
    <row r="271" spans="1:12" ht="39.950000000000003" customHeight="1" x14ac:dyDescent="0.25">
      <c r="A271" s="82" t="s">
        <v>9</v>
      </c>
      <c r="B271" s="83" t="s">
        <v>7</v>
      </c>
      <c r="C271" s="82" t="s">
        <v>8</v>
      </c>
      <c r="D271" s="102" t="s">
        <v>10</v>
      </c>
      <c r="E271" s="103" t="s">
        <v>2</v>
      </c>
      <c r="F271" s="82" t="s">
        <v>104</v>
      </c>
      <c r="G271" s="82" t="s">
        <v>3</v>
      </c>
      <c r="H271" s="82" t="s">
        <v>102</v>
      </c>
      <c r="I271" s="82" t="s">
        <v>101</v>
      </c>
      <c r="J271" s="82" t="s">
        <v>103</v>
      </c>
      <c r="K271" s="83" t="s">
        <v>6</v>
      </c>
      <c r="L271" s="83" t="s">
        <v>1</v>
      </c>
    </row>
    <row r="272" spans="1:12" ht="15" customHeight="1" x14ac:dyDescent="0.25">
      <c r="A272" s="511" t="s">
        <v>38</v>
      </c>
      <c r="B272" s="511" t="s">
        <v>44</v>
      </c>
      <c r="C272" s="95" t="s">
        <v>33</v>
      </c>
      <c r="D272" s="104">
        <v>0</v>
      </c>
      <c r="E272" s="105">
        <v>1</v>
      </c>
      <c r="F272" s="85" t="str">
        <f>LEFT(C272,2)&amp;D272&amp;E272</f>
        <v>B301</v>
      </c>
      <c r="G272" s="85">
        <v>87.23</v>
      </c>
      <c r="H272" s="85">
        <v>94.72160516317075</v>
      </c>
      <c r="I272" s="85">
        <f>G272*1.22</f>
        <v>106.42060000000001</v>
      </c>
      <c r="J272" s="86">
        <v>66.0976</v>
      </c>
      <c r="K272" s="512">
        <f>SUM(H272:H291)</f>
        <v>2712.1999999999989</v>
      </c>
      <c r="L272" s="510">
        <v>72.63</v>
      </c>
    </row>
    <row r="273" spans="1:12" ht="15" customHeight="1" x14ac:dyDescent="0.25">
      <c r="A273" s="511"/>
      <c r="B273" s="511"/>
      <c r="C273" s="95" t="s">
        <v>33</v>
      </c>
      <c r="D273" s="104">
        <v>0</v>
      </c>
      <c r="E273" s="105">
        <v>2</v>
      </c>
      <c r="F273" s="85" t="str">
        <f t="shared" ref="F273:F291" si="20">LEFT(C273,2)&amp;D273&amp;E273</f>
        <v>B302</v>
      </c>
      <c r="G273" s="85">
        <v>125.09</v>
      </c>
      <c r="H273" s="85">
        <v>135.83314902970341</v>
      </c>
      <c r="I273" s="85">
        <f t="shared" ref="I273:I291" si="21">G273*1.22</f>
        <v>152.60980000000001</v>
      </c>
      <c r="J273" s="86">
        <v>85.619500000000002</v>
      </c>
      <c r="K273" s="512"/>
      <c r="L273" s="510"/>
    </row>
    <row r="274" spans="1:12" ht="15" customHeight="1" x14ac:dyDescent="0.25">
      <c r="A274" s="511"/>
      <c r="B274" s="511"/>
      <c r="C274" s="95" t="s">
        <v>33</v>
      </c>
      <c r="D274" s="104">
        <v>0</v>
      </c>
      <c r="E274" s="105">
        <v>3</v>
      </c>
      <c r="F274" s="85" t="str">
        <f t="shared" si="20"/>
        <v>B303</v>
      </c>
      <c r="G274" s="85">
        <v>129.57</v>
      </c>
      <c r="H274" s="85">
        <v>140.69790646557414</v>
      </c>
      <c r="I274" s="85">
        <f t="shared" si="21"/>
        <v>158.0754</v>
      </c>
      <c r="J274" s="86">
        <v>84.075199999999995</v>
      </c>
      <c r="K274" s="512"/>
      <c r="L274" s="510"/>
    </row>
    <row r="275" spans="1:12" ht="15" customHeight="1" x14ac:dyDescent="0.25">
      <c r="A275" s="511"/>
      <c r="B275" s="511"/>
      <c r="C275" s="95" t="s">
        <v>33</v>
      </c>
      <c r="D275" s="104">
        <v>0</v>
      </c>
      <c r="E275" s="105">
        <v>4</v>
      </c>
      <c r="F275" s="85" t="str">
        <f t="shared" si="20"/>
        <v>B304</v>
      </c>
      <c r="G275" s="85">
        <v>131.34</v>
      </c>
      <c r="H275" s="85">
        <v>142.61992000608558</v>
      </c>
      <c r="I275" s="85">
        <f t="shared" si="21"/>
        <v>160.23480000000001</v>
      </c>
      <c r="J275" s="86">
        <v>80.916700000000006</v>
      </c>
      <c r="K275" s="512"/>
      <c r="L275" s="510"/>
    </row>
    <row r="276" spans="1:12" ht="15" customHeight="1" x14ac:dyDescent="0.25">
      <c r="A276" s="511"/>
      <c r="B276" s="511"/>
      <c r="C276" s="95" t="s">
        <v>33</v>
      </c>
      <c r="D276" s="104">
        <v>1</v>
      </c>
      <c r="E276" s="105">
        <v>1</v>
      </c>
      <c r="F276" s="85" t="str">
        <f t="shared" si="20"/>
        <v>B311</v>
      </c>
      <c r="G276" s="85">
        <v>88.87</v>
      </c>
      <c r="H276" s="85">
        <v>96.502453867373433</v>
      </c>
      <c r="I276" s="85">
        <f t="shared" si="21"/>
        <v>108.42140000000001</v>
      </c>
      <c r="J276" s="85"/>
      <c r="K276" s="512"/>
      <c r="L276" s="510">
        <v>46.11</v>
      </c>
    </row>
    <row r="277" spans="1:12" ht="15" customHeight="1" x14ac:dyDescent="0.25">
      <c r="A277" s="511"/>
      <c r="B277" s="511"/>
      <c r="C277" s="95" t="s">
        <v>33</v>
      </c>
      <c r="D277" s="104">
        <v>1</v>
      </c>
      <c r="E277" s="105">
        <v>2</v>
      </c>
      <c r="F277" s="85" t="str">
        <f t="shared" si="20"/>
        <v>B312</v>
      </c>
      <c r="G277" s="85">
        <v>127.14</v>
      </c>
      <c r="H277" s="85">
        <v>138.05920990995676</v>
      </c>
      <c r="I277" s="85">
        <f t="shared" si="21"/>
        <v>155.11079999999998</v>
      </c>
      <c r="J277" s="85"/>
      <c r="K277" s="512"/>
      <c r="L277" s="510"/>
    </row>
    <row r="278" spans="1:12" ht="15" customHeight="1" x14ac:dyDescent="0.25">
      <c r="A278" s="511"/>
      <c r="B278" s="511"/>
      <c r="C278" s="95" t="s">
        <v>33</v>
      </c>
      <c r="D278" s="104">
        <v>1</v>
      </c>
      <c r="E278" s="105">
        <v>3</v>
      </c>
      <c r="F278" s="85" t="str">
        <f t="shared" si="20"/>
        <v>B313</v>
      </c>
      <c r="G278" s="85">
        <v>131.43</v>
      </c>
      <c r="H278" s="85">
        <v>142.71764950814548</v>
      </c>
      <c r="I278" s="85">
        <f t="shared" si="21"/>
        <v>160.34460000000001</v>
      </c>
      <c r="J278" s="85"/>
      <c r="K278" s="512"/>
      <c r="L278" s="510"/>
    </row>
    <row r="279" spans="1:12" ht="15" customHeight="1" x14ac:dyDescent="0.25">
      <c r="A279" s="511"/>
      <c r="B279" s="511"/>
      <c r="C279" s="95" t="s">
        <v>33</v>
      </c>
      <c r="D279" s="104">
        <v>1</v>
      </c>
      <c r="E279" s="105">
        <v>4</v>
      </c>
      <c r="F279" s="85" t="str">
        <f t="shared" si="20"/>
        <v>B314</v>
      </c>
      <c r="G279" s="85">
        <v>129.04</v>
      </c>
      <c r="H279" s="85">
        <v>140.12238828677692</v>
      </c>
      <c r="I279" s="85">
        <f t="shared" si="21"/>
        <v>157.4288</v>
      </c>
      <c r="J279" s="85"/>
      <c r="K279" s="512"/>
      <c r="L279" s="510"/>
    </row>
    <row r="280" spans="1:12" ht="15" customHeight="1" x14ac:dyDescent="0.25">
      <c r="A280" s="511"/>
      <c r="B280" s="511"/>
      <c r="C280" s="95" t="s">
        <v>33</v>
      </c>
      <c r="D280" s="104">
        <v>2</v>
      </c>
      <c r="E280" s="105">
        <v>1</v>
      </c>
      <c r="F280" s="85" t="str">
        <f t="shared" si="20"/>
        <v>B321</v>
      </c>
      <c r="G280" s="85">
        <v>127.15</v>
      </c>
      <c r="H280" s="85">
        <v>138.07006874351899</v>
      </c>
      <c r="I280" s="85">
        <f t="shared" si="21"/>
        <v>155.12299999999999</v>
      </c>
      <c r="J280" s="85"/>
      <c r="K280" s="512"/>
      <c r="L280" s="510">
        <v>31.98</v>
      </c>
    </row>
    <row r="281" spans="1:12" ht="15" customHeight="1" x14ac:dyDescent="0.25">
      <c r="A281" s="511"/>
      <c r="B281" s="511"/>
      <c r="C281" s="95" t="s">
        <v>33</v>
      </c>
      <c r="D281" s="104">
        <v>2</v>
      </c>
      <c r="E281" s="105">
        <v>2</v>
      </c>
      <c r="F281" s="85" t="str">
        <f t="shared" si="20"/>
        <v>B322</v>
      </c>
      <c r="G281" s="85">
        <v>126.95</v>
      </c>
      <c r="H281" s="85">
        <v>137.85289207227476</v>
      </c>
      <c r="I281" s="85">
        <f t="shared" si="21"/>
        <v>154.87899999999999</v>
      </c>
      <c r="J281" s="85"/>
      <c r="K281" s="512"/>
      <c r="L281" s="510"/>
    </row>
    <row r="282" spans="1:12" ht="15" customHeight="1" x14ac:dyDescent="0.25">
      <c r="A282" s="511"/>
      <c r="B282" s="511"/>
      <c r="C282" s="95" t="s">
        <v>33</v>
      </c>
      <c r="D282" s="104">
        <v>2</v>
      </c>
      <c r="E282" s="105">
        <v>3</v>
      </c>
      <c r="F282" s="85" t="str">
        <f t="shared" si="20"/>
        <v>B323</v>
      </c>
      <c r="G282" s="85">
        <v>131.44</v>
      </c>
      <c r="H282" s="85">
        <v>142.72850834170771</v>
      </c>
      <c r="I282" s="85">
        <f t="shared" si="21"/>
        <v>160.35679999999999</v>
      </c>
      <c r="J282" s="85"/>
      <c r="K282" s="512"/>
      <c r="L282" s="510"/>
    </row>
    <row r="283" spans="1:12" ht="15" customHeight="1" x14ac:dyDescent="0.25">
      <c r="A283" s="511"/>
      <c r="B283" s="511"/>
      <c r="C283" s="95" t="s">
        <v>33</v>
      </c>
      <c r="D283" s="104">
        <v>2</v>
      </c>
      <c r="E283" s="105">
        <v>4</v>
      </c>
      <c r="F283" s="85" t="str">
        <f t="shared" si="20"/>
        <v>B324</v>
      </c>
      <c r="G283" s="85">
        <v>131.43</v>
      </c>
      <c r="H283" s="85">
        <v>142.71764950814548</v>
      </c>
      <c r="I283" s="85">
        <f t="shared" si="21"/>
        <v>160.34460000000001</v>
      </c>
      <c r="J283" s="85"/>
      <c r="K283" s="512"/>
      <c r="L283" s="510"/>
    </row>
    <row r="284" spans="1:12" ht="15" customHeight="1" x14ac:dyDescent="0.25">
      <c r="A284" s="511"/>
      <c r="B284" s="511"/>
      <c r="C284" s="95" t="s">
        <v>33</v>
      </c>
      <c r="D284" s="104">
        <v>3</v>
      </c>
      <c r="E284" s="105">
        <v>1</v>
      </c>
      <c r="F284" s="85" t="str">
        <f t="shared" si="20"/>
        <v>B331</v>
      </c>
      <c r="G284" s="85">
        <v>127.45</v>
      </c>
      <c r="H284" s="85">
        <v>138.39583375038532</v>
      </c>
      <c r="I284" s="85">
        <f t="shared" si="21"/>
        <v>155.489</v>
      </c>
      <c r="J284" s="85"/>
      <c r="K284" s="512"/>
      <c r="L284" s="510">
        <v>31.9</v>
      </c>
    </row>
    <row r="285" spans="1:12" ht="15" customHeight="1" x14ac:dyDescent="0.25">
      <c r="A285" s="511"/>
      <c r="B285" s="511"/>
      <c r="C285" s="95" t="s">
        <v>33</v>
      </c>
      <c r="D285" s="104">
        <v>3</v>
      </c>
      <c r="E285" s="105">
        <v>2</v>
      </c>
      <c r="F285" s="85" t="str">
        <f t="shared" si="20"/>
        <v>B332</v>
      </c>
      <c r="G285" s="85">
        <v>126.97</v>
      </c>
      <c r="H285" s="85">
        <v>137.87460973939918</v>
      </c>
      <c r="I285" s="85">
        <f t="shared" si="21"/>
        <v>154.9034</v>
      </c>
      <c r="J285" s="85"/>
      <c r="K285" s="512"/>
      <c r="L285" s="510"/>
    </row>
    <row r="286" spans="1:12" ht="15" customHeight="1" x14ac:dyDescent="0.25">
      <c r="A286" s="511"/>
      <c r="B286" s="511"/>
      <c r="C286" s="95" t="s">
        <v>33</v>
      </c>
      <c r="D286" s="104">
        <v>3</v>
      </c>
      <c r="E286" s="105">
        <v>3</v>
      </c>
      <c r="F286" s="85" t="str">
        <f t="shared" si="20"/>
        <v>B333</v>
      </c>
      <c r="G286" s="85">
        <v>131.43</v>
      </c>
      <c r="H286" s="85">
        <v>142.71764950814548</v>
      </c>
      <c r="I286" s="85">
        <f t="shared" si="21"/>
        <v>160.34460000000001</v>
      </c>
      <c r="J286" s="85"/>
      <c r="K286" s="512"/>
      <c r="L286" s="510"/>
    </row>
    <row r="287" spans="1:12" ht="15" customHeight="1" x14ac:dyDescent="0.25">
      <c r="A287" s="511"/>
      <c r="B287" s="511"/>
      <c r="C287" s="95" t="s">
        <v>33</v>
      </c>
      <c r="D287" s="104">
        <v>3</v>
      </c>
      <c r="E287" s="105">
        <v>4</v>
      </c>
      <c r="F287" s="85" t="str">
        <f t="shared" si="20"/>
        <v>B334</v>
      </c>
      <c r="G287" s="85">
        <v>131.88</v>
      </c>
      <c r="H287" s="85">
        <v>143.20629701844501</v>
      </c>
      <c r="I287" s="85">
        <f t="shared" si="21"/>
        <v>160.89359999999999</v>
      </c>
      <c r="J287" s="85"/>
      <c r="K287" s="512"/>
      <c r="L287" s="510"/>
    </row>
    <row r="288" spans="1:12" ht="15" customHeight="1" x14ac:dyDescent="0.25">
      <c r="A288" s="511"/>
      <c r="B288" s="511"/>
      <c r="C288" s="95" t="s">
        <v>33</v>
      </c>
      <c r="D288" s="104">
        <v>4</v>
      </c>
      <c r="E288" s="105">
        <v>1</v>
      </c>
      <c r="F288" s="85" t="str">
        <f t="shared" si="20"/>
        <v>B341</v>
      </c>
      <c r="G288" s="85">
        <v>125.13</v>
      </c>
      <c r="H288" s="85">
        <v>135.87658436395225</v>
      </c>
      <c r="I288" s="85">
        <f t="shared" si="21"/>
        <v>152.65859999999998</v>
      </c>
      <c r="J288" s="85"/>
      <c r="K288" s="512"/>
      <c r="L288" s="510">
        <v>31.9</v>
      </c>
    </row>
    <row r="289" spans="1:12" ht="15" customHeight="1" x14ac:dyDescent="0.25">
      <c r="A289" s="511"/>
      <c r="B289" s="511"/>
      <c r="C289" s="95" t="s">
        <v>33</v>
      </c>
      <c r="D289" s="104">
        <v>4</v>
      </c>
      <c r="E289" s="105">
        <v>2</v>
      </c>
      <c r="F289" s="85" t="str">
        <f t="shared" si="20"/>
        <v>B342</v>
      </c>
      <c r="G289" s="85">
        <v>127.19</v>
      </c>
      <c r="H289" s="85">
        <v>138.11350407776783</v>
      </c>
      <c r="I289" s="85">
        <f t="shared" si="21"/>
        <v>155.17179999999999</v>
      </c>
      <c r="J289" s="85"/>
      <c r="K289" s="512"/>
      <c r="L289" s="510"/>
    </row>
    <row r="290" spans="1:12" ht="15" customHeight="1" x14ac:dyDescent="0.25">
      <c r="A290" s="511"/>
      <c r="B290" s="511"/>
      <c r="C290" s="95" t="s">
        <v>33</v>
      </c>
      <c r="D290" s="104">
        <v>4</v>
      </c>
      <c r="E290" s="105">
        <v>3</v>
      </c>
      <c r="F290" s="85" t="str">
        <f t="shared" si="20"/>
        <v>B343</v>
      </c>
      <c r="G290" s="85">
        <v>131.38</v>
      </c>
      <c r="H290" s="85">
        <v>142.66335534033442</v>
      </c>
      <c r="I290" s="85">
        <f t="shared" si="21"/>
        <v>160.28359999999998</v>
      </c>
      <c r="J290" s="85"/>
      <c r="K290" s="512"/>
      <c r="L290" s="510"/>
    </row>
    <row r="291" spans="1:12" ht="15" customHeight="1" x14ac:dyDescent="0.25">
      <c r="A291" s="511"/>
      <c r="B291" s="511"/>
      <c r="C291" s="95" t="s">
        <v>33</v>
      </c>
      <c r="D291" s="104">
        <v>4</v>
      </c>
      <c r="E291" s="105">
        <v>4</v>
      </c>
      <c r="F291" s="85" t="str">
        <f t="shared" si="20"/>
        <v>B344</v>
      </c>
      <c r="G291" s="85">
        <v>129.58000000000001</v>
      </c>
      <c r="H291" s="85">
        <v>140.70876529913639</v>
      </c>
      <c r="I291" s="85">
        <f t="shared" si="21"/>
        <v>158.08760000000001</v>
      </c>
      <c r="J291" s="85"/>
      <c r="K291" s="512"/>
      <c r="L291" s="510"/>
    </row>
    <row r="292" spans="1:12" ht="15" customHeight="1" x14ac:dyDescent="0.25">
      <c r="A292" s="83" t="s">
        <v>4</v>
      </c>
      <c r="B292" s="83"/>
      <c r="C292" s="83"/>
      <c r="D292" s="103"/>
      <c r="E292" s="103"/>
      <c r="F292" s="83"/>
      <c r="G292" s="83">
        <f>SUM(G272:G291)</f>
        <v>2497.6900000000005</v>
      </c>
      <c r="H292" s="83"/>
      <c r="I292" s="83">
        <f>SUM(I272:I291)</f>
        <v>3047.1817999999994</v>
      </c>
      <c r="J292" s="83"/>
      <c r="K292" s="83">
        <f>SUM(K272)</f>
        <v>2712.1999999999989</v>
      </c>
      <c r="L292" s="83">
        <f>L288+L284+L280+L276+L272</f>
        <v>214.51999999999998</v>
      </c>
    </row>
    <row r="293" spans="1:12" ht="15" customHeight="1" x14ac:dyDescent="0.25">
      <c r="G293" s="87">
        <f>K292/G292</f>
        <v>1.0858833562211476</v>
      </c>
      <c r="L293" s="100">
        <f>(L272+L276+L280+L284+L288)/K292</f>
        <v>7.9094462060320073E-2</v>
      </c>
    </row>
    <row r="294" spans="1:12" ht="15" customHeight="1" x14ac:dyDescent="0.25"/>
    <row r="295" spans="1:12" ht="39.950000000000003" customHeight="1" x14ac:dyDescent="0.25">
      <c r="A295" s="82" t="s">
        <v>9</v>
      </c>
      <c r="B295" s="83" t="s">
        <v>7</v>
      </c>
      <c r="C295" s="82" t="s">
        <v>8</v>
      </c>
      <c r="D295" s="102" t="s">
        <v>10</v>
      </c>
      <c r="E295" s="103" t="s">
        <v>2</v>
      </c>
      <c r="F295" s="82" t="s">
        <v>104</v>
      </c>
      <c r="G295" s="82" t="s">
        <v>3</v>
      </c>
      <c r="H295" s="82" t="s">
        <v>102</v>
      </c>
      <c r="I295" s="82" t="s">
        <v>101</v>
      </c>
      <c r="J295" s="82" t="s">
        <v>103</v>
      </c>
      <c r="K295" s="83" t="s">
        <v>6</v>
      </c>
      <c r="L295" s="83" t="s">
        <v>1</v>
      </c>
    </row>
    <row r="296" spans="1:12" ht="15" customHeight="1" x14ac:dyDescent="0.25">
      <c r="A296" s="511" t="s">
        <v>38</v>
      </c>
      <c r="B296" s="511" t="s">
        <v>44</v>
      </c>
      <c r="C296" s="95" t="s">
        <v>46</v>
      </c>
      <c r="D296" s="104">
        <v>0</v>
      </c>
      <c r="E296" s="105">
        <v>1</v>
      </c>
      <c r="F296" s="85" t="str">
        <f>LEFT(C296,2)&amp;D296&amp;E296</f>
        <v>B401</v>
      </c>
      <c r="G296" s="85">
        <v>131.32</v>
      </c>
      <c r="H296" s="85">
        <v>142.66718842094684</v>
      </c>
      <c r="I296" s="85">
        <f>1.22*G296</f>
        <v>160.21039999999999</v>
      </c>
      <c r="J296" s="86">
        <v>81.224599999999995</v>
      </c>
      <c r="K296" s="512">
        <f>SUM(H296:H315)</f>
        <v>2702.17</v>
      </c>
      <c r="L296" s="510">
        <v>72.83</v>
      </c>
    </row>
    <row r="297" spans="1:12" ht="15" customHeight="1" x14ac:dyDescent="0.25">
      <c r="A297" s="511"/>
      <c r="B297" s="511"/>
      <c r="C297" s="95" t="s">
        <v>46</v>
      </c>
      <c r="D297" s="104">
        <v>0</v>
      </c>
      <c r="E297" s="105">
        <v>2</v>
      </c>
      <c r="F297" s="85" t="str">
        <f t="shared" ref="F297:F315" si="22">LEFT(C297,2)&amp;D297&amp;E297</f>
        <v>B402</v>
      </c>
      <c r="G297" s="85">
        <v>128.28</v>
      </c>
      <c r="H297" s="85">
        <v>139.36450602070562</v>
      </c>
      <c r="I297" s="85">
        <f t="shared" ref="I297:I315" si="23">1.22*G297</f>
        <v>156.5016</v>
      </c>
      <c r="J297" s="86">
        <v>86.075999999999993</v>
      </c>
      <c r="K297" s="512"/>
      <c r="L297" s="510"/>
    </row>
    <row r="298" spans="1:12" ht="15" customHeight="1" x14ac:dyDescent="0.25">
      <c r="A298" s="511"/>
      <c r="B298" s="511"/>
      <c r="C298" s="95" t="s">
        <v>46</v>
      </c>
      <c r="D298" s="104">
        <v>0</v>
      </c>
      <c r="E298" s="105">
        <v>3</v>
      </c>
      <c r="F298" s="85" t="str">
        <f t="shared" si="22"/>
        <v>B403</v>
      </c>
      <c r="G298" s="85">
        <v>125.03</v>
      </c>
      <c r="H298" s="85">
        <v>135.83367779676351</v>
      </c>
      <c r="I298" s="85">
        <f t="shared" si="23"/>
        <v>152.53659999999999</v>
      </c>
      <c r="J298" s="86">
        <v>85.509600000000006</v>
      </c>
      <c r="K298" s="512"/>
      <c r="L298" s="510"/>
    </row>
    <row r="299" spans="1:12" ht="15" customHeight="1" x14ac:dyDescent="0.25">
      <c r="A299" s="511"/>
      <c r="B299" s="511"/>
      <c r="C299" s="95" t="s">
        <v>46</v>
      </c>
      <c r="D299" s="104">
        <v>0</v>
      </c>
      <c r="E299" s="105">
        <v>4</v>
      </c>
      <c r="F299" s="85" t="str">
        <f t="shared" si="22"/>
        <v>B404</v>
      </c>
      <c r="G299" s="85">
        <v>87.23</v>
      </c>
      <c r="H299" s="85">
        <v>94.767429530606108</v>
      </c>
      <c r="I299" s="85">
        <f t="shared" si="23"/>
        <v>106.42060000000001</v>
      </c>
      <c r="J299" s="86">
        <v>66.334900000000005</v>
      </c>
      <c r="K299" s="512"/>
      <c r="L299" s="510"/>
    </row>
    <row r="300" spans="1:12" ht="15" customHeight="1" x14ac:dyDescent="0.25">
      <c r="A300" s="511"/>
      <c r="B300" s="511"/>
      <c r="C300" s="95" t="s">
        <v>46</v>
      </c>
      <c r="D300" s="104">
        <v>1</v>
      </c>
      <c r="E300" s="105">
        <v>1</v>
      </c>
      <c r="F300" s="85" t="str">
        <f t="shared" si="22"/>
        <v>B411</v>
      </c>
      <c r="G300" s="85">
        <v>132.94</v>
      </c>
      <c r="H300" s="85">
        <v>144.42717048949646</v>
      </c>
      <c r="I300" s="85">
        <f t="shared" si="23"/>
        <v>162.18680000000001</v>
      </c>
      <c r="J300" s="85"/>
      <c r="K300" s="512"/>
      <c r="L300" s="510">
        <v>46.21</v>
      </c>
    </row>
    <row r="301" spans="1:12" ht="15" customHeight="1" x14ac:dyDescent="0.25">
      <c r="A301" s="511"/>
      <c r="B301" s="511"/>
      <c r="C301" s="95" t="s">
        <v>46</v>
      </c>
      <c r="D301" s="104">
        <v>1</v>
      </c>
      <c r="E301" s="105">
        <v>2</v>
      </c>
      <c r="F301" s="85" t="str">
        <f t="shared" si="22"/>
        <v>B412</v>
      </c>
      <c r="G301" s="85">
        <v>124.86</v>
      </c>
      <c r="H301" s="85">
        <v>135.64898832043423</v>
      </c>
      <c r="I301" s="85">
        <f t="shared" si="23"/>
        <v>152.32919999999999</v>
      </c>
      <c r="J301" s="85"/>
      <c r="K301" s="512"/>
      <c r="L301" s="510"/>
    </row>
    <row r="302" spans="1:12" ht="15" customHeight="1" x14ac:dyDescent="0.25">
      <c r="A302" s="511"/>
      <c r="B302" s="511"/>
      <c r="C302" s="95" t="s">
        <v>46</v>
      </c>
      <c r="D302" s="104">
        <v>1</v>
      </c>
      <c r="E302" s="105">
        <v>3</v>
      </c>
      <c r="F302" s="85" t="str">
        <f t="shared" si="22"/>
        <v>B413</v>
      </c>
      <c r="G302" s="85">
        <v>121.66</v>
      </c>
      <c r="H302" s="85">
        <v>132.17248053070662</v>
      </c>
      <c r="I302" s="85">
        <f t="shared" si="23"/>
        <v>148.42519999999999</v>
      </c>
      <c r="J302" s="85"/>
      <c r="K302" s="512"/>
      <c r="L302" s="510"/>
    </row>
    <row r="303" spans="1:12" ht="15" customHeight="1" x14ac:dyDescent="0.25">
      <c r="A303" s="511"/>
      <c r="B303" s="511"/>
      <c r="C303" s="95" t="s">
        <v>46</v>
      </c>
      <c r="D303" s="104">
        <v>1</v>
      </c>
      <c r="E303" s="105">
        <v>4</v>
      </c>
      <c r="F303" s="85" t="str">
        <f t="shared" si="22"/>
        <v>B414</v>
      </c>
      <c r="G303" s="85">
        <v>88.87</v>
      </c>
      <c r="H303" s="85">
        <v>96.549139772841514</v>
      </c>
      <c r="I303" s="85">
        <f t="shared" si="23"/>
        <v>108.42140000000001</v>
      </c>
      <c r="J303" s="85"/>
      <c r="K303" s="512"/>
      <c r="L303" s="510"/>
    </row>
    <row r="304" spans="1:12" ht="15" customHeight="1" x14ac:dyDescent="0.25">
      <c r="A304" s="511"/>
      <c r="B304" s="511"/>
      <c r="C304" s="95" t="s">
        <v>46</v>
      </c>
      <c r="D304" s="104">
        <v>2</v>
      </c>
      <c r="E304" s="105">
        <v>1</v>
      </c>
      <c r="F304" s="85" t="str">
        <f t="shared" si="22"/>
        <v>B421</v>
      </c>
      <c r="G304" s="85">
        <v>131.41999999999999</v>
      </c>
      <c r="H304" s="85">
        <v>142.77582928937582</v>
      </c>
      <c r="I304" s="85">
        <f t="shared" si="23"/>
        <v>160.33239999999998</v>
      </c>
      <c r="J304" s="85"/>
      <c r="K304" s="512"/>
      <c r="L304" s="510">
        <v>31.99</v>
      </c>
    </row>
    <row r="305" spans="1:12" ht="15" customHeight="1" x14ac:dyDescent="0.25">
      <c r="A305" s="511"/>
      <c r="B305" s="511"/>
      <c r="C305" s="95" t="s">
        <v>46</v>
      </c>
      <c r="D305" s="104">
        <v>2</v>
      </c>
      <c r="E305" s="105">
        <v>2</v>
      </c>
      <c r="F305" s="85" t="str">
        <f t="shared" si="22"/>
        <v>B422</v>
      </c>
      <c r="G305" s="85">
        <v>131.03</v>
      </c>
      <c r="H305" s="85">
        <v>142.35212990250278</v>
      </c>
      <c r="I305" s="85">
        <f t="shared" si="23"/>
        <v>159.85659999999999</v>
      </c>
      <c r="J305" s="85"/>
      <c r="K305" s="512"/>
      <c r="L305" s="510"/>
    </row>
    <row r="306" spans="1:12" ht="15" customHeight="1" x14ac:dyDescent="0.25">
      <c r="A306" s="511"/>
      <c r="B306" s="511"/>
      <c r="C306" s="95" t="s">
        <v>46</v>
      </c>
      <c r="D306" s="104">
        <v>2</v>
      </c>
      <c r="E306" s="105">
        <v>3</v>
      </c>
      <c r="F306" s="85" t="str">
        <f t="shared" si="22"/>
        <v>B423</v>
      </c>
      <c r="G306" s="85">
        <v>126.89</v>
      </c>
      <c r="H306" s="85">
        <v>137.85439794954269</v>
      </c>
      <c r="I306" s="85">
        <f t="shared" si="23"/>
        <v>154.8058</v>
      </c>
      <c r="J306" s="85"/>
      <c r="K306" s="512"/>
      <c r="L306" s="510"/>
    </row>
    <row r="307" spans="1:12" ht="15" customHeight="1" x14ac:dyDescent="0.25">
      <c r="A307" s="511"/>
      <c r="B307" s="511"/>
      <c r="C307" s="95" t="s">
        <v>46</v>
      </c>
      <c r="D307" s="104">
        <v>2</v>
      </c>
      <c r="E307" s="105">
        <v>4</v>
      </c>
      <c r="F307" s="85" t="str">
        <f t="shared" si="22"/>
        <v>B424</v>
      </c>
      <c r="G307" s="85">
        <v>126.99</v>
      </c>
      <c r="H307" s="85">
        <v>137.96303881797166</v>
      </c>
      <c r="I307" s="85">
        <f t="shared" si="23"/>
        <v>154.92779999999999</v>
      </c>
      <c r="J307" s="85"/>
      <c r="K307" s="512"/>
      <c r="L307" s="510"/>
    </row>
    <row r="308" spans="1:12" ht="15" customHeight="1" x14ac:dyDescent="0.25">
      <c r="A308" s="511"/>
      <c r="B308" s="511"/>
      <c r="C308" s="95" t="s">
        <v>46</v>
      </c>
      <c r="D308" s="104">
        <v>3</v>
      </c>
      <c r="E308" s="105">
        <v>1</v>
      </c>
      <c r="F308" s="85" t="str">
        <f t="shared" si="22"/>
        <v>B431</v>
      </c>
      <c r="G308" s="85">
        <v>131.88</v>
      </c>
      <c r="H308" s="85">
        <v>143.27557728414919</v>
      </c>
      <c r="I308" s="85">
        <f t="shared" si="23"/>
        <v>160.89359999999999</v>
      </c>
      <c r="J308" s="85"/>
      <c r="K308" s="512"/>
      <c r="L308" s="510">
        <v>31.94</v>
      </c>
    </row>
    <row r="309" spans="1:12" ht="15" customHeight="1" x14ac:dyDescent="0.25">
      <c r="A309" s="511"/>
      <c r="B309" s="511"/>
      <c r="C309" s="95" t="s">
        <v>46</v>
      </c>
      <c r="D309" s="104">
        <v>3</v>
      </c>
      <c r="E309" s="105">
        <v>2</v>
      </c>
      <c r="F309" s="85" t="str">
        <f t="shared" si="22"/>
        <v>B432</v>
      </c>
      <c r="G309" s="85">
        <v>131.02000000000001</v>
      </c>
      <c r="H309" s="85">
        <v>142.34126581565991</v>
      </c>
      <c r="I309" s="85">
        <f t="shared" si="23"/>
        <v>159.84440000000001</v>
      </c>
      <c r="J309" s="85"/>
      <c r="K309" s="512"/>
      <c r="L309" s="510"/>
    </row>
    <row r="310" spans="1:12" ht="15" customHeight="1" x14ac:dyDescent="0.25">
      <c r="A310" s="511"/>
      <c r="B310" s="511"/>
      <c r="C310" s="95" t="s">
        <v>46</v>
      </c>
      <c r="D310" s="104">
        <v>3</v>
      </c>
      <c r="E310" s="105">
        <v>3</v>
      </c>
      <c r="F310" s="85" t="str">
        <f t="shared" si="22"/>
        <v>B433</v>
      </c>
      <c r="G310" s="85">
        <v>126.87</v>
      </c>
      <c r="H310" s="85">
        <v>137.83266977585691</v>
      </c>
      <c r="I310" s="85">
        <f t="shared" si="23"/>
        <v>154.78139999999999</v>
      </c>
      <c r="J310" s="85"/>
      <c r="K310" s="512"/>
      <c r="L310" s="510"/>
    </row>
    <row r="311" spans="1:12" ht="15" customHeight="1" x14ac:dyDescent="0.25">
      <c r="A311" s="511"/>
      <c r="B311" s="511"/>
      <c r="C311" s="95" t="s">
        <v>46</v>
      </c>
      <c r="D311" s="104">
        <v>3</v>
      </c>
      <c r="E311" s="105">
        <v>4</v>
      </c>
      <c r="F311" s="85" t="str">
        <f t="shared" si="22"/>
        <v>B434</v>
      </c>
      <c r="G311" s="85">
        <v>127.41</v>
      </c>
      <c r="H311" s="85">
        <v>138.41933046537343</v>
      </c>
      <c r="I311" s="85">
        <f t="shared" si="23"/>
        <v>155.4402</v>
      </c>
      <c r="J311" s="85"/>
      <c r="K311" s="512"/>
      <c r="L311" s="510"/>
    </row>
    <row r="312" spans="1:12" ht="15" customHeight="1" x14ac:dyDescent="0.25">
      <c r="A312" s="511"/>
      <c r="B312" s="511"/>
      <c r="C312" s="95" t="s">
        <v>46</v>
      </c>
      <c r="D312" s="104">
        <v>4</v>
      </c>
      <c r="E312" s="105">
        <v>1</v>
      </c>
      <c r="F312" s="85" t="str">
        <f t="shared" si="22"/>
        <v>B441</v>
      </c>
      <c r="G312" s="85">
        <v>129.59</v>
      </c>
      <c r="H312" s="85">
        <v>140.78770139712537</v>
      </c>
      <c r="I312" s="85">
        <f t="shared" si="23"/>
        <v>158.09979999999999</v>
      </c>
      <c r="J312" s="85"/>
      <c r="K312" s="512"/>
      <c r="L312" s="510">
        <v>31.95</v>
      </c>
    </row>
    <row r="313" spans="1:12" ht="15" customHeight="1" x14ac:dyDescent="0.25">
      <c r="A313" s="511"/>
      <c r="B313" s="511"/>
      <c r="C313" s="95" t="s">
        <v>46</v>
      </c>
      <c r="D313" s="104">
        <v>4</v>
      </c>
      <c r="E313" s="105">
        <v>2</v>
      </c>
      <c r="F313" s="85" t="str">
        <f t="shared" si="22"/>
        <v>B442</v>
      </c>
      <c r="G313" s="85">
        <v>131.72</v>
      </c>
      <c r="H313" s="85">
        <v>143.10175189466281</v>
      </c>
      <c r="I313" s="85">
        <f t="shared" si="23"/>
        <v>160.69839999999999</v>
      </c>
      <c r="J313" s="85"/>
      <c r="K313" s="512"/>
      <c r="L313" s="510"/>
    </row>
    <row r="314" spans="1:12" ht="15" customHeight="1" x14ac:dyDescent="0.25">
      <c r="A314" s="511"/>
      <c r="B314" s="511"/>
      <c r="C314" s="95" t="s">
        <v>46</v>
      </c>
      <c r="D314" s="104">
        <v>4</v>
      </c>
      <c r="E314" s="105">
        <v>3</v>
      </c>
      <c r="F314" s="85" t="str">
        <f t="shared" si="22"/>
        <v>B443</v>
      </c>
      <c r="G314" s="85">
        <v>127.12</v>
      </c>
      <c r="H314" s="85">
        <v>138.10427194692937</v>
      </c>
      <c r="I314" s="85">
        <f t="shared" si="23"/>
        <v>155.0864</v>
      </c>
      <c r="J314" s="85"/>
      <c r="K314" s="512"/>
      <c r="L314" s="510"/>
    </row>
    <row r="315" spans="1:12" ht="15" customHeight="1" x14ac:dyDescent="0.25">
      <c r="A315" s="511"/>
      <c r="B315" s="511"/>
      <c r="C315" s="95" t="s">
        <v>46</v>
      </c>
      <c r="D315" s="104">
        <v>4</v>
      </c>
      <c r="E315" s="105">
        <v>4</v>
      </c>
      <c r="F315" s="85" t="str">
        <f t="shared" si="22"/>
        <v>B444</v>
      </c>
      <c r="G315" s="85">
        <v>125.12</v>
      </c>
      <c r="H315" s="85">
        <v>135.93145457834962</v>
      </c>
      <c r="I315" s="85">
        <f t="shared" si="23"/>
        <v>152.6464</v>
      </c>
      <c r="J315" s="85"/>
      <c r="K315" s="512"/>
      <c r="L315" s="510"/>
    </row>
    <row r="316" spans="1:12" ht="15" customHeight="1" x14ac:dyDescent="0.25">
      <c r="A316" s="83" t="s">
        <v>4</v>
      </c>
      <c r="B316" s="83"/>
      <c r="C316" s="83"/>
      <c r="D316" s="103"/>
      <c r="E316" s="103"/>
      <c r="F316" s="83"/>
      <c r="G316" s="83">
        <f>SUM(G296:G315)</f>
        <v>2487.2499999999995</v>
      </c>
      <c r="H316" s="83"/>
      <c r="I316" s="83">
        <f>SUM(I296:I315)</f>
        <v>3034.4450000000002</v>
      </c>
      <c r="J316" s="83"/>
      <c r="K316" s="83">
        <f>SUM(K296)</f>
        <v>2702.17</v>
      </c>
      <c r="L316" s="83">
        <f>L312+L308+L304+L300+L296</f>
        <v>214.92000000000002</v>
      </c>
    </row>
    <row r="317" spans="1:12" ht="15" customHeight="1" x14ac:dyDescent="0.25">
      <c r="A317" s="97"/>
      <c r="L317" s="99">
        <f>(L296+L300+L304+L308+L312)/K316</f>
        <v>7.9536076560690103E-2</v>
      </c>
    </row>
    <row r="318" spans="1:12" ht="15" customHeight="1" x14ac:dyDescent="0.25"/>
    <row r="319" spans="1:12" ht="39.950000000000003" customHeight="1" x14ac:dyDescent="0.25">
      <c r="A319" s="82" t="s">
        <v>9</v>
      </c>
      <c r="B319" s="83" t="s">
        <v>7</v>
      </c>
      <c r="C319" s="82" t="s">
        <v>8</v>
      </c>
      <c r="D319" s="102" t="s">
        <v>10</v>
      </c>
      <c r="E319" s="103" t="s">
        <v>2</v>
      </c>
      <c r="F319" s="82" t="s">
        <v>104</v>
      </c>
      <c r="G319" s="82" t="s">
        <v>3</v>
      </c>
      <c r="H319" s="82" t="s">
        <v>102</v>
      </c>
      <c r="I319" s="82" t="s">
        <v>101</v>
      </c>
      <c r="J319" s="82" t="s">
        <v>103</v>
      </c>
      <c r="K319" s="83" t="s">
        <v>6</v>
      </c>
      <c r="L319" s="83" t="s">
        <v>1</v>
      </c>
    </row>
    <row r="320" spans="1:12" ht="15" customHeight="1" x14ac:dyDescent="0.25">
      <c r="A320" s="511" t="s">
        <v>38</v>
      </c>
      <c r="B320" s="511" t="s">
        <v>44</v>
      </c>
      <c r="C320" s="95" t="s">
        <v>45</v>
      </c>
      <c r="D320" s="104">
        <v>0</v>
      </c>
      <c r="E320" s="105">
        <v>1</v>
      </c>
      <c r="F320" s="85" t="str">
        <f>LEFT(C320,2)&amp;D320&amp;E320</f>
        <v>B501</v>
      </c>
      <c r="G320" s="85">
        <v>131.34</v>
      </c>
      <c r="H320" s="85">
        <v>142.61992000608555</v>
      </c>
      <c r="I320" s="85">
        <f>1.22*G320</f>
        <v>160.23480000000001</v>
      </c>
      <c r="J320" s="86">
        <v>75.025700000000001</v>
      </c>
      <c r="K320" s="512">
        <f>SUM(H320:H339)</f>
        <v>2712.1999999999985</v>
      </c>
      <c r="L320" s="510">
        <v>72.63</v>
      </c>
    </row>
    <row r="321" spans="1:12" ht="15" customHeight="1" x14ac:dyDescent="0.25">
      <c r="A321" s="511"/>
      <c r="B321" s="511"/>
      <c r="C321" s="95" t="s">
        <v>45</v>
      </c>
      <c r="D321" s="104">
        <v>0</v>
      </c>
      <c r="E321" s="105">
        <v>2</v>
      </c>
      <c r="F321" s="85" t="str">
        <f t="shared" ref="F321:F339" si="24">LEFT(C321,2)&amp;D321&amp;E321</f>
        <v>B502</v>
      </c>
      <c r="G321" s="85">
        <v>129.57</v>
      </c>
      <c r="H321" s="85">
        <v>140.69790646557411</v>
      </c>
      <c r="I321" s="85">
        <f t="shared" ref="I321:I339" si="25">1.22*G321</f>
        <v>158.0754</v>
      </c>
      <c r="J321" s="86">
        <v>84.036199999999994</v>
      </c>
      <c r="K321" s="512"/>
      <c r="L321" s="510"/>
    </row>
    <row r="322" spans="1:12" ht="15" customHeight="1" x14ac:dyDescent="0.25">
      <c r="A322" s="511"/>
      <c r="B322" s="511"/>
      <c r="C322" s="95" t="s">
        <v>45</v>
      </c>
      <c r="D322" s="104">
        <v>0</v>
      </c>
      <c r="E322" s="105">
        <v>3</v>
      </c>
      <c r="F322" s="85" t="str">
        <f t="shared" si="24"/>
        <v>B503</v>
      </c>
      <c r="G322" s="85">
        <v>125.09</v>
      </c>
      <c r="H322" s="85">
        <v>135.83314902970338</v>
      </c>
      <c r="I322" s="85">
        <f t="shared" si="25"/>
        <v>152.60980000000001</v>
      </c>
      <c r="J322" s="86">
        <v>85.562899999999999</v>
      </c>
      <c r="K322" s="512"/>
      <c r="L322" s="510"/>
    </row>
    <row r="323" spans="1:12" ht="15" customHeight="1" x14ac:dyDescent="0.25">
      <c r="A323" s="511"/>
      <c r="B323" s="511"/>
      <c r="C323" s="95" t="s">
        <v>45</v>
      </c>
      <c r="D323" s="104">
        <v>0</v>
      </c>
      <c r="E323" s="105">
        <v>4</v>
      </c>
      <c r="F323" s="85" t="str">
        <f t="shared" si="24"/>
        <v>B504</v>
      </c>
      <c r="G323" s="85">
        <v>87.23</v>
      </c>
      <c r="H323" s="85">
        <v>94.721605163170736</v>
      </c>
      <c r="I323" s="85">
        <f t="shared" si="25"/>
        <v>106.42060000000001</v>
      </c>
      <c r="J323" s="86">
        <v>67.096199999999996</v>
      </c>
      <c r="K323" s="512"/>
      <c r="L323" s="510"/>
    </row>
    <row r="324" spans="1:12" ht="15" customHeight="1" x14ac:dyDescent="0.25">
      <c r="A324" s="511"/>
      <c r="B324" s="511"/>
      <c r="C324" s="95" t="s">
        <v>45</v>
      </c>
      <c r="D324" s="104">
        <v>1</v>
      </c>
      <c r="E324" s="105">
        <v>1</v>
      </c>
      <c r="F324" s="85" t="str">
        <f t="shared" si="24"/>
        <v>B511</v>
      </c>
      <c r="G324" s="85">
        <v>129.04</v>
      </c>
      <c r="H324" s="85">
        <v>140.1223882867769</v>
      </c>
      <c r="I324" s="85">
        <f t="shared" si="25"/>
        <v>157.4288</v>
      </c>
      <c r="J324" s="85"/>
      <c r="K324" s="512"/>
      <c r="L324" s="510">
        <v>46.11</v>
      </c>
    </row>
    <row r="325" spans="1:12" ht="15" customHeight="1" x14ac:dyDescent="0.25">
      <c r="A325" s="511"/>
      <c r="B325" s="511"/>
      <c r="C325" s="95" t="s">
        <v>45</v>
      </c>
      <c r="D325" s="104">
        <v>1</v>
      </c>
      <c r="E325" s="105">
        <v>2</v>
      </c>
      <c r="F325" s="85" t="str">
        <f t="shared" si="24"/>
        <v>B512</v>
      </c>
      <c r="G325" s="85">
        <v>131.43</v>
      </c>
      <c r="H325" s="85">
        <v>142.71764950814546</v>
      </c>
      <c r="I325" s="85">
        <f t="shared" si="25"/>
        <v>160.34460000000001</v>
      </c>
      <c r="J325" s="85"/>
      <c r="K325" s="512"/>
      <c r="L325" s="510"/>
    </row>
    <row r="326" spans="1:12" ht="15" customHeight="1" x14ac:dyDescent="0.25">
      <c r="A326" s="511"/>
      <c r="B326" s="511"/>
      <c r="C326" s="95" t="s">
        <v>45</v>
      </c>
      <c r="D326" s="104">
        <v>1</v>
      </c>
      <c r="E326" s="105">
        <v>3</v>
      </c>
      <c r="F326" s="85" t="str">
        <f t="shared" si="24"/>
        <v>B513</v>
      </c>
      <c r="G326" s="85">
        <v>127.14</v>
      </c>
      <c r="H326" s="85">
        <v>138.05920990995673</v>
      </c>
      <c r="I326" s="85">
        <f t="shared" si="25"/>
        <v>155.11079999999998</v>
      </c>
      <c r="J326" s="85"/>
      <c r="K326" s="512"/>
      <c r="L326" s="510"/>
    </row>
    <row r="327" spans="1:12" ht="15" customHeight="1" x14ac:dyDescent="0.25">
      <c r="A327" s="511"/>
      <c r="B327" s="511"/>
      <c r="C327" s="95" t="s">
        <v>45</v>
      </c>
      <c r="D327" s="104">
        <v>1</v>
      </c>
      <c r="E327" s="105">
        <v>4</v>
      </c>
      <c r="F327" s="85" t="str">
        <f t="shared" si="24"/>
        <v>B514</v>
      </c>
      <c r="G327" s="85">
        <v>88.87</v>
      </c>
      <c r="H327" s="85">
        <v>96.502453867373418</v>
      </c>
      <c r="I327" s="85">
        <f t="shared" si="25"/>
        <v>108.42140000000001</v>
      </c>
      <c r="J327" s="85"/>
      <c r="K327" s="512"/>
      <c r="L327" s="510"/>
    </row>
    <row r="328" spans="1:12" ht="15" customHeight="1" x14ac:dyDescent="0.25">
      <c r="A328" s="511"/>
      <c r="B328" s="511"/>
      <c r="C328" s="95" t="s">
        <v>45</v>
      </c>
      <c r="D328" s="104">
        <v>2</v>
      </c>
      <c r="E328" s="105">
        <v>1</v>
      </c>
      <c r="F328" s="85" t="str">
        <f t="shared" si="24"/>
        <v>B521</v>
      </c>
      <c r="G328" s="85">
        <v>131.43</v>
      </c>
      <c r="H328" s="85">
        <v>142.71764950814546</v>
      </c>
      <c r="I328" s="85">
        <f t="shared" si="25"/>
        <v>160.34460000000001</v>
      </c>
      <c r="J328" s="85"/>
      <c r="K328" s="512"/>
      <c r="L328" s="510">
        <v>31.98</v>
      </c>
    </row>
    <row r="329" spans="1:12" ht="15" customHeight="1" x14ac:dyDescent="0.25">
      <c r="A329" s="511"/>
      <c r="B329" s="511"/>
      <c r="C329" s="95" t="s">
        <v>45</v>
      </c>
      <c r="D329" s="104">
        <v>2</v>
      </c>
      <c r="E329" s="105">
        <v>2</v>
      </c>
      <c r="F329" s="85" t="str">
        <f t="shared" si="24"/>
        <v>B522</v>
      </c>
      <c r="G329" s="85">
        <v>131.44</v>
      </c>
      <c r="H329" s="85">
        <v>142.72850834170768</v>
      </c>
      <c r="I329" s="85">
        <f t="shared" si="25"/>
        <v>160.35679999999999</v>
      </c>
      <c r="J329" s="85"/>
      <c r="K329" s="512"/>
      <c r="L329" s="510"/>
    </row>
    <row r="330" spans="1:12" ht="15" customHeight="1" x14ac:dyDescent="0.25">
      <c r="A330" s="511"/>
      <c r="B330" s="511"/>
      <c r="C330" s="95" t="s">
        <v>45</v>
      </c>
      <c r="D330" s="104">
        <v>2</v>
      </c>
      <c r="E330" s="105">
        <v>3</v>
      </c>
      <c r="F330" s="85" t="str">
        <f t="shared" si="24"/>
        <v>B523</v>
      </c>
      <c r="G330" s="85">
        <v>126.95</v>
      </c>
      <c r="H330" s="85">
        <v>137.85289207227473</v>
      </c>
      <c r="I330" s="85">
        <f t="shared" si="25"/>
        <v>154.87899999999999</v>
      </c>
      <c r="J330" s="85"/>
      <c r="K330" s="512"/>
      <c r="L330" s="510"/>
    </row>
    <row r="331" spans="1:12" ht="15" customHeight="1" x14ac:dyDescent="0.25">
      <c r="A331" s="511"/>
      <c r="B331" s="511"/>
      <c r="C331" s="95" t="s">
        <v>45</v>
      </c>
      <c r="D331" s="104">
        <v>2</v>
      </c>
      <c r="E331" s="105">
        <v>4</v>
      </c>
      <c r="F331" s="85" t="str">
        <f t="shared" si="24"/>
        <v>B524</v>
      </c>
      <c r="G331" s="85">
        <v>127.15</v>
      </c>
      <c r="H331" s="85">
        <v>138.07006874351896</v>
      </c>
      <c r="I331" s="85">
        <f t="shared" si="25"/>
        <v>155.12299999999999</v>
      </c>
      <c r="J331" s="85"/>
      <c r="K331" s="512"/>
      <c r="L331" s="510"/>
    </row>
    <row r="332" spans="1:12" ht="15" customHeight="1" x14ac:dyDescent="0.25">
      <c r="A332" s="511"/>
      <c r="B332" s="511"/>
      <c r="C332" s="95" t="s">
        <v>45</v>
      </c>
      <c r="D332" s="104">
        <v>3</v>
      </c>
      <c r="E332" s="105">
        <v>1</v>
      </c>
      <c r="F332" s="85" t="str">
        <f t="shared" si="24"/>
        <v>B531</v>
      </c>
      <c r="G332" s="85">
        <v>131.88</v>
      </c>
      <c r="H332" s="85">
        <v>143.20629701844499</v>
      </c>
      <c r="I332" s="85">
        <f t="shared" si="25"/>
        <v>160.89359999999999</v>
      </c>
      <c r="J332" s="85"/>
      <c r="K332" s="512"/>
      <c r="L332" s="510">
        <v>31.9</v>
      </c>
    </row>
    <row r="333" spans="1:12" ht="15" customHeight="1" x14ac:dyDescent="0.25">
      <c r="A333" s="511"/>
      <c r="B333" s="511"/>
      <c r="C333" s="95" t="s">
        <v>45</v>
      </c>
      <c r="D333" s="104">
        <v>3</v>
      </c>
      <c r="E333" s="105">
        <v>2</v>
      </c>
      <c r="F333" s="85" t="str">
        <f t="shared" si="24"/>
        <v>B532</v>
      </c>
      <c r="G333" s="85">
        <v>131.43</v>
      </c>
      <c r="H333" s="85">
        <v>142.71764950814546</v>
      </c>
      <c r="I333" s="85">
        <f t="shared" si="25"/>
        <v>160.34460000000001</v>
      </c>
      <c r="J333" s="85"/>
      <c r="K333" s="512"/>
      <c r="L333" s="510"/>
    </row>
    <row r="334" spans="1:12" ht="15" customHeight="1" x14ac:dyDescent="0.25">
      <c r="A334" s="511"/>
      <c r="B334" s="511"/>
      <c r="C334" s="95" t="s">
        <v>45</v>
      </c>
      <c r="D334" s="104">
        <v>3</v>
      </c>
      <c r="E334" s="105">
        <v>3</v>
      </c>
      <c r="F334" s="85" t="str">
        <f t="shared" si="24"/>
        <v>B533</v>
      </c>
      <c r="G334" s="85">
        <v>126.97</v>
      </c>
      <c r="H334" s="85">
        <v>137.87460973939915</v>
      </c>
      <c r="I334" s="85">
        <f t="shared" si="25"/>
        <v>154.9034</v>
      </c>
      <c r="J334" s="85"/>
      <c r="K334" s="512"/>
      <c r="L334" s="510"/>
    </row>
    <row r="335" spans="1:12" ht="15" customHeight="1" x14ac:dyDescent="0.25">
      <c r="A335" s="511"/>
      <c r="B335" s="511"/>
      <c r="C335" s="95" t="s">
        <v>45</v>
      </c>
      <c r="D335" s="104">
        <v>3</v>
      </c>
      <c r="E335" s="105">
        <v>4</v>
      </c>
      <c r="F335" s="85" t="str">
        <f t="shared" si="24"/>
        <v>B534</v>
      </c>
      <c r="G335" s="85">
        <v>127.45</v>
      </c>
      <c r="H335" s="85">
        <v>138.39583375038529</v>
      </c>
      <c r="I335" s="85">
        <f t="shared" si="25"/>
        <v>155.489</v>
      </c>
      <c r="J335" s="85"/>
      <c r="K335" s="512"/>
      <c r="L335" s="510"/>
    </row>
    <row r="336" spans="1:12" ht="15" customHeight="1" x14ac:dyDescent="0.25">
      <c r="A336" s="511"/>
      <c r="B336" s="511"/>
      <c r="C336" s="95" t="s">
        <v>45</v>
      </c>
      <c r="D336" s="104">
        <v>4</v>
      </c>
      <c r="E336" s="105">
        <v>1</v>
      </c>
      <c r="F336" s="85" t="str">
        <f t="shared" si="24"/>
        <v>B541</v>
      </c>
      <c r="G336" s="85">
        <v>129.58000000000001</v>
      </c>
      <c r="H336" s="85">
        <v>140.70876529913636</v>
      </c>
      <c r="I336" s="85">
        <f t="shared" si="25"/>
        <v>158.08760000000001</v>
      </c>
      <c r="J336" s="85"/>
      <c r="K336" s="512"/>
      <c r="L336" s="510">
        <v>31.9</v>
      </c>
    </row>
    <row r="337" spans="1:12" ht="15" customHeight="1" x14ac:dyDescent="0.25">
      <c r="A337" s="511"/>
      <c r="B337" s="511"/>
      <c r="C337" s="95" t="s">
        <v>45</v>
      </c>
      <c r="D337" s="104">
        <v>4</v>
      </c>
      <c r="E337" s="105">
        <v>2</v>
      </c>
      <c r="F337" s="85" t="str">
        <f t="shared" si="24"/>
        <v>B542</v>
      </c>
      <c r="G337" s="85">
        <v>131.38</v>
      </c>
      <c r="H337" s="85">
        <v>142.66335534033439</v>
      </c>
      <c r="I337" s="85">
        <f t="shared" si="25"/>
        <v>160.28359999999998</v>
      </c>
      <c r="J337" s="85"/>
      <c r="K337" s="512"/>
      <c r="L337" s="510"/>
    </row>
    <row r="338" spans="1:12" ht="15" customHeight="1" x14ac:dyDescent="0.25">
      <c r="A338" s="511"/>
      <c r="B338" s="511"/>
      <c r="C338" s="95" t="s">
        <v>45</v>
      </c>
      <c r="D338" s="104">
        <v>4</v>
      </c>
      <c r="E338" s="105">
        <v>3</v>
      </c>
      <c r="F338" s="85" t="str">
        <f t="shared" si="24"/>
        <v>B543</v>
      </c>
      <c r="G338" s="85">
        <v>127.19</v>
      </c>
      <c r="H338" s="85">
        <v>138.1135040777678</v>
      </c>
      <c r="I338" s="85">
        <f t="shared" si="25"/>
        <v>155.17179999999999</v>
      </c>
      <c r="J338" s="85"/>
      <c r="K338" s="512"/>
      <c r="L338" s="510"/>
    </row>
    <row r="339" spans="1:12" ht="15" customHeight="1" x14ac:dyDescent="0.25">
      <c r="A339" s="511"/>
      <c r="B339" s="511"/>
      <c r="C339" s="95" t="s">
        <v>45</v>
      </c>
      <c r="D339" s="104">
        <v>4</v>
      </c>
      <c r="E339" s="105">
        <v>4</v>
      </c>
      <c r="F339" s="85" t="str">
        <f t="shared" si="24"/>
        <v>B544</v>
      </c>
      <c r="G339" s="85">
        <v>125.13</v>
      </c>
      <c r="H339" s="85">
        <v>135.87658436395222</v>
      </c>
      <c r="I339" s="85">
        <f t="shared" si="25"/>
        <v>152.65859999999998</v>
      </c>
      <c r="J339" s="85"/>
      <c r="K339" s="512"/>
      <c r="L339" s="510"/>
    </row>
    <row r="340" spans="1:12" ht="15" customHeight="1" x14ac:dyDescent="0.25">
      <c r="A340" s="83" t="s">
        <v>4</v>
      </c>
      <c r="B340" s="83"/>
      <c r="C340" s="83"/>
      <c r="D340" s="103"/>
      <c r="E340" s="103"/>
      <c r="F340" s="83"/>
      <c r="G340" s="83">
        <f>SUM(G320:G339)</f>
        <v>2497.690000000001</v>
      </c>
      <c r="H340" s="83"/>
      <c r="I340" s="83"/>
      <c r="J340" s="83"/>
      <c r="K340" s="83">
        <f>SUM(K320)</f>
        <v>2712.1999999999985</v>
      </c>
      <c r="L340" s="83">
        <f>L336+L332+L328+L324+L320</f>
        <v>214.51999999999998</v>
      </c>
    </row>
    <row r="341" spans="1:12" ht="15" customHeight="1" x14ac:dyDescent="0.25">
      <c r="A341" s="97"/>
      <c r="L341" s="99">
        <f>(L320+L324+L328+L332+L336)/K340</f>
        <v>7.9094462060320087E-2</v>
      </c>
    </row>
    <row r="343" spans="1:12" ht="37.5" x14ac:dyDescent="0.25">
      <c r="A343" s="82" t="s">
        <v>9</v>
      </c>
      <c r="B343" s="83" t="s">
        <v>7</v>
      </c>
      <c r="C343" s="82" t="s">
        <v>8</v>
      </c>
      <c r="D343" s="102" t="s">
        <v>10</v>
      </c>
      <c r="E343" s="103" t="s">
        <v>2</v>
      </c>
      <c r="F343" s="82" t="s">
        <v>104</v>
      </c>
      <c r="G343" s="82" t="s">
        <v>3</v>
      </c>
      <c r="H343" s="82" t="s">
        <v>102</v>
      </c>
      <c r="I343" s="82" t="s">
        <v>101</v>
      </c>
      <c r="J343" s="82" t="s">
        <v>103</v>
      </c>
      <c r="K343" s="83" t="s">
        <v>6</v>
      </c>
      <c r="L343" s="83" t="s">
        <v>1</v>
      </c>
    </row>
    <row r="344" spans="1:12" ht="15" customHeight="1" x14ac:dyDescent="0.25">
      <c r="A344" s="515" t="s">
        <v>33</v>
      </c>
      <c r="B344" s="516" t="s">
        <v>50</v>
      </c>
      <c r="C344" s="95" t="s">
        <v>54</v>
      </c>
      <c r="D344" s="104">
        <v>0</v>
      </c>
      <c r="E344" s="105">
        <v>1</v>
      </c>
      <c r="F344" s="85" t="str">
        <f>LEFT(C344,2)&amp;D344&amp;E344</f>
        <v>B601</v>
      </c>
      <c r="G344" s="84">
        <v>95.254000000000005</v>
      </c>
      <c r="H344" s="85">
        <v>105.53950812408786</v>
      </c>
      <c r="I344" s="85">
        <f>1.22*G344</f>
        <v>116.20988</v>
      </c>
      <c r="J344" s="86">
        <v>63.664700000000003</v>
      </c>
      <c r="K344" s="512">
        <f>SUM(H344:H363)</f>
        <v>3407.9829999999993</v>
      </c>
      <c r="L344" s="510">
        <v>99.266000000000005</v>
      </c>
    </row>
    <row r="345" spans="1:12" ht="15" customHeight="1" x14ac:dyDescent="0.25">
      <c r="A345" s="515"/>
      <c r="B345" s="516"/>
      <c r="C345" s="95" t="s">
        <v>54</v>
      </c>
      <c r="D345" s="104">
        <v>0</v>
      </c>
      <c r="E345" s="105">
        <v>2</v>
      </c>
      <c r="F345" s="85" t="str">
        <f t="shared" ref="F345:F363" si="26">LEFT(C345,2)&amp;D345&amp;E345</f>
        <v>B602</v>
      </c>
      <c r="G345" s="84">
        <v>162.82599999999999</v>
      </c>
      <c r="H345" s="85">
        <v>180.40791935050211</v>
      </c>
      <c r="I345" s="85">
        <f t="shared" ref="I345:I363" si="27">1.22*G345</f>
        <v>198.64771999999999</v>
      </c>
      <c r="J345" s="86">
        <v>77.610299999999995</v>
      </c>
      <c r="K345" s="512"/>
      <c r="L345" s="510"/>
    </row>
    <row r="346" spans="1:12" ht="15" customHeight="1" x14ac:dyDescent="0.25">
      <c r="A346" s="515"/>
      <c r="B346" s="516"/>
      <c r="C346" s="95" t="s">
        <v>54</v>
      </c>
      <c r="D346" s="104">
        <v>0</v>
      </c>
      <c r="E346" s="105">
        <v>3</v>
      </c>
      <c r="F346" s="85" t="str">
        <f t="shared" si="26"/>
        <v>B603</v>
      </c>
      <c r="G346" s="84">
        <v>183.887</v>
      </c>
      <c r="H346" s="85">
        <v>203.74308197465874</v>
      </c>
      <c r="I346" s="85">
        <f t="shared" si="27"/>
        <v>224.34214</v>
      </c>
      <c r="J346" s="86">
        <v>54.576500000000003</v>
      </c>
      <c r="K346" s="512"/>
      <c r="L346" s="510"/>
    </row>
    <row r="347" spans="1:12" ht="15" customHeight="1" x14ac:dyDescent="0.25">
      <c r="A347" s="515"/>
      <c r="B347" s="516"/>
      <c r="C347" s="95" t="s">
        <v>54</v>
      </c>
      <c r="D347" s="104">
        <v>0</v>
      </c>
      <c r="E347" s="105">
        <v>4</v>
      </c>
      <c r="F347" s="85" t="str">
        <f t="shared" si="26"/>
        <v>B604</v>
      </c>
      <c r="G347" s="84">
        <v>147.54499999999999</v>
      </c>
      <c r="H347" s="85">
        <v>163.47687998581205</v>
      </c>
      <c r="I347" s="85">
        <f t="shared" si="27"/>
        <v>180.00489999999999</v>
      </c>
      <c r="J347" s="86">
        <v>76.683400000000006</v>
      </c>
      <c r="K347" s="512"/>
      <c r="L347" s="510"/>
    </row>
    <row r="348" spans="1:12" ht="15" customHeight="1" x14ac:dyDescent="0.25">
      <c r="A348" s="515"/>
      <c r="B348" s="516"/>
      <c r="C348" s="95" t="s">
        <v>54</v>
      </c>
      <c r="D348" s="104">
        <v>1</v>
      </c>
      <c r="E348" s="105">
        <v>1</v>
      </c>
      <c r="F348" s="85" t="str">
        <f t="shared" si="26"/>
        <v>B611</v>
      </c>
      <c r="G348" s="84">
        <v>96.311000000000007</v>
      </c>
      <c r="H348" s="85">
        <v>106.71064277551626</v>
      </c>
      <c r="I348" s="85">
        <f t="shared" si="27"/>
        <v>117.49942</v>
      </c>
      <c r="J348" s="84"/>
      <c r="K348" s="512"/>
      <c r="L348" s="510">
        <v>73.486999999999995</v>
      </c>
    </row>
    <row r="349" spans="1:12" ht="15" customHeight="1" x14ac:dyDescent="0.25">
      <c r="A349" s="515"/>
      <c r="B349" s="516"/>
      <c r="C349" s="95" t="s">
        <v>54</v>
      </c>
      <c r="D349" s="104">
        <v>1</v>
      </c>
      <c r="E349" s="105">
        <v>2</v>
      </c>
      <c r="F349" s="85" t="str">
        <f t="shared" si="26"/>
        <v>B612</v>
      </c>
      <c r="G349" s="84">
        <v>162.57599999999999</v>
      </c>
      <c r="H349" s="85">
        <v>180.13092439983313</v>
      </c>
      <c r="I349" s="85">
        <f t="shared" si="27"/>
        <v>198.34271999999999</v>
      </c>
      <c r="J349" s="84"/>
      <c r="K349" s="512"/>
      <c r="L349" s="510"/>
    </row>
    <row r="350" spans="1:12" ht="15" customHeight="1" x14ac:dyDescent="0.25">
      <c r="A350" s="515"/>
      <c r="B350" s="516"/>
      <c r="C350" s="95" t="s">
        <v>54</v>
      </c>
      <c r="D350" s="104">
        <v>1</v>
      </c>
      <c r="E350" s="105">
        <v>3</v>
      </c>
      <c r="F350" s="85" t="str">
        <f t="shared" si="26"/>
        <v>B613</v>
      </c>
      <c r="G350" s="84">
        <v>183.637</v>
      </c>
      <c r="H350" s="85">
        <v>203.46608702398976</v>
      </c>
      <c r="I350" s="85">
        <f t="shared" si="27"/>
        <v>224.03713999999999</v>
      </c>
      <c r="J350" s="84"/>
      <c r="K350" s="512"/>
      <c r="L350" s="510"/>
    </row>
    <row r="351" spans="1:12" ht="15" customHeight="1" x14ac:dyDescent="0.25">
      <c r="A351" s="515"/>
      <c r="B351" s="516"/>
      <c r="C351" s="95" t="s">
        <v>54</v>
      </c>
      <c r="D351" s="104">
        <v>1</v>
      </c>
      <c r="E351" s="105">
        <v>4</v>
      </c>
      <c r="F351" s="85" t="str">
        <f t="shared" si="26"/>
        <v>B614</v>
      </c>
      <c r="G351" s="84">
        <v>141.66300000000001</v>
      </c>
      <c r="H351" s="85">
        <v>156.95974278647259</v>
      </c>
      <c r="I351" s="85">
        <f t="shared" si="27"/>
        <v>172.82886000000002</v>
      </c>
      <c r="J351" s="84"/>
      <c r="K351" s="512"/>
      <c r="L351" s="510"/>
    </row>
    <row r="352" spans="1:12" ht="15" customHeight="1" x14ac:dyDescent="0.25">
      <c r="A352" s="515"/>
      <c r="B352" s="516"/>
      <c r="C352" s="95" t="s">
        <v>54</v>
      </c>
      <c r="D352" s="104">
        <v>2</v>
      </c>
      <c r="E352" s="105">
        <v>1</v>
      </c>
      <c r="F352" s="85" t="str">
        <f t="shared" si="26"/>
        <v>B621</v>
      </c>
      <c r="G352" s="84">
        <v>141.22499999999999</v>
      </c>
      <c r="H352" s="85">
        <v>156.47444763290054</v>
      </c>
      <c r="I352" s="85">
        <f t="shared" si="27"/>
        <v>172.2945</v>
      </c>
      <c r="J352" s="84"/>
      <c r="K352" s="512"/>
      <c r="L352" s="510">
        <v>53.119</v>
      </c>
    </row>
    <row r="353" spans="1:12" ht="15" customHeight="1" x14ac:dyDescent="0.25">
      <c r="A353" s="515"/>
      <c r="B353" s="516"/>
      <c r="C353" s="95" t="s">
        <v>54</v>
      </c>
      <c r="D353" s="104">
        <v>2</v>
      </c>
      <c r="E353" s="105">
        <v>2</v>
      </c>
      <c r="F353" s="85" t="str">
        <f t="shared" si="26"/>
        <v>B622</v>
      </c>
      <c r="G353" s="84">
        <v>167.214</v>
      </c>
      <c r="H353" s="85">
        <v>185.26973472464385</v>
      </c>
      <c r="I353" s="85">
        <f t="shared" si="27"/>
        <v>204.00108</v>
      </c>
      <c r="J353" s="84"/>
      <c r="K353" s="512"/>
      <c r="L353" s="510"/>
    </row>
    <row r="354" spans="1:12" ht="15" customHeight="1" x14ac:dyDescent="0.25">
      <c r="A354" s="515"/>
      <c r="B354" s="516"/>
      <c r="C354" s="95" t="s">
        <v>54</v>
      </c>
      <c r="D354" s="104">
        <v>2</v>
      </c>
      <c r="E354" s="105">
        <v>3</v>
      </c>
      <c r="F354" s="85" t="str">
        <f t="shared" si="26"/>
        <v>B623</v>
      </c>
      <c r="G354" s="84">
        <v>187.10300000000001</v>
      </c>
      <c r="H354" s="85">
        <v>207.30634502006436</v>
      </c>
      <c r="I354" s="85">
        <f t="shared" si="27"/>
        <v>228.26566</v>
      </c>
      <c r="J354" s="84"/>
      <c r="K354" s="512"/>
      <c r="L354" s="510"/>
    </row>
    <row r="355" spans="1:12" ht="15" customHeight="1" x14ac:dyDescent="0.25">
      <c r="A355" s="515"/>
      <c r="B355" s="516"/>
      <c r="C355" s="95" t="s">
        <v>54</v>
      </c>
      <c r="D355" s="104">
        <v>2</v>
      </c>
      <c r="E355" s="105">
        <v>4</v>
      </c>
      <c r="F355" s="85" t="str">
        <f t="shared" si="26"/>
        <v>B624</v>
      </c>
      <c r="G355" s="84">
        <v>143.989</v>
      </c>
      <c r="H355" s="85">
        <v>159.53690380749666</v>
      </c>
      <c r="I355" s="85">
        <f t="shared" si="27"/>
        <v>175.66658000000001</v>
      </c>
      <c r="J355" s="84"/>
      <c r="K355" s="512"/>
      <c r="L355" s="510"/>
    </row>
    <row r="356" spans="1:12" ht="15" customHeight="1" x14ac:dyDescent="0.25">
      <c r="A356" s="515"/>
      <c r="B356" s="516"/>
      <c r="C356" s="95" t="s">
        <v>54</v>
      </c>
      <c r="D356" s="104">
        <v>3</v>
      </c>
      <c r="E356" s="105">
        <v>1</v>
      </c>
      <c r="F356" s="85" t="str">
        <f t="shared" si="26"/>
        <v>B631</v>
      </c>
      <c r="G356" s="84">
        <v>141.131</v>
      </c>
      <c r="H356" s="85">
        <v>156.37029753144901</v>
      </c>
      <c r="I356" s="85">
        <f t="shared" si="27"/>
        <v>172.17982000000001</v>
      </c>
      <c r="J356" s="84"/>
      <c r="K356" s="512"/>
      <c r="L356" s="510">
        <v>53.119</v>
      </c>
    </row>
    <row r="357" spans="1:12" ht="15" customHeight="1" x14ac:dyDescent="0.25">
      <c r="A357" s="515"/>
      <c r="B357" s="516"/>
      <c r="C357" s="95" t="s">
        <v>54</v>
      </c>
      <c r="D357" s="104">
        <v>3</v>
      </c>
      <c r="E357" s="105">
        <v>2</v>
      </c>
      <c r="F357" s="85" t="str">
        <f t="shared" si="26"/>
        <v>B632</v>
      </c>
      <c r="G357" s="84">
        <v>164.43600000000001</v>
      </c>
      <c r="H357" s="85">
        <v>182.19176683281029</v>
      </c>
      <c r="I357" s="85">
        <f t="shared" si="27"/>
        <v>200.61192</v>
      </c>
      <c r="J357" s="84"/>
      <c r="K357" s="512"/>
      <c r="L357" s="510"/>
    </row>
    <row r="358" spans="1:12" ht="15" customHeight="1" x14ac:dyDescent="0.25">
      <c r="A358" s="515"/>
      <c r="B358" s="516"/>
      <c r="C358" s="95" t="s">
        <v>54</v>
      </c>
      <c r="D358" s="104">
        <v>3</v>
      </c>
      <c r="E358" s="105">
        <v>3</v>
      </c>
      <c r="F358" s="85" t="str">
        <f t="shared" si="26"/>
        <v>B633</v>
      </c>
      <c r="G358" s="84">
        <v>187.20400000000001</v>
      </c>
      <c r="H358" s="85">
        <v>207.41825098013462</v>
      </c>
      <c r="I358" s="85">
        <f t="shared" si="27"/>
        <v>228.38888</v>
      </c>
      <c r="J358" s="84"/>
      <c r="K358" s="512"/>
      <c r="L358" s="510"/>
    </row>
    <row r="359" spans="1:12" ht="15" customHeight="1" x14ac:dyDescent="0.25">
      <c r="A359" s="515"/>
      <c r="B359" s="516"/>
      <c r="C359" s="95" t="s">
        <v>54</v>
      </c>
      <c r="D359" s="104">
        <v>3</v>
      </c>
      <c r="E359" s="105">
        <v>4</v>
      </c>
      <c r="F359" s="85" t="str">
        <f t="shared" si="26"/>
        <v>B634</v>
      </c>
      <c r="G359" s="84">
        <v>143.911</v>
      </c>
      <c r="H359" s="85">
        <v>159.45048138288794</v>
      </c>
      <c r="I359" s="85">
        <f t="shared" si="27"/>
        <v>175.57141999999999</v>
      </c>
      <c r="J359" s="84"/>
      <c r="K359" s="512"/>
      <c r="L359" s="510"/>
    </row>
    <row r="360" spans="1:12" ht="15" customHeight="1" x14ac:dyDescent="0.25">
      <c r="A360" s="515"/>
      <c r="B360" s="516"/>
      <c r="C360" s="95" t="s">
        <v>54</v>
      </c>
      <c r="D360" s="104">
        <v>4</v>
      </c>
      <c r="E360" s="105">
        <v>1</v>
      </c>
      <c r="F360" s="85" t="str">
        <f t="shared" si="26"/>
        <v>B641</v>
      </c>
      <c r="G360" s="84">
        <v>139.16499999999999</v>
      </c>
      <c r="H360" s="85">
        <v>154.19200923938823</v>
      </c>
      <c r="I360" s="85">
        <f t="shared" si="27"/>
        <v>169.78129999999999</v>
      </c>
      <c r="J360" s="84"/>
      <c r="K360" s="512"/>
      <c r="L360" s="510">
        <v>53.119</v>
      </c>
    </row>
    <row r="361" spans="1:12" ht="15" customHeight="1" x14ac:dyDescent="0.25">
      <c r="A361" s="515"/>
      <c r="B361" s="516"/>
      <c r="C361" s="95" t="s">
        <v>54</v>
      </c>
      <c r="D361" s="104">
        <v>4</v>
      </c>
      <c r="E361" s="105">
        <v>2</v>
      </c>
      <c r="F361" s="85" t="str">
        <f t="shared" si="26"/>
        <v>B642</v>
      </c>
      <c r="G361" s="84">
        <v>162.49</v>
      </c>
      <c r="H361" s="85">
        <v>180.03563813680304</v>
      </c>
      <c r="I361" s="85">
        <f t="shared" si="27"/>
        <v>198.23779999999999</v>
      </c>
      <c r="J361" s="84"/>
      <c r="K361" s="512"/>
      <c r="L361" s="510"/>
    </row>
    <row r="362" spans="1:12" ht="15" customHeight="1" x14ac:dyDescent="0.25">
      <c r="A362" s="515"/>
      <c r="B362" s="516"/>
      <c r="C362" s="95" t="s">
        <v>54</v>
      </c>
      <c r="D362" s="104">
        <v>4</v>
      </c>
      <c r="E362" s="105">
        <v>3</v>
      </c>
      <c r="F362" s="85" t="str">
        <f t="shared" si="26"/>
        <v>B643</v>
      </c>
      <c r="G362" s="84">
        <v>182.357</v>
      </c>
      <c r="H362" s="85">
        <v>202.04787287656464</v>
      </c>
      <c r="I362" s="85">
        <f t="shared" si="27"/>
        <v>222.47554</v>
      </c>
      <c r="J362" s="84"/>
      <c r="K362" s="512"/>
      <c r="L362" s="510"/>
    </row>
    <row r="363" spans="1:12" ht="15" customHeight="1" x14ac:dyDescent="0.25">
      <c r="A363" s="515"/>
      <c r="B363" s="516"/>
      <c r="C363" s="95" t="s">
        <v>54</v>
      </c>
      <c r="D363" s="104">
        <v>4</v>
      </c>
      <c r="E363" s="105">
        <v>4</v>
      </c>
      <c r="F363" s="85" t="str">
        <f t="shared" si="26"/>
        <v>B644</v>
      </c>
      <c r="G363" s="84">
        <v>141.929</v>
      </c>
      <c r="H363" s="85">
        <v>157.25446541398435</v>
      </c>
      <c r="I363" s="85">
        <f t="shared" si="27"/>
        <v>173.15338</v>
      </c>
      <c r="J363" s="84"/>
      <c r="K363" s="512"/>
      <c r="L363" s="510"/>
    </row>
    <row r="364" spans="1:12" ht="15" customHeight="1" x14ac:dyDescent="0.25">
      <c r="A364" s="81" t="s">
        <v>4</v>
      </c>
      <c r="B364" s="80"/>
      <c r="C364" s="81"/>
      <c r="D364" s="81"/>
      <c r="E364" s="81"/>
      <c r="F364" s="81"/>
      <c r="G364" s="83">
        <f>SUM(G344:G363)</f>
        <v>3075.8530000000001</v>
      </c>
      <c r="H364" s="83"/>
      <c r="I364" s="83">
        <f>SUM(I344:I363)</f>
        <v>3752.5406600000001</v>
      </c>
      <c r="J364" s="83"/>
      <c r="K364" s="83">
        <f>SUM(K344)</f>
        <v>3407.9829999999993</v>
      </c>
      <c r="L364" s="83">
        <f>L360+L356+L352+L348+L344</f>
        <v>332.11</v>
      </c>
    </row>
    <row r="365" spans="1:12" ht="15" customHeight="1" x14ac:dyDescent="0.25">
      <c r="A365" s="92"/>
      <c r="B365" s="93"/>
      <c r="C365" s="89"/>
      <c r="D365" s="89"/>
      <c r="E365" s="89"/>
      <c r="F365" s="89"/>
      <c r="G365" s="87">
        <v>1.1079798026758756</v>
      </c>
      <c r="L365" s="88">
        <f>(L344+L348+L352+L356+L360)/K364</f>
        <v>9.7450603480123021E-2</v>
      </c>
    </row>
    <row r="366" spans="1:12" x14ac:dyDescent="0.25">
      <c r="F366" s="101"/>
    </row>
    <row r="367" spans="1:12" ht="37.5" x14ac:dyDescent="0.25">
      <c r="A367" s="106" t="s">
        <v>9</v>
      </c>
      <c r="B367" s="107" t="s">
        <v>7</v>
      </c>
      <c r="C367" s="106" t="s">
        <v>8</v>
      </c>
      <c r="D367" s="108" t="s">
        <v>10</v>
      </c>
      <c r="E367" s="109" t="s">
        <v>2</v>
      </c>
      <c r="F367" s="106" t="s">
        <v>104</v>
      </c>
      <c r="G367" s="106" t="s">
        <v>3</v>
      </c>
      <c r="H367" s="106" t="s">
        <v>102</v>
      </c>
      <c r="I367" s="106" t="s">
        <v>101</v>
      </c>
      <c r="J367" s="106" t="s">
        <v>103</v>
      </c>
      <c r="K367" s="107" t="s">
        <v>6</v>
      </c>
      <c r="L367" s="107" t="s">
        <v>1</v>
      </c>
    </row>
    <row r="368" spans="1:12" ht="18.75" customHeight="1" x14ac:dyDescent="0.25">
      <c r="A368" s="515" t="s">
        <v>33</v>
      </c>
      <c r="B368" s="516" t="s">
        <v>50</v>
      </c>
      <c r="C368" s="95" t="s">
        <v>53</v>
      </c>
      <c r="D368" s="104">
        <v>0</v>
      </c>
      <c r="E368" s="105">
        <v>1</v>
      </c>
      <c r="F368" s="85" t="str">
        <f>LEFT(C368,2)&amp;D368&amp;E368</f>
        <v>B701</v>
      </c>
      <c r="G368" s="84">
        <v>141.82499999999999</v>
      </c>
      <c r="H368" s="85">
        <v>159.04192828545919</v>
      </c>
      <c r="I368" s="85">
        <f>1.22*G368</f>
        <v>173.02649999999997</v>
      </c>
      <c r="J368" s="86">
        <v>80.092500000000001</v>
      </c>
      <c r="K368" s="512">
        <f>SUM(H368:H387)</f>
        <v>3066.5780000000004</v>
      </c>
      <c r="L368" s="510">
        <v>99.04</v>
      </c>
    </row>
    <row r="369" spans="1:12" x14ac:dyDescent="0.25">
      <c r="A369" s="515"/>
      <c r="B369" s="516"/>
      <c r="C369" s="95" t="s">
        <v>53</v>
      </c>
      <c r="D369" s="104">
        <v>0</v>
      </c>
      <c r="E369" s="105">
        <v>2</v>
      </c>
      <c r="F369" s="85" t="str">
        <f t="shared" ref="F369:F387" si="28">LEFT(C369,2)&amp;D369&amp;E369</f>
        <v>B702</v>
      </c>
      <c r="G369" s="84">
        <v>142.05600000000001</v>
      </c>
      <c r="H369" s="85">
        <v>159.30097066468673</v>
      </c>
      <c r="I369" s="85">
        <f t="shared" ref="I369:I387" si="29">1.22*G369</f>
        <v>173.30832000000001</v>
      </c>
      <c r="J369" s="86">
        <v>97.868200000000002</v>
      </c>
      <c r="K369" s="512"/>
      <c r="L369" s="510"/>
    </row>
    <row r="370" spans="1:12" x14ac:dyDescent="0.25">
      <c r="A370" s="515"/>
      <c r="B370" s="516"/>
      <c r="C370" s="95" t="s">
        <v>53</v>
      </c>
      <c r="D370" s="104">
        <v>0</v>
      </c>
      <c r="E370" s="105">
        <v>3</v>
      </c>
      <c r="F370" s="85" t="str">
        <f t="shared" si="28"/>
        <v>B703</v>
      </c>
      <c r="G370" s="84">
        <v>142.197</v>
      </c>
      <c r="H370" s="85">
        <v>159.45908744161781</v>
      </c>
      <c r="I370" s="85">
        <f t="shared" si="29"/>
        <v>173.48034000000001</v>
      </c>
      <c r="J370" s="86">
        <v>97.259299999999996</v>
      </c>
      <c r="K370" s="512"/>
      <c r="L370" s="510"/>
    </row>
    <row r="371" spans="1:12" x14ac:dyDescent="0.25">
      <c r="A371" s="515"/>
      <c r="B371" s="516"/>
      <c r="C371" s="95" t="s">
        <v>53</v>
      </c>
      <c r="D371" s="104">
        <v>0</v>
      </c>
      <c r="E371" s="105">
        <v>4</v>
      </c>
      <c r="F371" s="85" t="str">
        <f t="shared" si="28"/>
        <v>B704</v>
      </c>
      <c r="G371" s="84">
        <v>95.254000000000005</v>
      </c>
      <c r="H371" s="85">
        <v>106.81741467938045</v>
      </c>
      <c r="I371" s="85">
        <f t="shared" si="29"/>
        <v>116.20988</v>
      </c>
      <c r="J371" s="86">
        <v>63.675199999999997</v>
      </c>
      <c r="K371" s="512"/>
      <c r="L371" s="510"/>
    </row>
    <row r="372" spans="1:12" ht="26.25" customHeight="1" x14ac:dyDescent="0.25">
      <c r="A372" s="515"/>
      <c r="B372" s="516"/>
      <c r="C372" s="95" t="s">
        <v>53</v>
      </c>
      <c r="D372" s="104">
        <v>1</v>
      </c>
      <c r="E372" s="105">
        <v>1</v>
      </c>
      <c r="F372" s="85" t="str">
        <f t="shared" si="28"/>
        <v>B711</v>
      </c>
      <c r="G372" s="84">
        <v>142.977</v>
      </c>
      <c r="H372" s="85">
        <v>160.33377599485354</v>
      </c>
      <c r="I372" s="85">
        <f t="shared" si="29"/>
        <v>174.43194</v>
      </c>
      <c r="J372" s="84"/>
      <c r="K372" s="512"/>
      <c r="L372" s="510">
        <v>73.486999999999995</v>
      </c>
    </row>
    <row r="373" spans="1:12" ht="26.25" customHeight="1" x14ac:dyDescent="0.25">
      <c r="A373" s="515"/>
      <c r="B373" s="516"/>
      <c r="C373" s="95" t="s">
        <v>53</v>
      </c>
      <c r="D373" s="104">
        <v>1</v>
      </c>
      <c r="E373" s="105">
        <v>2</v>
      </c>
      <c r="F373" s="85" t="str">
        <f t="shared" si="28"/>
        <v>B712</v>
      </c>
      <c r="G373" s="84">
        <v>139.572</v>
      </c>
      <c r="H373" s="85">
        <v>156.51542404130524</v>
      </c>
      <c r="I373" s="85">
        <f t="shared" si="29"/>
        <v>170.27784</v>
      </c>
      <c r="J373" s="84"/>
      <c r="K373" s="512"/>
      <c r="L373" s="510"/>
    </row>
    <row r="374" spans="1:12" ht="26.25" customHeight="1" x14ac:dyDescent="0.25">
      <c r="A374" s="515"/>
      <c r="B374" s="516"/>
      <c r="C374" s="95" t="s">
        <v>53</v>
      </c>
      <c r="D374" s="104">
        <v>1</v>
      </c>
      <c r="E374" s="105">
        <v>3</v>
      </c>
      <c r="F374" s="85" t="str">
        <f t="shared" si="28"/>
        <v>B713</v>
      </c>
      <c r="G374" s="84">
        <v>139.71199999999999</v>
      </c>
      <c r="H374" s="85">
        <v>156.67241942265522</v>
      </c>
      <c r="I374" s="85">
        <f t="shared" si="29"/>
        <v>170.44863999999998</v>
      </c>
      <c r="J374" s="84"/>
      <c r="K374" s="512"/>
      <c r="L374" s="510"/>
    </row>
    <row r="375" spans="1:12" ht="27" customHeight="1" x14ac:dyDescent="0.25">
      <c r="A375" s="515"/>
      <c r="B375" s="516"/>
      <c r="C375" s="95" t="s">
        <v>53</v>
      </c>
      <c r="D375" s="104">
        <v>1</v>
      </c>
      <c r="E375" s="105">
        <v>4</v>
      </c>
      <c r="F375" s="85" t="str">
        <f t="shared" si="28"/>
        <v>B714</v>
      </c>
      <c r="G375" s="84">
        <v>96.311000000000007</v>
      </c>
      <c r="H375" s="85">
        <v>108.00272980857298</v>
      </c>
      <c r="I375" s="85">
        <f t="shared" si="29"/>
        <v>117.49942</v>
      </c>
      <c r="J375" s="84"/>
      <c r="K375" s="512"/>
      <c r="L375" s="510"/>
    </row>
    <row r="376" spans="1:12" ht="26.25" customHeight="1" x14ac:dyDescent="0.25">
      <c r="A376" s="515"/>
      <c r="B376" s="516"/>
      <c r="C376" s="95" t="s">
        <v>53</v>
      </c>
      <c r="D376" s="104">
        <v>2</v>
      </c>
      <c r="E376" s="105">
        <v>1</v>
      </c>
      <c r="F376" s="85" t="str">
        <f t="shared" si="28"/>
        <v>B721</v>
      </c>
      <c r="G376" s="84">
        <v>141.18700000000001</v>
      </c>
      <c r="H376" s="85">
        <v>158.32647790473564</v>
      </c>
      <c r="I376" s="85">
        <f t="shared" si="29"/>
        <v>172.24814000000001</v>
      </c>
      <c r="J376" s="84"/>
      <c r="K376" s="512"/>
      <c r="L376" s="510">
        <v>53.119</v>
      </c>
    </row>
    <row r="377" spans="1:12" ht="26.25" customHeight="1" x14ac:dyDescent="0.25">
      <c r="A377" s="515"/>
      <c r="B377" s="516"/>
      <c r="C377" s="95" t="s">
        <v>53</v>
      </c>
      <c r="D377" s="104">
        <v>2</v>
      </c>
      <c r="E377" s="105">
        <v>2</v>
      </c>
      <c r="F377" s="85" t="str">
        <f t="shared" si="28"/>
        <v>B722</v>
      </c>
      <c r="G377" s="84">
        <v>141.446</v>
      </c>
      <c r="H377" s="85">
        <v>158.61691936023314</v>
      </c>
      <c r="I377" s="85">
        <f t="shared" si="29"/>
        <v>172.56412</v>
      </c>
      <c r="J377" s="84"/>
      <c r="K377" s="512"/>
      <c r="L377" s="510"/>
    </row>
    <row r="378" spans="1:12" ht="26.25" customHeight="1" x14ac:dyDescent="0.25">
      <c r="A378" s="515"/>
      <c r="B378" s="516"/>
      <c r="C378" s="95" t="s">
        <v>53</v>
      </c>
      <c r="D378" s="104">
        <v>2</v>
      </c>
      <c r="E378" s="105">
        <v>3</v>
      </c>
      <c r="F378" s="85" t="str">
        <f t="shared" si="28"/>
        <v>B723</v>
      </c>
      <c r="G378" s="84">
        <v>141.572</v>
      </c>
      <c r="H378" s="85">
        <v>158.75821520344815</v>
      </c>
      <c r="I378" s="85">
        <f t="shared" si="29"/>
        <v>172.71784</v>
      </c>
      <c r="J378" s="84"/>
      <c r="K378" s="512"/>
      <c r="L378" s="510"/>
    </row>
    <row r="379" spans="1:12" ht="27" customHeight="1" x14ac:dyDescent="0.25">
      <c r="A379" s="515"/>
      <c r="B379" s="516"/>
      <c r="C379" s="95" t="s">
        <v>53</v>
      </c>
      <c r="D379" s="104">
        <v>2</v>
      </c>
      <c r="E379" s="105">
        <v>4</v>
      </c>
      <c r="F379" s="85" t="str">
        <f t="shared" si="28"/>
        <v>B724</v>
      </c>
      <c r="G379" s="84">
        <v>141.226</v>
      </c>
      <c r="H379" s="85">
        <v>158.37021233239741</v>
      </c>
      <c r="I379" s="85">
        <f t="shared" si="29"/>
        <v>172.29571999999999</v>
      </c>
      <c r="J379" s="84"/>
      <c r="K379" s="512"/>
      <c r="L379" s="510"/>
    </row>
    <row r="380" spans="1:12" ht="26.25" customHeight="1" x14ac:dyDescent="0.25">
      <c r="A380" s="515"/>
      <c r="B380" s="516"/>
      <c r="C380" s="95" t="s">
        <v>53</v>
      </c>
      <c r="D380" s="104">
        <v>3</v>
      </c>
      <c r="E380" s="105">
        <v>1</v>
      </c>
      <c r="F380" s="85" t="str">
        <f t="shared" si="28"/>
        <v>B731</v>
      </c>
      <c r="G380" s="84">
        <v>141.48599999999999</v>
      </c>
      <c r="H380" s="85">
        <v>158.66177518347598</v>
      </c>
      <c r="I380" s="85">
        <f t="shared" si="29"/>
        <v>172.61291999999997</v>
      </c>
      <c r="J380" s="84"/>
      <c r="K380" s="512"/>
      <c r="L380" s="510">
        <v>53.119</v>
      </c>
    </row>
    <row r="381" spans="1:12" ht="26.25" customHeight="1" x14ac:dyDescent="0.25">
      <c r="A381" s="515"/>
      <c r="B381" s="516"/>
      <c r="C381" s="95" t="s">
        <v>53</v>
      </c>
      <c r="D381" s="104">
        <v>3</v>
      </c>
      <c r="E381" s="105">
        <v>2</v>
      </c>
      <c r="F381" s="85" t="str">
        <f t="shared" si="28"/>
        <v>B732</v>
      </c>
      <c r="G381" s="84">
        <v>142.25399999999999</v>
      </c>
      <c r="H381" s="85">
        <v>159.52300698973886</v>
      </c>
      <c r="I381" s="85">
        <f t="shared" si="29"/>
        <v>173.54987999999997</v>
      </c>
      <c r="J381" s="84"/>
      <c r="K381" s="512"/>
      <c r="L381" s="510"/>
    </row>
    <row r="382" spans="1:12" ht="26.25" customHeight="1" x14ac:dyDescent="0.25">
      <c r="A382" s="515"/>
      <c r="B382" s="516"/>
      <c r="C382" s="95" t="s">
        <v>53</v>
      </c>
      <c r="D382" s="104">
        <v>3</v>
      </c>
      <c r="E382" s="105">
        <v>3</v>
      </c>
      <c r="F382" s="85" t="str">
        <f t="shared" si="28"/>
        <v>B733</v>
      </c>
      <c r="G382" s="84">
        <v>142.37799999999999</v>
      </c>
      <c r="H382" s="85">
        <v>159.6620600417917</v>
      </c>
      <c r="I382" s="85">
        <f t="shared" si="29"/>
        <v>173.70115999999999</v>
      </c>
      <c r="J382" s="84"/>
      <c r="K382" s="512"/>
      <c r="L382" s="510"/>
    </row>
    <row r="383" spans="1:12" ht="27" customHeight="1" x14ac:dyDescent="0.25">
      <c r="A383" s="515"/>
      <c r="B383" s="516"/>
      <c r="C383" s="95" t="s">
        <v>53</v>
      </c>
      <c r="D383" s="104">
        <v>3</v>
      </c>
      <c r="E383" s="105">
        <v>4</v>
      </c>
      <c r="F383" s="85" t="str">
        <f t="shared" si="28"/>
        <v>B734</v>
      </c>
      <c r="G383" s="84">
        <v>141.52600000000001</v>
      </c>
      <c r="H383" s="85">
        <v>158.70663100671885</v>
      </c>
      <c r="I383" s="85">
        <f t="shared" si="29"/>
        <v>172.66172</v>
      </c>
      <c r="J383" s="84"/>
      <c r="K383" s="512"/>
      <c r="L383" s="510"/>
    </row>
    <row r="384" spans="1:12" ht="26.25" customHeight="1" x14ac:dyDescent="0.25">
      <c r="A384" s="515"/>
      <c r="B384" s="516"/>
      <c r="C384" s="95" t="s">
        <v>53</v>
      </c>
      <c r="D384" s="104">
        <v>4</v>
      </c>
      <c r="E384" s="105">
        <v>1</v>
      </c>
      <c r="F384" s="85" t="str">
        <f t="shared" si="28"/>
        <v>B741</v>
      </c>
      <c r="G384" s="84">
        <v>139.12</v>
      </c>
      <c r="H384" s="85">
        <v>156.00855323866094</v>
      </c>
      <c r="I384" s="85">
        <f t="shared" si="29"/>
        <v>169.72640000000001</v>
      </c>
      <c r="J384" s="84"/>
      <c r="K384" s="512"/>
      <c r="L384" s="510">
        <v>53.119</v>
      </c>
    </row>
    <row r="385" spans="1:12" ht="26.25" customHeight="1" x14ac:dyDescent="0.25">
      <c r="A385" s="515"/>
      <c r="B385" s="516"/>
      <c r="C385" s="95" t="s">
        <v>53</v>
      </c>
      <c r="D385" s="104">
        <v>4</v>
      </c>
      <c r="E385" s="105">
        <v>2</v>
      </c>
      <c r="F385" s="85" t="str">
        <f t="shared" si="28"/>
        <v>B742</v>
      </c>
      <c r="G385" s="84">
        <v>141.53399999999999</v>
      </c>
      <c r="H385" s="85">
        <v>158.71560217136741</v>
      </c>
      <c r="I385" s="85">
        <f t="shared" si="29"/>
        <v>172.67147999999997</v>
      </c>
      <c r="J385" s="84"/>
      <c r="K385" s="512"/>
      <c r="L385" s="510"/>
    </row>
    <row r="386" spans="1:12" ht="26.25" customHeight="1" x14ac:dyDescent="0.25">
      <c r="A386" s="515"/>
      <c r="B386" s="516"/>
      <c r="C386" s="95" t="s">
        <v>53</v>
      </c>
      <c r="D386" s="104">
        <v>4</v>
      </c>
      <c r="E386" s="105">
        <v>3</v>
      </c>
      <c r="F386" s="85" t="str">
        <f t="shared" si="28"/>
        <v>B743</v>
      </c>
      <c r="G386" s="84">
        <v>141.65899999999999</v>
      </c>
      <c r="H386" s="85">
        <v>158.85577661900135</v>
      </c>
      <c r="I386" s="85">
        <f t="shared" si="29"/>
        <v>172.82397999999998</v>
      </c>
      <c r="J386" s="84"/>
      <c r="K386" s="512"/>
      <c r="L386" s="510"/>
    </row>
    <row r="387" spans="1:12" ht="27" customHeight="1" x14ac:dyDescent="0.25">
      <c r="A387" s="515"/>
      <c r="B387" s="516"/>
      <c r="C387" s="95" t="s">
        <v>53</v>
      </c>
      <c r="D387" s="104">
        <v>4</v>
      </c>
      <c r="E387" s="105">
        <v>4</v>
      </c>
      <c r="F387" s="85" t="str">
        <f t="shared" si="28"/>
        <v>B744</v>
      </c>
      <c r="G387" s="84">
        <v>139.31659999999999</v>
      </c>
      <c r="H387" s="85">
        <v>156.22901960989958</v>
      </c>
      <c r="I387" s="85">
        <f t="shared" si="29"/>
        <v>169.966252</v>
      </c>
      <c r="J387" s="84"/>
      <c r="K387" s="512"/>
      <c r="L387" s="510"/>
    </row>
    <row r="388" spans="1:12" x14ac:dyDescent="0.25">
      <c r="A388" s="81" t="s">
        <v>4</v>
      </c>
      <c r="B388" s="80"/>
      <c r="C388" s="81"/>
      <c r="D388" s="81"/>
      <c r="E388" s="81"/>
      <c r="F388" s="81"/>
      <c r="G388" s="83">
        <f>SUM(G368:G387)</f>
        <v>2734.6086</v>
      </c>
      <c r="H388" s="83"/>
      <c r="I388" s="83">
        <f>SUM(I368:I387)</f>
        <v>3336.2224920000003</v>
      </c>
      <c r="J388" s="83"/>
      <c r="K388" s="83">
        <f>SUM(K368)</f>
        <v>3066.5780000000004</v>
      </c>
      <c r="L388" s="83">
        <f>L384+L380+L376+L372+L368</f>
        <v>331.88400000000001</v>
      </c>
    </row>
    <row r="389" spans="1:12" x14ac:dyDescent="0.25">
      <c r="A389" s="92"/>
      <c r="B389" s="93"/>
      <c r="C389" s="89"/>
      <c r="D389" s="89"/>
      <c r="E389" s="89"/>
      <c r="F389" s="89"/>
      <c r="G389" s="87">
        <v>1.1213955810714558</v>
      </c>
      <c r="L389" s="88">
        <f>(L368+L372+L376+L380+L384)/K388</f>
        <v>0.10822617262629548</v>
      </c>
    </row>
    <row r="390" spans="1:12" x14ac:dyDescent="0.25">
      <c r="F390" s="101"/>
    </row>
    <row r="391" spans="1:12" ht="37.5" x14ac:dyDescent="0.25">
      <c r="A391" s="82" t="s">
        <v>9</v>
      </c>
      <c r="B391" s="83" t="s">
        <v>7</v>
      </c>
      <c r="C391" s="82" t="s">
        <v>8</v>
      </c>
      <c r="D391" s="102" t="s">
        <v>10</v>
      </c>
      <c r="E391" s="103" t="s">
        <v>2</v>
      </c>
      <c r="F391" s="82" t="s">
        <v>104</v>
      </c>
      <c r="G391" s="82" t="s">
        <v>3</v>
      </c>
      <c r="H391" s="82" t="s">
        <v>102</v>
      </c>
      <c r="I391" s="82" t="s">
        <v>101</v>
      </c>
      <c r="J391" s="82" t="s">
        <v>103</v>
      </c>
      <c r="K391" s="83" t="s">
        <v>6</v>
      </c>
      <c r="L391" s="83" t="s">
        <v>1</v>
      </c>
    </row>
    <row r="392" spans="1:12" ht="18.75" customHeight="1" x14ac:dyDescent="0.25">
      <c r="A392" s="515" t="s">
        <v>33</v>
      </c>
      <c r="B392" s="516" t="s">
        <v>50</v>
      </c>
      <c r="C392" s="95" t="s">
        <v>52</v>
      </c>
      <c r="D392" s="104">
        <v>0</v>
      </c>
      <c r="E392" s="105">
        <v>1</v>
      </c>
      <c r="F392" s="85" t="str">
        <f>LEFT(C392,2)&amp;D392&amp;E392</f>
        <v>B801</v>
      </c>
      <c r="G392" s="84">
        <v>144.66300000000001</v>
      </c>
      <c r="H392" s="85">
        <v>160.29970969584483</v>
      </c>
      <c r="I392" s="85">
        <f>1.22*G392</f>
        <v>176.48886000000002</v>
      </c>
      <c r="J392" s="86">
        <v>84.046400000000006</v>
      </c>
      <c r="K392" s="512">
        <f>SUM(H392:H411)</f>
        <v>3404.6560000000009</v>
      </c>
      <c r="L392" s="510">
        <v>99.266000000000005</v>
      </c>
    </row>
    <row r="393" spans="1:12" x14ac:dyDescent="0.25">
      <c r="A393" s="515"/>
      <c r="B393" s="516"/>
      <c r="C393" s="95" t="s">
        <v>52</v>
      </c>
      <c r="D393" s="104">
        <v>0</v>
      </c>
      <c r="E393" s="105">
        <v>2</v>
      </c>
      <c r="F393" s="85" t="str">
        <f t="shared" ref="F393:F411" si="30">LEFT(C393,2)&amp;D393&amp;E393</f>
        <v>B802</v>
      </c>
      <c r="G393" s="84">
        <v>183.887</v>
      </c>
      <c r="H393" s="85">
        <v>203.76345518093646</v>
      </c>
      <c r="I393" s="85">
        <f t="shared" ref="I393:I411" si="31">1.22*G393</f>
        <v>224.34214</v>
      </c>
      <c r="J393" s="86">
        <v>61.522199999999998</v>
      </c>
      <c r="K393" s="512"/>
      <c r="L393" s="510"/>
    </row>
    <row r="394" spans="1:12" x14ac:dyDescent="0.25">
      <c r="A394" s="515"/>
      <c r="B394" s="516"/>
      <c r="C394" s="95" t="s">
        <v>52</v>
      </c>
      <c r="D394" s="104">
        <v>0</v>
      </c>
      <c r="E394" s="105">
        <v>3</v>
      </c>
      <c r="F394" s="85" t="str">
        <f t="shared" si="30"/>
        <v>B803</v>
      </c>
      <c r="G394" s="84">
        <v>162.78100000000001</v>
      </c>
      <c r="H394" s="85">
        <v>180.37609508996297</v>
      </c>
      <c r="I394" s="85">
        <f t="shared" si="31"/>
        <v>198.59281999999999</v>
      </c>
      <c r="J394" s="86">
        <v>77.576999999999998</v>
      </c>
      <c r="K394" s="512"/>
      <c r="L394" s="510"/>
    </row>
    <row r="395" spans="1:12" x14ac:dyDescent="0.25">
      <c r="A395" s="515"/>
      <c r="B395" s="516"/>
      <c r="C395" s="95" t="s">
        <v>52</v>
      </c>
      <c r="D395" s="104">
        <v>0</v>
      </c>
      <c r="E395" s="105">
        <v>4</v>
      </c>
      <c r="F395" s="85" t="str">
        <f t="shared" si="30"/>
        <v>B804</v>
      </c>
      <c r="G395" s="84">
        <v>95.213999999999999</v>
      </c>
      <c r="H395" s="85">
        <v>105.50573788031609</v>
      </c>
      <c r="I395" s="85">
        <f t="shared" si="31"/>
        <v>116.16108</v>
      </c>
      <c r="J395" s="86">
        <v>63.702300000000001</v>
      </c>
      <c r="K395" s="512"/>
      <c r="L395" s="510"/>
    </row>
    <row r="396" spans="1:12" ht="26.25" customHeight="1" x14ac:dyDescent="0.25">
      <c r="A396" s="515"/>
      <c r="B396" s="516"/>
      <c r="C396" s="95" t="s">
        <v>52</v>
      </c>
      <c r="D396" s="104">
        <v>1</v>
      </c>
      <c r="E396" s="105">
        <v>1</v>
      </c>
      <c r="F396" s="85" t="str">
        <f t="shared" si="30"/>
        <v>B811</v>
      </c>
      <c r="G396" s="84">
        <v>141.66300000000001</v>
      </c>
      <c r="H396" s="85">
        <v>156.9754379118535</v>
      </c>
      <c r="I396" s="85">
        <f t="shared" si="31"/>
        <v>172.82886000000002</v>
      </c>
      <c r="J396" s="84"/>
      <c r="K396" s="512"/>
      <c r="L396" s="510">
        <v>73.486999999999995</v>
      </c>
    </row>
    <row r="397" spans="1:12" ht="26.25" customHeight="1" x14ac:dyDescent="0.25">
      <c r="A397" s="515"/>
      <c r="B397" s="516"/>
      <c r="C397" s="95" t="s">
        <v>52</v>
      </c>
      <c r="D397" s="104">
        <v>1</v>
      </c>
      <c r="E397" s="105">
        <v>2</v>
      </c>
      <c r="F397" s="85" t="str">
        <f t="shared" si="30"/>
        <v>B812</v>
      </c>
      <c r="G397" s="84">
        <v>183.637</v>
      </c>
      <c r="H397" s="85">
        <v>203.48643253227053</v>
      </c>
      <c r="I397" s="85">
        <f t="shared" si="31"/>
        <v>224.03713999999999</v>
      </c>
      <c r="J397" s="84"/>
      <c r="K397" s="512"/>
      <c r="L397" s="510"/>
    </row>
    <row r="398" spans="1:12" ht="26.25" customHeight="1" x14ac:dyDescent="0.25">
      <c r="A398" s="515"/>
      <c r="B398" s="516"/>
      <c r="C398" s="95" t="s">
        <v>52</v>
      </c>
      <c r="D398" s="104">
        <v>1</v>
      </c>
      <c r="E398" s="105">
        <v>3</v>
      </c>
      <c r="F398" s="85" t="str">
        <f t="shared" si="30"/>
        <v>B813</v>
      </c>
      <c r="G398" s="84">
        <v>162.53100000000001</v>
      </c>
      <c r="H398" s="85">
        <v>180.09907244129704</v>
      </c>
      <c r="I398" s="85">
        <f t="shared" si="31"/>
        <v>198.28782000000001</v>
      </c>
      <c r="J398" s="84"/>
      <c r="K398" s="512"/>
      <c r="L398" s="510"/>
    </row>
    <row r="399" spans="1:12" ht="27" customHeight="1" x14ac:dyDescent="0.25">
      <c r="A399" s="515"/>
      <c r="B399" s="516"/>
      <c r="C399" s="95" t="s">
        <v>52</v>
      </c>
      <c r="D399" s="104">
        <v>1</v>
      </c>
      <c r="E399" s="105">
        <v>4</v>
      </c>
      <c r="F399" s="85" t="str">
        <f t="shared" si="30"/>
        <v>B814</v>
      </c>
      <c r="G399" s="84">
        <v>96.271000000000001</v>
      </c>
      <c r="H399" s="85">
        <v>106.6769896388757</v>
      </c>
      <c r="I399" s="85">
        <f t="shared" si="31"/>
        <v>117.45062</v>
      </c>
      <c r="J399" s="84"/>
      <c r="K399" s="512"/>
      <c r="L399" s="510"/>
    </row>
    <row r="400" spans="1:12" ht="26.25" customHeight="1" x14ac:dyDescent="0.25">
      <c r="A400" s="515"/>
      <c r="B400" s="516"/>
      <c r="C400" s="95" t="s">
        <v>52</v>
      </c>
      <c r="D400" s="104">
        <v>2</v>
      </c>
      <c r="E400" s="105">
        <v>1</v>
      </c>
      <c r="F400" s="85" t="str">
        <f t="shared" si="30"/>
        <v>B821</v>
      </c>
      <c r="G400" s="84">
        <v>143.989</v>
      </c>
      <c r="H400" s="85">
        <v>159.55285663504142</v>
      </c>
      <c r="I400" s="85">
        <f t="shared" si="31"/>
        <v>175.66658000000001</v>
      </c>
      <c r="J400" s="84"/>
      <c r="K400" s="512"/>
      <c r="L400" s="510">
        <v>53.119</v>
      </c>
    </row>
    <row r="401" spans="1:12" ht="26.25" customHeight="1" x14ac:dyDescent="0.25">
      <c r="A401" s="515"/>
      <c r="B401" s="516"/>
      <c r="C401" s="95" t="s">
        <v>52</v>
      </c>
      <c r="D401" s="104">
        <v>2</v>
      </c>
      <c r="E401" s="105">
        <v>2</v>
      </c>
      <c r="F401" s="85" t="str">
        <f t="shared" si="30"/>
        <v>B822</v>
      </c>
      <c r="G401" s="84">
        <v>187.1</v>
      </c>
      <c r="H401" s="85">
        <v>207.32375026159116</v>
      </c>
      <c r="I401" s="85">
        <f t="shared" si="31"/>
        <v>228.262</v>
      </c>
      <c r="J401" s="84"/>
      <c r="K401" s="512"/>
      <c r="L401" s="510"/>
    </row>
    <row r="402" spans="1:12" ht="26.25" customHeight="1" x14ac:dyDescent="0.25">
      <c r="A402" s="515"/>
      <c r="B402" s="516"/>
      <c r="C402" s="95" t="s">
        <v>52</v>
      </c>
      <c r="D402" s="104">
        <v>2</v>
      </c>
      <c r="E402" s="105">
        <v>3</v>
      </c>
      <c r="F402" s="85" t="str">
        <f t="shared" si="30"/>
        <v>B823</v>
      </c>
      <c r="G402" s="84">
        <v>167.16900000000001</v>
      </c>
      <c r="H402" s="85">
        <v>185.23839661934761</v>
      </c>
      <c r="I402" s="85">
        <f t="shared" si="31"/>
        <v>203.94618</v>
      </c>
      <c r="J402" s="84"/>
      <c r="K402" s="512"/>
      <c r="L402" s="510"/>
    </row>
    <row r="403" spans="1:12" ht="27" customHeight="1" x14ac:dyDescent="0.25">
      <c r="A403" s="515"/>
      <c r="B403" s="516"/>
      <c r="C403" s="95" t="s">
        <v>52</v>
      </c>
      <c r="D403" s="104">
        <v>2</v>
      </c>
      <c r="E403" s="105">
        <v>4</v>
      </c>
      <c r="F403" s="85" t="str">
        <f t="shared" si="30"/>
        <v>B824</v>
      </c>
      <c r="G403" s="84">
        <v>141.18700000000001</v>
      </c>
      <c r="H403" s="85">
        <v>156.44798678879354</v>
      </c>
      <c r="I403" s="85">
        <f t="shared" si="31"/>
        <v>172.24814000000001</v>
      </c>
      <c r="J403" s="84"/>
      <c r="K403" s="512"/>
      <c r="L403" s="510"/>
    </row>
    <row r="404" spans="1:12" ht="26.25" customHeight="1" x14ac:dyDescent="0.25">
      <c r="A404" s="515"/>
      <c r="B404" s="516"/>
      <c r="C404" s="95" t="s">
        <v>52</v>
      </c>
      <c r="D404" s="104">
        <v>3</v>
      </c>
      <c r="E404" s="105">
        <v>1</v>
      </c>
      <c r="F404" s="85" t="str">
        <f t="shared" si="30"/>
        <v>B831</v>
      </c>
      <c r="G404" s="84">
        <v>143.89599999999999</v>
      </c>
      <c r="H404" s="85">
        <v>159.44980420973766</v>
      </c>
      <c r="I404" s="85">
        <f t="shared" si="31"/>
        <v>175.55311999999998</v>
      </c>
      <c r="J404" s="84"/>
      <c r="K404" s="512"/>
      <c r="L404" s="510">
        <v>52.92</v>
      </c>
    </row>
    <row r="405" spans="1:12" ht="26.25" customHeight="1" x14ac:dyDescent="0.25">
      <c r="A405" s="515"/>
      <c r="B405" s="516"/>
      <c r="C405" s="95" t="s">
        <v>52</v>
      </c>
      <c r="D405" s="104">
        <v>3</v>
      </c>
      <c r="E405" s="105">
        <v>2</v>
      </c>
      <c r="F405" s="85" t="str">
        <f t="shared" si="30"/>
        <v>B832</v>
      </c>
      <c r="G405" s="84">
        <v>187.20400000000001</v>
      </c>
      <c r="H405" s="85">
        <v>207.4389916834362</v>
      </c>
      <c r="I405" s="85">
        <f t="shared" si="31"/>
        <v>228.38888</v>
      </c>
      <c r="J405" s="84"/>
      <c r="K405" s="512"/>
      <c r="L405" s="510"/>
    </row>
    <row r="406" spans="1:12" ht="26.25" customHeight="1" x14ac:dyDescent="0.25">
      <c r="A406" s="515"/>
      <c r="B406" s="516"/>
      <c r="C406" s="95" t="s">
        <v>52</v>
      </c>
      <c r="D406" s="104">
        <v>3</v>
      </c>
      <c r="E406" s="105">
        <v>3</v>
      </c>
      <c r="F406" s="85" t="str">
        <f t="shared" si="30"/>
        <v>B833</v>
      </c>
      <c r="G406" s="84">
        <v>164.417</v>
      </c>
      <c r="H406" s="85">
        <v>182.18893130283288</v>
      </c>
      <c r="I406" s="85">
        <f t="shared" si="31"/>
        <v>200.58874</v>
      </c>
      <c r="J406" s="84"/>
      <c r="K406" s="512"/>
      <c r="L406" s="510"/>
    </row>
    <row r="407" spans="1:12" ht="27" customHeight="1" x14ac:dyDescent="0.25">
      <c r="A407" s="515"/>
      <c r="B407" s="516"/>
      <c r="C407" s="95" t="s">
        <v>52</v>
      </c>
      <c r="D407" s="104">
        <v>3</v>
      </c>
      <c r="E407" s="105">
        <v>4</v>
      </c>
      <c r="F407" s="85" t="str">
        <f t="shared" si="30"/>
        <v>B834</v>
      </c>
      <c r="G407" s="84">
        <v>141.07300000000001</v>
      </c>
      <c r="H407" s="85">
        <v>156.32166446100189</v>
      </c>
      <c r="I407" s="85">
        <f t="shared" si="31"/>
        <v>172.10906</v>
      </c>
      <c r="J407" s="84"/>
      <c r="K407" s="512"/>
      <c r="L407" s="510"/>
    </row>
    <row r="408" spans="1:12" ht="26.25" customHeight="1" x14ac:dyDescent="0.25">
      <c r="A408" s="515"/>
      <c r="B408" s="516"/>
      <c r="C408" s="95" t="s">
        <v>52</v>
      </c>
      <c r="D408" s="104">
        <v>4</v>
      </c>
      <c r="E408" s="105">
        <v>1</v>
      </c>
      <c r="F408" s="85" t="str">
        <f t="shared" si="30"/>
        <v>B841</v>
      </c>
      <c r="G408" s="84">
        <v>141.929</v>
      </c>
      <c r="H408" s="85">
        <v>157.27019001003407</v>
      </c>
      <c r="I408" s="85">
        <f t="shared" si="31"/>
        <v>173.15338</v>
      </c>
      <c r="J408" s="84"/>
      <c r="K408" s="512"/>
      <c r="L408" s="510">
        <v>52.92</v>
      </c>
    </row>
    <row r="409" spans="1:12" ht="26.25" customHeight="1" x14ac:dyDescent="0.25">
      <c r="A409" s="515"/>
      <c r="B409" s="516"/>
      <c r="C409" s="95" t="s">
        <v>52</v>
      </c>
      <c r="D409" s="104">
        <v>4</v>
      </c>
      <c r="E409" s="105">
        <v>2</v>
      </c>
      <c r="F409" s="85" t="str">
        <f t="shared" si="30"/>
        <v>B842</v>
      </c>
      <c r="G409" s="84">
        <v>182.36099999999999</v>
      </c>
      <c r="H409" s="85">
        <v>202.07250893347955</v>
      </c>
      <c r="I409" s="85">
        <f t="shared" si="31"/>
        <v>222.48041999999998</v>
      </c>
      <c r="J409" s="84"/>
      <c r="K409" s="512"/>
      <c r="L409" s="510"/>
    </row>
    <row r="410" spans="1:12" ht="26.25" customHeight="1" x14ac:dyDescent="0.25">
      <c r="A410" s="515"/>
      <c r="B410" s="516"/>
      <c r="C410" s="95" t="s">
        <v>52</v>
      </c>
      <c r="D410" s="104">
        <v>4</v>
      </c>
      <c r="E410" s="105">
        <v>3</v>
      </c>
      <c r="F410" s="85" t="str">
        <f t="shared" si="30"/>
        <v>B843</v>
      </c>
      <c r="G410" s="84">
        <v>162.44399999999999</v>
      </c>
      <c r="H410" s="85">
        <v>180.00266855956127</v>
      </c>
      <c r="I410" s="85">
        <f t="shared" si="31"/>
        <v>198.18167999999997</v>
      </c>
      <c r="J410" s="84"/>
      <c r="K410" s="512"/>
      <c r="L410" s="510"/>
    </row>
    <row r="411" spans="1:12" ht="27" customHeight="1" x14ac:dyDescent="0.25">
      <c r="A411" s="515"/>
      <c r="B411" s="516"/>
      <c r="C411" s="95" t="s">
        <v>52</v>
      </c>
      <c r="D411" s="104">
        <v>4</v>
      </c>
      <c r="E411" s="105">
        <v>4</v>
      </c>
      <c r="F411" s="85" t="str">
        <f t="shared" si="30"/>
        <v>B844</v>
      </c>
      <c r="G411" s="84">
        <v>139.12700000000001</v>
      </c>
      <c r="H411" s="85">
        <v>154.16532016378619</v>
      </c>
      <c r="I411" s="85">
        <f t="shared" si="31"/>
        <v>169.73493999999999</v>
      </c>
      <c r="J411" s="84"/>
      <c r="K411" s="512"/>
      <c r="L411" s="510"/>
    </row>
    <row r="412" spans="1:12" x14ac:dyDescent="0.25">
      <c r="A412" s="81" t="s">
        <v>4</v>
      </c>
      <c r="B412" s="80"/>
      <c r="C412" s="81"/>
      <c r="D412" s="81"/>
      <c r="E412" s="81"/>
      <c r="F412" s="81"/>
      <c r="G412" s="83">
        <f>SUM(G392:G411)</f>
        <v>3072.5429999999997</v>
      </c>
      <c r="H412" s="83"/>
      <c r="I412" s="83">
        <f>SUM(I392:I411)</f>
        <v>3748.5024600000002</v>
      </c>
      <c r="J412" s="83"/>
      <c r="K412" s="83">
        <f>SUM(K392)</f>
        <v>3404.6560000000009</v>
      </c>
      <c r="L412" s="83">
        <f>L408+L404+L400+L396+L392</f>
        <v>331.71199999999999</v>
      </c>
    </row>
    <row r="413" spans="1:12" x14ac:dyDescent="0.25">
      <c r="A413" s="89"/>
      <c r="B413" s="93"/>
      <c r="C413" s="89"/>
      <c r="D413" s="89"/>
      <c r="E413" s="89"/>
      <c r="F413" s="89"/>
      <c r="G413" s="87">
        <f>K412/G412</f>
        <v>1.1080905946637691</v>
      </c>
      <c r="L413" s="90">
        <f>(L392+L396+L400+L404+L408)/K412</f>
        <v>9.7428932614631231E-2</v>
      </c>
    </row>
    <row r="416" spans="1:12" ht="37.5" x14ac:dyDescent="0.25">
      <c r="A416" s="82" t="s">
        <v>9</v>
      </c>
      <c r="B416" s="83" t="s">
        <v>7</v>
      </c>
      <c r="C416" s="82" t="s">
        <v>8</v>
      </c>
      <c r="D416" s="102" t="s">
        <v>10</v>
      </c>
      <c r="E416" s="103" t="s">
        <v>2</v>
      </c>
      <c r="F416" s="82" t="s">
        <v>104</v>
      </c>
      <c r="G416" s="82" t="s">
        <v>3</v>
      </c>
      <c r="H416" s="82" t="s">
        <v>102</v>
      </c>
      <c r="I416" s="82" t="s">
        <v>101</v>
      </c>
      <c r="J416" s="82" t="s">
        <v>103</v>
      </c>
      <c r="K416" s="83" t="s">
        <v>6</v>
      </c>
      <c r="L416" s="83" t="s">
        <v>1</v>
      </c>
    </row>
    <row r="417" spans="1:12" x14ac:dyDescent="0.25">
      <c r="A417" s="515" t="s">
        <v>33</v>
      </c>
      <c r="B417" s="516" t="s">
        <v>50</v>
      </c>
      <c r="C417" s="95" t="s">
        <v>69</v>
      </c>
      <c r="D417" s="104">
        <v>0</v>
      </c>
      <c r="E417" s="105">
        <v>1</v>
      </c>
      <c r="F417" s="85" t="str">
        <f>LEFT(C417,2)&amp;D417&amp;E417</f>
        <v>B901</v>
      </c>
      <c r="G417" s="84">
        <v>95.254000000000005</v>
      </c>
      <c r="H417" s="85">
        <v>105.53950812408786</v>
      </c>
      <c r="I417" s="85">
        <f>1.22*G417</f>
        <v>116.20988</v>
      </c>
      <c r="J417" s="86">
        <v>42.259599999999999</v>
      </c>
      <c r="K417" s="512">
        <f>SUM(H417:H436)</f>
        <v>3407.9829999999993</v>
      </c>
      <c r="L417" s="510">
        <v>99.266000000000005</v>
      </c>
    </row>
    <row r="418" spans="1:12" x14ac:dyDescent="0.25">
      <c r="A418" s="515"/>
      <c r="B418" s="516"/>
      <c r="C418" s="95" t="s">
        <v>69</v>
      </c>
      <c r="D418" s="104">
        <v>0</v>
      </c>
      <c r="E418" s="105">
        <v>2</v>
      </c>
      <c r="F418" s="85" t="str">
        <f t="shared" ref="F418:F436" si="32">LEFT(C418,2)&amp;D418&amp;E418</f>
        <v>B902</v>
      </c>
      <c r="G418" s="84">
        <v>162.82599999999999</v>
      </c>
      <c r="H418" s="85">
        <v>180.40791935050211</v>
      </c>
      <c r="I418" s="85">
        <f t="shared" ref="I418:I436" si="33">1.22*G418</f>
        <v>198.64771999999999</v>
      </c>
      <c r="J418" s="86">
        <v>77.610299999999995</v>
      </c>
      <c r="K418" s="512"/>
      <c r="L418" s="510"/>
    </row>
    <row r="419" spans="1:12" x14ac:dyDescent="0.25">
      <c r="A419" s="515"/>
      <c r="B419" s="516"/>
      <c r="C419" s="95" t="s">
        <v>69</v>
      </c>
      <c r="D419" s="104">
        <v>0</v>
      </c>
      <c r="E419" s="105">
        <v>3</v>
      </c>
      <c r="F419" s="85" t="str">
        <f t="shared" si="32"/>
        <v>B903</v>
      </c>
      <c r="G419" s="84">
        <v>183.887</v>
      </c>
      <c r="H419" s="85">
        <v>203.74308197465874</v>
      </c>
      <c r="I419" s="85">
        <f t="shared" si="33"/>
        <v>224.34214</v>
      </c>
      <c r="J419" s="86">
        <v>61.527700000000003</v>
      </c>
      <c r="K419" s="512"/>
      <c r="L419" s="510"/>
    </row>
    <row r="420" spans="1:12" x14ac:dyDescent="0.25">
      <c r="A420" s="515"/>
      <c r="B420" s="516"/>
      <c r="C420" s="95" t="s">
        <v>69</v>
      </c>
      <c r="D420" s="104">
        <v>0</v>
      </c>
      <c r="E420" s="105">
        <v>4</v>
      </c>
      <c r="F420" s="85" t="str">
        <f t="shared" si="32"/>
        <v>B904</v>
      </c>
      <c r="G420" s="84">
        <v>147.54499999999999</v>
      </c>
      <c r="H420" s="85">
        <v>163.47687998581205</v>
      </c>
      <c r="I420" s="85">
        <f t="shared" si="33"/>
        <v>180.00489999999999</v>
      </c>
      <c r="J420" s="86">
        <v>51.884399999999999</v>
      </c>
      <c r="K420" s="512"/>
      <c r="L420" s="510"/>
    </row>
    <row r="421" spans="1:12" x14ac:dyDescent="0.25">
      <c r="A421" s="515"/>
      <c r="B421" s="516"/>
      <c r="C421" s="95" t="s">
        <v>69</v>
      </c>
      <c r="D421" s="104">
        <v>1</v>
      </c>
      <c r="E421" s="105">
        <v>1</v>
      </c>
      <c r="F421" s="85" t="str">
        <f t="shared" si="32"/>
        <v>B911</v>
      </c>
      <c r="G421" s="84">
        <v>96.311000000000007</v>
      </c>
      <c r="H421" s="85">
        <v>106.71064277551626</v>
      </c>
      <c r="I421" s="85">
        <f t="shared" si="33"/>
        <v>117.49942</v>
      </c>
      <c r="J421" s="84"/>
      <c r="K421" s="512"/>
      <c r="L421" s="510">
        <v>73.486999999999995</v>
      </c>
    </row>
    <row r="422" spans="1:12" x14ac:dyDescent="0.25">
      <c r="A422" s="515"/>
      <c r="B422" s="516"/>
      <c r="C422" s="95" t="s">
        <v>69</v>
      </c>
      <c r="D422" s="104">
        <v>1</v>
      </c>
      <c r="E422" s="105">
        <v>2</v>
      </c>
      <c r="F422" s="85" t="str">
        <f t="shared" si="32"/>
        <v>B912</v>
      </c>
      <c r="G422" s="84">
        <v>162.57599999999999</v>
      </c>
      <c r="H422" s="85">
        <v>180.13092439983313</v>
      </c>
      <c r="I422" s="85">
        <f t="shared" si="33"/>
        <v>198.34271999999999</v>
      </c>
      <c r="J422" s="84"/>
      <c r="K422" s="512"/>
      <c r="L422" s="510"/>
    </row>
    <row r="423" spans="1:12" x14ac:dyDescent="0.25">
      <c r="A423" s="515"/>
      <c r="B423" s="516"/>
      <c r="C423" s="95" t="s">
        <v>69</v>
      </c>
      <c r="D423" s="104">
        <v>1</v>
      </c>
      <c r="E423" s="105">
        <v>3</v>
      </c>
      <c r="F423" s="85" t="str">
        <f t="shared" si="32"/>
        <v>B913</v>
      </c>
      <c r="G423" s="84">
        <v>183.637</v>
      </c>
      <c r="H423" s="85">
        <v>203.46608702398976</v>
      </c>
      <c r="I423" s="85">
        <f t="shared" si="33"/>
        <v>224.03713999999999</v>
      </c>
      <c r="J423" s="84"/>
      <c r="K423" s="512"/>
      <c r="L423" s="510"/>
    </row>
    <row r="424" spans="1:12" x14ac:dyDescent="0.25">
      <c r="A424" s="515"/>
      <c r="B424" s="516"/>
      <c r="C424" s="95" t="s">
        <v>69</v>
      </c>
      <c r="D424" s="104">
        <v>1</v>
      </c>
      <c r="E424" s="105">
        <v>4</v>
      </c>
      <c r="F424" s="85" t="str">
        <f t="shared" si="32"/>
        <v>B914</v>
      </c>
      <c r="G424" s="84">
        <v>141.66300000000001</v>
      </c>
      <c r="H424" s="85">
        <v>156.95974278647259</v>
      </c>
      <c r="I424" s="85">
        <f t="shared" si="33"/>
        <v>172.82886000000002</v>
      </c>
      <c r="J424" s="84"/>
      <c r="K424" s="512"/>
      <c r="L424" s="510"/>
    </row>
    <row r="425" spans="1:12" x14ac:dyDescent="0.25">
      <c r="A425" s="515"/>
      <c r="B425" s="516"/>
      <c r="C425" s="95" t="s">
        <v>69</v>
      </c>
      <c r="D425" s="104">
        <v>2</v>
      </c>
      <c r="E425" s="105">
        <v>1</v>
      </c>
      <c r="F425" s="85" t="str">
        <f t="shared" si="32"/>
        <v>B921</v>
      </c>
      <c r="G425" s="84">
        <v>141.22499999999999</v>
      </c>
      <c r="H425" s="85">
        <v>156.47444763290054</v>
      </c>
      <c r="I425" s="85">
        <f t="shared" si="33"/>
        <v>172.2945</v>
      </c>
      <c r="J425" s="84"/>
      <c r="K425" s="512"/>
      <c r="L425" s="510">
        <v>53.119</v>
      </c>
    </row>
    <row r="426" spans="1:12" x14ac:dyDescent="0.25">
      <c r="A426" s="515"/>
      <c r="B426" s="516"/>
      <c r="C426" s="95" t="s">
        <v>69</v>
      </c>
      <c r="D426" s="104">
        <v>2</v>
      </c>
      <c r="E426" s="105">
        <v>2</v>
      </c>
      <c r="F426" s="85" t="str">
        <f t="shared" si="32"/>
        <v>B922</v>
      </c>
      <c r="G426" s="84">
        <v>167.214</v>
      </c>
      <c r="H426" s="85">
        <v>185.26973472464385</v>
      </c>
      <c r="I426" s="85">
        <f t="shared" si="33"/>
        <v>204.00108</v>
      </c>
      <c r="J426" s="84"/>
      <c r="K426" s="512"/>
      <c r="L426" s="510"/>
    </row>
    <row r="427" spans="1:12" x14ac:dyDescent="0.25">
      <c r="A427" s="515"/>
      <c r="B427" s="516"/>
      <c r="C427" s="95" t="s">
        <v>69</v>
      </c>
      <c r="D427" s="104">
        <v>2</v>
      </c>
      <c r="E427" s="105">
        <v>3</v>
      </c>
      <c r="F427" s="85" t="str">
        <f t="shared" si="32"/>
        <v>B923</v>
      </c>
      <c r="G427" s="84">
        <v>187.10300000000001</v>
      </c>
      <c r="H427" s="85">
        <v>207.30634502006436</v>
      </c>
      <c r="I427" s="85">
        <f t="shared" si="33"/>
        <v>228.26566</v>
      </c>
      <c r="J427" s="84"/>
      <c r="K427" s="512"/>
      <c r="L427" s="510"/>
    </row>
    <row r="428" spans="1:12" x14ac:dyDescent="0.25">
      <c r="A428" s="515"/>
      <c r="B428" s="516"/>
      <c r="C428" s="95" t="s">
        <v>69</v>
      </c>
      <c r="D428" s="104">
        <v>2</v>
      </c>
      <c r="E428" s="105">
        <v>4</v>
      </c>
      <c r="F428" s="85" t="str">
        <f t="shared" si="32"/>
        <v>B924</v>
      </c>
      <c r="G428" s="84">
        <v>143.989</v>
      </c>
      <c r="H428" s="85">
        <v>159.53690380749666</v>
      </c>
      <c r="I428" s="85">
        <f t="shared" si="33"/>
        <v>175.66658000000001</v>
      </c>
      <c r="J428" s="84"/>
      <c r="K428" s="512"/>
      <c r="L428" s="510"/>
    </row>
    <row r="429" spans="1:12" x14ac:dyDescent="0.25">
      <c r="A429" s="515"/>
      <c r="B429" s="516"/>
      <c r="C429" s="95" t="s">
        <v>69</v>
      </c>
      <c r="D429" s="104">
        <v>3</v>
      </c>
      <c r="E429" s="105">
        <v>1</v>
      </c>
      <c r="F429" s="85" t="str">
        <f t="shared" si="32"/>
        <v>B931</v>
      </c>
      <c r="G429" s="84">
        <v>141.131</v>
      </c>
      <c r="H429" s="85">
        <v>156.37029753144901</v>
      </c>
      <c r="I429" s="85">
        <f t="shared" si="33"/>
        <v>172.17982000000001</v>
      </c>
      <c r="J429" s="84"/>
      <c r="K429" s="512"/>
      <c r="L429" s="510">
        <v>53.119</v>
      </c>
    </row>
    <row r="430" spans="1:12" x14ac:dyDescent="0.25">
      <c r="A430" s="515"/>
      <c r="B430" s="516"/>
      <c r="C430" s="95" t="s">
        <v>69</v>
      </c>
      <c r="D430" s="104">
        <v>3</v>
      </c>
      <c r="E430" s="105">
        <v>2</v>
      </c>
      <c r="F430" s="85" t="str">
        <f t="shared" si="32"/>
        <v>B932</v>
      </c>
      <c r="G430" s="84">
        <v>164.43600000000001</v>
      </c>
      <c r="H430" s="85">
        <v>182.19176683281029</v>
      </c>
      <c r="I430" s="85">
        <f t="shared" si="33"/>
        <v>200.61192</v>
      </c>
      <c r="J430" s="84"/>
      <c r="K430" s="512"/>
      <c r="L430" s="510"/>
    </row>
    <row r="431" spans="1:12" x14ac:dyDescent="0.25">
      <c r="A431" s="515"/>
      <c r="B431" s="516"/>
      <c r="C431" s="95" t="s">
        <v>69</v>
      </c>
      <c r="D431" s="104">
        <v>3</v>
      </c>
      <c r="E431" s="105">
        <v>3</v>
      </c>
      <c r="F431" s="85" t="str">
        <f t="shared" si="32"/>
        <v>B933</v>
      </c>
      <c r="G431" s="84">
        <v>187.20400000000001</v>
      </c>
      <c r="H431" s="85">
        <v>207.41825098013462</v>
      </c>
      <c r="I431" s="85">
        <f t="shared" si="33"/>
        <v>228.38888</v>
      </c>
      <c r="J431" s="84"/>
      <c r="K431" s="512"/>
      <c r="L431" s="510"/>
    </row>
    <row r="432" spans="1:12" x14ac:dyDescent="0.25">
      <c r="A432" s="515"/>
      <c r="B432" s="516"/>
      <c r="C432" s="95" t="s">
        <v>69</v>
      </c>
      <c r="D432" s="104">
        <v>3</v>
      </c>
      <c r="E432" s="105">
        <v>4</v>
      </c>
      <c r="F432" s="85" t="str">
        <f t="shared" si="32"/>
        <v>B934</v>
      </c>
      <c r="G432" s="84">
        <v>143.911</v>
      </c>
      <c r="H432" s="85">
        <v>159.45048138288794</v>
      </c>
      <c r="I432" s="85">
        <f t="shared" si="33"/>
        <v>175.57141999999999</v>
      </c>
      <c r="J432" s="84"/>
      <c r="K432" s="512"/>
      <c r="L432" s="510"/>
    </row>
    <row r="433" spans="1:12" x14ac:dyDescent="0.25">
      <c r="A433" s="515"/>
      <c r="B433" s="516"/>
      <c r="C433" s="95" t="s">
        <v>69</v>
      </c>
      <c r="D433" s="104">
        <v>4</v>
      </c>
      <c r="E433" s="105">
        <v>1</v>
      </c>
      <c r="F433" s="85" t="str">
        <f t="shared" si="32"/>
        <v>B941</v>
      </c>
      <c r="G433" s="84">
        <v>139.16499999999999</v>
      </c>
      <c r="H433" s="85">
        <v>154.19200923938823</v>
      </c>
      <c r="I433" s="85">
        <f t="shared" si="33"/>
        <v>169.78129999999999</v>
      </c>
      <c r="J433" s="84"/>
      <c r="K433" s="512"/>
      <c r="L433" s="510">
        <v>53.119</v>
      </c>
    </row>
    <row r="434" spans="1:12" x14ac:dyDescent="0.25">
      <c r="A434" s="515"/>
      <c r="B434" s="516"/>
      <c r="C434" s="95" t="s">
        <v>69</v>
      </c>
      <c r="D434" s="104">
        <v>4</v>
      </c>
      <c r="E434" s="105">
        <v>2</v>
      </c>
      <c r="F434" s="85" t="str">
        <f t="shared" si="32"/>
        <v>B942</v>
      </c>
      <c r="G434" s="84">
        <v>162.49</v>
      </c>
      <c r="H434" s="85">
        <v>180.03563813680304</v>
      </c>
      <c r="I434" s="85">
        <f t="shared" si="33"/>
        <v>198.23779999999999</v>
      </c>
      <c r="J434" s="84"/>
      <c r="K434" s="512"/>
      <c r="L434" s="510"/>
    </row>
    <row r="435" spans="1:12" x14ac:dyDescent="0.25">
      <c r="A435" s="515"/>
      <c r="B435" s="516"/>
      <c r="C435" s="95" t="s">
        <v>69</v>
      </c>
      <c r="D435" s="104">
        <v>4</v>
      </c>
      <c r="E435" s="105">
        <v>3</v>
      </c>
      <c r="F435" s="85" t="str">
        <f t="shared" si="32"/>
        <v>B943</v>
      </c>
      <c r="G435" s="84">
        <v>182.357</v>
      </c>
      <c r="H435" s="85">
        <v>202.04787287656464</v>
      </c>
      <c r="I435" s="85">
        <f t="shared" si="33"/>
        <v>222.47554</v>
      </c>
      <c r="J435" s="84"/>
      <c r="K435" s="512"/>
      <c r="L435" s="510"/>
    </row>
    <row r="436" spans="1:12" x14ac:dyDescent="0.25">
      <c r="A436" s="515"/>
      <c r="B436" s="516"/>
      <c r="C436" s="95" t="s">
        <v>69</v>
      </c>
      <c r="D436" s="104">
        <v>4</v>
      </c>
      <c r="E436" s="105">
        <v>4</v>
      </c>
      <c r="F436" s="85" t="str">
        <f t="shared" si="32"/>
        <v>B944</v>
      </c>
      <c r="G436" s="84">
        <v>141.929</v>
      </c>
      <c r="H436" s="85">
        <v>157.25446541398435</v>
      </c>
      <c r="I436" s="85">
        <f t="shared" si="33"/>
        <v>173.15338</v>
      </c>
      <c r="J436" s="84"/>
      <c r="K436" s="512"/>
      <c r="L436" s="510"/>
    </row>
    <row r="437" spans="1:12" x14ac:dyDescent="0.25">
      <c r="A437" s="81" t="s">
        <v>4</v>
      </c>
      <c r="B437" s="80"/>
      <c r="C437" s="81"/>
      <c r="D437" s="81"/>
      <c r="E437" s="81"/>
      <c r="F437" s="81"/>
      <c r="G437" s="83">
        <f>SUM(G417:G436)</f>
        <v>3075.8530000000001</v>
      </c>
      <c r="H437" s="83"/>
      <c r="I437" s="83">
        <f>SUM(I417:I436)</f>
        <v>3752.5406600000001</v>
      </c>
      <c r="J437" s="83"/>
      <c r="K437" s="83">
        <f>SUM(K417)</f>
        <v>3407.9829999999993</v>
      </c>
      <c r="L437" s="83">
        <f>L433+L429+L425+L421+L417</f>
        <v>332.11</v>
      </c>
    </row>
    <row r="438" spans="1:12" x14ac:dyDescent="0.25">
      <c r="A438" s="92"/>
      <c r="B438" s="93"/>
      <c r="C438" s="89"/>
      <c r="D438" s="89"/>
      <c r="E438" s="89"/>
      <c r="F438" s="89"/>
      <c r="G438" s="87">
        <v>1.1079798026758756</v>
      </c>
      <c r="L438" s="88">
        <f>(L417+L421+L425+L429+L433)/K437</f>
        <v>9.7450603480123021E-2</v>
      </c>
    </row>
    <row r="439" spans="1:12" x14ac:dyDescent="0.25">
      <c r="F439" s="101"/>
    </row>
    <row r="440" spans="1:12" ht="37.5" x14ac:dyDescent="0.25">
      <c r="A440" s="106" t="s">
        <v>9</v>
      </c>
      <c r="B440" s="107" t="s">
        <v>7</v>
      </c>
      <c r="C440" s="106" t="s">
        <v>8</v>
      </c>
      <c r="D440" s="108" t="s">
        <v>10</v>
      </c>
      <c r="E440" s="109" t="s">
        <v>2</v>
      </c>
      <c r="F440" s="106" t="s">
        <v>104</v>
      </c>
      <c r="G440" s="106" t="s">
        <v>3</v>
      </c>
      <c r="H440" s="106" t="s">
        <v>102</v>
      </c>
      <c r="I440" s="106" t="s">
        <v>101</v>
      </c>
      <c r="J440" s="106" t="s">
        <v>103</v>
      </c>
      <c r="K440" s="107" t="s">
        <v>6</v>
      </c>
      <c r="L440" s="107" t="s">
        <v>1</v>
      </c>
    </row>
    <row r="441" spans="1:12" x14ac:dyDescent="0.25">
      <c r="A441" s="515" t="s">
        <v>33</v>
      </c>
      <c r="B441" s="516" t="s">
        <v>50</v>
      </c>
      <c r="C441" s="95" t="s">
        <v>105</v>
      </c>
      <c r="D441" s="104">
        <v>0</v>
      </c>
      <c r="E441" s="105">
        <v>1</v>
      </c>
      <c r="F441" s="85" t="str">
        <f>LEFT(C441,3)&amp;D441&amp;E441</f>
        <v>B1001</v>
      </c>
      <c r="G441" s="84">
        <v>141.82499999999999</v>
      </c>
      <c r="H441" s="85">
        <v>159.04192828545919</v>
      </c>
      <c r="I441" s="85">
        <f>1.22*G441</f>
        <v>173.02649999999997</v>
      </c>
      <c r="J441" s="86">
        <v>49.875</v>
      </c>
      <c r="K441" s="512">
        <f>SUM(H441:H460)</f>
        <v>3066.5780000000004</v>
      </c>
      <c r="L441" s="510">
        <v>99.04</v>
      </c>
    </row>
    <row r="442" spans="1:12" x14ac:dyDescent="0.25">
      <c r="A442" s="515"/>
      <c r="B442" s="516"/>
      <c r="C442" s="95" t="s">
        <v>105</v>
      </c>
      <c r="D442" s="104">
        <v>0</v>
      </c>
      <c r="E442" s="105">
        <v>2</v>
      </c>
      <c r="F442" s="85" t="str">
        <f t="shared" ref="F442:F460" si="34">LEFT(C442,3)&amp;D442&amp;E442</f>
        <v>B1002</v>
      </c>
      <c r="G442" s="84">
        <v>142.05600000000001</v>
      </c>
      <c r="H442" s="85">
        <v>159.30097066468673</v>
      </c>
      <c r="I442" s="85">
        <f t="shared" ref="I442:I460" si="35">1.22*G442</f>
        <v>173.30832000000001</v>
      </c>
      <c r="J442" s="86">
        <v>97.868200000000002</v>
      </c>
      <c r="K442" s="512"/>
      <c r="L442" s="510"/>
    </row>
    <row r="443" spans="1:12" x14ac:dyDescent="0.25">
      <c r="A443" s="515"/>
      <c r="B443" s="516"/>
      <c r="C443" s="95" t="s">
        <v>105</v>
      </c>
      <c r="D443" s="104">
        <v>0</v>
      </c>
      <c r="E443" s="105">
        <v>3</v>
      </c>
      <c r="F443" s="85" t="str">
        <f t="shared" si="34"/>
        <v>B1003</v>
      </c>
      <c r="G443" s="84">
        <v>142.197</v>
      </c>
      <c r="H443" s="85">
        <v>159.45908744161781</v>
      </c>
      <c r="I443" s="85">
        <f t="shared" si="35"/>
        <v>173.48034000000001</v>
      </c>
      <c r="J443" s="86">
        <v>97.259299999999996</v>
      </c>
      <c r="K443" s="512"/>
      <c r="L443" s="510"/>
    </row>
    <row r="444" spans="1:12" x14ac:dyDescent="0.25">
      <c r="A444" s="515"/>
      <c r="B444" s="516"/>
      <c r="C444" s="95" t="s">
        <v>105</v>
      </c>
      <c r="D444" s="104">
        <v>0</v>
      </c>
      <c r="E444" s="105">
        <v>4</v>
      </c>
      <c r="F444" s="85" t="str">
        <f t="shared" si="34"/>
        <v>B1004</v>
      </c>
      <c r="G444" s="84">
        <v>95.254000000000005</v>
      </c>
      <c r="H444" s="85">
        <v>106.81741467938045</v>
      </c>
      <c r="I444" s="85">
        <f t="shared" si="35"/>
        <v>116.20988</v>
      </c>
      <c r="J444" s="86">
        <v>42.098799999999997</v>
      </c>
      <c r="K444" s="512"/>
      <c r="L444" s="510"/>
    </row>
    <row r="445" spans="1:12" x14ac:dyDescent="0.25">
      <c r="A445" s="515"/>
      <c r="B445" s="516"/>
      <c r="C445" s="95" t="s">
        <v>105</v>
      </c>
      <c r="D445" s="104">
        <v>1</v>
      </c>
      <c r="E445" s="105">
        <v>1</v>
      </c>
      <c r="F445" s="85" t="str">
        <f t="shared" si="34"/>
        <v>B1011</v>
      </c>
      <c r="G445" s="84">
        <v>142.977</v>
      </c>
      <c r="H445" s="85">
        <v>160.33377599485354</v>
      </c>
      <c r="I445" s="85">
        <f t="shared" si="35"/>
        <v>174.43194</v>
      </c>
      <c r="J445" s="84"/>
      <c r="K445" s="512"/>
      <c r="L445" s="510">
        <v>73.486999999999995</v>
      </c>
    </row>
    <row r="446" spans="1:12" x14ac:dyDescent="0.25">
      <c r="A446" s="515"/>
      <c r="B446" s="516"/>
      <c r="C446" s="95" t="s">
        <v>105</v>
      </c>
      <c r="D446" s="104">
        <v>1</v>
      </c>
      <c r="E446" s="105">
        <v>2</v>
      </c>
      <c r="F446" s="85" t="str">
        <f t="shared" si="34"/>
        <v>B1012</v>
      </c>
      <c r="G446" s="84">
        <v>139.572</v>
      </c>
      <c r="H446" s="85">
        <v>156.51542404130524</v>
      </c>
      <c r="I446" s="85">
        <f t="shared" si="35"/>
        <v>170.27784</v>
      </c>
      <c r="J446" s="84"/>
      <c r="K446" s="512"/>
      <c r="L446" s="510"/>
    </row>
    <row r="447" spans="1:12" x14ac:dyDescent="0.25">
      <c r="A447" s="515"/>
      <c r="B447" s="516"/>
      <c r="C447" s="95" t="s">
        <v>105</v>
      </c>
      <c r="D447" s="104">
        <v>1</v>
      </c>
      <c r="E447" s="105">
        <v>3</v>
      </c>
      <c r="F447" s="85" t="str">
        <f t="shared" si="34"/>
        <v>B1013</v>
      </c>
      <c r="G447" s="84">
        <v>139.71199999999999</v>
      </c>
      <c r="H447" s="85">
        <v>156.67241942265522</v>
      </c>
      <c r="I447" s="85">
        <f t="shared" si="35"/>
        <v>170.44863999999998</v>
      </c>
      <c r="J447" s="84"/>
      <c r="K447" s="512"/>
      <c r="L447" s="510"/>
    </row>
    <row r="448" spans="1:12" x14ac:dyDescent="0.25">
      <c r="A448" s="515"/>
      <c r="B448" s="516"/>
      <c r="C448" s="95" t="s">
        <v>105</v>
      </c>
      <c r="D448" s="104">
        <v>1</v>
      </c>
      <c r="E448" s="105">
        <v>4</v>
      </c>
      <c r="F448" s="85" t="str">
        <f t="shared" si="34"/>
        <v>B1014</v>
      </c>
      <c r="G448" s="84">
        <v>96.311000000000007</v>
      </c>
      <c r="H448" s="85">
        <v>108.00272980857298</v>
      </c>
      <c r="I448" s="85">
        <f t="shared" si="35"/>
        <v>117.49942</v>
      </c>
      <c r="J448" s="84"/>
      <c r="K448" s="512"/>
      <c r="L448" s="510"/>
    </row>
    <row r="449" spans="1:12" x14ac:dyDescent="0.25">
      <c r="A449" s="515"/>
      <c r="B449" s="516"/>
      <c r="C449" s="95" t="s">
        <v>105</v>
      </c>
      <c r="D449" s="104">
        <v>2</v>
      </c>
      <c r="E449" s="105">
        <v>1</v>
      </c>
      <c r="F449" s="85" t="str">
        <f t="shared" si="34"/>
        <v>B1021</v>
      </c>
      <c r="G449" s="84">
        <v>141.18700000000001</v>
      </c>
      <c r="H449" s="85">
        <v>158.32647790473564</v>
      </c>
      <c r="I449" s="85">
        <f t="shared" si="35"/>
        <v>172.24814000000001</v>
      </c>
      <c r="J449" s="84"/>
      <c r="K449" s="512"/>
      <c r="L449" s="510">
        <v>53.119</v>
      </c>
    </row>
    <row r="450" spans="1:12" x14ac:dyDescent="0.25">
      <c r="A450" s="515"/>
      <c r="B450" s="516"/>
      <c r="C450" s="95" t="s">
        <v>105</v>
      </c>
      <c r="D450" s="104">
        <v>2</v>
      </c>
      <c r="E450" s="105">
        <v>2</v>
      </c>
      <c r="F450" s="85" t="str">
        <f t="shared" si="34"/>
        <v>B1022</v>
      </c>
      <c r="G450" s="84">
        <v>141.446</v>
      </c>
      <c r="H450" s="85">
        <v>158.61691936023314</v>
      </c>
      <c r="I450" s="85">
        <f t="shared" si="35"/>
        <v>172.56412</v>
      </c>
      <c r="J450" s="84"/>
      <c r="K450" s="512"/>
      <c r="L450" s="510"/>
    </row>
    <row r="451" spans="1:12" x14ac:dyDescent="0.25">
      <c r="A451" s="515"/>
      <c r="B451" s="516"/>
      <c r="C451" s="95" t="s">
        <v>105</v>
      </c>
      <c r="D451" s="104">
        <v>2</v>
      </c>
      <c r="E451" s="105">
        <v>3</v>
      </c>
      <c r="F451" s="85" t="str">
        <f t="shared" si="34"/>
        <v>B1023</v>
      </c>
      <c r="G451" s="84">
        <v>141.572</v>
      </c>
      <c r="H451" s="85">
        <v>158.75821520344815</v>
      </c>
      <c r="I451" s="85">
        <f t="shared" si="35"/>
        <v>172.71784</v>
      </c>
      <c r="J451" s="84"/>
      <c r="K451" s="512"/>
      <c r="L451" s="510"/>
    </row>
    <row r="452" spans="1:12" x14ac:dyDescent="0.25">
      <c r="A452" s="515"/>
      <c r="B452" s="516"/>
      <c r="C452" s="95" t="s">
        <v>105</v>
      </c>
      <c r="D452" s="104">
        <v>2</v>
      </c>
      <c r="E452" s="105">
        <v>4</v>
      </c>
      <c r="F452" s="85" t="str">
        <f t="shared" si="34"/>
        <v>B1024</v>
      </c>
      <c r="G452" s="84">
        <v>141.226</v>
      </c>
      <c r="H452" s="85">
        <v>158.37021233239741</v>
      </c>
      <c r="I452" s="85">
        <f t="shared" si="35"/>
        <v>172.29571999999999</v>
      </c>
      <c r="J452" s="84"/>
      <c r="K452" s="512"/>
      <c r="L452" s="510"/>
    </row>
    <row r="453" spans="1:12" x14ac:dyDescent="0.25">
      <c r="A453" s="515"/>
      <c r="B453" s="516"/>
      <c r="C453" s="95" t="s">
        <v>105</v>
      </c>
      <c r="D453" s="104">
        <v>3</v>
      </c>
      <c r="E453" s="105">
        <v>1</v>
      </c>
      <c r="F453" s="85" t="str">
        <f t="shared" si="34"/>
        <v>B1031</v>
      </c>
      <c r="G453" s="84">
        <v>141.48599999999999</v>
      </c>
      <c r="H453" s="85">
        <v>158.66177518347598</v>
      </c>
      <c r="I453" s="85">
        <f t="shared" si="35"/>
        <v>172.61291999999997</v>
      </c>
      <c r="J453" s="84"/>
      <c r="K453" s="512"/>
      <c r="L453" s="510">
        <v>53.119</v>
      </c>
    </row>
    <row r="454" spans="1:12" x14ac:dyDescent="0.25">
      <c r="A454" s="515"/>
      <c r="B454" s="516"/>
      <c r="C454" s="95" t="s">
        <v>105</v>
      </c>
      <c r="D454" s="104">
        <v>3</v>
      </c>
      <c r="E454" s="105">
        <v>2</v>
      </c>
      <c r="F454" s="85" t="str">
        <f t="shared" si="34"/>
        <v>B1032</v>
      </c>
      <c r="G454" s="84">
        <v>142.25399999999999</v>
      </c>
      <c r="H454" s="85">
        <v>159.52300698973886</v>
      </c>
      <c r="I454" s="85">
        <f t="shared" si="35"/>
        <v>173.54987999999997</v>
      </c>
      <c r="J454" s="84"/>
      <c r="K454" s="512"/>
      <c r="L454" s="510"/>
    </row>
    <row r="455" spans="1:12" x14ac:dyDescent="0.25">
      <c r="A455" s="515"/>
      <c r="B455" s="516"/>
      <c r="C455" s="95" t="s">
        <v>105</v>
      </c>
      <c r="D455" s="104">
        <v>3</v>
      </c>
      <c r="E455" s="105">
        <v>3</v>
      </c>
      <c r="F455" s="85" t="str">
        <f t="shared" si="34"/>
        <v>B1033</v>
      </c>
      <c r="G455" s="84">
        <v>142.37799999999999</v>
      </c>
      <c r="H455" s="85">
        <v>159.6620600417917</v>
      </c>
      <c r="I455" s="85">
        <f t="shared" si="35"/>
        <v>173.70115999999999</v>
      </c>
      <c r="J455" s="84"/>
      <c r="K455" s="512"/>
      <c r="L455" s="510"/>
    </row>
    <row r="456" spans="1:12" x14ac:dyDescent="0.25">
      <c r="A456" s="515"/>
      <c r="B456" s="516"/>
      <c r="C456" s="95" t="s">
        <v>105</v>
      </c>
      <c r="D456" s="104">
        <v>3</v>
      </c>
      <c r="E456" s="105">
        <v>4</v>
      </c>
      <c r="F456" s="85" t="str">
        <f t="shared" si="34"/>
        <v>B1034</v>
      </c>
      <c r="G456" s="84">
        <v>141.52600000000001</v>
      </c>
      <c r="H456" s="85">
        <v>158.70663100671885</v>
      </c>
      <c r="I456" s="85">
        <f t="shared" si="35"/>
        <v>172.66172</v>
      </c>
      <c r="J456" s="84"/>
      <c r="K456" s="512"/>
      <c r="L456" s="510"/>
    </row>
    <row r="457" spans="1:12" x14ac:dyDescent="0.25">
      <c r="A457" s="515"/>
      <c r="B457" s="516"/>
      <c r="C457" s="95" t="s">
        <v>105</v>
      </c>
      <c r="D457" s="104">
        <v>4</v>
      </c>
      <c r="E457" s="105">
        <v>1</v>
      </c>
      <c r="F457" s="85" t="str">
        <f t="shared" si="34"/>
        <v>B1041</v>
      </c>
      <c r="G457" s="84">
        <v>139.12</v>
      </c>
      <c r="H457" s="85">
        <v>156.00855323866094</v>
      </c>
      <c r="I457" s="85">
        <f t="shared" si="35"/>
        <v>169.72640000000001</v>
      </c>
      <c r="J457" s="84"/>
      <c r="K457" s="512"/>
      <c r="L457" s="510">
        <v>53.119</v>
      </c>
    </row>
    <row r="458" spans="1:12" x14ac:dyDescent="0.25">
      <c r="A458" s="515"/>
      <c r="B458" s="516"/>
      <c r="C458" s="95" t="s">
        <v>105</v>
      </c>
      <c r="D458" s="104">
        <v>4</v>
      </c>
      <c r="E458" s="105">
        <v>2</v>
      </c>
      <c r="F458" s="85" t="str">
        <f t="shared" si="34"/>
        <v>B1042</v>
      </c>
      <c r="G458" s="84">
        <v>141.53399999999999</v>
      </c>
      <c r="H458" s="85">
        <v>158.71560217136741</v>
      </c>
      <c r="I458" s="85">
        <f t="shared" si="35"/>
        <v>172.67147999999997</v>
      </c>
      <c r="J458" s="84"/>
      <c r="K458" s="512"/>
      <c r="L458" s="510"/>
    </row>
    <row r="459" spans="1:12" x14ac:dyDescent="0.25">
      <c r="A459" s="515"/>
      <c r="B459" s="516"/>
      <c r="C459" s="95" t="s">
        <v>105</v>
      </c>
      <c r="D459" s="104">
        <v>4</v>
      </c>
      <c r="E459" s="105">
        <v>3</v>
      </c>
      <c r="F459" s="85" t="str">
        <f t="shared" si="34"/>
        <v>B1043</v>
      </c>
      <c r="G459" s="84">
        <v>141.65899999999999</v>
      </c>
      <c r="H459" s="85">
        <v>158.85577661900135</v>
      </c>
      <c r="I459" s="85">
        <f t="shared" si="35"/>
        <v>172.82397999999998</v>
      </c>
      <c r="J459" s="84"/>
      <c r="K459" s="512"/>
      <c r="L459" s="510"/>
    </row>
    <row r="460" spans="1:12" x14ac:dyDescent="0.25">
      <c r="A460" s="515"/>
      <c r="B460" s="516"/>
      <c r="C460" s="95" t="s">
        <v>105</v>
      </c>
      <c r="D460" s="104">
        <v>4</v>
      </c>
      <c r="E460" s="105">
        <v>4</v>
      </c>
      <c r="F460" s="85" t="str">
        <f t="shared" si="34"/>
        <v>B1044</v>
      </c>
      <c r="G460" s="84">
        <v>139.31659999999999</v>
      </c>
      <c r="H460" s="85">
        <v>156.22901960989958</v>
      </c>
      <c r="I460" s="85">
        <f t="shared" si="35"/>
        <v>169.966252</v>
      </c>
      <c r="J460" s="84"/>
      <c r="K460" s="512"/>
      <c r="L460" s="510"/>
    </row>
    <row r="461" spans="1:12" x14ac:dyDescent="0.25">
      <c r="A461" s="81" t="s">
        <v>4</v>
      </c>
      <c r="B461" s="80"/>
      <c r="C461" s="81"/>
      <c r="D461" s="81"/>
      <c r="E461" s="81"/>
      <c r="F461" s="81"/>
      <c r="G461" s="83">
        <f>SUM(G441:G460)</f>
        <v>2734.6086</v>
      </c>
      <c r="H461" s="83"/>
      <c r="I461" s="83">
        <f>SUM(I441:I460)</f>
        <v>3336.2224920000003</v>
      </c>
      <c r="J461" s="83"/>
      <c r="K461" s="83">
        <f>SUM(K441)</f>
        <v>3066.5780000000004</v>
      </c>
      <c r="L461" s="83">
        <f>L457+L453+L449+L445+L441</f>
        <v>331.88400000000001</v>
      </c>
    </row>
    <row r="462" spans="1:12" x14ac:dyDescent="0.25">
      <c r="A462" s="92"/>
      <c r="B462" s="93"/>
      <c r="C462" s="89"/>
      <c r="D462" s="89"/>
      <c r="E462" s="89"/>
      <c r="F462" s="89"/>
      <c r="G462" s="87">
        <v>1.1213955810714558</v>
      </c>
      <c r="L462" s="88">
        <f>(L441+L445+L449+L453+L457)/K461</f>
        <v>0.10822617262629548</v>
      </c>
    </row>
    <row r="463" spans="1:12" x14ac:dyDescent="0.25">
      <c r="F463" s="101"/>
    </row>
    <row r="464" spans="1:12" ht="37.5" x14ac:dyDescent="0.25">
      <c r="A464" s="82" t="s">
        <v>9</v>
      </c>
      <c r="B464" s="83" t="s">
        <v>7</v>
      </c>
      <c r="C464" s="82" t="s">
        <v>8</v>
      </c>
      <c r="D464" s="102" t="s">
        <v>10</v>
      </c>
      <c r="E464" s="103" t="s">
        <v>2</v>
      </c>
      <c r="F464" s="82" t="s">
        <v>104</v>
      </c>
      <c r="G464" s="82" t="s">
        <v>3</v>
      </c>
      <c r="H464" s="82" t="s">
        <v>102</v>
      </c>
      <c r="I464" s="82" t="s">
        <v>101</v>
      </c>
      <c r="J464" s="82" t="s">
        <v>103</v>
      </c>
      <c r="K464" s="83" t="s">
        <v>6</v>
      </c>
      <c r="L464" s="83" t="s">
        <v>1</v>
      </c>
    </row>
    <row r="465" spans="1:12" x14ac:dyDescent="0.25">
      <c r="A465" s="515" t="s">
        <v>33</v>
      </c>
      <c r="B465" s="516" t="s">
        <v>50</v>
      </c>
      <c r="C465" s="95" t="s">
        <v>67</v>
      </c>
      <c r="D465" s="104">
        <v>0</v>
      </c>
      <c r="E465" s="105">
        <v>1</v>
      </c>
      <c r="F465" s="85" t="str">
        <f>LEFT(C465,3)&amp;D465&amp;E465</f>
        <v>B1101</v>
      </c>
      <c r="G465" s="84">
        <v>144.66300000000001</v>
      </c>
      <c r="H465" s="85">
        <v>160.29970969584483</v>
      </c>
      <c r="I465" s="85">
        <f>1.22*G465</f>
        <v>176.48886000000002</v>
      </c>
      <c r="J465" s="86">
        <v>50.369199999999999</v>
      </c>
      <c r="K465" s="512">
        <f>SUM(H465:H484)</f>
        <v>3404.6560000000009</v>
      </c>
      <c r="L465" s="510">
        <v>99.266000000000005</v>
      </c>
    </row>
    <row r="466" spans="1:12" x14ac:dyDescent="0.25">
      <c r="A466" s="515"/>
      <c r="B466" s="516"/>
      <c r="C466" s="95" t="s">
        <v>67</v>
      </c>
      <c r="D466" s="104">
        <v>0</v>
      </c>
      <c r="E466" s="105">
        <v>2</v>
      </c>
      <c r="F466" s="85" t="str">
        <f t="shared" ref="F466:F484" si="36">LEFT(C466,3)&amp;D466&amp;E466</f>
        <v>B1102</v>
      </c>
      <c r="G466" s="84">
        <v>183.887</v>
      </c>
      <c r="H466" s="85">
        <v>203.76345518093646</v>
      </c>
      <c r="I466" s="85">
        <f t="shared" ref="I466:I484" si="37">1.22*G466</f>
        <v>224.34214</v>
      </c>
      <c r="J466" s="86">
        <v>61.522199999999998</v>
      </c>
      <c r="K466" s="512"/>
      <c r="L466" s="510"/>
    </row>
    <row r="467" spans="1:12" x14ac:dyDescent="0.25">
      <c r="A467" s="515"/>
      <c r="B467" s="516"/>
      <c r="C467" s="95" t="s">
        <v>67</v>
      </c>
      <c r="D467" s="104">
        <v>0</v>
      </c>
      <c r="E467" s="105">
        <v>3</v>
      </c>
      <c r="F467" s="85" t="str">
        <f t="shared" si="36"/>
        <v>B1103</v>
      </c>
      <c r="G467" s="84">
        <v>162.78100000000001</v>
      </c>
      <c r="H467" s="85">
        <v>180.37609508996297</v>
      </c>
      <c r="I467" s="85">
        <f t="shared" si="37"/>
        <v>198.59281999999999</v>
      </c>
      <c r="J467" s="86">
        <v>77.576999999999998</v>
      </c>
      <c r="K467" s="512"/>
      <c r="L467" s="510"/>
    </row>
    <row r="468" spans="1:12" x14ac:dyDescent="0.25">
      <c r="A468" s="515"/>
      <c r="B468" s="516"/>
      <c r="C468" s="95" t="s">
        <v>67</v>
      </c>
      <c r="D468" s="104">
        <v>0</v>
      </c>
      <c r="E468" s="105">
        <v>4</v>
      </c>
      <c r="F468" s="85" t="str">
        <f t="shared" si="36"/>
        <v>B1104</v>
      </c>
      <c r="G468" s="84">
        <v>95.213999999999999</v>
      </c>
      <c r="H468" s="85">
        <v>105.50573788031609</v>
      </c>
      <c r="I468" s="85">
        <f t="shared" si="37"/>
        <v>116.16108</v>
      </c>
      <c r="J468" s="86">
        <v>41.666899999999998</v>
      </c>
      <c r="K468" s="512"/>
      <c r="L468" s="510"/>
    </row>
    <row r="469" spans="1:12" x14ac:dyDescent="0.25">
      <c r="A469" s="515"/>
      <c r="B469" s="516"/>
      <c r="C469" s="95" t="s">
        <v>67</v>
      </c>
      <c r="D469" s="104">
        <v>1</v>
      </c>
      <c r="E469" s="105">
        <v>1</v>
      </c>
      <c r="F469" s="85" t="str">
        <f t="shared" si="36"/>
        <v>B1111</v>
      </c>
      <c r="G469" s="84">
        <v>141.66300000000001</v>
      </c>
      <c r="H469" s="85">
        <v>156.9754379118535</v>
      </c>
      <c r="I469" s="85">
        <f t="shared" si="37"/>
        <v>172.82886000000002</v>
      </c>
      <c r="J469" s="84"/>
      <c r="K469" s="512"/>
      <c r="L469" s="510">
        <v>73.486999999999995</v>
      </c>
    </row>
    <row r="470" spans="1:12" x14ac:dyDescent="0.25">
      <c r="A470" s="515"/>
      <c r="B470" s="516"/>
      <c r="C470" s="95" t="s">
        <v>67</v>
      </c>
      <c r="D470" s="104">
        <v>1</v>
      </c>
      <c r="E470" s="105">
        <v>2</v>
      </c>
      <c r="F470" s="85" t="str">
        <f t="shared" si="36"/>
        <v>B1112</v>
      </c>
      <c r="G470" s="84">
        <v>183.637</v>
      </c>
      <c r="H470" s="85">
        <v>203.48643253227053</v>
      </c>
      <c r="I470" s="85">
        <f t="shared" si="37"/>
        <v>224.03713999999999</v>
      </c>
      <c r="J470" s="84"/>
      <c r="K470" s="512"/>
      <c r="L470" s="510"/>
    </row>
    <row r="471" spans="1:12" x14ac:dyDescent="0.25">
      <c r="A471" s="515"/>
      <c r="B471" s="516"/>
      <c r="C471" s="95" t="s">
        <v>67</v>
      </c>
      <c r="D471" s="104">
        <v>1</v>
      </c>
      <c r="E471" s="105">
        <v>3</v>
      </c>
      <c r="F471" s="85" t="str">
        <f t="shared" si="36"/>
        <v>B1113</v>
      </c>
      <c r="G471" s="84">
        <v>162.53100000000001</v>
      </c>
      <c r="H471" s="85">
        <v>180.09907244129704</v>
      </c>
      <c r="I471" s="85">
        <f t="shared" si="37"/>
        <v>198.28782000000001</v>
      </c>
      <c r="J471" s="84"/>
      <c r="K471" s="512"/>
      <c r="L471" s="510"/>
    </row>
    <row r="472" spans="1:12" x14ac:dyDescent="0.25">
      <c r="A472" s="515"/>
      <c r="B472" s="516"/>
      <c r="C472" s="95" t="s">
        <v>67</v>
      </c>
      <c r="D472" s="104">
        <v>1</v>
      </c>
      <c r="E472" s="105">
        <v>4</v>
      </c>
      <c r="F472" s="85" t="str">
        <f t="shared" si="36"/>
        <v>B1114</v>
      </c>
      <c r="G472" s="84">
        <v>96.271000000000001</v>
      </c>
      <c r="H472" s="85">
        <v>106.6769896388757</v>
      </c>
      <c r="I472" s="85">
        <f t="shared" si="37"/>
        <v>117.45062</v>
      </c>
      <c r="J472" s="84"/>
      <c r="K472" s="512"/>
      <c r="L472" s="510"/>
    </row>
    <row r="473" spans="1:12" x14ac:dyDescent="0.25">
      <c r="A473" s="515"/>
      <c r="B473" s="516"/>
      <c r="C473" s="95" t="s">
        <v>67</v>
      </c>
      <c r="D473" s="104">
        <v>2</v>
      </c>
      <c r="E473" s="105">
        <v>1</v>
      </c>
      <c r="F473" s="85" t="str">
        <f t="shared" si="36"/>
        <v>B1121</v>
      </c>
      <c r="G473" s="84">
        <v>143.989</v>
      </c>
      <c r="H473" s="85">
        <v>159.55285663504142</v>
      </c>
      <c r="I473" s="85">
        <f t="shared" si="37"/>
        <v>175.66658000000001</v>
      </c>
      <c r="J473" s="84"/>
      <c r="K473" s="512"/>
      <c r="L473" s="510">
        <v>53.119</v>
      </c>
    </row>
    <row r="474" spans="1:12" x14ac:dyDescent="0.25">
      <c r="A474" s="515"/>
      <c r="B474" s="516"/>
      <c r="C474" s="95" t="s">
        <v>67</v>
      </c>
      <c r="D474" s="104">
        <v>2</v>
      </c>
      <c r="E474" s="105">
        <v>2</v>
      </c>
      <c r="F474" s="85" t="str">
        <f t="shared" si="36"/>
        <v>B1122</v>
      </c>
      <c r="G474" s="84">
        <v>187.1</v>
      </c>
      <c r="H474" s="85">
        <v>207.32375026159116</v>
      </c>
      <c r="I474" s="85">
        <f t="shared" si="37"/>
        <v>228.262</v>
      </c>
      <c r="J474" s="84"/>
      <c r="K474" s="512"/>
      <c r="L474" s="510"/>
    </row>
    <row r="475" spans="1:12" x14ac:dyDescent="0.25">
      <c r="A475" s="515"/>
      <c r="B475" s="516"/>
      <c r="C475" s="95" t="s">
        <v>67</v>
      </c>
      <c r="D475" s="104">
        <v>2</v>
      </c>
      <c r="E475" s="105">
        <v>3</v>
      </c>
      <c r="F475" s="85" t="str">
        <f t="shared" si="36"/>
        <v>B1123</v>
      </c>
      <c r="G475" s="84">
        <v>167.16900000000001</v>
      </c>
      <c r="H475" s="85">
        <v>185.23839661934761</v>
      </c>
      <c r="I475" s="85">
        <f t="shared" si="37"/>
        <v>203.94618</v>
      </c>
      <c r="J475" s="84"/>
      <c r="K475" s="512"/>
      <c r="L475" s="510"/>
    </row>
    <row r="476" spans="1:12" x14ac:dyDescent="0.25">
      <c r="A476" s="515"/>
      <c r="B476" s="516"/>
      <c r="C476" s="95" t="s">
        <v>67</v>
      </c>
      <c r="D476" s="104">
        <v>2</v>
      </c>
      <c r="E476" s="105">
        <v>4</v>
      </c>
      <c r="F476" s="85" t="str">
        <f t="shared" si="36"/>
        <v>B1124</v>
      </c>
      <c r="G476" s="84">
        <v>141.18700000000001</v>
      </c>
      <c r="H476" s="85">
        <v>156.44798678879354</v>
      </c>
      <c r="I476" s="85">
        <f t="shared" si="37"/>
        <v>172.24814000000001</v>
      </c>
      <c r="J476" s="84"/>
      <c r="K476" s="512"/>
      <c r="L476" s="510"/>
    </row>
    <row r="477" spans="1:12" x14ac:dyDescent="0.25">
      <c r="A477" s="515"/>
      <c r="B477" s="516"/>
      <c r="C477" s="95" t="s">
        <v>67</v>
      </c>
      <c r="D477" s="104">
        <v>3</v>
      </c>
      <c r="E477" s="105">
        <v>1</v>
      </c>
      <c r="F477" s="85" t="str">
        <f t="shared" si="36"/>
        <v>B1131</v>
      </c>
      <c r="G477" s="84">
        <v>143.89599999999999</v>
      </c>
      <c r="H477" s="85">
        <v>159.44980420973766</v>
      </c>
      <c r="I477" s="85">
        <f t="shared" si="37"/>
        <v>175.55311999999998</v>
      </c>
      <c r="J477" s="84"/>
      <c r="K477" s="512"/>
      <c r="L477" s="510">
        <v>52.92</v>
      </c>
    </row>
    <row r="478" spans="1:12" x14ac:dyDescent="0.25">
      <c r="A478" s="515"/>
      <c r="B478" s="516"/>
      <c r="C478" s="95" t="s">
        <v>67</v>
      </c>
      <c r="D478" s="104">
        <v>3</v>
      </c>
      <c r="E478" s="105">
        <v>2</v>
      </c>
      <c r="F478" s="85" t="str">
        <f t="shared" si="36"/>
        <v>B1132</v>
      </c>
      <c r="G478" s="84">
        <v>187.20400000000001</v>
      </c>
      <c r="H478" s="85">
        <v>207.4389916834362</v>
      </c>
      <c r="I478" s="85">
        <f t="shared" si="37"/>
        <v>228.38888</v>
      </c>
      <c r="J478" s="84"/>
      <c r="K478" s="512"/>
      <c r="L478" s="510"/>
    </row>
    <row r="479" spans="1:12" x14ac:dyDescent="0.25">
      <c r="A479" s="515"/>
      <c r="B479" s="516"/>
      <c r="C479" s="95" t="s">
        <v>67</v>
      </c>
      <c r="D479" s="104">
        <v>3</v>
      </c>
      <c r="E479" s="105">
        <v>3</v>
      </c>
      <c r="F479" s="85" t="str">
        <f t="shared" si="36"/>
        <v>B1133</v>
      </c>
      <c r="G479" s="84">
        <v>164.417</v>
      </c>
      <c r="H479" s="85">
        <v>182.18893130283288</v>
      </c>
      <c r="I479" s="85">
        <f t="shared" si="37"/>
        <v>200.58874</v>
      </c>
      <c r="J479" s="84"/>
      <c r="K479" s="512"/>
      <c r="L479" s="510"/>
    </row>
    <row r="480" spans="1:12" x14ac:dyDescent="0.25">
      <c r="A480" s="515"/>
      <c r="B480" s="516"/>
      <c r="C480" s="95" t="s">
        <v>67</v>
      </c>
      <c r="D480" s="104">
        <v>3</v>
      </c>
      <c r="E480" s="105">
        <v>4</v>
      </c>
      <c r="F480" s="85" t="str">
        <f t="shared" si="36"/>
        <v>B1134</v>
      </c>
      <c r="G480" s="84">
        <v>141.07300000000001</v>
      </c>
      <c r="H480" s="85">
        <v>156.32166446100189</v>
      </c>
      <c r="I480" s="85">
        <f t="shared" si="37"/>
        <v>172.10906</v>
      </c>
      <c r="J480" s="84"/>
      <c r="K480" s="512"/>
      <c r="L480" s="510"/>
    </row>
    <row r="481" spans="1:12" x14ac:dyDescent="0.25">
      <c r="A481" s="515"/>
      <c r="B481" s="516"/>
      <c r="C481" s="95" t="s">
        <v>67</v>
      </c>
      <c r="D481" s="104">
        <v>4</v>
      </c>
      <c r="E481" s="105">
        <v>1</v>
      </c>
      <c r="F481" s="85" t="str">
        <f t="shared" si="36"/>
        <v>B1141</v>
      </c>
      <c r="G481" s="84">
        <v>141.929</v>
      </c>
      <c r="H481" s="85">
        <v>157.27019001003407</v>
      </c>
      <c r="I481" s="85">
        <f t="shared" si="37"/>
        <v>173.15338</v>
      </c>
      <c r="J481" s="84"/>
      <c r="K481" s="512"/>
      <c r="L481" s="510">
        <v>52.92</v>
      </c>
    </row>
    <row r="482" spans="1:12" x14ac:dyDescent="0.25">
      <c r="A482" s="515"/>
      <c r="B482" s="516"/>
      <c r="C482" s="95" t="s">
        <v>67</v>
      </c>
      <c r="D482" s="104">
        <v>4</v>
      </c>
      <c r="E482" s="105">
        <v>2</v>
      </c>
      <c r="F482" s="85" t="str">
        <f t="shared" si="36"/>
        <v>B1142</v>
      </c>
      <c r="G482" s="84">
        <v>182.36099999999999</v>
      </c>
      <c r="H482" s="85">
        <v>202.07250893347955</v>
      </c>
      <c r="I482" s="85">
        <f t="shared" si="37"/>
        <v>222.48041999999998</v>
      </c>
      <c r="J482" s="84"/>
      <c r="K482" s="512"/>
      <c r="L482" s="510"/>
    </row>
    <row r="483" spans="1:12" x14ac:dyDescent="0.25">
      <c r="A483" s="515"/>
      <c r="B483" s="516"/>
      <c r="C483" s="95" t="s">
        <v>67</v>
      </c>
      <c r="D483" s="104">
        <v>4</v>
      </c>
      <c r="E483" s="105">
        <v>3</v>
      </c>
      <c r="F483" s="85" t="str">
        <f t="shared" si="36"/>
        <v>B1143</v>
      </c>
      <c r="G483" s="84">
        <v>162.44399999999999</v>
      </c>
      <c r="H483" s="85">
        <v>180.00266855956127</v>
      </c>
      <c r="I483" s="85">
        <f t="shared" si="37"/>
        <v>198.18167999999997</v>
      </c>
      <c r="J483" s="84"/>
      <c r="K483" s="512"/>
      <c r="L483" s="510"/>
    </row>
    <row r="484" spans="1:12" x14ac:dyDescent="0.25">
      <c r="A484" s="515"/>
      <c r="B484" s="516"/>
      <c r="C484" s="95" t="s">
        <v>67</v>
      </c>
      <c r="D484" s="104">
        <v>4</v>
      </c>
      <c r="E484" s="105">
        <v>4</v>
      </c>
      <c r="F484" s="85" t="str">
        <f t="shared" si="36"/>
        <v>B1144</v>
      </c>
      <c r="G484" s="84">
        <v>139.12700000000001</v>
      </c>
      <c r="H484" s="85">
        <v>154.16532016378619</v>
      </c>
      <c r="I484" s="85">
        <f t="shared" si="37"/>
        <v>169.73493999999999</v>
      </c>
      <c r="J484" s="84"/>
      <c r="K484" s="512"/>
      <c r="L484" s="510"/>
    </row>
    <row r="485" spans="1:12" x14ac:dyDescent="0.25">
      <c r="A485" s="81" t="s">
        <v>4</v>
      </c>
      <c r="B485" s="80"/>
      <c r="C485" s="81"/>
      <c r="D485" s="81"/>
      <c r="E485" s="81"/>
      <c r="F485" s="81"/>
      <c r="G485" s="83">
        <f>SUM(G465:G484)</f>
        <v>3072.5429999999997</v>
      </c>
      <c r="H485" s="83"/>
      <c r="I485" s="83">
        <f>SUM(I465:I484)</f>
        <v>3748.5024600000002</v>
      </c>
      <c r="J485" s="83"/>
      <c r="K485" s="83">
        <f>SUM(K465)</f>
        <v>3404.6560000000009</v>
      </c>
      <c r="L485" s="83">
        <f>L481+L477+L473+L469+L465</f>
        <v>331.71199999999999</v>
      </c>
    </row>
    <row r="486" spans="1:12" x14ac:dyDescent="0.25">
      <c r="A486" s="89"/>
      <c r="B486" s="93"/>
      <c r="C486" s="89"/>
      <c r="D486" s="89"/>
      <c r="E486" s="89"/>
      <c r="F486" s="89"/>
      <c r="G486" s="87">
        <f>K485/G485</f>
        <v>1.1080905946637691</v>
      </c>
      <c r="L486" s="90">
        <f>(L465+L469+L473+L477+L481)/K485</f>
        <v>9.7428932614631231E-2</v>
      </c>
    </row>
    <row r="489" spans="1:12" ht="37.5" x14ac:dyDescent="0.25">
      <c r="A489" s="82" t="s">
        <v>9</v>
      </c>
      <c r="B489" s="83" t="s">
        <v>7</v>
      </c>
      <c r="C489" s="82" t="s">
        <v>8</v>
      </c>
      <c r="D489" s="102" t="s">
        <v>10</v>
      </c>
      <c r="E489" s="103" t="s">
        <v>2</v>
      </c>
      <c r="F489" s="82" t="s">
        <v>104</v>
      </c>
      <c r="G489" s="82" t="s">
        <v>3</v>
      </c>
      <c r="H489" s="82" t="s">
        <v>102</v>
      </c>
      <c r="I489" s="82" t="s">
        <v>101</v>
      </c>
      <c r="J489" s="82" t="s">
        <v>103</v>
      </c>
      <c r="K489" s="83" t="s">
        <v>6</v>
      </c>
      <c r="L489" s="83" t="s">
        <v>1</v>
      </c>
    </row>
    <row r="490" spans="1:12" x14ac:dyDescent="0.25">
      <c r="A490" s="515" t="s">
        <v>33</v>
      </c>
      <c r="B490" s="516" t="s">
        <v>50</v>
      </c>
      <c r="C490" s="95" t="s">
        <v>83</v>
      </c>
      <c r="D490" s="104">
        <v>0</v>
      </c>
      <c r="E490" s="105">
        <v>1</v>
      </c>
      <c r="F490" s="85" t="str">
        <f>LEFT(C490,3)&amp;D490&amp;E490</f>
        <v>B1201</v>
      </c>
      <c r="G490" s="84">
        <v>95.254000000000005</v>
      </c>
      <c r="H490" s="85">
        <v>105.53950812408786</v>
      </c>
      <c r="I490" s="85">
        <f>1.22*G490</f>
        <v>116.20988</v>
      </c>
      <c r="J490" s="86">
        <v>63.930199999999999</v>
      </c>
      <c r="K490" s="512">
        <f>SUM(H490:H509)</f>
        <v>3407.9829999999993</v>
      </c>
      <c r="L490" s="510">
        <v>99.266000000000005</v>
      </c>
    </row>
    <row r="491" spans="1:12" x14ac:dyDescent="0.25">
      <c r="A491" s="515"/>
      <c r="B491" s="516"/>
      <c r="C491" s="95" t="s">
        <v>83</v>
      </c>
      <c r="D491" s="104">
        <v>0</v>
      </c>
      <c r="E491" s="105">
        <v>2</v>
      </c>
      <c r="F491" s="85" t="str">
        <f t="shared" ref="F491:F509" si="38">LEFT(C491,3)&amp;D491&amp;E491</f>
        <v>B1202</v>
      </c>
      <c r="G491" s="84">
        <v>162.82599999999999</v>
      </c>
      <c r="H491" s="85">
        <v>180.40791935050211</v>
      </c>
      <c r="I491" s="85">
        <f t="shared" ref="I491:I509" si="39">1.22*G491</f>
        <v>198.64771999999999</v>
      </c>
      <c r="J491" s="86">
        <v>77.610299999999995</v>
      </c>
      <c r="K491" s="512"/>
      <c r="L491" s="510"/>
    </row>
    <row r="492" spans="1:12" x14ac:dyDescent="0.25">
      <c r="A492" s="515"/>
      <c r="B492" s="516"/>
      <c r="C492" s="95" t="s">
        <v>83</v>
      </c>
      <c r="D492" s="104">
        <v>0</v>
      </c>
      <c r="E492" s="105">
        <v>3</v>
      </c>
      <c r="F492" s="85" t="str">
        <f t="shared" si="38"/>
        <v>B1203</v>
      </c>
      <c r="G492" s="84">
        <v>183.887</v>
      </c>
      <c r="H492" s="85">
        <v>203.74308197465874</v>
      </c>
      <c r="I492" s="85">
        <f t="shared" si="39"/>
        <v>224.34214</v>
      </c>
      <c r="J492" s="86">
        <v>61.527700000000003</v>
      </c>
      <c r="K492" s="512"/>
      <c r="L492" s="510"/>
    </row>
    <row r="493" spans="1:12" x14ac:dyDescent="0.25">
      <c r="A493" s="515"/>
      <c r="B493" s="516"/>
      <c r="C493" s="95" t="s">
        <v>83</v>
      </c>
      <c r="D493" s="104">
        <v>0</v>
      </c>
      <c r="E493" s="105">
        <v>4</v>
      </c>
      <c r="F493" s="85" t="str">
        <f t="shared" si="38"/>
        <v>B1204</v>
      </c>
      <c r="G493" s="84">
        <v>147.54499999999999</v>
      </c>
      <c r="H493" s="85">
        <v>163.47687998581205</v>
      </c>
      <c r="I493" s="85">
        <f t="shared" si="39"/>
        <v>180.00489999999999</v>
      </c>
      <c r="J493" s="86">
        <v>86.260099999999994</v>
      </c>
      <c r="K493" s="512"/>
      <c r="L493" s="510"/>
    </row>
    <row r="494" spans="1:12" x14ac:dyDescent="0.25">
      <c r="A494" s="515"/>
      <c r="B494" s="516"/>
      <c r="C494" s="95" t="s">
        <v>83</v>
      </c>
      <c r="D494" s="104">
        <v>1</v>
      </c>
      <c r="E494" s="105">
        <v>1</v>
      </c>
      <c r="F494" s="85" t="str">
        <f t="shared" si="38"/>
        <v>B1211</v>
      </c>
      <c r="G494" s="84">
        <v>96.311000000000007</v>
      </c>
      <c r="H494" s="85">
        <v>106.71064277551626</v>
      </c>
      <c r="I494" s="85">
        <f t="shared" si="39"/>
        <v>117.49942</v>
      </c>
      <c r="J494" s="84"/>
      <c r="K494" s="512"/>
      <c r="L494" s="510">
        <v>73.486999999999995</v>
      </c>
    </row>
    <row r="495" spans="1:12" x14ac:dyDescent="0.25">
      <c r="A495" s="515"/>
      <c r="B495" s="516"/>
      <c r="C495" s="95" t="s">
        <v>83</v>
      </c>
      <c r="D495" s="104">
        <v>1</v>
      </c>
      <c r="E495" s="105">
        <v>2</v>
      </c>
      <c r="F495" s="85" t="str">
        <f t="shared" si="38"/>
        <v>B1212</v>
      </c>
      <c r="G495" s="84">
        <v>162.57599999999999</v>
      </c>
      <c r="H495" s="85">
        <v>180.13092439983313</v>
      </c>
      <c r="I495" s="85">
        <f t="shared" si="39"/>
        <v>198.34271999999999</v>
      </c>
      <c r="J495" s="84"/>
      <c r="K495" s="512"/>
      <c r="L495" s="510"/>
    </row>
    <row r="496" spans="1:12" x14ac:dyDescent="0.25">
      <c r="A496" s="515"/>
      <c r="B496" s="516"/>
      <c r="C496" s="95" t="s">
        <v>83</v>
      </c>
      <c r="D496" s="104">
        <v>1</v>
      </c>
      <c r="E496" s="105">
        <v>3</v>
      </c>
      <c r="F496" s="85" t="str">
        <f t="shared" si="38"/>
        <v>B1213</v>
      </c>
      <c r="G496" s="84">
        <v>183.637</v>
      </c>
      <c r="H496" s="85">
        <v>203.46608702398976</v>
      </c>
      <c r="I496" s="85">
        <f t="shared" si="39"/>
        <v>224.03713999999999</v>
      </c>
      <c r="J496" s="84"/>
      <c r="K496" s="512"/>
      <c r="L496" s="510"/>
    </row>
    <row r="497" spans="1:12" x14ac:dyDescent="0.25">
      <c r="A497" s="515"/>
      <c r="B497" s="516"/>
      <c r="C497" s="95" t="s">
        <v>83</v>
      </c>
      <c r="D497" s="104">
        <v>1</v>
      </c>
      <c r="E497" s="105">
        <v>4</v>
      </c>
      <c r="F497" s="85" t="str">
        <f t="shared" si="38"/>
        <v>B1214</v>
      </c>
      <c r="G497" s="84">
        <v>141.66300000000001</v>
      </c>
      <c r="H497" s="85">
        <v>156.95974278647259</v>
      </c>
      <c r="I497" s="85">
        <f t="shared" si="39"/>
        <v>172.82886000000002</v>
      </c>
      <c r="J497" s="84"/>
      <c r="K497" s="512"/>
      <c r="L497" s="510"/>
    </row>
    <row r="498" spans="1:12" x14ac:dyDescent="0.25">
      <c r="A498" s="515"/>
      <c r="B498" s="516"/>
      <c r="C498" s="95" t="s">
        <v>83</v>
      </c>
      <c r="D498" s="104">
        <v>2</v>
      </c>
      <c r="E498" s="105">
        <v>1</v>
      </c>
      <c r="F498" s="85" t="str">
        <f t="shared" si="38"/>
        <v>B1221</v>
      </c>
      <c r="G498" s="84">
        <v>141.22499999999999</v>
      </c>
      <c r="H498" s="85">
        <v>156.47444763290054</v>
      </c>
      <c r="I498" s="85">
        <f t="shared" si="39"/>
        <v>172.2945</v>
      </c>
      <c r="J498" s="84"/>
      <c r="K498" s="512"/>
      <c r="L498" s="510">
        <v>53.119</v>
      </c>
    </row>
    <row r="499" spans="1:12" x14ac:dyDescent="0.25">
      <c r="A499" s="515"/>
      <c r="B499" s="516"/>
      <c r="C499" s="95" t="s">
        <v>83</v>
      </c>
      <c r="D499" s="104">
        <v>2</v>
      </c>
      <c r="E499" s="105">
        <v>2</v>
      </c>
      <c r="F499" s="85" t="str">
        <f t="shared" si="38"/>
        <v>B1222</v>
      </c>
      <c r="G499" s="84">
        <v>167.214</v>
      </c>
      <c r="H499" s="85">
        <v>185.26973472464385</v>
      </c>
      <c r="I499" s="85">
        <f t="shared" si="39"/>
        <v>204.00108</v>
      </c>
      <c r="J499" s="84"/>
      <c r="K499" s="512"/>
      <c r="L499" s="510"/>
    </row>
    <row r="500" spans="1:12" x14ac:dyDescent="0.25">
      <c r="A500" s="515"/>
      <c r="B500" s="516"/>
      <c r="C500" s="95" t="s">
        <v>83</v>
      </c>
      <c r="D500" s="104">
        <v>2</v>
      </c>
      <c r="E500" s="105">
        <v>3</v>
      </c>
      <c r="F500" s="85" t="str">
        <f t="shared" si="38"/>
        <v>B1223</v>
      </c>
      <c r="G500" s="84">
        <v>187.10300000000001</v>
      </c>
      <c r="H500" s="85">
        <v>207.30634502006436</v>
      </c>
      <c r="I500" s="85">
        <f t="shared" si="39"/>
        <v>228.26566</v>
      </c>
      <c r="J500" s="84"/>
      <c r="K500" s="512"/>
      <c r="L500" s="510"/>
    </row>
    <row r="501" spans="1:12" x14ac:dyDescent="0.25">
      <c r="A501" s="515"/>
      <c r="B501" s="516"/>
      <c r="C501" s="95" t="s">
        <v>83</v>
      </c>
      <c r="D501" s="104">
        <v>2</v>
      </c>
      <c r="E501" s="105">
        <v>4</v>
      </c>
      <c r="F501" s="85" t="str">
        <f t="shared" si="38"/>
        <v>B1224</v>
      </c>
      <c r="G501" s="84">
        <v>143.989</v>
      </c>
      <c r="H501" s="85">
        <v>159.53690380749666</v>
      </c>
      <c r="I501" s="85">
        <f t="shared" si="39"/>
        <v>175.66658000000001</v>
      </c>
      <c r="J501" s="84"/>
      <c r="K501" s="512"/>
      <c r="L501" s="510"/>
    </row>
    <row r="502" spans="1:12" x14ac:dyDescent="0.25">
      <c r="A502" s="515"/>
      <c r="B502" s="516"/>
      <c r="C502" s="95" t="s">
        <v>83</v>
      </c>
      <c r="D502" s="104">
        <v>3</v>
      </c>
      <c r="E502" s="105">
        <v>1</v>
      </c>
      <c r="F502" s="85" t="str">
        <f t="shared" si="38"/>
        <v>B1231</v>
      </c>
      <c r="G502" s="84">
        <v>141.131</v>
      </c>
      <c r="H502" s="85">
        <v>156.37029753144901</v>
      </c>
      <c r="I502" s="85">
        <f t="shared" si="39"/>
        <v>172.17982000000001</v>
      </c>
      <c r="J502" s="84"/>
      <c r="K502" s="512"/>
      <c r="L502" s="510">
        <v>53.119</v>
      </c>
    </row>
    <row r="503" spans="1:12" x14ac:dyDescent="0.25">
      <c r="A503" s="515"/>
      <c r="B503" s="516"/>
      <c r="C503" s="95" t="s">
        <v>83</v>
      </c>
      <c r="D503" s="104">
        <v>3</v>
      </c>
      <c r="E503" s="105">
        <v>2</v>
      </c>
      <c r="F503" s="85" t="str">
        <f t="shared" si="38"/>
        <v>B1232</v>
      </c>
      <c r="G503" s="84">
        <v>164.43600000000001</v>
      </c>
      <c r="H503" s="85">
        <v>182.19176683281029</v>
      </c>
      <c r="I503" s="85">
        <f t="shared" si="39"/>
        <v>200.61192</v>
      </c>
      <c r="J503" s="84"/>
      <c r="K503" s="512"/>
      <c r="L503" s="510"/>
    </row>
    <row r="504" spans="1:12" x14ac:dyDescent="0.25">
      <c r="A504" s="515"/>
      <c r="B504" s="516"/>
      <c r="C504" s="95" t="s">
        <v>83</v>
      </c>
      <c r="D504" s="104">
        <v>3</v>
      </c>
      <c r="E504" s="105">
        <v>3</v>
      </c>
      <c r="F504" s="85" t="str">
        <f t="shared" si="38"/>
        <v>B1233</v>
      </c>
      <c r="G504" s="84">
        <v>187.20400000000001</v>
      </c>
      <c r="H504" s="85">
        <v>207.41825098013462</v>
      </c>
      <c r="I504" s="85">
        <f t="shared" si="39"/>
        <v>228.38888</v>
      </c>
      <c r="J504" s="84"/>
      <c r="K504" s="512"/>
      <c r="L504" s="510"/>
    </row>
    <row r="505" spans="1:12" x14ac:dyDescent="0.25">
      <c r="A505" s="515"/>
      <c r="B505" s="516"/>
      <c r="C505" s="95" t="s">
        <v>83</v>
      </c>
      <c r="D505" s="104">
        <v>3</v>
      </c>
      <c r="E505" s="105">
        <v>4</v>
      </c>
      <c r="F505" s="85" t="str">
        <f t="shared" si="38"/>
        <v>B1234</v>
      </c>
      <c r="G505" s="84">
        <v>143.911</v>
      </c>
      <c r="H505" s="85">
        <v>159.45048138288794</v>
      </c>
      <c r="I505" s="85">
        <f t="shared" si="39"/>
        <v>175.57141999999999</v>
      </c>
      <c r="J505" s="84"/>
      <c r="K505" s="512"/>
      <c r="L505" s="510"/>
    </row>
    <row r="506" spans="1:12" x14ac:dyDescent="0.25">
      <c r="A506" s="515"/>
      <c r="B506" s="516"/>
      <c r="C506" s="95" t="s">
        <v>83</v>
      </c>
      <c r="D506" s="104">
        <v>4</v>
      </c>
      <c r="E506" s="105">
        <v>1</v>
      </c>
      <c r="F506" s="85" t="str">
        <f t="shared" si="38"/>
        <v>B1241</v>
      </c>
      <c r="G506" s="84">
        <v>139.16499999999999</v>
      </c>
      <c r="H506" s="85">
        <v>154.19200923938823</v>
      </c>
      <c r="I506" s="85">
        <f t="shared" si="39"/>
        <v>169.78129999999999</v>
      </c>
      <c r="J506" s="84"/>
      <c r="K506" s="512"/>
      <c r="L506" s="510">
        <v>53.119</v>
      </c>
    </row>
    <row r="507" spans="1:12" x14ac:dyDescent="0.25">
      <c r="A507" s="515"/>
      <c r="B507" s="516"/>
      <c r="C507" s="95" t="s">
        <v>83</v>
      </c>
      <c r="D507" s="104">
        <v>4</v>
      </c>
      <c r="E507" s="105">
        <v>2</v>
      </c>
      <c r="F507" s="85" t="str">
        <f t="shared" si="38"/>
        <v>B1242</v>
      </c>
      <c r="G507" s="84">
        <v>162.49</v>
      </c>
      <c r="H507" s="85">
        <v>180.03563813680304</v>
      </c>
      <c r="I507" s="85">
        <f t="shared" si="39"/>
        <v>198.23779999999999</v>
      </c>
      <c r="J507" s="84"/>
      <c r="K507" s="512"/>
      <c r="L507" s="510"/>
    </row>
    <row r="508" spans="1:12" x14ac:dyDescent="0.25">
      <c r="A508" s="515"/>
      <c r="B508" s="516"/>
      <c r="C508" s="95" t="s">
        <v>83</v>
      </c>
      <c r="D508" s="104">
        <v>4</v>
      </c>
      <c r="E508" s="105">
        <v>3</v>
      </c>
      <c r="F508" s="85" t="str">
        <f t="shared" si="38"/>
        <v>B1243</v>
      </c>
      <c r="G508" s="84">
        <v>182.357</v>
      </c>
      <c r="H508" s="85">
        <v>202.04787287656464</v>
      </c>
      <c r="I508" s="85">
        <f t="shared" si="39"/>
        <v>222.47554</v>
      </c>
      <c r="J508" s="84"/>
      <c r="K508" s="512"/>
      <c r="L508" s="510"/>
    </row>
    <row r="509" spans="1:12" x14ac:dyDescent="0.25">
      <c r="A509" s="515"/>
      <c r="B509" s="516"/>
      <c r="C509" s="95" t="s">
        <v>83</v>
      </c>
      <c r="D509" s="104">
        <v>4</v>
      </c>
      <c r="E509" s="105">
        <v>4</v>
      </c>
      <c r="F509" s="85" t="str">
        <f t="shared" si="38"/>
        <v>B1244</v>
      </c>
      <c r="G509" s="84">
        <v>141.929</v>
      </c>
      <c r="H509" s="85">
        <v>157.25446541398435</v>
      </c>
      <c r="I509" s="85">
        <f t="shared" si="39"/>
        <v>173.15338</v>
      </c>
      <c r="J509" s="84"/>
      <c r="K509" s="512"/>
      <c r="L509" s="510"/>
    </row>
    <row r="510" spans="1:12" x14ac:dyDescent="0.25">
      <c r="A510" s="81" t="s">
        <v>4</v>
      </c>
      <c r="B510" s="80"/>
      <c r="C510" s="81"/>
      <c r="D510" s="81"/>
      <c r="E510" s="81"/>
      <c r="F510" s="81"/>
      <c r="G510" s="83">
        <f>SUM(G490:G509)</f>
        <v>3075.8530000000001</v>
      </c>
      <c r="H510" s="83"/>
      <c r="I510" s="83">
        <f>SUM(I490:I509)</f>
        <v>3752.5406600000001</v>
      </c>
      <c r="J510" s="83"/>
      <c r="K510" s="83">
        <f>SUM(K490)</f>
        <v>3407.9829999999993</v>
      </c>
      <c r="L510" s="83">
        <f>L506+L502+L498+L494+L490</f>
        <v>332.11</v>
      </c>
    </row>
    <row r="511" spans="1:12" x14ac:dyDescent="0.25">
      <c r="A511" s="92"/>
      <c r="B511" s="93"/>
      <c r="C511" s="89"/>
      <c r="D511" s="89"/>
      <c r="E511" s="89"/>
      <c r="F511" s="89"/>
      <c r="G511" s="87">
        <v>1.1079798026758756</v>
      </c>
      <c r="L511" s="88">
        <f>(L490+L494+L498+L502+L506)/K510</f>
        <v>9.7450603480123021E-2</v>
      </c>
    </row>
    <row r="512" spans="1:12" x14ac:dyDescent="0.25">
      <c r="F512" s="101"/>
    </row>
    <row r="513" spans="1:12" ht="37.5" x14ac:dyDescent="0.25">
      <c r="A513" s="106" t="s">
        <v>9</v>
      </c>
      <c r="B513" s="107" t="s">
        <v>7</v>
      </c>
      <c r="C513" s="106" t="s">
        <v>8</v>
      </c>
      <c r="D513" s="108" t="s">
        <v>10</v>
      </c>
      <c r="E513" s="109" t="s">
        <v>2</v>
      </c>
      <c r="F513" s="106" t="s">
        <v>104</v>
      </c>
      <c r="G513" s="106" t="s">
        <v>3</v>
      </c>
      <c r="H513" s="106" t="s">
        <v>102</v>
      </c>
      <c r="I513" s="106" t="s">
        <v>101</v>
      </c>
      <c r="J513" s="106" t="s">
        <v>103</v>
      </c>
      <c r="K513" s="107" t="s">
        <v>6</v>
      </c>
      <c r="L513" s="107" t="s">
        <v>1</v>
      </c>
    </row>
    <row r="514" spans="1:12" x14ac:dyDescent="0.25">
      <c r="A514" s="515" t="s">
        <v>33</v>
      </c>
      <c r="B514" s="516" t="s">
        <v>50</v>
      </c>
      <c r="C514" s="95" t="s">
        <v>82</v>
      </c>
      <c r="D514" s="104">
        <v>0</v>
      </c>
      <c r="E514" s="105">
        <v>1</v>
      </c>
      <c r="F514" s="85" t="str">
        <f>LEFT(C514,3)&amp;D514&amp;E514</f>
        <v>B1301</v>
      </c>
      <c r="G514" s="84">
        <v>141.82499999999999</v>
      </c>
      <c r="H514" s="85">
        <v>159.04192828545919</v>
      </c>
      <c r="I514" s="85">
        <f>1.22*G514</f>
        <v>173.02649999999997</v>
      </c>
      <c r="J514" s="86">
        <v>78.601100000000002</v>
      </c>
      <c r="K514" s="512">
        <f>SUM(H514:H533)</f>
        <v>3066.5780000000004</v>
      </c>
      <c r="L514" s="510">
        <v>99.04</v>
      </c>
    </row>
    <row r="515" spans="1:12" x14ac:dyDescent="0.25">
      <c r="A515" s="515"/>
      <c r="B515" s="516"/>
      <c r="C515" s="95" t="s">
        <v>82</v>
      </c>
      <c r="D515" s="104">
        <v>0</v>
      </c>
      <c r="E515" s="105">
        <v>2</v>
      </c>
      <c r="F515" s="85" t="str">
        <f t="shared" ref="F515:F533" si="40">LEFT(C515,3)&amp;D515&amp;E515</f>
        <v>B1302</v>
      </c>
      <c r="G515" s="84">
        <v>142.05600000000001</v>
      </c>
      <c r="H515" s="85">
        <v>159.30097066468673</v>
      </c>
      <c r="I515" s="85">
        <f t="shared" ref="I515:I533" si="41">1.22*G515</f>
        <v>173.30832000000001</v>
      </c>
      <c r="J515" s="86">
        <v>97.868200000000002</v>
      </c>
      <c r="K515" s="512"/>
      <c r="L515" s="510"/>
    </row>
    <row r="516" spans="1:12" x14ac:dyDescent="0.25">
      <c r="A516" s="515"/>
      <c r="B516" s="516"/>
      <c r="C516" s="95" t="s">
        <v>82</v>
      </c>
      <c r="D516" s="104">
        <v>0</v>
      </c>
      <c r="E516" s="105">
        <v>3</v>
      </c>
      <c r="F516" s="85" t="str">
        <f t="shared" si="40"/>
        <v>B1303</v>
      </c>
      <c r="G516" s="84">
        <v>142.197</v>
      </c>
      <c r="H516" s="85">
        <v>159.45908744161781</v>
      </c>
      <c r="I516" s="85">
        <f t="shared" si="41"/>
        <v>173.48034000000001</v>
      </c>
      <c r="J516" s="86">
        <v>97.259299999999996</v>
      </c>
      <c r="K516" s="512"/>
      <c r="L516" s="510"/>
    </row>
    <row r="517" spans="1:12" x14ac:dyDescent="0.25">
      <c r="A517" s="515"/>
      <c r="B517" s="516"/>
      <c r="C517" s="95" t="s">
        <v>82</v>
      </c>
      <c r="D517" s="104">
        <v>0</v>
      </c>
      <c r="E517" s="105">
        <v>4</v>
      </c>
      <c r="F517" s="85" t="str">
        <f t="shared" si="40"/>
        <v>B1304</v>
      </c>
      <c r="G517" s="84">
        <v>95.254000000000005</v>
      </c>
      <c r="H517" s="85">
        <v>106.81741467938045</v>
      </c>
      <c r="I517" s="85">
        <f t="shared" si="41"/>
        <v>116.20988</v>
      </c>
      <c r="J517" s="86">
        <v>63.399000000000001</v>
      </c>
      <c r="K517" s="512"/>
      <c r="L517" s="510"/>
    </row>
    <row r="518" spans="1:12" x14ac:dyDescent="0.25">
      <c r="A518" s="515"/>
      <c r="B518" s="516"/>
      <c r="C518" s="95" t="s">
        <v>82</v>
      </c>
      <c r="D518" s="104">
        <v>1</v>
      </c>
      <c r="E518" s="105">
        <v>1</v>
      </c>
      <c r="F518" s="85" t="str">
        <f t="shared" si="40"/>
        <v>B1311</v>
      </c>
      <c r="G518" s="84">
        <v>142.977</v>
      </c>
      <c r="H518" s="85">
        <v>160.33377599485354</v>
      </c>
      <c r="I518" s="85">
        <f t="shared" si="41"/>
        <v>174.43194</v>
      </c>
      <c r="J518" s="84"/>
      <c r="K518" s="512"/>
      <c r="L518" s="510">
        <v>73.486999999999995</v>
      </c>
    </row>
    <row r="519" spans="1:12" x14ac:dyDescent="0.25">
      <c r="A519" s="515"/>
      <c r="B519" s="516"/>
      <c r="C519" s="95" t="s">
        <v>82</v>
      </c>
      <c r="D519" s="104">
        <v>1</v>
      </c>
      <c r="E519" s="105">
        <v>2</v>
      </c>
      <c r="F519" s="85" t="str">
        <f t="shared" si="40"/>
        <v>B1312</v>
      </c>
      <c r="G519" s="84">
        <v>139.572</v>
      </c>
      <c r="H519" s="85">
        <v>156.51542404130524</v>
      </c>
      <c r="I519" s="85">
        <f t="shared" si="41"/>
        <v>170.27784</v>
      </c>
      <c r="J519" s="84"/>
      <c r="K519" s="512"/>
      <c r="L519" s="510"/>
    </row>
    <row r="520" spans="1:12" x14ac:dyDescent="0.25">
      <c r="A520" s="515"/>
      <c r="B520" s="516"/>
      <c r="C520" s="95" t="s">
        <v>82</v>
      </c>
      <c r="D520" s="104">
        <v>1</v>
      </c>
      <c r="E520" s="105">
        <v>3</v>
      </c>
      <c r="F520" s="85" t="str">
        <f t="shared" si="40"/>
        <v>B1313</v>
      </c>
      <c r="G520" s="84">
        <v>139.71199999999999</v>
      </c>
      <c r="H520" s="85">
        <v>156.67241942265522</v>
      </c>
      <c r="I520" s="85">
        <f t="shared" si="41"/>
        <v>170.44863999999998</v>
      </c>
      <c r="J520" s="84"/>
      <c r="K520" s="512"/>
      <c r="L520" s="510"/>
    </row>
    <row r="521" spans="1:12" x14ac:dyDescent="0.25">
      <c r="A521" s="515"/>
      <c r="B521" s="516"/>
      <c r="C521" s="95" t="s">
        <v>82</v>
      </c>
      <c r="D521" s="104">
        <v>1</v>
      </c>
      <c r="E521" s="105">
        <v>4</v>
      </c>
      <c r="F521" s="85" t="str">
        <f t="shared" si="40"/>
        <v>B1314</v>
      </c>
      <c r="G521" s="84">
        <v>96.311000000000007</v>
      </c>
      <c r="H521" s="85">
        <v>108.00272980857298</v>
      </c>
      <c r="I521" s="85">
        <f t="shared" si="41"/>
        <v>117.49942</v>
      </c>
      <c r="J521" s="84"/>
      <c r="K521" s="512"/>
      <c r="L521" s="510"/>
    </row>
    <row r="522" spans="1:12" x14ac:dyDescent="0.25">
      <c r="A522" s="515"/>
      <c r="B522" s="516"/>
      <c r="C522" s="95" t="s">
        <v>82</v>
      </c>
      <c r="D522" s="104">
        <v>2</v>
      </c>
      <c r="E522" s="105">
        <v>1</v>
      </c>
      <c r="F522" s="85" t="str">
        <f t="shared" si="40"/>
        <v>B1321</v>
      </c>
      <c r="G522" s="84">
        <v>141.18700000000001</v>
      </c>
      <c r="H522" s="85">
        <v>158.32647790473564</v>
      </c>
      <c r="I522" s="85">
        <f t="shared" si="41"/>
        <v>172.24814000000001</v>
      </c>
      <c r="J522" s="84"/>
      <c r="K522" s="512"/>
      <c r="L522" s="510">
        <v>53.119</v>
      </c>
    </row>
    <row r="523" spans="1:12" x14ac:dyDescent="0.25">
      <c r="A523" s="515"/>
      <c r="B523" s="516"/>
      <c r="C523" s="95" t="s">
        <v>82</v>
      </c>
      <c r="D523" s="104">
        <v>2</v>
      </c>
      <c r="E523" s="105">
        <v>2</v>
      </c>
      <c r="F523" s="85" t="str">
        <f t="shared" si="40"/>
        <v>B1322</v>
      </c>
      <c r="G523" s="84">
        <v>141.446</v>
      </c>
      <c r="H523" s="85">
        <v>158.61691936023314</v>
      </c>
      <c r="I523" s="85">
        <f t="shared" si="41"/>
        <v>172.56412</v>
      </c>
      <c r="J523" s="84"/>
      <c r="K523" s="512"/>
      <c r="L523" s="510"/>
    </row>
    <row r="524" spans="1:12" x14ac:dyDescent="0.25">
      <c r="A524" s="515"/>
      <c r="B524" s="516"/>
      <c r="C524" s="95" t="s">
        <v>82</v>
      </c>
      <c r="D524" s="104">
        <v>2</v>
      </c>
      <c r="E524" s="105">
        <v>3</v>
      </c>
      <c r="F524" s="85" t="str">
        <f t="shared" si="40"/>
        <v>B1323</v>
      </c>
      <c r="G524" s="84">
        <v>141.572</v>
      </c>
      <c r="H524" s="85">
        <v>158.75821520344815</v>
      </c>
      <c r="I524" s="85">
        <f t="shared" si="41"/>
        <v>172.71784</v>
      </c>
      <c r="J524" s="84"/>
      <c r="K524" s="512"/>
      <c r="L524" s="510"/>
    </row>
    <row r="525" spans="1:12" x14ac:dyDescent="0.25">
      <c r="A525" s="515"/>
      <c r="B525" s="516"/>
      <c r="C525" s="95" t="s">
        <v>82</v>
      </c>
      <c r="D525" s="104">
        <v>2</v>
      </c>
      <c r="E525" s="105">
        <v>4</v>
      </c>
      <c r="F525" s="85" t="str">
        <f t="shared" si="40"/>
        <v>B1324</v>
      </c>
      <c r="G525" s="84">
        <v>141.226</v>
      </c>
      <c r="H525" s="85">
        <v>158.37021233239741</v>
      </c>
      <c r="I525" s="85">
        <f t="shared" si="41"/>
        <v>172.29571999999999</v>
      </c>
      <c r="J525" s="84"/>
      <c r="K525" s="512"/>
      <c r="L525" s="510"/>
    </row>
    <row r="526" spans="1:12" x14ac:dyDescent="0.25">
      <c r="A526" s="515"/>
      <c r="B526" s="516"/>
      <c r="C526" s="95" t="s">
        <v>82</v>
      </c>
      <c r="D526" s="104">
        <v>3</v>
      </c>
      <c r="E526" s="105">
        <v>1</v>
      </c>
      <c r="F526" s="85" t="str">
        <f t="shared" si="40"/>
        <v>B1331</v>
      </c>
      <c r="G526" s="84">
        <v>141.48599999999999</v>
      </c>
      <c r="H526" s="85">
        <v>158.66177518347598</v>
      </c>
      <c r="I526" s="85">
        <f t="shared" si="41"/>
        <v>172.61291999999997</v>
      </c>
      <c r="J526" s="84"/>
      <c r="K526" s="512"/>
      <c r="L526" s="510">
        <v>53.119</v>
      </c>
    </row>
    <row r="527" spans="1:12" x14ac:dyDescent="0.25">
      <c r="A527" s="515"/>
      <c r="B527" s="516"/>
      <c r="C527" s="95" t="s">
        <v>82</v>
      </c>
      <c r="D527" s="104">
        <v>3</v>
      </c>
      <c r="E527" s="105">
        <v>2</v>
      </c>
      <c r="F527" s="85" t="str">
        <f t="shared" si="40"/>
        <v>B1332</v>
      </c>
      <c r="G527" s="84">
        <v>142.25399999999999</v>
      </c>
      <c r="H527" s="85">
        <v>159.52300698973886</v>
      </c>
      <c r="I527" s="85">
        <f t="shared" si="41"/>
        <v>173.54987999999997</v>
      </c>
      <c r="J527" s="84"/>
      <c r="K527" s="512"/>
      <c r="L527" s="510"/>
    </row>
    <row r="528" spans="1:12" x14ac:dyDescent="0.25">
      <c r="A528" s="515"/>
      <c r="B528" s="516"/>
      <c r="C528" s="95" t="s">
        <v>82</v>
      </c>
      <c r="D528" s="104">
        <v>3</v>
      </c>
      <c r="E528" s="105">
        <v>3</v>
      </c>
      <c r="F528" s="85" t="str">
        <f t="shared" si="40"/>
        <v>B1333</v>
      </c>
      <c r="G528" s="84">
        <v>142.37799999999999</v>
      </c>
      <c r="H528" s="85">
        <v>159.6620600417917</v>
      </c>
      <c r="I528" s="85">
        <f t="shared" si="41"/>
        <v>173.70115999999999</v>
      </c>
      <c r="J528" s="84"/>
      <c r="K528" s="512"/>
      <c r="L528" s="510"/>
    </row>
    <row r="529" spans="1:12" x14ac:dyDescent="0.25">
      <c r="A529" s="515"/>
      <c r="B529" s="516"/>
      <c r="C529" s="95" t="s">
        <v>82</v>
      </c>
      <c r="D529" s="104">
        <v>3</v>
      </c>
      <c r="E529" s="105">
        <v>4</v>
      </c>
      <c r="F529" s="85" t="str">
        <f t="shared" si="40"/>
        <v>B1334</v>
      </c>
      <c r="G529" s="84">
        <v>141.52600000000001</v>
      </c>
      <c r="H529" s="85">
        <v>158.70663100671885</v>
      </c>
      <c r="I529" s="85">
        <f t="shared" si="41"/>
        <v>172.66172</v>
      </c>
      <c r="J529" s="84"/>
      <c r="K529" s="512"/>
      <c r="L529" s="510"/>
    </row>
    <row r="530" spans="1:12" x14ac:dyDescent="0.25">
      <c r="A530" s="515"/>
      <c r="B530" s="516"/>
      <c r="C530" s="95" t="s">
        <v>82</v>
      </c>
      <c r="D530" s="104">
        <v>4</v>
      </c>
      <c r="E530" s="105">
        <v>1</v>
      </c>
      <c r="F530" s="85" t="str">
        <f t="shared" si="40"/>
        <v>B1341</v>
      </c>
      <c r="G530" s="84">
        <v>139.12</v>
      </c>
      <c r="H530" s="85">
        <v>156.00855323866094</v>
      </c>
      <c r="I530" s="85">
        <f t="shared" si="41"/>
        <v>169.72640000000001</v>
      </c>
      <c r="J530" s="84"/>
      <c r="K530" s="512"/>
      <c r="L530" s="510">
        <v>53.119</v>
      </c>
    </row>
    <row r="531" spans="1:12" x14ac:dyDescent="0.25">
      <c r="A531" s="515"/>
      <c r="B531" s="516"/>
      <c r="C531" s="95" t="s">
        <v>82</v>
      </c>
      <c r="D531" s="104">
        <v>4</v>
      </c>
      <c r="E531" s="105">
        <v>2</v>
      </c>
      <c r="F531" s="85" t="str">
        <f t="shared" si="40"/>
        <v>B1342</v>
      </c>
      <c r="G531" s="84">
        <v>141.53399999999999</v>
      </c>
      <c r="H531" s="85">
        <v>158.71560217136741</v>
      </c>
      <c r="I531" s="85">
        <f t="shared" si="41"/>
        <v>172.67147999999997</v>
      </c>
      <c r="J531" s="84"/>
      <c r="K531" s="512"/>
      <c r="L531" s="510"/>
    </row>
    <row r="532" spans="1:12" x14ac:dyDescent="0.25">
      <c r="A532" s="515"/>
      <c r="B532" s="516"/>
      <c r="C532" s="95" t="s">
        <v>82</v>
      </c>
      <c r="D532" s="104">
        <v>4</v>
      </c>
      <c r="E532" s="105">
        <v>3</v>
      </c>
      <c r="F532" s="85" t="str">
        <f t="shared" si="40"/>
        <v>B1343</v>
      </c>
      <c r="G532" s="84">
        <v>141.65899999999999</v>
      </c>
      <c r="H532" s="85">
        <v>158.85577661900135</v>
      </c>
      <c r="I532" s="85">
        <f t="shared" si="41"/>
        <v>172.82397999999998</v>
      </c>
      <c r="J532" s="84"/>
      <c r="K532" s="512"/>
      <c r="L532" s="510"/>
    </row>
    <row r="533" spans="1:12" x14ac:dyDescent="0.25">
      <c r="A533" s="515"/>
      <c r="B533" s="516"/>
      <c r="C533" s="95" t="s">
        <v>82</v>
      </c>
      <c r="D533" s="104">
        <v>4</v>
      </c>
      <c r="E533" s="105">
        <v>4</v>
      </c>
      <c r="F533" s="85" t="str">
        <f t="shared" si="40"/>
        <v>B1344</v>
      </c>
      <c r="G533" s="84">
        <v>139.31659999999999</v>
      </c>
      <c r="H533" s="85">
        <v>156.22901960989958</v>
      </c>
      <c r="I533" s="85">
        <f t="shared" si="41"/>
        <v>169.966252</v>
      </c>
      <c r="J533" s="84"/>
      <c r="K533" s="512"/>
      <c r="L533" s="510"/>
    </row>
    <row r="534" spans="1:12" x14ac:dyDescent="0.25">
      <c r="A534" s="81" t="s">
        <v>4</v>
      </c>
      <c r="B534" s="80"/>
      <c r="C534" s="81"/>
      <c r="D534" s="81"/>
      <c r="E534" s="81"/>
      <c r="F534" s="81"/>
      <c r="G534" s="83">
        <f>SUM(G514:G533)</f>
        <v>2734.6086</v>
      </c>
      <c r="H534" s="83"/>
      <c r="I534" s="83">
        <f>SUM(I514:I533)</f>
        <v>3336.2224920000003</v>
      </c>
      <c r="J534" s="83"/>
      <c r="K534" s="83">
        <f>SUM(K514)</f>
        <v>3066.5780000000004</v>
      </c>
      <c r="L534" s="83">
        <f>L530+L526+L522+L518+L514</f>
        <v>331.88400000000001</v>
      </c>
    </row>
    <row r="535" spans="1:12" x14ac:dyDescent="0.25">
      <c r="A535" s="92"/>
      <c r="B535" s="93"/>
      <c r="C535" s="89"/>
      <c r="D535" s="89"/>
      <c r="E535" s="89"/>
      <c r="F535" s="89"/>
      <c r="G535" s="87">
        <v>1.1213955810714558</v>
      </c>
      <c r="L535" s="88">
        <f>(L514+L518+L522+L526+L530)/K534</f>
        <v>0.10822617262629548</v>
      </c>
    </row>
    <row r="536" spans="1:12" x14ac:dyDescent="0.25">
      <c r="F536" s="101"/>
    </row>
    <row r="537" spans="1:12" ht="37.5" x14ac:dyDescent="0.25">
      <c r="A537" s="82" t="s">
        <v>9</v>
      </c>
      <c r="B537" s="83" t="s">
        <v>7</v>
      </c>
      <c r="C537" s="82" t="s">
        <v>8</v>
      </c>
      <c r="D537" s="102" t="s">
        <v>10</v>
      </c>
      <c r="E537" s="103" t="s">
        <v>2</v>
      </c>
      <c r="F537" s="82" t="s">
        <v>104</v>
      </c>
      <c r="G537" s="82" t="s">
        <v>3</v>
      </c>
      <c r="H537" s="82" t="s">
        <v>102</v>
      </c>
      <c r="I537" s="82" t="s">
        <v>101</v>
      </c>
      <c r="J537" s="82" t="s">
        <v>103</v>
      </c>
      <c r="K537" s="83" t="s">
        <v>6</v>
      </c>
      <c r="L537" s="83" t="s">
        <v>1</v>
      </c>
    </row>
    <row r="538" spans="1:12" x14ac:dyDescent="0.25">
      <c r="A538" s="515" t="s">
        <v>33</v>
      </c>
      <c r="B538" s="516" t="s">
        <v>50</v>
      </c>
      <c r="C538" s="95" t="s">
        <v>81</v>
      </c>
      <c r="D538" s="104">
        <v>0</v>
      </c>
      <c r="E538" s="105">
        <v>1</v>
      </c>
      <c r="F538" s="85" t="str">
        <f>LEFT(C538,3)&amp;D538&amp;E538</f>
        <v>B1401</v>
      </c>
      <c r="G538" s="84">
        <v>144.66300000000001</v>
      </c>
      <c r="H538" s="85">
        <v>160.29970969584483</v>
      </c>
      <c r="I538" s="85">
        <f>1.22*G538</f>
        <v>176.48886000000002</v>
      </c>
      <c r="J538" s="86">
        <v>77.696799999999996</v>
      </c>
      <c r="K538" s="512">
        <f>SUM(H538:H557)</f>
        <v>3404.6560000000009</v>
      </c>
      <c r="L538" s="510">
        <v>99.266000000000005</v>
      </c>
    </row>
    <row r="539" spans="1:12" x14ac:dyDescent="0.25">
      <c r="A539" s="515"/>
      <c r="B539" s="516"/>
      <c r="C539" s="95" t="s">
        <v>81</v>
      </c>
      <c r="D539" s="104">
        <v>0</v>
      </c>
      <c r="E539" s="105">
        <v>2</v>
      </c>
      <c r="F539" s="85" t="str">
        <f t="shared" ref="F539:F557" si="42">LEFT(C539,3)&amp;D539&amp;E539</f>
        <v>B1402</v>
      </c>
      <c r="G539" s="84">
        <v>183.887</v>
      </c>
      <c r="H539" s="85">
        <v>203.76345518093646</v>
      </c>
      <c r="I539" s="85">
        <f t="shared" ref="I539:I557" si="43">1.22*G539</f>
        <v>224.34214</v>
      </c>
      <c r="J539" s="86">
        <v>56.4666</v>
      </c>
      <c r="K539" s="512"/>
      <c r="L539" s="510"/>
    </row>
    <row r="540" spans="1:12" x14ac:dyDescent="0.25">
      <c r="A540" s="515"/>
      <c r="B540" s="516"/>
      <c r="C540" s="95" t="s">
        <v>81</v>
      </c>
      <c r="D540" s="104">
        <v>0</v>
      </c>
      <c r="E540" s="105">
        <v>3</v>
      </c>
      <c r="F540" s="85" t="str">
        <f t="shared" si="42"/>
        <v>B1403</v>
      </c>
      <c r="G540" s="84">
        <v>162.78100000000001</v>
      </c>
      <c r="H540" s="85">
        <v>180.37609508996297</v>
      </c>
      <c r="I540" s="85">
        <f t="shared" si="43"/>
        <v>198.59281999999999</v>
      </c>
      <c r="J540" s="86">
        <v>77.576999999999998</v>
      </c>
      <c r="K540" s="512"/>
      <c r="L540" s="510"/>
    </row>
    <row r="541" spans="1:12" x14ac:dyDescent="0.25">
      <c r="A541" s="515"/>
      <c r="B541" s="516"/>
      <c r="C541" s="95" t="s">
        <v>81</v>
      </c>
      <c r="D541" s="104">
        <v>0</v>
      </c>
      <c r="E541" s="105">
        <v>4</v>
      </c>
      <c r="F541" s="85" t="str">
        <f t="shared" si="42"/>
        <v>B1404</v>
      </c>
      <c r="G541" s="84">
        <v>95.213999999999999</v>
      </c>
      <c r="H541" s="85">
        <v>105.50573788031609</v>
      </c>
      <c r="I541" s="85">
        <f t="shared" si="43"/>
        <v>116.16108</v>
      </c>
      <c r="J541" s="86">
        <v>61.981200000000001</v>
      </c>
      <c r="K541" s="512"/>
      <c r="L541" s="510"/>
    </row>
    <row r="542" spans="1:12" x14ac:dyDescent="0.25">
      <c r="A542" s="515"/>
      <c r="B542" s="516"/>
      <c r="C542" s="95" t="s">
        <v>81</v>
      </c>
      <c r="D542" s="104">
        <v>1</v>
      </c>
      <c r="E542" s="105">
        <v>1</v>
      </c>
      <c r="F542" s="85" t="str">
        <f t="shared" si="42"/>
        <v>B1411</v>
      </c>
      <c r="G542" s="84">
        <v>141.66300000000001</v>
      </c>
      <c r="H542" s="85">
        <v>156.9754379118535</v>
      </c>
      <c r="I542" s="85">
        <f t="shared" si="43"/>
        <v>172.82886000000002</v>
      </c>
      <c r="J542" s="84"/>
      <c r="K542" s="512"/>
      <c r="L542" s="510">
        <v>73.486999999999995</v>
      </c>
    </row>
    <row r="543" spans="1:12" x14ac:dyDescent="0.25">
      <c r="A543" s="515"/>
      <c r="B543" s="516"/>
      <c r="C543" s="95" t="s">
        <v>81</v>
      </c>
      <c r="D543" s="104">
        <v>1</v>
      </c>
      <c r="E543" s="105">
        <v>2</v>
      </c>
      <c r="F543" s="85" t="str">
        <f t="shared" si="42"/>
        <v>B1412</v>
      </c>
      <c r="G543" s="84">
        <v>183.637</v>
      </c>
      <c r="H543" s="85">
        <v>203.48643253227053</v>
      </c>
      <c r="I543" s="85">
        <f t="shared" si="43"/>
        <v>224.03713999999999</v>
      </c>
      <c r="J543" s="84"/>
      <c r="K543" s="512"/>
      <c r="L543" s="510"/>
    </row>
    <row r="544" spans="1:12" x14ac:dyDescent="0.25">
      <c r="A544" s="515"/>
      <c r="B544" s="516"/>
      <c r="C544" s="95" t="s">
        <v>81</v>
      </c>
      <c r="D544" s="104">
        <v>1</v>
      </c>
      <c r="E544" s="105">
        <v>3</v>
      </c>
      <c r="F544" s="85" t="str">
        <f t="shared" si="42"/>
        <v>B1413</v>
      </c>
      <c r="G544" s="84">
        <v>162.53100000000001</v>
      </c>
      <c r="H544" s="85">
        <v>180.09907244129704</v>
      </c>
      <c r="I544" s="85">
        <f t="shared" si="43"/>
        <v>198.28782000000001</v>
      </c>
      <c r="J544" s="84"/>
      <c r="K544" s="512"/>
      <c r="L544" s="510"/>
    </row>
    <row r="545" spans="1:12" x14ac:dyDescent="0.25">
      <c r="A545" s="515"/>
      <c r="B545" s="516"/>
      <c r="C545" s="95" t="s">
        <v>81</v>
      </c>
      <c r="D545" s="104">
        <v>1</v>
      </c>
      <c r="E545" s="105">
        <v>4</v>
      </c>
      <c r="F545" s="85" t="str">
        <f t="shared" si="42"/>
        <v>B1414</v>
      </c>
      <c r="G545" s="84">
        <v>96.271000000000001</v>
      </c>
      <c r="H545" s="85">
        <v>106.6769896388757</v>
      </c>
      <c r="I545" s="85">
        <f t="shared" si="43"/>
        <v>117.45062</v>
      </c>
      <c r="J545" s="84"/>
      <c r="K545" s="512"/>
      <c r="L545" s="510"/>
    </row>
    <row r="546" spans="1:12" x14ac:dyDescent="0.25">
      <c r="A546" s="515"/>
      <c r="B546" s="516"/>
      <c r="C546" s="95" t="s">
        <v>81</v>
      </c>
      <c r="D546" s="104">
        <v>2</v>
      </c>
      <c r="E546" s="105">
        <v>1</v>
      </c>
      <c r="F546" s="85" t="str">
        <f t="shared" si="42"/>
        <v>B1421</v>
      </c>
      <c r="G546" s="84">
        <v>143.989</v>
      </c>
      <c r="H546" s="85">
        <v>159.55285663504142</v>
      </c>
      <c r="I546" s="85">
        <f t="shared" si="43"/>
        <v>175.66658000000001</v>
      </c>
      <c r="J546" s="84"/>
      <c r="K546" s="512"/>
      <c r="L546" s="510">
        <v>53.119</v>
      </c>
    </row>
    <row r="547" spans="1:12" x14ac:dyDescent="0.25">
      <c r="A547" s="515"/>
      <c r="B547" s="516"/>
      <c r="C547" s="95" t="s">
        <v>81</v>
      </c>
      <c r="D547" s="104">
        <v>2</v>
      </c>
      <c r="E547" s="105">
        <v>2</v>
      </c>
      <c r="F547" s="85" t="str">
        <f t="shared" si="42"/>
        <v>B1422</v>
      </c>
      <c r="G547" s="84">
        <v>187.1</v>
      </c>
      <c r="H547" s="85">
        <v>207.32375026159116</v>
      </c>
      <c r="I547" s="85">
        <f t="shared" si="43"/>
        <v>228.262</v>
      </c>
      <c r="J547" s="84"/>
      <c r="K547" s="512"/>
      <c r="L547" s="510"/>
    </row>
    <row r="548" spans="1:12" x14ac:dyDescent="0.25">
      <c r="A548" s="515"/>
      <c r="B548" s="516"/>
      <c r="C548" s="95" t="s">
        <v>81</v>
      </c>
      <c r="D548" s="104">
        <v>2</v>
      </c>
      <c r="E548" s="105">
        <v>3</v>
      </c>
      <c r="F548" s="85" t="str">
        <f t="shared" si="42"/>
        <v>B1423</v>
      </c>
      <c r="G548" s="84">
        <v>167.16900000000001</v>
      </c>
      <c r="H548" s="85">
        <v>185.23839661934761</v>
      </c>
      <c r="I548" s="85">
        <f t="shared" si="43"/>
        <v>203.94618</v>
      </c>
      <c r="J548" s="84"/>
      <c r="K548" s="512"/>
      <c r="L548" s="510"/>
    </row>
    <row r="549" spans="1:12" x14ac:dyDescent="0.25">
      <c r="A549" s="515"/>
      <c r="B549" s="516"/>
      <c r="C549" s="95" t="s">
        <v>81</v>
      </c>
      <c r="D549" s="104">
        <v>2</v>
      </c>
      <c r="E549" s="105">
        <v>4</v>
      </c>
      <c r="F549" s="85" t="str">
        <f t="shared" si="42"/>
        <v>B1424</v>
      </c>
      <c r="G549" s="84">
        <v>141.18700000000001</v>
      </c>
      <c r="H549" s="85">
        <v>156.44798678879354</v>
      </c>
      <c r="I549" s="85">
        <f t="shared" si="43"/>
        <v>172.24814000000001</v>
      </c>
      <c r="J549" s="84"/>
      <c r="K549" s="512"/>
      <c r="L549" s="510"/>
    </row>
    <row r="550" spans="1:12" x14ac:dyDescent="0.25">
      <c r="A550" s="515"/>
      <c r="B550" s="516"/>
      <c r="C550" s="95" t="s">
        <v>81</v>
      </c>
      <c r="D550" s="104">
        <v>3</v>
      </c>
      <c r="E550" s="105">
        <v>1</v>
      </c>
      <c r="F550" s="85" t="str">
        <f t="shared" si="42"/>
        <v>B1431</v>
      </c>
      <c r="G550" s="84">
        <v>143.89599999999999</v>
      </c>
      <c r="H550" s="85">
        <v>159.44980420973766</v>
      </c>
      <c r="I550" s="85">
        <f t="shared" si="43"/>
        <v>175.55311999999998</v>
      </c>
      <c r="J550" s="84"/>
      <c r="K550" s="512"/>
      <c r="L550" s="510">
        <v>52.92</v>
      </c>
    </row>
    <row r="551" spans="1:12" x14ac:dyDescent="0.25">
      <c r="A551" s="515"/>
      <c r="B551" s="516"/>
      <c r="C551" s="95" t="s">
        <v>81</v>
      </c>
      <c r="D551" s="104">
        <v>3</v>
      </c>
      <c r="E551" s="105">
        <v>2</v>
      </c>
      <c r="F551" s="85" t="str">
        <f t="shared" si="42"/>
        <v>B1432</v>
      </c>
      <c r="G551" s="84">
        <v>187.20400000000001</v>
      </c>
      <c r="H551" s="85">
        <v>207.4389916834362</v>
      </c>
      <c r="I551" s="85">
        <f t="shared" si="43"/>
        <v>228.38888</v>
      </c>
      <c r="J551" s="84"/>
      <c r="K551" s="512"/>
      <c r="L551" s="510"/>
    </row>
    <row r="552" spans="1:12" x14ac:dyDescent="0.25">
      <c r="A552" s="515"/>
      <c r="B552" s="516"/>
      <c r="C552" s="95" t="s">
        <v>81</v>
      </c>
      <c r="D552" s="104">
        <v>3</v>
      </c>
      <c r="E552" s="105">
        <v>3</v>
      </c>
      <c r="F552" s="85" t="str">
        <f t="shared" si="42"/>
        <v>B1433</v>
      </c>
      <c r="G552" s="84">
        <v>164.417</v>
      </c>
      <c r="H552" s="85">
        <v>182.18893130283288</v>
      </c>
      <c r="I552" s="85">
        <f t="shared" si="43"/>
        <v>200.58874</v>
      </c>
      <c r="J552" s="84"/>
      <c r="K552" s="512"/>
      <c r="L552" s="510"/>
    </row>
    <row r="553" spans="1:12" x14ac:dyDescent="0.25">
      <c r="A553" s="515"/>
      <c r="B553" s="516"/>
      <c r="C553" s="95" t="s">
        <v>81</v>
      </c>
      <c r="D553" s="104">
        <v>3</v>
      </c>
      <c r="E553" s="105">
        <v>4</v>
      </c>
      <c r="F553" s="85" t="str">
        <f t="shared" si="42"/>
        <v>B1434</v>
      </c>
      <c r="G553" s="84">
        <v>141.07300000000001</v>
      </c>
      <c r="H553" s="85">
        <v>156.32166446100189</v>
      </c>
      <c r="I553" s="85">
        <f t="shared" si="43"/>
        <v>172.10906</v>
      </c>
      <c r="J553" s="84"/>
      <c r="K553" s="512"/>
      <c r="L553" s="510"/>
    </row>
    <row r="554" spans="1:12" x14ac:dyDescent="0.25">
      <c r="A554" s="515"/>
      <c r="B554" s="516"/>
      <c r="C554" s="95" t="s">
        <v>81</v>
      </c>
      <c r="D554" s="104">
        <v>4</v>
      </c>
      <c r="E554" s="105">
        <v>1</v>
      </c>
      <c r="F554" s="85" t="str">
        <f t="shared" si="42"/>
        <v>B1441</v>
      </c>
      <c r="G554" s="84">
        <v>141.929</v>
      </c>
      <c r="H554" s="85">
        <v>157.27019001003407</v>
      </c>
      <c r="I554" s="85">
        <f t="shared" si="43"/>
        <v>173.15338</v>
      </c>
      <c r="J554" s="84"/>
      <c r="K554" s="512"/>
      <c r="L554" s="510">
        <v>52.92</v>
      </c>
    </row>
    <row r="555" spans="1:12" x14ac:dyDescent="0.25">
      <c r="A555" s="515"/>
      <c r="B555" s="516"/>
      <c r="C555" s="95" t="s">
        <v>81</v>
      </c>
      <c r="D555" s="104">
        <v>4</v>
      </c>
      <c r="E555" s="105">
        <v>2</v>
      </c>
      <c r="F555" s="85" t="str">
        <f t="shared" si="42"/>
        <v>B1442</v>
      </c>
      <c r="G555" s="84">
        <v>182.36099999999999</v>
      </c>
      <c r="H555" s="85">
        <v>202.07250893347955</v>
      </c>
      <c r="I555" s="85">
        <f t="shared" si="43"/>
        <v>222.48041999999998</v>
      </c>
      <c r="J555" s="84"/>
      <c r="K555" s="512"/>
      <c r="L555" s="510"/>
    </row>
    <row r="556" spans="1:12" x14ac:dyDescent="0.25">
      <c r="A556" s="515"/>
      <c r="B556" s="516"/>
      <c r="C556" s="95" t="s">
        <v>81</v>
      </c>
      <c r="D556" s="104">
        <v>4</v>
      </c>
      <c r="E556" s="105">
        <v>3</v>
      </c>
      <c r="F556" s="85" t="str">
        <f t="shared" si="42"/>
        <v>B1443</v>
      </c>
      <c r="G556" s="84">
        <v>162.44399999999999</v>
      </c>
      <c r="H556" s="85">
        <v>180.00266855956127</v>
      </c>
      <c r="I556" s="85">
        <f t="shared" si="43"/>
        <v>198.18167999999997</v>
      </c>
      <c r="J556" s="84"/>
      <c r="K556" s="512"/>
      <c r="L556" s="510"/>
    </row>
    <row r="557" spans="1:12" x14ac:dyDescent="0.25">
      <c r="A557" s="515"/>
      <c r="B557" s="516"/>
      <c r="C557" s="95" t="s">
        <v>81</v>
      </c>
      <c r="D557" s="104">
        <v>4</v>
      </c>
      <c r="E557" s="105">
        <v>4</v>
      </c>
      <c r="F557" s="85" t="str">
        <f t="shared" si="42"/>
        <v>B1444</v>
      </c>
      <c r="G557" s="84">
        <v>139.12700000000001</v>
      </c>
      <c r="H557" s="85">
        <v>154.16532016378619</v>
      </c>
      <c r="I557" s="85">
        <f t="shared" si="43"/>
        <v>169.73493999999999</v>
      </c>
      <c r="J557" s="84"/>
      <c r="K557" s="512"/>
      <c r="L557" s="510"/>
    </row>
    <row r="558" spans="1:12" x14ac:dyDescent="0.25">
      <c r="A558" s="81" t="s">
        <v>4</v>
      </c>
      <c r="B558" s="80"/>
      <c r="C558" s="81"/>
      <c r="D558" s="81"/>
      <c r="E558" s="81"/>
      <c r="F558" s="81"/>
      <c r="G558" s="83">
        <f>SUM(G538:G557)</f>
        <v>3072.5429999999997</v>
      </c>
      <c r="H558" s="83"/>
      <c r="I558" s="83">
        <f>SUM(I538:I557)</f>
        <v>3748.5024600000002</v>
      </c>
      <c r="J558" s="83"/>
      <c r="K558" s="83">
        <f>SUM(K538)</f>
        <v>3404.6560000000009</v>
      </c>
      <c r="L558" s="83">
        <f>L554+L550+L546+L542+L538</f>
        <v>331.71199999999999</v>
      </c>
    </row>
    <row r="559" spans="1:12" x14ac:dyDescent="0.25">
      <c r="A559" s="89"/>
      <c r="B559" s="93"/>
      <c r="C559" s="89"/>
      <c r="D559" s="89"/>
      <c r="E559" s="89"/>
      <c r="F559" s="89"/>
      <c r="G559" s="87">
        <f>K558/G558</f>
        <v>1.1080905946637691</v>
      </c>
      <c r="L559" s="90">
        <f>(L538+L542+L546+L550+L554)/K558</f>
        <v>9.7428932614631231E-2</v>
      </c>
    </row>
    <row r="561" spans="1:12" ht="37.5" x14ac:dyDescent="0.25">
      <c r="A561" s="82" t="s">
        <v>9</v>
      </c>
      <c r="B561" s="83" t="s">
        <v>7</v>
      </c>
      <c r="C561" s="82" t="s">
        <v>8</v>
      </c>
      <c r="D561" s="102" t="s">
        <v>10</v>
      </c>
      <c r="E561" s="103" t="s">
        <v>2</v>
      </c>
      <c r="F561" s="82" t="s">
        <v>104</v>
      </c>
      <c r="G561" s="82" t="s">
        <v>3</v>
      </c>
      <c r="H561" s="82" t="s">
        <v>102</v>
      </c>
      <c r="I561" s="82" t="s">
        <v>101</v>
      </c>
      <c r="J561" s="82" t="s">
        <v>103</v>
      </c>
      <c r="K561" s="83" t="s">
        <v>6</v>
      </c>
      <c r="L561" s="83" t="s">
        <v>1</v>
      </c>
    </row>
    <row r="562" spans="1:12" x14ac:dyDescent="0.25">
      <c r="A562" s="511" t="s">
        <v>38</v>
      </c>
      <c r="B562" s="511" t="s">
        <v>44</v>
      </c>
      <c r="C562" s="95" t="s">
        <v>93</v>
      </c>
      <c r="D562" s="104">
        <v>0</v>
      </c>
      <c r="E562" s="105">
        <v>1</v>
      </c>
      <c r="F562" s="85" t="str">
        <f>LEFT(C562,3)&amp;D562&amp;E562</f>
        <v>B1501</v>
      </c>
      <c r="G562" s="85">
        <v>87.23</v>
      </c>
      <c r="H562" s="85">
        <v>94.72160516317075</v>
      </c>
      <c r="I562" s="85">
        <f>G562*1.22</f>
        <v>106.42060000000001</v>
      </c>
      <c r="J562" s="86">
        <v>64.4328</v>
      </c>
      <c r="K562" s="512">
        <f>SUM(H562:H581)</f>
        <v>2712.1999999999989</v>
      </c>
      <c r="L562" s="510">
        <v>72.63</v>
      </c>
    </row>
    <row r="563" spans="1:12" x14ac:dyDescent="0.25">
      <c r="A563" s="511"/>
      <c r="B563" s="511"/>
      <c r="C563" s="95" t="s">
        <v>93</v>
      </c>
      <c r="D563" s="104">
        <v>0</v>
      </c>
      <c r="E563" s="105">
        <v>2</v>
      </c>
      <c r="F563" s="85" t="str">
        <f t="shared" ref="F563:F581" si="44">LEFT(C563,3)&amp;D563&amp;E563</f>
        <v>B1502</v>
      </c>
      <c r="G563" s="85">
        <v>125.09</v>
      </c>
      <c r="H563" s="85">
        <v>135.83314902970341</v>
      </c>
      <c r="I563" s="85">
        <f t="shared" ref="I563:I581" si="45">G563*1.22</f>
        <v>152.60980000000001</v>
      </c>
      <c r="J563" s="86">
        <v>85.619500000000002</v>
      </c>
      <c r="K563" s="512"/>
      <c r="L563" s="510"/>
    </row>
    <row r="564" spans="1:12" x14ac:dyDescent="0.25">
      <c r="A564" s="511"/>
      <c r="B564" s="511"/>
      <c r="C564" s="95" t="s">
        <v>93</v>
      </c>
      <c r="D564" s="104">
        <v>0</v>
      </c>
      <c r="E564" s="105">
        <v>3</v>
      </c>
      <c r="F564" s="85" t="str">
        <f t="shared" si="44"/>
        <v>B1503</v>
      </c>
      <c r="G564" s="85">
        <v>129.57</v>
      </c>
      <c r="H564" s="85">
        <v>140.69790646557414</v>
      </c>
      <c r="I564" s="85">
        <f t="shared" si="45"/>
        <v>158.0754</v>
      </c>
      <c r="J564" s="86">
        <v>84.075199999999995</v>
      </c>
      <c r="K564" s="512"/>
      <c r="L564" s="510"/>
    </row>
    <row r="565" spans="1:12" x14ac:dyDescent="0.25">
      <c r="A565" s="511"/>
      <c r="B565" s="511"/>
      <c r="C565" s="95" t="s">
        <v>93</v>
      </c>
      <c r="D565" s="104">
        <v>0</v>
      </c>
      <c r="E565" s="105">
        <v>4</v>
      </c>
      <c r="F565" s="85" t="str">
        <f t="shared" si="44"/>
        <v>B1504</v>
      </c>
      <c r="G565" s="85">
        <v>131.34</v>
      </c>
      <c r="H565" s="85">
        <v>142.61992000608558</v>
      </c>
      <c r="I565" s="85">
        <f t="shared" si="45"/>
        <v>160.23480000000001</v>
      </c>
      <c r="J565" s="86">
        <v>72.604399999999998</v>
      </c>
      <c r="K565" s="512"/>
      <c r="L565" s="510"/>
    </row>
    <row r="566" spans="1:12" x14ac:dyDescent="0.25">
      <c r="A566" s="511"/>
      <c r="B566" s="511"/>
      <c r="C566" s="95" t="s">
        <v>93</v>
      </c>
      <c r="D566" s="104">
        <v>1</v>
      </c>
      <c r="E566" s="105">
        <v>1</v>
      </c>
      <c r="F566" s="85" t="str">
        <f t="shared" si="44"/>
        <v>B1511</v>
      </c>
      <c r="G566" s="85">
        <v>88.87</v>
      </c>
      <c r="H566" s="85">
        <v>96.502453867373433</v>
      </c>
      <c r="I566" s="85">
        <f t="shared" si="45"/>
        <v>108.42140000000001</v>
      </c>
      <c r="J566" s="85"/>
      <c r="K566" s="512"/>
      <c r="L566" s="510">
        <v>46.11</v>
      </c>
    </row>
    <row r="567" spans="1:12" x14ac:dyDescent="0.25">
      <c r="A567" s="511"/>
      <c r="B567" s="511"/>
      <c r="C567" s="95" t="s">
        <v>93</v>
      </c>
      <c r="D567" s="104">
        <v>1</v>
      </c>
      <c r="E567" s="105">
        <v>2</v>
      </c>
      <c r="F567" s="85" t="str">
        <f t="shared" si="44"/>
        <v>B1512</v>
      </c>
      <c r="G567" s="85">
        <v>127.14</v>
      </c>
      <c r="H567" s="85">
        <v>138.05920990995676</v>
      </c>
      <c r="I567" s="85">
        <f t="shared" si="45"/>
        <v>155.11079999999998</v>
      </c>
      <c r="J567" s="85"/>
      <c r="K567" s="512"/>
      <c r="L567" s="510"/>
    </row>
    <row r="568" spans="1:12" x14ac:dyDescent="0.25">
      <c r="A568" s="511"/>
      <c r="B568" s="511"/>
      <c r="C568" s="95" t="s">
        <v>93</v>
      </c>
      <c r="D568" s="104">
        <v>1</v>
      </c>
      <c r="E568" s="105">
        <v>3</v>
      </c>
      <c r="F568" s="85" t="str">
        <f t="shared" si="44"/>
        <v>B1513</v>
      </c>
      <c r="G568" s="85">
        <v>131.43</v>
      </c>
      <c r="H568" s="85">
        <v>142.71764950814548</v>
      </c>
      <c r="I568" s="85">
        <f t="shared" si="45"/>
        <v>160.34460000000001</v>
      </c>
      <c r="J568" s="85"/>
      <c r="K568" s="512"/>
      <c r="L568" s="510"/>
    </row>
    <row r="569" spans="1:12" x14ac:dyDescent="0.25">
      <c r="A569" s="511"/>
      <c r="B569" s="511"/>
      <c r="C569" s="95" t="s">
        <v>93</v>
      </c>
      <c r="D569" s="104">
        <v>1</v>
      </c>
      <c r="E569" s="105">
        <v>4</v>
      </c>
      <c r="F569" s="85" t="str">
        <f t="shared" si="44"/>
        <v>B1514</v>
      </c>
      <c r="G569" s="85">
        <v>129.04</v>
      </c>
      <c r="H569" s="85">
        <v>140.12238828677692</v>
      </c>
      <c r="I569" s="85">
        <f t="shared" si="45"/>
        <v>157.4288</v>
      </c>
      <c r="J569" s="85"/>
      <c r="K569" s="512"/>
      <c r="L569" s="510"/>
    </row>
    <row r="570" spans="1:12" x14ac:dyDescent="0.25">
      <c r="A570" s="511"/>
      <c r="B570" s="511"/>
      <c r="C570" s="95" t="s">
        <v>93</v>
      </c>
      <c r="D570" s="104">
        <v>2</v>
      </c>
      <c r="E570" s="105">
        <v>1</v>
      </c>
      <c r="F570" s="85" t="str">
        <f t="shared" si="44"/>
        <v>B1521</v>
      </c>
      <c r="G570" s="85">
        <v>127.15</v>
      </c>
      <c r="H570" s="85">
        <v>138.07006874351899</v>
      </c>
      <c r="I570" s="85">
        <f t="shared" si="45"/>
        <v>155.12299999999999</v>
      </c>
      <c r="J570" s="85"/>
      <c r="K570" s="512"/>
      <c r="L570" s="510">
        <v>31.98</v>
      </c>
    </row>
    <row r="571" spans="1:12" x14ac:dyDescent="0.25">
      <c r="A571" s="511"/>
      <c r="B571" s="511"/>
      <c r="C571" s="95" t="s">
        <v>93</v>
      </c>
      <c r="D571" s="104">
        <v>2</v>
      </c>
      <c r="E571" s="105">
        <v>2</v>
      </c>
      <c r="F571" s="85" t="str">
        <f t="shared" si="44"/>
        <v>B1522</v>
      </c>
      <c r="G571" s="85">
        <v>126.95</v>
      </c>
      <c r="H571" s="85">
        <v>137.85289207227476</v>
      </c>
      <c r="I571" s="85">
        <f t="shared" si="45"/>
        <v>154.87899999999999</v>
      </c>
      <c r="J571" s="85"/>
      <c r="K571" s="512"/>
      <c r="L571" s="510"/>
    </row>
    <row r="572" spans="1:12" x14ac:dyDescent="0.25">
      <c r="A572" s="511"/>
      <c r="B572" s="511"/>
      <c r="C572" s="95" t="s">
        <v>93</v>
      </c>
      <c r="D572" s="104">
        <v>2</v>
      </c>
      <c r="E572" s="105">
        <v>3</v>
      </c>
      <c r="F572" s="85" t="str">
        <f t="shared" si="44"/>
        <v>B1523</v>
      </c>
      <c r="G572" s="85">
        <v>131.44</v>
      </c>
      <c r="H572" s="85">
        <v>142.72850834170771</v>
      </c>
      <c r="I572" s="85">
        <f t="shared" si="45"/>
        <v>160.35679999999999</v>
      </c>
      <c r="J572" s="85"/>
      <c r="K572" s="512"/>
      <c r="L572" s="510"/>
    </row>
    <row r="573" spans="1:12" x14ac:dyDescent="0.25">
      <c r="A573" s="511"/>
      <c r="B573" s="511"/>
      <c r="C573" s="95" t="s">
        <v>93</v>
      </c>
      <c r="D573" s="104">
        <v>2</v>
      </c>
      <c r="E573" s="105">
        <v>4</v>
      </c>
      <c r="F573" s="85" t="str">
        <f t="shared" si="44"/>
        <v>B1524</v>
      </c>
      <c r="G573" s="85">
        <v>131.43</v>
      </c>
      <c r="H573" s="85">
        <v>142.71764950814548</v>
      </c>
      <c r="I573" s="85">
        <f t="shared" si="45"/>
        <v>160.34460000000001</v>
      </c>
      <c r="J573" s="85"/>
      <c r="K573" s="512"/>
      <c r="L573" s="510"/>
    </row>
    <row r="574" spans="1:12" x14ac:dyDescent="0.25">
      <c r="A574" s="511"/>
      <c r="B574" s="511"/>
      <c r="C574" s="95" t="s">
        <v>93</v>
      </c>
      <c r="D574" s="104">
        <v>3</v>
      </c>
      <c r="E574" s="105">
        <v>1</v>
      </c>
      <c r="F574" s="85" t="str">
        <f t="shared" si="44"/>
        <v>B1531</v>
      </c>
      <c r="G574" s="85">
        <v>127.45</v>
      </c>
      <c r="H574" s="85">
        <v>138.39583375038532</v>
      </c>
      <c r="I574" s="85">
        <f t="shared" si="45"/>
        <v>155.489</v>
      </c>
      <c r="J574" s="85"/>
      <c r="K574" s="512"/>
      <c r="L574" s="510">
        <v>31.9</v>
      </c>
    </row>
    <row r="575" spans="1:12" x14ac:dyDescent="0.25">
      <c r="A575" s="511"/>
      <c r="B575" s="511"/>
      <c r="C575" s="95" t="s">
        <v>93</v>
      </c>
      <c r="D575" s="104">
        <v>3</v>
      </c>
      <c r="E575" s="105">
        <v>2</v>
      </c>
      <c r="F575" s="85" t="str">
        <f t="shared" si="44"/>
        <v>B1532</v>
      </c>
      <c r="G575" s="85">
        <v>126.97</v>
      </c>
      <c r="H575" s="85">
        <v>137.87460973939918</v>
      </c>
      <c r="I575" s="85">
        <f t="shared" si="45"/>
        <v>154.9034</v>
      </c>
      <c r="J575" s="85"/>
      <c r="K575" s="512"/>
      <c r="L575" s="510"/>
    </row>
    <row r="576" spans="1:12" x14ac:dyDescent="0.25">
      <c r="A576" s="511"/>
      <c r="B576" s="511"/>
      <c r="C576" s="95" t="s">
        <v>93</v>
      </c>
      <c r="D576" s="104">
        <v>3</v>
      </c>
      <c r="E576" s="105">
        <v>3</v>
      </c>
      <c r="F576" s="85" t="str">
        <f t="shared" si="44"/>
        <v>B1533</v>
      </c>
      <c r="G576" s="85">
        <v>131.43</v>
      </c>
      <c r="H576" s="85">
        <v>142.71764950814548</v>
      </c>
      <c r="I576" s="85">
        <f t="shared" si="45"/>
        <v>160.34460000000001</v>
      </c>
      <c r="J576" s="85"/>
      <c r="K576" s="512"/>
      <c r="L576" s="510"/>
    </row>
    <row r="577" spans="1:12" x14ac:dyDescent="0.25">
      <c r="A577" s="511"/>
      <c r="B577" s="511"/>
      <c r="C577" s="95" t="s">
        <v>93</v>
      </c>
      <c r="D577" s="104">
        <v>3</v>
      </c>
      <c r="E577" s="105">
        <v>4</v>
      </c>
      <c r="F577" s="85" t="str">
        <f t="shared" si="44"/>
        <v>B1534</v>
      </c>
      <c r="G577" s="85">
        <v>131.88</v>
      </c>
      <c r="H577" s="85">
        <v>143.20629701844501</v>
      </c>
      <c r="I577" s="85">
        <f t="shared" si="45"/>
        <v>160.89359999999999</v>
      </c>
      <c r="J577" s="85"/>
      <c r="K577" s="512"/>
      <c r="L577" s="510"/>
    </row>
    <row r="578" spans="1:12" x14ac:dyDescent="0.25">
      <c r="A578" s="511"/>
      <c r="B578" s="511"/>
      <c r="C578" s="95" t="s">
        <v>93</v>
      </c>
      <c r="D578" s="104">
        <v>4</v>
      </c>
      <c r="E578" s="105">
        <v>1</v>
      </c>
      <c r="F578" s="85" t="str">
        <f t="shared" si="44"/>
        <v>B1541</v>
      </c>
      <c r="G578" s="85">
        <v>125.13</v>
      </c>
      <c r="H578" s="85">
        <v>135.87658436395225</v>
      </c>
      <c r="I578" s="85">
        <f t="shared" si="45"/>
        <v>152.65859999999998</v>
      </c>
      <c r="J578" s="85"/>
      <c r="K578" s="512"/>
      <c r="L578" s="510">
        <v>31.9</v>
      </c>
    </row>
    <row r="579" spans="1:12" x14ac:dyDescent="0.25">
      <c r="A579" s="511"/>
      <c r="B579" s="511"/>
      <c r="C579" s="95" t="s">
        <v>93</v>
      </c>
      <c r="D579" s="104">
        <v>4</v>
      </c>
      <c r="E579" s="105">
        <v>2</v>
      </c>
      <c r="F579" s="85" t="str">
        <f t="shared" si="44"/>
        <v>B1542</v>
      </c>
      <c r="G579" s="85">
        <v>127.19</v>
      </c>
      <c r="H579" s="85">
        <v>138.11350407776783</v>
      </c>
      <c r="I579" s="85">
        <f t="shared" si="45"/>
        <v>155.17179999999999</v>
      </c>
      <c r="J579" s="85"/>
      <c r="K579" s="512"/>
      <c r="L579" s="510"/>
    </row>
    <row r="580" spans="1:12" x14ac:dyDescent="0.25">
      <c r="A580" s="511"/>
      <c r="B580" s="511"/>
      <c r="C580" s="95" t="s">
        <v>93</v>
      </c>
      <c r="D580" s="104">
        <v>4</v>
      </c>
      <c r="E580" s="105">
        <v>3</v>
      </c>
      <c r="F580" s="85" t="str">
        <f t="shared" si="44"/>
        <v>B1543</v>
      </c>
      <c r="G580" s="85">
        <v>131.38</v>
      </c>
      <c r="H580" s="85">
        <v>142.66335534033442</v>
      </c>
      <c r="I580" s="85">
        <f t="shared" si="45"/>
        <v>160.28359999999998</v>
      </c>
      <c r="J580" s="85"/>
      <c r="K580" s="512"/>
      <c r="L580" s="510"/>
    </row>
    <row r="581" spans="1:12" x14ac:dyDescent="0.25">
      <c r="A581" s="511"/>
      <c r="B581" s="511"/>
      <c r="C581" s="95" t="s">
        <v>93</v>
      </c>
      <c r="D581" s="104">
        <v>4</v>
      </c>
      <c r="E581" s="105">
        <v>4</v>
      </c>
      <c r="F581" s="85" t="str">
        <f t="shared" si="44"/>
        <v>B1544</v>
      </c>
      <c r="G581" s="85">
        <v>129.58000000000001</v>
      </c>
      <c r="H581" s="85">
        <v>140.70876529913639</v>
      </c>
      <c r="I581" s="85">
        <f t="shared" si="45"/>
        <v>158.08760000000001</v>
      </c>
      <c r="J581" s="85"/>
      <c r="K581" s="512"/>
      <c r="L581" s="510"/>
    </row>
    <row r="582" spans="1:12" x14ac:dyDescent="0.25">
      <c r="A582" s="83" t="s">
        <v>4</v>
      </c>
      <c r="B582" s="83"/>
      <c r="C582" s="83"/>
      <c r="D582" s="103"/>
      <c r="E582" s="103"/>
      <c r="F582" s="83"/>
      <c r="G582" s="83">
        <f>SUM(G562:G581)</f>
        <v>2497.6900000000005</v>
      </c>
      <c r="H582" s="83"/>
      <c r="I582" s="83">
        <f>SUM(I562:I581)</f>
        <v>3047.1817999999994</v>
      </c>
      <c r="J582" s="83"/>
      <c r="K582" s="83">
        <f>SUM(K562)</f>
        <v>2712.1999999999989</v>
      </c>
      <c r="L582" s="83">
        <f>L578+L574+L570+L566+L562</f>
        <v>214.51999999999998</v>
      </c>
    </row>
    <row r="583" spans="1:12" x14ac:dyDescent="0.25">
      <c r="G583" s="87">
        <f>K582/G582</f>
        <v>1.0858833562211476</v>
      </c>
      <c r="L583" s="100">
        <f>(L562+L566+L570+L574+L578)/K582</f>
        <v>7.9094462060320073E-2</v>
      </c>
    </row>
    <row r="585" spans="1:12" ht="37.5" x14ac:dyDescent="0.25">
      <c r="A585" s="82" t="s">
        <v>9</v>
      </c>
      <c r="B585" s="83" t="s">
        <v>7</v>
      </c>
      <c r="C585" s="82" t="s">
        <v>8</v>
      </c>
      <c r="D585" s="102" t="s">
        <v>10</v>
      </c>
      <c r="E585" s="103" t="s">
        <v>2</v>
      </c>
      <c r="F585" s="82" t="s">
        <v>104</v>
      </c>
      <c r="G585" s="82" t="s">
        <v>3</v>
      </c>
      <c r="H585" s="82" t="s">
        <v>102</v>
      </c>
      <c r="I585" s="82" t="s">
        <v>101</v>
      </c>
      <c r="J585" s="82" t="s">
        <v>103</v>
      </c>
      <c r="K585" s="83" t="s">
        <v>6</v>
      </c>
      <c r="L585" s="83" t="s">
        <v>1</v>
      </c>
    </row>
    <row r="586" spans="1:12" x14ac:dyDescent="0.25">
      <c r="A586" s="511" t="s">
        <v>38</v>
      </c>
      <c r="B586" s="511" t="s">
        <v>44</v>
      </c>
      <c r="C586" s="95" t="s">
        <v>92</v>
      </c>
      <c r="D586" s="104">
        <v>0</v>
      </c>
      <c r="E586" s="105">
        <v>1</v>
      </c>
      <c r="F586" s="85" t="str">
        <f>LEFT(C586,3)&amp;D586&amp;E586</f>
        <v>B1601</v>
      </c>
      <c r="G586" s="85">
        <v>131.32</v>
      </c>
      <c r="H586" s="85">
        <v>142.66718842094684</v>
      </c>
      <c r="I586" s="85">
        <f>1.22*G586</f>
        <v>160.21039999999999</v>
      </c>
      <c r="J586" s="86">
        <v>76.728700000000003</v>
      </c>
      <c r="K586" s="512">
        <f>SUM(H586:H605)</f>
        <v>2702.17</v>
      </c>
      <c r="L586" s="510">
        <v>72.83</v>
      </c>
    </row>
    <row r="587" spans="1:12" x14ac:dyDescent="0.25">
      <c r="A587" s="511"/>
      <c r="B587" s="511"/>
      <c r="C587" s="95" t="s">
        <v>92</v>
      </c>
      <c r="D587" s="104">
        <v>0</v>
      </c>
      <c r="E587" s="105">
        <v>2</v>
      </c>
      <c r="F587" s="85" t="str">
        <f t="shared" ref="F587:F605" si="46">LEFT(C587,3)&amp;D587&amp;E587</f>
        <v>B1602</v>
      </c>
      <c r="G587" s="85">
        <v>128.28</v>
      </c>
      <c r="H587" s="85">
        <v>139.36450602070562</v>
      </c>
      <c r="I587" s="85">
        <f t="shared" ref="I587:I605" si="47">1.22*G587</f>
        <v>156.5016</v>
      </c>
      <c r="J587" s="86">
        <v>86.075999999999993</v>
      </c>
      <c r="K587" s="512"/>
      <c r="L587" s="510"/>
    </row>
    <row r="588" spans="1:12" x14ac:dyDescent="0.25">
      <c r="A588" s="511"/>
      <c r="B588" s="511"/>
      <c r="C588" s="95" t="s">
        <v>92</v>
      </c>
      <c r="D588" s="104">
        <v>0</v>
      </c>
      <c r="E588" s="105">
        <v>3</v>
      </c>
      <c r="F588" s="85" t="str">
        <f t="shared" si="46"/>
        <v>B1603</v>
      </c>
      <c r="G588" s="85">
        <v>125.03</v>
      </c>
      <c r="H588" s="85">
        <v>135.83367779676351</v>
      </c>
      <c r="I588" s="85">
        <f t="shared" si="47"/>
        <v>152.53659999999999</v>
      </c>
      <c r="J588" s="86">
        <v>85.509600000000006</v>
      </c>
      <c r="K588" s="512"/>
      <c r="L588" s="510"/>
    </row>
    <row r="589" spans="1:12" x14ac:dyDescent="0.25">
      <c r="A589" s="511"/>
      <c r="B589" s="511"/>
      <c r="C589" s="95" t="s">
        <v>92</v>
      </c>
      <c r="D589" s="104">
        <v>0</v>
      </c>
      <c r="E589" s="105">
        <v>4</v>
      </c>
      <c r="F589" s="85" t="str">
        <f t="shared" si="46"/>
        <v>B1604</v>
      </c>
      <c r="G589" s="85">
        <v>87.23</v>
      </c>
      <c r="H589" s="85">
        <v>94.767429530606108</v>
      </c>
      <c r="I589" s="85">
        <f t="shared" si="47"/>
        <v>106.42060000000001</v>
      </c>
      <c r="J589" s="86">
        <v>64.038600000000002</v>
      </c>
      <c r="K589" s="512"/>
      <c r="L589" s="510"/>
    </row>
    <row r="590" spans="1:12" x14ac:dyDescent="0.25">
      <c r="A590" s="511"/>
      <c r="B590" s="511"/>
      <c r="C590" s="95" t="s">
        <v>92</v>
      </c>
      <c r="D590" s="104">
        <v>1</v>
      </c>
      <c r="E590" s="105">
        <v>1</v>
      </c>
      <c r="F590" s="85" t="str">
        <f t="shared" si="46"/>
        <v>B1611</v>
      </c>
      <c r="G590" s="85">
        <v>132.94</v>
      </c>
      <c r="H590" s="85">
        <v>144.42717048949646</v>
      </c>
      <c r="I590" s="85">
        <f t="shared" si="47"/>
        <v>162.18680000000001</v>
      </c>
      <c r="J590" s="85"/>
      <c r="K590" s="512"/>
      <c r="L590" s="510">
        <v>46.21</v>
      </c>
    </row>
    <row r="591" spans="1:12" x14ac:dyDescent="0.25">
      <c r="A591" s="511"/>
      <c r="B591" s="511"/>
      <c r="C591" s="95" t="s">
        <v>92</v>
      </c>
      <c r="D591" s="104">
        <v>1</v>
      </c>
      <c r="E591" s="105">
        <v>2</v>
      </c>
      <c r="F591" s="85" t="str">
        <f t="shared" si="46"/>
        <v>B1612</v>
      </c>
      <c r="G591" s="85">
        <v>124.86</v>
      </c>
      <c r="H591" s="85">
        <v>135.64898832043423</v>
      </c>
      <c r="I591" s="85">
        <f t="shared" si="47"/>
        <v>152.32919999999999</v>
      </c>
      <c r="J591" s="85"/>
      <c r="K591" s="512"/>
      <c r="L591" s="510"/>
    </row>
    <row r="592" spans="1:12" x14ac:dyDescent="0.25">
      <c r="A592" s="511"/>
      <c r="B592" s="511"/>
      <c r="C592" s="95" t="s">
        <v>92</v>
      </c>
      <c r="D592" s="104">
        <v>1</v>
      </c>
      <c r="E592" s="105">
        <v>3</v>
      </c>
      <c r="F592" s="85" t="str">
        <f t="shared" si="46"/>
        <v>B1613</v>
      </c>
      <c r="G592" s="85">
        <v>121.66</v>
      </c>
      <c r="H592" s="85">
        <v>132.17248053070662</v>
      </c>
      <c r="I592" s="85">
        <f t="shared" si="47"/>
        <v>148.42519999999999</v>
      </c>
      <c r="J592" s="85"/>
      <c r="K592" s="512"/>
      <c r="L592" s="510"/>
    </row>
    <row r="593" spans="1:12" x14ac:dyDescent="0.25">
      <c r="A593" s="511"/>
      <c r="B593" s="511"/>
      <c r="C593" s="95" t="s">
        <v>92</v>
      </c>
      <c r="D593" s="104">
        <v>1</v>
      </c>
      <c r="E593" s="105">
        <v>4</v>
      </c>
      <c r="F593" s="85" t="str">
        <f t="shared" si="46"/>
        <v>B1614</v>
      </c>
      <c r="G593" s="85">
        <v>88.87</v>
      </c>
      <c r="H593" s="85">
        <v>96.549139772841514</v>
      </c>
      <c r="I593" s="85">
        <f t="shared" si="47"/>
        <v>108.42140000000001</v>
      </c>
      <c r="J593" s="85"/>
      <c r="K593" s="512"/>
      <c r="L593" s="510"/>
    </row>
    <row r="594" spans="1:12" x14ac:dyDescent="0.25">
      <c r="A594" s="511"/>
      <c r="B594" s="511"/>
      <c r="C594" s="95" t="s">
        <v>92</v>
      </c>
      <c r="D594" s="104">
        <v>2</v>
      </c>
      <c r="E594" s="105">
        <v>1</v>
      </c>
      <c r="F594" s="85" t="str">
        <f t="shared" si="46"/>
        <v>B1621</v>
      </c>
      <c r="G594" s="85">
        <v>131.41999999999999</v>
      </c>
      <c r="H594" s="85">
        <v>142.77582928937582</v>
      </c>
      <c r="I594" s="85">
        <f t="shared" si="47"/>
        <v>160.33239999999998</v>
      </c>
      <c r="J594" s="85"/>
      <c r="K594" s="512"/>
      <c r="L594" s="510">
        <v>31.99</v>
      </c>
    </row>
    <row r="595" spans="1:12" x14ac:dyDescent="0.25">
      <c r="A595" s="511"/>
      <c r="B595" s="511"/>
      <c r="C595" s="95" t="s">
        <v>92</v>
      </c>
      <c r="D595" s="104">
        <v>2</v>
      </c>
      <c r="E595" s="105">
        <v>2</v>
      </c>
      <c r="F595" s="85" t="str">
        <f t="shared" si="46"/>
        <v>B1622</v>
      </c>
      <c r="G595" s="85">
        <v>131.03</v>
      </c>
      <c r="H595" s="85">
        <v>142.35212990250278</v>
      </c>
      <c r="I595" s="85">
        <f t="shared" si="47"/>
        <v>159.85659999999999</v>
      </c>
      <c r="J595" s="85"/>
      <c r="K595" s="512"/>
      <c r="L595" s="510"/>
    </row>
    <row r="596" spans="1:12" x14ac:dyDescent="0.25">
      <c r="A596" s="511"/>
      <c r="B596" s="511"/>
      <c r="C596" s="95" t="s">
        <v>92</v>
      </c>
      <c r="D596" s="104">
        <v>2</v>
      </c>
      <c r="E596" s="105">
        <v>3</v>
      </c>
      <c r="F596" s="85" t="str">
        <f t="shared" si="46"/>
        <v>B1623</v>
      </c>
      <c r="G596" s="85">
        <v>126.89</v>
      </c>
      <c r="H596" s="85">
        <v>137.85439794954269</v>
      </c>
      <c r="I596" s="85">
        <f t="shared" si="47"/>
        <v>154.8058</v>
      </c>
      <c r="J596" s="85"/>
      <c r="K596" s="512"/>
      <c r="L596" s="510"/>
    </row>
    <row r="597" spans="1:12" x14ac:dyDescent="0.25">
      <c r="A597" s="511"/>
      <c r="B597" s="511"/>
      <c r="C597" s="95" t="s">
        <v>92</v>
      </c>
      <c r="D597" s="104">
        <v>2</v>
      </c>
      <c r="E597" s="105">
        <v>4</v>
      </c>
      <c r="F597" s="85" t="str">
        <f t="shared" si="46"/>
        <v>B1624</v>
      </c>
      <c r="G597" s="85">
        <v>126.99</v>
      </c>
      <c r="H597" s="85">
        <v>137.96303881797166</v>
      </c>
      <c r="I597" s="85">
        <f t="shared" si="47"/>
        <v>154.92779999999999</v>
      </c>
      <c r="J597" s="85"/>
      <c r="K597" s="512"/>
      <c r="L597" s="510"/>
    </row>
    <row r="598" spans="1:12" x14ac:dyDescent="0.25">
      <c r="A598" s="511"/>
      <c r="B598" s="511"/>
      <c r="C598" s="95" t="s">
        <v>92</v>
      </c>
      <c r="D598" s="104">
        <v>3</v>
      </c>
      <c r="E598" s="105">
        <v>1</v>
      </c>
      <c r="F598" s="85" t="str">
        <f t="shared" si="46"/>
        <v>B1631</v>
      </c>
      <c r="G598" s="85">
        <v>131.88</v>
      </c>
      <c r="H598" s="85">
        <v>143.27557728414919</v>
      </c>
      <c r="I598" s="85">
        <f t="shared" si="47"/>
        <v>160.89359999999999</v>
      </c>
      <c r="J598" s="85"/>
      <c r="K598" s="512"/>
      <c r="L598" s="510">
        <v>31.94</v>
      </c>
    </row>
    <row r="599" spans="1:12" x14ac:dyDescent="0.25">
      <c r="A599" s="511"/>
      <c r="B599" s="511"/>
      <c r="C599" s="95" t="s">
        <v>92</v>
      </c>
      <c r="D599" s="104">
        <v>3</v>
      </c>
      <c r="E599" s="105">
        <v>2</v>
      </c>
      <c r="F599" s="85" t="str">
        <f t="shared" si="46"/>
        <v>B1632</v>
      </c>
      <c r="G599" s="85">
        <v>131.02000000000001</v>
      </c>
      <c r="H599" s="85">
        <v>142.34126581565991</v>
      </c>
      <c r="I599" s="85">
        <f t="shared" si="47"/>
        <v>159.84440000000001</v>
      </c>
      <c r="J599" s="85"/>
      <c r="K599" s="512"/>
      <c r="L599" s="510"/>
    </row>
    <row r="600" spans="1:12" x14ac:dyDescent="0.25">
      <c r="A600" s="511"/>
      <c r="B600" s="511"/>
      <c r="C600" s="95" t="s">
        <v>92</v>
      </c>
      <c r="D600" s="104">
        <v>3</v>
      </c>
      <c r="E600" s="105">
        <v>3</v>
      </c>
      <c r="F600" s="85" t="str">
        <f t="shared" si="46"/>
        <v>B1633</v>
      </c>
      <c r="G600" s="85">
        <v>126.87</v>
      </c>
      <c r="H600" s="85">
        <v>137.83266977585691</v>
      </c>
      <c r="I600" s="85">
        <f t="shared" si="47"/>
        <v>154.78139999999999</v>
      </c>
      <c r="J600" s="85"/>
      <c r="K600" s="512"/>
      <c r="L600" s="510"/>
    </row>
    <row r="601" spans="1:12" x14ac:dyDescent="0.25">
      <c r="A601" s="511"/>
      <c r="B601" s="511"/>
      <c r="C601" s="95" t="s">
        <v>92</v>
      </c>
      <c r="D601" s="104">
        <v>3</v>
      </c>
      <c r="E601" s="105">
        <v>4</v>
      </c>
      <c r="F601" s="85" t="str">
        <f t="shared" si="46"/>
        <v>B1634</v>
      </c>
      <c r="G601" s="85">
        <v>127.41</v>
      </c>
      <c r="H601" s="85">
        <v>138.41933046537343</v>
      </c>
      <c r="I601" s="85">
        <f t="shared" si="47"/>
        <v>155.4402</v>
      </c>
      <c r="J601" s="85"/>
      <c r="K601" s="512"/>
      <c r="L601" s="510"/>
    </row>
    <row r="602" spans="1:12" x14ac:dyDescent="0.25">
      <c r="A602" s="511"/>
      <c r="B602" s="511"/>
      <c r="C602" s="95" t="s">
        <v>92</v>
      </c>
      <c r="D602" s="104">
        <v>4</v>
      </c>
      <c r="E602" s="105">
        <v>1</v>
      </c>
      <c r="F602" s="85" t="str">
        <f t="shared" si="46"/>
        <v>B1641</v>
      </c>
      <c r="G602" s="85">
        <v>129.59</v>
      </c>
      <c r="H602" s="85">
        <v>140.78770139712537</v>
      </c>
      <c r="I602" s="85">
        <f t="shared" si="47"/>
        <v>158.09979999999999</v>
      </c>
      <c r="J602" s="85"/>
      <c r="K602" s="512"/>
      <c r="L602" s="510">
        <v>31.95</v>
      </c>
    </row>
    <row r="603" spans="1:12" x14ac:dyDescent="0.25">
      <c r="A603" s="511"/>
      <c r="B603" s="511"/>
      <c r="C603" s="95" t="s">
        <v>92</v>
      </c>
      <c r="D603" s="104">
        <v>4</v>
      </c>
      <c r="E603" s="105">
        <v>2</v>
      </c>
      <c r="F603" s="85" t="str">
        <f t="shared" si="46"/>
        <v>B1642</v>
      </c>
      <c r="G603" s="85">
        <v>131.72</v>
      </c>
      <c r="H603" s="85">
        <v>143.10175189466281</v>
      </c>
      <c r="I603" s="85">
        <f t="shared" si="47"/>
        <v>160.69839999999999</v>
      </c>
      <c r="J603" s="85"/>
      <c r="K603" s="512"/>
      <c r="L603" s="510"/>
    </row>
    <row r="604" spans="1:12" x14ac:dyDescent="0.25">
      <c r="A604" s="511"/>
      <c r="B604" s="511"/>
      <c r="C604" s="95" t="s">
        <v>92</v>
      </c>
      <c r="D604" s="104">
        <v>4</v>
      </c>
      <c r="E604" s="105">
        <v>3</v>
      </c>
      <c r="F604" s="85" t="str">
        <f t="shared" si="46"/>
        <v>B1643</v>
      </c>
      <c r="G604" s="85">
        <v>127.12</v>
      </c>
      <c r="H604" s="85">
        <v>138.10427194692937</v>
      </c>
      <c r="I604" s="85">
        <f t="shared" si="47"/>
        <v>155.0864</v>
      </c>
      <c r="J604" s="85"/>
      <c r="K604" s="512"/>
      <c r="L604" s="510"/>
    </row>
    <row r="605" spans="1:12" x14ac:dyDescent="0.25">
      <c r="A605" s="511"/>
      <c r="B605" s="511"/>
      <c r="C605" s="95" t="s">
        <v>92</v>
      </c>
      <c r="D605" s="104">
        <v>4</v>
      </c>
      <c r="E605" s="105">
        <v>4</v>
      </c>
      <c r="F605" s="85" t="str">
        <f t="shared" si="46"/>
        <v>B1644</v>
      </c>
      <c r="G605" s="85">
        <v>125.12</v>
      </c>
      <c r="H605" s="85">
        <v>135.93145457834962</v>
      </c>
      <c r="I605" s="85">
        <f t="shared" si="47"/>
        <v>152.6464</v>
      </c>
      <c r="J605" s="85"/>
      <c r="K605" s="512"/>
      <c r="L605" s="510"/>
    </row>
    <row r="606" spans="1:12" x14ac:dyDescent="0.25">
      <c r="A606" s="83" t="s">
        <v>4</v>
      </c>
      <c r="B606" s="83"/>
      <c r="C606" s="83"/>
      <c r="D606" s="103"/>
      <c r="E606" s="103"/>
      <c r="F606" s="83"/>
      <c r="G606" s="83">
        <f>SUM(G586:G605)</f>
        <v>2487.2499999999995</v>
      </c>
      <c r="H606" s="83"/>
      <c r="I606" s="83">
        <f>SUM(I586:I605)</f>
        <v>3034.4450000000002</v>
      </c>
      <c r="J606" s="83"/>
      <c r="K606" s="83">
        <f>SUM(K586)</f>
        <v>2702.17</v>
      </c>
      <c r="L606" s="83">
        <f>L602+L598+L594+L590+L586</f>
        <v>214.92000000000002</v>
      </c>
    </row>
    <row r="607" spans="1:12" x14ac:dyDescent="0.25">
      <c r="A607" s="97"/>
      <c r="L607" s="99">
        <f>(L586+L590+L594+L598+L602)/K606</f>
        <v>7.9536076560690103E-2</v>
      </c>
    </row>
    <row r="609" spans="1:12" ht="37.5" x14ac:dyDescent="0.25">
      <c r="A609" s="82" t="s">
        <v>9</v>
      </c>
      <c r="B609" s="83" t="s">
        <v>7</v>
      </c>
      <c r="C609" s="82" t="s">
        <v>8</v>
      </c>
      <c r="D609" s="102" t="s">
        <v>10</v>
      </c>
      <c r="E609" s="103" t="s">
        <v>2</v>
      </c>
      <c r="F609" s="82" t="s">
        <v>104</v>
      </c>
      <c r="G609" s="82" t="s">
        <v>3</v>
      </c>
      <c r="H609" s="82" t="s">
        <v>102</v>
      </c>
      <c r="I609" s="82" t="s">
        <v>101</v>
      </c>
      <c r="J609" s="82" t="s">
        <v>103</v>
      </c>
      <c r="K609" s="83" t="s">
        <v>6</v>
      </c>
      <c r="L609" s="83" t="s">
        <v>1</v>
      </c>
    </row>
    <row r="610" spans="1:12" x14ac:dyDescent="0.25">
      <c r="A610" s="511" t="s">
        <v>38</v>
      </c>
      <c r="B610" s="511" t="s">
        <v>44</v>
      </c>
      <c r="C610" s="95" t="s">
        <v>91</v>
      </c>
      <c r="D610" s="104">
        <v>0</v>
      </c>
      <c r="E610" s="105">
        <v>1</v>
      </c>
      <c r="F610" s="85" t="str">
        <f>LEFT(C610,3)&amp;D610&amp;E610</f>
        <v>B1701</v>
      </c>
      <c r="G610" s="85">
        <v>131.34</v>
      </c>
      <c r="H610" s="85">
        <v>142.61992000608555</v>
      </c>
      <c r="I610" s="85">
        <f>1.22*G610</f>
        <v>160.23480000000001</v>
      </c>
      <c r="J610" s="86">
        <v>75.3416</v>
      </c>
      <c r="K610" s="512">
        <f>SUM(H610:H629)</f>
        <v>2712.1999999999985</v>
      </c>
      <c r="L610" s="510">
        <v>72.63</v>
      </c>
    </row>
    <row r="611" spans="1:12" x14ac:dyDescent="0.25">
      <c r="A611" s="511"/>
      <c r="B611" s="511"/>
      <c r="C611" s="95" t="s">
        <v>91</v>
      </c>
      <c r="D611" s="104">
        <v>0</v>
      </c>
      <c r="E611" s="105">
        <v>2</v>
      </c>
      <c r="F611" s="85" t="str">
        <f t="shared" ref="F611:F629" si="48">LEFT(C611,3)&amp;D611&amp;E611</f>
        <v>B1702</v>
      </c>
      <c r="G611" s="85">
        <v>129.57</v>
      </c>
      <c r="H611" s="85">
        <v>140.69790646557411</v>
      </c>
      <c r="I611" s="85">
        <f t="shared" ref="I611:I629" si="49">1.22*G611</f>
        <v>158.0754</v>
      </c>
      <c r="J611" s="86">
        <v>84.036199999999994</v>
      </c>
      <c r="K611" s="512"/>
      <c r="L611" s="510"/>
    </row>
    <row r="612" spans="1:12" x14ac:dyDescent="0.25">
      <c r="A612" s="511"/>
      <c r="B612" s="511"/>
      <c r="C612" s="95" t="s">
        <v>91</v>
      </c>
      <c r="D612" s="104">
        <v>0</v>
      </c>
      <c r="E612" s="105">
        <v>3</v>
      </c>
      <c r="F612" s="85" t="str">
        <f t="shared" si="48"/>
        <v>B1703</v>
      </c>
      <c r="G612" s="85">
        <v>125.09</v>
      </c>
      <c r="H612" s="85">
        <v>135.83314902970338</v>
      </c>
      <c r="I612" s="85">
        <f t="shared" si="49"/>
        <v>152.60980000000001</v>
      </c>
      <c r="J612" s="86">
        <v>85.562899999999999</v>
      </c>
      <c r="K612" s="512"/>
      <c r="L612" s="510"/>
    </row>
    <row r="613" spans="1:12" x14ac:dyDescent="0.25">
      <c r="A613" s="511"/>
      <c r="B613" s="511"/>
      <c r="C613" s="95" t="s">
        <v>91</v>
      </c>
      <c r="D613" s="104">
        <v>0</v>
      </c>
      <c r="E613" s="105">
        <v>4</v>
      </c>
      <c r="F613" s="85" t="str">
        <f t="shared" si="48"/>
        <v>B1704</v>
      </c>
      <c r="G613" s="85">
        <v>87.23</v>
      </c>
      <c r="H613" s="85">
        <v>94.721605163170736</v>
      </c>
      <c r="I613" s="85">
        <f t="shared" si="49"/>
        <v>106.42060000000001</v>
      </c>
      <c r="J613" s="86">
        <v>63.087899999999998</v>
      </c>
      <c r="K613" s="512"/>
      <c r="L613" s="510"/>
    </row>
    <row r="614" spans="1:12" x14ac:dyDescent="0.25">
      <c r="A614" s="511"/>
      <c r="B614" s="511"/>
      <c r="C614" s="95" t="s">
        <v>91</v>
      </c>
      <c r="D614" s="104">
        <v>1</v>
      </c>
      <c r="E614" s="105">
        <v>1</v>
      </c>
      <c r="F614" s="85" t="str">
        <f t="shared" si="48"/>
        <v>B1711</v>
      </c>
      <c r="G614" s="85">
        <v>129.04</v>
      </c>
      <c r="H614" s="85">
        <v>140.1223882867769</v>
      </c>
      <c r="I614" s="85">
        <f t="shared" si="49"/>
        <v>157.4288</v>
      </c>
      <c r="J614" s="85"/>
      <c r="K614" s="512"/>
      <c r="L614" s="510">
        <v>46.11</v>
      </c>
    </row>
    <row r="615" spans="1:12" x14ac:dyDescent="0.25">
      <c r="A615" s="511"/>
      <c r="B615" s="511"/>
      <c r="C615" s="95" t="s">
        <v>91</v>
      </c>
      <c r="D615" s="104">
        <v>1</v>
      </c>
      <c r="E615" s="105">
        <v>2</v>
      </c>
      <c r="F615" s="85" t="str">
        <f t="shared" si="48"/>
        <v>B1712</v>
      </c>
      <c r="G615" s="85">
        <v>131.43</v>
      </c>
      <c r="H615" s="85">
        <v>142.71764950814546</v>
      </c>
      <c r="I615" s="85">
        <f t="shared" si="49"/>
        <v>160.34460000000001</v>
      </c>
      <c r="J615" s="85"/>
      <c r="K615" s="512"/>
      <c r="L615" s="510"/>
    </row>
    <row r="616" spans="1:12" x14ac:dyDescent="0.25">
      <c r="A616" s="511"/>
      <c r="B616" s="511"/>
      <c r="C616" s="95" t="s">
        <v>91</v>
      </c>
      <c r="D616" s="104">
        <v>1</v>
      </c>
      <c r="E616" s="105">
        <v>3</v>
      </c>
      <c r="F616" s="85" t="str">
        <f t="shared" si="48"/>
        <v>B1713</v>
      </c>
      <c r="G616" s="85">
        <v>127.14</v>
      </c>
      <c r="H616" s="85">
        <v>138.05920990995673</v>
      </c>
      <c r="I616" s="85">
        <f t="shared" si="49"/>
        <v>155.11079999999998</v>
      </c>
      <c r="J616" s="85"/>
      <c r="K616" s="512"/>
      <c r="L616" s="510"/>
    </row>
    <row r="617" spans="1:12" x14ac:dyDescent="0.25">
      <c r="A617" s="511"/>
      <c r="B617" s="511"/>
      <c r="C617" s="95" t="s">
        <v>91</v>
      </c>
      <c r="D617" s="104">
        <v>1</v>
      </c>
      <c r="E617" s="105">
        <v>4</v>
      </c>
      <c r="F617" s="85" t="str">
        <f t="shared" si="48"/>
        <v>B1714</v>
      </c>
      <c r="G617" s="85">
        <v>88.87</v>
      </c>
      <c r="H617" s="85">
        <v>96.502453867373418</v>
      </c>
      <c r="I617" s="85">
        <f t="shared" si="49"/>
        <v>108.42140000000001</v>
      </c>
      <c r="J617" s="85"/>
      <c r="K617" s="512"/>
      <c r="L617" s="510"/>
    </row>
    <row r="618" spans="1:12" x14ac:dyDescent="0.25">
      <c r="A618" s="511"/>
      <c r="B618" s="511"/>
      <c r="C618" s="95" t="s">
        <v>91</v>
      </c>
      <c r="D618" s="104">
        <v>2</v>
      </c>
      <c r="E618" s="105">
        <v>1</v>
      </c>
      <c r="F618" s="85" t="str">
        <f t="shared" si="48"/>
        <v>B1721</v>
      </c>
      <c r="G618" s="85">
        <v>131.43</v>
      </c>
      <c r="H618" s="85">
        <v>142.71764950814546</v>
      </c>
      <c r="I618" s="85">
        <f t="shared" si="49"/>
        <v>160.34460000000001</v>
      </c>
      <c r="J618" s="85"/>
      <c r="K618" s="512"/>
      <c r="L618" s="510">
        <v>31.98</v>
      </c>
    </row>
    <row r="619" spans="1:12" x14ac:dyDescent="0.25">
      <c r="A619" s="511"/>
      <c r="B619" s="511"/>
      <c r="C619" s="95" t="s">
        <v>91</v>
      </c>
      <c r="D619" s="104">
        <v>2</v>
      </c>
      <c r="E619" s="105">
        <v>2</v>
      </c>
      <c r="F619" s="85" t="str">
        <f t="shared" si="48"/>
        <v>B1722</v>
      </c>
      <c r="G619" s="85">
        <v>131.44</v>
      </c>
      <c r="H619" s="85">
        <v>142.72850834170768</v>
      </c>
      <c r="I619" s="85">
        <f t="shared" si="49"/>
        <v>160.35679999999999</v>
      </c>
      <c r="J619" s="85"/>
      <c r="K619" s="512"/>
      <c r="L619" s="510"/>
    </row>
    <row r="620" spans="1:12" x14ac:dyDescent="0.25">
      <c r="A620" s="511"/>
      <c r="B620" s="511"/>
      <c r="C620" s="95" t="s">
        <v>91</v>
      </c>
      <c r="D620" s="104">
        <v>2</v>
      </c>
      <c r="E620" s="105">
        <v>3</v>
      </c>
      <c r="F620" s="85" t="str">
        <f t="shared" si="48"/>
        <v>B1723</v>
      </c>
      <c r="G620" s="85">
        <v>126.95</v>
      </c>
      <c r="H620" s="85">
        <v>137.85289207227473</v>
      </c>
      <c r="I620" s="85">
        <f t="shared" si="49"/>
        <v>154.87899999999999</v>
      </c>
      <c r="J620" s="85"/>
      <c r="K620" s="512"/>
      <c r="L620" s="510"/>
    </row>
    <row r="621" spans="1:12" x14ac:dyDescent="0.25">
      <c r="A621" s="511"/>
      <c r="B621" s="511"/>
      <c r="C621" s="95" t="s">
        <v>91</v>
      </c>
      <c r="D621" s="104">
        <v>2</v>
      </c>
      <c r="E621" s="105">
        <v>4</v>
      </c>
      <c r="F621" s="85" t="str">
        <f t="shared" si="48"/>
        <v>B1724</v>
      </c>
      <c r="G621" s="85">
        <v>127.15</v>
      </c>
      <c r="H621" s="85">
        <v>138.07006874351896</v>
      </c>
      <c r="I621" s="85">
        <f t="shared" si="49"/>
        <v>155.12299999999999</v>
      </c>
      <c r="J621" s="85"/>
      <c r="K621" s="512"/>
      <c r="L621" s="510"/>
    </row>
    <row r="622" spans="1:12" x14ac:dyDescent="0.25">
      <c r="A622" s="511"/>
      <c r="B622" s="511"/>
      <c r="C622" s="95" t="s">
        <v>91</v>
      </c>
      <c r="D622" s="104">
        <v>3</v>
      </c>
      <c r="E622" s="105">
        <v>1</v>
      </c>
      <c r="F622" s="85" t="str">
        <f t="shared" si="48"/>
        <v>B1731</v>
      </c>
      <c r="G622" s="85">
        <v>131.88</v>
      </c>
      <c r="H622" s="85">
        <v>143.20629701844499</v>
      </c>
      <c r="I622" s="85">
        <f t="shared" si="49"/>
        <v>160.89359999999999</v>
      </c>
      <c r="J622" s="85"/>
      <c r="K622" s="512"/>
      <c r="L622" s="510">
        <v>31.9</v>
      </c>
    </row>
    <row r="623" spans="1:12" x14ac:dyDescent="0.25">
      <c r="A623" s="511"/>
      <c r="B623" s="511"/>
      <c r="C623" s="95" t="s">
        <v>91</v>
      </c>
      <c r="D623" s="104">
        <v>3</v>
      </c>
      <c r="E623" s="105">
        <v>2</v>
      </c>
      <c r="F623" s="85" t="str">
        <f t="shared" si="48"/>
        <v>B1732</v>
      </c>
      <c r="G623" s="85">
        <v>131.43</v>
      </c>
      <c r="H623" s="85">
        <v>142.71764950814546</v>
      </c>
      <c r="I623" s="85">
        <f t="shared" si="49"/>
        <v>160.34460000000001</v>
      </c>
      <c r="J623" s="85"/>
      <c r="K623" s="512"/>
      <c r="L623" s="510"/>
    </row>
    <row r="624" spans="1:12" x14ac:dyDescent="0.25">
      <c r="A624" s="511"/>
      <c r="B624" s="511"/>
      <c r="C624" s="95" t="s">
        <v>91</v>
      </c>
      <c r="D624" s="104">
        <v>3</v>
      </c>
      <c r="E624" s="105">
        <v>3</v>
      </c>
      <c r="F624" s="85" t="str">
        <f t="shared" si="48"/>
        <v>B1733</v>
      </c>
      <c r="G624" s="85">
        <v>126.97</v>
      </c>
      <c r="H624" s="85">
        <v>137.87460973939915</v>
      </c>
      <c r="I624" s="85">
        <f t="shared" si="49"/>
        <v>154.9034</v>
      </c>
      <c r="J624" s="85"/>
      <c r="K624" s="512"/>
      <c r="L624" s="510"/>
    </row>
    <row r="625" spans="1:12" x14ac:dyDescent="0.25">
      <c r="A625" s="511"/>
      <c r="B625" s="511"/>
      <c r="C625" s="95" t="s">
        <v>91</v>
      </c>
      <c r="D625" s="104">
        <v>3</v>
      </c>
      <c r="E625" s="105">
        <v>4</v>
      </c>
      <c r="F625" s="85" t="str">
        <f t="shared" si="48"/>
        <v>B1734</v>
      </c>
      <c r="G625" s="85">
        <v>127.45</v>
      </c>
      <c r="H625" s="85">
        <v>138.39583375038529</v>
      </c>
      <c r="I625" s="85">
        <f t="shared" si="49"/>
        <v>155.489</v>
      </c>
      <c r="J625" s="85"/>
      <c r="K625" s="512"/>
      <c r="L625" s="510"/>
    </row>
    <row r="626" spans="1:12" x14ac:dyDescent="0.25">
      <c r="A626" s="511"/>
      <c r="B626" s="511"/>
      <c r="C626" s="95" t="s">
        <v>91</v>
      </c>
      <c r="D626" s="104">
        <v>4</v>
      </c>
      <c r="E626" s="105">
        <v>1</v>
      </c>
      <c r="F626" s="85" t="str">
        <f t="shared" si="48"/>
        <v>B1741</v>
      </c>
      <c r="G626" s="85">
        <v>129.58000000000001</v>
      </c>
      <c r="H626" s="85">
        <v>140.70876529913636</v>
      </c>
      <c r="I626" s="85">
        <f t="shared" si="49"/>
        <v>158.08760000000001</v>
      </c>
      <c r="J626" s="85"/>
      <c r="K626" s="512"/>
      <c r="L626" s="510">
        <v>31.9</v>
      </c>
    </row>
    <row r="627" spans="1:12" x14ac:dyDescent="0.25">
      <c r="A627" s="511"/>
      <c r="B627" s="511"/>
      <c r="C627" s="95" t="s">
        <v>91</v>
      </c>
      <c r="D627" s="104">
        <v>4</v>
      </c>
      <c r="E627" s="105">
        <v>2</v>
      </c>
      <c r="F627" s="85" t="str">
        <f t="shared" si="48"/>
        <v>B1742</v>
      </c>
      <c r="G627" s="85">
        <v>131.38</v>
      </c>
      <c r="H627" s="85">
        <v>142.66335534033439</v>
      </c>
      <c r="I627" s="85">
        <f t="shared" si="49"/>
        <v>160.28359999999998</v>
      </c>
      <c r="J627" s="85"/>
      <c r="K627" s="512"/>
      <c r="L627" s="510"/>
    </row>
    <row r="628" spans="1:12" x14ac:dyDescent="0.25">
      <c r="A628" s="511"/>
      <c r="B628" s="511"/>
      <c r="C628" s="95" t="s">
        <v>91</v>
      </c>
      <c r="D628" s="104">
        <v>4</v>
      </c>
      <c r="E628" s="105">
        <v>3</v>
      </c>
      <c r="F628" s="85" t="str">
        <f t="shared" si="48"/>
        <v>B1743</v>
      </c>
      <c r="G628" s="85">
        <v>127.19</v>
      </c>
      <c r="H628" s="85">
        <v>138.1135040777678</v>
      </c>
      <c r="I628" s="85">
        <f t="shared" si="49"/>
        <v>155.17179999999999</v>
      </c>
      <c r="J628" s="85"/>
      <c r="K628" s="512"/>
      <c r="L628" s="510"/>
    </row>
    <row r="629" spans="1:12" x14ac:dyDescent="0.25">
      <c r="A629" s="511"/>
      <c r="B629" s="511"/>
      <c r="C629" s="95" t="s">
        <v>91</v>
      </c>
      <c r="D629" s="104">
        <v>4</v>
      </c>
      <c r="E629" s="105">
        <v>4</v>
      </c>
      <c r="F629" s="85" t="str">
        <f t="shared" si="48"/>
        <v>B1744</v>
      </c>
      <c r="G629" s="85">
        <v>125.13</v>
      </c>
      <c r="H629" s="85">
        <v>135.87658436395222</v>
      </c>
      <c r="I629" s="85">
        <f t="shared" si="49"/>
        <v>152.65859999999998</v>
      </c>
      <c r="J629" s="85"/>
      <c r="K629" s="512"/>
      <c r="L629" s="510"/>
    </row>
    <row r="630" spans="1:12" x14ac:dyDescent="0.25">
      <c r="A630" s="83" t="s">
        <v>4</v>
      </c>
      <c r="B630" s="83"/>
      <c r="C630" s="83"/>
      <c r="D630" s="103"/>
      <c r="E630" s="103"/>
      <c r="F630" s="83"/>
      <c r="G630" s="83">
        <f>SUM(G610:G629)</f>
        <v>2497.690000000001</v>
      </c>
      <c r="H630" s="83"/>
      <c r="I630" s="83"/>
      <c r="J630" s="83"/>
      <c r="K630" s="83">
        <f>SUM(K610)</f>
        <v>2712.1999999999985</v>
      </c>
      <c r="L630" s="83">
        <f>L626+L622+L618+L614+L610</f>
        <v>214.51999999999998</v>
      </c>
    </row>
    <row r="631" spans="1:12" x14ac:dyDescent="0.25">
      <c r="A631" s="97"/>
      <c r="L631" s="99">
        <f>(L610+L614+L618+L622+L626)/K630</f>
        <v>7.9094462060320087E-2</v>
      </c>
    </row>
    <row r="633" spans="1:12" ht="37.5" x14ac:dyDescent="0.25">
      <c r="A633" s="82" t="s">
        <v>9</v>
      </c>
      <c r="B633" s="83" t="s">
        <v>7</v>
      </c>
      <c r="C633" s="82" t="s">
        <v>8</v>
      </c>
      <c r="D633" s="102" t="s">
        <v>10</v>
      </c>
      <c r="E633" s="103" t="s">
        <v>2</v>
      </c>
      <c r="F633" s="82" t="s">
        <v>104</v>
      </c>
      <c r="G633" s="82" t="s">
        <v>3</v>
      </c>
      <c r="H633" s="82" t="s">
        <v>102</v>
      </c>
      <c r="I633" s="82" t="s">
        <v>101</v>
      </c>
      <c r="J633" s="82" t="s">
        <v>103</v>
      </c>
      <c r="K633" s="83" t="s">
        <v>6</v>
      </c>
      <c r="L633" s="83" t="s">
        <v>1</v>
      </c>
    </row>
    <row r="634" spans="1:12" x14ac:dyDescent="0.25">
      <c r="A634" s="511" t="s">
        <v>31</v>
      </c>
      <c r="B634" s="511" t="s">
        <v>40</v>
      </c>
      <c r="C634" s="95" t="s">
        <v>97</v>
      </c>
      <c r="D634" s="104">
        <v>0</v>
      </c>
      <c r="E634" s="105">
        <v>1</v>
      </c>
      <c r="F634" s="85" t="str">
        <f>LEFT(C634,3)&amp;D634&amp;E634</f>
        <v>B1801</v>
      </c>
      <c r="G634" s="85">
        <v>94.92</v>
      </c>
      <c r="H634" s="85">
        <v>105.12823941945527</v>
      </c>
      <c r="I634" s="85">
        <f>G634*1.22</f>
        <v>115.80240000000001</v>
      </c>
      <c r="J634" s="86">
        <v>62.982999999999997</v>
      </c>
      <c r="K634" s="512">
        <f>SUM(H634:H653)</f>
        <v>3408.0399999999995</v>
      </c>
      <c r="L634" s="510">
        <v>99.03</v>
      </c>
    </row>
    <row r="635" spans="1:12" x14ac:dyDescent="0.25">
      <c r="A635" s="511"/>
      <c r="B635" s="511"/>
      <c r="C635" s="95" t="s">
        <v>97</v>
      </c>
      <c r="D635" s="104">
        <v>0</v>
      </c>
      <c r="E635" s="105">
        <v>2</v>
      </c>
      <c r="F635" s="85" t="str">
        <f t="shared" ref="F635:F653" si="50">LEFT(C635,3)&amp;D635&amp;E635</f>
        <v>B1802</v>
      </c>
      <c r="G635" s="85">
        <v>163.35</v>
      </c>
      <c r="H635" s="85">
        <v>180.91759280623702</v>
      </c>
      <c r="I635" s="85">
        <f t="shared" ref="I635:I653" si="51">G635*1.22</f>
        <v>199.28699999999998</v>
      </c>
      <c r="J635" s="86">
        <v>76.321799999999996</v>
      </c>
      <c r="K635" s="512"/>
      <c r="L635" s="510"/>
    </row>
    <row r="636" spans="1:12" x14ac:dyDescent="0.25">
      <c r="A636" s="511"/>
      <c r="B636" s="511"/>
      <c r="C636" s="95" t="s">
        <v>97</v>
      </c>
      <c r="D636" s="104">
        <v>0</v>
      </c>
      <c r="E636" s="105">
        <v>3</v>
      </c>
      <c r="F636" s="85" t="str">
        <f t="shared" si="50"/>
        <v>B1803</v>
      </c>
      <c r="G636" s="85">
        <v>183.89</v>
      </c>
      <c r="H636" s="85">
        <v>203.66658182515411</v>
      </c>
      <c r="I636" s="85">
        <f t="shared" si="51"/>
        <v>224.34579999999997</v>
      </c>
      <c r="J636" s="86">
        <v>61.571399999999997</v>
      </c>
      <c r="K636" s="512"/>
      <c r="L636" s="510"/>
    </row>
    <row r="637" spans="1:12" x14ac:dyDescent="0.25">
      <c r="A637" s="511"/>
      <c r="B637" s="511"/>
      <c r="C637" s="95" t="s">
        <v>97</v>
      </c>
      <c r="D637" s="104">
        <v>0</v>
      </c>
      <c r="E637" s="105">
        <v>4</v>
      </c>
      <c r="F637" s="85" t="str">
        <f t="shared" si="50"/>
        <v>B1804</v>
      </c>
      <c r="G637" s="85">
        <v>144.21</v>
      </c>
      <c r="H637" s="85">
        <v>159.71916779055672</v>
      </c>
      <c r="I637" s="85">
        <f t="shared" si="51"/>
        <v>175.93620000000001</v>
      </c>
      <c r="J637" s="86">
        <v>85.360500000000002</v>
      </c>
      <c r="K637" s="512"/>
      <c r="L637" s="510"/>
    </row>
    <row r="638" spans="1:12" x14ac:dyDescent="0.25">
      <c r="A638" s="511"/>
      <c r="B638" s="511"/>
      <c r="C638" s="95" t="s">
        <v>97</v>
      </c>
      <c r="D638" s="104">
        <v>1</v>
      </c>
      <c r="E638" s="105">
        <v>1</v>
      </c>
      <c r="F638" s="85" t="str">
        <f t="shared" si="50"/>
        <v>B1811</v>
      </c>
      <c r="G638" s="85">
        <v>96.29</v>
      </c>
      <c r="H638" s="85">
        <v>106.64557705119415</v>
      </c>
      <c r="I638" s="85">
        <f t="shared" si="51"/>
        <v>117.47380000000001</v>
      </c>
      <c r="J638" s="85"/>
      <c r="K638" s="512"/>
      <c r="L638" s="510">
        <v>73.14</v>
      </c>
    </row>
    <row r="639" spans="1:12" x14ac:dyDescent="0.25">
      <c r="A639" s="511"/>
      <c r="B639" s="511"/>
      <c r="C639" s="95" t="s">
        <v>97</v>
      </c>
      <c r="D639" s="104">
        <v>1</v>
      </c>
      <c r="E639" s="105">
        <v>2</v>
      </c>
      <c r="F639" s="85" t="str">
        <f t="shared" si="50"/>
        <v>B1812</v>
      </c>
      <c r="G639" s="85">
        <v>163.05000000000001</v>
      </c>
      <c r="H639" s="85">
        <v>180.58532909125773</v>
      </c>
      <c r="I639" s="85">
        <f t="shared" si="51"/>
        <v>198.92100000000002</v>
      </c>
      <c r="J639" s="85"/>
      <c r="K639" s="512"/>
      <c r="L639" s="510"/>
    </row>
    <row r="640" spans="1:12" x14ac:dyDescent="0.25">
      <c r="A640" s="511"/>
      <c r="B640" s="511"/>
      <c r="C640" s="95" t="s">
        <v>97</v>
      </c>
      <c r="D640" s="104">
        <v>1</v>
      </c>
      <c r="E640" s="105">
        <v>3</v>
      </c>
      <c r="F640" s="85" t="str">
        <f t="shared" si="50"/>
        <v>B1813</v>
      </c>
      <c r="G640" s="85">
        <v>183.59</v>
      </c>
      <c r="H640" s="85">
        <v>203.33431811017482</v>
      </c>
      <c r="I640" s="85">
        <f t="shared" si="51"/>
        <v>223.97980000000001</v>
      </c>
      <c r="J640" s="85"/>
      <c r="K640" s="512"/>
      <c r="L640" s="510"/>
    </row>
    <row r="641" spans="1:12" x14ac:dyDescent="0.25">
      <c r="A641" s="511"/>
      <c r="B641" s="511"/>
      <c r="C641" s="95" t="s">
        <v>97</v>
      </c>
      <c r="D641" s="104">
        <v>1</v>
      </c>
      <c r="E641" s="105">
        <v>4</v>
      </c>
      <c r="F641" s="85" t="str">
        <f t="shared" si="50"/>
        <v>B1814</v>
      </c>
      <c r="G641" s="85">
        <v>141.59</v>
      </c>
      <c r="H641" s="85">
        <v>156.81739801307072</v>
      </c>
      <c r="I641" s="85">
        <f t="shared" si="51"/>
        <v>172.7398</v>
      </c>
      <c r="J641" s="85"/>
      <c r="K641" s="512"/>
      <c r="L641" s="510"/>
    </row>
    <row r="642" spans="1:12" x14ac:dyDescent="0.25">
      <c r="A642" s="511"/>
      <c r="B642" s="511"/>
      <c r="C642" s="95" t="s">
        <v>97</v>
      </c>
      <c r="D642" s="104">
        <v>2</v>
      </c>
      <c r="E642" s="105">
        <v>1</v>
      </c>
      <c r="F642" s="85" t="str">
        <f t="shared" si="50"/>
        <v>B1821</v>
      </c>
      <c r="G642" s="85">
        <v>141.15</v>
      </c>
      <c r="H642" s="85">
        <v>156.33007789776772</v>
      </c>
      <c r="I642" s="85">
        <f t="shared" si="51"/>
        <v>172.203</v>
      </c>
      <c r="J642" s="85"/>
      <c r="K642" s="512"/>
      <c r="L642" s="510">
        <v>52.92</v>
      </c>
    </row>
    <row r="643" spans="1:12" x14ac:dyDescent="0.25">
      <c r="A643" s="511"/>
      <c r="B643" s="511"/>
      <c r="C643" s="95" t="s">
        <v>97</v>
      </c>
      <c r="D643" s="104">
        <v>2</v>
      </c>
      <c r="E643" s="105">
        <v>2</v>
      </c>
      <c r="F643" s="85" t="str">
        <f t="shared" si="50"/>
        <v>B1822</v>
      </c>
      <c r="G643" s="85">
        <v>167.88</v>
      </c>
      <c r="H643" s="85">
        <v>185.93477490242469</v>
      </c>
      <c r="I643" s="85">
        <f t="shared" si="51"/>
        <v>204.81359999999998</v>
      </c>
      <c r="J643" s="85"/>
      <c r="K643" s="512"/>
      <c r="L643" s="510"/>
    </row>
    <row r="644" spans="1:12" x14ac:dyDescent="0.25">
      <c r="A644" s="511"/>
      <c r="B644" s="511"/>
      <c r="C644" s="95" t="s">
        <v>97</v>
      </c>
      <c r="D644" s="104">
        <v>2</v>
      </c>
      <c r="E644" s="105">
        <v>3</v>
      </c>
      <c r="F644" s="85" t="str">
        <f t="shared" si="50"/>
        <v>B1823</v>
      </c>
      <c r="G644" s="85">
        <v>187.09</v>
      </c>
      <c r="H644" s="85">
        <v>207.21072811826681</v>
      </c>
      <c r="I644" s="85">
        <f t="shared" si="51"/>
        <v>228.24979999999999</v>
      </c>
      <c r="J644" s="85"/>
      <c r="K644" s="512"/>
      <c r="L644" s="510"/>
    </row>
    <row r="645" spans="1:12" x14ac:dyDescent="0.25">
      <c r="A645" s="511"/>
      <c r="B645" s="511"/>
      <c r="C645" s="95" t="s">
        <v>97</v>
      </c>
      <c r="D645" s="104">
        <v>2</v>
      </c>
      <c r="E645" s="105">
        <v>4</v>
      </c>
      <c r="F645" s="85" t="str">
        <f t="shared" si="50"/>
        <v>B1824</v>
      </c>
      <c r="G645" s="85">
        <v>143.97</v>
      </c>
      <c r="H645" s="85">
        <v>159.45335681857327</v>
      </c>
      <c r="I645" s="85">
        <f t="shared" si="51"/>
        <v>175.64339999999999</v>
      </c>
      <c r="J645" s="85"/>
      <c r="K645" s="512"/>
      <c r="L645" s="510"/>
    </row>
    <row r="646" spans="1:12" x14ac:dyDescent="0.25">
      <c r="A646" s="511"/>
      <c r="B646" s="511"/>
      <c r="C646" s="95" t="s">
        <v>97</v>
      </c>
      <c r="D646" s="104">
        <v>3</v>
      </c>
      <c r="E646" s="105">
        <v>1</v>
      </c>
      <c r="F646" s="85" t="str">
        <f t="shared" si="50"/>
        <v>B1831</v>
      </c>
      <c r="G646" s="85">
        <v>141.38999999999999</v>
      </c>
      <c r="H646" s="85">
        <v>156.59588886975115</v>
      </c>
      <c r="I646" s="85">
        <f t="shared" si="51"/>
        <v>172.49579999999997</v>
      </c>
      <c r="J646" s="85"/>
      <c r="K646" s="512"/>
      <c r="L646" s="510">
        <v>52.92</v>
      </c>
    </row>
    <row r="647" spans="1:12" x14ac:dyDescent="0.25">
      <c r="A647" s="511"/>
      <c r="B647" s="511"/>
      <c r="C647" s="95" t="s">
        <v>97</v>
      </c>
      <c r="D647" s="104">
        <v>3</v>
      </c>
      <c r="E647" s="105">
        <v>2</v>
      </c>
      <c r="F647" s="85" t="str">
        <f t="shared" si="50"/>
        <v>B1832</v>
      </c>
      <c r="G647" s="85">
        <v>165.71</v>
      </c>
      <c r="H647" s="85">
        <v>183.53140069740763</v>
      </c>
      <c r="I647" s="85">
        <f t="shared" si="51"/>
        <v>202.1662</v>
      </c>
      <c r="J647" s="85"/>
      <c r="K647" s="512"/>
      <c r="L647" s="510"/>
    </row>
    <row r="648" spans="1:12" x14ac:dyDescent="0.25">
      <c r="A648" s="511"/>
      <c r="B648" s="511"/>
      <c r="C648" s="95" t="s">
        <v>97</v>
      </c>
      <c r="D648" s="104">
        <v>3</v>
      </c>
      <c r="E648" s="105">
        <v>3</v>
      </c>
      <c r="F648" s="85" t="str">
        <f t="shared" si="50"/>
        <v>B1833</v>
      </c>
      <c r="G648" s="85">
        <v>187.91</v>
      </c>
      <c r="H648" s="85">
        <v>208.11891560587694</v>
      </c>
      <c r="I648" s="85">
        <f t="shared" si="51"/>
        <v>229.25019999999998</v>
      </c>
      <c r="J648" s="85"/>
      <c r="K648" s="512"/>
      <c r="L648" s="510"/>
    </row>
    <row r="649" spans="1:12" x14ac:dyDescent="0.25">
      <c r="A649" s="511"/>
      <c r="B649" s="511"/>
      <c r="C649" s="95" t="s">
        <v>97</v>
      </c>
      <c r="D649" s="104">
        <v>3</v>
      </c>
      <c r="E649" s="105">
        <v>4</v>
      </c>
      <c r="F649" s="85" t="str">
        <f t="shared" si="50"/>
        <v>B1834</v>
      </c>
      <c r="G649" s="85">
        <v>144.21</v>
      </c>
      <c r="H649" s="85">
        <v>159.71916779055672</v>
      </c>
      <c r="I649" s="85">
        <f t="shared" si="51"/>
        <v>175.93620000000001</v>
      </c>
      <c r="J649" s="85"/>
      <c r="K649" s="512"/>
      <c r="L649" s="510"/>
    </row>
    <row r="650" spans="1:12" x14ac:dyDescent="0.25">
      <c r="A650" s="511"/>
      <c r="B650" s="511"/>
      <c r="C650" s="95" t="s">
        <v>97</v>
      </c>
      <c r="D650" s="104">
        <v>4</v>
      </c>
      <c r="E650" s="105">
        <v>1</v>
      </c>
      <c r="F650" s="85" t="str">
        <f t="shared" si="50"/>
        <v>B1841</v>
      </c>
      <c r="G650" s="85">
        <v>139.09</v>
      </c>
      <c r="H650" s="85">
        <v>154.04853372157643</v>
      </c>
      <c r="I650" s="85">
        <f t="shared" si="51"/>
        <v>169.68979999999999</v>
      </c>
      <c r="J650" s="85"/>
      <c r="K650" s="512"/>
      <c r="L650" s="510">
        <v>52.92</v>
      </c>
    </row>
    <row r="651" spans="1:12" x14ac:dyDescent="0.25">
      <c r="A651" s="511"/>
      <c r="B651" s="511"/>
      <c r="C651" s="95" t="s">
        <v>97</v>
      </c>
      <c r="D651" s="104">
        <v>4</v>
      </c>
      <c r="E651" s="105">
        <v>2</v>
      </c>
      <c r="F651" s="85" t="str">
        <f t="shared" si="50"/>
        <v>B1842</v>
      </c>
      <c r="G651" s="85">
        <v>163.35</v>
      </c>
      <c r="H651" s="85">
        <v>180.91759280623702</v>
      </c>
      <c r="I651" s="85">
        <f t="shared" si="51"/>
        <v>199.28699999999998</v>
      </c>
      <c r="J651" s="85"/>
      <c r="K651" s="512"/>
      <c r="L651" s="510"/>
    </row>
    <row r="652" spans="1:12" x14ac:dyDescent="0.25">
      <c r="A652" s="511"/>
      <c r="B652" s="511"/>
      <c r="C652" s="95" t="s">
        <v>97</v>
      </c>
      <c r="D652" s="104">
        <v>4</v>
      </c>
      <c r="E652" s="105">
        <v>3</v>
      </c>
      <c r="F652" s="85" t="str">
        <f t="shared" si="50"/>
        <v>B1843</v>
      </c>
      <c r="G652" s="85">
        <v>182.56</v>
      </c>
      <c r="H652" s="85">
        <v>202.19354602207918</v>
      </c>
      <c r="I652" s="85">
        <f t="shared" si="51"/>
        <v>222.72319999999999</v>
      </c>
      <c r="J652" s="85"/>
      <c r="K652" s="512"/>
      <c r="L652" s="510"/>
    </row>
    <row r="653" spans="1:12" x14ac:dyDescent="0.25">
      <c r="A653" s="511"/>
      <c r="B653" s="511"/>
      <c r="C653" s="95" t="s">
        <v>97</v>
      </c>
      <c r="D653" s="104">
        <v>4</v>
      </c>
      <c r="E653" s="105">
        <v>4</v>
      </c>
      <c r="F653" s="85" t="str">
        <f t="shared" si="50"/>
        <v>B1844</v>
      </c>
      <c r="G653" s="85">
        <v>141.91</v>
      </c>
      <c r="H653" s="85">
        <v>157.17181264238198</v>
      </c>
      <c r="I653" s="85">
        <f t="shared" si="51"/>
        <v>173.1302</v>
      </c>
      <c r="J653" s="85"/>
      <c r="K653" s="512"/>
      <c r="L653" s="510"/>
    </row>
    <row r="654" spans="1:12" x14ac:dyDescent="0.25">
      <c r="A654" s="83" t="s">
        <v>4</v>
      </c>
      <c r="B654" s="83"/>
      <c r="C654" s="83"/>
      <c r="D654" s="103"/>
      <c r="E654" s="103"/>
      <c r="F654" s="83"/>
      <c r="G654" s="83">
        <f>SUM(H634:H653)</f>
        <v>3408.0399999999995</v>
      </c>
      <c r="H654" s="83"/>
      <c r="I654" s="83">
        <f>SUM(I634:I653)</f>
        <v>3754.0742</v>
      </c>
      <c r="J654" s="83"/>
      <c r="K654" s="83">
        <f>SUM(K634)</f>
        <v>3408.0399999999995</v>
      </c>
      <c r="L654" s="83">
        <f>L650+L646+L642+L638+L634</f>
        <v>330.92999999999995</v>
      </c>
    </row>
    <row r="655" spans="1:12" x14ac:dyDescent="0.25">
      <c r="A655" s="97"/>
      <c r="G655" s="87">
        <f>K654/G654</f>
        <v>1</v>
      </c>
      <c r="L655" s="99">
        <f>(L634+L638+L642+L646+L650)/K654</f>
        <v>9.7102733535991401E-2</v>
      </c>
    </row>
    <row r="658" spans="1:12" ht="37.5" x14ac:dyDescent="0.25">
      <c r="A658" s="82" t="s">
        <v>9</v>
      </c>
      <c r="B658" s="83" t="s">
        <v>7</v>
      </c>
      <c r="C658" s="82" t="s">
        <v>8</v>
      </c>
      <c r="D658" s="102" t="s">
        <v>10</v>
      </c>
      <c r="E658" s="103" t="s">
        <v>2</v>
      </c>
      <c r="F658" s="82" t="s">
        <v>104</v>
      </c>
      <c r="G658" s="82" t="s">
        <v>3</v>
      </c>
      <c r="H658" s="82" t="s">
        <v>102</v>
      </c>
      <c r="I658" s="82" t="s">
        <v>101</v>
      </c>
      <c r="J658" s="82" t="s">
        <v>103</v>
      </c>
      <c r="K658" s="83" t="s">
        <v>6</v>
      </c>
      <c r="L658" s="83" t="s">
        <v>1</v>
      </c>
    </row>
    <row r="659" spans="1:12" x14ac:dyDescent="0.25">
      <c r="A659" s="511" t="s">
        <v>31</v>
      </c>
      <c r="B659" s="511" t="s">
        <v>40</v>
      </c>
      <c r="C659" s="95" t="s">
        <v>96</v>
      </c>
      <c r="D659" s="104">
        <v>0</v>
      </c>
      <c r="E659" s="105">
        <v>1</v>
      </c>
      <c r="F659" s="85" t="str">
        <f>LEFT(C659,3)&amp;D659&amp;E659</f>
        <v>B1901</v>
      </c>
      <c r="G659" s="85">
        <v>144.21</v>
      </c>
      <c r="H659" s="85">
        <v>159.71916779055672</v>
      </c>
      <c r="I659" s="85">
        <f>1.22*G659</f>
        <v>175.93620000000001</v>
      </c>
      <c r="J659" s="86">
        <v>80.513400000000004</v>
      </c>
      <c r="K659" s="512">
        <f>SUM(H659:H678)</f>
        <v>3408.0399999999995</v>
      </c>
      <c r="L659" s="510">
        <v>99.03</v>
      </c>
    </row>
    <row r="660" spans="1:12" x14ac:dyDescent="0.25">
      <c r="A660" s="511"/>
      <c r="B660" s="511"/>
      <c r="C660" s="95" t="s">
        <v>96</v>
      </c>
      <c r="D660" s="104">
        <v>0</v>
      </c>
      <c r="E660" s="105">
        <v>2</v>
      </c>
      <c r="F660" s="85" t="str">
        <f t="shared" ref="F660:F678" si="52">LEFT(C660,3)&amp;D660&amp;E660</f>
        <v>B1902</v>
      </c>
      <c r="G660" s="85">
        <v>183.89</v>
      </c>
      <c r="H660" s="85">
        <v>203.66658182515411</v>
      </c>
      <c r="I660" s="85">
        <f t="shared" ref="I660:I666" si="53">1.22*G660</f>
        <v>224.34579999999997</v>
      </c>
      <c r="J660" s="86">
        <v>61.571399999999997</v>
      </c>
      <c r="K660" s="512"/>
      <c r="L660" s="510"/>
    </row>
    <row r="661" spans="1:12" x14ac:dyDescent="0.25">
      <c r="A661" s="511"/>
      <c r="B661" s="511"/>
      <c r="C661" s="95" t="s">
        <v>96</v>
      </c>
      <c r="D661" s="104">
        <v>0</v>
      </c>
      <c r="E661" s="105">
        <v>3</v>
      </c>
      <c r="F661" s="85" t="str">
        <f t="shared" si="52"/>
        <v>B1903</v>
      </c>
      <c r="G661" s="85">
        <v>163.35</v>
      </c>
      <c r="H661" s="85">
        <v>180.91759280623702</v>
      </c>
      <c r="I661" s="85">
        <f t="shared" si="53"/>
        <v>199.28699999999998</v>
      </c>
      <c r="J661" s="86">
        <v>76.321799999999996</v>
      </c>
      <c r="K661" s="512"/>
      <c r="L661" s="510"/>
    </row>
    <row r="662" spans="1:12" x14ac:dyDescent="0.25">
      <c r="A662" s="511"/>
      <c r="B662" s="511"/>
      <c r="C662" s="95" t="s">
        <v>96</v>
      </c>
      <c r="D662" s="104">
        <v>0</v>
      </c>
      <c r="E662" s="105">
        <v>4</v>
      </c>
      <c r="F662" s="85" t="str">
        <f t="shared" si="52"/>
        <v>B1904</v>
      </c>
      <c r="G662" s="85">
        <v>94.92</v>
      </c>
      <c r="H662" s="85">
        <v>105.12823941945527</v>
      </c>
      <c r="I662" s="85">
        <f t="shared" si="53"/>
        <v>115.80240000000001</v>
      </c>
      <c r="J662" s="86">
        <v>62.141199999999998</v>
      </c>
      <c r="K662" s="512"/>
      <c r="L662" s="510"/>
    </row>
    <row r="663" spans="1:12" x14ac:dyDescent="0.25">
      <c r="A663" s="511"/>
      <c r="B663" s="511"/>
      <c r="C663" s="95" t="s">
        <v>96</v>
      </c>
      <c r="D663" s="104">
        <v>1</v>
      </c>
      <c r="E663" s="105">
        <v>1</v>
      </c>
      <c r="F663" s="85" t="str">
        <f t="shared" si="52"/>
        <v>B1911</v>
      </c>
      <c r="G663" s="85">
        <v>141.59</v>
      </c>
      <c r="H663" s="85">
        <v>156.81739801307072</v>
      </c>
      <c r="I663" s="85">
        <f t="shared" si="53"/>
        <v>172.7398</v>
      </c>
      <c r="J663" s="85"/>
      <c r="K663" s="512"/>
      <c r="L663" s="510">
        <v>73.14</v>
      </c>
    </row>
    <row r="664" spans="1:12" x14ac:dyDescent="0.25">
      <c r="A664" s="511"/>
      <c r="B664" s="511"/>
      <c r="C664" s="95" t="s">
        <v>96</v>
      </c>
      <c r="D664" s="104">
        <v>1</v>
      </c>
      <c r="E664" s="105">
        <v>2</v>
      </c>
      <c r="F664" s="85" t="str">
        <f t="shared" si="52"/>
        <v>B1912</v>
      </c>
      <c r="G664" s="85">
        <v>183.59</v>
      </c>
      <c r="H664" s="85">
        <v>203.33431811017482</v>
      </c>
      <c r="I664" s="85">
        <f t="shared" si="53"/>
        <v>223.97980000000001</v>
      </c>
      <c r="J664" s="85"/>
      <c r="K664" s="512"/>
      <c r="L664" s="510"/>
    </row>
    <row r="665" spans="1:12" x14ac:dyDescent="0.25">
      <c r="A665" s="511"/>
      <c r="B665" s="511"/>
      <c r="C665" s="95" t="s">
        <v>96</v>
      </c>
      <c r="D665" s="104">
        <v>1</v>
      </c>
      <c r="E665" s="105">
        <v>3</v>
      </c>
      <c r="F665" s="85" t="str">
        <f t="shared" si="52"/>
        <v>B1913</v>
      </c>
      <c r="G665" s="85">
        <v>163.05000000000001</v>
      </c>
      <c r="H665" s="85">
        <v>180.58532909125773</v>
      </c>
      <c r="I665" s="85">
        <f t="shared" si="53"/>
        <v>198.92100000000002</v>
      </c>
      <c r="J665" s="85"/>
      <c r="K665" s="512"/>
      <c r="L665" s="510"/>
    </row>
    <row r="666" spans="1:12" x14ac:dyDescent="0.25">
      <c r="A666" s="511"/>
      <c r="B666" s="511"/>
      <c r="C666" s="95" t="s">
        <v>96</v>
      </c>
      <c r="D666" s="104">
        <v>1</v>
      </c>
      <c r="E666" s="105">
        <v>4</v>
      </c>
      <c r="F666" s="85" t="str">
        <f t="shared" si="52"/>
        <v>B1914</v>
      </c>
      <c r="G666" s="85">
        <v>96.29</v>
      </c>
      <c r="H666" s="85">
        <v>106.64557705119415</v>
      </c>
      <c r="I666" s="85">
        <f t="shared" si="53"/>
        <v>117.47380000000001</v>
      </c>
      <c r="J666" s="85"/>
      <c r="K666" s="512"/>
      <c r="L666" s="510"/>
    </row>
    <row r="667" spans="1:12" x14ac:dyDescent="0.25">
      <c r="A667" s="511"/>
      <c r="B667" s="511"/>
      <c r="C667" s="95" t="s">
        <v>96</v>
      </c>
      <c r="D667" s="104">
        <v>2</v>
      </c>
      <c r="E667" s="105">
        <v>1</v>
      </c>
      <c r="F667" s="85" t="str">
        <f t="shared" si="52"/>
        <v>B1921</v>
      </c>
      <c r="G667" s="85">
        <v>143.97</v>
      </c>
      <c r="H667" s="85">
        <v>159.45335681857327</v>
      </c>
      <c r="I667" s="85">
        <f t="shared" ref="I667:I678" si="54">1.22*G667</f>
        <v>175.64339999999999</v>
      </c>
      <c r="J667" s="85"/>
      <c r="K667" s="512"/>
      <c r="L667" s="510">
        <v>52.92</v>
      </c>
    </row>
    <row r="668" spans="1:12" x14ac:dyDescent="0.25">
      <c r="A668" s="511"/>
      <c r="B668" s="511"/>
      <c r="C668" s="95" t="s">
        <v>96</v>
      </c>
      <c r="D668" s="104">
        <v>2</v>
      </c>
      <c r="E668" s="105">
        <v>2</v>
      </c>
      <c r="F668" s="85" t="str">
        <f t="shared" si="52"/>
        <v>B1922</v>
      </c>
      <c r="G668" s="85">
        <v>187.09</v>
      </c>
      <c r="H668" s="85">
        <v>207.21072811826681</v>
      </c>
      <c r="I668" s="85">
        <f t="shared" si="54"/>
        <v>228.24979999999999</v>
      </c>
      <c r="J668" s="85"/>
      <c r="K668" s="512"/>
      <c r="L668" s="510"/>
    </row>
    <row r="669" spans="1:12" x14ac:dyDescent="0.25">
      <c r="A669" s="511"/>
      <c r="B669" s="511"/>
      <c r="C669" s="95" t="s">
        <v>96</v>
      </c>
      <c r="D669" s="104">
        <v>2</v>
      </c>
      <c r="E669" s="105">
        <v>3</v>
      </c>
      <c r="F669" s="85" t="str">
        <f t="shared" si="52"/>
        <v>B1923</v>
      </c>
      <c r="G669" s="85">
        <v>167.88</v>
      </c>
      <c r="H669" s="85">
        <v>185.93477490242469</v>
      </c>
      <c r="I669" s="85">
        <f t="shared" si="54"/>
        <v>204.81359999999998</v>
      </c>
      <c r="J669" s="85"/>
      <c r="K669" s="512"/>
      <c r="L669" s="510"/>
    </row>
    <row r="670" spans="1:12" x14ac:dyDescent="0.25">
      <c r="A670" s="511"/>
      <c r="B670" s="511"/>
      <c r="C670" s="95" t="s">
        <v>96</v>
      </c>
      <c r="D670" s="104">
        <v>2</v>
      </c>
      <c r="E670" s="105">
        <v>4</v>
      </c>
      <c r="F670" s="85" t="str">
        <f t="shared" si="52"/>
        <v>B1924</v>
      </c>
      <c r="G670" s="85">
        <v>141.15</v>
      </c>
      <c r="H670" s="85">
        <v>156.33007789776772</v>
      </c>
      <c r="I670" s="85">
        <f t="shared" si="54"/>
        <v>172.203</v>
      </c>
      <c r="J670" s="85"/>
      <c r="K670" s="512"/>
      <c r="L670" s="510"/>
    </row>
    <row r="671" spans="1:12" x14ac:dyDescent="0.25">
      <c r="A671" s="511"/>
      <c r="B671" s="511"/>
      <c r="C671" s="95" t="s">
        <v>96</v>
      </c>
      <c r="D671" s="104">
        <v>3</v>
      </c>
      <c r="E671" s="105">
        <v>1</v>
      </c>
      <c r="F671" s="85" t="str">
        <f t="shared" si="52"/>
        <v>B1931</v>
      </c>
      <c r="G671" s="85">
        <v>144.21</v>
      </c>
      <c r="H671" s="85">
        <v>159.71916779055672</v>
      </c>
      <c r="I671" s="85">
        <f t="shared" si="54"/>
        <v>175.93620000000001</v>
      </c>
      <c r="J671" s="85"/>
      <c r="K671" s="512"/>
      <c r="L671" s="510">
        <v>52.92</v>
      </c>
    </row>
    <row r="672" spans="1:12" x14ac:dyDescent="0.25">
      <c r="A672" s="511"/>
      <c r="B672" s="511"/>
      <c r="C672" s="95" t="s">
        <v>96</v>
      </c>
      <c r="D672" s="104">
        <v>3</v>
      </c>
      <c r="E672" s="105">
        <v>2</v>
      </c>
      <c r="F672" s="85" t="str">
        <f t="shared" si="52"/>
        <v>B1932</v>
      </c>
      <c r="G672" s="85">
        <v>187.91</v>
      </c>
      <c r="H672" s="85">
        <v>208.11891560587694</v>
      </c>
      <c r="I672" s="85">
        <f t="shared" si="54"/>
        <v>229.25019999999998</v>
      </c>
      <c r="J672" s="85"/>
      <c r="K672" s="512"/>
      <c r="L672" s="510"/>
    </row>
    <row r="673" spans="1:12" x14ac:dyDescent="0.25">
      <c r="A673" s="511"/>
      <c r="B673" s="511"/>
      <c r="C673" s="95" t="s">
        <v>96</v>
      </c>
      <c r="D673" s="104">
        <v>3</v>
      </c>
      <c r="E673" s="105">
        <v>3</v>
      </c>
      <c r="F673" s="85" t="str">
        <f t="shared" si="52"/>
        <v>B1933</v>
      </c>
      <c r="G673" s="85">
        <v>165.71</v>
      </c>
      <c r="H673" s="85">
        <v>183.53140069740763</v>
      </c>
      <c r="I673" s="85">
        <f t="shared" si="54"/>
        <v>202.1662</v>
      </c>
      <c r="J673" s="85"/>
      <c r="K673" s="512"/>
      <c r="L673" s="510"/>
    </row>
    <row r="674" spans="1:12" x14ac:dyDescent="0.25">
      <c r="A674" s="511"/>
      <c r="B674" s="511"/>
      <c r="C674" s="95" t="s">
        <v>96</v>
      </c>
      <c r="D674" s="104">
        <v>3</v>
      </c>
      <c r="E674" s="105">
        <v>4</v>
      </c>
      <c r="F674" s="85" t="str">
        <f t="shared" si="52"/>
        <v>B1934</v>
      </c>
      <c r="G674" s="85">
        <v>141.38999999999999</v>
      </c>
      <c r="H674" s="85">
        <v>156.59588886975115</v>
      </c>
      <c r="I674" s="85">
        <f t="shared" si="54"/>
        <v>172.49579999999997</v>
      </c>
      <c r="J674" s="85"/>
      <c r="K674" s="512"/>
      <c r="L674" s="510"/>
    </row>
    <row r="675" spans="1:12" x14ac:dyDescent="0.25">
      <c r="A675" s="511"/>
      <c r="B675" s="511"/>
      <c r="C675" s="95" t="s">
        <v>96</v>
      </c>
      <c r="D675" s="104">
        <v>4</v>
      </c>
      <c r="E675" s="105">
        <v>1</v>
      </c>
      <c r="F675" s="85" t="str">
        <f t="shared" si="52"/>
        <v>B1941</v>
      </c>
      <c r="G675" s="85">
        <v>141.91</v>
      </c>
      <c r="H675" s="85">
        <v>157.17181264238198</v>
      </c>
      <c r="I675" s="85">
        <f t="shared" si="54"/>
        <v>173.1302</v>
      </c>
      <c r="J675" s="85"/>
      <c r="K675" s="512"/>
      <c r="L675" s="510">
        <v>52.92</v>
      </c>
    </row>
    <row r="676" spans="1:12" x14ac:dyDescent="0.25">
      <c r="A676" s="511"/>
      <c r="B676" s="511"/>
      <c r="C676" s="95" t="s">
        <v>96</v>
      </c>
      <c r="D676" s="104">
        <v>4</v>
      </c>
      <c r="E676" s="105">
        <v>2</v>
      </c>
      <c r="F676" s="85" t="str">
        <f t="shared" si="52"/>
        <v>B1942</v>
      </c>
      <c r="G676" s="85">
        <v>182.56</v>
      </c>
      <c r="H676" s="85">
        <v>202.19354602207918</v>
      </c>
      <c r="I676" s="85">
        <f t="shared" si="54"/>
        <v>222.72319999999999</v>
      </c>
      <c r="J676" s="85"/>
      <c r="K676" s="512"/>
      <c r="L676" s="510"/>
    </row>
    <row r="677" spans="1:12" x14ac:dyDescent="0.25">
      <c r="A677" s="511"/>
      <c r="B677" s="511"/>
      <c r="C677" s="95" t="s">
        <v>96</v>
      </c>
      <c r="D677" s="104">
        <v>4</v>
      </c>
      <c r="E677" s="105">
        <v>3</v>
      </c>
      <c r="F677" s="85" t="str">
        <f t="shared" si="52"/>
        <v>B1943</v>
      </c>
      <c r="G677" s="85">
        <v>163.35</v>
      </c>
      <c r="H677" s="85">
        <v>180.91759280623702</v>
      </c>
      <c r="I677" s="85">
        <f t="shared" si="54"/>
        <v>199.28699999999998</v>
      </c>
      <c r="J677" s="85"/>
      <c r="K677" s="512"/>
      <c r="L677" s="510"/>
    </row>
    <row r="678" spans="1:12" x14ac:dyDescent="0.25">
      <c r="A678" s="511"/>
      <c r="B678" s="511"/>
      <c r="C678" s="95" t="s">
        <v>96</v>
      </c>
      <c r="D678" s="104">
        <v>4</v>
      </c>
      <c r="E678" s="105">
        <v>4</v>
      </c>
      <c r="F678" s="85" t="str">
        <f t="shared" si="52"/>
        <v>B1944</v>
      </c>
      <c r="G678" s="85">
        <v>139.09</v>
      </c>
      <c r="H678" s="85">
        <v>154.04853372157643</v>
      </c>
      <c r="I678" s="85">
        <f t="shared" si="54"/>
        <v>169.68979999999999</v>
      </c>
      <c r="J678" s="85"/>
      <c r="K678" s="512"/>
      <c r="L678" s="510"/>
    </row>
    <row r="679" spans="1:12" x14ac:dyDescent="0.25">
      <c r="A679" s="83" t="s">
        <v>4</v>
      </c>
      <c r="B679" s="83"/>
      <c r="C679" s="83"/>
      <c r="D679" s="103"/>
      <c r="E679" s="103"/>
      <c r="F679" s="83"/>
      <c r="G679" s="83">
        <f>SUM(G659:G678)</f>
        <v>3077.1099999999997</v>
      </c>
      <c r="H679" s="83"/>
      <c r="I679" s="83"/>
      <c r="J679" s="83"/>
      <c r="K679" s="83">
        <f>SUM(K659)</f>
        <v>3408.0399999999995</v>
      </c>
      <c r="L679" s="83">
        <f>L675+L671+L667+L663+L659</f>
        <v>330.92999999999995</v>
      </c>
    </row>
    <row r="680" spans="1:12" x14ac:dyDescent="0.25">
      <c r="A680" s="97"/>
      <c r="G680" s="87">
        <f>K679/G679</f>
        <v>1.1075457165977167</v>
      </c>
      <c r="L680" s="99">
        <f>(L659+L663+L667+L671+L675)/K679</f>
        <v>9.7102733535991401E-2</v>
      </c>
    </row>
    <row r="682" spans="1:12" ht="37.5" x14ac:dyDescent="0.25">
      <c r="A682" s="82" t="s">
        <v>9</v>
      </c>
      <c r="B682" s="83" t="s">
        <v>7</v>
      </c>
      <c r="C682" s="82" t="s">
        <v>8</v>
      </c>
      <c r="D682" s="102" t="s">
        <v>10</v>
      </c>
      <c r="E682" s="103" t="s">
        <v>2</v>
      </c>
      <c r="F682" s="82" t="s">
        <v>104</v>
      </c>
      <c r="G682" s="82" t="s">
        <v>3</v>
      </c>
      <c r="H682" s="82" t="s">
        <v>102</v>
      </c>
      <c r="I682" s="82" t="s">
        <v>101</v>
      </c>
      <c r="J682" s="82" t="s">
        <v>103</v>
      </c>
      <c r="K682" s="83" t="s">
        <v>6</v>
      </c>
      <c r="L682" s="83" t="s">
        <v>1</v>
      </c>
    </row>
    <row r="683" spans="1:12" x14ac:dyDescent="0.25">
      <c r="A683" s="515" t="s">
        <v>33</v>
      </c>
      <c r="B683" s="516" t="s">
        <v>50</v>
      </c>
      <c r="C683" s="95" t="s">
        <v>49</v>
      </c>
      <c r="D683" s="104">
        <v>0</v>
      </c>
      <c r="E683" s="105">
        <v>1</v>
      </c>
      <c r="F683" s="85" t="str">
        <f>LEFT(C683,2)&amp;D683&amp;E683</f>
        <v>C101</v>
      </c>
      <c r="G683" s="84">
        <v>95.254000000000005</v>
      </c>
      <c r="H683" s="85">
        <v>105.53950812408786</v>
      </c>
      <c r="I683" s="85">
        <f>1.22*G683</f>
        <v>116.20988</v>
      </c>
      <c r="J683" s="86">
        <v>61.845599999999997</v>
      </c>
      <c r="K683" s="512">
        <f>SUM(H683:H702)</f>
        <v>3407.9829999999993</v>
      </c>
      <c r="L683" s="510">
        <v>99.266000000000005</v>
      </c>
    </row>
    <row r="684" spans="1:12" x14ac:dyDescent="0.25">
      <c r="A684" s="515"/>
      <c r="B684" s="516"/>
      <c r="C684" s="95" t="s">
        <v>49</v>
      </c>
      <c r="D684" s="104">
        <v>0</v>
      </c>
      <c r="E684" s="105">
        <v>2</v>
      </c>
      <c r="F684" s="85" t="str">
        <f t="shared" ref="F684:F702" si="55">LEFT(C684,2)&amp;D684&amp;E684</f>
        <v>C102</v>
      </c>
      <c r="G684" s="84">
        <v>162.82599999999999</v>
      </c>
      <c r="H684" s="85">
        <v>180.40791935050211</v>
      </c>
      <c r="I684" s="85">
        <f t="shared" ref="I684:I702" si="56">1.22*G684</f>
        <v>198.64771999999999</v>
      </c>
      <c r="J684" s="86">
        <v>77.610299999999995</v>
      </c>
      <c r="K684" s="512"/>
      <c r="L684" s="510"/>
    </row>
    <row r="685" spans="1:12" x14ac:dyDescent="0.25">
      <c r="A685" s="515"/>
      <c r="B685" s="516"/>
      <c r="C685" s="95" t="s">
        <v>49</v>
      </c>
      <c r="D685" s="104">
        <v>0</v>
      </c>
      <c r="E685" s="105">
        <v>3</v>
      </c>
      <c r="F685" s="85" t="str">
        <f t="shared" si="55"/>
        <v>C103</v>
      </c>
      <c r="G685" s="84">
        <v>183.887</v>
      </c>
      <c r="H685" s="85">
        <v>203.74308197465874</v>
      </c>
      <c r="I685" s="85">
        <f t="shared" si="56"/>
        <v>224.34214</v>
      </c>
      <c r="J685" s="86">
        <v>61.527700000000003</v>
      </c>
      <c r="K685" s="512"/>
      <c r="L685" s="510"/>
    </row>
    <row r="686" spans="1:12" x14ac:dyDescent="0.25">
      <c r="A686" s="515"/>
      <c r="B686" s="516"/>
      <c r="C686" s="95" t="s">
        <v>49</v>
      </c>
      <c r="D686" s="104">
        <v>0</v>
      </c>
      <c r="E686" s="105">
        <v>4</v>
      </c>
      <c r="F686" s="85" t="str">
        <f t="shared" si="55"/>
        <v>C104</v>
      </c>
      <c r="G686" s="84">
        <v>147.54499999999999</v>
      </c>
      <c r="H686" s="85">
        <v>163.47687998581205</v>
      </c>
      <c r="I686" s="85">
        <f t="shared" si="56"/>
        <v>180.00489999999999</v>
      </c>
      <c r="J686" s="86">
        <v>79.64</v>
      </c>
      <c r="K686" s="512"/>
      <c r="L686" s="510"/>
    </row>
    <row r="687" spans="1:12" x14ac:dyDescent="0.25">
      <c r="A687" s="515"/>
      <c r="B687" s="516"/>
      <c r="C687" s="95" t="s">
        <v>49</v>
      </c>
      <c r="D687" s="104">
        <v>1</v>
      </c>
      <c r="E687" s="105">
        <v>1</v>
      </c>
      <c r="F687" s="85" t="str">
        <f t="shared" si="55"/>
        <v>C111</v>
      </c>
      <c r="G687" s="84">
        <v>96.311000000000007</v>
      </c>
      <c r="H687" s="85">
        <v>106.71064277551626</v>
      </c>
      <c r="I687" s="85">
        <f t="shared" si="56"/>
        <v>117.49942</v>
      </c>
      <c r="J687" s="84"/>
      <c r="K687" s="512"/>
      <c r="L687" s="510">
        <v>73.486999999999995</v>
      </c>
    </row>
    <row r="688" spans="1:12" x14ac:dyDescent="0.25">
      <c r="A688" s="515"/>
      <c r="B688" s="516"/>
      <c r="C688" s="95" t="s">
        <v>49</v>
      </c>
      <c r="D688" s="104">
        <v>1</v>
      </c>
      <c r="E688" s="105">
        <v>2</v>
      </c>
      <c r="F688" s="85" t="str">
        <f t="shared" si="55"/>
        <v>C112</v>
      </c>
      <c r="G688" s="84">
        <v>162.57599999999999</v>
      </c>
      <c r="H688" s="85">
        <v>180.13092439983313</v>
      </c>
      <c r="I688" s="85">
        <f t="shared" si="56"/>
        <v>198.34271999999999</v>
      </c>
      <c r="J688" s="84"/>
      <c r="K688" s="512"/>
      <c r="L688" s="510"/>
    </row>
    <row r="689" spans="1:12" x14ac:dyDescent="0.25">
      <c r="A689" s="515"/>
      <c r="B689" s="516"/>
      <c r="C689" s="95" t="s">
        <v>49</v>
      </c>
      <c r="D689" s="104">
        <v>1</v>
      </c>
      <c r="E689" s="105">
        <v>3</v>
      </c>
      <c r="F689" s="85" t="str">
        <f t="shared" si="55"/>
        <v>C113</v>
      </c>
      <c r="G689" s="84">
        <v>183.637</v>
      </c>
      <c r="H689" s="85">
        <v>203.46608702398976</v>
      </c>
      <c r="I689" s="85">
        <f t="shared" si="56"/>
        <v>224.03713999999999</v>
      </c>
      <c r="J689" s="84"/>
      <c r="K689" s="512"/>
      <c r="L689" s="510"/>
    </row>
    <row r="690" spans="1:12" x14ac:dyDescent="0.25">
      <c r="A690" s="515"/>
      <c r="B690" s="516"/>
      <c r="C690" s="95" t="s">
        <v>49</v>
      </c>
      <c r="D690" s="104">
        <v>1</v>
      </c>
      <c r="E690" s="105">
        <v>4</v>
      </c>
      <c r="F690" s="85" t="str">
        <f t="shared" si="55"/>
        <v>C114</v>
      </c>
      <c r="G690" s="84">
        <v>141.66300000000001</v>
      </c>
      <c r="H690" s="85">
        <v>156.95974278647259</v>
      </c>
      <c r="I690" s="85">
        <f t="shared" si="56"/>
        <v>172.82886000000002</v>
      </c>
      <c r="J690" s="84"/>
      <c r="K690" s="512"/>
      <c r="L690" s="510"/>
    </row>
    <row r="691" spans="1:12" x14ac:dyDescent="0.25">
      <c r="A691" s="515"/>
      <c r="B691" s="516"/>
      <c r="C691" s="95" t="s">
        <v>49</v>
      </c>
      <c r="D691" s="104">
        <v>2</v>
      </c>
      <c r="E691" s="105">
        <v>1</v>
      </c>
      <c r="F691" s="85" t="str">
        <f t="shared" si="55"/>
        <v>C121</v>
      </c>
      <c r="G691" s="84">
        <v>141.22499999999999</v>
      </c>
      <c r="H691" s="85">
        <v>156.47444763290054</v>
      </c>
      <c r="I691" s="85">
        <f t="shared" si="56"/>
        <v>172.2945</v>
      </c>
      <c r="J691" s="84"/>
      <c r="K691" s="512"/>
      <c r="L691" s="510">
        <v>53.119</v>
      </c>
    </row>
    <row r="692" spans="1:12" x14ac:dyDescent="0.25">
      <c r="A692" s="515"/>
      <c r="B692" s="516"/>
      <c r="C692" s="95" t="s">
        <v>49</v>
      </c>
      <c r="D692" s="104">
        <v>2</v>
      </c>
      <c r="E692" s="105">
        <v>2</v>
      </c>
      <c r="F692" s="85" t="str">
        <f t="shared" si="55"/>
        <v>C122</v>
      </c>
      <c r="G692" s="84">
        <v>167.214</v>
      </c>
      <c r="H692" s="85">
        <v>185.26973472464385</v>
      </c>
      <c r="I692" s="85">
        <f t="shared" si="56"/>
        <v>204.00108</v>
      </c>
      <c r="J692" s="84"/>
      <c r="K692" s="512"/>
      <c r="L692" s="510"/>
    </row>
    <row r="693" spans="1:12" x14ac:dyDescent="0.25">
      <c r="A693" s="515"/>
      <c r="B693" s="516"/>
      <c r="C693" s="95" t="s">
        <v>49</v>
      </c>
      <c r="D693" s="104">
        <v>2</v>
      </c>
      <c r="E693" s="105">
        <v>3</v>
      </c>
      <c r="F693" s="85" t="str">
        <f t="shared" si="55"/>
        <v>C123</v>
      </c>
      <c r="G693" s="84">
        <v>187.10300000000001</v>
      </c>
      <c r="H693" s="85">
        <v>207.30634502006436</v>
      </c>
      <c r="I693" s="85">
        <f t="shared" si="56"/>
        <v>228.26566</v>
      </c>
      <c r="J693" s="84"/>
      <c r="K693" s="512"/>
      <c r="L693" s="510"/>
    </row>
    <row r="694" spans="1:12" x14ac:dyDescent="0.25">
      <c r="A694" s="515"/>
      <c r="B694" s="516"/>
      <c r="C694" s="95" t="s">
        <v>49</v>
      </c>
      <c r="D694" s="104">
        <v>2</v>
      </c>
      <c r="E694" s="105">
        <v>4</v>
      </c>
      <c r="F694" s="85" t="str">
        <f t="shared" si="55"/>
        <v>C124</v>
      </c>
      <c r="G694" s="84">
        <v>143.989</v>
      </c>
      <c r="H694" s="85">
        <v>159.53690380749666</v>
      </c>
      <c r="I694" s="85">
        <f t="shared" si="56"/>
        <v>175.66658000000001</v>
      </c>
      <c r="J694" s="84"/>
      <c r="K694" s="512"/>
      <c r="L694" s="510"/>
    </row>
    <row r="695" spans="1:12" x14ac:dyDescent="0.25">
      <c r="A695" s="515"/>
      <c r="B695" s="516"/>
      <c r="C695" s="95" t="s">
        <v>49</v>
      </c>
      <c r="D695" s="104">
        <v>3</v>
      </c>
      <c r="E695" s="105">
        <v>1</v>
      </c>
      <c r="F695" s="85" t="str">
        <f t="shared" si="55"/>
        <v>C131</v>
      </c>
      <c r="G695" s="84">
        <v>141.131</v>
      </c>
      <c r="H695" s="85">
        <v>156.37029753144901</v>
      </c>
      <c r="I695" s="85">
        <f t="shared" si="56"/>
        <v>172.17982000000001</v>
      </c>
      <c r="J695" s="84"/>
      <c r="K695" s="512"/>
      <c r="L695" s="510">
        <v>53.119</v>
      </c>
    </row>
    <row r="696" spans="1:12" x14ac:dyDescent="0.25">
      <c r="A696" s="515"/>
      <c r="B696" s="516"/>
      <c r="C696" s="95" t="s">
        <v>49</v>
      </c>
      <c r="D696" s="104">
        <v>3</v>
      </c>
      <c r="E696" s="105">
        <v>2</v>
      </c>
      <c r="F696" s="85" t="str">
        <f t="shared" si="55"/>
        <v>C132</v>
      </c>
      <c r="G696" s="84">
        <v>164.43600000000001</v>
      </c>
      <c r="H696" s="85">
        <v>182.19176683281029</v>
      </c>
      <c r="I696" s="85">
        <f t="shared" si="56"/>
        <v>200.61192</v>
      </c>
      <c r="J696" s="84"/>
      <c r="K696" s="512"/>
      <c r="L696" s="510"/>
    </row>
    <row r="697" spans="1:12" x14ac:dyDescent="0.25">
      <c r="A697" s="515"/>
      <c r="B697" s="516"/>
      <c r="C697" s="95" t="s">
        <v>49</v>
      </c>
      <c r="D697" s="104">
        <v>3</v>
      </c>
      <c r="E697" s="105">
        <v>3</v>
      </c>
      <c r="F697" s="85" t="str">
        <f t="shared" si="55"/>
        <v>C133</v>
      </c>
      <c r="G697" s="84">
        <v>187.20400000000001</v>
      </c>
      <c r="H697" s="85">
        <v>207.41825098013462</v>
      </c>
      <c r="I697" s="85">
        <f t="shared" si="56"/>
        <v>228.38888</v>
      </c>
      <c r="J697" s="84"/>
      <c r="K697" s="512"/>
      <c r="L697" s="510"/>
    </row>
    <row r="698" spans="1:12" x14ac:dyDescent="0.25">
      <c r="A698" s="515"/>
      <c r="B698" s="516"/>
      <c r="C698" s="95" t="s">
        <v>49</v>
      </c>
      <c r="D698" s="104">
        <v>3</v>
      </c>
      <c r="E698" s="105">
        <v>4</v>
      </c>
      <c r="F698" s="85" t="str">
        <f t="shared" si="55"/>
        <v>C134</v>
      </c>
      <c r="G698" s="84">
        <v>143.911</v>
      </c>
      <c r="H698" s="85">
        <v>159.45048138288794</v>
      </c>
      <c r="I698" s="85">
        <f t="shared" si="56"/>
        <v>175.57141999999999</v>
      </c>
      <c r="J698" s="84"/>
      <c r="K698" s="512"/>
      <c r="L698" s="510"/>
    </row>
    <row r="699" spans="1:12" x14ac:dyDescent="0.25">
      <c r="A699" s="515"/>
      <c r="B699" s="516"/>
      <c r="C699" s="95" t="s">
        <v>49</v>
      </c>
      <c r="D699" s="104">
        <v>4</v>
      </c>
      <c r="E699" s="105">
        <v>1</v>
      </c>
      <c r="F699" s="85" t="str">
        <f t="shared" si="55"/>
        <v>C141</v>
      </c>
      <c r="G699" s="84">
        <v>139.16499999999999</v>
      </c>
      <c r="H699" s="85">
        <v>154.19200923938823</v>
      </c>
      <c r="I699" s="85">
        <f t="shared" si="56"/>
        <v>169.78129999999999</v>
      </c>
      <c r="J699" s="84"/>
      <c r="K699" s="512"/>
      <c r="L699" s="510">
        <v>53.119</v>
      </c>
    </row>
    <row r="700" spans="1:12" x14ac:dyDescent="0.25">
      <c r="A700" s="515"/>
      <c r="B700" s="516"/>
      <c r="C700" s="95" t="s">
        <v>49</v>
      </c>
      <c r="D700" s="104">
        <v>4</v>
      </c>
      <c r="E700" s="105">
        <v>2</v>
      </c>
      <c r="F700" s="85" t="str">
        <f t="shared" si="55"/>
        <v>C142</v>
      </c>
      <c r="G700" s="84">
        <v>162.49</v>
      </c>
      <c r="H700" s="85">
        <v>180.03563813680304</v>
      </c>
      <c r="I700" s="85">
        <f t="shared" si="56"/>
        <v>198.23779999999999</v>
      </c>
      <c r="J700" s="84"/>
      <c r="K700" s="512"/>
      <c r="L700" s="510"/>
    </row>
    <row r="701" spans="1:12" x14ac:dyDescent="0.25">
      <c r="A701" s="515"/>
      <c r="B701" s="516"/>
      <c r="C701" s="95" t="s">
        <v>49</v>
      </c>
      <c r="D701" s="104">
        <v>4</v>
      </c>
      <c r="E701" s="105">
        <v>3</v>
      </c>
      <c r="F701" s="85" t="str">
        <f t="shared" si="55"/>
        <v>C143</v>
      </c>
      <c r="G701" s="84">
        <v>182.357</v>
      </c>
      <c r="H701" s="85">
        <v>202.04787287656464</v>
      </c>
      <c r="I701" s="85">
        <f t="shared" si="56"/>
        <v>222.47554</v>
      </c>
      <c r="J701" s="84"/>
      <c r="K701" s="512"/>
      <c r="L701" s="510"/>
    </row>
    <row r="702" spans="1:12" x14ac:dyDescent="0.25">
      <c r="A702" s="515"/>
      <c r="B702" s="516"/>
      <c r="C702" s="95" t="s">
        <v>49</v>
      </c>
      <c r="D702" s="104">
        <v>4</v>
      </c>
      <c r="E702" s="105">
        <v>4</v>
      </c>
      <c r="F702" s="85" t="str">
        <f t="shared" si="55"/>
        <v>C144</v>
      </c>
      <c r="G702" s="84">
        <v>141.929</v>
      </c>
      <c r="H702" s="85">
        <v>157.25446541398435</v>
      </c>
      <c r="I702" s="85">
        <f t="shared" si="56"/>
        <v>173.15338</v>
      </c>
      <c r="J702" s="84"/>
      <c r="K702" s="512"/>
      <c r="L702" s="510"/>
    </row>
    <row r="703" spans="1:12" x14ac:dyDescent="0.25">
      <c r="A703" s="81" t="s">
        <v>4</v>
      </c>
      <c r="B703" s="80"/>
      <c r="C703" s="81"/>
      <c r="D703" s="81"/>
      <c r="E703" s="81"/>
      <c r="F703" s="81"/>
      <c r="G703" s="83">
        <f>SUM(G683:G702)</f>
        <v>3075.8530000000001</v>
      </c>
      <c r="H703" s="83"/>
      <c r="I703" s="83">
        <f>SUM(I683:I702)</f>
        <v>3752.5406600000001</v>
      </c>
      <c r="J703" s="83"/>
      <c r="K703" s="83">
        <f>SUM(K683)</f>
        <v>3407.9829999999993</v>
      </c>
      <c r="L703" s="83">
        <f>L699+L695+L691+L687+L683</f>
        <v>332.11</v>
      </c>
    </row>
    <row r="704" spans="1:12" x14ac:dyDescent="0.25">
      <c r="A704" s="92"/>
      <c r="B704" s="93"/>
      <c r="C704" s="89"/>
      <c r="D704" s="89"/>
      <c r="E704" s="89"/>
      <c r="F704" s="89"/>
      <c r="G704" s="87">
        <v>1.1079798026758756</v>
      </c>
      <c r="L704" s="88">
        <f>(L683+L687+L691+L695+L699)/K703</f>
        <v>9.7450603480123021E-2</v>
      </c>
    </row>
    <row r="705" spans="1:12" x14ac:dyDescent="0.25">
      <c r="F705" s="101"/>
    </row>
    <row r="706" spans="1:12" ht="37.5" x14ac:dyDescent="0.25">
      <c r="A706" s="106" t="s">
        <v>9</v>
      </c>
      <c r="B706" s="107" t="s">
        <v>7</v>
      </c>
      <c r="C706" s="106" t="s">
        <v>8</v>
      </c>
      <c r="D706" s="108" t="s">
        <v>10</v>
      </c>
      <c r="E706" s="109" t="s">
        <v>2</v>
      </c>
      <c r="F706" s="106" t="s">
        <v>104</v>
      </c>
      <c r="G706" s="106" t="s">
        <v>3</v>
      </c>
      <c r="H706" s="106" t="s">
        <v>102</v>
      </c>
      <c r="I706" s="106" t="s">
        <v>101</v>
      </c>
      <c r="J706" s="106" t="s">
        <v>103</v>
      </c>
      <c r="K706" s="107" t="s">
        <v>6</v>
      </c>
      <c r="L706" s="107" t="s">
        <v>1</v>
      </c>
    </row>
    <row r="707" spans="1:12" x14ac:dyDescent="0.25">
      <c r="A707" s="515" t="s">
        <v>33</v>
      </c>
      <c r="B707" s="516" t="s">
        <v>50</v>
      </c>
      <c r="C707" s="95" t="s">
        <v>37</v>
      </c>
      <c r="D707" s="104">
        <v>0</v>
      </c>
      <c r="E707" s="105">
        <v>1</v>
      </c>
      <c r="F707" s="85" t="str">
        <f>LEFT(C707,2)&amp;D707&amp;E707</f>
        <v>C201</v>
      </c>
      <c r="G707" s="84">
        <v>141.82499999999999</v>
      </c>
      <c r="H707" s="85">
        <v>159.04192828545919</v>
      </c>
      <c r="I707" s="85">
        <f>1.22*G707</f>
        <v>173.02649999999997</v>
      </c>
      <c r="J707" s="86">
        <v>77.2149</v>
      </c>
      <c r="K707" s="512">
        <f>SUM(H707:H726)</f>
        <v>3066.5780000000004</v>
      </c>
      <c r="L707" s="510">
        <v>99.04</v>
      </c>
    </row>
    <row r="708" spans="1:12" x14ac:dyDescent="0.25">
      <c r="A708" s="515"/>
      <c r="B708" s="516"/>
      <c r="C708" s="95" t="s">
        <v>37</v>
      </c>
      <c r="D708" s="104">
        <v>0</v>
      </c>
      <c r="E708" s="105">
        <v>2</v>
      </c>
      <c r="F708" s="85" t="str">
        <f t="shared" ref="F708:F726" si="57">LEFT(C708,2)&amp;D708&amp;E708</f>
        <v>C202</v>
      </c>
      <c r="G708" s="84">
        <v>142.05600000000001</v>
      </c>
      <c r="H708" s="85">
        <v>159.30097066468673</v>
      </c>
      <c r="I708" s="85">
        <f t="shared" ref="I708:I726" si="58">1.22*G708</f>
        <v>173.30832000000001</v>
      </c>
      <c r="J708" s="86">
        <v>97.868200000000002</v>
      </c>
      <c r="K708" s="512"/>
      <c r="L708" s="510"/>
    </row>
    <row r="709" spans="1:12" x14ac:dyDescent="0.25">
      <c r="A709" s="515"/>
      <c r="B709" s="516"/>
      <c r="C709" s="95" t="s">
        <v>37</v>
      </c>
      <c r="D709" s="104">
        <v>0</v>
      </c>
      <c r="E709" s="105">
        <v>3</v>
      </c>
      <c r="F709" s="85" t="str">
        <f t="shared" si="57"/>
        <v>C203</v>
      </c>
      <c r="G709" s="84">
        <v>142.197</v>
      </c>
      <c r="H709" s="85">
        <v>159.45908744161781</v>
      </c>
      <c r="I709" s="85">
        <f t="shared" si="58"/>
        <v>173.48034000000001</v>
      </c>
      <c r="J709" s="86">
        <v>97.259299999999996</v>
      </c>
      <c r="K709" s="512"/>
      <c r="L709" s="510"/>
    </row>
    <row r="710" spans="1:12" x14ac:dyDescent="0.25">
      <c r="A710" s="515"/>
      <c r="B710" s="516"/>
      <c r="C710" s="95" t="s">
        <v>37</v>
      </c>
      <c r="D710" s="104">
        <v>0</v>
      </c>
      <c r="E710" s="105">
        <v>4</v>
      </c>
      <c r="F710" s="85" t="str">
        <f t="shared" si="57"/>
        <v>C204</v>
      </c>
      <c r="G710" s="84">
        <v>95.254000000000005</v>
      </c>
      <c r="H710" s="85">
        <v>106.81741467938045</v>
      </c>
      <c r="I710" s="85">
        <f t="shared" si="58"/>
        <v>116.20988</v>
      </c>
      <c r="J710" s="86">
        <v>61.752000000000002</v>
      </c>
      <c r="K710" s="512"/>
      <c r="L710" s="510"/>
    </row>
    <row r="711" spans="1:12" x14ac:dyDescent="0.25">
      <c r="A711" s="515"/>
      <c r="B711" s="516"/>
      <c r="C711" s="95" t="s">
        <v>37</v>
      </c>
      <c r="D711" s="104">
        <v>1</v>
      </c>
      <c r="E711" s="105">
        <v>1</v>
      </c>
      <c r="F711" s="85" t="str">
        <f t="shared" si="57"/>
        <v>C211</v>
      </c>
      <c r="G711" s="84">
        <v>142.977</v>
      </c>
      <c r="H711" s="85">
        <v>160.33377599485354</v>
      </c>
      <c r="I711" s="85">
        <f t="shared" si="58"/>
        <v>174.43194</v>
      </c>
      <c r="J711" s="84"/>
      <c r="K711" s="512"/>
      <c r="L711" s="510">
        <v>73.486999999999995</v>
      </c>
    </row>
    <row r="712" spans="1:12" x14ac:dyDescent="0.25">
      <c r="A712" s="515"/>
      <c r="B712" s="516"/>
      <c r="C712" s="95" t="s">
        <v>37</v>
      </c>
      <c r="D712" s="104">
        <v>1</v>
      </c>
      <c r="E712" s="105">
        <v>2</v>
      </c>
      <c r="F712" s="85" t="str">
        <f t="shared" si="57"/>
        <v>C212</v>
      </c>
      <c r="G712" s="84">
        <v>139.572</v>
      </c>
      <c r="H712" s="85">
        <v>156.51542404130524</v>
      </c>
      <c r="I712" s="85">
        <f t="shared" si="58"/>
        <v>170.27784</v>
      </c>
      <c r="J712" s="84"/>
      <c r="K712" s="512"/>
      <c r="L712" s="510"/>
    </row>
    <row r="713" spans="1:12" x14ac:dyDescent="0.25">
      <c r="A713" s="515"/>
      <c r="B713" s="516"/>
      <c r="C713" s="95" t="s">
        <v>37</v>
      </c>
      <c r="D713" s="104">
        <v>1</v>
      </c>
      <c r="E713" s="105">
        <v>3</v>
      </c>
      <c r="F713" s="85" t="str">
        <f t="shared" si="57"/>
        <v>C213</v>
      </c>
      <c r="G713" s="84">
        <v>139.71199999999999</v>
      </c>
      <c r="H713" s="85">
        <v>156.67241942265522</v>
      </c>
      <c r="I713" s="85">
        <f t="shared" si="58"/>
        <v>170.44863999999998</v>
      </c>
      <c r="J713" s="84"/>
      <c r="K713" s="512"/>
      <c r="L713" s="510"/>
    </row>
    <row r="714" spans="1:12" x14ac:dyDescent="0.25">
      <c r="A714" s="515"/>
      <c r="B714" s="516"/>
      <c r="C714" s="95" t="s">
        <v>37</v>
      </c>
      <c r="D714" s="104">
        <v>1</v>
      </c>
      <c r="E714" s="105">
        <v>4</v>
      </c>
      <c r="F714" s="85" t="str">
        <f t="shared" si="57"/>
        <v>C214</v>
      </c>
      <c r="G714" s="84">
        <v>96.311000000000007</v>
      </c>
      <c r="H714" s="85">
        <v>108.00272980857298</v>
      </c>
      <c r="I714" s="85">
        <f t="shared" si="58"/>
        <v>117.49942</v>
      </c>
      <c r="J714" s="84"/>
      <c r="K714" s="512"/>
      <c r="L714" s="510"/>
    </row>
    <row r="715" spans="1:12" x14ac:dyDescent="0.25">
      <c r="A715" s="515"/>
      <c r="B715" s="516"/>
      <c r="C715" s="95" t="s">
        <v>37</v>
      </c>
      <c r="D715" s="104">
        <v>2</v>
      </c>
      <c r="E715" s="105">
        <v>1</v>
      </c>
      <c r="F715" s="85" t="str">
        <f t="shared" si="57"/>
        <v>C221</v>
      </c>
      <c r="G715" s="84">
        <v>141.18700000000001</v>
      </c>
      <c r="H715" s="85">
        <v>158.32647790473564</v>
      </c>
      <c r="I715" s="85">
        <f t="shared" si="58"/>
        <v>172.24814000000001</v>
      </c>
      <c r="J715" s="84"/>
      <c r="K715" s="512"/>
      <c r="L715" s="510">
        <v>53.119</v>
      </c>
    </row>
    <row r="716" spans="1:12" x14ac:dyDescent="0.25">
      <c r="A716" s="515"/>
      <c r="B716" s="516"/>
      <c r="C716" s="95" t="s">
        <v>37</v>
      </c>
      <c r="D716" s="104">
        <v>2</v>
      </c>
      <c r="E716" s="105">
        <v>2</v>
      </c>
      <c r="F716" s="85" t="str">
        <f t="shared" si="57"/>
        <v>C222</v>
      </c>
      <c r="G716" s="84">
        <v>141.446</v>
      </c>
      <c r="H716" s="85">
        <v>158.61691936023314</v>
      </c>
      <c r="I716" s="85">
        <f t="shared" si="58"/>
        <v>172.56412</v>
      </c>
      <c r="J716" s="84"/>
      <c r="K716" s="512"/>
      <c r="L716" s="510"/>
    </row>
    <row r="717" spans="1:12" x14ac:dyDescent="0.25">
      <c r="A717" s="515"/>
      <c r="B717" s="516"/>
      <c r="C717" s="95" t="s">
        <v>37</v>
      </c>
      <c r="D717" s="104">
        <v>2</v>
      </c>
      <c r="E717" s="105">
        <v>3</v>
      </c>
      <c r="F717" s="85" t="str">
        <f t="shared" si="57"/>
        <v>C223</v>
      </c>
      <c r="G717" s="84">
        <v>141.572</v>
      </c>
      <c r="H717" s="85">
        <v>158.75821520344815</v>
      </c>
      <c r="I717" s="85">
        <f t="shared" si="58"/>
        <v>172.71784</v>
      </c>
      <c r="J717" s="84"/>
      <c r="K717" s="512"/>
      <c r="L717" s="510"/>
    </row>
    <row r="718" spans="1:12" x14ac:dyDescent="0.25">
      <c r="A718" s="515"/>
      <c r="B718" s="516"/>
      <c r="C718" s="95" t="s">
        <v>37</v>
      </c>
      <c r="D718" s="104">
        <v>2</v>
      </c>
      <c r="E718" s="105">
        <v>4</v>
      </c>
      <c r="F718" s="85" t="str">
        <f t="shared" si="57"/>
        <v>C224</v>
      </c>
      <c r="G718" s="84">
        <v>141.226</v>
      </c>
      <c r="H718" s="85">
        <v>158.37021233239741</v>
      </c>
      <c r="I718" s="85">
        <f t="shared" si="58"/>
        <v>172.29571999999999</v>
      </c>
      <c r="J718" s="84"/>
      <c r="K718" s="512"/>
      <c r="L718" s="510"/>
    </row>
    <row r="719" spans="1:12" x14ac:dyDescent="0.25">
      <c r="A719" s="515"/>
      <c r="B719" s="516"/>
      <c r="C719" s="95" t="s">
        <v>37</v>
      </c>
      <c r="D719" s="104">
        <v>3</v>
      </c>
      <c r="E719" s="105">
        <v>1</v>
      </c>
      <c r="F719" s="85" t="str">
        <f t="shared" si="57"/>
        <v>C231</v>
      </c>
      <c r="G719" s="84">
        <v>141.48599999999999</v>
      </c>
      <c r="H719" s="85">
        <v>158.66177518347598</v>
      </c>
      <c r="I719" s="85">
        <f t="shared" si="58"/>
        <v>172.61291999999997</v>
      </c>
      <c r="J719" s="84"/>
      <c r="K719" s="512"/>
      <c r="L719" s="510">
        <v>53.119</v>
      </c>
    </row>
    <row r="720" spans="1:12" x14ac:dyDescent="0.25">
      <c r="A720" s="515"/>
      <c r="B720" s="516"/>
      <c r="C720" s="95" t="s">
        <v>37</v>
      </c>
      <c r="D720" s="104">
        <v>3</v>
      </c>
      <c r="E720" s="105">
        <v>2</v>
      </c>
      <c r="F720" s="85" t="str">
        <f t="shared" si="57"/>
        <v>C232</v>
      </c>
      <c r="G720" s="84">
        <v>142.25399999999999</v>
      </c>
      <c r="H720" s="85">
        <v>159.52300698973886</v>
      </c>
      <c r="I720" s="85">
        <f t="shared" si="58"/>
        <v>173.54987999999997</v>
      </c>
      <c r="J720" s="84"/>
      <c r="K720" s="512"/>
      <c r="L720" s="510"/>
    </row>
    <row r="721" spans="1:12" x14ac:dyDescent="0.25">
      <c r="A721" s="515"/>
      <c r="B721" s="516"/>
      <c r="C721" s="95" t="s">
        <v>37</v>
      </c>
      <c r="D721" s="104">
        <v>3</v>
      </c>
      <c r="E721" s="105">
        <v>3</v>
      </c>
      <c r="F721" s="85" t="str">
        <f t="shared" si="57"/>
        <v>C233</v>
      </c>
      <c r="G721" s="84">
        <v>142.37799999999999</v>
      </c>
      <c r="H721" s="85">
        <v>159.6620600417917</v>
      </c>
      <c r="I721" s="85">
        <f t="shared" si="58"/>
        <v>173.70115999999999</v>
      </c>
      <c r="J721" s="84"/>
      <c r="K721" s="512"/>
      <c r="L721" s="510"/>
    </row>
    <row r="722" spans="1:12" x14ac:dyDescent="0.25">
      <c r="A722" s="515"/>
      <c r="B722" s="516"/>
      <c r="C722" s="95" t="s">
        <v>37</v>
      </c>
      <c r="D722" s="104">
        <v>3</v>
      </c>
      <c r="E722" s="105">
        <v>4</v>
      </c>
      <c r="F722" s="85" t="str">
        <f t="shared" si="57"/>
        <v>C234</v>
      </c>
      <c r="G722" s="84">
        <v>141.52600000000001</v>
      </c>
      <c r="H722" s="85">
        <v>158.70663100671885</v>
      </c>
      <c r="I722" s="85">
        <f t="shared" si="58"/>
        <v>172.66172</v>
      </c>
      <c r="J722" s="84"/>
      <c r="K722" s="512"/>
      <c r="L722" s="510"/>
    </row>
    <row r="723" spans="1:12" x14ac:dyDescent="0.25">
      <c r="A723" s="515"/>
      <c r="B723" s="516"/>
      <c r="C723" s="95" t="s">
        <v>37</v>
      </c>
      <c r="D723" s="104">
        <v>4</v>
      </c>
      <c r="E723" s="105">
        <v>1</v>
      </c>
      <c r="F723" s="85" t="str">
        <f t="shared" si="57"/>
        <v>C241</v>
      </c>
      <c r="G723" s="84">
        <v>139.12</v>
      </c>
      <c r="H723" s="85">
        <v>156.00855323866094</v>
      </c>
      <c r="I723" s="85">
        <f t="shared" si="58"/>
        <v>169.72640000000001</v>
      </c>
      <c r="J723" s="84"/>
      <c r="K723" s="512"/>
      <c r="L723" s="510">
        <v>53.119</v>
      </c>
    </row>
    <row r="724" spans="1:12" x14ac:dyDescent="0.25">
      <c r="A724" s="515"/>
      <c r="B724" s="516"/>
      <c r="C724" s="95" t="s">
        <v>37</v>
      </c>
      <c r="D724" s="104">
        <v>4</v>
      </c>
      <c r="E724" s="105">
        <v>2</v>
      </c>
      <c r="F724" s="85" t="str">
        <f t="shared" si="57"/>
        <v>C242</v>
      </c>
      <c r="G724" s="84">
        <v>141.53399999999999</v>
      </c>
      <c r="H724" s="85">
        <v>158.71560217136741</v>
      </c>
      <c r="I724" s="85">
        <f t="shared" si="58"/>
        <v>172.67147999999997</v>
      </c>
      <c r="J724" s="84"/>
      <c r="K724" s="512"/>
      <c r="L724" s="510"/>
    </row>
    <row r="725" spans="1:12" x14ac:dyDescent="0.25">
      <c r="A725" s="515"/>
      <c r="B725" s="516"/>
      <c r="C725" s="95" t="s">
        <v>37</v>
      </c>
      <c r="D725" s="104">
        <v>4</v>
      </c>
      <c r="E725" s="105">
        <v>3</v>
      </c>
      <c r="F725" s="85" t="str">
        <f t="shared" si="57"/>
        <v>C243</v>
      </c>
      <c r="G725" s="84">
        <v>141.65899999999999</v>
      </c>
      <c r="H725" s="85">
        <v>158.85577661900135</v>
      </c>
      <c r="I725" s="85">
        <f t="shared" si="58"/>
        <v>172.82397999999998</v>
      </c>
      <c r="J725" s="84"/>
      <c r="K725" s="512"/>
      <c r="L725" s="510"/>
    </row>
    <row r="726" spans="1:12" x14ac:dyDescent="0.25">
      <c r="A726" s="515"/>
      <c r="B726" s="516"/>
      <c r="C726" s="95" t="s">
        <v>37</v>
      </c>
      <c r="D726" s="104">
        <v>4</v>
      </c>
      <c r="E726" s="105">
        <v>4</v>
      </c>
      <c r="F726" s="85" t="str">
        <f t="shared" si="57"/>
        <v>C244</v>
      </c>
      <c r="G726" s="84">
        <v>139.31659999999999</v>
      </c>
      <c r="H726" s="85">
        <v>156.22901960989958</v>
      </c>
      <c r="I726" s="85">
        <f t="shared" si="58"/>
        <v>169.966252</v>
      </c>
      <c r="J726" s="84"/>
      <c r="K726" s="512"/>
      <c r="L726" s="510"/>
    </row>
    <row r="727" spans="1:12" x14ac:dyDescent="0.25">
      <c r="A727" s="81" t="s">
        <v>4</v>
      </c>
      <c r="B727" s="80"/>
      <c r="C727" s="81"/>
      <c r="D727" s="81"/>
      <c r="E727" s="81"/>
      <c r="F727" s="81"/>
      <c r="G727" s="83">
        <f>SUM(G707:G726)</f>
        <v>2734.6086</v>
      </c>
      <c r="H727" s="83"/>
      <c r="I727" s="83">
        <f>SUM(I707:I726)</f>
        <v>3336.2224920000003</v>
      </c>
      <c r="J727" s="83"/>
      <c r="K727" s="83">
        <f>SUM(K707)</f>
        <v>3066.5780000000004</v>
      </c>
      <c r="L727" s="83">
        <f>L723+L719+L715+L711+L707</f>
        <v>331.88400000000001</v>
      </c>
    </row>
    <row r="728" spans="1:12" x14ac:dyDescent="0.25">
      <c r="A728" s="92"/>
      <c r="B728" s="93"/>
      <c r="C728" s="89"/>
      <c r="D728" s="89"/>
      <c r="E728" s="89"/>
      <c r="F728" s="89"/>
      <c r="G728" s="87">
        <v>1.1213955810714558</v>
      </c>
      <c r="L728" s="88">
        <f>(L707+L711+L715+L719+L723)/K727</f>
        <v>0.10822617262629548</v>
      </c>
    </row>
    <row r="729" spans="1:12" x14ac:dyDescent="0.25">
      <c r="F729" s="101"/>
    </row>
    <row r="730" spans="1:12" ht="37.5" x14ac:dyDescent="0.25">
      <c r="A730" s="82" t="s">
        <v>9</v>
      </c>
      <c r="B730" s="83" t="s">
        <v>7</v>
      </c>
      <c r="C730" s="82" t="s">
        <v>8</v>
      </c>
      <c r="D730" s="102" t="s">
        <v>10</v>
      </c>
      <c r="E730" s="103" t="s">
        <v>2</v>
      </c>
      <c r="F730" s="82" t="s">
        <v>104</v>
      </c>
      <c r="G730" s="82" t="s">
        <v>3</v>
      </c>
      <c r="H730" s="82" t="s">
        <v>102</v>
      </c>
      <c r="I730" s="82" t="s">
        <v>101</v>
      </c>
      <c r="J730" s="82" t="s">
        <v>103</v>
      </c>
      <c r="K730" s="83" t="s">
        <v>6</v>
      </c>
      <c r="L730" s="83" t="s">
        <v>1</v>
      </c>
    </row>
    <row r="731" spans="1:12" x14ac:dyDescent="0.25">
      <c r="A731" s="515" t="s">
        <v>33</v>
      </c>
      <c r="B731" s="516" t="s">
        <v>50</v>
      </c>
      <c r="C731" s="95" t="s">
        <v>38</v>
      </c>
      <c r="D731" s="104">
        <v>0</v>
      </c>
      <c r="E731" s="105">
        <v>1</v>
      </c>
      <c r="F731" s="85" t="str">
        <f>LEFT(C731,2)&amp;D731&amp;E731</f>
        <v>C301</v>
      </c>
      <c r="G731" s="84">
        <v>144.66300000000001</v>
      </c>
      <c r="H731" s="85">
        <v>160.29970969584483</v>
      </c>
      <c r="I731" s="85">
        <f>1.22*G731</f>
        <v>176.48886000000002</v>
      </c>
      <c r="J731" s="86">
        <v>78.760000000000005</v>
      </c>
      <c r="K731" s="512">
        <f>SUM(H731:H750)</f>
        <v>3404.6560000000009</v>
      </c>
      <c r="L731" s="510">
        <v>99.266000000000005</v>
      </c>
    </row>
    <row r="732" spans="1:12" x14ac:dyDescent="0.25">
      <c r="A732" s="515"/>
      <c r="B732" s="516"/>
      <c r="C732" s="95" t="s">
        <v>38</v>
      </c>
      <c r="D732" s="104">
        <v>0</v>
      </c>
      <c r="E732" s="105">
        <v>2</v>
      </c>
      <c r="F732" s="85" t="str">
        <f t="shared" ref="F732:F750" si="59">LEFT(C732,2)&amp;D732&amp;E732</f>
        <v>C302</v>
      </c>
      <c r="G732" s="84">
        <v>183.887</v>
      </c>
      <c r="H732" s="85">
        <v>203.76345518093646</v>
      </c>
      <c r="I732" s="85">
        <f t="shared" ref="I732:I750" si="60">1.22*G732</f>
        <v>224.34214</v>
      </c>
      <c r="J732" s="86">
        <v>61.522199999999998</v>
      </c>
      <c r="K732" s="512"/>
      <c r="L732" s="510"/>
    </row>
    <row r="733" spans="1:12" x14ac:dyDescent="0.25">
      <c r="A733" s="515"/>
      <c r="B733" s="516"/>
      <c r="C733" s="95" t="s">
        <v>38</v>
      </c>
      <c r="D733" s="104">
        <v>0</v>
      </c>
      <c r="E733" s="105">
        <v>3</v>
      </c>
      <c r="F733" s="85" t="str">
        <f t="shared" si="59"/>
        <v>C303</v>
      </c>
      <c r="G733" s="84">
        <v>162.78100000000001</v>
      </c>
      <c r="H733" s="85">
        <v>180.37609508996297</v>
      </c>
      <c r="I733" s="85">
        <f t="shared" si="60"/>
        <v>198.59281999999999</v>
      </c>
      <c r="J733" s="86">
        <v>77.576999999999998</v>
      </c>
      <c r="K733" s="512"/>
      <c r="L733" s="510"/>
    </row>
    <row r="734" spans="1:12" x14ac:dyDescent="0.25">
      <c r="A734" s="515"/>
      <c r="B734" s="516"/>
      <c r="C734" s="95" t="s">
        <v>38</v>
      </c>
      <c r="D734" s="104">
        <v>0</v>
      </c>
      <c r="E734" s="105">
        <v>4</v>
      </c>
      <c r="F734" s="85" t="str">
        <f t="shared" si="59"/>
        <v>C304</v>
      </c>
      <c r="G734" s="84">
        <v>95.213999999999999</v>
      </c>
      <c r="H734" s="85">
        <v>105.50573788031609</v>
      </c>
      <c r="I734" s="85">
        <f t="shared" si="60"/>
        <v>116.16108</v>
      </c>
      <c r="J734" s="86">
        <v>61.500599999999999</v>
      </c>
      <c r="K734" s="512"/>
      <c r="L734" s="510"/>
    </row>
    <row r="735" spans="1:12" x14ac:dyDescent="0.25">
      <c r="A735" s="515"/>
      <c r="B735" s="516"/>
      <c r="C735" s="95" t="s">
        <v>38</v>
      </c>
      <c r="D735" s="104">
        <v>1</v>
      </c>
      <c r="E735" s="105">
        <v>1</v>
      </c>
      <c r="F735" s="85" t="str">
        <f t="shared" si="59"/>
        <v>C311</v>
      </c>
      <c r="G735" s="84">
        <v>141.66300000000001</v>
      </c>
      <c r="H735" s="85">
        <v>156.9754379118535</v>
      </c>
      <c r="I735" s="85">
        <f t="shared" si="60"/>
        <v>172.82886000000002</v>
      </c>
      <c r="J735" s="84"/>
      <c r="K735" s="512"/>
      <c r="L735" s="510">
        <v>73.486999999999995</v>
      </c>
    </row>
    <row r="736" spans="1:12" x14ac:dyDescent="0.25">
      <c r="A736" s="515"/>
      <c r="B736" s="516"/>
      <c r="C736" s="95" t="s">
        <v>38</v>
      </c>
      <c r="D736" s="104">
        <v>1</v>
      </c>
      <c r="E736" s="105">
        <v>2</v>
      </c>
      <c r="F736" s="85" t="str">
        <f t="shared" si="59"/>
        <v>C312</v>
      </c>
      <c r="G736" s="84">
        <v>183.637</v>
      </c>
      <c r="H736" s="85">
        <v>203.48643253227053</v>
      </c>
      <c r="I736" s="85">
        <f t="shared" si="60"/>
        <v>224.03713999999999</v>
      </c>
      <c r="J736" s="84"/>
      <c r="K736" s="512"/>
      <c r="L736" s="510"/>
    </row>
    <row r="737" spans="1:12" x14ac:dyDescent="0.25">
      <c r="A737" s="515"/>
      <c r="B737" s="516"/>
      <c r="C737" s="95" t="s">
        <v>38</v>
      </c>
      <c r="D737" s="104">
        <v>1</v>
      </c>
      <c r="E737" s="105">
        <v>3</v>
      </c>
      <c r="F737" s="85" t="str">
        <f t="shared" si="59"/>
        <v>C313</v>
      </c>
      <c r="G737" s="84">
        <v>162.53100000000001</v>
      </c>
      <c r="H737" s="85">
        <v>180.09907244129704</v>
      </c>
      <c r="I737" s="85">
        <f t="shared" si="60"/>
        <v>198.28782000000001</v>
      </c>
      <c r="J737" s="84"/>
      <c r="K737" s="512"/>
      <c r="L737" s="510"/>
    </row>
    <row r="738" spans="1:12" x14ac:dyDescent="0.25">
      <c r="A738" s="515"/>
      <c r="B738" s="516"/>
      <c r="C738" s="95" t="s">
        <v>38</v>
      </c>
      <c r="D738" s="104">
        <v>1</v>
      </c>
      <c r="E738" s="105">
        <v>4</v>
      </c>
      <c r="F738" s="85" t="str">
        <f t="shared" si="59"/>
        <v>C314</v>
      </c>
      <c r="G738" s="84">
        <v>96.271000000000001</v>
      </c>
      <c r="H738" s="85">
        <v>106.6769896388757</v>
      </c>
      <c r="I738" s="85">
        <f t="shared" si="60"/>
        <v>117.45062</v>
      </c>
      <c r="J738" s="84"/>
      <c r="K738" s="512"/>
      <c r="L738" s="510"/>
    </row>
    <row r="739" spans="1:12" x14ac:dyDescent="0.25">
      <c r="A739" s="515"/>
      <c r="B739" s="516"/>
      <c r="C739" s="95" t="s">
        <v>38</v>
      </c>
      <c r="D739" s="104">
        <v>2</v>
      </c>
      <c r="E739" s="105">
        <v>1</v>
      </c>
      <c r="F739" s="85" t="str">
        <f t="shared" si="59"/>
        <v>C321</v>
      </c>
      <c r="G739" s="84">
        <v>143.989</v>
      </c>
      <c r="H739" s="85">
        <v>159.55285663504142</v>
      </c>
      <c r="I739" s="85">
        <f t="shared" si="60"/>
        <v>175.66658000000001</v>
      </c>
      <c r="J739" s="84"/>
      <c r="K739" s="512"/>
      <c r="L739" s="510">
        <v>53.119</v>
      </c>
    </row>
    <row r="740" spans="1:12" x14ac:dyDescent="0.25">
      <c r="A740" s="515"/>
      <c r="B740" s="516"/>
      <c r="C740" s="95" t="s">
        <v>38</v>
      </c>
      <c r="D740" s="104">
        <v>2</v>
      </c>
      <c r="E740" s="105">
        <v>2</v>
      </c>
      <c r="F740" s="85" t="str">
        <f t="shared" si="59"/>
        <v>C322</v>
      </c>
      <c r="G740" s="84">
        <v>187.1</v>
      </c>
      <c r="H740" s="85">
        <v>207.32375026159116</v>
      </c>
      <c r="I740" s="85">
        <f t="shared" si="60"/>
        <v>228.262</v>
      </c>
      <c r="J740" s="84"/>
      <c r="K740" s="512"/>
      <c r="L740" s="510"/>
    </row>
    <row r="741" spans="1:12" x14ac:dyDescent="0.25">
      <c r="A741" s="515"/>
      <c r="B741" s="516"/>
      <c r="C741" s="95" t="s">
        <v>38</v>
      </c>
      <c r="D741" s="104">
        <v>2</v>
      </c>
      <c r="E741" s="105">
        <v>3</v>
      </c>
      <c r="F741" s="85" t="str">
        <f t="shared" si="59"/>
        <v>C323</v>
      </c>
      <c r="G741" s="84">
        <v>167.16900000000001</v>
      </c>
      <c r="H741" s="85">
        <v>185.23839661934761</v>
      </c>
      <c r="I741" s="85">
        <f t="shared" si="60"/>
        <v>203.94618</v>
      </c>
      <c r="J741" s="84"/>
      <c r="K741" s="512"/>
      <c r="L741" s="510"/>
    </row>
    <row r="742" spans="1:12" x14ac:dyDescent="0.25">
      <c r="A742" s="515"/>
      <c r="B742" s="516"/>
      <c r="C742" s="95" t="s">
        <v>38</v>
      </c>
      <c r="D742" s="104">
        <v>2</v>
      </c>
      <c r="E742" s="105">
        <v>4</v>
      </c>
      <c r="F742" s="85" t="str">
        <f t="shared" si="59"/>
        <v>C324</v>
      </c>
      <c r="G742" s="84">
        <v>141.18700000000001</v>
      </c>
      <c r="H742" s="85">
        <v>156.44798678879354</v>
      </c>
      <c r="I742" s="85">
        <f t="shared" si="60"/>
        <v>172.24814000000001</v>
      </c>
      <c r="J742" s="84"/>
      <c r="K742" s="512"/>
      <c r="L742" s="510"/>
    </row>
    <row r="743" spans="1:12" x14ac:dyDescent="0.25">
      <c r="A743" s="515"/>
      <c r="B743" s="516"/>
      <c r="C743" s="95" t="s">
        <v>38</v>
      </c>
      <c r="D743" s="104">
        <v>3</v>
      </c>
      <c r="E743" s="105">
        <v>1</v>
      </c>
      <c r="F743" s="85" t="str">
        <f t="shared" si="59"/>
        <v>C331</v>
      </c>
      <c r="G743" s="84">
        <v>143.89599999999999</v>
      </c>
      <c r="H743" s="85">
        <v>159.44980420973766</v>
      </c>
      <c r="I743" s="85">
        <f t="shared" si="60"/>
        <v>175.55311999999998</v>
      </c>
      <c r="J743" s="84"/>
      <c r="K743" s="512"/>
      <c r="L743" s="510">
        <v>52.92</v>
      </c>
    </row>
    <row r="744" spans="1:12" x14ac:dyDescent="0.25">
      <c r="A744" s="515"/>
      <c r="B744" s="516"/>
      <c r="C744" s="95" t="s">
        <v>38</v>
      </c>
      <c r="D744" s="104">
        <v>3</v>
      </c>
      <c r="E744" s="105">
        <v>2</v>
      </c>
      <c r="F744" s="85" t="str">
        <f t="shared" si="59"/>
        <v>C332</v>
      </c>
      <c r="G744" s="84">
        <v>187.20400000000001</v>
      </c>
      <c r="H744" s="85">
        <v>207.4389916834362</v>
      </c>
      <c r="I744" s="85">
        <f t="shared" si="60"/>
        <v>228.38888</v>
      </c>
      <c r="J744" s="84"/>
      <c r="K744" s="512"/>
      <c r="L744" s="510"/>
    </row>
    <row r="745" spans="1:12" x14ac:dyDescent="0.25">
      <c r="A745" s="515"/>
      <c r="B745" s="516"/>
      <c r="C745" s="95" t="s">
        <v>38</v>
      </c>
      <c r="D745" s="104">
        <v>3</v>
      </c>
      <c r="E745" s="105">
        <v>3</v>
      </c>
      <c r="F745" s="85" t="str">
        <f t="shared" si="59"/>
        <v>C333</v>
      </c>
      <c r="G745" s="84">
        <v>164.417</v>
      </c>
      <c r="H745" s="85">
        <v>182.18893130283288</v>
      </c>
      <c r="I745" s="85">
        <f t="shared" si="60"/>
        <v>200.58874</v>
      </c>
      <c r="J745" s="84"/>
      <c r="K745" s="512"/>
      <c r="L745" s="510"/>
    </row>
    <row r="746" spans="1:12" x14ac:dyDescent="0.25">
      <c r="A746" s="515"/>
      <c r="B746" s="516"/>
      <c r="C746" s="95" t="s">
        <v>38</v>
      </c>
      <c r="D746" s="104">
        <v>3</v>
      </c>
      <c r="E746" s="105">
        <v>4</v>
      </c>
      <c r="F746" s="85" t="str">
        <f t="shared" si="59"/>
        <v>C334</v>
      </c>
      <c r="G746" s="84">
        <v>141.07300000000001</v>
      </c>
      <c r="H746" s="85">
        <v>156.32166446100189</v>
      </c>
      <c r="I746" s="85">
        <f t="shared" si="60"/>
        <v>172.10906</v>
      </c>
      <c r="J746" s="84"/>
      <c r="K746" s="512"/>
      <c r="L746" s="510"/>
    </row>
    <row r="747" spans="1:12" x14ac:dyDescent="0.25">
      <c r="A747" s="515"/>
      <c r="B747" s="516"/>
      <c r="C747" s="95" t="s">
        <v>38</v>
      </c>
      <c r="D747" s="104">
        <v>4</v>
      </c>
      <c r="E747" s="105">
        <v>1</v>
      </c>
      <c r="F747" s="85" t="str">
        <f t="shared" si="59"/>
        <v>C341</v>
      </c>
      <c r="G747" s="84">
        <v>141.929</v>
      </c>
      <c r="H747" s="85">
        <v>157.27019001003407</v>
      </c>
      <c r="I747" s="85">
        <f t="shared" si="60"/>
        <v>173.15338</v>
      </c>
      <c r="J747" s="84"/>
      <c r="K747" s="512"/>
      <c r="L747" s="510">
        <v>52.92</v>
      </c>
    </row>
    <row r="748" spans="1:12" x14ac:dyDescent="0.25">
      <c r="A748" s="515"/>
      <c r="B748" s="516"/>
      <c r="C748" s="95" t="s">
        <v>38</v>
      </c>
      <c r="D748" s="104">
        <v>4</v>
      </c>
      <c r="E748" s="105">
        <v>2</v>
      </c>
      <c r="F748" s="85" t="str">
        <f t="shared" si="59"/>
        <v>C342</v>
      </c>
      <c r="G748" s="84">
        <v>182.36099999999999</v>
      </c>
      <c r="H748" s="85">
        <v>202.07250893347955</v>
      </c>
      <c r="I748" s="85">
        <f t="shared" si="60"/>
        <v>222.48041999999998</v>
      </c>
      <c r="J748" s="84"/>
      <c r="K748" s="512"/>
      <c r="L748" s="510"/>
    </row>
    <row r="749" spans="1:12" x14ac:dyDescent="0.25">
      <c r="A749" s="515"/>
      <c r="B749" s="516"/>
      <c r="C749" s="95" t="s">
        <v>38</v>
      </c>
      <c r="D749" s="104">
        <v>4</v>
      </c>
      <c r="E749" s="105">
        <v>3</v>
      </c>
      <c r="F749" s="85" t="str">
        <f t="shared" si="59"/>
        <v>C343</v>
      </c>
      <c r="G749" s="84">
        <v>162.44399999999999</v>
      </c>
      <c r="H749" s="85">
        <v>180.00266855956127</v>
      </c>
      <c r="I749" s="85">
        <f t="shared" si="60"/>
        <v>198.18167999999997</v>
      </c>
      <c r="J749" s="84"/>
      <c r="K749" s="512"/>
      <c r="L749" s="510"/>
    </row>
    <row r="750" spans="1:12" x14ac:dyDescent="0.25">
      <c r="A750" s="515"/>
      <c r="B750" s="516"/>
      <c r="C750" s="95" t="s">
        <v>38</v>
      </c>
      <c r="D750" s="104">
        <v>4</v>
      </c>
      <c r="E750" s="105">
        <v>4</v>
      </c>
      <c r="F750" s="85" t="str">
        <f t="shared" si="59"/>
        <v>C344</v>
      </c>
      <c r="G750" s="84">
        <v>139.12700000000001</v>
      </c>
      <c r="H750" s="85">
        <v>154.16532016378619</v>
      </c>
      <c r="I750" s="85">
        <f t="shared" si="60"/>
        <v>169.73493999999999</v>
      </c>
      <c r="J750" s="84"/>
      <c r="K750" s="512"/>
      <c r="L750" s="510"/>
    </row>
    <row r="751" spans="1:12" x14ac:dyDescent="0.25">
      <c r="A751" s="81" t="s">
        <v>4</v>
      </c>
      <c r="B751" s="80"/>
      <c r="C751" s="81"/>
      <c r="D751" s="81"/>
      <c r="E751" s="81"/>
      <c r="F751" s="81"/>
      <c r="G751" s="83">
        <f>SUM(G731:G750)</f>
        <v>3072.5429999999997</v>
      </c>
      <c r="H751" s="83"/>
      <c r="I751" s="83">
        <f>SUM(I731:I750)</f>
        <v>3748.5024600000002</v>
      </c>
      <c r="J751" s="83"/>
      <c r="K751" s="83">
        <f>SUM(K731)</f>
        <v>3404.6560000000009</v>
      </c>
      <c r="L751" s="83">
        <f>L747+L743+L739+L735+L731</f>
        <v>331.71199999999999</v>
      </c>
    </row>
    <row r="752" spans="1:12" x14ac:dyDescent="0.25">
      <c r="A752" s="89"/>
      <c r="B752" s="93"/>
      <c r="C752" s="89"/>
      <c r="D752" s="89"/>
      <c r="E752" s="89"/>
      <c r="F752" s="89"/>
      <c r="G752" s="87">
        <f>K751/G751</f>
        <v>1.1080905946637691</v>
      </c>
      <c r="L752" s="90">
        <f>(L731+L735+L739+L743+L747)/K751</f>
        <v>9.7428932614631231E-2</v>
      </c>
    </row>
    <row r="755" spans="1:12" ht="37.5" x14ac:dyDescent="0.25">
      <c r="A755" s="82" t="s">
        <v>9</v>
      </c>
      <c r="B755" s="83" t="s">
        <v>7</v>
      </c>
      <c r="C755" s="82" t="s">
        <v>8</v>
      </c>
      <c r="D755" s="102" t="s">
        <v>10</v>
      </c>
      <c r="E755" s="103" t="s">
        <v>2</v>
      </c>
      <c r="F755" s="82" t="s">
        <v>104</v>
      </c>
      <c r="G755" s="82" t="s">
        <v>3</v>
      </c>
      <c r="H755" s="82" t="s">
        <v>102</v>
      </c>
      <c r="I755" s="82" t="s">
        <v>101</v>
      </c>
      <c r="J755" s="82" t="s">
        <v>103</v>
      </c>
      <c r="K755" s="83" t="s">
        <v>6</v>
      </c>
      <c r="L755" s="83" t="s">
        <v>1</v>
      </c>
    </row>
    <row r="756" spans="1:12" x14ac:dyDescent="0.25">
      <c r="A756" s="515" t="s">
        <v>33</v>
      </c>
      <c r="B756" s="516" t="s">
        <v>50</v>
      </c>
      <c r="C756" s="95" t="s">
        <v>88</v>
      </c>
      <c r="D756" s="104">
        <v>0</v>
      </c>
      <c r="E756" s="105">
        <v>1</v>
      </c>
      <c r="F756" s="85" t="str">
        <f>LEFT(C756,2)&amp;D756&amp;E756</f>
        <v>C401</v>
      </c>
      <c r="G756" s="84">
        <v>95.254000000000005</v>
      </c>
      <c r="H756" s="85">
        <v>105.53950812408786</v>
      </c>
      <c r="I756" s="85">
        <f>1.22*G756</f>
        <v>116.20988</v>
      </c>
      <c r="J756" s="86">
        <v>63.1755</v>
      </c>
      <c r="K756" s="512">
        <f>SUM(H756:H775)</f>
        <v>3407.9829999999993</v>
      </c>
      <c r="L756" s="510">
        <v>99.266000000000005</v>
      </c>
    </row>
    <row r="757" spans="1:12" x14ac:dyDescent="0.25">
      <c r="A757" s="515"/>
      <c r="B757" s="516"/>
      <c r="C757" s="95" t="s">
        <v>88</v>
      </c>
      <c r="D757" s="104">
        <v>0</v>
      </c>
      <c r="E757" s="105">
        <v>2</v>
      </c>
      <c r="F757" s="85" t="str">
        <f t="shared" ref="F757:F775" si="61">LEFT(C757,2)&amp;D757&amp;E757</f>
        <v>C402</v>
      </c>
      <c r="G757" s="84">
        <v>162.82599999999999</v>
      </c>
      <c r="H757" s="85">
        <v>180.40791935050211</v>
      </c>
      <c r="I757" s="85">
        <f t="shared" ref="I757:I775" si="62">1.22*G757</f>
        <v>198.64771999999999</v>
      </c>
      <c r="J757" s="86">
        <v>77.610299999999995</v>
      </c>
      <c r="K757" s="512"/>
      <c r="L757" s="510"/>
    </row>
    <row r="758" spans="1:12" x14ac:dyDescent="0.25">
      <c r="A758" s="515"/>
      <c r="B758" s="516"/>
      <c r="C758" s="95" t="s">
        <v>88</v>
      </c>
      <c r="D758" s="104">
        <v>0</v>
      </c>
      <c r="E758" s="105">
        <v>3</v>
      </c>
      <c r="F758" s="85" t="str">
        <f t="shared" si="61"/>
        <v>C403</v>
      </c>
      <c r="G758" s="84">
        <v>183.887</v>
      </c>
      <c r="H758" s="85">
        <v>203.74308197465874</v>
      </c>
      <c r="I758" s="85">
        <f t="shared" si="62"/>
        <v>224.34214</v>
      </c>
      <c r="J758" s="86">
        <v>61.527700000000003</v>
      </c>
      <c r="K758" s="512"/>
      <c r="L758" s="510"/>
    </row>
    <row r="759" spans="1:12" x14ac:dyDescent="0.25">
      <c r="A759" s="515"/>
      <c r="B759" s="516"/>
      <c r="C759" s="95" t="s">
        <v>88</v>
      </c>
      <c r="D759" s="104">
        <v>0</v>
      </c>
      <c r="E759" s="105">
        <v>4</v>
      </c>
      <c r="F759" s="85" t="str">
        <f t="shared" si="61"/>
        <v>C404</v>
      </c>
      <c r="G759" s="84">
        <v>147.54499999999999</v>
      </c>
      <c r="H759" s="85">
        <v>163.47687998581205</v>
      </c>
      <c r="I759" s="85">
        <f t="shared" si="62"/>
        <v>180.00489999999999</v>
      </c>
      <c r="J759" s="86">
        <v>81.552400000000006</v>
      </c>
      <c r="K759" s="512"/>
      <c r="L759" s="510"/>
    </row>
    <row r="760" spans="1:12" x14ac:dyDescent="0.25">
      <c r="A760" s="515"/>
      <c r="B760" s="516"/>
      <c r="C760" s="95" t="s">
        <v>88</v>
      </c>
      <c r="D760" s="104">
        <v>1</v>
      </c>
      <c r="E760" s="105">
        <v>1</v>
      </c>
      <c r="F760" s="85" t="str">
        <f t="shared" si="61"/>
        <v>C411</v>
      </c>
      <c r="G760" s="84">
        <v>96.311000000000007</v>
      </c>
      <c r="H760" s="85">
        <v>106.71064277551626</v>
      </c>
      <c r="I760" s="85">
        <f t="shared" si="62"/>
        <v>117.49942</v>
      </c>
      <c r="J760" s="84"/>
      <c r="K760" s="512"/>
      <c r="L760" s="510">
        <v>73.486999999999995</v>
      </c>
    </row>
    <row r="761" spans="1:12" x14ac:dyDescent="0.25">
      <c r="A761" s="515"/>
      <c r="B761" s="516"/>
      <c r="C761" s="95" t="s">
        <v>88</v>
      </c>
      <c r="D761" s="104">
        <v>1</v>
      </c>
      <c r="E761" s="105">
        <v>2</v>
      </c>
      <c r="F761" s="85" t="str">
        <f t="shared" si="61"/>
        <v>C412</v>
      </c>
      <c r="G761" s="84">
        <v>162.57599999999999</v>
      </c>
      <c r="H761" s="85">
        <v>180.13092439983313</v>
      </c>
      <c r="I761" s="85">
        <f t="shared" si="62"/>
        <v>198.34271999999999</v>
      </c>
      <c r="J761" s="84"/>
      <c r="K761" s="512"/>
      <c r="L761" s="510"/>
    </row>
    <row r="762" spans="1:12" x14ac:dyDescent="0.25">
      <c r="A762" s="515"/>
      <c r="B762" s="516"/>
      <c r="C762" s="95" t="s">
        <v>88</v>
      </c>
      <c r="D762" s="104">
        <v>1</v>
      </c>
      <c r="E762" s="105">
        <v>3</v>
      </c>
      <c r="F762" s="85" t="str">
        <f t="shared" si="61"/>
        <v>C413</v>
      </c>
      <c r="G762" s="84">
        <v>183.637</v>
      </c>
      <c r="H762" s="85">
        <v>203.46608702398976</v>
      </c>
      <c r="I762" s="85">
        <f t="shared" si="62"/>
        <v>224.03713999999999</v>
      </c>
      <c r="J762" s="84"/>
      <c r="K762" s="512"/>
      <c r="L762" s="510"/>
    </row>
    <row r="763" spans="1:12" x14ac:dyDescent="0.25">
      <c r="A763" s="515"/>
      <c r="B763" s="516"/>
      <c r="C763" s="95" t="s">
        <v>88</v>
      </c>
      <c r="D763" s="104">
        <v>1</v>
      </c>
      <c r="E763" s="105">
        <v>4</v>
      </c>
      <c r="F763" s="85" t="str">
        <f t="shared" si="61"/>
        <v>C414</v>
      </c>
      <c r="G763" s="84">
        <v>141.66300000000001</v>
      </c>
      <c r="H763" s="85">
        <v>156.95974278647259</v>
      </c>
      <c r="I763" s="85">
        <f t="shared" si="62"/>
        <v>172.82886000000002</v>
      </c>
      <c r="J763" s="84"/>
      <c r="K763" s="512"/>
      <c r="L763" s="510"/>
    </row>
    <row r="764" spans="1:12" x14ac:dyDescent="0.25">
      <c r="A764" s="515"/>
      <c r="B764" s="516"/>
      <c r="C764" s="95" t="s">
        <v>88</v>
      </c>
      <c r="D764" s="104">
        <v>2</v>
      </c>
      <c r="E764" s="105">
        <v>1</v>
      </c>
      <c r="F764" s="85" t="str">
        <f t="shared" si="61"/>
        <v>C421</v>
      </c>
      <c r="G764" s="84">
        <v>141.22499999999999</v>
      </c>
      <c r="H764" s="85">
        <v>156.47444763290054</v>
      </c>
      <c r="I764" s="85">
        <f t="shared" si="62"/>
        <v>172.2945</v>
      </c>
      <c r="J764" s="84"/>
      <c r="K764" s="512"/>
      <c r="L764" s="510">
        <v>53.119</v>
      </c>
    </row>
    <row r="765" spans="1:12" x14ac:dyDescent="0.25">
      <c r="A765" s="515"/>
      <c r="B765" s="516"/>
      <c r="C765" s="95" t="s">
        <v>88</v>
      </c>
      <c r="D765" s="104">
        <v>2</v>
      </c>
      <c r="E765" s="105">
        <v>2</v>
      </c>
      <c r="F765" s="85" t="str">
        <f t="shared" si="61"/>
        <v>C422</v>
      </c>
      <c r="G765" s="84">
        <v>167.214</v>
      </c>
      <c r="H765" s="85">
        <v>185.26973472464385</v>
      </c>
      <c r="I765" s="85">
        <f t="shared" si="62"/>
        <v>204.00108</v>
      </c>
      <c r="J765" s="84"/>
      <c r="K765" s="512"/>
      <c r="L765" s="510"/>
    </row>
    <row r="766" spans="1:12" x14ac:dyDescent="0.25">
      <c r="A766" s="515"/>
      <c r="B766" s="516"/>
      <c r="C766" s="95" t="s">
        <v>88</v>
      </c>
      <c r="D766" s="104">
        <v>2</v>
      </c>
      <c r="E766" s="105">
        <v>3</v>
      </c>
      <c r="F766" s="85" t="str">
        <f t="shared" si="61"/>
        <v>C423</v>
      </c>
      <c r="G766" s="84">
        <v>187.10300000000001</v>
      </c>
      <c r="H766" s="85">
        <v>207.30634502006436</v>
      </c>
      <c r="I766" s="85">
        <f t="shared" si="62"/>
        <v>228.26566</v>
      </c>
      <c r="J766" s="84"/>
      <c r="K766" s="512"/>
      <c r="L766" s="510"/>
    </row>
    <row r="767" spans="1:12" x14ac:dyDescent="0.25">
      <c r="A767" s="515"/>
      <c r="B767" s="516"/>
      <c r="C767" s="95" t="s">
        <v>88</v>
      </c>
      <c r="D767" s="104">
        <v>2</v>
      </c>
      <c r="E767" s="105">
        <v>4</v>
      </c>
      <c r="F767" s="85" t="str">
        <f t="shared" si="61"/>
        <v>C424</v>
      </c>
      <c r="G767" s="84">
        <v>143.989</v>
      </c>
      <c r="H767" s="85">
        <v>159.53690380749666</v>
      </c>
      <c r="I767" s="85">
        <f t="shared" si="62"/>
        <v>175.66658000000001</v>
      </c>
      <c r="J767" s="84"/>
      <c r="K767" s="512"/>
      <c r="L767" s="510"/>
    </row>
    <row r="768" spans="1:12" x14ac:dyDescent="0.25">
      <c r="A768" s="515"/>
      <c r="B768" s="516"/>
      <c r="C768" s="95" t="s">
        <v>88</v>
      </c>
      <c r="D768" s="104">
        <v>3</v>
      </c>
      <c r="E768" s="105">
        <v>1</v>
      </c>
      <c r="F768" s="85" t="str">
        <f t="shared" si="61"/>
        <v>C431</v>
      </c>
      <c r="G768" s="84">
        <v>141.131</v>
      </c>
      <c r="H768" s="85">
        <v>156.37029753144901</v>
      </c>
      <c r="I768" s="85">
        <f t="shared" si="62"/>
        <v>172.17982000000001</v>
      </c>
      <c r="J768" s="84"/>
      <c r="K768" s="512"/>
      <c r="L768" s="510">
        <v>53.119</v>
      </c>
    </row>
    <row r="769" spans="1:12" x14ac:dyDescent="0.25">
      <c r="A769" s="515"/>
      <c r="B769" s="516"/>
      <c r="C769" s="95" t="s">
        <v>88</v>
      </c>
      <c r="D769" s="104">
        <v>3</v>
      </c>
      <c r="E769" s="105">
        <v>2</v>
      </c>
      <c r="F769" s="85" t="str">
        <f t="shared" si="61"/>
        <v>C432</v>
      </c>
      <c r="G769" s="84">
        <v>164.43600000000001</v>
      </c>
      <c r="H769" s="85">
        <v>182.19176683281029</v>
      </c>
      <c r="I769" s="85">
        <f t="shared" si="62"/>
        <v>200.61192</v>
      </c>
      <c r="J769" s="84"/>
      <c r="K769" s="512"/>
      <c r="L769" s="510"/>
    </row>
    <row r="770" spans="1:12" x14ac:dyDescent="0.25">
      <c r="A770" s="515"/>
      <c r="B770" s="516"/>
      <c r="C770" s="95" t="s">
        <v>88</v>
      </c>
      <c r="D770" s="104">
        <v>3</v>
      </c>
      <c r="E770" s="105">
        <v>3</v>
      </c>
      <c r="F770" s="85" t="str">
        <f t="shared" si="61"/>
        <v>C433</v>
      </c>
      <c r="G770" s="84">
        <v>187.20400000000001</v>
      </c>
      <c r="H770" s="85">
        <v>207.41825098013462</v>
      </c>
      <c r="I770" s="85">
        <f t="shared" si="62"/>
        <v>228.38888</v>
      </c>
      <c r="J770" s="84"/>
      <c r="K770" s="512"/>
      <c r="L770" s="510"/>
    </row>
    <row r="771" spans="1:12" x14ac:dyDescent="0.25">
      <c r="A771" s="515"/>
      <c r="B771" s="516"/>
      <c r="C771" s="95" t="s">
        <v>88</v>
      </c>
      <c r="D771" s="104">
        <v>3</v>
      </c>
      <c r="E771" s="105">
        <v>4</v>
      </c>
      <c r="F771" s="85" t="str">
        <f t="shared" si="61"/>
        <v>C434</v>
      </c>
      <c r="G771" s="84">
        <v>143.911</v>
      </c>
      <c r="H771" s="85">
        <v>159.45048138288794</v>
      </c>
      <c r="I771" s="85">
        <f t="shared" si="62"/>
        <v>175.57141999999999</v>
      </c>
      <c r="J771" s="84"/>
      <c r="K771" s="512"/>
      <c r="L771" s="510"/>
    </row>
    <row r="772" spans="1:12" x14ac:dyDescent="0.25">
      <c r="A772" s="515"/>
      <c r="B772" s="516"/>
      <c r="C772" s="95" t="s">
        <v>88</v>
      </c>
      <c r="D772" s="104">
        <v>4</v>
      </c>
      <c r="E772" s="105">
        <v>1</v>
      </c>
      <c r="F772" s="85" t="str">
        <f t="shared" si="61"/>
        <v>C441</v>
      </c>
      <c r="G772" s="84">
        <v>139.16499999999999</v>
      </c>
      <c r="H772" s="85">
        <v>154.19200923938823</v>
      </c>
      <c r="I772" s="85">
        <f t="shared" si="62"/>
        <v>169.78129999999999</v>
      </c>
      <c r="J772" s="84"/>
      <c r="K772" s="512"/>
      <c r="L772" s="510">
        <v>53.119</v>
      </c>
    </row>
    <row r="773" spans="1:12" x14ac:dyDescent="0.25">
      <c r="A773" s="515"/>
      <c r="B773" s="516"/>
      <c r="C773" s="95" t="s">
        <v>88</v>
      </c>
      <c r="D773" s="104">
        <v>4</v>
      </c>
      <c r="E773" s="105">
        <v>2</v>
      </c>
      <c r="F773" s="85" t="str">
        <f t="shared" si="61"/>
        <v>C442</v>
      </c>
      <c r="G773" s="84">
        <v>162.49</v>
      </c>
      <c r="H773" s="85">
        <v>180.03563813680304</v>
      </c>
      <c r="I773" s="85">
        <f t="shared" si="62"/>
        <v>198.23779999999999</v>
      </c>
      <c r="J773" s="84"/>
      <c r="K773" s="512"/>
      <c r="L773" s="510"/>
    </row>
    <row r="774" spans="1:12" x14ac:dyDescent="0.25">
      <c r="A774" s="515"/>
      <c r="B774" s="516"/>
      <c r="C774" s="95" t="s">
        <v>88</v>
      </c>
      <c r="D774" s="104">
        <v>4</v>
      </c>
      <c r="E774" s="105">
        <v>3</v>
      </c>
      <c r="F774" s="85" t="str">
        <f t="shared" si="61"/>
        <v>C443</v>
      </c>
      <c r="G774" s="84">
        <v>182.357</v>
      </c>
      <c r="H774" s="85">
        <v>202.04787287656464</v>
      </c>
      <c r="I774" s="85">
        <f t="shared" si="62"/>
        <v>222.47554</v>
      </c>
      <c r="J774" s="84"/>
      <c r="K774" s="512"/>
      <c r="L774" s="510"/>
    </row>
    <row r="775" spans="1:12" x14ac:dyDescent="0.25">
      <c r="A775" s="515"/>
      <c r="B775" s="516"/>
      <c r="C775" s="95" t="s">
        <v>88</v>
      </c>
      <c r="D775" s="104">
        <v>4</v>
      </c>
      <c r="E775" s="105">
        <v>4</v>
      </c>
      <c r="F775" s="85" t="str">
        <f t="shared" si="61"/>
        <v>C444</v>
      </c>
      <c r="G775" s="84">
        <v>141.929</v>
      </c>
      <c r="H775" s="85">
        <v>157.25446541398435</v>
      </c>
      <c r="I775" s="85">
        <f t="shared" si="62"/>
        <v>173.15338</v>
      </c>
      <c r="J775" s="84"/>
      <c r="K775" s="512"/>
      <c r="L775" s="510"/>
    </row>
    <row r="776" spans="1:12" x14ac:dyDescent="0.25">
      <c r="A776" s="81" t="s">
        <v>4</v>
      </c>
      <c r="B776" s="80"/>
      <c r="C776" s="81"/>
      <c r="D776" s="81"/>
      <c r="E776" s="81"/>
      <c r="F776" s="81"/>
      <c r="G776" s="83">
        <f>SUM(G756:G775)</f>
        <v>3075.8530000000001</v>
      </c>
      <c r="H776" s="83"/>
      <c r="I776" s="83">
        <f>SUM(I756:I775)</f>
        <v>3752.5406600000001</v>
      </c>
      <c r="J776" s="83"/>
      <c r="K776" s="83">
        <f>SUM(K756)</f>
        <v>3407.9829999999993</v>
      </c>
      <c r="L776" s="83">
        <f>L772+L768+L764+L760+L756</f>
        <v>332.11</v>
      </c>
    </row>
    <row r="777" spans="1:12" x14ac:dyDescent="0.25">
      <c r="A777" s="92"/>
      <c r="B777" s="93"/>
      <c r="C777" s="89"/>
      <c r="D777" s="89"/>
      <c r="E777" s="89"/>
      <c r="F777" s="89"/>
      <c r="G777" s="87">
        <v>1.1079798026758756</v>
      </c>
      <c r="L777" s="88">
        <f>(L756+L760+L764+L768+L772)/K776</f>
        <v>9.7450603480123021E-2</v>
      </c>
    </row>
    <row r="778" spans="1:12" x14ac:dyDescent="0.25">
      <c r="F778" s="101"/>
    </row>
    <row r="779" spans="1:12" ht="37.5" x14ac:dyDescent="0.25">
      <c r="A779" s="106" t="s">
        <v>9</v>
      </c>
      <c r="B779" s="107" t="s">
        <v>7</v>
      </c>
      <c r="C779" s="106" t="s">
        <v>8</v>
      </c>
      <c r="D779" s="108" t="s">
        <v>10</v>
      </c>
      <c r="E779" s="109" t="s">
        <v>2</v>
      </c>
      <c r="F779" s="106" t="s">
        <v>104</v>
      </c>
      <c r="G779" s="106" t="s">
        <v>3</v>
      </c>
      <c r="H779" s="106" t="s">
        <v>102</v>
      </c>
      <c r="I779" s="106" t="s">
        <v>101</v>
      </c>
      <c r="J779" s="106" t="s">
        <v>103</v>
      </c>
      <c r="K779" s="107" t="s">
        <v>6</v>
      </c>
      <c r="L779" s="107" t="s">
        <v>1</v>
      </c>
    </row>
    <row r="780" spans="1:12" x14ac:dyDescent="0.25">
      <c r="A780" s="515" t="s">
        <v>33</v>
      </c>
      <c r="B780" s="516" t="s">
        <v>50</v>
      </c>
      <c r="C780" s="95" t="s">
        <v>87</v>
      </c>
      <c r="D780" s="104">
        <v>0</v>
      </c>
      <c r="E780" s="105">
        <v>1</v>
      </c>
      <c r="F780" s="85" t="str">
        <f>LEFT(C780,2)&amp;D780&amp;E780</f>
        <v>C501</v>
      </c>
      <c r="G780" s="84">
        <v>141.82499999999999</v>
      </c>
      <c r="H780" s="85">
        <v>159.04192828545919</v>
      </c>
      <c r="I780" s="85">
        <f>1.22*G780</f>
        <v>173.02649999999997</v>
      </c>
      <c r="J780" s="86">
        <v>79.386099999999999</v>
      </c>
      <c r="K780" s="512">
        <f>SUM(H780:H799)</f>
        <v>3066.5780000000004</v>
      </c>
      <c r="L780" s="510">
        <v>99.04</v>
      </c>
    </row>
    <row r="781" spans="1:12" x14ac:dyDescent="0.25">
      <c r="A781" s="515"/>
      <c r="B781" s="516"/>
      <c r="C781" s="95" t="s">
        <v>87</v>
      </c>
      <c r="D781" s="104">
        <v>0</v>
      </c>
      <c r="E781" s="105">
        <v>2</v>
      </c>
      <c r="F781" s="85" t="str">
        <f t="shared" ref="F781:F799" si="63">LEFT(C781,2)&amp;D781&amp;E781</f>
        <v>C502</v>
      </c>
      <c r="G781" s="84">
        <v>142.05600000000001</v>
      </c>
      <c r="H781" s="85">
        <v>159.30097066468673</v>
      </c>
      <c r="I781" s="85">
        <f t="shared" ref="I781:I799" si="64">1.22*G781</f>
        <v>173.30832000000001</v>
      </c>
      <c r="J781" s="86">
        <v>97.868200000000002</v>
      </c>
      <c r="K781" s="512"/>
      <c r="L781" s="510"/>
    </row>
    <row r="782" spans="1:12" x14ac:dyDescent="0.25">
      <c r="A782" s="515"/>
      <c r="B782" s="516"/>
      <c r="C782" s="95" t="s">
        <v>87</v>
      </c>
      <c r="D782" s="104">
        <v>0</v>
      </c>
      <c r="E782" s="105">
        <v>3</v>
      </c>
      <c r="F782" s="85" t="str">
        <f t="shared" si="63"/>
        <v>C503</v>
      </c>
      <c r="G782" s="84">
        <v>142.197</v>
      </c>
      <c r="H782" s="85">
        <v>159.45908744161781</v>
      </c>
      <c r="I782" s="85">
        <f t="shared" si="64"/>
        <v>173.48034000000001</v>
      </c>
      <c r="J782" s="86">
        <v>97.259299999999996</v>
      </c>
      <c r="K782" s="512"/>
      <c r="L782" s="510"/>
    </row>
    <row r="783" spans="1:12" x14ac:dyDescent="0.25">
      <c r="A783" s="515"/>
      <c r="B783" s="516"/>
      <c r="C783" s="95" t="s">
        <v>87</v>
      </c>
      <c r="D783" s="104">
        <v>0</v>
      </c>
      <c r="E783" s="105">
        <v>4</v>
      </c>
      <c r="F783" s="85" t="str">
        <f t="shared" si="63"/>
        <v>C504</v>
      </c>
      <c r="G783" s="84">
        <v>95.254000000000005</v>
      </c>
      <c r="H783" s="85">
        <v>106.81741467938045</v>
      </c>
      <c r="I783" s="85">
        <f t="shared" si="64"/>
        <v>116.20988</v>
      </c>
      <c r="J783" s="86">
        <v>63.177900000000001</v>
      </c>
      <c r="K783" s="512"/>
      <c r="L783" s="510"/>
    </row>
    <row r="784" spans="1:12" x14ac:dyDescent="0.25">
      <c r="A784" s="515"/>
      <c r="B784" s="516"/>
      <c r="C784" s="95" t="s">
        <v>87</v>
      </c>
      <c r="D784" s="104">
        <v>1</v>
      </c>
      <c r="E784" s="105">
        <v>1</v>
      </c>
      <c r="F784" s="85" t="str">
        <f t="shared" si="63"/>
        <v>C511</v>
      </c>
      <c r="G784" s="84">
        <v>142.977</v>
      </c>
      <c r="H784" s="85">
        <v>160.33377599485354</v>
      </c>
      <c r="I784" s="85">
        <f t="shared" si="64"/>
        <v>174.43194</v>
      </c>
      <c r="J784" s="84"/>
      <c r="K784" s="512"/>
      <c r="L784" s="510">
        <v>73.486999999999995</v>
      </c>
    </row>
    <row r="785" spans="1:12" x14ac:dyDescent="0.25">
      <c r="A785" s="515"/>
      <c r="B785" s="516"/>
      <c r="C785" s="95" t="s">
        <v>87</v>
      </c>
      <c r="D785" s="104">
        <v>1</v>
      </c>
      <c r="E785" s="105">
        <v>2</v>
      </c>
      <c r="F785" s="85" t="str">
        <f t="shared" si="63"/>
        <v>C512</v>
      </c>
      <c r="G785" s="84">
        <v>139.572</v>
      </c>
      <c r="H785" s="85">
        <v>156.51542404130524</v>
      </c>
      <c r="I785" s="85">
        <f t="shared" si="64"/>
        <v>170.27784</v>
      </c>
      <c r="J785" s="84"/>
      <c r="K785" s="512"/>
      <c r="L785" s="510"/>
    </row>
    <row r="786" spans="1:12" x14ac:dyDescent="0.25">
      <c r="A786" s="515"/>
      <c r="B786" s="516"/>
      <c r="C786" s="95" t="s">
        <v>87</v>
      </c>
      <c r="D786" s="104">
        <v>1</v>
      </c>
      <c r="E786" s="105">
        <v>3</v>
      </c>
      <c r="F786" s="85" t="str">
        <f t="shared" si="63"/>
        <v>C513</v>
      </c>
      <c r="G786" s="84">
        <v>139.71199999999999</v>
      </c>
      <c r="H786" s="85">
        <v>156.67241942265522</v>
      </c>
      <c r="I786" s="85">
        <f t="shared" si="64"/>
        <v>170.44863999999998</v>
      </c>
      <c r="J786" s="84"/>
      <c r="K786" s="512"/>
      <c r="L786" s="510"/>
    </row>
    <row r="787" spans="1:12" x14ac:dyDescent="0.25">
      <c r="A787" s="515"/>
      <c r="B787" s="516"/>
      <c r="C787" s="95" t="s">
        <v>87</v>
      </c>
      <c r="D787" s="104">
        <v>1</v>
      </c>
      <c r="E787" s="105">
        <v>4</v>
      </c>
      <c r="F787" s="85" t="str">
        <f t="shared" si="63"/>
        <v>C514</v>
      </c>
      <c r="G787" s="84">
        <v>96.311000000000007</v>
      </c>
      <c r="H787" s="85">
        <v>108.00272980857298</v>
      </c>
      <c r="I787" s="85">
        <f t="shared" si="64"/>
        <v>117.49942</v>
      </c>
      <c r="J787" s="84"/>
      <c r="K787" s="512"/>
      <c r="L787" s="510"/>
    </row>
    <row r="788" spans="1:12" x14ac:dyDescent="0.25">
      <c r="A788" s="515"/>
      <c r="B788" s="516"/>
      <c r="C788" s="95" t="s">
        <v>87</v>
      </c>
      <c r="D788" s="104">
        <v>2</v>
      </c>
      <c r="E788" s="105">
        <v>1</v>
      </c>
      <c r="F788" s="85" t="str">
        <f t="shared" si="63"/>
        <v>C521</v>
      </c>
      <c r="G788" s="84">
        <v>141.18700000000001</v>
      </c>
      <c r="H788" s="85">
        <v>158.32647790473564</v>
      </c>
      <c r="I788" s="85">
        <f t="shared" si="64"/>
        <v>172.24814000000001</v>
      </c>
      <c r="J788" s="84"/>
      <c r="K788" s="512"/>
      <c r="L788" s="510">
        <v>53.119</v>
      </c>
    </row>
    <row r="789" spans="1:12" x14ac:dyDescent="0.25">
      <c r="A789" s="515"/>
      <c r="B789" s="516"/>
      <c r="C789" s="95" t="s">
        <v>87</v>
      </c>
      <c r="D789" s="104">
        <v>2</v>
      </c>
      <c r="E789" s="105">
        <v>2</v>
      </c>
      <c r="F789" s="85" t="str">
        <f t="shared" si="63"/>
        <v>C522</v>
      </c>
      <c r="G789" s="84">
        <v>141.446</v>
      </c>
      <c r="H789" s="85">
        <v>158.61691936023314</v>
      </c>
      <c r="I789" s="85">
        <f t="shared" si="64"/>
        <v>172.56412</v>
      </c>
      <c r="J789" s="84"/>
      <c r="K789" s="512"/>
      <c r="L789" s="510"/>
    </row>
    <row r="790" spans="1:12" x14ac:dyDescent="0.25">
      <c r="A790" s="515"/>
      <c r="B790" s="516"/>
      <c r="C790" s="95" t="s">
        <v>87</v>
      </c>
      <c r="D790" s="104">
        <v>2</v>
      </c>
      <c r="E790" s="105">
        <v>3</v>
      </c>
      <c r="F790" s="85" t="str">
        <f t="shared" si="63"/>
        <v>C523</v>
      </c>
      <c r="G790" s="84">
        <v>141.572</v>
      </c>
      <c r="H790" s="85">
        <v>158.75821520344815</v>
      </c>
      <c r="I790" s="85">
        <f t="shared" si="64"/>
        <v>172.71784</v>
      </c>
      <c r="J790" s="84"/>
      <c r="K790" s="512"/>
      <c r="L790" s="510"/>
    </row>
    <row r="791" spans="1:12" x14ac:dyDescent="0.25">
      <c r="A791" s="515"/>
      <c r="B791" s="516"/>
      <c r="C791" s="95" t="s">
        <v>87</v>
      </c>
      <c r="D791" s="104">
        <v>2</v>
      </c>
      <c r="E791" s="105">
        <v>4</v>
      </c>
      <c r="F791" s="85" t="str">
        <f t="shared" si="63"/>
        <v>C524</v>
      </c>
      <c r="G791" s="84">
        <v>141.226</v>
      </c>
      <c r="H791" s="85">
        <v>158.37021233239741</v>
      </c>
      <c r="I791" s="85">
        <f t="shared" si="64"/>
        <v>172.29571999999999</v>
      </c>
      <c r="J791" s="84"/>
      <c r="K791" s="512"/>
      <c r="L791" s="510"/>
    </row>
    <row r="792" spans="1:12" x14ac:dyDescent="0.25">
      <c r="A792" s="515"/>
      <c r="B792" s="516"/>
      <c r="C792" s="95" t="s">
        <v>87</v>
      </c>
      <c r="D792" s="104">
        <v>3</v>
      </c>
      <c r="E792" s="105">
        <v>1</v>
      </c>
      <c r="F792" s="85" t="str">
        <f t="shared" si="63"/>
        <v>C531</v>
      </c>
      <c r="G792" s="84">
        <v>141.48599999999999</v>
      </c>
      <c r="H792" s="85">
        <v>158.66177518347598</v>
      </c>
      <c r="I792" s="85">
        <f t="shared" si="64"/>
        <v>172.61291999999997</v>
      </c>
      <c r="J792" s="84"/>
      <c r="K792" s="512"/>
      <c r="L792" s="510">
        <v>53.119</v>
      </c>
    </row>
    <row r="793" spans="1:12" x14ac:dyDescent="0.25">
      <c r="A793" s="515"/>
      <c r="B793" s="516"/>
      <c r="C793" s="95" t="s">
        <v>87</v>
      </c>
      <c r="D793" s="104">
        <v>3</v>
      </c>
      <c r="E793" s="105">
        <v>2</v>
      </c>
      <c r="F793" s="85" t="str">
        <f t="shared" si="63"/>
        <v>C532</v>
      </c>
      <c r="G793" s="84">
        <v>142.25399999999999</v>
      </c>
      <c r="H793" s="85">
        <v>159.52300698973886</v>
      </c>
      <c r="I793" s="85">
        <f t="shared" si="64"/>
        <v>173.54987999999997</v>
      </c>
      <c r="J793" s="84"/>
      <c r="K793" s="512"/>
      <c r="L793" s="510"/>
    </row>
    <row r="794" spans="1:12" x14ac:dyDescent="0.25">
      <c r="A794" s="515"/>
      <c r="B794" s="516"/>
      <c r="C794" s="95" t="s">
        <v>87</v>
      </c>
      <c r="D794" s="104">
        <v>3</v>
      </c>
      <c r="E794" s="105">
        <v>3</v>
      </c>
      <c r="F794" s="85" t="str">
        <f t="shared" si="63"/>
        <v>C533</v>
      </c>
      <c r="G794" s="84">
        <v>142.37799999999999</v>
      </c>
      <c r="H794" s="85">
        <v>159.6620600417917</v>
      </c>
      <c r="I794" s="85">
        <f t="shared" si="64"/>
        <v>173.70115999999999</v>
      </c>
      <c r="J794" s="84"/>
      <c r="K794" s="512"/>
      <c r="L794" s="510"/>
    </row>
    <row r="795" spans="1:12" x14ac:dyDescent="0.25">
      <c r="A795" s="515"/>
      <c r="B795" s="516"/>
      <c r="C795" s="95" t="s">
        <v>87</v>
      </c>
      <c r="D795" s="104">
        <v>3</v>
      </c>
      <c r="E795" s="105">
        <v>4</v>
      </c>
      <c r="F795" s="85" t="str">
        <f t="shared" si="63"/>
        <v>C534</v>
      </c>
      <c r="G795" s="84">
        <v>141.52600000000001</v>
      </c>
      <c r="H795" s="85">
        <v>158.70663100671885</v>
      </c>
      <c r="I795" s="85">
        <f t="shared" si="64"/>
        <v>172.66172</v>
      </c>
      <c r="J795" s="84"/>
      <c r="K795" s="512"/>
      <c r="L795" s="510"/>
    </row>
    <row r="796" spans="1:12" x14ac:dyDescent="0.25">
      <c r="A796" s="515"/>
      <c r="B796" s="516"/>
      <c r="C796" s="95" t="s">
        <v>87</v>
      </c>
      <c r="D796" s="104">
        <v>4</v>
      </c>
      <c r="E796" s="105">
        <v>1</v>
      </c>
      <c r="F796" s="85" t="str">
        <f t="shared" si="63"/>
        <v>C541</v>
      </c>
      <c r="G796" s="84">
        <v>139.12</v>
      </c>
      <c r="H796" s="85">
        <v>156.00855323866094</v>
      </c>
      <c r="I796" s="85">
        <f t="shared" si="64"/>
        <v>169.72640000000001</v>
      </c>
      <c r="J796" s="84"/>
      <c r="K796" s="512"/>
      <c r="L796" s="510">
        <v>53.119</v>
      </c>
    </row>
    <row r="797" spans="1:12" x14ac:dyDescent="0.25">
      <c r="A797" s="515"/>
      <c r="B797" s="516"/>
      <c r="C797" s="95" t="s">
        <v>87</v>
      </c>
      <c r="D797" s="104">
        <v>4</v>
      </c>
      <c r="E797" s="105">
        <v>2</v>
      </c>
      <c r="F797" s="85" t="str">
        <f t="shared" si="63"/>
        <v>C542</v>
      </c>
      <c r="G797" s="84">
        <v>141.53399999999999</v>
      </c>
      <c r="H797" s="85">
        <v>158.71560217136741</v>
      </c>
      <c r="I797" s="85">
        <f t="shared" si="64"/>
        <v>172.67147999999997</v>
      </c>
      <c r="J797" s="84"/>
      <c r="K797" s="512"/>
      <c r="L797" s="510"/>
    </row>
    <row r="798" spans="1:12" x14ac:dyDescent="0.25">
      <c r="A798" s="515"/>
      <c r="B798" s="516"/>
      <c r="C798" s="95" t="s">
        <v>87</v>
      </c>
      <c r="D798" s="104">
        <v>4</v>
      </c>
      <c r="E798" s="105">
        <v>3</v>
      </c>
      <c r="F798" s="85" t="str">
        <f t="shared" si="63"/>
        <v>C543</v>
      </c>
      <c r="G798" s="84">
        <v>141.65899999999999</v>
      </c>
      <c r="H798" s="85">
        <v>158.85577661900135</v>
      </c>
      <c r="I798" s="85">
        <f t="shared" si="64"/>
        <v>172.82397999999998</v>
      </c>
      <c r="J798" s="84"/>
      <c r="K798" s="512"/>
      <c r="L798" s="510"/>
    </row>
    <row r="799" spans="1:12" x14ac:dyDescent="0.25">
      <c r="A799" s="515"/>
      <c r="B799" s="516"/>
      <c r="C799" s="95" t="s">
        <v>87</v>
      </c>
      <c r="D799" s="104">
        <v>4</v>
      </c>
      <c r="E799" s="105">
        <v>4</v>
      </c>
      <c r="F799" s="85" t="str">
        <f t="shared" si="63"/>
        <v>C544</v>
      </c>
      <c r="G799" s="84">
        <v>139.31659999999999</v>
      </c>
      <c r="H799" s="85">
        <v>156.22901960989958</v>
      </c>
      <c r="I799" s="85">
        <f t="shared" si="64"/>
        <v>169.966252</v>
      </c>
      <c r="J799" s="84"/>
      <c r="K799" s="512"/>
      <c r="L799" s="510"/>
    </row>
    <row r="800" spans="1:12" x14ac:dyDescent="0.25">
      <c r="A800" s="81" t="s">
        <v>4</v>
      </c>
      <c r="B800" s="80"/>
      <c r="C800" s="81"/>
      <c r="D800" s="81"/>
      <c r="E800" s="81"/>
      <c r="F800" s="81"/>
      <c r="G800" s="83">
        <f>SUM(G780:G799)</f>
        <v>2734.6086</v>
      </c>
      <c r="H800" s="83"/>
      <c r="I800" s="83">
        <f>SUM(I780:I799)</f>
        <v>3336.2224920000003</v>
      </c>
      <c r="J800" s="83"/>
      <c r="K800" s="83">
        <f>SUM(K780)</f>
        <v>3066.5780000000004</v>
      </c>
      <c r="L800" s="83">
        <f>L796+L792+L788+L784+L780</f>
        <v>331.88400000000001</v>
      </c>
    </row>
    <row r="801" spans="1:12" x14ac:dyDescent="0.25">
      <c r="A801" s="92"/>
      <c r="B801" s="93"/>
      <c r="C801" s="89"/>
      <c r="D801" s="89"/>
      <c r="E801" s="89"/>
      <c r="F801" s="89"/>
      <c r="G801" s="87">
        <v>1.1213955810714558</v>
      </c>
      <c r="L801" s="88">
        <f>(L780+L784+L788+L792+L796)/K800</f>
        <v>0.10822617262629548</v>
      </c>
    </row>
    <row r="802" spans="1:12" x14ac:dyDescent="0.25">
      <c r="F802" s="101"/>
    </row>
    <row r="803" spans="1:12" ht="37.5" x14ac:dyDescent="0.25">
      <c r="A803" s="82" t="s">
        <v>9</v>
      </c>
      <c r="B803" s="83" t="s">
        <v>7</v>
      </c>
      <c r="C803" s="82" t="s">
        <v>8</v>
      </c>
      <c r="D803" s="102" t="s">
        <v>10</v>
      </c>
      <c r="E803" s="103" t="s">
        <v>2</v>
      </c>
      <c r="F803" s="82" t="s">
        <v>104</v>
      </c>
      <c r="G803" s="82" t="s">
        <v>3</v>
      </c>
      <c r="H803" s="82" t="s">
        <v>102</v>
      </c>
      <c r="I803" s="82" t="s">
        <v>101</v>
      </c>
      <c r="J803" s="82" t="s">
        <v>103</v>
      </c>
      <c r="K803" s="83" t="s">
        <v>6</v>
      </c>
      <c r="L803" s="83" t="s">
        <v>1</v>
      </c>
    </row>
    <row r="804" spans="1:12" x14ac:dyDescent="0.25">
      <c r="A804" s="515" t="s">
        <v>33</v>
      </c>
      <c r="B804" s="516" t="s">
        <v>50</v>
      </c>
      <c r="C804" s="95" t="s">
        <v>86</v>
      </c>
      <c r="D804" s="104">
        <v>0</v>
      </c>
      <c r="E804" s="105">
        <v>1</v>
      </c>
      <c r="F804" s="85" t="str">
        <f>LEFT(C804,2)&amp;D804&amp;E804</f>
        <v>C601</v>
      </c>
      <c r="G804" s="84">
        <v>144.66300000000001</v>
      </c>
      <c r="H804" s="85">
        <v>160.29970969584483</v>
      </c>
      <c r="I804" s="85">
        <f>1.22*G804</f>
        <v>176.48886000000002</v>
      </c>
      <c r="J804" s="86">
        <v>81.358699999999999</v>
      </c>
      <c r="K804" s="512">
        <f>SUM(H804:H823)</f>
        <v>3404.6560000000009</v>
      </c>
      <c r="L804" s="510">
        <v>99.266000000000005</v>
      </c>
    </row>
    <row r="805" spans="1:12" x14ac:dyDescent="0.25">
      <c r="A805" s="515"/>
      <c r="B805" s="516"/>
      <c r="C805" s="95" t="s">
        <v>86</v>
      </c>
      <c r="D805" s="104">
        <v>0</v>
      </c>
      <c r="E805" s="105">
        <v>2</v>
      </c>
      <c r="F805" s="85" t="str">
        <f t="shared" ref="F805:F823" si="65">LEFT(C805,2)&amp;D805&amp;E805</f>
        <v>C602</v>
      </c>
      <c r="G805" s="84">
        <v>183.887</v>
      </c>
      <c r="H805" s="85">
        <v>203.76345518093646</v>
      </c>
      <c r="I805" s="85">
        <f t="shared" ref="I805:I823" si="66">1.22*G805</f>
        <v>224.34214</v>
      </c>
      <c r="J805" s="86">
        <v>61.522199999999998</v>
      </c>
      <c r="K805" s="512"/>
      <c r="L805" s="510"/>
    </row>
    <row r="806" spans="1:12" x14ac:dyDescent="0.25">
      <c r="A806" s="515"/>
      <c r="B806" s="516"/>
      <c r="C806" s="95" t="s">
        <v>86</v>
      </c>
      <c r="D806" s="104">
        <v>0</v>
      </c>
      <c r="E806" s="105">
        <v>3</v>
      </c>
      <c r="F806" s="85" t="str">
        <f t="shared" si="65"/>
        <v>C603</v>
      </c>
      <c r="G806" s="84">
        <v>162.78100000000001</v>
      </c>
      <c r="H806" s="85">
        <v>180.37609508996297</v>
      </c>
      <c r="I806" s="85">
        <f t="shared" si="66"/>
        <v>198.59281999999999</v>
      </c>
      <c r="J806" s="86">
        <v>77.576999999999998</v>
      </c>
      <c r="K806" s="512"/>
      <c r="L806" s="510"/>
    </row>
    <row r="807" spans="1:12" x14ac:dyDescent="0.25">
      <c r="A807" s="515"/>
      <c r="B807" s="516"/>
      <c r="C807" s="95" t="s">
        <v>86</v>
      </c>
      <c r="D807" s="104">
        <v>0</v>
      </c>
      <c r="E807" s="105">
        <v>4</v>
      </c>
      <c r="F807" s="85" t="str">
        <f t="shared" si="65"/>
        <v>C604</v>
      </c>
      <c r="G807" s="84">
        <v>95.213999999999999</v>
      </c>
      <c r="H807" s="85">
        <v>105.50573788031609</v>
      </c>
      <c r="I807" s="85">
        <f t="shared" si="66"/>
        <v>116.16108</v>
      </c>
      <c r="J807" s="86">
        <v>63.183500000000002</v>
      </c>
      <c r="K807" s="512"/>
      <c r="L807" s="510"/>
    </row>
    <row r="808" spans="1:12" x14ac:dyDescent="0.25">
      <c r="A808" s="515"/>
      <c r="B808" s="516"/>
      <c r="C808" s="95" t="s">
        <v>86</v>
      </c>
      <c r="D808" s="104">
        <v>1</v>
      </c>
      <c r="E808" s="105">
        <v>1</v>
      </c>
      <c r="F808" s="85" t="str">
        <f t="shared" si="65"/>
        <v>C611</v>
      </c>
      <c r="G808" s="84">
        <v>141.66300000000001</v>
      </c>
      <c r="H808" s="85">
        <v>156.9754379118535</v>
      </c>
      <c r="I808" s="85">
        <f t="shared" si="66"/>
        <v>172.82886000000002</v>
      </c>
      <c r="J808" s="84"/>
      <c r="K808" s="512"/>
      <c r="L808" s="510">
        <v>73.486999999999995</v>
      </c>
    </row>
    <row r="809" spans="1:12" x14ac:dyDescent="0.25">
      <c r="A809" s="515"/>
      <c r="B809" s="516"/>
      <c r="C809" s="95" t="s">
        <v>86</v>
      </c>
      <c r="D809" s="104">
        <v>1</v>
      </c>
      <c r="E809" s="105">
        <v>2</v>
      </c>
      <c r="F809" s="85" t="str">
        <f t="shared" si="65"/>
        <v>C612</v>
      </c>
      <c r="G809" s="84">
        <v>183.637</v>
      </c>
      <c r="H809" s="85">
        <v>203.48643253227053</v>
      </c>
      <c r="I809" s="85">
        <f t="shared" si="66"/>
        <v>224.03713999999999</v>
      </c>
      <c r="J809" s="84"/>
      <c r="K809" s="512"/>
      <c r="L809" s="510"/>
    </row>
    <row r="810" spans="1:12" x14ac:dyDescent="0.25">
      <c r="A810" s="515"/>
      <c r="B810" s="516"/>
      <c r="C810" s="95" t="s">
        <v>86</v>
      </c>
      <c r="D810" s="104">
        <v>1</v>
      </c>
      <c r="E810" s="105">
        <v>3</v>
      </c>
      <c r="F810" s="85" t="str">
        <f t="shared" si="65"/>
        <v>C613</v>
      </c>
      <c r="G810" s="84">
        <v>162.53100000000001</v>
      </c>
      <c r="H810" s="85">
        <v>180.09907244129704</v>
      </c>
      <c r="I810" s="85">
        <f t="shared" si="66"/>
        <v>198.28782000000001</v>
      </c>
      <c r="J810" s="84"/>
      <c r="K810" s="512"/>
      <c r="L810" s="510"/>
    </row>
    <row r="811" spans="1:12" x14ac:dyDescent="0.25">
      <c r="A811" s="515"/>
      <c r="B811" s="516"/>
      <c r="C811" s="95" t="s">
        <v>86</v>
      </c>
      <c r="D811" s="104">
        <v>1</v>
      </c>
      <c r="E811" s="105">
        <v>4</v>
      </c>
      <c r="F811" s="85" t="str">
        <f t="shared" si="65"/>
        <v>C614</v>
      </c>
      <c r="G811" s="84">
        <v>96.271000000000001</v>
      </c>
      <c r="H811" s="85">
        <v>106.6769896388757</v>
      </c>
      <c r="I811" s="85">
        <f t="shared" si="66"/>
        <v>117.45062</v>
      </c>
      <c r="J811" s="84"/>
      <c r="K811" s="512"/>
      <c r="L811" s="510"/>
    </row>
    <row r="812" spans="1:12" x14ac:dyDescent="0.25">
      <c r="A812" s="515"/>
      <c r="B812" s="516"/>
      <c r="C812" s="95" t="s">
        <v>86</v>
      </c>
      <c r="D812" s="104">
        <v>2</v>
      </c>
      <c r="E812" s="105">
        <v>1</v>
      </c>
      <c r="F812" s="85" t="str">
        <f t="shared" si="65"/>
        <v>C621</v>
      </c>
      <c r="G812" s="84">
        <v>143.989</v>
      </c>
      <c r="H812" s="85">
        <v>159.55285663504142</v>
      </c>
      <c r="I812" s="85">
        <f t="shared" si="66"/>
        <v>175.66658000000001</v>
      </c>
      <c r="J812" s="84"/>
      <c r="K812" s="512"/>
      <c r="L812" s="510">
        <v>53.119</v>
      </c>
    </row>
    <row r="813" spans="1:12" x14ac:dyDescent="0.25">
      <c r="A813" s="515"/>
      <c r="B813" s="516"/>
      <c r="C813" s="95" t="s">
        <v>86</v>
      </c>
      <c r="D813" s="104">
        <v>2</v>
      </c>
      <c r="E813" s="105">
        <v>2</v>
      </c>
      <c r="F813" s="85" t="str">
        <f t="shared" si="65"/>
        <v>C622</v>
      </c>
      <c r="G813" s="84">
        <v>187.1</v>
      </c>
      <c r="H813" s="85">
        <v>207.32375026159116</v>
      </c>
      <c r="I813" s="85">
        <f t="shared" si="66"/>
        <v>228.262</v>
      </c>
      <c r="J813" s="84"/>
      <c r="K813" s="512"/>
      <c r="L813" s="510"/>
    </row>
    <row r="814" spans="1:12" x14ac:dyDescent="0.25">
      <c r="A814" s="515"/>
      <c r="B814" s="516"/>
      <c r="C814" s="95" t="s">
        <v>86</v>
      </c>
      <c r="D814" s="104">
        <v>2</v>
      </c>
      <c r="E814" s="105">
        <v>3</v>
      </c>
      <c r="F814" s="85" t="str">
        <f t="shared" si="65"/>
        <v>C623</v>
      </c>
      <c r="G814" s="84">
        <v>167.16900000000001</v>
      </c>
      <c r="H814" s="85">
        <v>185.23839661934761</v>
      </c>
      <c r="I814" s="85">
        <f t="shared" si="66"/>
        <v>203.94618</v>
      </c>
      <c r="J814" s="84"/>
      <c r="K814" s="512"/>
      <c r="L814" s="510"/>
    </row>
    <row r="815" spans="1:12" x14ac:dyDescent="0.25">
      <c r="A815" s="515"/>
      <c r="B815" s="516"/>
      <c r="C815" s="95" t="s">
        <v>86</v>
      </c>
      <c r="D815" s="104">
        <v>2</v>
      </c>
      <c r="E815" s="105">
        <v>4</v>
      </c>
      <c r="F815" s="85" t="str">
        <f t="shared" si="65"/>
        <v>C624</v>
      </c>
      <c r="G815" s="84">
        <v>141.18700000000001</v>
      </c>
      <c r="H815" s="85">
        <v>156.44798678879354</v>
      </c>
      <c r="I815" s="85">
        <f t="shared" si="66"/>
        <v>172.24814000000001</v>
      </c>
      <c r="J815" s="84"/>
      <c r="K815" s="512"/>
      <c r="L815" s="510"/>
    </row>
    <row r="816" spans="1:12" x14ac:dyDescent="0.25">
      <c r="A816" s="515"/>
      <c r="B816" s="516"/>
      <c r="C816" s="95" t="s">
        <v>86</v>
      </c>
      <c r="D816" s="104">
        <v>3</v>
      </c>
      <c r="E816" s="105">
        <v>1</v>
      </c>
      <c r="F816" s="85" t="str">
        <f t="shared" si="65"/>
        <v>C631</v>
      </c>
      <c r="G816" s="84">
        <v>143.89599999999999</v>
      </c>
      <c r="H816" s="85">
        <v>159.44980420973766</v>
      </c>
      <c r="I816" s="85">
        <f t="shared" si="66"/>
        <v>175.55311999999998</v>
      </c>
      <c r="J816" s="84"/>
      <c r="K816" s="512"/>
      <c r="L816" s="510">
        <v>52.92</v>
      </c>
    </row>
    <row r="817" spans="1:12" x14ac:dyDescent="0.25">
      <c r="A817" s="515"/>
      <c r="B817" s="516"/>
      <c r="C817" s="95" t="s">
        <v>86</v>
      </c>
      <c r="D817" s="104">
        <v>3</v>
      </c>
      <c r="E817" s="105">
        <v>2</v>
      </c>
      <c r="F817" s="85" t="str">
        <f t="shared" si="65"/>
        <v>C632</v>
      </c>
      <c r="G817" s="84">
        <v>187.20400000000001</v>
      </c>
      <c r="H817" s="85">
        <v>207.4389916834362</v>
      </c>
      <c r="I817" s="85">
        <f t="shared" si="66"/>
        <v>228.38888</v>
      </c>
      <c r="J817" s="84"/>
      <c r="K817" s="512"/>
      <c r="L817" s="510"/>
    </row>
    <row r="818" spans="1:12" x14ac:dyDescent="0.25">
      <c r="A818" s="515"/>
      <c r="B818" s="516"/>
      <c r="C818" s="95" t="s">
        <v>86</v>
      </c>
      <c r="D818" s="104">
        <v>3</v>
      </c>
      <c r="E818" s="105">
        <v>3</v>
      </c>
      <c r="F818" s="85" t="str">
        <f t="shared" si="65"/>
        <v>C633</v>
      </c>
      <c r="G818" s="84">
        <v>164.417</v>
      </c>
      <c r="H818" s="85">
        <v>182.18893130283288</v>
      </c>
      <c r="I818" s="85">
        <f t="shared" si="66"/>
        <v>200.58874</v>
      </c>
      <c r="J818" s="84"/>
      <c r="K818" s="512"/>
      <c r="L818" s="510"/>
    </row>
    <row r="819" spans="1:12" x14ac:dyDescent="0.25">
      <c r="A819" s="515"/>
      <c r="B819" s="516"/>
      <c r="C819" s="95" t="s">
        <v>86</v>
      </c>
      <c r="D819" s="104">
        <v>3</v>
      </c>
      <c r="E819" s="105">
        <v>4</v>
      </c>
      <c r="F819" s="85" t="str">
        <f t="shared" si="65"/>
        <v>C634</v>
      </c>
      <c r="G819" s="84">
        <v>141.07300000000001</v>
      </c>
      <c r="H819" s="85">
        <v>156.32166446100189</v>
      </c>
      <c r="I819" s="85">
        <f t="shared" si="66"/>
        <v>172.10906</v>
      </c>
      <c r="J819" s="84"/>
      <c r="K819" s="512"/>
      <c r="L819" s="510"/>
    </row>
    <row r="820" spans="1:12" x14ac:dyDescent="0.25">
      <c r="A820" s="515"/>
      <c r="B820" s="516"/>
      <c r="C820" s="95" t="s">
        <v>86</v>
      </c>
      <c r="D820" s="104">
        <v>4</v>
      </c>
      <c r="E820" s="105">
        <v>1</v>
      </c>
      <c r="F820" s="85" t="str">
        <f t="shared" si="65"/>
        <v>C641</v>
      </c>
      <c r="G820" s="84">
        <v>141.929</v>
      </c>
      <c r="H820" s="85">
        <v>157.27019001003407</v>
      </c>
      <c r="I820" s="85">
        <f t="shared" si="66"/>
        <v>173.15338</v>
      </c>
      <c r="J820" s="84"/>
      <c r="K820" s="512"/>
      <c r="L820" s="510">
        <v>52.92</v>
      </c>
    </row>
    <row r="821" spans="1:12" x14ac:dyDescent="0.25">
      <c r="A821" s="515"/>
      <c r="B821" s="516"/>
      <c r="C821" s="95" t="s">
        <v>86</v>
      </c>
      <c r="D821" s="104">
        <v>4</v>
      </c>
      <c r="E821" s="105">
        <v>2</v>
      </c>
      <c r="F821" s="85" t="str">
        <f t="shared" si="65"/>
        <v>C642</v>
      </c>
      <c r="G821" s="84">
        <v>182.36099999999999</v>
      </c>
      <c r="H821" s="85">
        <v>202.07250893347955</v>
      </c>
      <c r="I821" s="85">
        <f t="shared" si="66"/>
        <v>222.48041999999998</v>
      </c>
      <c r="J821" s="84"/>
      <c r="K821" s="512"/>
      <c r="L821" s="510"/>
    </row>
    <row r="822" spans="1:12" x14ac:dyDescent="0.25">
      <c r="A822" s="515"/>
      <c r="B822" s="516"/>
      <c r="C822" s="95" t="s">
        <v>86</v>
      </c>
      <c r="D822" s="104">
        <v>4</v>
      </c>
      <c r="E822" s="105">
        <v>3</v>
      </c>
      <c r="F822" s="85" t="str">
        <f t="shared" si="65"/>
        <v>C643</v>
      </c>
      <c r="G822" s="84">
        <v>162.44399999999999</v>
      </c>
      <c r="H822" s="85">
        <v>180.00266855956127</v>
      </c>
      <c r="I822" s="85">
        <f t="shared" si="66"/>
        <v>198.18167999999997</v>
      </c>
      <c r="J822" s="84"/>
      <c r="K822" s="512"/>
      <c r="L822" s="510"/>
    </row>
    <row r="823" spans="1:12" x14ac:dyDescent="0.25">
      <c r="A823" s="515"/>
      <c r="B823" s="516"/>
      <c r="C823" s="95" t="s">
        <v>86</v>
      </c>
      <c r="D823" s="104">
        <v>4</v>
      </c>
      <c r="E823" s="105">
        <v>4</v>
      </c>
      <c r="F823" s="85" t="str">
        <f t="shared" si="65"/>
        <v>C644</v>
      </c>
      <c r="G823" s="84">
        <v>139.12700000000001</v>
      </c>
      <c r="H823" s="85">
        <v>154.16532016378619</v>
      </c>
      <c r="I823" s="85">
        <f t="shared" si="66"/>
        <v>169.73493999999999</v>
      </c>
      <c r="J823" s="84"/>
      <c r="K823" s="512"/>
      <c r="L823" s="510"/>
    </row>
    <row r="824" spans="1:12" x14ac:dyDescent="0.25">
      <c r="A824" s="81" t="s">
        <v>4</v>
      </c>
      <c r="B824" s="80"/>
      <c r="C824" s="81"/>
      <c r="D824" s="81"/>
      <c r="E824" s="81"/>
      <c r="F824" s="81"/>
      <c r="G824" s="83">
        <f>SUM(G804:G823)</f>
        <v>3072.5429999999997</v>
      </c>
      <c r="H824" s="83"/>
      <c r="I824" s="83">
        <f>SUM(I804:I823)</f>
        <v>3748.5024600000002</v>
      </c>
      <c r="J824" s="83"/>
      <c r="K824" s="83">
        <f>SUM(K804)</f>
        <v>3404.6560000000009</v>
      </c>
      <c r="L824" s="83">
        <f>L820+L816+L812+L808+L804</f>
        <v>331.71199999999999</v>
      </c>
    </row>
    <row r="825" spans="1:12" x14ac:dyDescent="0.25">
      <c r="A825" s="89"/>
      <c r="B825" s="93"/>
      <c r="C825" s="89"/>
      <c r="D825" s="89"/>
      <c r="E825" s="89"/>
      <c r="F825" s="89"/>
      <c r="G825" s="87">
        <f>K824/G824</f>
        <v>1.1080905946637691</v>
      </c>
      <c r="L825" s="90">
        <f>(L804+L808+L812+L816+L820)/K824</f>
        <v>9.7428932614631231E-2</v>
      </c>
    </row>
    <row r="827" spans="1:12" ht="37.5" x14ac:dyDescent="0.25">
      <c r="A827" s="82" t="s">
        <v>9</v>
      </c>
      <c r="B827" s="83" t="s">
        <v>7</v>
      </c>
      <c r="C827" s="82" t="s">
        <v>8</v>
      </c>
      <c r="D827" s="102" t="s">
        <v>10</v>
      </c>
      <c r="E827" s="103" t="s">
        <v>2</v>
      </c>
      <c r="F827" s="82" t="s">
        <v>104</v>
      </c>
      <c r="G827" s="82" t="s">
        <v>3</v>
      </c>
      <c r="H827" s="82" t="s">
        <v>102</v>
      </c>
      <c r="I827" s="82" t="s">
        <v>101</v>
      </c>
      <c r="J827" s="82" t="s">
        <v>103</v>
      </c>
      <c r="K827" s="83" t="s">
        <v>6</v>
      </c>
      <c r="L827" s="83" t="s">
        <v>1</v>
      </c>
    </row>
    <row r="828" spans="1:12" x14ac:dyDescent="0.25">
      <c r="A828" s="511" t="s">
        <v>38</v>
      </c>
      <c r="B828" s="511" t="s">
        <v>44</v>
      </c>
      <c r="C828" s="95" t="s">
        <v>59</v>
      </c>
      <c r="D828" s="104">
        <v>0</v>
      </c>
      <c r="E828" s="105">
        <v>1</v>
      </c>
      <c r="F828" s="85" t="str">
        <f>LEFT(C828,2)&amp;D828&amp;E828</f>
        <v>D101</v>
      </c>
      <c r="G828" s="85">
        <v>87.23</v>
      </c>
      <c r="H828" s="85">
        <v>94.72160516317075</v>
      </c>
      <c r="I828" s="85">
        <f>G828*1.22</f>
        <v>106.42060000000001</v>
      </c>
      <c r="J828" s="86">
        <v>66.414400000000001</v>
      </c>
      <c r="K828" s="512">
        <f>SUM(H828:H847)</f>
        <v>2712.1999999999989</v>
      </c>
      <c r="L828" s="510">
        <v>72.63</v>
      </c>
    </row>
    <row r="829" spans="1:12" x14ac:dyDescent="0.25">
      <c r="A829" s="511"/>
      <c r="B829" s="511"/>
      <c r="C829" s="95" t="s">
        <v>59</v>
      </c>
      <c r="D829" s="104">
        <v>0</v>
      </c>
      <c r="E829" s="105">
        <v>2</v>
      </c>
      <c r="F829" s="85" t="str">
        <f t="shared" ref="F829:F847" si="67">LEFT(C829,2)&amp;D829&amp;E829</f>
        <v>D102</v>
      </c>
      <c r="G829" s="85">
        <v>125.09</v>
      </c>
      <c r="H829" s="85">
        <v>135.83314902970341</v>
      </c>
      <c r="I829" s="85">
        <f t="shared" ref="I829:I847" si="68">G829*1.22</f>
        <v>152.60980000000001</v>
      </c>
      <c r="J829" s="86">
        <v>85.619500000000002</v>
      </c>
      <c r="K829" s="512"/>
      <c r="L829" s="510"/>
    </row>
    <row r="830" spans="1:12" x14ac:dyDescent="0.25">
      <c r="A830" s="511"/>
      <c r="B830" s="511"/>
      <c r="C830" s="95" t="s">
        <v>59</v>
      </c>
      <c r="D830" s="104">
        <v>0</v>
      </c>
      <c r="E830" s="105">
        <v>3</v>
      </c>
      <c r="F830" s="85" t="str">
        <f t="shared" si="67"/>
        <v>D103</v>
      </c>
      <c r="G830" s="85">
        <v>129.57</v>
      </c>
      <c r="H830" s="85">
        <v>140.69790646557414</v>
      </c>
      <c r="I830" s="85">
        <f t="shared" si="68"/>
        <v>158.0754</v>
      </c>
      <c r="J830" s="86">
        <v>84.075199999999995</v>
      </c>
      <c r="K830" s="512"/>
      <c r="L830" s="510"/>
    </row>
    <row r="831" spans="1:12" x14ac:dyDescent="0.25">
      <c r="A831" s="511"/>
      <c r="B831" s="511"/>
      <c r="C831" s="95" t="s">
        <v>59</v>
      </c>
      <c r="D831" s="104">
        <v>0</v>
      </c>
      <c r="E831" s="105">
        <v>4</v>
      </c>
      <c r="F831" s="85" t="str">
        <f t="shared" si="67"/>
        <v>D104</v>
      </c>
      <c r="G831" s="85">
        <v>131.34</v>
      </c>
      <c r="H831" s="85">
        <v>142.61992000608558</v>
      </c>
      <c r="I831" s="85">
        <f t="shared" si="68"/>
        <v>160.23480000000001</v>
      </c>
      <c r="J831" s="86">
        <v>81.358599999999996</v>
      </c>
      <c r="K831" s="512"/>
      <c r="L831" s="510"/>
    </row>
    <row r="832" spans="1:12" x14ac:dyDescent="0.25">
      <c r="A832" s="511"/>
      <c r="B832" s="511"/>
      <c r="C832" s="95" t="s">
        <v>59</v>
      </c>
      <c r="D832" s="104">
        <v>1</v>
      </c>
      <c r="E832" s="105">
        <v>1</v>
      </c>
      <c r="F832" s="85" t="str">
        <f t="shared" si="67"/>
        <v>D111</v>
      </c>
      <c r="G832" s="85">
        <v>88.87</v>
      </c>
      <c r="H832" s="85">
        <v>96.502453867373433</v>
      </c>
      <c r="I832" s="85">
        <f t="shared" si="68"/>
        <v>108.42140000000001</v>
      </c>
      <c r="J832" s="85"/>
      <c r="K832" s="512"/>
      <c r="L832" s="510">
        <v>46.11</v>
      </c>
    </row>
    <row r="833" spans="1:12" x14ac:dyDescent="0.25">
      <c r="A833" s="511"/>
      <c r="B833" s="511"/>
      <c r="C833" s="95" t="s">
        <v>59</v>
      </c>
      <c r="D833" s="104">
        <v>1</v>
      </c>
      <c r="E833" s="105">
        <v>2</v>
      </c>
      <c r="F833" s="85" t="str">
        <f t="shared" si="67"/>
        <v>D112</v>
      </c>
      <c r="G833" s="85">
        <v>127.14</v>
      </c>
      <c r="H833" s="85">
        <v>138.05920990995676</v>
      </c>
      <c r="I833" s="85">
        <f t="shared" si="68"/>
        <v>155.11079999999998</v>
      </c>
      <c r="J833" s="85"/>
      <c r="K833" s="512"/>
      <c r="L833" s="510"/>
    </row>
    <row r="834" spans="1:12" x14ac:dyDescent="0.25">
      <c r="A834" s="511"/>
      <c r="B834" s="511"/>
      <c r="C834" s="95" t="s">
        <v>59</v>
      </c>
      <c r="D834" s="104">
        <v>1</v>
      </c>
      <c r="E834" s="105">
        <v>3</v>
      </c>
      <c r="F834" s="85" t="str">
        <f t="shared" si="67"/>
        <v>D113</v>
      </c>
      <c r="G834" s="85">
        <v>131.43</v>
      </c>
      <c r="H834" s="85">
        <v>142.71764950814548</v>
      </c>
      <c r="I834" s="85">
        <f t="shared" si="68"/>
        <v>160.34460000000001</v>
      </c>
      <c r="J834" s="85"/>
      <c r="K834" s="512"/>
      <c r="L834" s="510"/>
    </row>
    <row r="835" spans="1:12" x14ac:dyDescent="0.25">
      <c r="A835" s="511"/>
      <c r="B835" s="511"/>
      <c r="C835" s="95" t="s">
        <v>59</v>
      </c>
      <c r="D835" s="104">
        <v>1</v>
      </c>
      <c r="E835" s="105">
        <v>4</v>
      </c>
      <c r="F835" s="85" t="str">
        <f t="shared" si="67"/>
        <v>D114</v>
      </c>
      <c r="G835" s="85">
        <v>129.04</v>
      </c>
      <c r="H835" s="85">
        <v>140.12238828677692</v>
      </c>
      <c r="I835" s="85">
        <f t="shared" si="68"/>
        <v>157.4288</v>
      </c>
      <c r="J835" s="85"/>
      <c r="K835" s="512"/>
      <c r="L835" s="510"/>
    </row>
    <row r="836" spans="1:12" x14ac:dyDescent="0.25">
      <c r="A836" s="511"/>
      <c r="B836" s="511"/>
      <c r="C836" s="95" t="s">
        <v>59</v>
      </c>
      <c r="D836" s="104">
        <v>2</v>
      </c>
      <c r="E836" s="105">
        <v>1</v>
      </c>
      <c r="F836" s="85" t="str">
        <f t="shared" si="67"/>
        <v>D121</v>
      </c>
      <c r="G836" s="85">
        <v>127.15</v>
      </c>
      <c r="H836" s="85">
        <v>138.07006874351899</v>
      </c>
      <c r="I836" s="85">
        <f t="shared" si="68"/>
        <v>155.12299999999999</v>
      </c>
      <c r="J836" s="85"/>
      <c r="K836" s="512"/>
      <c r="L836" s="510">
        <v>31.98</v>
      </c>
    </row>
    <row r="837" spans="1:12" x14ac:dyDescent="0.25">
      <c r="A837" s="511"/>
      <c r="B837" s="511"/>
      <c r="C837" s="95" t="s">
        <v>59</v>
      </c>
      <c r="D837" s="104">
        <v>2</v>
      </c>
      <c r="E837" s="105">
        <v>2</v>
      </c>
      <c r="F837" s="85" t="str">
        <f t="shared" si="67"/>
        <v>D122</v>
      </c>
      <c r="G837" s="85">
        <v>126.95</v>
      </c>
      <c r="H837" s="85">
        <v>137.85289207227476</v>
      </c>
      <c r="I837" s="85">
        <f t="shared" si="68"/>
        <v>154.87899999999999</v>
      </c>
      <c r="J837" s="85"/>
      <c r="K837" s="512"/>
      <c r="L837" s="510"/>
    </row>
    <row r="838" spans="1:12" x14ac:dyDescent="0.25">
      <c r="A838" s="511"/>
      <c r="B838" s="511"/>
      <c r="C838" s="95" t="s">
        <v>59</v>
      </c>
      <c r="D838" s="104">
        <v>2</v>
      </c>
      <c r="E838" s="105">
        <v>3</v>
      </c>
      <c r="F838" s="85" t="str">
        <f t="shared" si="67"/>
        <v>D123</v>
      </c>
      <c r="G838" s="85">
        <v>131.44</v>
      </c>
      <c r="H838" s="85">
        <v>142.72850834170771</v>
      </c>
      <c r="I838" s="85">
        <f t="shared" si="68"/>
        <v>160.35679999999999</v>
      </c>
      <c r="J838" s="85"/>
      <c r="K838" s="512"/>
      <c r="L838" s="510"/>
    </row>
    <row r="839" spans="1:12" x14ac:dyDescent="0.25">
      <c r="A839" s="511"/>
      <c r="B839" s="511"/>
      <c r="C839" s="95" t="s">
        <v>59</v>
      </c>
      <c r="D839" s="104">
        <v>2</v>
      </c>
      <c r="E839" s="105">
        <v>4</v>
      </c>
      <c r="F839" s="85" t="str">
        <f t="shared" si="67"/>
        <v>D124</v>
      </c>
      <c r="G839" s="85">
        <v>131.43</v>
      </c>
      <c r="H839" s="85">
        <v>142.71764950814548</v>
      </c>
      <c r="I839" s="85">
        <f t="shared" si="68"/>
        <v>160.34460000000001</v>
      </c>
      <c r="J839" s="85"/>
      <c r="K839" s="512"/>
      <c r="L839" s="510"/>
    </row>
    <row r="840" spans="1:12" x14ac:dyDescent="0.25">
      <c r="A840" s="511"/>
      <c r="B840" s="511"/>
      <c r="C840" s="95" t="s">
        <v>59</v>
      </c>
      <c r="D840" s="104">
        <v>3</v>
      </c>
      <c r="E840" s="105">
        <v>1</v>
      </c>
      <c r="F840" s="85" t="str">
        <f t="shared" si="67"/>
        <v>D131</v>
      </c>
      <c r="G840" s="85">
        <v>127.45</v>
      </c>
      <c r="H840" s="85">
        <v>138.39583375038532</v>
      </c>
      <c r="I840" s="85">
        <f t="shared" si="68"/>
        <v>155.489</v>
      </c>
      <c r="J840" s="85"/>
      <c r="K840" s="512"/>
      <c r="L840" s="510">
        <v>31.9</v>
      </c>
    </row>
    <row r="841" spans="1:12" x14ac:dyDescent="0.25">
      <c r="A841" s="511"/>
      <c r="B841" s="511"/>
      <c r="C841" s="95" t="s">
        <v>59</v>
      </c>
      <c r="D841" s="104">
        <v>3</v>
      </c>
      <c r="E841" s="105">
        <v>2</v>
      </c>
      <c r="F841" s="85" t="str">
        <f t="shared" si="67"/>
        <v>D132</v>
      </c>
      <c r="G841" s="85">
        <v>126.97</v>
      </c>
      <c r="H841" s="85">
        <v>137.87460973939918</v>
      </c>
      <c r="I841" s="85">
        <f t="shared" si="68"/>
        <v>154.9034</v>
      </c>
      <c r="J841" s="85"/>
      <c r="K841" s="512"/>
      <c r="L841" s="510"/>
    </row>
    <row r="842" spans="1:12" x14ac:dyDescent="0.25">
      <c r="A842" s="511"/>
      <c r="B842" s="511"/>
      <c r="C842" s="95" t="s">
        <v>59</v>
      </c>
      <c r="D842" s="104">
        <v>3</v>
      </c>
      <c r="E842" s="105">
        <v>3</v>
      </c>
      <c r="F842" s="85" t="str">
        <f t="shared" si="67"/>
        <v>D133</v>
      </c>
      <c r="G842" s="85">
        <v>131.43</v>
      </c>
      <c r="H842" s="85">
        <v>142.71764950814548</v>
      </c>
      <c r="I842" s="85">
        <f t="shared" si="68"/>
        <v>160.34460000000001</v>
      </c>
      <c r="J842" s="85"/>
      <c r="K842" s="512"/>
      <c r="L842" s="510"/>
    </row>
    <row r="843" spans="1:12" x14ac:dyDescent="0.25">
      <c r="A843" s="511"/>
      <c r="B843" s="511"/>
      <c r="C843" s="95" t="s">
        <v>59</v>
      </c>
      <c r="D843" s="104">
        <v>3</v>
      </c>
      <c r="E843" s="105">
        <v>4</v>
      </c>
      <c r="F843" s="85" t="str">
        <f t="shared" si="67"/>
        <v>D134</v>
      </c>
      <c r="G843" s="85">
        <v>131.88</v>
      </c>
      <c r="H843" s="85">
        <v>143.20629701844501</v>
      </c>
      <c r="I843" s="85">
        <f t="shared" si="68"/>
        <v>160.89359999999999</v>
      </c>
      <c r="J843" s="85"/>
      <c r="K843" s="512"/>
      <c r="L843" s="510"/>
    </row>
    <row r="844" spans="1:12" x14ac:dyDescent="0.25">
      <c r="A844" s="511"/>
      <c r="B844" s="511"/>
      <c r="C844" s="95" t="s">
        <v>59</v>
      </c>
      <c r="D844" s="104">
        <v>4</v>
      </c>
      <c r="E844" s="105">
        <v>1</v>
      </c>
      <c r="F844" s="85" t="str">
        <f t="shared" si="67"/>
        <v>D141</v>
      </c>
      <c r="G844" s="85">
        <v>125.13</v>
      </c>
      <c r="H844" s="85">
        <v>135.87658436395225</v>
      </c>
      <c r="I844" s="85">
        <f t="shared" si="68"/>
        <v>152.65859999999998</v>
      </c>
      <c r="J844" s="85"/>
      <c r="K844" s="512"/>
      <c r="L844" s="510">
        <v>31.9</v>
      </c>
    </row>
    <row r="845" spans="1:12" x14ac:dyDescent="0.25">
      <c r="A845" s="511"/>
      <c r="B845" s="511"/>
      <c r="C845" s="95" t="s">
        <v>59</v>
      </c>
      <c r="D845" s="104">
        <v>4</v>
      </c>
      <c r="E845" s="105">
        <v>2</v>
      </c>
      <c r="F845" s="85" t="str">
        <f t="shared" si="67"/>
        <v>D142</v>
      </c>
      <c r="G845" s="85">
        <v>127.19</v>
      </c>
      <c r="H845" s="85">
        <v>138.11350407776783</v>
      </c>
      <c r="I845" s="85">
        <f t="shared" si="68"/>
        <v>155.17179999999999</v>
      </c>
      <c r="J845" s="85"/>
      <c r="K845" s="512"/>
      <c r="L845" s="510"/>
    </row>
    <row r="846" spans="1:12" x14ac:dyDescent="0.25">
      <c r="A846" s="511"/>
      <c r="B846" s="511"/>
      <c r="C846" s="95" t="s">
        <v>59</v>
      </c>
      <c r="D846" s="104">
        <v>4</v>
      </c>
      <c r="E846" s="105">
        <v>3</v>
      </c>
      <c r="F846" s="85" t="str">
        <f t="shared" si="67"/>
        <v>D143</v>
      </c>
      <c r="G846" s="85">
        <v>131.38</v>
      </c>
      <c r="H846" s="85">
        <v>142.66335534033442</v>
      </c>
      <c r="I846" s="85">
        <f t="shared" si="68"/>
        <v>160.28359999999998</v>
      </c>
      <c r="J846" s="85"/>
      <c r="K846" s="512"/>
      <c r="L846" s="510"/>
    </row>
    <row r="847" spans="1:12" x14ac:dyDescent="0.25">
      <c r="A847" s="511"/>
      <c r="B847" s="511"/>
      <c r="C847" s="95" t="s">
        <v>59</v>
      </c>
      <c r="D847" s="104">
        <v>4</v>
      </c>
      <c r="E847" s="105">
        <v>4</v>
      </c>
      <c r="F847" s="85" t="str">
        <f t="shared" si="67"/>
        <v>D144</v>
      </c>
      <c r="G847" s="85">
        <v>129.58000000000001</v>
      </c>
      <c r="H847" s="85">
        <v>140.70876529913639</v>
      </c>
      <c r="I847" s="85">
        <f t="shared" si="68"/>
        <v>158.08760000000001</v>
      </c>
      <c r="J847" s="85"/>
      <c r="K847" s="512"/>
      <c r="L847" s="510"/>
    </row>
    <row r="848" spans="1:12" x14ac:dyDescent="0.25">
      <c r="A848" s="83" t="s">
        <v>4</v>
      </c>
      <c r="B848" s="83"/>
      <c r="C848" s="83"/>
      <c r="D848" s="103"/>
      <c r="E848" s="103"/>
      <c r="F848" s="83"/>
      <c r="G848" s="83">
        <f>SUM(G828:G847)</f>
        <v>2497.6900000000005</v>
      </c>
      <c r="H848" s="83"/>
      <c r="I848" s="83">
        <f>SUM(I828:I847)</f>
        <v>3047.1817999999994</v>
      </c>
      <c r="J848" s="83"/>
      <c r="K848" s="83">
        <f>SUM(K828)</f>
        <v>2712.1999999999989</v>
      </c>
      <c r="L848" s="83">
        <f>L844+L840+L836+L832+L828</f>
        <v>214.51999999999998</v>
      </c>
    </row>
    <row r="849" spans="1:12" x14ac:dyDescent="0.25">
      <c r="G849" s="87">
        <f>K848/G848</f>
        <v>1.0858833562211476</v>
      </c>
      <c r="L849" s="100">
        <f>(L828+L832+L836+L840+L844)/K848</f>
        <v>7.9094462060320073E-2</v>
      </c>
    </row>
    <row r="851" spans="1:12" ht="37.5" x14ac:dyDescent="0.25">
      <c r="A851" s="82" t="s">
        <v>9</v>
      </c>
      <c r="B851" s="83" t="s">
        <v>7</v>
      </c>
      <c r="C851" s="82" t="s">
        <v>8</v>
      </c>
      <c r="D851" s="102" t="s">
        <v>10</v>
      </c>
      <c r="E851" s="103" t="s">
        <v>2</v>
      </c>
      <c r="F851" s="82" t="s">
        <v>104</v>
      </c>
      <c r="G851" s="82" t="s">
        <v>3</v>
      </c>
      <c r="H851" s="82" t="s">
        <v>102</v>
      </c>
      <c r="I851" s="82" t="s">
        <v>101</v>
      </c>
      <c r="J851" s="82" t="s">
        <v>103</v>
      </c>
      <c r="K851" s="83" t="s">
        <v>6</v>
      </c>
      <c r="L851" s="83" t="s">
        <v>1</v>
      </c>
    </row>
    <row r="852" spans="1:12" x14ac:dyDescent="0.25">
      <c r="A852" s="511" t="s">
        <v>38</v>
      </c>
      <c r="B852" s="511" t="s">
        <v>44</v>
      </c>
      <c r="C852" s="95" t="s">
        <v>58</v>
      </c>
      <c r="D852" s="104">
        <v>0</v>
      </c>
      <c r="E852" s="105">
        <v>1</v>
      </c>
      <c r="F852" s="85" t="str">
        <f>LEFT(C852,2)&amp;D852&amp;E852</f>
        <v>D201</v>
      </c>
      <c r="G852" s="85">
        <v>131.32</v>
      </c>
      <c r="H852" s="85">
        <v>142.66718842094684</v>
      </c>
      <c r="I852" s="85">
        <f>1.22*G852</f>
        <v>160.21039999999999</v>
      </c>
      <c r="J852" s="86">
        <v>81.665000000000006</v>
      </c>
      <c r="K852" s="512">
        <f>SUM(H852:H871)</f>
        <v>2702.17</v>
      </c>
      <c r="L852" s="510">
        <v>72.83</v>
      </c>
    </row>
    <row r="853" spans="1:12" x14ac:dyDescent="0.25">
      <c r="A853" s="511"/>
      <c r="B853" s="511"/>
      <c r="C853" s="95" t="s">
        <v>58</v>
      </c>
      <c r="D853" s="104">
        <v>0</v>
      </c>
      <c r="E853" s="105">
        <v>2</v>
      </c>
      <c r="F853" s="85" t="str">
        <f t="shared" ref="F853:F871" si="69">LEFT(C853,2)&amp;D853&amp;E853</f>
        <v>D202</v>
      </c>
      <c r="G853" s="85">
        <v>128.28</v>
      </c>
      <c r="H853" s="85">
        <v>139.36450602070562</v>
      </c>
      <c r="I853" s="85">
        <f t="shared" ref="I853:I871" si="70">1.22*G853</f>
        <v>156.5016</v>
      </c>
      <c r="J853" s="86">
        <v>86.075999999999993</v>
      </c>
      <c r="K853" s="512"/>
      <c r="L853" s="510"/>
    </row>
    <row r="854" spans="1:12" x14ac:dyDescent="0.25">
      <c r="A854" s="511"/>
      <c r="B854" s="511"/>
      <c r="C854" s="95" t="s">
        <v>58</v>
      </c>
      <c r="D854" s="104">
        <v>0</v>
      </c>
      <c r="E854" s="105">
        <v>3</v>
      </c>
      <c r="F854" s="85" t="str">
        <f t="shared" si="69"/>
        <v>D203</v>
      </c>
      <c r="G854" s="85">
        <v>125.03</v>
      </c>
      <c r="H854" s="85">
        <v>135.83367779676351</v>
      </c>
      <c r="I854" s="85">
        <f t="shared" si="70"/>
        <v>152.53659999999999</v>
      </c>
      <c r="J854" s="86">
        <v>85.509600000000006</v>
      </c>
      <c r="K854" s="512"/>
      <c r="L854" s="510"/>
    </row>
    <row r="855" spans="1:12" x14ac:dyDescent="0.25">
      <c r="A855" s="511"/>
      <c r="B855" s="511"/>
      <c r="C855" s="95" t="s">
        <v>58</v>
      </c>
      <c r="D855" s="104">
        <v>0</v>
      </c>
      <c r="E855" s="105">
        <v>4</v>
      </c>
      <c r="F855" s="85" t="str">
        <f t="shared" si="69"/>
        <v>D204</v>
      </c>
      <c r="G855" s="85">
        <v>87.23</v>
      </c>
      <c r="H855" s="85">
        <v>94.767429530606108</v>
      </c>
      <c r="I855" s="85">
        <f t="shared" si="70"/>
        <v>106.42060000000001</v>
      </c>
      <c r="J855" s="86">
        <v>66.653899999999993</v>
      </c>
      <c r="K855" s="512"/>
      <c r="L855" s="510"/>
    </row>
    <row r="856" spans="1:12" x14ac:dyDescent="0.25">
      <c r="A856" s="511"/>
      <c r="B856" s="511"/>
      <c r="C856" s="95" t="s">
        <v>58</v>
      </c>
      <c r="D856" s="104">
        <v>1</v>
      </c>
      <c r="E856" s="105">
        <v>1</v>
      </c>
      <c r="F856" s="85" t="str">
        <f t="shared" si="69"/>
        <v>D211</v>
      </c>
      <c r="G856" s="85">
        <v>132.94</v>
      </c>
      <c r="H856" s="85">
        <v>144.42717048949646</v>
      </c>
      <c r="I856" s="85">
        <f t="shared" si="70"/>
        <v>162.18680000000001</v>
      </c>
      <c r="J856" s="85"/>
      <c r="K856" s="512"/>
      <c r="L856" s="510">
        <v>46.21</v>
      </c>
    </row>
    <row r="857" spans="1:12" x14ac:dyDescent="0.25">
      <c r="A857" s="511"/>
      <c r="B857" s="511"/>
      <c r="C857" s="95" t="s">
        <v>58</v>
      </c>
      <c r="D857" s="104">
        <v>1</v>
      </c>
      <c r="E857" s="105">
        <v>2</v>
      </c>
      <c r="F857" s="85" t="str">
        <f t="shared" si="69"/>
        <v>D212</v>
      </c>
      <c r="G857" s="85">
        <v>124.86</v>
      </c>
      <c r="H857" s="85">
        <v>135.64898832043423</v>
      </c>
      <c r="I857" s="85">
        <f t="shared" si="70"/>
        <v>152.32919999999999</v>
      </c>
      <c r="J857" s="85"/>
      <c r="K857" s="512"/>
      <c r="L857" s="510"/>
    </row>
    <row r="858" spans="1:12" x14ac:dyDescent="0.25">
      <c r="A858" s="511"/>
      <c r="B858" s="511"/>
      <c r="C858" s="95" t="s">
        <v>58</v>
      </c>
      <c r="D858" s="104">
        <v>1</v>
      </c>
      <c r="E858" s="105">
        <v>3</v>
      </c>
      <c r="F858" s="85" t="str">
        <f t="shared" si="69"/>
        <v>D213</v>
      </c>
      <c r="G858" s="85">
        <v>121.66</v>
      </c>
      <c r="H858" s="85">
        <v>132.17248053070662</v>
      </c>
      <c r="I858" s="85">
        <f t="shared" si="70"/>
        <v>148.42519999999999</v>
      </c>
      <c r="J858" s="85"/>
      <c r="K858" s="512"/>
      <c r="L858" s="510"/>
    </row>
    <row r="859" spans="1:12" x14ac:dyDescent="0.25">
      <c r="A859" s="511"/>
      <c r="B859" s="511"/>
      <c r="C859" s="95" t="s">
        <v>58</v>
      </c>
      <c r="D859" s="104">
        <v>1</v>
      </c>
      <c r="E859" s="105">
        <v>4</v>
      </c>
      <c r="F859" s="85" t="str">
        <f t="shared" si="69"/>
        <v>D214</v>
      </c>
      <c r="G859" s="85">
        <v>88.87</v>
      </c>
      <c r="H859" s="85">
        <v>96.549139772841514</v>
      </c>
      <c r="I859" s="85">
        <f t="shared" si="70"/>
        <v>108.42140000000001</v>
      </c>
      <c r="J859" s="85"/>
      <c r="K859" s="512"/>
      <c r="L859" s="510"/>
    </row>
    <row r="860" spans="1:12" x14ac:dyDescent="0.25">
      <c r="A860" s="511"/>
      <c r="B860" s="511"/>
      <c r="C860" s="95" t="s">
        <v>58</v>
      </c>
      <c r="D860" s="104">
        <v>2</v>
      </c>
      <c r="E860" s="105">
        <v>1</v>
      </c>
      <c r="F860" s="85" t="str">
        <f t="shared" si="69"/>
        <v>D221</v>
      </c>
      <c r="G860" s="85">
        <v>131.41999999999999</v>
      </c>
      <c r="H860" s="85">
        <v>142.77582928937582</v>
      </c>
      <c r="I860" s="85">
        <f t="shared" si="70"/>
        <v>160.33239999999998</v>
      </c>
      <c r="J860" s="85"/>
      <c r="K860" s="512"/>
      <c r="L860" s="510">
        <v>31.99</v>
      </c>
    </row>
    <row r="861" spans="1:12" x14ac:dyDescent="0.25">
      <c r="A861" s="511"/>
      <c r="B861" s="511"/>
      <c r="C861" s="95" t="s">
        <v>58</v>
      </c>
      <c r="D861" s="104">
        <v>2</v>
      </c>
      <c r="E861" s="105">
        <v>2</v>
      </c>
      <c r="F861" s="85" t="str">
        <f t="shared" si="69"/>
        <v>D222</v>
      </c>
      <c r="G861" s="85">
        <v>131.03</v>
      </c>
      <c r="H861" s="85">
        <v>142.35212990250278</v>
      </c>
      <c r="I861" s="85">
        <f t="shared" si="70"/>
        <v>159.85659999999999</v>
      </c>
      <c r="J861" s="85"/>
      <c r="K861" s="512"/>
      <c r="L861" s="510"/>
    </row>
    <row r="862" spans="1:12" x14ac:dyDescent="0.25">
      <c r="A862" s="511"/>
      <c r="B862" s="511"/>
      <c r="C862" s="95" t="s">
        <v>58</v>
      </c>
      <c r="D862" s="104">
        <v>2</v>
      </c>
      <c r="E862" s="105">
        <v>3</v>
      </c>
      <c r="F862" s="85" t="str">
        <f t="shared" si="69"/>
        <v>D223</v>
      </c>
      <c r="G862" s="85">
        <v>126.89</v>
      </c>
      <c r="H862" s="85">
        <v>137.85439794954269</v>
      </c>
      <c r="I862" s="85">
        <f t="shared" si="70"/>
        <v>154.8058</v>
      </c>
      <c r="J862" s="85"/>
      <c r="K862" s="512"/>
      <c r="L862" s="510"/>
    </row>
    <row r="863" spans="1:12" x14ac:dyDescent="0.25">
      <c r="A863" s="511"/>
      <c r="B863" s="511"/>
      <c r="C863" s="95" t="s">
        <v>58</v>
      </c>
      <c r="D863" s="104">
        <v>2</v>
      </c>
      <c r="E863" s="105">
        <v>4</v>
      </c>
      <c r="F863" s="85" t="str">
        <f t="shared" si="69"/>
        <v>D224</v>
      </c>
      <c r="G863" s="85">
        <v>126.99</v>
      </c>
      <c r="H863" s="85">
        <v>137.96303881797166</v>
      </c>
      <c r="I863" s="85">
        <f t="shared" si="70"/>
        <v>154.92779999999999</v>
      </c>
      <c r="J863" s="85"/>
      <c r="K863" s="512"/>
      <c r="L863" s="510"/>
    </row>
    <row r="864" spans="1:12" x14ac:dyDescent="0.25">
      <c r="A864" s="511"/>
      <c r="B864" s="511"/>
      <c r="C864" s="95" t="s">
        <v>58</v>
      </c>
      <c r="D864" s="104">
        <v>3</v>
      </c>
      <c r="E864" s="105">
        <v>1</v>
      </c>
      <c r="F864" s="85" t="str">
        <f t="shared" si="69"/>
        <v>D231</v>
      </c>
      <c r="G864" s="85">
        <v>131.88</v>
      </c>
      <c r="H864" s="85">
        <v>143.27557728414919</v>
      </c>
      <c r="I864" s="85">
        <f t="shared" si="70"/>
        <v>160.89359999999999</v>
      </c>
      <c r="J864" s="85"/>
      <c r="K864" s="512"/>
      <c r="L864" s="510">
        <v>31.94</v>
      </c>
    </row>
    <row r="865" spans="1:12" x14ac:dyDescent="0.25">
      <c r="A865" s="511"/>
      <c r="B865" s="511"/>
      <c r="C865" s="95" t="s">
        <v>58</v>
      </c>
      <c r="D865" s="104">
        <v>3</v>
      </c>
      <c r="E865" s="105">
        <v>2</v>
      </c>
      <c r="F865" s="85" t="str">
        <f t="shared" si="69"/>
        <v>D232</v>
      </c>
      <c r="G865" s="85">
        <v>131.02000000000001</v>
      </c>
      <c r="H865" s="85">
        <v>142.34126581565991</v>
      </c>
      <c r="I865" s="85">
        <f t="shared" si="70"/>
        <v>159.84440000000001</v>
      </c>
      <c r="J865" s="85"/>
      <c r="K865" s="512"/>
      <c r="L865" s="510"/>
    </row>
    <row r="866" spans="1:12" x14ac:dyDescent="0.25">
      <c r="A866" s="511"/>
      <c r="B866" s="511"/>
      <c r="C866" s="95" t="s">
        <v>58</v>
      </c>
      <c r="D866" s="104">
        <v>3</v>
      </c>
      <c r="E866" s="105">
        <v>3</v>
      </c>
      <c r="F866" s="85" t="str">
        <f t="shared" si="69"/>
        <v>D233</v>
      </c>
      <c r="G866" s="85">
        <v>126.87</v>
      </c>
      <c r="H866" s="85">
        <v>137.83266977585691</v>
      </c>
      <c r="I866" s="85">
        <f t="shared" si="70"/>
        <v>154.78139999999999</v>
      </c>
      <c r="J866" s="85"/>
      <c r="K866" s="512"/>
      <c r="L866" s="510"/>
    </row>
    <row r="867" spans="1:12" x14ac:dyDescent="0.25">
      <c r="A867" s="511"/>
      <c r="B867" s="511"/>
      <c r="C867" s="95" t="s">
        <v>58</v>
      </c>
      <c r="D867" s="104">
        <v>3</v>
      </c>
      <c r="E867" s="105">
        <v>4</v>
      </c>
      <c r="F867" s="85" t="str">
        <f t="shared" si="69"/>
        <v>D234</v>
      </c>
      <c r="G867" s="85">
        <v>127.41</v>
      </c>
      <c r="H867" s="85">
        <v>138.41933046537343</v>
      </c>
      <c r="I867" s="85">
        <f t="shared" si="70"/>
        <v>155.4402</v>
      </c>
      <c r="J867" s="85"/>
      <c r="K867" s="512"/>
      <c r="L867" s="510"/>
    </row>
    <row r="868" spans="1:12" x14ac:dyDescent="0.25">
      <c r="A868" s="511"/>
      <c r="B868" s="511"/>
      <c r="C868" s="95" t="s">
        <v>58</v>
      </c>
      <c r="D868" s="104">
        <v>4</v>
      </c>
      <c r="E868" s="105">
        <v>1</v>
      </c>
      <c r="F868" s="85" t="str">
        <f t="shared" si="69"/>
        <v>D241</v>
      </c>
      <c r="G868" s="85">
        <v>129.59</v>
      </c>
      <c r="H868" s="85">
        <v>140.78770139712537</v>
      </c>
      <c r="I868" s="85">
        <f t="shared" si="70"/>
        <v>158.09979999999999</v>
      </c>
      <c r="J868" s="85"/>
      <c r="K868" s="512"/>
      <c r="L868" s="510">
        <v>31.95</v>
      </c>
    </row>
    <row r="869" spans="1:12" x14ac:dyDescent="0.25">
      <c r="A869" s="511"/>
      <c r="B869" s="511"/>
      <c r="C869" s="95" t="s">
        <v>58</v>
      </c>
      <c r="D869" s="104">
        <v>4</v>
      </c>
      <c r="E869" s="105">
        <v>2</v>
      </c>
      <c r="F869" s="85" t="str">
        <f t="shared" si="69"/>
        <v>D242</v>
      </c>
      <c r="G869" s="85">
        <v>131.72</v>
      </c>
      <c r="H869" s="85">
        <v>143.10175189466281</v>
      </c>
      <c r="I869" s="85">
        <f t="shared" si="70"/>
        <v>160.69839999999999</v>
      </c>
      <c r="J869" s="85"/>
      <c r="K869" s="512"/>
      <c r="L869" s="510"/>
    </row>
    <row r="870" spans="1:12" x14ac:dyDescent="0.25">
      <c r="A870" s="511"/>
      <c r="B870" s="511"/>
      <c r="C870" s="95" t="s">
        <v>58</v>
      </c>
      <c r="D870" s="104">
        <v>4</v>
      </c>
      <c r="E870" s="105">
        <v>3</v>
      </c>
      <c r="F870" s="85" t="str">
        <f t="shared" si="69"/>
        <v>D243</v>
      </c>
      <c r="G870" s="85">
        <v>127.12</v>
      </c>
      <c r="H870" s="85">
        <v>138.10427194692937</v>
      </c>
      <c r="I870" s="85">
        <f t="shared" si="70"/>
        <v>155.0864</v>
      </c>
      <c r="J870" s="85"/>
      <c r="K870" s="512"/>
      <c r="L870" s="510"/>
    </row>
    <row r="871" spans="1:12" x14ac:dyDescent="0.25">
      <c r="A871" s="511"/>
      <c r="B871" s="511"/>
      <c r="C871" s="95" t="s">
        <v>58</v>
      </c>
      <c r="D871" s="104">
        <v>4</v>
      </c>
      <c r="E871" s="105">
        <v>4</v>
      </c>
      <c r="F871" s="85" t="str">
        <f t="shared" si="69"/>
        <v>D244</v>
      </c>
      <c r="G871" s="85">
        <v>125.12</v>
      </c>
      <c r="H871" s="85">
        <v>135.93145457834962</v>
      </c>
      <c r="I871" s="85">
        <f t="shared" si="70"/>
        <v>152.6464</v>
      </c>
      <c r="J871" s="85"/>
      <c r="K871" s="512"/>
      <c r="L871" s="510"/>
    </row>
    <row r="872" spans="1:12" x14ac:dyDescent="0.25">
      <c r="A872" s="83" t="s">
        <v>4</v>
      </c>
      <c r="B872" s="83"/>
      <c r="C872" s="83"/>
      <c r="D872" s="103"/>
      <c r="E872" s="103"/>
      <c r="F872" s="83"/>
      <c r="G872" s="83">
        <f>SUM(G852:G871)</f>
        <v>2487.2499999999995</v>
      </c>
      <c r="H872" s="83"/>
      <c r="I872" s="83">
        <f>SUM(I852:I871)</f>
        <v>3034.4450000000002</v>
      </c>
      <c r="J872" s="83"/>
      <c r="K872" s="83">
        <f>SUM(K852)</f>
        <v>2702.17</v>
      </c>
      <c r="L872" s="83">
        <f>L868+L864+L860+L856+L852</f>
        <v>214.92000000000002</v>
      </c>
    </row>
    <row r="873" spans="1:12" x14ac:dyDescent="0.25">
      <c r="A873" s="97"/>
      <c r="L873" s="99">
        <f>(L852+L856+L860+L864+L868)/K872</f>
        <v>7.9536076560690103E-2</v>
      </c>
    </row>
    <row r="875" spans="1:12" ht="37.5" x14ac:dyDescent="0.25">
      <c r="A875" s="82" t="s">
        <v>9</v>
      </c>
      <c r="B875" s="83" t="s">
        <v>7</v>
      </c>
      <c r="C875" s="82" t="s">
        <v>8</v>
      </c>
      <c r="D875" s="102" t="s">
        <v>10</v>
      </c>
      <c r="E875" s="103" t="s">
        <v>2</v>
      </c>
      <c r="F875" s="82" t="s">
        <v>104</v>
      </c>
      <c r="G875" s="82" t="s">
        <v>3</v>
      </c>
      <c r="H875" s="82" t="s">
        <v>102</v>
      </c>
      <c r="I875" s="82" t="s">
        <v>101</v>
      </c>
      <c r="J875" s="82" t="s">
        <v>103</v>
      </c>
      <c r="K875" s="83" t="s">
        <v>6</v>
      </c>
      <c r="L875" s="83" t="s">
        <v>1</v>
      </c>
    </row>
    <row r="876" spans="1:12" x14ac:dyDescent="0.25">
      <c r="A876" s="511" t="s">
        <v>38</v>
      </c>
      <c r="B876" s="511" t="s">
        <v>44</v>
      </c>
      <c r="C876" s="95" t="s">
        <v>56</v>
      </c>
      <c r="D876" s="104">
        <v>0</v>
      </c>
      <c r="E876" s="105">
        <v>1</v>
      </c>
      <c r="F876" s="85" t="str">
        <f>LEFT(C876,2)&amp;D876&amp;E876</f>
        <v>D301</v>
      </c>
      <c r="G876" s="85">
        <v>131.34</v>
      </c>
      <c r="H876" s="85">
        <v>142.61992000608555</v>
      </c>
      <c r="I876" s="85">
        <f>1.22*G876</f>
        <v>160.23480000000001</v>
      </c>
      <c r="J876" s="86">
        <v>66.235699999999994</v>
      </c>
      <c r="K876" s="512">
        <f>SUM(H876:H895)</f>
        <v>2712.1999999999985</v>
      </c>
      <c r="L876" s="510">
        <v>72.63</v>
      </c>
    </row>
    <row r="877" spans="1:12" x14ac:dyDescent="0.25">
      <c r="A877" s="511"/>
      <c r="B877" s="511"/>
      <c r="C877" s="95" t="s">
        <v>56</v>
      </c>
      <c r="D877" s="104">
        <v>0</v>
      </c>
      <c r="E877" s="105">
        <v>2</v>
      </c>
      <c r="F877" s="85" t="str">
        <f t="shared" ref="F877:F895" si="71">LEFT(C877,2)&amp;D877&amp;E877</f>
        <v>D302</v>
      </c>
      <c r="G877" s="85">
        <v>129.57</v>
      </c>
      <c r="H877" s="85">
        <v>140.69790646557411</v>
      </c>
      <c r="I877" s="85">
        <f t="shared" ref="I877:I895" si="72">1.22*G877</f>
        <v>158.0754</v>
      </c>
      <c r="J877" s="86">
        <v>84.036199999999994</v>
      </c>
      <c r="K877" s="512"/>
      <c r="L877" s="510"/>
    </row>
    <row r="878" spans="1:12" x14ac:dyDescent="0.25">
      <c r="A878" s="511"/>
      <c r="B878" s="511"/>
      <c r="C878" s="95" t="s">
        <v>56</v>
      </c>
      <c r="D878" s="104">
        <v>0</v>
      </c>
      <c r="E878" s="105">
        <v>3</v>
      </c>
      <c r="F878" s="85" t="str">
        <f t="shared" si="71"/>
        <v>D303</v>
      </c>
      <c r="G878" s="85">
        <v>125.09</v>
      </c>
      <c r="H878" s="85">
        <v>135.83314902970338</v>
      </c>
      <c r="I878" s="85">
        <f t="shared" si="72"/>
        <v>152.60980000000001</v>
      </c>
      <c r="J878" s="86">
        <v>85.562899999999999</v>
      </c>
      <c r="K878" s="512"/>
      <c r="L878" s="510"/>
    </row>
    <row r="879" spans="1:12" x14ac:dyDescent="0.25">
      <c r="A879" s="511"/>
      <c r="B879" s="511"/>
      <c r="C879" s="95" t="s">
        <v>56</v>
      </c>
      <c r="D879" s="104">
        <v>0</v>
      </c>
      <c r="E879" s="105">
        <v>4</v>
      </c>
      <c r="F879" s="85" t="str">
        <f t="shared" si="71"/>
        <v>D304</v>
      </c>
      <c r="G879" s="85">
        <v>87.23</v>
      </c>
      <c r="H879" s="85">
        <v>94.721605163170736</v>
      </c>
      <c r="I879" s="85">
        <f t="shared" si="72"/>
        <v>106.42060000000001</v>
      </c>
      <c r="J879" s="86">
        <v>67.414699999999996</v>
      </c>
      <c r="K879" s="512"/>
      <c r="L879" s="510"/>
    </row>
    <row r="880" spans="1:12" x14ac:dyDescent="0.25">
      <c r="A880" s="511"/>
      <c r="B880" s="511"/>
      <c r="C880" s="95" t="s">
        <v>56</v>
      </c>
      <c r="D880" s="104">
        <v>1</v>
      </c>
      <c r="E880" s="105">
        <v>1</v>
      </c>
      <c r="F880" s="85" t="str">
        <f t="shared" si="71"/>
        <v>D311</v>
      </c>
      <c r="G880" s="85">
        <v>129.04</v>
      </c>
      <c r="H880" s="85">
        <v>140.1223882867769</v>
      </c>
      <c r="I880" s="85">
        <f t="shared" si="72"/>
        <v>157.4288</v>
      </c>
      <c r="J880" s="85"/>
      <c r="K880" s="512"/>
      <c r="L880" s="510">
        <v>46.11</v>
      </c>
    </row>
    <row r="881" spans="1:12" x14ac:dyDescent="0.25">
      <c r="A881" s="511"/>
      <c r="B881" s="511"/>
      <c r="C881" s="95" t="s">
        <v>56</v>
      </c>
      <c r="D881" s="104">
        <v>1</v>
      </c>
      <c r="E881" s="105">
        <v>2</v>
      </c>
      <c r="F881" s="85" t="str">
        <f t="shared" si="71"/>
        <v>D312</v>
      </c>
      <c r="G881" s="85">
        <v>131.43</v>
      </c>
      <c r="H881" s="85">
        <v>142.71764950814546</v>
      </c>
      <c r="I881" s="85">
        <f t="shared" si="72"/>
        <v>160.34460000000001</v>
      </c>
      <c r="J881" s="85"/>
      <c r="K881" s="512"/>
      <c r="L881" s="510"/>
    </row>
    <row r="882" spans="1:12" x14ac:dyDescent="0.25">
      <c r="A882" s="511"/>
      <c r="B882" s="511"/>
      <c r="C882" s="95" t="s">
        <v>56</v>
      </c>
      <c r="D882" s="104">
        <v>1</v>
      </c>
      <c r="E882" s="105">
        <v>3</v>
      </c>
      <c r="F882" s="85" t="str">
        <f t="shared" si="71"/>
        <v>D313</v>
      </c>
      <c r="G882" s="85">
        <v>127.14</v>
      </c>
      <c r="H882" s="85">
        <v>138.05920990995673</v>
      </c>
      <c r="I882" s="85">
        <f t="shared" si="72"/>
        <v>155.11079999999998</v>
      </c>
      <c r="J882" s="85"/>
      <c r="K882" s="512"/>
      <c r="L882" s="510"/>
    </row>
    <row r="883" spans="1:12" x14ac:dyDescent="0.25">
      <c r="A883" s="511"/>
      <c r="B883" s="511"/>
      <c r="C883" s="95" t="s">
        <v>56</v>
      </c>
      <c r="D883" s="104">
        <v>1</v>
      </c>
      <c r="E883" s="105">
        <v>4</v>
      </c>
      <c r="F883" s="85" t="str">
        <f t="shared" si="71"/>
        <v>D314</v>
      </c>
      <c r="G883" s="85">
        <v>88.87</v>
      </c>
      <c r="H883" s="85">
        <v>96.502453867373418</v>
      </c>
      <c r="I883" s="85">
        <f t="shared" si="72"/>
        <v>108.42140000000001</v>
      </c>
      <c r="J883" s="85"/>
      <c r="K883" s="512"/>
      <c r="L883" s="510"/>
    </row>
    <row r="884" spans="1:12" x14ac:dyDescent="0.25">
      <c r="A884" s="511"/>
      <c r="B884" s="511"/>
      <c r="C884" s="95" t="s">
        <v>56</v>
      </c>
      <c r="D884" s="104">
        <v>2</v>
      </c>
      <c r="E884" s="105">
        <v>1</v>
      </c>
      <c r="F884" s="85" t="str">
        <f t="shared" si="71"/>
        <v>D321</v>
      </c>
      <c r="G884" s="85">
        <v>131.43</v>
      </c>
      <c r="H884" s="85">
        <v>142.71764950814546</v>
      </c>
      <c r="I884" s="85">
        <f t="shared" si="72"/>
        <v>160.34460000000001</v>
      </c>
      <c r="J884" s="85"/>
      <c r="K884" s="512"/>
      <c r="L884" s="510">
        <v>31.98</v>
      </c>
    </row>
    <row r="885" spans="1:12" x14ac:dyDescent="0.25">
      <c r="A885" s="511"/>
      <c r="B885" s="511"/>
      <c r="C885" s="95" t="s">
        <v>56</v>
      </c>
      <c r="D885" s="104">
        <v>2</v>
      </c>
      <c r="E885" s="105">
        <v>2</v>
      </c>
      <c r="F885" s="85" t="str">
        <f t="shared" si="71"/>
        <v>D322</v>
      </c>
      <c r="G885" s="85">
        <v>131.44</v>
      </c>
      <c r="H885" s="85">
        <v>142.72850834170768</v>
      </c>
      <c r="I885" s="85">
        <f t="shared" si="72"/>
        <v>160.35679999999999</v>
      </c>
      <c r="J885" s="85"/>
      <c r="K885" s="512"/>
      <c r="L885" s="510"/>
    </row>
    <row r="886" spans="1:12" x14ac:dyDescent="0.25">
      <c r="A886" s="511"/>
      <c r="B886" s="511"/>
      <c r="C886" s="95" t="s">
        <v>56</v>
      </c>
      <c r="D886" s="104">
        <v>2</v>
      </c>
      <c r="E886" s="105">
        <v>3</v>
      </c>
      <c r="F886" s="85" t="str">
        <f t="shared" si="71"/>
        <v>D323</v>
      </c>
      <c r="G886" s="85">
        <v>126.95</v>
      </c>
      <c r="H886" s="85">
        <v>137.85289207227473</v>
      </c>
      <c r="I886" s="85">
        <f t="shared" si="72"/>
        <v>154.87899999999999</v>
      </c>
      <c r="J886" s="85"/>
      <c r="K886" s="512"/>
      <c r="L886" s="510"/>
    </row>
    <row r="887" spans="1:12" x14ac:dyDescent="0.25">
      <c r="A887" s="511"/>
      <c r="B887" s="511"/>
      <c r="C887" s="95" t="s">
        <v>56</v>
      </c>
      <c r="D887" s="104">
        <v>2</v>
      </c>
      <c r="E887" s="105">
        <v>4</v>
      </c>
      <c r="F887" s="85" t="str">
        <f t="shared" si="71"/>
        <v>D324</v>
      </c>
      <c r="G887" s="85">
        <v>127.15</v>
      </c>
      <c r="H887" s="85">
        <v>138.07006874351896</v>
      </c>
      <c r="I887" s="85">
        <f t="shared" si="72"/>
        <v>155.12299999999999</v>
      </c>
      <c r="J887" s="85"/>
      <c r="K887" s="512"/>
      <c r="L887" s="510"/>
    </row>
    <row r="888" spans="1:12" x14ac:dyDescent="0.25">
      <c r="A888" s="511"/>
      <c r="B888" s="511"/>
      <c r="C888" s="95" t="s">
        <v>56</v>
      </c>
      <c r="D888" s="104">
        <v>3</v>
      </c>
      <c r="E888" s="105">
        <v>1</v>
      </c>
      <c r="F888" s="85" t="str">
        <f t="shared" si="71"/>
        <v>D331</v>
      </c>
      <c r="G888" s="85">
        <v>131.88</v>
      </c>
      <c r="H888" s="85">
        <v>143.20629701844499</v>
      </c>
      <c r="I888" s="85">
        <f t="shared" si="72"/>
        <v>160.89359999999999</v>
      </c>
      <c r="J888" s="85"/>
      <c r="K888" s="512"/>
      <c r="L888" s="510">
        <v>31.9</v>
      </c>
    </row>
    <row r="889" spans="1:12" x14ac:dyDescent="0.25">
      <c r="A889" s="511"/>
      <c r="B889" s="511"/>
      <c r="C889" s="95" t="s">
        <v>56</v>
      </c>
      <c r="D889" s="104">
        <v>3</v>
      </c>
      <c r="E889" s="105">
        <v>2</v>
      </c>
      <c r="F889" s="85" t="str">
        <f t="shared" si="71"/>
        <v>D332</v>
      </c>
      <c r="G889" s="85">
        <v>131.43</v>
      </c>
      <c r="H889" s="85">
        <v>142.71764950814546</v>
      </c>
      <c r="I889" s="85">
        <f t="shared" si="72"/>
        <v>160.34460000000001</v>
      </c>
      <c r="J889" s="85"/>
      <c r="K889" s="512"/>
      <c r="L889" s="510"/>
    </row>
    <row r="890" spans="1:12" x14ac:dyDescent="0.25">
      <c r="A890" s="511"/>
      <c r="B890" s="511"/>
      <c r="C890" s="95" t="s">
        <v>56</v>
      </c>
      <c r="D890" s="104">
        <v>3</v>
      </c>
      <c r="E890" s="105">
        <v>3</v>
      </c>
      <c r="F890" s="85" t="str">
        <f t="shared" si="71"/>
        <v>D333</v>
      </c>
      <c r="G890" s="85">
        <v>126.97</v>
      </c>
      <c r="H890" s="85">
        <v>137.87460973939915</v>
      </c>
      <c r="I890" s="85">
        <f t="shared" si="72"/>
        <v>154.9034</v>
      </c>
      <c r="J890" s="85"/>
      <c r="K890" s="512"/>
      <c r="L890" s="510"/>
    </row>
    <row r="891" spans="1:12" x14ac:dyDescent="0.25">
      <c r="A891" s="511"/>
      <c r="B891" s="511"/>
      <c r="C891" s="95" t="s">
        <v>56</v>
      </c>
      <c r="D891" s="104">
        <v>3</v>
      </c>
      <c r="E891" s="105">
        <v>4</v>
      </c>
      <c r="F891" s="85" t="str">
        <f t="shared" si="71"/>
        <v>D334</v>
      </c>
      <c r="G891" s="85">
        <v>127.45</v>
      </c>
      <c r="H891" s="85">
        <v>138.39583375038529</v>
      </c>
      <c r="I891" s="85">
        <f t="shared" si="72"/>
        <v>155.489</v>
      </c>
      <c r="J891" s="85"/>
      <c r="K891" s="512"/>
      <c r="L891" s="510"/>
    </row>
    <row r="892" spans="1:12" x14ac:dyDescent="0.25">
      <c r="A892" s="511"/>
      <c r="B892" s="511"/>
      <c r="C892" s="95" t="s">
        <v>56</v>
      </c>
      <c r="D892" s="104">
        <v>4</v>
      </c>
      <c r="E892" s="105">
        <v>1</v>
      </c>
      <c r="F892" s="85" t="str">
        <f t="shared" si="71"/>
        <v>D341</v>
      </c>
      <c r="G892" s="85">
        <v>129.58000000000001</v>
      </c>
      <c r="H892" s="85">
        <v>140.70876529913636</v>
      </c>
      <c r="I892" s="85">
        <f t="shared" si="72"/>
        <v>158.08760000000001</v>
      </c>
      <c r="J892" s="85"/>
      <c r="K892" s="512"/>
      <c r="L892" s="510">
        <v>31.9</v>
      </c>
    </row>
    <row r="893" spans="1:12" x14ac:dyDescent="0.25">
      <c r="A893" s="511"/>
      <c r="B893" s="511"/>
      <c r="C893" s="95" t="s">
        <v>56</v>
      </c>
      <c r="D893" s="104">
        <v>4</v>
      </c>
      <c r="E893" s="105">
        <v>2</v>
      </c>
      <c r="F893" s="85" t="str">
        <f t="shared" si="71"/>
        <v>D342</v>
      </c>
      <c r="G893" s="85">
        <v>131.38</v>
      </c>
      <c r="H893" s="85">
        <v>142.66335534033439</v>
      </c>
      <c r="I893" s="85">
        <f t="shared" si="72"/>
        <v>160.28359999999998</v>
      </c>
      <c r="J893" s="85"/>
      <c r="K893" s="512"/>
      <c r="L893" s="510"/>
    </row>
    <row r="894" spans="1:12" x14ac:dyDescent="0.25">
      <c r="A894" s="511"/>
      <c r="B894" s="511"/>
      <c r="C894" s="95" t="s">
        <v>56</v>
      </c>
      <c r="D894" s="104">
        <v>4</v>
      </c>
      <c r="E894" s="105">
        <v>3</v>
      </c>
      <c r="F894" s="85" t="str">
        <f t="shared" si="71"/>
        <v>D343</v>
      </c>
      <c r="G894" s="85">
        <v>127.19</v>
      </c>
      <c r="H894" s="85">
        <v>138.1135040777678</v>
      </c>
      <c r="I894" s="85">
        <f t="shared" si="72"/>
        <v>155.17179999999999</v>
      </c>
      <c r="J894" s="85"/>
      <c r="K894" s="512"/>
      <c r="L894" s="510"/>
    </row>
    <row r="895" spans="1:12" x14ac:dyDescent="0.25">
      <c r="A895" s="511"/>
      <c r="B895" s="511"/>
      <c r="C895" s="95" t="s">
        <v>56</v>
      </c>
      <c r="D895" s="104">
        <v>4</v>
      </c>
      <c r="E895" s="105">
        <v>4</v>
      </c>
      <c r="F895" s="85" t="str">
        <f t="shared" si="71"/>
        <v>D344</v>
      </c>
      <c r="G895" s="85">
        <v>125.13</v>
      </c>
      <c r="H895" s="85">
        <v>135.87658436395222</v>
      </c>
      <c r="I895" s="85">
        <f t="shared" si="72"/>
        <v>152.65859999999998</v>
      </c>
      <c r="J895" s="85"/>
      <c r="K895" s="512"/>
      <c r="L895" s="510"/>
    </row>
    <row r="896" spans="1:12" x14ac:dyDescent="0.25">
      <c r="A896" s="83" t="s">
        <v>4</v>
      </c>
      <c r="B896" s="83"/>
      <c r="C896" s="83"/>
      <c r="D896" s="103"/>
      <c r="E896" s="103"/>
      <c r="F896" s="83"/>
      <c r="G896" s="83">
        <f>SUM(G876:G895)</f>
        <v>2497.690000000001</v>
      </c>
      <c r="H896" s="83"/>
      <c r="I896" s="83"/>
      <c r="J896" s="83"/>
      <c r="K896" s="83">
        <f>SUM(K876)</f>
        <v>2712.1999999999985</v>
      </c>
      <c r="L896" s="83">
        <f>L892+L888+L884+L880+L876</f>
        <v>214.51999999999998</v>
      </c>
    </row>
    <row r="897" spans="1:12" x14ac:dyDescent="0.25">
      <c r="A897" s="97"/>
      <c r="L897" s="99">
        <f>(L876+L880+L884+L888+L892)/K896</f>
        <v>7.9094462060320087E-2</v>
      </c>
    </row>
    <row r="899" spans="1:12" ht="37.5" x14ac:dyDescent="0.25">
      <c r="A899" s="82" t="s">
        <v>9</v>
      </c>
      <c r="B899" s="83" t="s">
        <v>7</v>
      </c>
      <c r="C899" s="82" t="s">
        <v>8</v>
      </c>
      <c r="D899" s="102" t="s">
        <v>10</v>
      </c>
      <c r="E899" s="103" t="s">
        <v>2</v>
      </c>
      <c r="F899" s="82" t="s">
        <v>104</v>
      </c>
      <c r="G899" s="82" t="s">
        <v>3</v>
      </c>
      <c r="H899" s="82" t="s">
        <v>102</v>
      </c>
      <c r="I899" s="82" t="s">
        <v>101</v>
      </c>
      <c r="J899" s="82" t="s">
        <v>103</v>
      </c>
      <c r="K899" s="83" t="s">
        <v>6</v>
      </c>
      <c r="L899" s="83" t="s">
        <v>1</v>
      </c>
    </row>
    <row r="900" spans="1:12" x14ac:dyDescent="0.25">
      <c r="A900" s="511" t="s">
        <v>38</v>
      </c>
      <c r="B900" s="511" t="s">
        <v>44</v>
      </c>
      <c r="C900" s="95" t="s">
        <v>63</v>
      </c>
      <c r="D900" s="104">
        <v>0</v>
      </c>
      <c r="E900" s="105">
        <v>1</v>
      </c>
      <c r="F900" s="85" t="str">
        <f>LEFT(C900,2)&amp;D900&amp;E900</f>
        <v>D401</v>
      </c>
      <c r="G900" s="85">
        <v>88.49</v>
      </c>
      <c r="H900" s="85">
        <v>96.199295659590803</v>
      </c>
      <c r="I900" s="85">
        <f>G900*1.22</f>
        <v>107.95779999999999</v>
      </c>
      <c r="J900" s="86">
        <v>67.5261</v>
      </c>
      <c r="K900" s="512">
        <f>SUM(H900:H919)</f>
        <v>2714.79</v>
      </c>
      <c r="L900" s="510">
        <v>73.11</v>
      </c>
    </row>
    <row r="901" spans="1:12" x14ac:dyDescent="0.25">
      <c r="A901" s="511"/>
      <c r="B901" s="511"/>
      <c r="C901" s="95" t="s">
        <v>63</v>
      </c>
      <c r="D901" s="104">
        <v>0</v>
      </c>
      <c r="E901" s="105">
        <v>2</v>
      </c>
      <c r="F901" s="85" t="str">
        <f t="shared" ref="F901:F919" si="73">LEFT(C901,2)&amp;D901&amp;E901</f>
        <v>D402</v>
      </c>
      <c r="G901" s="85">
        <v>124.72</v>
      </c>
      <c r="H901" s="85">
        <v>135.58567244506912</v>
      </c>
      <c r="I901" s="85">
        <f t="shared" ref="I901:I919" si="74">G901*1.22</f>
        <v>152.1584</v>
      </c>
      <c r="J901" s="86">
        <v>85.417599999999993</v>
      </c>
      <c r="K901" s="512"/>
      <c r="L901" s="510"/>
    </row>
    <row r="902" spans="1:12" x14ac:dyDescent="0.25">
      <c r="A902" s="511"/>
      <c r="B902" s="511"/>
      <c r="C902" s="95" t="s">
        <v>63</v>
      </c>
      <c r="D902" s="104">
        <v>0</v>
      </c>
      <c r="E902" s="105">
        <v>3</v>
      </c>
      <c r="F902" s="85" t="str">
        <f t="shared" si="73"/>
        <v>D403</v>
      </c>
      <c r="G902" s="85">
        <v>129.5</v>
      </c>
      <c r="H902" s="85">
        <v>140.78210857630253</v>
      </c>
      <c r="I902" s="85">
        <f t="shared" si="74"/>
        <v>157.99</v>
      </c>
      <c r="J902" s="86">
        <v>84.0732</v>
      </c>
      <c r="K902" s="512"/>
      <c r="L902" s="510"/>
    </row>
    <row r="903" spans="1:12" x14ac:dyDescent="0.25">
      <c r="A903" s="511"/>
      <c r="B903" s="511"/>
      <c r="C903" s="95" t="s">
        <v>63</v>
      </c>
      <c r="D903" s="104">
        <v>0</v>
      </c>
      <c r="E903" s="105">
        <v>4</v>
      </c>
      <c r="F903" s="85" t="str">
        <f t="shared" si="73"/>
        <v>D404</v>
      </c>
      <c r="G903" s="85">
        <v>131.68</v>
      </c>
      <c r="H903" s="85">
        <v>143.15203133071444</v>
      </c>
      <c r="I903" s="85">
        <f t="shared" si="74"/>
        <v>160.64959999999999</v>
      </c>
      <c r="J903" s="86">
        <v>83.961500000000001</v>
      </c>
      <c r="K903" s="512"/>
      <c r="L903" s="510"/>
    </row>
    <row r="904" spans="1:12" x14ac:dyDescent="0.25">
      <c r="A904" s="511"/>
      <c r="B904" s="511"/>
      <c r="C904" s="95" t="s">
        <v>63</v>
      </c>
      <c r="D904" s="104">
        <v>1</v>
      </c>
      <c r="E904" s="105">
        <v>1</v>
      </c>
      <c r="F904" s="85" t="str">
        <f t="shared" si="73"/>
        <v>D411</v>
      </c>
      <c r="G904" s="85">
        <v>88.79</v>
      </c>
      <c r="H904" s="85">
        <v>96.525431818454848</v>
      </c>
      <c r="I904" s="85">
        <f t="shared" si="74"/>
        <v>108.32380000000001</v>
      </c>
      <c r="J904" s="85"/>
      <c r="K904" s="512"/>
      <c r="L904" s="510">
        <v>46.75</v>
      </c>
    </row>
    <row r="905" spans="1:12" x14ac:dyDescent="0.25">
      <c r="A905" s="511"/>
      <c r="B905" s="511"/>
      <c r="C905" s="95" t="s">
        <v>63</v>
      </c>
      <c r="D905" s="104">
        <v>1</v>
      </c>
      <c r="E905" s="105">
        <v>2</v>
      </c>
      <c r="F905" s="85" t="str">
        <f t="shared" si="73"/>
        <v>D412</v>
      </c>
      <c r="G905" s="85">
        <v>126.34</v>
      </c>
      <c r="H905" s="85">
        <v>137.34680770293485</v>
      </c>
      <c r="I905" s="85">
        <f t="shared" si="74"/>
        <v>154.13480000000001</v>
      </c>
      <c r="J905" s="85"/>
      <c r="K905" s="512"/>
      <c r="L905" s="510"/>
    </row>
    <row r="906" spans="1:12" x14ac:dyDescent="0.25">
      <c r="A906" s="511"/>
      <c r="B906" s="511"/>
      <c r="C906" s="95" t="s">
        <v>63</v>
      </c>
      <c r="D906" s="104">
        <v>1</v>
      </c>
      <c r="E906" s="105">
        <v>3</v>
      </c>
      <c r="F906" s="85" t="str">
        <f t="shared" si="73"/>
        <v>D413</v>
      </c>
      <c r="G906" s="85">
        <v>131.12</v>
      </c>
      <c r="H906" s="85">
        <v>142.54324383416824</v>
      </c>
      <c r="I906" s="85">
        <f t="shared" si="74"/>
        <v>159.96639999999999</v>
      </c>
      <c r="J906" s="85"/>
      <c r="K906" s="512"/>
      <c r="L906" s="510"/>
    </row>
    <row r="907" spans="1:12" x14ac:dyDescent="0.25">
      <c r="A907" s="511"/>
      <c r="B907" s="511"/>
      <c r="C907" s="95" t="s">
        <v>63</v>
      </c>
      <c r="D907" s="104">
        <v>1</v>
      </c>
      <c r="E907" s="105">
        <v>4</v>
      </c>
      <c r="F907" s="85" t="str">
        <f t="shared" si="73"/>
        <v>D414</v>
      </c>
      <c r="G907" s="85">
        <v>128.56</v>
      </c>
      <c r="H907" s="85">
        <v>139.76021527852859</v>
      </c>
      <c r="I907" s="85">
        <f t="shared" si="74"/>
        <v>156.8432</v>
      </c>
      <c r="J907" s="85"/>
      <c r="K907" s="512"/>
      <c r="L907" s="510"/>
    </row>
    <row r="908" spans="1:12" x14ac:dyDescent="0.25">
      <c r="A908" s="511"/>
      <c r="B908" s="511"/>
      <c r="C908" s="95" t="s">
        <v>63</v>
      </c>
      <c r="D908" s="104">
        <v>2</v>
      </c>
      <c r="E908" s="105">
        <v>1</v>
      </c>
      <c r="F908" s="85" t="str">
        <f t="shared" si="73"/>
        <v>D421</v>
      </c>
      <c r="G908" s="85">
        <v>127.15</v>
      </c>
      <c r="H908" s="85">
        <v>138.22737533186771</v>
      </c>
      <c r="I908" s="85">
        <f t="shared" si="74"/>
        <v>155.12299999999999</v>
      </c>
      <c r="J908" s="85"/>
      <c r="K908" s="512"/>
      <c r="L908" s="510">
        <v>32.56</v>
      </c>
    </row>
    <row r="909" spans="1:12" x14ac:dyDescent="0.25">
      <c r="A909" s="511"/>
      <c r="B909" s="511"/>
      <c r="C909" s="95" t="s">
        <v>63</v>
      </c>
      <c r="D909" s="104">
        <v>2</v>
      </c>
      <c r="E909" s="105">
        <v>2</v>
      </c>
      <c r="F909" s="85" t="str">
        <f t="shared" si="73"/>
        <v>D422</v>
      </c>
      <c r="G909" s="85">
        <v>126.78</v>
      </c>
      <c r="H909" s="85">
        <v>137.82514073593541</v>
      </c>
      <c r="I909" s="85">
        <f t="shared" si="74"/>
        <v>154.67160000000001</v>
      </c>
      <c r="J909" s="85"/>
      <c r="K909" s="512"/>
      <c r="L909" s="510"/>
    </row>
    <row r="910" spans="1:12" x14ac:dyDescent="0.25">
      <c r="A910" s="511"/>
      <c r="B910" s="511"/>
      <c r="C910" s="95" t="s">
        <v>63</v>
      </c>
      <c r="D910" s="104">
        <v>2</v>
      </c>
      <c r="E910" s="105">
        <v>3</v>
      </c>
      <c r="F910" s="85" t="str">
        <f t="shared" si="73"/>
        <v>D423</v>
      </c>
      <c r="G910" s="85">
        <v>131.56</v>
      </c>
      <c r="H910" s="85">
        <v>143.02157686716882</v>
      </c>
      <c r="I910" s="85">
        <f t="shared" si="74"/>
        <v>160.50319999999999</v>
      </c>
      <c r="J910" s="85"/>
      <c r="K910" s="512"/>
      <c r="L910" s="510"/>
    </row>
    <row r="911" spans="1:12" x14ac:dyDescent="0.25">
      <c r="A911" s="511"/>
      <c r="B911" s="511"/>
      <c r="C911" s="95" t="s">
        <v>63</v>
      </c>
      <c r="D911" s="104">
        <v>2</v>
      </c>
      <c r="E911" s="105">
        <v>4</v>
      </c>
      <c r="F911" s="85" t="str">
        <f t="shared" si="73"/>
        <v>D424</v>
      </c>
      <c r="G911" s="85">
        <v>131.56</v>
      </c>
      <c r="H911" s="85">
        <v>143.02157686716882</v>
      </c>
      <c r="I911" s="85">
        <f t="shared" si="74"/>
        <v>160.50319999999999</v>
      </c>
      <c r="J911" s="85"/>
      <c r="K911" s="512"/>
      <c r="L911" s="510"/>
    </row>
    <row r="912" spans="1:12" x14ac:dyDescent="0.25">
      <c r="A912" s="511"/>
      <c r="B912" s="511"/>
      <c r="C912" s="95" t="s">
        <v>63</v>
      </c>
      <c r="D912" s="104">
        <v>3</v>
      </c>
      <c r="E912" s="105">
        <v>1</v>
      </c>
      <c r="F912" s="85" t="str">
        <f t="shared" si="73"/>
        <v>D431</v>
      </c>
      <c r="G912" s="85">
        <v>127.45</v>
      </c>
      <c r="H912" s="85">
        <v>138.55351149073172</v>
      </c>
      <c r="I912" s="85">
        <f t="shared" si="74"/>
        <v>155.489</v>
      </c>
      <c r="J912" s="85"/>
      <c r="K912" s="512"/>
      <c r="L912" s="510">
        <v>32.56</v>
      </c>
    </row>
    <row r="913" spans="1:12" x14ac:dyDescent="0.25">
      <c r="A913" s="511"/>
      <c r="B913" s="511"/>
      <c r="C913" s="95" t="s">
        <v>63</v>
      </c>
      <c r="D913" s="104">
        <v>3</v>
      </c>
      <c r="E913" s="105">
        <v>2</v>
      </c>
      <c r="F913" s="85" t="str">
        <f t="shared" si="73"/>
        <v>D432</v>
      </c>
      <c r="G913" s="85">
        <v>126.88</v>
      </c>
      <c r="H913" s="85">
        <v>137.93385278889008</v>
      </c>
      <c r="I913" s="85">
        <f t="shared" si="74"/>
        <v>154.7936</v>
      </c>
      <c r="J913" s="85"/>
      <c r="K913" s="512"/>
      <c r="L913" s="510"/>
    </row>
    <row r="914" spans="1:12" x14ac:dyDescent="0.25">
      <c r="A914" s="511"/>
      <c r="B914" s="511"/>
      <c r="C914" s="95" t="s">
        <v>63</v>
      </c>
      <c r="D914" s="104">
        <v>3</v>
      </c>
      <c r="E914" s="105">
        <v>3</v>
      </c>
      <c r="F914" s="85" t="str">
        <f t="shared" si="73"/>
        <v>D433</v>
      </c>
      <c r="G914" s="85">
        <v>131.66</v>
      </c>
      <c r="H914" s="85">
        <v>143.13028892012346</v>
      </c>
      <c r="I914" s="85">
        <f t="shared" si="74"/>
        <v>160.62519999999998</v>
      </c>
      <c r="J914" s="85"/>
      <c r="K914" s="512"/>
      <c r="L914" s="510"/>
    </row>
    <row r="915" spans="1:12" x14ac:dyDescent="0.25">
      <c r="A915" s="511"/>
      <c r="B915" s="511"/>
      <c r="C915" s="95" t="s">
        <v>63</v>
      </c>
      <c r="D915" s="104">
        <v>3</v>
      </c>
      <c r="E915" s="105">
        <v>4</v>
      </c>
      <c r="F915" s="85" t="str">
        <f t="shared" si="73"/>
        <v>D434</v>
      </c>
      <c r="G915" s="85">
        <v>131.86000000000001</v>
      </c>
      <c r="H915" s="85">
        <v>143.34771302603284</v>
      </c>
      <c r="I915" s="85">
        <f t="shared" si="74"/>
        <v>160.86920000000001</v>
      </c>
      <c r="J915" s="85"/>
      <c r="K915" s="512"/>
      <c r="L915" s="510"/>
    </row>
    <row r="916" spans="1:12" x14ac:dyDescent="0.25">
      <c r="A916" s="511"/>
      <c r="B916" s="511"/>
      <c r="C916" s="95" t="s">
        <v>63</v>
      </c>
      <c r="D916" s="104">
        <v>4</v>
      </c>
      <c r="E916" s="105">
        <v>1</v>
      </c>
      <c r="F916" s="85" t="str">
        <f t="shared" si="73"/>
        <v>D441</v>
      </c>
      <c r="G916" s="85">
        <v>125.09</v>
      </c>
      <c r="H916" s="85">
        <v>135.98790704100142</v>
      </c>
      <c r="I916" s="85">
        <f t="shared" si="74"/>
        <v>152.60980000000001</v>
      </c>
      <c r="J916" s="85"/>
      <c r="K916" s="512"/>
      <c r="L916" s="510">
        <v>32.56</v>
      </c>
    </row>
    <row r="917" spans="1:12" x14ac:dyDescent="0.25">
      <c r="A917" s="511"/>
      <c r="B917" s="511"/>
      <c r="C917" s="95" t="s">
        <v>63</v>
      </c>
      <c r="D917" s="104">
        <v>4</v>
      </c>
      <c r="E917" s="105">
        <v>2</v>
      </c>
      <c r="F917" s="85" t="str">
        <f t="shared" si="73"/>
        <v>D442</v>
      </c>
      <c r="G917" s="85">
        <v>126.88</v>
      </c>
      <c r="H917" s="85">
        <v>137.93385278889008</v>
      </c>
      <c r="I917" s="85">
        <f t="shared" si="74"/>
        <v>154.7936</v>
      </c>
      <c r="J917" s="85"/>
      <c r="K917" s="512"/>
      <c r="L917" s="510"/>
    </row>
    <row r="918" spans="1:12" x14ac:dyDescent="0.25">
      <c r="A918" s="511"/>
      <c r="B918" s="511"/>
      <c r="C918" s="95" t="s">
        <v>63</v>
      </c>
      <c r="D918" s="104">
        <v>4</v>
      </c>
      <c r="E918" s="105">
        <v>3</v>
      </c>
      <c r="F918" s="85" t="str">
        <f t="shared" si="73"/>
        <v>D443</v>
      </c>
      <c r="G918" s="85">
        <v>131.66</v>
      </c>
      <c r="H918" s="85">
        <v>143.13028892012346</v>
      </c>
      <c r="I918" s="85">
        <f t="shared" si="74"/>
        <v>160.62519999999998</v>
      </c>
      <c r="J918" s="85"/>
      <c r="K918" s="512"/>
      <c r="L918" s="510"/>
    </row>
    <row r="919" spans="1:12" x14ac:dyDescent="0.25">
      <c r="A919" s="511"/>
      <c r="B919" s="511"/>
      <c r="C919" s="95" t="s">
        <v>63</v>
      </c>
      <c r="D919" s="104">
        <v>4</v>
      </c>
      <c r="E919" s="105">
        <v>4</v>
      </c>
      <c r="F919" s="85" t="str">
        <f t="shared" si="73"/>
        <v>D444</v>
      </c>
      <c r="G919" s="85">
        <v>129.5</v>
      </c>
      <c r="H919" s="85">
        <v>140.78210857630253</v>
      </c>
      <c r="I919" s="85">
        <f t="shared" si="74"/>
        <v>157.99</v>
      </c>
      <c r="J919" s="85"/>
      <c r="K919" s="512"/>
      <c r="L919" s="510"/>
    </row>
    <row r="920" spans="1:12" x14ac:dyDescent="0.25">
      <c r="A920" s="83" t="s">
        <v>4</v>
      </c>
      <c r="B920" s="83"/>
      <c r="C920" s="83"/>
      <c r="D920" s="103"/>
      <c r="E920" s="103"/>
      <c r="F920" s="83"/>
      <c r="G920" s="83">
        <f>SUM(G900:G919)</f>
        <v>2497.23</v>
      </c>
      <c r="H920" s="83"/>
      <c r="I920" s="83">
        <f>SUM(I900:I919)</f>
        <v>3046.6206000000002</v>
      </c>
      <c r="J920" s="83"/>
      <c r="K920" s="83">
        <f>SUM(K900)</f>
        <v>2714.79</v>
      </c>
      <c r="L920" s="83">
        <f>L916+L912+L908+L904+L900</f>
        <v>217.54000000000002</v>
      </c>
    </row>
    <row r="921" spans="1:12" x14ac:dyDescent="0.25">
      <c r="G921" s="87">
        <f>K920/G920</f>
        <v>1.0871205295467377</v>
      </c>
      <c r="L921" s="100">
        <f>(L900+L904+L908+L912+L916)/K920</f>
        <v>8.0131428213600323E-2</v>
      </c>
    </row>
    <row r="923" spans="1:12" ht="37.5" x14ac:dyDescent="0.25">
      <c r="A923" s="82" t="s">
        <v>9</v>
      </c>
      <c r="B923" s="83" t="s">
        <v>7</v>
      </c>
      <c r="C923" s="82" t="s">
        <v>8</v>
      </c>
      <c r="D923" s="102" t="s">
        <v>10</v>
      </c>
      <c r="E923" s="103" t="s">
        <v>2</v>
      </c>
      <c r="F923" s="82" t="s">
        <v>104</v>
      </c>
      <c r="G923" s="82" t="s">
        <v>3</v>
      </c>
      <c r="H923" s="82" t="s">
        <v>102</v>
      </c>
      <c r="I923" s="82" t="s">
        <v>101</v>
      </c>
      <c r="J923" s="82" t="s">
        <v>103</v>
      </c>
      <c r="K923" s="83" t="s">
        <v>6</v>
      </c>
      <c r="L923" s="83" t="s">
        <v>1</v>
      </c>
    </row>
    <row r="924" spans="1:12" x14ac:dyDescent="0.25">
      <c r="A924" s="511" t="s">
        <v>38</v>
      </c>
      <c r="B924" s="511" t="s">
        <v>44</v>
      </c>
      <c r="C924" s="95" t="s">
        <v>62</v>
      </c>
      <c r="D924" s="104">
        <v>0</v>
      </c>
      <c r="E924" s="105">
        <v>1</v>
      </c>
      <c r="F924" s="85" t="str">
        <f>LEFT(C924,2)&amp;D924&amp;E924</f>
        <v>D501</v>
      </c>
      <c r="G924" s="85">
        <v>131.68</v>
      </c>
      <c r="H924" s="85">
        <v>143.16923069529381</v>
      </c>
      <c r="I924" s="85">
        <f>1.22*G924</f>
        <v>160.64959999999999</v>
      </c>
      <c r="J924" s="86">
        <v>84.359399999999994</v>
      </c>
      <c r="K924" s="512">
        <f>SUM(H924:H943)</f>
        <v>2714.7899999999995</v>
      </c>
      <c r="L924" s="510">
        <v>73.11</v>
      </c>
    </row>
    <row r="925" spans="1:12" x14ac:dyDescent="0.25">
      <c r="A925" s="511"/>
      <c r="B925" s="511"/>
      <c r="C925" s="95" t="s">
        <v>62</v>
      </c>
      <c r="D925" s="104">
        <v>0</v>
      </c>
      <c r="E925" s="105">
        <v>2</v>
      </c>
      <c r="F925" s="85" t="str">
        <f t="shared" ref="F925:F943" si="75">LEFT(C925,2)&amp;D925&amp;E925</f>
        <v>D502</v>
      </c>
      <c r="G925" s="85">
        <v>129.5</v>
      </c>
      <c r="H925" s="85">
        <v>140.79902320049018</v>
      </c>
      <c r="I925" s="85">
        <f t="shared" ref="I925:I943" si="76">1.22*G925</f>
        <v>157.99</v>
      </c>
      <c r="J925" s="86">
        <v>84.0732</v>
      </c>
      <c r="K925" s="512"/>
      <c r="L925" s="510"/>
    </row>
    <row r="926" spans="1:12" x14ac:dyDescent="0.25">
      <c r="A926" s="511"/>
      <c r="B926" s="511"/>
      <c r="C926" s="95" t="s">
        <v>62</v>
      </c>
      <c r="D926" s="104">
        <v>0</v>
      </c>
      <c r="E926" s="105">
        <v>3</v>
      </c>
      <c r="F926" s="85" t="str">
        <f t="shared" si="75"/>
        <v>D503</v>
      </c>
      <c r="G926" s="85">
        <v>124.72</v>
      </c>
      <c r="H926" s="85">
        <v>135.60196273023271</v>
      </c>
      <c r="I926" s="85">
        <f t="shared" si="76"/>
        <v>152.1584</v>
      </c>
      <c r="J926" s="86">
        <v>85.417599999999993</v>
      </c>
      <c r="K926" s="512"/>
      <c r="L926" s="510"/>
    </row>
    <row r="927" spans="1:12" x14ac:dyDescent="0.25">
      <c r="A927" s="511"/>
      <c r="B927" s="511"/>
      <c r="C927" s="95" t="s">
        <v>62</v>
      </c>
      <c r="D927" s="104">
        <v>0</v>
      </c>
      <c r="E927" s="105">
        <v>4</v>
      </c>
      <c r="F927" s="85" t="str">
        <f t="shared" si="75"/>
        <v>D504</v>
      </c>
      <c r="G927" s="85">
        <v>88.49</v>
      </c>
      <c r="H927" s="85">
        <v>96.210853768427611</v>
      </c>
      <c r="I927" s="85">
        <f t="shared" si="76"/>
        <v>107.95779999999999</v>
      </c>
      <c r="J927" s="86">
        <v>67.558899999999994</v>
      </c>
      <c r="K927" s="512"/>
      <c r="L927" s="510"/>
    </row>
    <row r="928" spans="1:12" x14ac:dyDescent="0.25">
      <c r="A928" s="511"/>
      <c r="B928" s="511"/>
      <c r="C928" s="95" t="s">
        <v>62</v>
      </c>
      <c r="D928" s="104">
        <v>1</v>
      </c>
      <c r="E928" s="105">
        <v>1</v>
      </c>
      <c r="F928" s="85" t="str">
        <f t="shared" si="75"/>
        <v>D511</v>
      </c>
      <c r="G928" s="85">
        <v>128.56</v>
      </c>
      <c r="H928" s="85">
        <v>139.77700712474919</v>
      </c>
      <c r="I928" s="85">
        <f t="shared" si="76"/>
        <v>156.8432</v>
      </c>
      <c r="J928" s="85"/>
      <c r="K928" s="512"/>
      <c r="L928" s="510">
        <v>46.75</v>
      </c>
    </row>
    <row r="929" spans="1:12" x14ac:dyDescent="0.25">
      <c r="A929" s="511"/>
      <c r="B929" s="511"/>
      <c r="C929" s="95" t="s">
        <v>62</v>
      </c>
      <c r="D929" s="104">
        <v>1</v>
      </c>
      <c r="E929" s="105">
        <v>2</v>
      </c>
      <c r="F929" s="85" t="str">
        <f t="shared" si="75"/>
        <v>D512</v>
      </c>
      <c r="G929" s="85">
        <v>131.12</v>
      </c>
      <c r="H929" s="85">
        <v>142.56037005442684</v>
      </c>
      <c r="I929" s="85">
        <f t="shared" si="76"/>
        <v>159.96639999999999</v>
      </c>
      <c r="J929" s="85"/>
      <c r="K929" s="512"/>
      <c r="L929" s="510"/>
    </row>
    <row r="930" spans="1:12" x14ac:dyDescent="0.25">
      <c r="A930" s="511"/>
      <c r="B930" s="511"/>
      <c r="C930" s="95" t="s">
        <v>62</v>
      </c>
      <c r="D930" s="104">
        <v>1</v>
      </c>
      <c r="E930" s="105">
        <v>3</v>
      </c>
      <c r="F930" s="85" t="str">
        <f t="shared" si="75"/>
        <v>D513</v>
      </c>
      <c r="G930" s="85">
        <v>126.34</v>
      </c>
      <c r="H930" s="85">
        <v>137.36330958416934</v>
      </c>
      <c r="I930" s="85">
        <f t="shared" si="76"/>
        <v>154.13480000000001</v>
      </c>
      <c r="J930" s="85"/>
      <c r="K930" s="512"/>
      <c r="L930" s="510"/>
    </row>
    <row r="931" spans="1:12" x14ac:dyDescent="0.25">
      <c r="A931" s="511"/>
      <c r="B931" s="511"/>
      <c r="C931" s="95" t="s">
        <v>62</v>
      </c>
      <c r="D931" s="104">
        <v>1</v>
      </c>
      <c r="E931" s="105">
        <v>4</v>
      </c>
      <c r="F931" s="85" t="str">
        <f t="shared" si="75"/>
        <v>D514</v>
      </c>
      <c r="G931" s="85">
        <v>88.79</v>
      </c>
      <c r="H931" s="85">
        <v>96.537029111749234</v>
      </c>
      <c r="I931" s="85">
        <f t="shared" si="76"/>
        <v>108.32380000000001</v>
      </c>
      <c r="J931" s="85"/>
      <c r="K931" s="512"/>
      <c r="L931" s="510"/>
    </row>
    <row r="932" spans="1:12" x14ac:dyDescent="0.25">
      <c r="A932" s="511"/>
      <c r="B932" s="511"/>
      <c r="C932" s="95" t="s">
        <v>62</v>
      </c>
      <c r="D932" s="104">
        <v>2</v>
      </c>
      <c r="E932" s="105">
        <v>1</v>
      </c>
      <c r="F932" s="85" t="str">
        <f t="shared" si="75"/>
        <v>D521</v>
      </c>
      <c r="G932" s="85">
        <v>131.56</v>
      </c>
      <c r="H932" s="85">
        <v>143.03876055796516</v>
      </c>
      <c r="I932" s="85">
        <f t="shared" si="76"/>
        <v>160.50319999999999</v>
      </c>
      <c r="J932" s="85"/>
      <c r="K932" s="512"/>
      <c r="L932" s="510">
        <v>32.56</v>
      </c>
    </row>
    <row r="933" spans="1:12" x14ac:dyDescent="0.25">
      <c r="A933" s="511"/>
      <c r="B933" s="511"/>
      <c r="C933" s="95" t="s">
        <v>62</v>
      </c>
      <c r="D933" s="104">
        <v>2</v>
      </c>
      <c r="E933" s="105">
        <v>2</v>
      </c>
      <c r="F933" s="85" t="str">
        <f t="shared" si="75"/>
        <v>D522</v>
      </c>
      <c r="G933" s="85">
        <v>131.56</v>
      </c>
      <c r="H933" s="85">
        <v>143.03876055796516</v>
      </c>
      <c r="I933" s="85">
        <f t="shared" si="76"/>
        <v>160.50319999999999</v>
      </c>
      <c r="J933" s="85"/>
      <c r="K933" s="512"/>
      <c r="L933" s="510"/>
    </row>
    <row r="934" spans="1:12" x14ac:dyDescent="0.25">
      <c r="A934" s="511"/>
      <c r="B934" s="511"/>
      <c r="C934" s="95" t="s">
        <v>62</v>
      </c>
      <c r="D934" s="104">
        <v>2</v>
      </c>
      <c r="E934" s="105">
        <v>3</v>
      </c>
      <c r="F934" s="85" t="str">
        <f t="shared" si="75"/>
        <v>D523</v>
      </c>
      <c r="G934" s="85">
        <v>126.78</v>
      </c>
      <c r="H934" s="85">
        <v>137.84170008770769</v>
      </c>
      <c r="I934" s="85">
        <f t="shared" si="76"/>
        <v>154.67160000000001</v>
      </c>
      <c r="J934" s="85"/>
      <c r="K934" s="512"/>
      <c r="L934" s="510"/>
    </row>
    <row r="935" spans="1:12" x14ac:dyDescent="0.25">
      <c r="A935" s="511"/>
      <c r="B935" s="511"/>
      <c r="C935" s="95" t="s">
        <v>62</v>
      </c>
      <c r="D935" s="104">
        <v>2</v>
      </c>
      <c r="E935" s="105">
        <v>4</v>
      </c>
      <c r="F935" s="85" t="str">
        <f t="shared" si="75"/>
        <v>D524</v>
      </c>
      <c r="G935" s="85">
        <v>127.15</v>
      </c>
      <c r="H935" s="85">
        <v>138.24398301113769</v>
      </c>
      <c r="I935" s="85">
        <f t="shared" si="76"/>
        <v>155.12299999999999</v>
      </c>
      <c r="J935" s="85"/>
      <c r="K935" s="512"/>
      <c r="L935" s="510"/>
    </row>
    <row r="936" spans="1:12" x14ac:dyDescent="0.25">
      <c r="A936" s="511"/>
      <c r="B936" s="511"/>
      <c r="C936" s="95" t="s">
        <v>62</v>
      </c>
      <c r="D936" s="104">
        <v>3</v>
      </c>
      <c r="E936" s="105">
        <v>1</v>
      </c>
      <c r="F936" s="85" t="str">
        <f t="shared" si="75"/>
        <v>D531</v>
      </c>
      <c r="G936" s="85">
        <v>131.86000000000001</v>
      </c>
      <c r="H936" s="85">
        <v>143.36493590128677</v>
      </c>
      <c r="I936" s="85">
        <f t="shared" si="76"/>
        <v>160.86920000000001</v>
      </c>
      <c r="J936" s="85"/>
      <c r="K936" s="512"/>
      <c r="L936" s="510">
        <v>32.56</v>
      </c>
    </row>
    <row r="937" spans="1:12" x14ac:dyDescent="0.25">
      <c r="A937" s="511"/>
      <c r="B937" s="511"/>
      <c r="C937" s="95" t="s">
        <v>62</v>
      </c>
      <c r="D937" s="104">
        <v>3</v>
      </c>
      <c r="E937" s="105">
        <v>2</v>
      </c>
      <c r="F937" s="85" t="str">
        <f t="shared" si="75"/>
        <v>D532</v>
      </c>
      <c r="G937" s="85">
        <v>131.66</v>
      </c>
      <c r="H937" s="85">
        <v>143.14748567240571</v>
      </c>
      <c r="I937" s="85">
        <f t="shared" si="76"/>
        <v>160.62519999999998</v>
      </c>
      <c r="J937" s="85"/>
      <c r="K937" s="512"/>
      <c r="L937" s="510"/>
    </row>
    <row r="938" spans="1:12" x14ac:dyDescent="0.25">
      <c r="A938" s="511"/>
      <c r="B938" s="511"/>
      <c r="C938" s="95" t="s">
        <v>62</v>
      </c>
      <c r="D938" s="104">
        <v>3</v>
      </c>
      <c r="E938" s="105">
        <v>3</v>
      </c>
      <c r="F938" s="85" t="str">
        <f t="shared" si="75"/>
        <v>D533</v>
      </c>
      <c r="G938" s="85">
        <v>126.88</v>
      </c>
      <c r="H938" s="85">
        <v>137.95042520214821</v>
      </c>
      <c r="I938" s="85">
        <f t="shared" si="76"/>
        <v>154.7936</v>
      </c>
      <c r="J938" s="85"/>
      <c r="K938" s="512"/>
      <c r="L938" s="510"/>
    </row>
    <row r="939" spans="1:12" x14ac:dyDescent="0.25">
      <c r="A939" s="511"/>
      <c r="B939" s="511"/>
      <c r="C939" s="95" t="s">
        <v>62</v>
      </c>
      <c r="D939" s="104">
        <v>3</v>
      </c>
      <c r="E939" s="105">
        <v>4</v>
      </c>
      <c r="F939" s="85" t="str">
        <f t="shared" si="75"/>
        <v>D534</v>
      </c>
      <c r="G939" s="85">
        <v>127.15</v>
      </c>
      <c r="H939" s="85">
        <v>138.24398301113769</v>
      </c>
      <c r="I939" s="85">
        <f t="shared" si="76"/>
        <v>155.12299999999999</v>
      </c>
      <c r="J939" s="85"/>
      <c r="K939" s="512"/>
      <c r="L939" s="510"/>
    </row>
    <row r="940" spans="1:12" x14ac:dyDescent="0.25">
      <c r="A940" s="511"/>
      <c r="B940" s="511"/>
      <c r="C940" s="95" t="s">
        <v>62</v>
      </c>
      <c r="D940" s="104">
        <v>4</v>
      </c>
      <c r="E940" s="105">
        <v>1</v>
      </c>
      <c r="F940" s="85" t="str">
        <f t="shared" si="75"/>
        <v>D541</v>
      </c>
      <c r="G940" s="85">
        <v>129.5</v>
      </c>
      <c r="H940" s="85">
        <v>140.79902320049018</v>
      </c>
      <c r="I940" s="85">
        <f t="shared" si="76"/>
        <v>157.99</v>
      </c>
      <c r="J940" s="85"/>
      <c r="K940" s="512"/>
      <c r="L940" s="510">
        <v>32.56</v>
      </c>
    </row>
    <row r="941" spans="1:12" x14ac:dyDescent="0.25">
      <c r="A941" s="511"/>
      <c r="B941" s="511"/>
      <c r="C941" s="95" t="s">
        <v>62</v>
      </c>
      <c r="D941" s="104">
        <v>4</v>
      </c>
      <c r="E941" s="105">
        <v>2</v>
      </c>
      <c r="F941" s="85" t="str">
        <f t="shared" si="75"/>
        <v>D542</v>
      </c>
      <c r="G941" s="85">
        <v>131.66</v>
      </c>
      <c r="H941" s="85">
        <v>143.14748567240571</v>
      </c>
      <c r="I941" s="85">
        <f t="shared" si="76"/>
        <v>160.62519999999998</v>
      </c>
      <c r="J941" s="85"/>
      <c r="K941" s="512"/>
      <c r="L941" s="510"/>
    </row>
    <row r="942" spans="1:12" x14ac:dyDescent="0.25">
      <c r="A942" s="511"/>
      <c r="B942" s="511"/>
      <c r="C942" s="95" t="s">
        <v>62</v>
      </c>
      <c r="D942" s="104">
        <v>4</v>
      </c>
      <c r="E942" s="105">
        <v>3</v>
      </c>
      <c r="F942" s="85" t="str">
        <f t="shared" si="75"/>
        <v>D543</v>
      </c>
      <c r="G942" s="85">
        <v>126.88</v>
      </c>
      <c r="H942" s="85">
        <v>137.95042520214821</v>
      </c>
      <c r="I942" s="85">
        <f t="shared" si="76"/>
        <v>154.7936</v>
      </c>
      <c r="J942" s="85"/>
      <c r="K942" s="512"/>
      <c r="L942" s="510"/>
    </row>
    <row r="943" spans="1:12" x14ac:dyDescent="0.25">
      <c r="A943" s="511"/>
      <c r="B943" s="511"/>
      <c r="C943" s="95" t="s">
        <v>62</v>
      </c>
      <c r="D943" s="104">
        <v>4</v>
      </c>
      <c r="E943" s="105">
        <v>4</v>
      </c>
      <c r="F943" s="85" t="str">
        <f t="shared" si="75"/>
        <v>D544</v>
      </c>
      <c r="G943" s="85">
        <v>125.09</v>
      </c>
      <c r="H943" s="85">
        <v>136.00424565366268</v>
      </c>
      <c r="I943" s="85">
        <f t="shared" si="76"/>
        <v>152.60980000000001</v>
      </c>
      <c r="J943" s="85"/>
      <c r="K943" s="512"/>
      <c r="L943" s="510"/>
    </row>
    <row r="944" spans="1:12" x14ac:dyDescent="0.25">
      <c r="A944" s="83" t="s">
        <v>4</v>
      </c>
      <c r="B944" s="83"/>
      <c r="C944" s="83"/>
      <c r="D944" s="103"/>
      <c r="E944" s="103"/>
      <c r="F944" s="83"/>
      <c r="G944" s="83">
        <f>SUM(G924:G943)</f>
        <v>2496.9300000000003</v>
      </c>
      <c r="H944" s="83"/>
      <c r="I944" s="83">
        <f>SUM(I924:I943)</f>
        <v>3046.2546000000007</v>
      </c>
      <c r="J944" s="83"/>
      <c r="K944" s="83">
        <f>SUM(K924)</f>
        <v>2714.7899999999995</v>
      </c>
      <c r="L944" s="83">
        <f>L940+L936+L932+L928+L924</f>
        <v>217.54000000000002</v>
      </c>
    </row>
    <row r="945" spans="1:12" x14ac:dyDescent="0.25">
      <c r="A945" s="97"/>
      <c r="L945" s="99">
        <f>(L924+L928+L932+L936+L940)/K944</f>
        <v>8.0131428213600336E-2</v>
      </c>
    </row>
    <row r="947" spans="1:12" ht="37.5" x14ac:dyDescent="0.25">
      <c r="A947" s="82" t="s">
        <v>9</v>
      </c>
      <c r="B947" s="83" t="s">
        <v>7</v>
      </c>
      <c r="C947" s="82" t="s">
        <v>8</v>
      </c>
      <c r="D947" s="102" t="s">
        <v>10</v>
      </c>
      <c r="E947" s="103" t="s">
        <v>2</v>
      </c>
      <c r="F947" s="82" t="s">
        <v>104</v>
      </c>
      <c r="G947" s="82" t="s">
        <v>3</v>
      </c>
      <c r="H947" s="82" t="s">
        <v>102</v>
      </c>
      <c r="I947" s="82" t="s">
        <v>101</v>
      </c>
      <c r="J947" s="82" t="s">
        <v>103</v>
      </c>
      <c r="K947" s="83" t="s">
        <v>6</v>
      </c>
      <c r="L947" s="83" t="s">
        <v>1</v>
      </c>
    </row>
    <row r="948" spans="1:12" x14ac:dyDescent="0.25">
      <c r="A948" s="511" t="s">
        <v>38</v>
      </c>
      <c r="B948" s="511" t="s">
        <v>44</v>
      </c>
      <c r="C948" s="95" t="s">
        <v>73</v>
      </c>
      <c r="D948" s="104">
        <v>0</v>
      </c>
      <c r="E948" s="105">
        <v>1</v>
      </c>
      <c r="F948" s="85" t="str">
        <f>LEFT(C948,2)&amp;D948&amp;E948</f>
        <v>E101</v>
      </c>
      <c r="G948" s="85">
        <v>88.49</v>
      </c>
      <c r="H948" s="85">
        <v>96.199295659590803</v>
      </c>
      <c r="I948" s="85">
        <f>G948*1.22</f>
        <v>107.95779999999999</v>
      </c>
      <c r="J948" s="86">
        <v>67.980199999999996</v>
      </c>
      <c r="K948" s="512">
        <f>SUM(H948:H967)</f>
        <v>2714.79</v>
      </c>
      <c r="L948" s="510">
        <v>73.11</v>
      </c>
    </row>
    <row r="949" spans="1:12" x14ac:dyDescent="0.25">
      <c r="A949" s="511"/>
      <c r="B949" s="511"/>
      <c r="C949" s="95" t="s">
        <v>73</v>
      </c>
      <c r="D949" s="104">
        <v>0</v>
      </c>
      <c r="E949" s="105">
        <v>2</v>
      </c>
      <c r="F949" s="85" t="str">
        <f t="shared" ref="F949:F967" si="77">LEFT(C949,2)&amp;D949&amp;E949</f>
        <v>E102</v>
      </c>
      <c r="G949" s="85">
        <v>124.72</v>
      </c>
      <c r="H949" s="85">
        <v>135.58567244506912</v>
      </c>
      <c r="I949" s="85">
        <f t="shared" ref="I949:I967" si="78">G949*1.22</f>
        <v>152.1584</v>
      </c>
      <c r="J949" s="86">
        <v>85.417599999999993</v>
      </c>
      <c r="K949" s="512"/>
      <c r="L949" s="510"/>
    </row>
    <row r="950" spans="1:12" x14ac:dyDescent="0.25">
      <c r="A950" s="511"/>
      <c r="B950" s="511"/>
      <c r="C950" s="95" t="s">
        <v>73</v>
      </c>
      <c r="D950" s="104">
        <v>0</v>
      </c>
      <c r="E950" s="105">
        <v>3</v>
      </c>
      <c r="F950" s="85" t="str">
        <f t="shared" si="77"/>
        <v>E103</v>
      </c>
      <c r="G950" s="85">
        <v>129.5</v>
      </c>
      <c r="H950" s="85">
        <v>140.78210857630253</v>
      </c>
      <c r="I950" s="85">
        <f t="shared" si="78"/>
        <v>157.99</v>
      </c>
      <c r="J950" s="86">
        <v>84.0732</v>
      </c>
      <c r="K950" s="512"/>
      <c r="L950" s="510"/>
    </row>
    <row r="951" spans="1:12" x14ac:dyDescent="0.25">
      <c r="A951" s="511"/>
      <c r="B951" s="511"/>
      <c r="C951" s="95" t="s">
        <v>73</v>
      </c>
      <c r="D951" s="104">
        <v>0</v>
      </c>
      <c r="E951" s="105">
        <v>4</v>
      </c>
      <c r="F951" s="85" t="str">
        <f t="shared" si="77"/>
        <v>E104</v>
      </c>
      <c r="G951" s="85">
        <v>131.68</v>
      </c>
      <c r="H951" s="85">
        <v>143.15203133071444</v>
      </c>
      <c r="I951" s="85">
        <f t="shared" si="78"/>
        <v>160.64959999999999</v>
      </c>
      <c r="J951" s="86">
        <v>84.652000000000001</v>
      </c>
      <c r="K951" s="512"/>
      <c r="L951" s="510"/>
    </row>
    <row r="952" spans="1:12" x14ac:dyDescent="0.25">
      <c r="A952" s="511"/>
      <c r="B952" s="511"/>
      <c r="C952" s="95" t="s">
        <v>73</v>
      </c>
      <c r="D952" s="104">
        <v>1</v>
      </c>
      <c r="E952" s="105">
        <v>1</v>
      </c>
      <c r="F952" s="85" t="str">
        <f t="shared" si="77"/>
        <v>E111</v>
      </c>
      <c r="G952" s="85">
        <v>88.79</v>
      </c>
      <c r="H952" s="85">
        <v>96.525431818454848</v>
      </c>
      <c r="I952" s="85">
        <f t="shared" si="78"/>
        <v>108.32380000000001</v>
      </c>
      <c r="J952" s="85"/>
      <c r="K952" s="512"/>
      <c r="L952" s="510">
        <v>46.75</v>
      </c>
    </row>
    <row r="953" spans="1:12" x14ac:dyDescent="0.25">
      <c r="A953" s="511"/>
      <c r="B953" s="511"/>
      <c r="C953" s="95" t="s">
        <v>73</v>
      </c>
      <c r="D953" s="104">
        <v>1</v>
      </c>
      <c r="E953" s="105">
        <v>2</v>
      </c>
      <c r="F953" s="85" t="str">
        <f t="shared" si="77"/>
        <v>E112</v>
      </c>
      <c r="G953" s="85">
        <v>126.34</v>
      </c>
      <c r="H953" s="85">
        <v>137.34680770293485</v>
      </c>
      <c r="I953" s="85">
        <f t="shared" si="78"/>
        <v>154.13480000000001</v>
      </c>
      <c r="J953" s="85"/>
      <c r="K953" s="512"/>
      <c r="L953" s="510"/>
    </row>
    <row r="954" spans="1:12" x14ac:dyDescent="0.25">
      <c r="A954" s="511"/>
      <c r="B954" s="511"/>
      <c r="C954" s="95" t="s">
        <v>73</v>
      </c>
      <c r="D954" s="104">
        <v>1</v>
      </c>
      <c r="E954" s="105">
        <v>3</v>
      </c>
      <c r="F954" s="85" t="str">
        <f t="shared" si="77"/>
        <v>E113</v>
      </c>
      <c r="G954" s="85">
        <v>131.12</v>
      </c>
      <c r="H954" s="85">
        <v>142.54324383416824</v>
      </c>
      <c r="I954" s="85">
        <f t="shared" si="78"/>
        <v>159.96639999999999</v>
      </c>
      <c r="J954" s="85"/>
      <c r="K954" s="512"/>
      <c r="L954" s="510"/>
    </row>
    <row r="955" spans="1:12" x14ac:dyDescent="0.25">
      <c r="A955" s="511"/>
      <c r="B955" s="511"/>
      <c r="C955" s="95" t="s">
        <v>73</v>
      </c>
      <c r="D955" s="104">
        <v>1</v>
      </c>
      <c r="E955" s="105">
        <v>4</v>
      </c>
      <c r="F955" s="85" t="str">
        <f t="shared" si="77"/>
        <v>E114</v>
      </c>
      <c r="G955" s="85">
        <v>128.56</v>
      </c>
      <c r="H955" s="85">
        <v>139.76021527852859</v>
      </c>
      <c r="I955" s="85">
        <f t="shared" si="78"/>
        <v>156.8432</v>
      </c>
      <c r="J955" s="85"/>
      <c r="K955" s="512"/>
      <c r="L955" s="510"/>
    </row>
    <row r="956" spans="1:12" x14ac:dyDescent="0.25">
      <c r="A956" s="511"/>
      <c r="B956" s="511"/>
      <c r="C956" s="95" t="s">
        <v>73</v>
      </c>
      <c r="D956" s="104">
        <v>2</v>
      </c>
      <c r="E956" s="105">
        <v>1</v>
      </c>
      <c r="F956" s="85" t="str">
        <f t="shared" si="77"/>
        <v>E121</v>
      </c>
      <c r="G956" s="85">
        <v>127.15</v>
      </c>
      <c r="H956" s="85">
        <v>138.22737533186771</v>
      </c>
      <c r="I956" s="85">
        <f t="shared" si="78"/>
        <v>155.12299999999999</v>
      </c>
      <c r="J956" s="85"/>
      <c r="K956" s="512"/>
      <c r="L956" s="510">
        <v>32.56</v>
      </c>
    </row>
    <row r="957" spans="1:12" x14ac:dyDescent="0.25">
      <c r="A957" s="511"/>
      <c r="B957" s="511"/>
      <c r="C957" s="95" t="s">
        <v>73</v>
      </c>
      <c r="D957" s="104">
        <v>2</v>
      </c>
      <c r="E957" s="105">
        <v>2</v>
      </c>
      <c r="F957" s="85" t="str">
        <f t="shared" si="77"/>
        <v>E122</v>
      </c>
      <c r="G957" s="85">
        <v>126.78</v>
      </c>
      <c r="H957" s="85">
        <v>137.82514073593541</v>
      </c>
      <c r="I957" s="85">
        <f t="shared" si="78"/>
        <v>154.67160000000001</v>
      </c>
      <c r="J957" s="85"/>
      <c r="K957" s="512"/>
      <c r="L957" s="510"/>
    </row>
    <row r="958" spans="1:12" x14ac:dyDescent="0.25">
      <c r="A958" s="511"/>
      <c r="B958" s="511"/>
      <c r="C958" s="95" t="s">
        <v>73</v>
      </c>
      <c r="D958" s="104">
        <v>2</v>
      </c>
      <c r="E958" s="105">
        <v>3</v>
      </c>
      <c r="F958" s="85" t="str">
        <f t="shared" si="77"/>
        <v>E123</v>
      </c>
      <c r="G958" s="85">
        <v>131.56</v>
      </c>
      <c r="H958" s="85">
        <v>143.02157686716882</v>
      </c>
      <c r="I958" s="85">
        <f t="shared" si="78"/>
        <v>160.50319999999999</v>
      </c>
      <c r="J958" s="85"/>
      <c r="K958" s="512"/>
      <c r="L958" s="510"/>
    </row>
    <row r="959" spans="1:12" x14ac:dyDescent="0.25">
      <c r="A959" s="511"/>
      <c r="B959" s="511"/>
      <c r="C959" s="95" t="s">
        <v>73</v>
      </c>
      <c r="D959" s="104">
        <v>2</v>
      </c>
      <c r="E959" s="105">
        <v>4</v>
      </c>
      <c r="F959" s="85" t="str">
        <f t="shared" si="77"/>
        <v>E124</v>
      </c>
      <c r="G959" s="85">
        <v>131.56</v>
      </c>
      <c r="H959" s="85">
        <v>143.02157686716882</v>
      </c>
      <c r="I959" s="85">
        <f t="shared" si="78"/>
        <v>160.50319999999999</v>
      </c>
      <c r="J959" s="85"/>
      <c r="K959" s="512"/>
      <c r="L959" s="510"/>
    </row>
    <row r="960" spans="1:12" x14ac:dyDescent="0.25">
      <c r="A960" s="511"/>
      <c r="B960" s="511"/>
      <c r="C960" s="95" t="s">
        <v>73</v>
      </c>
      <c r="D960" s="104">
        <v>3</v>
      </c>
      <c r="E960" s="105">
        <v>1</v>
      </c>
      <c r="F960" s="85" t="str">
        <f t="shared" si="77"/>
        <v>E131</v>
      </c>
      <c r="G960" s="85">
        <v>127.45</v>
      </c>
      <c r="H960" s="85">
        <v>138.55351149073172</v>
      </c>
      <c r="I960" s="85">
        <f t="shared" si="78"/>
        <v>155.489</v>
      </c>
      <c r="J960" s="85"/>
      <c r="K960" s="512"/>
      <c r="L960" s="510">
        <v>32.56</v>
      </c>
    </row>
    <row r="961" spans="1:12" x14ac:dyDescent="0.25">
      <c r="A961" s="511"/>
      <c r="B961" s="511"/>
      <c r="C961" s="95" t="s">
        <v>73</v>
      </c>
      <c r="D961" s="104">
        <v>3</v>
      </c>
      <c r="E961" s="105">
        <v>2</v>
      </c>
      <c r="F961" s="85" t="str">
        <f t="shared" si="77"/>
        <v>E132</v>
      </c>
      <c r="G961" s="85">
        <v>126.88</v>
      </c>
      <c r="H961" s="85">
        <v>137.93385278889008</v>
      </c>
      <c r="I961" s="85">
        <f t="shared" si="78"/>
        <v>154.7936</v>
      </c>
      <c r="J961" s="85"/>
      <c r="K961" s="512"/>
      <c r="L961" s="510"/>
    </row>
    <row r="962" spans="1:12" x14ac:dyDescent="0.25">
      <c r="A962" s="511"/>
      <c r="B962" s="511"/>
      <c r="C962" s="95" t="s">
        <v>73</v>
      </c>
      <c r="D962" s="104">
        <v>3</v>
      </c>
      <c r="E962" s="105">
        <v>3</v>
      </c>
      <c r="F962" s="85" t="str">
        <f t="shared" si="77"/>
        <v>E133</v>
      </c>
      <c r="G962" s="85">
        <v>131.66</v>
      </c>
      <c r="H962" s="85">
        <v>143.13028892012346</v>
      </c>
      <c r="I962" s="85">
        <f t="shared" si="78"/>
        <v>160.62519999999998</v>
      </c>
      <c r="J962" s="85"/>
      <c r="K962" s="512"/>
      <c r="L962" s="510"/>
    </row>
    <row r="963" spans="1:12" x14ac:dyDescent="0.25">
      <c r="A963" s="511"/>
      <c r="B963" s="511"/>
      <c r="C963" s="95" t="s">
        <v>73</v>
      </c>
      <c r="D963" s="104">
        <v>3</v>
      </c>
      <c r="E963" s="105">
        <v>4</v>
      </c>
      <c r="F963" s="85" t="str">
        <f t="shared" si="77"/>
        <v>E134</v>
      </c>
      <c r="G963" s="85">
        <v>131.86000000000001</v>
      </c>
      <c r="H963" s="85">
        <v>143.34771302603284</v>
      </c>
      <c r="I963" s="85">
        <f t="shared" si="78"/>
        <v>160.86920000000001</v>
      </c>
      <c r="J963" s="85"/>
      <c r="K963" s="512"/>
      <c r="L963" s="510"/>
    </row>
    <row r="964" spans="1:12" x14ac:dyDescent="0.25">
      <c r="A964" s="511"/>
      <c r="B964" s="511"/>
      <c r="C964" s="95" t="s">
        <v>73</v>
      </c>
      <c r="D964" s="104">
        <v>4</v>
      </c>
      <c r="E964" s="105">
        <v>1</v>
      </c>
      <c r="F964" s="85" t="str">
        <f t="shared" si="77"/>
        <v>E141</v>
      </c>
      <c r="G964" s="85">
        <v>125.09</v>
      </c>
      <c r="H964" s="85">
        <v>135.98790704100142</v>
      </c>
      <c r="I964" s="85">
        <f t="shared" si="78"/>
        <v>152.60980000000001</v>
      </c>
      <c r="J964" s="85"/>
      <c r="K964" s="512"/>
      <c r="L964" s="510">
        <v>32.56</v>
      </c>
    </row>
    <row r="965" spans="1:12" x14ac:dyDescent="0.25">
      <c r="A965" s="511"/>
      <c r="B965" s="511"/>
      <c r="C965" s="95" t="s">
        <v>73</v>
      </c>
      <c r="D965" s="104">
        <v>4</v>
      </c>
      <c r="E965" s="105">
        <v>2</v>
      </c>
      <c r="F965" s="85" t="str">
        <f t="shared" si="77"/>
        <v>E142</v>
      </c>
      <c r="G965" s="85">
        <v>126.88</v>
      </c>
      <c r="H965" s="85">
        <v>137.93385278889008</v>
      </c>
      <c r="I965" s="85">
        <f t="shared" si="78"/>
        <v>154.7936</v>
      </c>
      <c r="J965" s="85"/>
      <c r="K965" s="512"/>
      <c r="L965" s="510"/>
    </row>
    <row r="966" spans="1:12" x14ac:dyDescent="0.25">
      <c r="A966" s="511"/>
      <c r="B966" s="511"/>
      <c r="C966" s="95" t="s">
        <v>73</v>
      </c>
      <c r="D966" s="104">
        <v>4</v>
      </c>
      <c r="E966" s="105">
        <v>3</v>
      </c>
      <c r="F966" s="85" t="str">
        <f t="shared" si="77"/>
        <v>E143</v>
      </c>
      <c r="G966" s="85">
        <v>131.66</v>
      </c>
      <c r="H966" s="85">
        <v>143.13028892012346</v>
      </c>
      <c r="I966" s="85">
        <f t="shared" si="78"/>
        <v>160.62519999999998</v>
      </c>
      <c r="J966" s="85"/>
      <c r="K966" s="512"/>
      <c r="L966" s="510"/>
    </row>
    <row r="967" spans="1:12" x14ac:dyDescent="0.25">
      <c r="A967" s="511"/>
      <c r="B967" s="511"/>
      <c r="C967" s="95" t="s">
        <v>73</v>
      </c>
      <c r="D967" s="104">
        <v>4</v>
      </c>
      <c r="E967" s="105">
        <v>4</v>
      </c>
      <c r="F967" s="85" t="str">
        <f t="shared" si="77"/>
        <v>E144</v>
      </c>
      <c r="G967" s="85">
        <v>129.5</v>
      </c>
      <c r="H967" s="85">
        <v>140.78210857630253</v>
      </c>
      <c r="I967" s="85">
        <f t="shared" si="78"/>
        <v>157.99</v>
      </c>
      <c r="J967" s="85"/>
      <c r="K967" s="512"/>
      <c r="L967" s="510"/>
    </row>
    <row r="968" spans="1:12" x14ac:dyDescent="0.25">
      <c r="A968" s="83" t="s">
        <v>4</v>
      </c>
      <c r="B968" s="83"/>
      <c r="C968" s="83"/>
      <c r="D968" s="103"/>
      <c r="E968" s="103"/>
      <c r="F968" s="83"/>
      <c r="G968" s="83">
        <f>SUM(G948:G967)</f>
        <v>2497.23</v>
      </c>
      <c r="H968" s="83"/>
      <c r="I968" s="83">
        <f>SUM(I948:I967)</f>
        <v>3046.6206000000002</v>
      </c>
      <c r="J968" s="83"/>
      <c r="K968" s="83">
        <f>SUM(K948)</f>
        <v>2714.79</v>
      </c>
      <c r="L968" s="83">
        <f>L964+L960+L956+L952+L948</f>
        <v>217.54000000000002</v>
      </c>
    </row>
    <row r="969" spans="1:12" x14ac:dyDescent="0.25">
      <c r="G969" s="87">
        <f>K968/G968</f>
        <v>1.0871205295467377</v>
      </c>
      <c r="L969" s="100">
        <f>(L948+L952+L956+L960+L964)/K968</f>
        <v>8.0131428213600323E-2</v>
      </c>
    </row>
    <row r="971" spans="1:12" ht="37.5" x14ac:dyDescent="0.25">
      <c r="A971" s="82" t="s">
        <v>9</v>
      </c>
      <c r="B971" s="83" t="s">
        <v>7</v>
      </c>
      <c r="C971" s="82" t="s">
        <v>8</v>
      </c>
      <c r="D971" s="102" t="s">
        <v>10</v>
      </c>
      <c r="E971" s="103" t="s">
        <v>2</v>
      </c>
      <c r="F971" s="82" t="s">
        <v>104</v>
      </c>
      <c r="G971" s="82" t="s">
        <v>3</v>
      </c>
      <c r="H971" s="82" t="s">
        <v>102</v>
      </c>
      <c r="I971" s="82" t="s">
        <v>101</v>
      </c>
      <c r="J971" s="82" t="s">
        <v>103</v>
      </c>
      <c r="K971" s="83" t="s">
        <v>6</v>
      </c>
      <c r="L971" s="83" t="s">
        <v>1</v>
      </c>
    </row>
    <row r="972" spans="1:12" x14ac:dyDescent="0.25">
      <c r="A972" s="511" t="s">
        <v>38</v>
      </c>
      <c r="B972" s="511" t="s">
        <v>44</v>
      </c>
      <c r="C972" s="95" t="s">
        <v>72</v>
      </c>
      <c r="D972" s="104">
        <v>0</v>
      </c>
      <c r="E972" s="105">
        <v>1</v>
      </c>
      <c r="F972" s="85" t="str">
        <f>LEFT(C972,2)&amp;D972&amp;E972</f>
        <v>E201</v>
      </c>
      <c r="G972" s="85">
        <v>131.68</v>
      </c>
      <c r="H972" s="85">
        <v>143.16923069529381</v>
      </c>
      <c r="I972" s="85">
        <f>1.22*G972</f>
        <v>160.64959999999999</v>
      </c>
      <c r="J972" s="86">
        <v>85.031800000000004</v>
      </c>
      <c r="K972" s="512">
        <f>SUM(H972:H991)</f>
        <v>2714.7899999999995</v>
      </c>
      <c r="L972" s="510">
        <v>73.11</v>
      </c>
    </row>
    <row r="973" spans="1:12" x14ac:dyDescent="0.25">
      <c r="A973" s="511"/>
      <c r="B973" s="511"/>
      <c r="C973" s="95" t="s">
        <v>72</v>
      </c>
      <c r="D973" s="104">
        <v>0</v>
      </c>
      <c r="E973" s="105">
        <v>2</v>
      </c>
      <c r="F973" s="85" t="str">
        <f t="shared" ref="F973:F991" si="79">LEFT(C973,2)&amp;D973&amp;E973</f>
        <v>E202</v>
      </c>
      <c r="G973" s="85">
        <v>129.5</v>
      </c>
      <c r="H973" s="85">
        <v>140.79902320049018</v>
      </c>
      <c r="I973" s="85">
        <f t="shared" ref="I973:I991" si="80">1.22*G973</f>
        <v>157.99</v>
      </c>
      <c r="J973" s="86">
        <v>84.0732</v>
      </c>
      <c r="K973" s="512"/>
      <c r="L973" s="510"/>
    </row>
    <row r="974" spans="1:12" x14ac:dyDescent="0.25">
      <c r="A974" s="511"/>
      <c r="B974" s="511"/>
      <c r="C974" s="95" t="s">
        <v>72</v>
      </c>
      <c r="D974" s="104">
        <v>0</v>
      </c>
      <c r="E974" s="105">
        <v>3</v>
      </c>
      <c r="F974" s="85" t="str">
        <f t="shared" si="79"/>
        <v>E203</v>
      </c>
      <c r="G974" s="85">
        <v>124.72</v>
      </c>
      <c r="H974" s="85">
        <v>135.60196273023271</v>
      </c>
      <c r="I974" s="85">
        <f t="shared" si="80"/>
        <v>152.1584</v>
      </c>
      <c r="J974" s="86">
        <v>85.417599999999993</v>
      </c>
      <c r="K974" s="512"/>
      <c r="L974" s="510"/>
    </row>
    <row r="975" spans="1:12" x14ac:dyDescent="0.25">
      <c r="A975" s="511"/>
      <c r="B975" s="511"/>
      <c r="C975" s="95" t="s">
        <v>72</v>
      </c>
      <c r="D975" s="104">
        <v>0</v>
      </c>
      <c r="E975" s="105">
        <v>4</v>
      </c>
      <c r="F975" s="85" t="str">
        <f t="shared" si="79"/>
        <v>E204</v>
      </c>
      <c r="G975" s="85">
        <v>88.49</v>
      </c>
      <c r="H975" s="85">
        <v>96.210853768427611</v>
      </c>
      <c r="I975" s="85">
        <f t="shared" si="80"/>
        <v>107.95779999999999</v>
      </c>
      <c r="J975" s="86">
        <v>68.089699999999993</v>
      </c>
      <c r="K975" s="512"/>
      <c r="L975" s="510"/>
    </row>
    <row r="976" spans="1:12" x14ac:dyDescent="0.25">
      <c r="A976" s="511"/>
      <c r="B976" s="511"/>
      <c r="C976" s="95" t="s">
        <v>72</v>
      </c>
      <c r="D976" s="104">
        <v>1</v>
      </c>
      <c r="E976" s="105">
        <v>1</v>
      </c>
      <c r="F976" s="85" t="str">
        <f t="shared" si="79"/>
        <v>E211</v>
      </c>
      <c r="G976" s="85">
        <v>128.56</v>
      </c>
      <c r="H976" s="85">
        <v>139.77700712474919</v>
      </c>
      <c r="I976" s="85">
        <f t="shared" si="80"/>
        <v>156.8432</v>
      </c>
      <c r="J976" s="85"/>
      <c r="K976" s="512"/>
      <c r="L976" s="510">
        <v>46.75</v>
      </c>
    </row>
    <row r="977" spans="1:12" x14ac:dyDescent="0.25">
      <c r="A977" s="511"/>
      <c r="B977" s="511"/>
      <c r="C977" s="95" t="s">
        <v>72</v>
      </c>
      <c r="D977" s="104">
        <v>1</v>
      </c>
      <c r="E977" s="105">
        <v>2</v>
      </c>
      <c r="F977" s="85" t="str">
        <f t="shared" si="79"/>
        <v>E212</v>
      </c>
      <c r="G977" s="85">
        <v>131.12</v>
      </c>
      <c r="H977" s="85">
        <v>142.56037005442684</v>
      </c>
      <c r="I977" s="85">
        <f t="shared" si="80"/>
        <v>159.96639999999999</v>
      </c>
      <c r="J977" s="85"/>
      <c r="K977" s="512"/>
      <c r="L977" s="510"/>
    </row>
    <row r="978" spans="1:12" x14ac:dyDescent="0.25">
      <c r="A978" s="511"/>
      <c r="B978" s="511"/>
      <c r="C978" s="95" t="s">
        <v>72</v>
      </c>
      <c r="D978" s="104">
        <v>1</v>
      </c>
      <c r="E978" s="105">
        <v>3</v>
      </c>
      <c r="F978" s="85" t="str">
        <f t="shared" si="79"/>
        <v>E213</v>
      </c>
      <c r="G978" s="85">
        <v>126.34</v>
      </c>
      <c r="H978" s="85">
        <v>137.36330958416934</v>
      </c>
      <c r="I978" s="85">
        <f t="shared" si="80"/>
        <v>154.13480000000001</v>
      </c>
      <c r="J978" s="85"/>
      <c r="K978" s="512"/>
      <c r="L978" s="510"/>
    </row>
    <row r="979" spans="1:12" x14ac:dyDescent="0.25">
      <c r="A979" s="511"/>
      <c r="B979" s="511"/>
      <c r="C979" s="95" t="s">
        <v>72</v>
      </c>
      <c r="D979" s="104">
        <v>1</v>
      </c>
      <c r="E979" s="105">
        <v>4</v>
      </c>
      <c r="F979" s="85" t="str">
        <f t="shared" si="79"/>
        <v>E214</v>
      </c>
      <c r="G979" s="85">
        <v>88.79</v>
      </c>
      <c r="H979" s="85">
        <v>96.537029111749234</v>
      </c>
      <c r="I979" s="85">
        <f t="shared" si="80"/>
        <v>108.32380000000001</v>
      </c>
      <c r="J979" s="85"/>
      <c r="K979" s="512"/>
      <c r="L979" s="510"/>
    </row>
    <row r="980" spans="1:12" x14ac:dyDescent="0.25">
      <c r="A980" s="511"/>
      <c r="B980" s="511"/>
      <c r="C980" s="95" t="s">
        <v>72</v>
      </c>
      <c r="D980" s="104">
        <v>2</v>
      </c>
      <c r="E980" s="105">
        <v>1</v>
      </c>
      <c r="F980" s="85" t="str">
        <f t="shared" si="79"/>
        <v>E221</v>
      </c>
      <c r="G980" s="85">
        <v>131.56</v>
      </c>
      <c r="H980" s="85">
        <v>143.03876055796516</v>
      </c>
      <c r="I980" s="85">
        <f t="shared" si="80"/>
        <v>160.50319999999999</v>
      </c>
      <c r="J980" s="85"/>
      <c r="K980" s="512"/>
      <c r="L980" s="510">
        <v>32.56</v>
      </c>
    </row>
    <row r="981" spans="1:12" x14ac:dyDescent="0.25">
      <c r="A981" s="511"/>
      <c r="B981" s="511"/>
      <c r="C981" s="95" t="s">
        <v>72</v>
      </c>
      <c r="D981" s="104">
        <v>2</v>
      </c>
      <c r="E981" s="105">
        <v>2</v>
      </c>
      <c r="F981" s="85" t="str">
        <f t="shared" si="79"/>
        <v>E222</v>
      </c>
      <c r="G981" s="85">
        <v>131.56</v>
      </c>
      <c r="H981" s="85">
        <v>143.03876055796516</v>
      </c>
      <c r="I981" s="85">
        <f t="shared" si="80"/>
        <v>160.50319999999999</v>
      </c>
      <c r="J981" s="85"/>
      <c r="K981" s="512"/>
      <c r="L981" s="510"/>
    </row>
    <row r="982" spans="1:12" x14ac:dyDescent="0.25">
      <c r="A982" s="511"/>
      <c r="B982" s="511"/>
      <c r="C982" s="95" t="s">
        <v>72</v>
      </c>
      <c r="D982" s="104">
        <v>2</v>
      </c>
      <c r="E982" s="105">
        <v>3</v>
      </c>
      <c r="F982" s="85" t="str">
        <f t="shared" si="79"/>
        <v>E223</v>
      </c>
      <c r="G982" s="85">
        <v>126.78</v>
      </c>
      <c r="H982" s="85">
        <v>137.84170008770769</v>
      </c>
      <c r="I982" s="85">
        <f t="shared" si="80"/>
        <v>154.67160000000001</v>
      </c>
      <c r="J982" s="85"/>
      <c r="K982" s="512"/>
      <c r="L982" s="510"/>
    </row>
    <row r="983" spans="1:12" x14ac:dyDescent="0.25">
      <c r="A983" s="511"/>
      <c r="B983" s="511"/>
      <c r="C983" s="95" t="s">
        <v>72</v>
      </c>
      <c r="D983" s="104">
        <v>2</v>
      </c>
      <c r="E983" s="105">
        <v>4</v>
      </c>
      <c r="F983" s="85" t="str">
        <f t="shared" si="79"/>
        <v>E224</v>
      </c>
      <c r="G983" s="85">
        <v>127.15</v>
      </c>
      <c r="H983" s="85">
        <v>138.24398301113769</v>
      </c>
      <c r="I983" s="85">
        <f t="shared" si="80"/>
        <v>155.12299999999999</v>
      </c>
      <c r="J983" s="85"/>
      <c r="K983" s="512"/>
      <c r="L983" s="510"/>
    </row>
    <row r="984" spans="1:12" x14ac:dyDescent="0.25">
      <c r="A984" s="511"/>
      <c r="B984" s="511"/>
      <c r="C984" s="95" t="s">
        <v>72</v>
      </c>
      <c r="D984" s="104">
        <v>3</v>
      </c>
      <c r="E984" s="105">
        <v>1</v>
      </c>
      <c r="F984" s="85" t="str">
        <f t="shared" si="79"/>
        <v>E231</v>
      </c>
      <c r="G984" s="85">
        <v>131.86000000000001</v>
      </c>
      <c r="H984" s="85">
        <v>143.36493590128677</v>
      </c>
      <c r="I984" s="85">
        <f t="shared" si="80"/>
        <v>160.86920000000001</v>
      </c>
      <c r="J984" s="85"/>
      <c r="K984" s="512"/>
      <c r="L984" s="510">
        <v>32.56</v>
      </c>
    </row>
    <row r="985" spans="1:12" x14ac:dyDescent="0.25">
      <c r="A985" s="511"/>
      <c r="B985" s="511"/>
      <c r="C985" s="95" t="s">
        <v>72</v>
      </c>
      <c r="D985" s="104">
        <v>3</v>
      </c>
      <c r="E985" s="105">
        <v>2</v>
      </c>
      <c r="F985" s="85" t="str">
        <f t="shared" si="79"/>
        <v>E232</v>
      </c>
      <c r="G985" s="85">
        <v>131.66</v>
      </c>
      <c r="H985" s="85">
        <v>143.14748567240571</v>
      </c>
      <c r="I985" s="85">
        <f t="shared" si="80"/>
        <v>160.62519999999998</v>
      </c>
      <c r="J985" s="85"/>
      <c r="K985" s="512"/>
      <c r="L985" s="510"/>
    </row>
    <row r="986" spans="1:12" x14ac:dyDescent="0.25">
      <c r="A986" s="511"/>
      <c r="B986" s="511"/>
      <c r="C986" s="95" t="s">
        <v>72</v>
      </c>
      <c r="D986" s="104">
        <v>3</v>
      </c>
      <c r="E986" s="105">
        <v>3</v>
      </c>
      <c r="F986" s="85" t="str">
        <f t="shared" si="79"/>
        <v>E233</v>
      </c>
      <c r="G986" s="85">
        <v>126.88</v>
      </c>
      <c r="H986" s="85">
        <v>137.95042520214821</v>
      </c>
      <c r="I986" s="85">
        <f t="shared" si="80"/>
        <v>154.7936</v>
      </c>
      <c r="J986" s="85"/>
      <c r="K986" s="512"/>
      <c r="L986" s="510"/>
    </row>
    <row r="987" spans="1:12" x14ac:dyDescent="0.25">
      <c r="A987" s="511"/>
      <c r="B987" s="511"/>
      <c r="C987" s="95" t="s">
        <v>72</v>
      </c>
      <c r="D987" s="104">
        <v>3</v>
      </c>
      <c r="E987" s="105">
        <v>4</v>
      </c>
      <c r="F987" s="85" t="str">
        <f t="shared" si="79"/>
        <v>E234</v>
      </c>
      <c r="G987" s="85">
        <v>127.15</v>
      </c>
      <c r="H987" s="85">
        <v>138.24398301113769</v>
      </c>
      <c r="I987" s="85">
        <f t="shared" si="80"/>
        <v>155.12299999999999</v>
      </c>
      <c r="J987" s="85"/>
      <c r="K987" s="512"/>
      <c r="L987" s="510"/>
    </row>
    <row r="988" spans="1:12" x14ac:dyDescent="0.25">
      <c r="A988" s="511"/>
      <c r="B988" s="511"/>
      <c r="C988" s="95" t="s">
        <v>72</v>
      </c>
      <c r="D988" s="104">
        <v>4</v>
      </c>
      <c r="E988" s="105">
        <v>1</v>
      </c>
      <c r="F988" s="85" t="str">
        <f t="shared" si="79"/>
        <v>E241</v>
      </c>
      <c r="G988" s="85">
        <v>129.5</v>
      </c>
      <c r="H988" s="85">
        <v>140.79902320049018</v>
      </c>
      <c r="I988" s="85">
        <f t="shared" si="80"/>
        <v>157.99</v>
      </c>
      <c r="J988" s="85"/>
      <c r="K988" s="512"/>
      <c r="L988" s="510">
        <v>32.56</v>
      </c>
    </row>
    <row r="989" spans="1:12" x14ac:dyDescent="0.25">
      <c r="A989" s="511"/>
      <c r="B989" s="511"/>
      <c r="C989" s="95" t="s">
        <v>72</v>
      </c>
      <c r="D989" s="104">
        <v>4</v>
      </c>
      <c r="E989" s="105">
        <v>2</v>
      </c>
      <c r="F989" s="85" t="str">
        <f t="shared" si="79"/>
        <v>E242</v>
      </c>
      <c r="G989" s="85">
        <v>131.66</v>
      </c>
      <c r="H989" s="85">
        <v>143.14748567240571</v>
      </c>
      <c r="I989" s="85">
        <f t="shared" si="80"/>
        <v>160.62519999999998</v>
      </c>
      <c r="J989" s="85"/>
      <c r="K989" s="512"/>
      <c r="L989" s="510"/>
    </row>
    <row r="990" spans="1:12" x14ac:dyDescent="0.25">
      <c r="A990" s="511"/>
      <c r="B990" s="511"/>
      <c r="C990" s="95" t="s">
        <v>72</v>
      </c>
      <c r="D990" s="104">
        <v>4</v>
      </c>
      <c r="E990" s="105">
        <v>3</v>
      </c>
      <c r="F990" s="85" t="str">
        <f t="shared" si="79"/>
        <v>E243</v>
      </c>
      <c r="G990" s="85">
        <v>126.88</v>
      </c>
      <c r="H990" s="85">
        <v>137.95042520214821</v>
      </c>
      <c r="I990" s="85">
        <f t="shared" si="80"/>
        <v>154.7936</v>
      </c>
      <c r="J990" s="85"/>
      <c r="K990" s="512"/>
      <c r="L990" s="510"/>
    </row>
    <row r="991" spans="1:12" x14ac:dyDescent="0.25">
      <c r="A991" s="511"/>
      <c r="B991" s="511"/>
      <c r="C991" s="95" t="s">
        <v>72</v>
      </c>
      <c r="D991" s="104">
        <v>4</v>
      </c>
      <c r="E991" s="105">
        <v>4</v>
      </c>
      <c r="F991" s="85" t="str">
        <f t="shared" si="79"/>
        <v>E244</v>
      </c>
      <c r="G991" s="85">
        <v>125.09</v>
      </c>
      <c r="H991" s="85">
        <v>136.00424565366268</v>
      </c>
      <c r="I991" s="85">
        <f t="shared" si="80"/>
        <v>152.60980000000001</v>
      </c>
      <c r="J991" s="85"/>
      <c r="K991" s="512"/>
      <c r="L991" s="510"/>
    </row>
    <row r="992" spans="1:12" x14ac:dyDescent="0.25">
      <c r="A992" s="83" t="s">
        <v>4</v>
      </c>
      <c r="B992" s="83"/>
      <c r="C992" s="83"/>
      <c r="D992" s="103"/>
      <c r="E992" s="103"/>
      <c r="F992" s="83"/>
      <c r="G992" s="83">
        <f>SUM(G972:G991)</f>
        <v>2496.9300000000003</v>
      </c>
      <c r="H992" s="83"/>
      <c r="I992" s="83">
        <f>SUM(I972:I991)</f>
        <v>3046.2546000000007</v>
      </c>
      <c r="J992" s="83"/>
      <c r="K992" s="83">
        <f>SUM(K972)</f>
        <v>2714.7899999999995</v>
      </c>
      <c r="L992" s="83">
        <f>L988+L984+L980+L976+L972</f>
        <v>217.54000000000002</v>
      </c>
    </row>
    <row r="993" spans="1:12" x14ac:dyDescent="0.25">
      <c r="A993" s="97"/>
      <c r="L993" s="99">
        <f>(L972+L976+L980+L984+L988)/K992</f>
        <v>8.0131428213600336E-2</v>
      </c>
    </row>
    <row r="995" spans="1:12" ht="37.5" x14ac:dyDescent="0.25">
      <c r="A995" s="82" t="s">
        <v>9</v>
      </c>
      <c r="B995" s="83" t="s">
        <v>7</v>
      </c>
      <c r="C995" s="82" t="s">
        <v>8</v>
      </c>
      <c r="D995" s="102" t="s">
        <v>10</v>
      </c>
      <c r="E995" s="103" t="s">
        <v>2</v>
      </c>
      <c r="F995" s="82" t="s">
        <v>104</v>
      </c>
      <c r="G995" s="82" t="s">
        <v>3</v>
      </c>
      <c r="H995" s="82" t="s">
        <v>102</v>
      </c>
      <c r="I995" s="82" t="s">
        <v>101</v>
      </c>
      <c r="J995" s="82" t="s">
        <v>103</v>
      </c>
      <c r="K995" s="83" t="s">
        <v>6</v>
      </c>
      <c r="L995" s="83" t="s">
        <v>1</v>
      </c>
    </row>
    <row r="996" spans="1:12" x14ac:dyDescent="0.25">
      <c r="A996" s="511" t="s">
        <v>38</v>
      </c>
      <c r="B996" s="511" t="s">
        <v>44</v>
      </c>
      <c r="C996" s="95" t="s">
        <v>78</v>
      </c>
      <c r="D996" s="104">
        <v>0</v>
      </c>
      <c r="E996" s="105">
        <v>1</v>
      </c>
      <c r="F996" s="85" t="str">
        <f>LEFT(C996,2)&amp;D996&amp;E996</f>
        <v>E301</v>
      </c>
      <c r="G996" s="85">
        <v>87.23</v>
      </c>
      <c r="H996" s="85">
        <v>94.72160516317075</v>
      </c>
      <c r="I996" s="85">
        <f>G996*1.22</f>
        <v>106.42060000000001</v>
      </c>
      <c r="J996" s="86">
        <v>73.757099999999994</v>
      </c>
      <c r="K996" s="512">
        <f>SUM(H996:H1015)</f>
        <v>2712.1999999999989</v>
      </c>
      <c r="L996" s="510">
        <v>72.63</v>
      </c>
    </row>
    <row r="997" spans="1:12" x14ac:dyDescent="0.25">
      <c r="A997" s="511"/>
      <c r="B997" s="511"/>
      <c r="C997" s="95" t="s">
        <v>78</v>
      </c>
      <c r="D997" s="104">
        <v>0</v>
      </c>
      <c r="E997" s="105">
        <v>2</v>
      </c>
      <c r="F997" s="85" t="str">
        <f t="shared" ref="F997:F1015" si="81">LEFT(C997,2)&amp;D997&amp;E997</f>
        <v>E302</v>
      </c>
      <c r="G997" s="85">
        <v>125.09</v>
      </c>
      <c r="H997" s="85">
        <v>135.83314902970341</v>
      </c>
      <c r="I997" s="85">
        <f t="shared" ref="I997:I1015" si="82">G997*1.22</f>
        <v>152.60980000000001</v>
      </c>
      <c r="J997" s="86">
        <v>85.619500000000002</v>
      </c>
      <c r="K997" s="512"/>
      <c r="L997" s="510"/>
    </row>
    <row r="998" spans="1:12" x14ac:dyDescent="0.25">
      <c r="A998" s="511"/>
      <c r="B998" s="511"/>
      <c r="C998" s="95" t="s">
        <v>78</v>
      </c>
      <c r="D998" s="104">
        <v>0</v>
      </c>
      <c r="E998" s="105">
        <v>3</v>
      </c>
      <c r="F998" s="85" t="str">
        <f t="shared" si="81"/>
        <v>E303</v>
      </c>
      <c r="G998" s="85">
        <v>129.57</v>
      </c>
      <c r="H998" s="85">
        <v>140.69790646557414</v>
      </c>
      <c r="I998" s="85">
        <f t="shared" si="82"/>
        <v>158.0754</v>
      </c>
      <c r="J998" s="86">
        <v>84.075199999999995</v>
      </c>
      <c r="K998" s="512"/>
      <c r="L998" s="510"/>
    </row>
    <row r="999" spans="1:12" x14ac:dyDescent="0.25">
      <c r="A999" s="511"/>
      <c r="B999" s="511"/>
      <c r="C999" s="95" t="s">
        <v>78</v>
      </c>
      <c r="D999" s="104">
        <v>0</v>
      </c>
      <c r="E999" s="105">
        <v>4</v>
      </c>
      <c r="F999" s="85" t="str">
        <f t="shared" si="81"/>
        <v>E304</v>
      </c>
      <c r="G999" s="85">
        <v>131.34</v>
      </c>
      <c r="H999" s="85">
        <v>142.61992000608558</v>
      </c>
      <c r="I999" s="85">
        <f t="shared" si="82"/>
        <v>160.23480000000001</v>
      </c>
      <c r="J999" s="86">
        <v>88.6297</v>
      </c>
      <c r="K999" s="512"/>
      <c r="L999" s="510"/>
    </row>
    <row r="1000" spans="1:12" x14ac:dyDescent="0.25">
      <c r="A1000" s="511"/>
      <c r="B1000" s="511"/>
      <c r="C1000" s="95" t="s">
        <v>78</v>
      </c>
      <c r="D1000" s="104">
        <v>1</v>
      </c>
      <c r="E1000" s="105">
        <v>1</v>
      </c>
      <c r="F1000" s="85" t="str">
        <f t="shared" si="81"/>
        <v>E311</v>
      </c>
      <c r="G1000" s="85">
        <v>88.87</v>
      </c>
      <c r="H1000" s="85">
        <v>96.502453867373433</v>
      </c>
      <c r="I1000" s="85">
        <f t="shared" si="82"/>
        <v>108.42140000000001</v>
      </c>
      <c r="J1000" s="85"/>
      <c r="K1000" s="512"/>
      <c r="L1000" s="510">
        <v>46.11</v>
      </c>
    </row>
    <row r="1001" spans="1:12" x14ac:dyDescent="0.25">
      <c r="A1001" s="511"/>
      <c r="B1001" s="511"/>
      <c r="C1001" s="95" t="s">
        <v>78</v>
      </c>
      <c r="D1001" s="104">
        <v>1</v>
      </c>
      <c r="E1001" s="105">
        <v>2</v>
      </c>
      <c r="F1001" s="85" t="str">
        <f t="shared" si="81"/>
        <v>E312</v>
      </c>
      <c r="G1001" s="85">
        <v>127.14</v>
      </c>
      <c r="H1001" s="85">
        <v>138.05920990995676</v>
      </c>
      <c r="I1001" s="85">
        <f t="shared" si="82"/>
        <v>155.11079999999998</v>
      </c>
      <c r="J1001" s="85"/>
      <c r="K1001" s="512"/>
      <c r="L1001" s="510"/>
    </row>
    <row r="1002" spans="1:12" x14ac:dyDescent="0.25">
      <c r="A1002" s="511"/>
      <c r="B1002" s="511"/>
      <c r="C1002" s="95" t="s">
        <v>78</v>
      </c>
      <c r="D1002" s="104">
        <v>1</v>
      </c>
      <c r="E1002" s="105">
        <v>3</v>
      </c>
      <c r="F1002" s="85" t="str">
        <f t="shared" si="81"/>
        <v>E313</v>
      </c>
      <c r="G1002" s="85">
        <v>131.43</v>
      </c>
      <c r="H1002" s="85">
        <v>142.71764950814548</v>
      </c>
      <c r="I1002" s="85">
        <f t="shared" si="82"/>
        <v>160.34460000000001</v>
      </c>
      <c r="J1002" s="85"/>
      <c r="K1002" s="512"/>
      <c r="L1002" s="510"/>
    </row>
    <row r="1003" spans="1:12" x14ac:dyDescent="0.25">
      <c r="A1003" s="511"/>
      <c r="B1003" s="511"/>
      <c r="C1003" s="95" t="s">
        <v>78</v>
      </c>
      <c r="D1003" s="104">
        <v>1</v>
      </c>
      <c r="E1003" s="105">
        <v>4</v>
      </c>
      <c r="F1003" s="85" t="str">
        <f t="shared" si="81"/>
        <v>E314</v>
      </c>
      <c r="G1003" s="85">
        <v>129.04</v>
      </c>
      <c r="H1003" s="85">
        <v>140.12238828677692</v>
      </c>
      <c r="I1003" s="85">
        <f t="shared" si="82"/>
        <v>157.4288</v>
      </c>
      <c r="J1003" s="85"/>
      <c r="K1003" s="512"/>
      <c r="L1003" s="510"/>
    </row>
    <row r="1004" spans="1:12" x14ac:dyDescent="0.25">
      <c r="A1004" s="511"/>
      <c r="B1004" s="511"/>
      <c r="C1004" s="95" t="s">
        <v>78</v>
      </c>
      <c r="D1004" s="104">
        <v>2</v>
      </c>
      <c r="E1004" s="105">
        <v>1</v>
      </c>
      <c r="F1004" s="85" t="str">
        <f t="shared" si="81"/>
        <v>E321</v>
      </c>
      <c r="G1004" s="85">
        <v>127.15</v>
      </c>
      <c r="H1004" s="85">
        <v>138.07006874351899</v>
      </c>
      <c r="I1004" s="85">
        <f t="shared" si="82"/>
        <v>155.12299999999999</v>
      </c>
      <c r="J1004" s="85"/>
      <c r="K1004" s="512"/>
      <c r="L1004" s="510">
        <v>31.98</v>
      </c>
    </row>
    <row r="1005" spans="1:12" x14ac:dyDescent="0.25">
      <c r="A1005" s="511"/>
      <c r="B1005" s="511"/>
      <c r="C1005" s="95" t="s">
        <v>78</v>
      </c>
      <c r="D1005" s="104">
        <v>2</v>
      </c>
      <c r="E1005" s="105">
        <v>2</v>
      </c>
      <c r="F1005" s="85" t="str">
        <f t="shared" si="81"/>
        <v>E322</v>
      </c>
      <c r="G1005" s="85">
        <v>126.95</v>
      </c>
      <c r="H1005" s="85">
        <v>137.85289207227476</v>
      </c>
      <c r="I1005" s="85">
        <f t="shared" si="82"/>
        <v>154.87899999999999</v>
      </c>
      <c r="J1005" s="85"/>
      <c r="K1005" s="512"/>
      <c r="L1005" s="510"/>
    </row>
    <row r="1006" spans="1:12" x14ac:dyDescent="0.25">
      <c r="A1006" s="511"/>
      <c r="B1006" s="511"/>
      <c r="C1006" s="95" t="s">
        <v>78</v>
      </c>
      <c r="D1006" s="104">
        <v>2</v>
      </c>
      <c r="E1006" s="105">
        <v>3</v>
      </c>
      <c r="F1006" s="85" t="str">
        <f t="shared" si="81"/>
        <v>E323</v>
      </c>
      <c r="G1006" s="85">
        <v>131.44</v>
      </c>
      <c r="H1006" s="85">
        <v>142.72850834170771</v>
      </c>
      <c r="I1006" s="85">
        <f t="shared" si="82"/>
        <v>160.35679999999999</v>
      </c>
      <c r="J1006" s="85"/>
      <c r="K1006" s="512"/>
      <c r="L1006" s="510"/>
    </row>
    <row r="1007" spans="1:12" x14ac:dyDescent="0.25">
      <c r="A1007" s="511"/>
      <c r="B1007" s="511"/>
      <c r="C1007" s="95" t="s">
        <v>78</v>
      </c>
      <c r="D1007" s="104">
        <v>2</v>
      </c>
      <c r="E1007" s="105">
        <v>4</v>
      </c>
      <c r="F1007" s="85" t="str">
        <f t="shared" si="81"/>
        <v>E324</v>
      </c>
      <c r="G1007" s="85">
        <v>131.43</v>
      </c>
      <c r="H1007" s="85">
        <v>142.71764950814548</v>
      </c>
      <c r="I1007" s="85">
        <f t="shared" si="82"/>
        <v>160.34460000000001</v>
      </c>
      <c r="J1007" s="85"/>
      <c r="K1007" s="512"/>
      <c r="L1007" s="510"/>
    </row>
    <row r="1008" spans="1:12" x14ac:dyDescent="0.25">
      <c r="A1008" s="511"/>
      <c r="B1008" s="511"/>
      <c r="C1008" s="95" t="s">
        <v>78</v>
      </c>
      <c r="D1008" s="104">
        <v>3</v>
      </c>
      <c r="E1008" s="105">
        <v>1</v>
      </c>
      <c r="F1008" s="85" t="str">
        <f t="shared" si="81"/>
        <v>E331</v>
      </c>
      <c r="G1008" s="85">
        <v>127.45</v>
      </c>
      <c r="H1008" s="85">
        <v>138.39583375038532</v>
      </c>
      <c r="I1008" s="85">
        <f t="shared" si="82"/>
        <v>155.489</v>
      </c>
      <c r="J1008" s="85"/>
      <c r="K1008" s="512"/>
      <c r="L1008" s="510">
        <v>31.9</v>
      </c>
    </row>
    <row r="1009" spans="1:12" x14ac:dyDescent="0.25">
      <c r="A1009" s="511"/>
      <c r="B1009" s="511"/>
      <c r="C1009" s="95" t="s">
        <v>78</v>
      </c>
      <c r="D1009" s="104">
        <v>3</v>
      </c>
      <c r="E1009" s="105">
        <v>2</v>
      </c>
      <c r="F1009" s="85" t="str">
        <f t="shared" si="81"/>
        <v>E332</v>
      </c>
      <c r="G1009" s="85">
        <v>126.97</v>
      </c>
      <c r="H1009" s="85">
        <v>137.87460973939918</v>
      </c>
      <c r="I1009" s="85">
        <f t="shared" si="82"/>
        <v>154.9034</v>
      </c>
      <c r="J1009" s="85"/>
      <c r="K1009" s="512"/>
      <c r="L1009" s="510"/>
    </row>
    <row r="1010" spans="1:12" x14ac:dyDescent="0.25">
      <c r="A1010" s="511"/>
      <c r="B1010" s="511"/>
      <c r="C1010" s="95" t="s">
        <v>78</v>
      </c>
      <c r="D1010" s="104">
        <v>3</v>
      </c>
      <c r="E1010" s="105">
        <v>3</v>
      </c>
      <c r="F1010" s="85" t="str">
        <f t="shared" si="81"/>
        <v>E333</v>
      </c>
      <c r="G1010" s="85">
        <v>131.43</v>
      </c>
      <c r="H1010" s="85">
        <v>142.71764950814548</v>
      </c>
      <c r="I1010" s="85">
        <f t="shared" si="82"/>
        <v>160.34460000000001</v>
      </c>
      <c r="J1010" s="85"/>
      <c r="K1010" s="512"/>
      <c r="L1010" s="510"/>
    </row>
    <row r="1011" spans="1:12" x14ac:dyDescent="0.25">
      <c r="A1011" s="511"/>
      <c r="B1011" s="511"/>
      <c r="C1011" s="95" t="s">
        <v>78</v>
      </c>
      <c r="D1011" s="104">
        <v>3</v>
      </c>
      <c r="E1011" s="105">
        <v>4</v>
      </c>
      <c r="F1011" s="85" t="str">
        <f t="shared" si="81"/>
        <v>E334</v>
      </c>
      <c r="G1011" s="85">
        <v>131.88</v>
      </c>
      <c r="H1011" s="85">
        <v>143.20629701844501</v>
      </c>
      <c r="I1011" s="85">
        <f t="shared" si="82"/>
        <v>160.89359999999999</v>
      </c>
      <c r="J1011" s="85"/>
      <c r="K1011" s="512"/>
      <c r="L1011" s="510"/>
    </row>
    <row r="1012" spans="1:12" x14ac:dyDescent="0.25">
      <c r="A1012" s="511"/>
      <c r="B1012" s="511"/>
      <c r="C1012" s="95" t="s">
        <v>78</v>
      </c>
      <c r="D1012" s="104">
        <v>4</v>
      </c>
      <c r="E1012" s="105">
        <v>1</v>
      </c>
      <c r="F1012" s="85" t="str">
        <f t="shared" si="81"/>
        <v>E341</v>
      </c>
      <c r="G1012" s="85">
        <v>125.13</v>
      </c>
      <c r="H1012" s="85">
        <v>135.87658436395225</v>
      </c>
      <c r="I1012" s="85">
        <f t="shared" si="82"/>
        <v>152.65859999999998</v>
      </c>
      <c r="J1012" s="85"/>
      <c r="K1012" s="512"/>
      <c r="L1012" s="510">
        <v>31.9</v>
      </c>
    </row>
    <row r="1013" spans="1:12" x14ac:dyDescent="0.25">
      <c r="A1013" s="511"/>
      <c r="B1013" s="511"/>
      <c r="C1013" s="95" t="s">
        <v>78</v>
      </c>
      <c r="D1013" s="104">
        <v>4</v>
      </c>
      <c r="E1013" s="105">
        <v>2</v>
      </c>
      <c r="F1013" s="85" t="str">
        <f t="shared" si="81"/>
        <v>E342</v>
      </c>
      <c r="G1013" s="85">
        <v>127.19</v>
      </c>
      <c r="H1013" s="85">
        <v>138.11350407776783</v>
      </c>
      <c r="I1013" s="85">
        <f t="shared" si="82"/>
        <v>155.17179999999999</v>
      </c>
      <c r="J1013" s="85"/>
      <c r="K1013" s="512"/>
      <c r="L1013" s="510"/>
    </row>
    <row r="1014" spans="1:12" x14ac:dyDescent="0.25">
      <c r="A1014" s="511"/>
      <c r="B1014" s="511"/>
      <c r="C1014" s="95" t="s">
        <v>78</v>
      </c>
      <c r="D1014" s="104">
        <v>4</v>
      </c>
      <c r="E1014" s="105">
        <v>3</v>
      </c>
      <c r="F1014" s="85" t="str">
        <f t="shared" si="81"/>
        <v>E343</v>
      </c>
      <c r="G1014" s="85">
        <v>131.38</v>
      </c>
      <c r="H1014" s="85">
        <v>142.66335534033442</v>
      </c>
      <c r="I1014" s="85">
        <f t="shared" si="82"/>
        <v>160.28359999999998</v>
      </c>
      <c r="J1014" s="85"/>
      <c r="K1014" s="512"/>
      <c r="L1014" s="510"/>
    </row>
    <row r="1015" spans="1:12" x14ac:dyDescent="0.25">
      <c r="A1015" s="511"/>
      <c r="B1015" s="511"/>
      <c r="C1015" s="95" t="s">
        <v>78</v>
      </c>
      <c r="D1015" s="104">
        <v>4</v>
      </c>
      <c r="E1015" s="105">
        <v>4</v>
      </c>
      <c r="F1015" s="85" t="str">
        <f t="shared" si="81"/>
        <v>E344</v>
      </c>
      <c r="G1015" s="85">
        <v>129.58000000000001</v>
      </c>
      <c r="H1015" s="85">
        <v>140.70876529913639</v>
      </c>
      <c r="I1015" s="85">
        <f t="shared" si="82"/>
        <v>158.08760000000001</v>
      </c>
      <c r="J1015" s="85"/>
      <c r="K1015" s="512"/>
      <c r="L1015" s="510"/>
    </row>
    <row r="1016" spans="1:12" x14ac:dyDescent="0.25">
      <c r="A1016" s="83" t="s">
        <v>4</v>
      </c>
      <c r="B1016" s="83"/>
      <c r="C1016" s="83"/>
      <c r="D1016" s="103"/>
      <c r="E1016" s="103"/>
      <c r="F1016" s="83"/>
      <c r="G1016" s="83">
        <f>SUM(G996:G1015)</f>
        <v>2497.6900000000005</v>
      </c>
      <c r="H1016" s="83"/>
      <c r="I1016" s="83">
        <f>SUM(I996:I1015)</f>
        <v>3047.1817999999994</v>
      </c>
      <c r="J1016" s="83"/>
      <c r="K1016" s="83">
        <f>SUM(K996)</f>
        <v>2712.1999999999989</v>
      </c>
      <c r="L1016" s="83">
        <f>L1012+L1008+L1004+L1000+L996</f>
        <v>214.51999999999998</v>
      </c>
    </row>
    <row r="1017" spans="1:12" x14ac:dyDescent="0.25">
      <c r="G1017" s="87">
        <f>K1016/G1016</f>
        <v>1.0858833562211476</v>
      </c>
      <c r="L1017" s="100">
        <f>(L996+L1000+L1004+L1008+L1012)/K1016</f>
        <v>7.9094462060320073E-2</v>
      </c>
    </row>
    <row r="1019" spans="1:12" ht="37.5" x14ac:dyDescent="0.25">
      <c r="A1019" s="82" t="s">
        <v>9</v>
      </c>
      <c r="B1019" s="83" t="s">
        <v>7</v>
      </c>
      <c r="C1019" s="82" t="s">
        <v>8</v>
      </c>
      <c r="D1019" s="102" t="s">
        <v>10</v>
      </c>
      <c r="E1019" s="103" t="s">
        <v>2</v>
      </c>
      <c r="F1019" s="82" t="s">
        <v>104</v>
      </c>
      <c r="G1019" s="82" t="s">
        <v>3</v>
      </c>
      <c r="H1019" s="82" t="s">
        <v>102</v>
      </c>
      <c r="I1019" s="82" t="s">
        <v>101</v>
      </c>
      <c r="J1019" s="82" t="s">
        <v>103</v>
      </c>
      <c r="K1019" s="83" t="s">
        <v>6</v>
      </c>
      <c r="L1019" s="83" t="s">
        <v>1</v>
      </c>
    </row>
    <row r="1020" spans="1:12" x14ac:dyDescent="0.25">
      <c r="A1020" s="511" t="s">
        <v>38</v>
      </c>
      <c r="B1020" s="511" t="s">
        <v>44</v>
      </c>
      <c r="C1020" s="95" t="s">
        <v>77</v>
      </c>
      <c r="D1020" s="104">
        <v>0</v>
      </c>
      <c r="E1020" s="105">
        <v>1</v>
      </c>
      <c r="F1020" s="85" t="str">
        <f>LEFT(C1020,2)&amp;D1020&amp;E1020</f>
        <v>E401</v>
      </c>
      <c r="G1020" s="85">
        <v>131.32</v>
      </c>
      <c r="H1020" s="85">
        <v>142.66718842094684</v>
      </c>
      <c r="I1020" s="85">
        <f>1.22*G1020</f>
        <v>160.21039999999999</v>
      </c>
      <c r="J1020" s="86">
        <v>89.694999999999993</v>
      </c>
      <c r="K1020" s="512">
        <f>SUM(H1020:H1039)</f>
        <v>2702.17</v>
      </c>
      <c r="L1020" s="510">
        <v>72.83</v>
      </c>
    </row>
    <row r="1021" spans="1:12" x14ac:dyDescent="0.25">
      <c r="A1021" s="511"/>
      <c r="B1021" s="511"/>
      <c r="C1021" s="95" t="s">
        <v>77</v>
      </c>
      <c r="D1021" s="104">
        <v>0</v>
      </c>
      <c r="E1021" s="105">
        <v>2</v>
      </c>
      <c r="F1021" s="85" t="str">
        <f t="shared" ref="F1021:F1039" si="83">LEFT(C1021,2)&amp;D1021&amp;E1021</f>
        <v>E402</v>
      </c>
      <c r="G1021" s="85">
        <v>128.28</v>
      </c>
      <c r="H1021" s="85">
        <v>139.36450602070562</v>
      </c>
      <c r="I1021" s="85">
        <f t="shared" ref="I1021:I1039" si="84">1.22*G1021</f>
        <v>156.5016</v>
      </c>
      <c r="J1021" s="86">
        <v>86.075999999999993</v>
      </c>
      <c r="K1021" s="512"/>
      <c r="L1021" s="510"/>
    </row>
    <row r="1022" spans="1:12" x14ac:dyDescent="0.25">
      <c r="A1022" s="511"/>
      <c r="B1022" s="511"/>
      <c r="C1022" s="95" t="s">
        <v>77</v>
      </c>
      <c r="D1022" s="104">
        <v>0</v>
      </c>
      <c r="E1022" s="105">
        <v>3</v>
      </c>
      <c r="F1022" s="85" t="str">
        <f t="shared" si="83"/>
        <v>E403</v>
      </c>
      <c r="G1022" s="85">
        <v>125.03</v>
      </c>
      <c r="H1022" s="85">
        <v>135.83367779676351</v>
      </c>
      <c r="I1022" s="85">
        <f t="shared" si="84"/>
        <v>152.53659999999999</v>
      </c>
      <c r="J1022" s="86">
        <v>85.509600000000006</v>
      </c>
      <c r="K1022" s="512"/>
      <c r="L1022" s="510"/>
    </row>
    <row r="1023" spans="1:12" x14ac:dyDescent="0.25">
      <c r="A1023" s="511"/>
      <c r="B1023" s="511"/>
      <c r="C1023" s="95" t="s">
        <v>77</v>
      </c>
      <c r="D1023" s="104">
        <v>0</v>
      </c>
      <c r="E1023" s="105">
        <v>4</v>
      </c>
      <c r="F1023" s="85" t="str">
        <f t="shared" si="83"/>
        <v>E404</v>
      </c>
      <c r="G1023" s="85">
        <v>87.23</v>
      </c>
      <c r="H1023" s="85">
        <v>94.767429530606108</v>
      </c>
      <c r="I1023" s="85">
        <f t="shared" si="84"/>
        <v>106.42060000000001</v>
      </c>
      <c r="J1023" s="86">
        <v>73.371899999999997</v>
      </c>
      <c r="K1023" s="512"/>
      <c r="L1023" s="510"/>
    </row>
    <row r="1024" spans="1:12" x14ac:dyDescent="0.25">
      <c r="A1024" s="511"/>
      <c r="B1024" s="511"/>
      <c r="C1024" s="95" t="s">
        <v>77</v>
      </c>
      <c r="D1024" s="104">
        <v>1</v>
      </c>
      <c r="E1024" s="105">
        <v>1</v>
      </c>
      <c r="F1024" s="85" t="str">
        <f t="shared" si="83"/>
        <v>E411</v>
      </c>
      <c r="G1024" s="85">
        <v>132.94</v>
      </c>
      <c r="H1024" s="85">
        <v>144.42717048949646</v>
      </c>
      <c r="I1024" s="85">
        <f t="shared" si="84"/>
        <v>162.18680000000001</v>
      </c>
      <c r="J1024" s="85"/>
      <c r="K1024" s="512"/>
      <c r="L1024" s="510">
        <v>46.21</v>
      </c>
    </row>
    <row r="1025" spans="1:12" x14ac:dyDescent="0.25">
      <c r="A1025" s="511"/>
      <c r="B1025" s="511"/>
      <c r="C1025" s="95" t="s">
        <v>77</v>
      </c>
      <c r="D1025" s="104">
        <v>1</v>
      </c>
      <c r="E1025" s="105">
        <v>2</v>
      </c>
      <c r="F1025" s="85" t="str">
        <f t="shared" si="83"/>
        <v>E412</v>
      </c>
      <c r="G1025" s="85">
        <v>124.86</v>
      </c>
      <c r="H1025" s="85">
        <v>135.64898832043423</v>
      </c>
      <c r="I1025" s="85">
        <f t="shared" si="84"/>
        <v>152.32919999999999</v>
      </c>
      <c r="J1025" s="85"/>
      <c r="K1025" s="512"/>
      <c r="L1025" s="510"/>
    </row>
    <row r="1026" spans="1:12" x14ac:dyDescent="0.25">
      <c r="A1026" s="511"/>
      <c r="B1026" s="511"/>
      <c r="C1026" s="95" t="s">
        <v>77</v>
      </c>
      <c r="D1026" s="104">
        <v>1</v>
      </c>
      <c r="E1026" s="105">
        <v>3</v>
      </c>
      <c r="F1026" s="85" t="str">
        <f t="shared" si="83"/>
        <v>E413</v>
      </c>
      <c r="G1026" s="85">
        <v>121.66</v>
      </c>
      <c r="H1026" s="85">
        <v>132.17248053070662</v>
      </c>
      <c r="I1026" s="85">
        <f t="shared" si="84"/>
        <v>148.42519999999999</v>
      </c>
      <c r="J1026" s="85"/>
      <c r="K1026" s="512"/>
      <c r="L1026" s="510"/>
    </row>
    <row r="1027" spans="1:12" x14ac:dyDescent="0.25">
      <c r="A1027" s="511"/>
      <c r="B1027" s="511"/>
      <c r="C1027" s="95" t="s">
        <v>77</v>
      </c>
      <c r="D1027" s="104">
        <v>1</v>
      </c>
      <c r="E1027" s="105">
        <v>4</v>
      </c>
      <c r="F1027" s="85" t="str">
        <f t="shared" si="83"/>
        <v>E414</v>
      </c>
      <c r="G1027" s="85">
        <v>88.87</v>
      </c>
      <c r="H1027" s="85">
        <v>96.549139772841514</v>
      </c>
      <c r="I1027" s="85">
        <f t="shared" si="84"/>
        <v>108.42140000000001</v>
      </c>
      <c r="J1027" s="85"/>
      <c r="K1027" s="512"/>
      <c r="L1027" s="510"/>
    </row>
    <row r="1028" spans="1:12" x14ac:dyDescent="0.25">
      <c r="A1028" s="511"/>
      <c r="B1028" s="511"/>
      <c r="C1028" s="95" t="s">
        <v>77</v>
      </c>
      <c r="D1028" s="104">
        <v>2</v>
      </c>
      <c r="E1028" s="105">
        <v>1</v>
      </c>
      <c r="F1028" s="85" t="str">
        <f t="shared" si="83"/>
        <v>E421</v>
      </c>
      <c r="G1028" s="85">
        <v>131.41999999999999</v>
      </c>
      <c r="H1028" s="85">
        <v>142.77582928937582</v>
      </c>
      <c r="I1028" s="85">
        <f t="shared" si="84"/>
        <v>160.33239999999998</v>
      </c>
      <c r="J1028" s="85"/>
      <c r="K1028" s="512"/>
      <c r="L1028" s="510">
        <v>31.99</v>
      </c>
    </row>
    <row r="1029" spans="1:12" x14ac:dyDescent="0.25">
      <c r="A1029" s="511"/>
      <c r="B1029" s="511"/>
      <c r="C1029" s="95" t="s">
        <v>77</v>
      </c>
      <c r="D1029" s="104">
        <v>2</v>
      </c>
      <c r="E1029" s="105">
        <v>2</v>
      </c>
      <c r="F1029" s="85" t="str">
        <f t="shared" si="83"/>
        <v>E422</v>
      </c>
      <c r="G1029" s="85">
        <v>131.03</v>
      </c>
      <c r="H1029" s="85">
        <v>142.35212990250278</v>
      </c>
      <c r="I1029" s="85">
        <f t="shared" si="84"/>
        <v>159.85659999999999</v>
      </c>
      <c r="J1029" s="85"/>
      <c r="K1029" s="512"/>
      <c r="L1029" s="510"/>
    </row>
    <row r="1030" spans="1:12" x14ac:dyDescent="0.25">
      <c r="A1030" s="511"/>
      <c r="B1030" s="511"/>
      <c r="C1030" s="95" t="s">
        <v>77</v>
      </c>
      <c r="D1030" s="104">
        <v>2</v>
      </c>
      <c r="E1030" s="105">
        <v>3</v>
      </c>
      <c r="F1030" s="85" t="str">
        <f t="shared" si="83"/>
        <v>E423</v>
      </c>
      <c r="G1030" s="85">
        <v>126.89</v>
      </c>
      <c r="H1030" s="85">
        <v>137.85439794954269</v>
      </c>
      <c r="I1030" s="85">
        <f t="shared" si="84"/>
        <v>154.8058</v>
      </c>
      <c r="J1030" s="85"/>
      <c r="K1030" s="512"/>
      <c r="L1030" s="510"/>
    </row>
    <row r="1031" spans="1:12" x14ac:dyDescent="0.25">
      <c r="A1031" s="511"/>
      <c r="B1031" s="511"/>
      <c r="C1031" s="95" t="s">
        <v>77</v>
      </c>
      <c r="D1031" s="104">
        <v>2</v>
      </c>
      <c r="E1031" s="105">
        <v>4</v>
      </c>
      <c r="F1031" s="85" t="str">
        <f t="shared" si="83"/>
        <v>E424</v>
      </c>
      <c r="G1031" s="85">
        <v>126.99</v>
      </c>
      <c r="H1031" s="85">
        <v>137.96303881797166</v>
      </c>
      <c r="I1031" s="85">
        <f t="shared" si="84"/>
        <v>154.92779999999999</v>
      </c>
      <c r="J1031" s="85"/>
      <c r="K1031" s="512"/>
      <c r="L1031" s="510"/>
    </row>
    <row r="1032" spans="1:12" x14ac:dyDescent="0.25">
      <c r="A1032" s="511"/>
      <c r="B1032" s="511"/>
      <c r="C1032" s="95" t="s">
        <v>77</v>
      </c>
      <c r="D1032" s="104">
        <v>3</v>
      </c>
      <c r="E1032" s="105">
        <v>1</v>
      </c>
      <c r="F1032" s="85" t="str">
        <f t="shared" si="83"/>
        <v>E431</v>
      </c>
      <c r="G1032" s="85">
        <v>131.88</v>
      </c>
      <c r="H1032" s="85">
        <v>143.27557728414919</v>
      </c>
      <c r="I1032" s="85">
        <f t="shared" si="84"/>
        <v>160.89359999999999</v>
      </c>
      <c r="J1032" s="85"/>
      <c r="K1032" s="512"/>
      <c r="L1032" s="510">
        <v>31.94</v>
      </c>
    </row>
    <row r="1033" spans="1:12" x14ac:dyDescent="0.25">
      <c r="A1033" s="511"/>
      <c r="B1033" s="511"/>
      <c r="C1033" s="95" t="s">
        <v>77</v>
      </c>
      <c r="D1033" s="104">
        <v>3</v>
      </c>
      <c r="E1033" s="105">
        <v>2</v>
      </c>
      <c r="F1033" s="85" t="str">
        <f t="shared" si="83"/>
        <v>E432</v>
      </c>
      <c r="G1033" s="85">
        <v>131.02000000000001</v>
      </c>
      <c r="H1033" s="85">
        <v>142.34126581565991</v>
      </c>
      <c r="I1033" s="85">
        <f t="shared" si="84"/>
        <v>159.84440000000001</v>
      </c>
      <c r="J1033" s="85"/>
      <c r="K1033" s="512"/>
      <c r="L1033" s="510"/>
    </row>
    <row r="1034" spans="1:12" x14ac:dyDescent="0.25">
      <c r="A1034" s="511"/>
      <c r="B1034" s="511"/>
      <c r="C1034" s="95" t="s">
        <v>77</v>
      </c>
      <c r="D1034" s="104">
        <v>3</v>
      </c>
      <c r="E1034" s="105">
        <v>3</v>
      </c>
      <c r="F1034" s="85" t="str">
        <f t="shared" si="83"/>
        <v>E433</v>
      </c>
      <c r="G1034" s="85">
        <v>126.87</v>
      </c>
      <c r="H1034" s="85">
        <v>137.83266977585691</v>
      </c>
      <c r="I1034" s="85">
        <f t="shared" si="84"/>
        <v>154.78139999999999</v>
      </c>
      <c r="J1034" s="85"/>
      <c r="K1034" s="512"/>
      <c r="L1034" s="510"/>
    </row>
    <row r="1035" spans="1:12" x14ac:dyDescent="0.25">
      <c r="A1035" s="511"/>
      <c r="B1035" s="511"/>
      <c r="C1035" s="95" t="s">
        <v>77</v>
      </c>
      <c r="D1035" s="104">
        <v>3</v>
      </c>
      <c r="E1035" s="105">
        <v>4</v>
      </c>
      <c r="F1035" s="85" t="str">
        <f t="shared" si="83"/>
        <v>E434</v>
      </c>
      <c r="G1035" s="85">
        <v>127.41</v>
      </c>
      <c r="H1035" s="85">
        <v>138.41933046537343</v>
      </c>
      <c r="I1035" s="85">
        <f t="shared" si="84"/>
        <v>155.4402</v>
      </c>
      <c r="J1035" s="85"/>
      <c r="K1035" s="512"/>
      <c r="L1035" s="510"/>
    </row>
    <row r="1036" spans="1:12" x14ac:dyDescent="0.25">
      <c r="A1036" s="511"/>
      <c r="B1036" s="511"/>
      <c r="C1036" s="95" t="s">
        <v>77</v>
      </c>
      <c r="D1036" s="104">
        <v>4</v>
      </c>
      <c r="E1036" s="105">
        <v>1</v>
      </c>
      <c r="F1036" s="85" t="str">
        <f t="shared" si="83"/>
        <v>E441</v>
      </c>
      <c r="G1036" s="85">
        <v>129.59</v>
      </c>
      <c r="H1036" s="85">
        <v>140.78770139712537</v>
      </c>
      <c r="I1036" s="85">
        <f t="shared" si="84"/>
        <v>158.09979999999999</v>
      </c>
      <c r="J1036" s="85"/>
      <c r="K1036" s="512"/>
      <c r="L1036" s="510">
        <v>31.95</v>
      </c>
    </row>
    <row r="1037" spans="1:12" x14ac:dyDescent="0.25">
      <c r="A1037" s="511"/>
      <c r="B1037" s="511"/>
      <c r="C1037" s="95" t="s">
        <v>77</v>
      </c>
      <c r="D1037" s="104">
        <v>4</v>
      </c>
      <c r="E1037" s="105">
        <v>2</v>
      </c>
      <c r="F1037" s="85" t="str">
        <f t="shared" si="83"/>
        <v>E442</v>
      </c>
      <c r="G1037" s="85">
        <v>131.72</v>
      </c>
      <c r="H1037" s="85">
        <v>143.10175189466281</v>
      </c>
      <c r="I1037" s="85">
        <f t="shared" si="84"/>
        <v>160.69839999999999</v>
      </c>
      <c r="J1037" s="85"/>
      <c r="K1037" s="512"/>
      <c r="L1037" s="510"/>
    </row>
    <row r="1038" spans="1:12" x14ac:dyDescent="0.25">
      <c r="A1038" s="511"/>
      <c r="B1038" s="511"/>
      <c r="C1038" s="95" t="s">
        <v>77</v>
      </c>
      <c r="D1038" s="104">
        <v>4</v>
      </c>
      <c r="E1038" s="105">
        <v>3</v>
      </c>
      <c r="F1038" s="85" t="str">
        <f t="shared" si="83"/>
        <v>E443</v>
      </c>
      <c r="G1038" s="85">
        <v>127.12</v>
      </c>
      <c r="H1038" s="85">
        <v>138.10427194692937</v>
      </c>
      <c r="I1038" s="85">
        <f t="shared" si="84"/>
        <v>155.0864</v>
      </c>
      <c r="J1038" s="85"/>
      <c r="K1038" s="512"/>
      <c r="L1038" s="510"/>
    </row>
    <row r="1039" spans="1:12" x14ac:dyDescent="0.25">
      <c r="A1039" s="511"/>
      <c r="B1039" s="511"/>
      <c r="C1039" s="95" t="s">
        <v>77</v>
      </c>
      <c r="D1039" s="104">
        <v>4</v>
      </c>
      <c r="E1039" s="105">
        <v>4</v>
      </c>
      <c r="F1039" s="85" t="str">
        <f t="shared" si="83"/>
        <v>E444</v>
      </c>
      <c r="G1039" s="85">
        <v>125.12</v>
      </c>
      <c r="H1039" s="85">
        <v>135.93145457834962</v>
      </c>
      <c r="I1039" s="85">
        <f t="shared" si="84"/>
        <v>152.6464</v>
      </c>
      <c r="J1039" s="85"/>
      <c r="K1039" s="512"/>
      <c r="L1039" s="510"/>
    </row>
    <row r="1040" spans="1:12" x14ac:dyDescent="0.25">
      <c r="A1040" s="83" t="s">
        <v>4</v>
      </c>
      <c r="B1040" s="83"/>
      <c r="C1040" s="83"/>
      <c r="D1040" s="103"/>
      <c r="E1040" s="103"/>
      <c r="F1040" s="83"/>
      <c r="G1040" s="83">
        <f>SUM(G1020:G1039)</f>
        <v>2487.2499999999995</v>
      </c>
      <c r="H1040" s="83"/>
      <c r="I1040" s="83">
        <f>SUM(I1020:I1039)</f>
        <v>3034.4450000000002</v>
      </c>
      <c r="J1040" s="83"/>
      <c r="K1040" s="83">
        <f>SUM(K1020)</f>
        <v>2702.17</v>
      </c>
      <c r="L1040" s="83">
        <f>L1036+L1032+L1028+L1024+L1020</f>
        <v>214.92000000000002</v>
      </c>
    </row>
    <row r="1041" spans="1:12" x14ac:dyDescent="0.25">
      <c r="A1041" s="97"/>
      <c r="L1041" s="99">
        <f>(L1020+L1024+L1028+L1032+L1036)/K1040</f>
        <v>7.9536076560690103E-2</v>
      </c>
    </row>
    <row r="1043" spans="1:12" ht="37.5" x14ac:dyDescent="0.25">
      <c r="A1043" s="82" t="s">
        <v>9</v>
      </c>
      <c r="B1043" s="83" t="s">
        <v>7</v>
      </c>
      <c r="C1043" s="82" t="s">
        <v>8</v>
      </c>
      <c r="D1043" s="102" t="s">
        <v>10</v>
      </c>
      <c r="E1043" s="103" t="s">
        <v>2</v>
      </c>
      <c r="F1043" s="82" t="s">
        <v>104</v>
      </c>
      <c r="G1043" s="82" t="s">
        <v>3</v>
      </c>
      <c r="H1043" s="82" t="s">
        <v>102</v>
      </c>
      <c r="I1043" s="82" t="s">
        <v>101</v>
      </c>
      <c r="J1043" s="82" t="s">
        <v>103</v>
      </c>
      <c r="K1043" s="83" t="s">
        <v>6</v>
      </c>
      <c r="L1043" s="83" t="s">
        <v>1</v>
      </c>
    </row>
    <row r="1044" spans="1:12" x14ac:dyDescent="0.25">
      <c r="A1044" s="511" t="s">
        <v>38</v>
      </c>
      <c r="B1044" s="511" t="s">
        <v>44</v>
      </c>
      <c r="C1044" s="95" t="s">
        <v>76</v>
      </c>
      <c r="D1044" s="104">
        <v>0</v>
      </c>
      <c r="E1044" s="105">
        <v>1</v>
      </c>
      <c r="F1044" s="85" t="str">
        <f>LEFT(C1044,2)&amp;D1044&amp;E1044</f>
        <v>E501</v>
      </c>
      <c r="G1044" s="85">
        <v>131.34</v>
      </c>
      <c r="H1044" s="85">
        <v>142.61992000608555</v>
      </c>
      <c r="I1044" s="85">
        <f>1.22*G1044</f>
        <v>160.23480000000001</v>
      </c>
      <c r="J1044" s="86">
        <v>88.345699999999994</v>
      </c>
      <c r="K1044" s="512">
        <f>SUM(H1044:H1063)</f>
        <v>2712.1999999999985</v>
      </c>
      <c r="L1044" s="510">
        <v>72.63</v>
      </c>
    </row>
    <row r="1045" spans="1:12" x14ac:dyDescent="0.25">
      <c r="A1045" s="511"/>
      <c r="B1045" s="511"/>
      <c r="C1045" s="95" t="s">
        <v>76</v>
      </c>
      <c r="D1045" s="104">
        <v>0</v>
      </c>
      <c r="E1045" s="105">
        <v>2</v>
      </c>
      <c r="F1045" s="85" t="str">
        <f t="shared" ref="F1045:F1063" si="85">LEFT(C1045,2)&amp;D1045&amp;E1045</f>
        <v>E502</v>
      </c>
      <c r="G1045" s="85">
        <v>129.57</v>
      </c>
      <c r="H1045" s="85">
        <v>140.69790646557411</v>
      </c>
      <c r="I1045" s="85">
        <f t="shared" ref="I1045:I1063" si="86">1.22*G1045</f>
        <v>158.0754</v>
      </c>
      <c r="J1045" s="86">
        <v>84.036199999999994</v>
      </c>
      <c r="K1045" s="512"/>
      <c r="L1045" s="510"/>
    </row>
    <row r="1046" spans="1:12" x14ac:dyDescent="0.25">
      <c r="A1046" s="511"/>
      <c r="B1046" s="511"/>
      <c r="C1046" s="95" t="s">
        <v>76</v>
      </c>
      <c r="D1046" s="104">
        <v>0</v>
      </c>
      <c r="E1046" s="105">
        <v>3</v>
      </c>
      <c r="F1046" s="85" t="str">
        <f t="shared" si="85"/>
        <v>E503</v>
      </c>
      <c r="G1046" s="85">
        <v>125.09</v>
      </c>
      <c r="H1046" s="85">
        <v>135.83314902970338</v>
      </c>
      <c r="I1046" s="85">
        <f t="shared" si="86"/>
        <v>152.60980000000001</v>
      </c>
      <c r="J1046" s="86">
        <v>85.562899999999999</v>
      </c>
      <c r="K1046" s="512"/>
      <c r="L1046" s="510"/>
    </row>
    <row r="1047" spans="1:12" x14ac:dyDescent="0.25">
      <c r="A1047" s="511"/>
      <c r="B1047" s="511"/>
      <c r="C1047" s="95" t="s">
        <v>76</v>
      </c>
      <c r="D1047" s="104">
        <v>0</v>
      </c>
      <c r="E1047" s="105">
        <v>4</v>
      </c>
      <c r="F1047" s="85" t="str">
        <f t="shared" si="85"/>
        <v>E504</v>
      </c>
      <c r="G1047" s="85">
        <v>87.23</v>
      </c>
      <c r="H1047" s="85">
        <v>94.721605163170736</v>
      </c>
      <c r="I1047" s="85">
        <f t="shared" si="86"/>
        <v>106.42060000000001</v>
      </c>
      <c r="J1047" s="86">
        <v>72.451099999999997</v>
      </c>
      <c r="K1047" s="512"/>
      <c r="L1047" s="510"/>
    </row>
    <row r="1048" spans="1:12" x14ac:dyDescent="0.25">
      <c r="A1048" s="511"/>
      <c r="B1048" s="511"/>
      <c r="C1048" s="95" t="s">
        <v>76</v>
      </c>
      <c r="D1048" s="104">
        <v>1</v>
      </c>
      <c r="E1048" s="105">
        <v>1</v>
      </c>
      <c r="F1048" s="85" t="str">
        <f t="shared" si="85"/>
        <v>E511</v>
      </c>
      <c r="G1048" s="85">
        <v>129.04</v>
      </c>
      <c r="H1048" s="85">
        <v>140.1223882867769</v>
      </c>
      <c r="I1048" s="85">
        <f t="shared" si="86"/>
        <v>157.4288</v>
      </c>
      <c r="J1048" s="85"/>
      <c r="K1048" s="512"/>
      <c r="L1048" s="510">
        <v>46.11</v>
      </c>
    </row>
    <row r="1049" spans="1:12" x14ac:dyDescent="0.25">
      <c r="A1049" s="511"/>
      <c r="B1049" s="511"/>
      <c r="C1049" s="95" t="s">
        <v>76</v>
      </c>
      <c r="D1049" s="104">
        <v>1</v>
      </c>
      <c r="E1049" s="105">
        <v>2</v>
      </c>
      <c r="F1049" s="85" t="str">
        <f t="shared" si="85"/>
        <v>E512</v>
      </c>
      <c r="G1049" s="85">
        <v>131.43</v>
      </c>
      <c r="H1049" s="85">
        <v>142.71764950814546</v>
      </c>
      <c r="I1049" s="85">
        <f t="shared" si="86"/>
        <v>160.34460000000001</v>
      </c>
      <c r="J1049" s="85"/>
      <c r="K1049" s="512"/>
      <c r="L1049" s="510"/>
    </row>
    <row r="1050" spans="1:12" x14ac:dyDescent="0.25">
      <c r="A1050" s="511"/>
      <c r="B1050" s="511"/>
      <c r="C1050" s="95" t="s">
        <v>76</v>
      </c>
      <c r="D1050" s="104">
        <v>1</v>
      </c>
      <c r="E1050" s="105">
        <v>3</v>
      </c>
      <c r="F1050" s="85" t="str">
        <f t="shared" si="85"/>
        <v>E513</v>
      </c>
      <c r="G1050" s="85">
        <v>127.14</v>
      </c>
      <c r="H1050" s="85">
        <v>138.05920990995673</v>
      </c>
      <c r="I1050" s="85">
        <f t="shared" si="86"/>
        <v>155.11079999999998</v>
      </c>
      <c r="J1050" s="85"/>
      <c r="K1050" s="512"/>
      <c r="L1050" s="510"/>
    </row>
    <row r="1051" spans="1:12" x14ac:dyDescent="0.25">
      <c r="A1051" s="511"/>
      <c r="B1051" s="511"/>
      <c r="C1051" s="95" t="s">
        <v>76</v>
      </c>
      <c r="D1051" s="104">
        <v>1</v>
      </c>
      <c r="E1051" s="105">
        <v>4</v>
      </c>
      <c r="F1051" s="85" t="str">
        <f t="shared" si="85"/>
        <v>E514</v>
      </c>
      <c r="G1051" s="85">
        <v>88.87</v>
      </c>
      <c r="H1051" s="85">
        <v>96.502453867373418</v>
      </c>
      <c r="I1051" s="85">
        <f t="shared" si="86"/>
        <v>108.42140000000001</v>
      </c>
      <c r="J1051" s="85"/>
      <c r="K1051" s="512"/>
      <c r="L1051" s="510"/>
    </row>
    <row r="1052" spans="1:12" x14ac:dyDescent="0.25">
      <c r="A1052" s="511"/>
      <c r="B1052" s="511"/>
      <c r="C1052" s="95" t="s">
        <v>76</v>
      </c>
      <c r="D1052" s="104">
        <v>2</v>
      </c>
      <c r="E1052" s="105">
        <v>1</v>
      </c>
      <c r="F1052" s="85" t="str">
        <f t="shared" si="85"/>
        <v>E521</v>
      </c>
      <c r="G1052" s="85">
        <v>131.43</v>
      </c>
      <c r="H1052" s="85">
        <v>142.71764950814546</v>
      </c>
      <c r="I1052" s="85">
        <f t="shared" si="86"/>
        <v>160.34460000000001</v>
      </c>
      <c r="J1052" s="85"/>
      <c r="K1052" s="512"/>
      <c r="L1052" s="510">
        <v>31.98</v>
      </c>
    </row>
    <row r="1053" spans="1:12" x14ac:dyDescent="0.25">
      <c r="A1053" s="511"/>
      <c r="B1053" s="511"/>
      <c r="C1053" s="95" t="s">
        <v>76</v>
      </c>
      <c r="D1053" s="104">
        <v>2</v>
      </c>
      <c r="E1053" s="105">
        <v>2</v>
      </c>
      <c r="F1053" s="85" t="str">
        <f t="shared" si="85"/>
        <v>E522</v>
      </c>
      <c r="G1053" s="85">
        <v>131.44</v>
      </c>
      <c r="H1053" s="85">
        <v>142.72850834170768</v>
      </c>
      <c r="I1053" s="85">
        <f t="shared" si="86"/>
        <v>160.35679999999999</v>
      </c>
      <c r="J1053" s="85"/>
      <c r="K1053" s="512"/>
      <c r="L1053" s="510"/>
    </row>
    <row r="1054" spans="1:12" x14ac:dyDescent="0.25">
      <c r="A1054" s="511"/>
      <c r="B1054" s="511"/>
      <c r="C1054" s="95" t="s">
        <v>76</v>
      </c>
      <c r="D1054" s="104">
        <v>2</v>
      </c>
      <c r="E1054" s="105">
        <v>3</v>
      </c>
      <c r="F1054" s="85" t="str">
        <f t="shared" si="85"/>
        <v>E523</v>
      </c>
      <c r="G1054" s="85">
        <v>126.95</v>
      </c>
      <c r="H1054" s="85">
        <v>137.85289207227473</v>
      </c>
      <c r="I1054" s="85">
        <f t="shared" si="86"/>
        <v>154.87899999999999</v>
      </c>
      <c r="J1054" s="85"/>
      <c r="K1054" s="512"/>
      <c r="L1054" s="510"/>
    </row>
    <row r="1055" spans="1:12" x14ac:dyDescent="0.25">
      <c r="A1055" s="511"/>
      <c r="B1055" s="511"/>
      <c r="C1055" s="95" t="s">
        <v>76</v>
      </c>
      <c r="D1055" s="104">
        <v>2</v>
      </c>
      <c r="E1055" s="105">
        <v>4</v>
      </c>
      <c r="F1055" s="85" t="str">
        <f t="shared" si="85"/>
        <v>E524</v>
      </c>
      <c r="G1055" s="85">
        <v>127.15</v>
      </c>
      <c r="H1055" s="85">
        <v>138.07006874351896</v>
      </c>
      <c r="I1055" s="85">
        <f t="shared" si="86"/>
        <v>155.12299999999999</v>
      </c>
      <c r="J1055" s="85"/>
      <c r="K1055" s="512"/>
      <c r="L1055" s="510"/>
    </row>
    <row r="1056" spans="1:12" x14ac:dyDescent="0.25">
      <c r="A1056" s="511"/>
      <c r="B1056" s="511"/>
      <c r="C1056" s="95" t="s">
        <v>76</v>
      </c>
      <c r="D1056" s="104">
        <v>3</v>
      </c>
      <c r="E1056" s="105">
        <v>1</v>
      </c>
      <c r="F1056" s="85" t="str">
        <f t="shared" si="85"/>
        <v>E531</v>
      </c>
      <c r="G1056" s="85">
        <v>131.88</v>
      </c>
      <c r="H1056" s="85">
        <v>143.20629701844499</v>
      </c>
      <c r="I1056" s="85">
        <f t="shared" si="86"/>
        <v>160.89359999999999</v>
      </c>
      <c r="J1056" s="85"/>
      <c r="K1056" s="512"/>
      <c r="L1056" s="510">
        <v>31.9</v>
      </c>
    </row>
    <row r="1057" spans="1:12" x14ac:dyDescent="0.25">
      <c r="A1057" s="511"/>
      <c r="B1057" s="511"/>
      <c r="C1057" s="95" t="s">
        <v>76</v>
      </c>
      <c r="D1057" s="104">
        <v>3</v>
      </c>
      <c r="E1057" s="105">
        <v>2</v>
      </c>
      <c r="F1057" s="85" t="str">
        <f t="shared" si="85"/>
        <v>E532</v>
      </c>
      <c r="G1057" s="85">
        <v>131.43</v>
      </c>
      <c r="H1057" s="85">
        <v>142.71764950814546</v>
      </c>
      <c r="I1057" s="85">
        <f t="shared" si="86"/>
        <v>160.34460000000001</v>
      </c>
      <c r="J1057" s="85"/>
      <c r="K1057" s="512"/>
      <c r="L1057" s="510"/>
    </row>
    <row r="1058" spans="1:12" x14ac:dyDescent="0.25">
      <c r="A1058" s="511"/>
      <c r="B1058" s="511"/>
      <c r="C1058" s="95" t="s">
        <v>76</v>
      </c>
      <c r="D1058" s="104">
        <v>3</v>
      </c>
      <c r="E1058" s="105">
        <v>3</v>
      </c>
      <c r="F1058" s="85" t="str">
        <f t="shared" si="85"/>
        <v>E533</v>
      </c>
      <c r="G1058" s="85">
        <v>126.97</v>
      </c>
      <c r="H1058" s="85">
        <v>137.87460973939915</v>
      </c>
      <c r="I1058" s="85">
        <f t="shared" si="86"/>
        <v>154.9034</v>
      </c>
      <c r="J1058" s="85"/>
      <c r="K1058" s="512"/>
      <c r="L1058" s="510"/>
    </row>
    <row r="1059" spans="1:12" x14ac:dyDescent="0.25">
      <c r="A1059" s="511"/>
      <c r="B1059" s="511"/>
      <c r="C1059" s="95" t="s">
        <v>76</v>
      </c>
      <c r="D1059" s="104">
        <v>3</v>
      </c>
      <c r="E1059" s="105">
        <v>4</v>
      </c>
      <c r="F1059" s="85" t="str">
        <f t="shared" si="85"/>
        <v>E534</v>
      </c>
      <c r="G1059" s="85">
        <v>127.45</v>
      </c>
      <c r="H1059" s="85">
        <v>138.39583375038529</v>
      </c>
      <c r="I1059" s="85">
        <f t="shared" si="86"/>
        <v>155.489</v>
      </c>
      <c r="J1059" s="85"/>
      <c r="K1059" s="512"/>
      <c r="L1059" s="510"/>
    </row>
    <row r="1060" spans="1:12" x14ac:dyDescent="0.25">
      <c r="A1060" s="511"/>
      <c r="B1060" s="511"/>
      <c r="C1060" s="95" t="s">
        <v>76</v>
      </c>
      <c r="D1060" s="104">
        <v>4</v>
      </c>
      <c r="E1060" s="105">
        <v>1</v>
      </c>
      <c r="F1060" s="85" t="str">
        <f t="shared" si="85"/>
        <v>E541</v>
      </c>
      <c r="G1060" s="85">
        <v>129.58000000000001</v>
      </c>
      <c r="H1060" s="85">
        <v>140.70876529913636</v>
      </c>
      <c r="I1060" s="85">
        <f t="shared" si="86"/>
        <v>158.08760000000001</v>
      </c>
      <c r="J1060" s="85"/>
      <c r="K1060" s="512"/>
      <c r="L1060" s="510">
        <v>31.9</v>
      </c>
    </row>
    <row r="1061" spans="1:12" x14ac:dyDescent="0.25">
      <c r="A1061" s="511"/>
      <c r="B1061" s="511"/>
      <c r="C1061" s="95" t="s">
        <v>76</v>
      </c>
      <c r="D1061" s="104">
        <v>4</v>
      </c>
      <c r="E1061" s="105">
        <v>2</v>
      </c>
      <c r="F1061" s="85" t="str">
        <f t="shared" si="85"/>
        <v>E542</v>
      </c>
      <c r="G1061" s="85">
        <v>131.38</v>
      </c>
      <c r="H1061" s="85">
        <v>142.66335534033439</v>
      </c>
      <c r="I1061" s="85">
        <f t="shared" si="86"/>
        <v>160.28359999999998</v>
      </c>
      <c r="J1061" s="85"/>
      <c r="K1061" s="512"/>
      <c r="L1061" s="510"/>
    </row>
    <row r="1062" spans="1:12" x14ac:dyDescent="0.25">
      <c r="A1062" s="511"/>
      <c r="B1062" s="511"/>
      <c r="C1062" s="95" t="s">
        <v>76</v>
      </c>
      <c r="D1062" s="104">
        <v>4</v>
      </c>
      <c r="E1062" s="105">
        <v>3</v>
      </c>
      <c r="F1062" s="85" t="str">
        <f t="shared" si="85"/>
        <v>E543</v>
      </c>
      <c r="G1062" s="85">
        <v>127.19</v>
      </c>
      <c r="H1062" s="85">
        <v>138.1135040777678</v>
      </c>
      <c r="I1062" s="85">
        <f t="shared" si="86"/>
        <v>155.17179999999999</v>
      </c>
      <c r="J1062" s="85"/>
      <c r="K1062" s="512"/>
      <c r="L1062" s="510"/>
    </row>
    <row r="1063" spans="1:12" x14ac:dyDescent="0.25">
      <c r="A1063" s="511"/>
      <c r="B1063" s="511"/>
      <c r="C1063" s="95" t="s">
        <v>76</v>
      </c>
      <c r="D1063" s="104">
        <v>4</v>
      </c>
      <c r="E1063" s="105">
        <v>4</v>
      </c>
      <c r="F1063" s="85" t="str">
        <f t="shared" si="85"/>
        <v>E544</v>
      </c>
      <c r="G1063" s="85">
        <v>125.13</v>
      </c>
      <c r="H1063" s="85">
        <v>135.87658436395222</v>
      </c>
      <c r="I1063" s="85">
        <f t="shared" si="86"/>
        <v>152.65859999999998</v>
      </c>
      <c r="J1063" s="85"/>
      <c r="K1063" s="512"/>
      <c r="L1063" s="510"/>
    </row>
    <row r="1064" spans="1:12" x14ac:dyDescent="0.25">
      <c r="A1064" s="83" t="s">
        <v>4</v>
      </c>
      <c r="B1064" s="83"/>
      <c r="C1064" s="83"/>
      <c r="D1064" s="103"/>
      <c r="E1064" s="103"/>
      <c r="F1064" s="83"/>
      <c r="G1064" s="83">
        <f>SUM(G1044:G1063)</f>
        <v>2497.690000000001</v>
      </c>
      <c r="H1064" s="83"/>
      <c r="I1064" s="83"/>
      <c r="J1064" s="83"/>
      <c r="K1064" s="83">
        <f>SUM(K1044)</f>
        <v>2712.1999999999985</v>
      </c>
      <c r="L1064" s="83">
        <f>L1060+L1056+L1052+L1048+L1044</f>
        <v>214.51999999999998</v>
      </c>
    </row>
    <row r="1065" spans="1:12" x14ac:dyDescent="0.25">
      <c r="A1065" s="97"/>
      <c r="L1065" s="99">
        <f>(L1044+L1048+L1052+L1056+L1060)/K1064</f>
        <v>7.9094462060320087E-2</v>
      </c>
    </row>
  </sheetData>
  <mergeCells count="347">
    <mergeCell ref="A1044:A1063"/>
    <mergeCell ref="B1044:B1063"/>
    <mergeCell ref="K1044:K1063"/>
    <mergeCell ref="L1044:L1047"/>
    <mergeCell ref="L1048:L1051"/>
    <mergeCell ref="L1052:L1055"/>
    <mergeCell ref="L1056:L1059"/>
    <mergeCell ref="L1060:L1063"/>
    <mergeCell ref="A1020:A1039"/>
    <mergeCell ref="B1020:B1039"/>
    <mergeCell ref="K1020:K1039"/>
    <mergeCell ref="L1020:L1023"/>
    <mergeCell ref="L1024:L1027"/>
    <mergeCell ref="L1028:L1031"/>
    <mergeCell ref="L1032:L1035"/>
    <mergeCell ref="L1036:L1039"/>
    <mergeCell ref="A996:A1015"/>
    <mergeCell ref="B996:B1015"/>
    <mergeCell ref="K996:K1015"/>
    <mergeCell ref="L996:L999"/>
    <mergeCell ref="L1000:L1003"/>
    <mergeCell ref="L1004:L1007"/>
    <mergeCell ref="L1008:L1011"/>
    <mergeCell ref="L1012:L1015"/>
    <mergeCell ref="A972:A991"/>
    <mergeCell ref="B972:B991"/>
    <mergeCell ref="K972:K991"/>
    <mergeCell ref="L972:L975"/>
    <mergeCell ref="L976:L979"/>
    <mergeCell ref="L980:L983"/>
    <mergeCell ref="L984:L987"/>
    <mergeCell ref="L988:L991"/>
    <mergeCell ref="A948:A967"/>
    <mergeCell ref="B948:B967"/>
    <mergeCell ref="K948:K967"/>
    <mergeCell ref="L948:L951"/>
    <mergeCell ref="L952:L955"/>
    <mergeCell ref="L956:L959"/>
    <mergeCell ref="L960:L963"/>
    <mergeCell ref="L964:L967"/>
    <mergeCell ref="A924:A943"/>
    <mergeCell ref="B924:B943"/>
    <mergeCell ref="K924:K943"/>
    <mergeCell ref="L924:L927"/>
    <mergeCell ref="L928:L931"/>
    <mergeCell ref="L932:L935"/>
    <mergeCell ref="L936:L939"/>
    <mergeCell ref="L940:L943"/>
    <mergeCell ref="A900:A919"/>
    <mergeCell ref="B900:B919"/>
    <mergeCell ref="K900:K919"/>
    <mergeCell ref="L900:L903"/>
    <mergeCell ref="L904:L907"/>
    <mergeCell ref="L908:L911"/>
    <mergeCell ref="L912:L915"/>
    <mergeCell ref="L916:L919"/>
    <mergeCell ref="A876:A895"/>
    <mergeCell ref="B876:B895"/>
    <mergeCell ref="K876:K895"/>
    <mergeCell ref="L876:L879"/>
    <mergeCell ref="L880:L883"/>
    <mergeCell ref="L884:L887"/>
    <mergeCell ref="L888:L891"/>
    <mergeCell ref="L892:L895"/>
    <mergeCell ref="A852:A871"/>
    <mergeCell ref="B852:B871"/>
    <mergeCell ref="K852:K871"/>
    <mergeCell ref="L852:L855"/>
    <mergeCell ref="L856:L859"/>
    <mergeCell ref="L860:L863"/>
    <mergeCell ref="L864:L867"/>
    <mergeCell ref="L868:L871"/>
    <mergeCell ref="A828:A847"/>
    <mergeCell ref="B828:B847"/>
    <mergeCell ref="K828:K847"/>
    <mergeCell ref="L828:L831"/>
    <mergeCell ref="L832:L835"/>
    <mergeCell ref="L836:L839"/>
    <mergeCell ref="L840:L843"/>
    <mergeCell ref="L844:L847"/>
    <mergeCell ref="A804:A823"/>
    <mergeCell ref="B804:B823"/>
    <mergeCell ref="K804:K823"/>
    <mergeCell ref="L804:L807"/>
    <mergeCell ref="L808:L811"/>
    <mergeCell ref="L812:L815"/>
    <mergeCell ref="L816:L819"/>
    <mergeCell ref="L820:L823"/>
    <mergeCell ref="A780:A799"/>
    <mergeCell ref="B780:B799"/>
    <mergeCell ref="K780:K799"/>
    <mergeCell ref="L780:L783"/>
    <mergeCell ref="L784:L787"/>
    <mergeCell ref="L788:L791"/>
    <mergeCell ref="L792:L795"/>
    <mergeCell ref="L796:L799"/>
    <mergeCell ref="A756:A775"/>
    <mergeCell ref="B756:B775"/>
    <mergeCell ref="K756:K775"/>
    <mergeCell ref="L756:L759"/>
    <mergeCell ref="L760:L763"/>
    <mergeCell ref="L764:L767"/>
    <mergeCell ref="L768:L771"/>
    <mergeCell ref="L772:L775"/>
    <mergeCell ref="A731:A750"/>
    <mergeCell ref="B731:B750"/>
    <mergeCell ref="K731:K750"/>
    <mergeCell ref="L731:L734"/>
    <mergeCell ref="L735:L738"/>
    <mergeCell ref="L739:L742"/>
    <mergeCell ref="L743:L746"/>
    <mergeCell ref="L747:L750"/>
    <mergeCell ref="A707:A726"/>
    <mergeCell ref="B707:B726"/>
    <mergeCell ref="K707:K726"/>
    <mergeCell ref="L707:L710"/>
    <mergeCell ref="L711:L714"/>
    <mergeCell ref="L715:L718"/>
    <mergeCell ref="L719:L722"/>
    <mergeCell ref="L723:L726"/>
    <mergeCell ref="A683:A702"/>
    <mergeCell ref="B683:B702"/>
    <mergeCell ref="K683:K702"/>
    <mergeCell ref="L683:L686"/>
    <mergeCell ref="L687:L690"/>
    <mergeCell ref="L691:L694"/>
    <mergeCell ref="L695:L698"/>
    <mergeCell ref="L699:L702"/>
    <mergeCell ref="A659:A678"/>
    <mergeCell ref="B659:B678"/>
    <mergeCell ref="K659:K678"/>
    <mergeCell ref="L659:L662"/>
    <mergeCell ref="L663:L666"/>
    <mergeCell ref="L667:L670"/>
    <mergeCell ref="L671:L674"/>
    <mergeCell ref="L675:L678"/>
    <mergeCell ref="A634:A653"/>
    <mergeCell ref="B634:B653"/>
    <mergeCell ref="K634:K653"/>
    <mergeCell ref="L634:L637"/>
    <mergeCell ref="L638:L641"/>
    <mergeCell ref="L642:L645"/>
    <mergeCell ref="L646:L649"/>
    <mergeCell ref="L650:L653"/>
    <mergeCell ref="A610:A629"/>
    <mergeCell ref="B610:B629"/>
    <mergeCell ref="K610:K629"/>
    <mergeCell ref="L610:L613"/>
    <mergeCell ref="L614:L617"/>
    <mergeCell ref="L618:L621"/>
    <mergeCell ref="L622:L625"/>
    <mergeCell ref="L626:L629"/>
    <mergeCell ref="A586:A605"/>
    <mergeCell ref="B586:B605"/>
    <mergeCell ref="K586:K605"/>
    <mergeCell ref="L586:L589"/>
    <mergeCell ref="L590:L593"/>
    <mergeCell ref="L594:L597"/>
    <mergeCell ref="L598:L601"/>
    <mergeCell ref="L602:L605"/>
    <mergeCell ref="A562:A581"/>
    <mergeCell ref="B562:B581"/>
    <mergeCell ref="K562:K581"/>
    <mergeCell ref="L562:L565"/>
    <mergeCell ref="L566:L569"/>
    <mergeCell ref="L570:L573"/>
    <mergeCell ref="L574:L577"/>
    <mergeCell ref="L578:L581"/>
    <mergeCell ref="A538:A557"/>
    <mergeCell ref="B538:B557"/>
    <mergeCell ref="K538:K557"/>
    <mergeCell ref="L538:L541"/>
    <mergeCell ref="L542:L545"/>
    <mergeCell ref="L546:L549"/>
    <mergeCell ref="L550:L553"/>
    <mergeCell ref="L554:L557"/>
    <mergeCell ref="A514:A533"/>
    <mergeCell ref="B514:B533"/>
    <mergeCell ref="K514:K533"/>
    <mergeCell ref="L514:L517"/>
    <mergeCell ref="L518:L521"/>
    <mergeCell ref="L522:L525"/>
    <mergeCell ref="L526:L529"/>
    <mergeCell ref="L530:L533"/>
    <mergeCell ref="A490:A509"/>
    <mergeCell ref="B490:B509"/>
    <mergeCell ref="K490:K509"/>
    <mergeCell ref="L490:L493"/>
    <mergeCell ref="L494:L497"/>
    <mergeCell ref="L498:L501"/>
    <mergeCell ref="L502:L505"/>
    <mergeCell ref="L506:L509"/>
    <mergeCell ref="A465:A484"/>
    <mergeCell ref="B465:B484"/>
    <mergeCell ref="K465:K484"/>
    <mergeCell ref="L465:L468"/>
    <mergeCell ref="L469:L472"/>
    <mergeCell ref="L473:L476"/>
    <mergeCell ref="L477:L480"/>
    <mergeCell ref="L481:L484"/>
    <mergeCell ref="A441:A460"/>
    <mergeCell ref="B441:B460"/>
    <mergeCell ref="K441:K460"/>
    <mergeCell ref="L441:L444"/>
    <mergeCell ref="L445:L448"/>
    <mergeCell ref="L449:L452"/>
    <mergeCell ref="L453:L456"/>
    <mergeCell ref="L457:L460"/>
    <mergeCell ref="A392:A411"/>
    <mergeCell ref="B392:B411"/>
    <mergeCell ref="K392:K411"/>
    <mergeCell ref="L392:L395"/>
    <mergeCell ref="L396:L399"/>
    <mergeCell ref="L372:L375"/>
    <mergeCell ref="L376:L379"/>
    <mergeCell ref="L380:L383"/>
    <mergeCell ref="A417:A436"/>
    <mergeCell ref="B417:B436"/>
    <mergeCell ref="K417:K436"/>
    <mergeCell ref="L417:L420"/>
    <mergeCell ref="L421:L424"/>
    <mergeCell ref="L425:L428"/>
    <mergeCell ref="L429:L432"/>
    <mergeCell ref="L433:L436"/>
    <mergeCell ref="L400:L403"/>
    <mergeCell ref="L404:L407"/>
    <mergeCell ref="L408:L411"/>
    <mergeCell ref="L356:L359"/>
    <mergeCell ref="L360:L363"/>
    <mergeCell ref="A368:A387"/>
    <mergeCell ref="B368:B387"/>
    <mergeCell ref="K368:K387"/>
    <mergeCell ref="L368:L371"/>
    <mergeCell ref="A344:A363"/>
    <mergeCell ref="B344:B363"/>
    <mergeCell ref="K344:K363"/>
    <mergeCell ref="L344:L347"/>
    <mergeCell ref="L348:L351"/>
    <mergeCell ref="L352:L355"/>
    <mergeCell ref="L384:L387"/>
    <mergeCell ref="L328:L331"/>
    <mergeCell ref="L332:L335"/>
    <mergeCell ref="L336:L339"/>
    <mergeCell ref="L312:L315"/>
    <mergeCell ref="A320:A339"/>
    <mergeCell ref="B320:B339"/>
    <mergeCell ref="K320:K339"/>
    <mergeCell ref="L320:L323"/>
    <mergeCell ref="L324:L327"/>
    <mergeCell ref="L300:L303"/>
    <mergeCell ref="L304:L307"/>
    <mergeCell ref="L308:L311"/>
    <mergeCell ref="L284:L287"/>
    <mergeCell ref="L288:L291"/>
    <mergeCell ref="A296:A315"/>
    <mergeCell ref="B296:B315"/>
    <mergeCell ref="K296:K315"/>
    <mergeCell ref="L296:L299"/>
    <mergeCell ref="A272:A291"/>
    <mergeCell ref="B272:B291"/>
    <mergeCell ref="K272:K291"/>
    <mergeCell ref="L272:L275"/>
    <mergeCell ref="L276:L279"/>
    <mergeCell ref="L280:L283"/>
    <mergeCell ref="L255:L258"/>
    <mergeCell ref="L259:L262"/>
    <mergeCell ref="L263:L266"/>
    <mergeCell ref="L238:L241"/>
    <mergeCell ref="A247:A266"/>
    <mergeCell ref="B247:B266"/>
    <mergeCell ref="K247:K266"/>
    <mergeCell ref="L247:L250"/>
    <mergeCell ref="L251:L254"/>
    <mergeCell ref="L222:L225"/>
    <mergeCell ref="L226:L229"/>
    <mergeCell ref="L230:L233"/>
    <mergeCell ref="L234:L237"/>
    <mergeCell ref="L210:L213"/>
    <mergeCell ref="L214:L217"/>
    <mergeCell ref="A222:A241"/>
    <mergeCell ref="B222:B241"/>
    <mergeCell ref="K222:K241"/>
    <mergeCell ref="A198:A217"/>
    <mergeCell ref="B198:B217"/>
    <mergeCell ref="K198:K217"/>
    <mergeCell ref="L198:L201"/>
    <mergeCell ref="L202:L205"/>
    <mergeCell ref="L206:L209"/>
    <mergeCell ref="L181:L184"/>
    <mergeCell ref="L104:L109"/>
    <mergeCell ref="A115:A142"/>
    <mergeCell ref="B115:B142"/>
    <mergeCell ref="K115:K142"/>
    <mergeCell ref="L185:L188"/>
    <mergeCell ref="L189:L192"/>
    <mergeCell ref="A173:A192"/>
    <mergeCell ref="B173:B192"/>
    <mergeCell ref="K173:K192"/>
    <mergeCell ref="L173:L176"/>
    <mergeCell ref="L177:L180"/>
    <mergeCell ref="L152:L155"/>
    <mergeCell ref="L156:L159"/>
    <mergeCell ref="L160:L163"/>
    <mergeCell ref="L164:L167"/>
    <mergeCell ref="A148:A167"/>
    <mergeCell ref="B148:B167"/>
    <mergeCell ref="K148:K167"/>
    <mergeCell ref="L148:L151"/>
    <mergeCell ref="L87:L91"/>
    <mergeCell ref="L92:L97"/>
    <mergeCell ref="A80:L80"/>
    <mergeCell ref="A82:A109"/>
    <mergeCell ref="B82:B109"/>
    <mergeCell ref="K82:K109"/>
    <mergeCell ref="L82:L86"/>
    <mergeCell ref="L98:L103"/>
    <mergeCell ref="L137:L142"/>
    <mergeCell ref="L115:L119"/>
    <mergeCell ref="L120:L124"/>
    <mergeCell ref="L125:L130"/>
    <mergeCell ref="L131:L136"/>
    <mergeCell ref="L69:L72"/>
    <mergeCell ref="L73:L76"/>
    <mergeCell ref="L57:L60"/>
    <mergeCell ref="L61:L64"/>
    <mergeCell ref="L65:L68"/>
    <mergeCell ref="L47:L50"/>
    <mergeCell ref="A55:L55"/>
    <mergeCell ref="A57:A76"/>
    <mergeCell ref="B57:B76"/>
    <mergeCell ref="K57:K76"/>
    <mergeCell ref="L5:L8"/>
    <mergeCell ref="L9:L12"/>
    <mergeCell ref="L13:L16"/>
    <mergeCell ref="A5:A24"/>
    <mergeCell ref="B5:B24"/>
    <mergeCell ref="K5:K24"/>
    <mergeCell ref="L35:L38"/>
    <mergeCell ref="L39:L42"/>
    <mergeCell ref="A29:L29"/>
    <mergeCell ref="A31:A50"/>
    <mergeCell ref="B31:B50"/>
    <mergeCell ref="K31:K50"/>
    <mergeCell ref="L31:L34"/>
    <mergeCell ref="L43:L46"/>
    <mergeCell ref="L17:L20"/>
    <mergeCell ref="L21:L24"/>
  </mergeCells>
  <phoneticPr fontId="1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D18D8-DB61-402C-A237-C3B46C1D167B}">
  <dimension ref="A1:T29"/>
  <sheetViews>
    <sheetView view="pageBreakPreview" topLeftCell="G1" zoomScaleNormal="100" zoomScaleSheetLayoutView="100" workbookViewId="0">
      <selection activeCell="T3" sqref="T3"/>
    </sheetView>
  </sheetViews>
  <sheetFormatPr defaultRowHeight="15" x14ac:dyDescent="0.25"/>
  <cols>
    <col min="1" max="8" width="14.7109375" style="79" customWidth="1"/>
    <col min="9" max="9" width="1.140625" style="79" customWidth="1"/>
    <col min="10" max="19" width="14.7109375" style="79" customWidth="1"/>
    <col min="20" max="16384" width="9.140625" style="79"/>
  </cols>
  <sheetData>
    <row r="1" spans="1:20" ht="60" x14ac:dyDescent="0.25">
      <c r="A1" s="237" t="s">
        <v>232</v>
      </c>
      <c r="B1" s="237" t="s">
        <v>233</v>
      </c>
      <c r="C1" s="237" t="s">
        <v>234</v>
      </c>
      <c r="D1" s="237" t="s">
        <v>242</v>
      </c>
      <c r="E1" s="237" t="s">
        <v>235</v>
      </c>
      <c r="F1" s="237" t="s">
        <v>716</v>
      </c>
      <c r="G1" s="237" t="s">
        <v>717</v>
      </c>
      <c r="H1" s="237" t="s">
        <v>718</v>
      </c>
      <c r="I1" s="237"/>
      <c r="J1" s="248" t="s">
        <v>243</v>
      </c>
      <c r="K1" s="248" t="s">
        <v>131</v>
      </c>
      <c r="L1" s="248" t="s">
        <v>132</v>
      </c>
      <c r="M1" s="248" t="s">
        <v>236</v>
      </c>
      <c r="N1" s="237" t="s">
        <v>133</v>
      </c>
      <c r="O1" s="237" t="s">
        <v>237</v>
      </c>
      <c r="P1" s="237" t="s">
        <v>238</v>
      </c>
      <c r="Q1" s="237" t="s">
        <v>239</v>
      </c>
      <c r="R1" s="249" t="s">
        <v>240</v>
      </c>
      <c r="S1" s="250" t="s">
        <v>241</v>
      </c>
      <c r="T1" s="250" t="s">
        <v>1150</v>
      </c>
    </row>
    <row r="2" spans="1:20" x14ac:dyDescent="0.25">
      <c r="A2" s="251">
        <v>45200</v>
      </c>
      <c r="B2" s="113" t="s">
        <v>1177</v>
      </c>
      <c r="C2" s="116">
        <v>0</v>
      </c>
      <c r="D2" s="114">
        <v>0.17</v>
      </c>
      <c r="E2" s="224">
        <f>131531*D2</f>
        <v>22360.27</v>
      </c>
      <c r="F2" s="224">
        <f>GETPIVOTDATA("Sum of Unit Selling Area2",PIVOT!$A$227,"PREMIUM CATEGORY","A")*E2</f>
        <v>6579.53777389481</v>
      </c>
      <c r="G2" s="224">
        <f>GETPIVOTDATA("Sum of Unit Selling Area2",PIVOT!$A$227,"PREMIUM CATEGORY","B")*E2</f>
        <v>7320.0160646210188</v>
      </c>
      <c r="H2" s="224">
        <f>GETPIVOTDATA("Sum of Unit Selling Area2",PIVOT!$A$227,"PREMIUM CATEGORY","C")*E2</f>
        <v>8460.7161614841716</v>
      </c>
      <c r="I2" s="224"/>
      <c r="J2" s="224">
        <v>200000</v>
      </c>
      <c r="K2" s="224">
        <v>42500</v>
      </c>
      <c r="L2" s="224">
        <v>47500</v>
      </c>
      <c r="M2" s="224">
        <f>AVERAGE(K2:L2)</f>
        <v>45000</v>
      </c>
      <c r="N2" s="224">
        <f>L2-K2</f>
        <v>5000</v>
      </c>
      <c r="O2" s="116">
        <f>N2/K2</f>
        <v>0.11764705882352941</v>
      </c>
      <c r="P2" s="252">
        <f>K2-K2</f>
        <v>0</v>
      </c>
      <c r="Q2" s="252">
        <f>N2-N2</f>
        <v>0</v>
      </c>
      <c r="R2" s="116">
        <f>C2-C2</f>
        <v>0</v>
      </c>
      <c r="S2" s="116">
        <v>8.5000000000000006E-2</v>
      </c>
      <c r="T2" s="114">
        <v>0.33</v>
      </c>
    </row>
    <row r="3" spans="1:20" x14ac:dyDescent="0.25">
      <c r="A3" s="251">
        <f>EDATE(A2,3)</f>
        <v>45292</v>
      </c>
      <c r="B3" s="113" t="s">
        <v>1178</v>
      </c>
      <c r="C3" s="116">
        <v>2.5000000000000001E-2</v>
      </c>
      <c r="D3" s="114">
        <v>7.0000000000000007E-2</v>
      </c>
      <c r="E3" s="224">
        <f t="shared" ref="E3:E13" si="0">131531*D3</f>
        <v>9207.17</v>
      </c>
      <c r="F3" s="224">
        <f>GETPIVOTDATA("Sum of Unit Selling Area2",PIVOT!$A$227,"PREMIUM CATEGORY","A")*E3</f>
        <v>2709.2214363096277</v>
      </c>
      <c r="G3" s="224">
        <f>GETPIVOTDATA("Sum of Unit Selling Area2",PIVOT!$A$227,"PREMIUM CATEGORY","B")*E3</f>
        <v>3014.1242619027726</v>
      </c>
      <c r="H3" s="224">
        <f>GETPIVOTDATA("Sum of Unit Selling Area2",PIVOT!$A$227,"PREMIUM CATEGORY","C")*E3</f>
        <v>3483.8243017875998</v>
      </c>
      <c r="I3" s="224"/>
      <c r="J3" s="224">
        <f>$J$2*(1+C3)</f>
        <v>204999.99999999997</v>
      </c>
      <c r="K3" s="224">
        <f t="shared" ref="K3:K13" si="1">$K$2*(1+C3)</f>
        <v>43562.499999999993</v>
      </c>
      <c r="L3" s="224">
        <f>$L$2*(1+C3)</f>
        <v>48687.499999999993</v>
      </c>
      <c r="M3" s="224">
        <f t="shared" ref="M3:M13" si="2">AVERAGE(K3:L3)</f>
        <v>46124.999999999993</v>
      </c>
      <c r="N3" s="224">
        <f t="shared" ref="N3:N14" si="3">L3-K3</f>
        <v>5125</v>
      </c>
      <c r="O3" s="116">
        <f t="shared" ref="O3:O13" si="4">N3/K3</f>
        <v>0.11764705882352944</v>
      </c>
      <c r="P3" s="252">
        <f>K3-K2</f>
        <v>1062.4999999999927</v>
      </c>
      <c r="Q3" s="252">
        <f>N3-$N$2</f>
        <v>125</v>
      </c>
      <c r="R3" s="116">
        <f>C3-C2</f>
        <v>2.5000000000000001E-2</v>
      </c>
      <c r="S3" s="116">
        <v>8.5000000000000006E-2</v>
      </c>
      <c r="T3" s="114">
        <v>0.33</v>
      </c>
    </row>
    <row r="4" spans="1:20" x14ac:dyDescent="0.25">
      <c r="A4" s="251">
        <f t="shared" ref="A4:A13" si="5">EDATE(A3,3)</f>
        <v>45383</v>
      </c>
      <c r="B4" s="113" t="s">
        <v>1179</v>
      </c>
      <c r="C4" s="116">
        <v>0.05</v>
      </c>
      <c r="D4" s="114">
        <v>7.0000000000000007E-2</v>
      </c>
      <c r="E4" s="224">
        <f t="shared" si="0"/>
        <v>9207.17</v>
      </c>
      <c r="F4" s="224">
        <f>GETPIVOTDATA("Sum of Unit Selling Area2",PIVOT!$A$227,"PREMIUM CATEGORY","A")*E4</f>
        <v>2709.2214363096277</v>
      </c>
      <c r="G4" s="224">
        <f>GETPIVOTDATA("Sum of Unit Selling Area2",PIVOT!$A$227,"PREMIUM CATEGORY","B")*E4</f>
        <v>3014.1242619027726</v>
      </c>
      <c r="H4" s="224">
        <f>GETPIVOTDATA("Sum of Unit Selling Area2",PIVOT!$A$227,"PREMIUM CATEGORY","C")*E4</f>
        <v>3483.8243017875998</v>
      </c>
      <c r="I4" s="224"/>
      <c r="J4" s="224">
        <f t="shared" ref="J4:J13" si="6">$J$2*(1+C4)</f>
        <v>210000</v>
      </c>
      <c r="K4" s="224">
        <f t="shared" si="1"/>
        <v>44625</v>
      </c>
      <c r="L4" s="224">
        <f t="shared" ref="L4:L13" si="7">$L$2*(1+C4)</f>
        <v>49875</v>
      </c>
      <c r="M4" s="224">
        <f t="shared" si="2"/>
        <v>47250</v>
      </c>
      <c r="N4" s="224">
        <f t="shared" si="3"/>
        <v>5250</v>
      </c>
      <c r="O4" s="116">
        <f t="shared" si="4"/>
        <v>0.11764705882352941</v>
      </c>
      <c r="P4" s="252">
        <f t="shared" ref="P4:P13" si="8">K4-K3</f>
        <v>1062.5000000000073</v>
      </c>
      <c r="Q4" s="252">
        <f t="shared" ref="Q4:Q13" si="9">N4-$N$2</f>
        <v>250</v>
      </c>
      <c r="R4" s="116">
        <f t="shared" ref="R4:R13" si="10">C4-C3</f>
        <v>2.5000000000000001E-2</v>
      </c>
      <c r="S4" s="116">
        <v>8.5000000000000006E-2</v>
      </c>
      <c r="T4" s="114">
        <v>0.33</v>
      </c>
    </row>
    <row r="5" spans="1:20" x14ac:dyDescent="0.25">
      <c r="A5" s="251">
        <f t="shared" si="5"/>
        <v>45474</v>
      </c>
      <c r="B5" s="113" t="s">
        <v>1180</v>
      </c>
      <c r="C5" s="116">
        <v>7.4999999999999997E-2</v>
      </c>
      <c r="D5" s="114">
        <v>0.11</v>
      </c>
      <c r="E5" s="224">
        <f t="shared" si="0"/>
        <v>14468.41</v>
      </c>
      <c r="F5" s="224">
        <f>GETPIVOTDATA("Sum of Unit Selling Area2",PIVOT!$A$227,"PREMIUM CATEGORY","A")*E5</f>
        <v>4257.3479713437009</v>
      </c>
      <c r="G5" s="224">
        <f>GETPIVOTDATA("Sum of Unit Selling Area2",PIVOT!$A$227,"PREMIUM CATEGORY","B")*E5</f>
        <v>4736.4809829900705</v>
      </c>
      <c r="H5" s="224">
        <f>GETPIVOTDATA("Sum of Unit Selling Area2",PIVOT!$A$227,"PREMIUM CATEGORY","C")*E5</f>
        <v>5474.5810456662284</v>
      </c>
      <c r="I5" s="224"/>
      <c r="J5" s="224">
        <f t="shared" si="6"/>
        <v>215000</v>
      </c>
      <c r="K5" s="224">
        <f t="shared" si="1"/>
        <v>45687.5</v>
      </c>
      <c r="L5" s="224">
        <f t="shared" si="7"/>
        <v>51062.5</v>
      </c>
      <c r="M5" s="224">
        <f t="shared" si="2"/>
        <v>48375</v>
      </c>
      <c r="N5" s="224">
        <f t="shared" si="3"/>
        <v>5375</v>
      </c>
      <c r="O5" s="116">
        <f t="shared" si="4"/>
        <v>0.11764705882352941</v>
      </c>
      <c r="P5" s="252">
        <f t="shared" si="8"/>
        <v>1062.5</v>
      </c>
      <c r="Q5" s="252">
        <f t="shared" si="9"/>
        <v>375</v>
      </c>
      <c r="R5" s="116">
        <f t="shared" si="10"/>
        <v>2.4999999999999994E-2</v>
      </c>
      <c r="S5" s="116">
        <v>8.5000000000000006E-2</v>
      </c>
      <c r="T5" s="114">
        <v>0.33</v>
      </c>
    </row>
    <row r="6" spans="1:20" x14ac:dyDescent="0.25">
      <c r="A6" s="251">
        <f t="shared" si="5"/>
        <v>45566</v>
      </c>
      <c r="B6" s="113" t="s">
        <v>1181</v>
      </c>
      <c r="C6" s="116">
        <v>0.1</v>
      </c>
      <c r="D6" s="114">
        <v>0.08</v>
      </c>
      <c r="E6" s="224">
        <f t="shared" si="0"/>
        <v>10522.48</v>
      </c>
      <c r="F6" s="224">
        <f>GETPIVOTDATA("Sum of Unit Selling Area2",PIVOT!$A$227,"PREMIUM CATEGORY","A")*E6</f>
        <v>3096.2530700681459</v>
      </c>
      <c r="G6" s="224">
        <f>GETPIVOTDATA("Sum of Unit Selling Area2",PIVOT!$A$227,"PREMIUM CATEGORY","B")*E6</f>
        <v>3444.7134421745968</v>
      </c>
      <c r="H6" s="224">
        <f>GETPIVOTDATA("Sum of Unit Selling Area2",PIVOT!$A$227,"PREMIUM CATEGORY","C")*E6</f>
        <v>3981.5134877572568</v>
      </c>
      <c r="I6" s="224"/>
      <c r="J6" s="224">
        <f t="shared" si="6"/>
        <v>220000.00000000003</v>
      </c>
      <c r="K6" s="224">
        <f t="shared" si="1"/>
        <v>46750.000000000007</v>
      </c>
      <c r="L6" s="224">
        <f t="shared" si="7"/>
        <v>52250.000000000007</v>
      </c>
      <c r="M6" s="224">
        <f t="shared" si="2"/>
        <v>49500.000000000007</v>
      </c>
      <c r="N6" s="224">
        <f t="shared" si="3"/>
        <v>5500</v>
      </c>
      <c r="O6" s="116">
        <f t="shared" si="4"/>
        <v>0.1176470588235294</v>
      </c>
      <c r="P6" s="252">
        <f t="shared" si="8"/>
        <v>1062.5000000000073</v>
      </c>
      <c r="Q6" s="252">
        <f t="shared" si="9"/>
        <v>500</v>
      </c>
      <c r="R6" s="116">
        <f t="shared" si="10"/>
        <v>2.5000000000000008E-2</v>
      </c>
      <c r="S6" s="116">
        <v>8.5000000000000006E-2</v>
      </c>
      <c r="T6" s="114">
        <v>0.33</v>
      </c>
    </row>
    <row r="7" spans="1:20" x14ac:dyDescent="0.25">
      <c r="A7" s="251">
        <f t="shared" si="5"/>
        <v>45658</v>
      </c>
      <c r="B7" s="113" t="s">
        <v>1182</v>
      </c>
      <c r="C7" s="116">
        <v>0.14000000000000001</v>
      </c>
      <c r="D7" s="114">
        <v>7.0000000000000007E-2</v>
      </c>
      <c r="E7" s="224">
        <f t="shared" si="0"/>
        <v>9207.17</v>
      </c>
      <c r="F7" s="224">
        <f>GETPIVOTDATA("Sum of Unit Selling Area2",PIVOT!$A$227,"PREMIUM CATEGORY","A")*E7</f>
        <v>2709.2214363096277</v>
      </c>
      <c r="G7" s="224">
        <f>GETPIVOTDATA("Sum of Unit Selling Area2",PIVOT!$A$227,"PREMIUM CATEGORY","B")*E7</f>
        <v>3014.1242619027726</v>
      </c>
      <c r="H7" s="224">
        <f>GETPIVOTDATA("Sum of Unit Selling Area2",PIVOT!$A$227,"PREMIUM CATEGORY","C")*E7</f>
        <v>3483.8243017875998</v>
      </c>
      <c r="I7" s="224"/>
      <c r="J7" s="224">
        <f t="shared" si="6"/>
        <v>228000.00000000003</v>
      </c>
      <c r="K7" s="224">
        <f t="shared" si="1"/>
        <v>48450.000000000007</v>
      </c>
      <c r="L7" s="224">
        <f t="shared" si="7"/>
        <v>54150.000000000007</v>
      </c>
      <c r="M7" s="224">
        <f t="shared" si="2"/>
        <v>51300.000000000007</v>
      </c>
      <c r="N7" s="224">
        <f t="shared" si="3"/>
        <v>5700</v>
      </c>
      <c r="O7" s="116">
        <f t="shared" si="4"/>
        <v>0.1176470588235294</v>
      </c>
      <c r="P7" s="252">
        <f t="shared" si="8"/>
        <v>1700</v>
      </c>
      <c r="Q7" s="252">
        <f t="shared" si="9"/>
        <v>700</v>
      </c>
      <c r="R7" s="116">
        <f t="shared" si="10"/>
        <v>4.0000000000000008E-2</v>
      </c>
      <c r="S7" s="116">
        <v>8.5000000000000006E-2</v>
      </c>
      <c r="T7" s="114">
        <v>0.33</v>
      </c>
    </row>
    <row r="8" spans="1:20" x14ac:dyDescent="0.25">
      <c r="A8" s="251">
        <f t="shared" si="5"/>
        <v>45748</v>
      </c>
      <c r="B8" s="113" t="s">
        <v>1183</v>
      </c>
      <c r="C8" s="116">
        <v>0.18</v>
      </c>
      <c r="D8" s="114">
        <v>0.08</v>
      </c>
      <c r="E8" s="224">
        <f t="shared" si="0"/>
        <v>10522.48</v>
      </c>
      <c r="F8" s="224">
        <f>GETPIVOTDATA("Sum of Unit Selling Area2",PIVOT!$A$227,"PREMIUM CATEGORY","A")*E8</f>
        <v>3096.2530700681459</v>
      </c>
      <c r="G8" s="224">
        <f>GETPIVOTDATA("Sum of Unit Selling Area2",PIVOT!$A$227,"PREMIUM CATEGORY","B")*E8</f>
        <v>3444.7134421745968</v>
      </c>
      <c r="H8" s="224">
        <f>GETPIVOTDATA("Sum of Unit Selling Area2",PIVOT!$A$227,"PREMIUM CATEGORY","C")*E8</f>
        <v>3981.5134877572568</v>
      </c>
      <c r="I8" s="224"/>
      <c r="J8" s="224">
        <f t="shared" si="6"/>
        <v>236000</v>
      </c>
      <c r="K8" s="224">
        <f t="shared" si="1"/>
        <v>50150</v>
      </c>
      <c r="L8" s="224">
        <f t="shared" si="7"/>
        <v>56050</v>
      </c>
      <c r="M8" s="224">
        <f t="shared" si="2"/>
        <v>53100</v>
      </c>
      <c r="N8" s="224">
        <f t="shared" si="3"/>
        <v>5900</v>
      </c>
      <c r="O8" s="116">
        <f t="shared" si="4"/>
        <v>0.11764705882352941</v>
      </c>
      <c r="P8" s="252">
        <f t="shared" si="8"/>
        <v>1699.9999999999927</v>
      </c>
      <c r="Q8" s="252">
        <f t="shared" si="9"/>
        <v>900</v>
      </c>
      <c r="R8" s="116">
        <f t="shared" si="10"/>
        <v>3.999999999999998E-2</v>
      </c>
      <c r="S8" s="116">
        <v>8.5000000000000006E-2</v>
      </c>
      <c r="T8" s="114">
        <v>0.33</v>
      </c>
    </row>
    <row r="9" spans="1:20" x14ac:dyDescent="0.25">
      <c r="A9" s="251">
        <f t="shared" si="5"/>
        <v>45839</v>
      </c>
      <c r="B9" s="113" t="s">
        <v>1184</v>
      </c>
      <c r="C9" s="116">
        <v>0.22</v>
      </c>
      <c r="D9" s="114">
        <v>0.12</v>
      </c>
      <c r="E9" s="224">
        <f t="shared" si="0"/>
        <v>15783.72</v>
      </c>
      <c r="F9" s="224">
        <f>GETPIVOTDATA("Sum of Unit Selling Area2",PIVOT!$A$227,"PREMIUM CATEGORY","A")*E9</f>
        <v>4644.3796051022182</v>
      </c>
      <c r="G9" s="224">
        <f>GETPIVOTDATA("Sum of Unit Selling Area2",PIVOT!$A$227,"PREMIUM CATEGORY","B")*E9</f>
        <v>5167.0701632618957</v>
      </c>
      <c r="H9" s="224">
        <f>GETPIVOTDATA("Sum of Unit Selling Area2",PIVOT!$A$227,"PREMIUM CATEGORY","C")*E9</f>
        <v>5972.2702316358855</v>
      </c>
      <c r="I9" s="224"/>
      <c r="J9" s="224">
        <f t="shared" si="6"/>
        <v>244000</v>
      </c>
      <c r="K9" s="224">
        <f t="shared" si="1"/>
        <v>51850</v>
      </c>
      <c r="L9" s="224">
        <f t="shared" si="7"/>
        <v>57950</v>
      </c>
      <c r="M9" s="224">
        <f t="shared" si="2"/>
        <v>54900</v>
      </c>
      <c r="N9" s="224">
        <f t="shared" si="3"/>
        <v>6100</v>
      </c>
      <c r="O9" s="116">
        <f t="shared" si="4"/>
        <v>0.11764705882352941</v>
      </c>
      <c r="P9" s="252">
        <f t="shared" si="8"/>
        <v>1700</v>
      </c>
      <c r="Q9" s="252">
        <f t="shared" si="9"/>
        <v>1100</v>
      </c>
      <c r="R9" s="116">
        <f t="shared" si="10"/>
        <v>4.0000000000000008E-2</v>
      </c>
      <c r="S9" s="116">
        <v>8.5000000000000006E-2</v>
      </c>
      <c r="T9" s="114">
        <v>0.33</v>
      </c>
    </row>
    <row r="10" spans="1:20" x14ac:dyDescent="0.25">
      <c r="A10" s="251">
        <f>EDATE(A9,3)</f>
        <v>45931</v>
      </c>
      <c r="B10" s="113" t="s">
        <v>1185</v>
      </c>
      <c r="C10" s="116">
        <v>0.26</v>
      </c>
      <c r="D10" s="114">
        <v>0.08</v>
      </c>
      <c r="E10" s="224">
        <f t="shared" si="0"/>
        <v>10522.48</v>
      </c>
      <c r="F10" s="224">
        <f>GETPIVOTDATA("Sum of Unit Selling Area2",PIVOT!$A$227,"PREMIUM CATEGORY","A")*E10</f>
        <v>3096.2530700681459</v>
      </c>
      <c r="G10" s="224">
        <f>GETPIVOTDATA("Sum of Unit Selling Area2",PIVOT!$A$227,"PREMIUM CATEGORY","B")*E10</f>
        <v>3444.7134421745968</v>
      </c>
      <c r="H10" s="224">
        <f>GETPIVOTDATA("Sum of Unit Selling Area2",PIVOT!$A$227,"PREMIUM CATEGORY","C")*E10</f>
        <v>3981.5134877572568</v>
      </c>
      <c r="I10" s="224"/>
      <c r="J10" s="224">
        <f t="shared" si="6"/>
        <v>252000</v>
      </c>
      <c r="K10" s="224">
        <f t="shared" si="1"/>
        <v>53550</v>
      </c>
      <c r="L10" s="224">
        <f t="shared" si="7"/>
        <v>59850</v>
      </c>
      <c r="M10" s="224">
        <f t="shared" si="2"/>
        <v>56700</v>
      </c>
      <c r="N10" s="224">
        <f t="shared" si="3"/>
        <v>6300</v>
      </c>
      <c r="O10" s="116">
        <f t="shared" si="4"/>
        <v>0.11764705882352941</v>
      </c>
      <c r="P10" s="252">
        <f>K10-K9</f>
        <v>1700</v>
      </c>
      <c r="Q10" s="252">
        <f t="shared" si="9"/>
        <v>1300</v>
      </c>
      <c r="R10" s="116">
        <f>C10-C9</f>
        <v>4.0000000000000008E-2</v>
      </c>
      <c r="S10" s="116">
        <v>8.5000000000000006E-2</v>
      </c>
      <c r="T10" s="114">
        <v>0.33</v>
      </c>
    </row>
    <row r="11" spans="1:20" x14ac:dyDescent="0.25">
      <c r="A11" s="251">
        <f t="shared" si="5"/>
        <v>46023</v>
      </c>
      <c r="B11" s="113" t="s">
        <v>1186</v>
      </c>
      <c r="C11" s="116">
        <v>0.32</v>
      </c>
      <c r="D11" s="114">
        <v>0.03</v>
      </c>
      <c r="E11" s="224">
        <f t="shared" si="0"/>
        <v>3945.93</v>
      </c>
      <c r="F11" s="224">
        <f>GETPIVOTDATA("Sum of Unit Selling Area2",PIVOT!$A$227,"PREMIUM CATEGORY","A")*E11</f>
        <v>1161.0949012755545</v>
      </c>
      <c r="G11" s="224">
        <f>GETPIVOTDATA("Sum of Unit Selling Area2",PIVOT!$A$227,"PREMIUM CATEGORY","B")*E11</f>
        <v>1291.7675408154739</v>
      </c>
      <c r="H11" s="224">
        <f>GETPIVOTDATA("Sum of Unit Selling Area2",PIVOT!$A$227,"PREMIUM CATEGORY","C")*E11</f>
        <v>1493.0675579089714</v>
      </c>
      <c r="I11" s="224"/>
      <c r="J11" s="224">
        <f t="shared" si="6"/>
        <v>264000</v>
      </c>
      <c r="K11" s="224">
        <f t="shared" si="1"/>
        <v>56100</v>
      </c>
      <c r="L11" s="224">
        <f t="shared" si="7"/>
        <v>62700</v>
      </c>
      <c r="M11" s="224">
        <f t="shared" si="2"/>
        <v>59400</v>
      </c>
      <c r="N11" s="224">
        <f t="shared" si="3"/>
        <v>6600</v>
      </c>
      <c r="O11" s="116">
        <f t="shared" si="4"/>
        <v>0.11764705882352941</v>
      </c>
      <c r="P11" s="252">
        <f t="shared" si="8"/>
        <v>2550</v>
      </c>
      <c r="Q11" s="252">
        <f t="shared" si="9"/>
        <v>1600</v>
      </c>
      <c r="R11" s="116">
        <f t="shared" si="10"/>
        <v>0.06</v>
      </c>
      <c r="S11" s="116">
        <v>8.5000000000000006E-2</v>
      </c>
      <c r="T11" s="114">
        <v>0.33</v>
      </c>
    </row>
    <row r="12" spans="1:20" x14ac:dyDescent="0.25">
      <c r="A12" s="251">
        <f t="shared" si="5"/>
        <v>46113</v>
      </c>
      <c r="B12" s="113" t="s">
        <v>1187</v>
      </c>
      <c r="C12" s="116">
        <v>0.38</v>
      </c>
      <c r="D12" s="114">
        <v>0.03</v>
      </c>
      <c r="E12" s="224">
        <f t="shared" si="0"/>
        <v>3945.93</v>
      </c>
      <c r="F12" s="224">
        <f>GETPIVOTDATA("Sum of Unit Selling Area2",PIVOT!$A$227,"PREMIUM CATEGORY","A")*E12</f>
        <v>1161.0949012755545</v>
      </c>
      <c r="G12" s="224">
        <f>GETPIVOTDATA("Sum of Unit Selling Area2",PIVOT!$A$227,"PREMIUM CATEGORY","B")*E12</f>
        <v>1291.7675408154739</v>
      </c>
      <c r="H12" s="224">
        <f>GETPIVOTDATA("Sum of Unit Selling Area2",PIVOT!$A$227,"PREMIUM CATEGORY","C")*E12</f>
        <v>1493.0675579089714</v>
      </c>
      <c r="I12" s="224"/>
      <c r="J12" s="224">
        <f t="shared" si="6"/>
        <v>276000</v>
      </c>
      <c r="K12" s="224">
        <f t="shared" si="1"/>
        <v>58649.999999999993</v>
      </c>
      <c r="L12" s="224">
        <f t="shared" si="7"/>
        <v>65550</v>
      </c>
      <c r="M12" s="224">
        <f t="shared" si="2"/>
        <v>62100</v>
      </c>
      <c r="N12" s="224">
        <f t="shared" si="3"/>
        <v>6900.0000000000073</v>
      </c>
      <c r="O12" s="116">
        <f t="shared" si="4"/>
        <v>0.11764705882352955</v>
      </c>
      <c r="P12" s="252">
        <f t="shared" si="8"/>
        <v>2549.9999999999927</v>
      </c>
      <c r="Q12" s="252">
        <f t="shared" si="9"/>
        <v>1900.0000000000073</v>
      </c>
      <c r="R12" s="116">
        <f t="shared" si="10"/>
        <v>0.06</v>
      </c>
      <c r="S12" s="116">
        <v>8.5000000000000006E-2</v>
      </c>
      <c r="T12" s="114">
        <v>0.33</v>
      </c>
    </row>
    <row r="13" spans="1:20" x14ac:dyDescent="0.25">
      <c r="A13" s="251">
        <f t="shared" si="5"/>
        <v>46204</v>
      </c>
      <c r="B13" s="113" t="s">
        <v>1188</v>
      </c>
      <c r="C13" s="116">
        <v>0.45</v>
      </c>
      <c r="D13" s="114">
        <v>0.09</v>
      </c>
      <c r="E13" s="224">
        <f t="shared" si="0"/>
        <v>11837.789999999999</v>
      </c>
      <c r="F13" s="224">
        <f>GETPIVOTDATA("Sum of Unit Selling Area2",PIVOT!$A$227,"PREMIUM CATEGORY","A")*E13</f>
        <v>3483.2847038266636</v>
      </c>
      <c r="G13" s="224">
        <f>GETPIVOTDATA("Sum of Unit Selling Area2",PIVOT!$A$227,"PREMIUM CATEGORY","B")*E13</f>
        <v>3875.3026224464215</v>
      </c>
      <c r="H13" s="224">
        <f>GETPIVOTDATA("Sum of Unit Selling Area2",PIVOT!$A$227,"PREMIUM CATEGORY","C")*E13</f>
        <v>4479.2026737269143</v>
      </c>
      <c r="I13" s="224"/>
      <c r="J13" s="224">
        <f t="shared" si="6"/>
        <v>290000</v>
      </c>
      <c r="K13" s="224">
        <f t="shared" si="1"/>
        <v>61625</v>
      </c>
      <c r="L13" s="224">
        <f t="shared" si="7"/>
        <v>68875</v>
      </c>
      <c r="M13" s="224">
        <f t="shared" si="2"/>
        <v>65250</v>
      </c>
      <c r="N13" s="224">
        <f t="shared" si="3"/>
        <v>7250</v>
      </c>
      <c r="O13" s="116">
        <f t="shared" si="4"/>
        <v>0.11764705882352941</v>
      </c>
      <c r="P13" s="252">
        <f t="shared" si="8"/>
        <v>2975.0000000000073</v>
      </c>
      <c r="Q13" s="252">
        <f t="shared" si="9"/>
        <v>2250</v>
      </c>
      <c r="R13" s="116">
        <f t="shared" si="10"/>
        <v>7.0000000000000007E-2</v>
      </c>
      <c r="S13" s="116">
        <v>8.5000000000000006E-2</v>
      </c>
      <c r="T13" s="114">
        <v>0.33</v>
      </c>
    </row>
    <row r="14" spans="1:20" x14ac:dyDescent="0.25">
      <c r="A14" s="251">
        <f>EDATE(A8,3)</f>
        <v>45839</v>
      </c>
      <c r="B14" s="113" t="s">
        <v>1149</v>
      </c>
      <c r="C14" s="116">
        <f>C9</f>
        <v>0.22</v>
      </c>
      <c r="D14" s="114">
        <v>1</v>
      </c>
      <c r="E14" s="224">
        <v>4434</v>
      </c>
      <c r="F14" s="224">
        <v>0</v>
      </c>
      <c r="G14" s="224">
        <v>2808</v>
      </c>
      <c r="H14" s="224">
        <v>1626</v>
      </c>
      <c r="I14" s="224"/>
      <c r="J14" s="224">
        <f>J9</f>
        <v>244000</v>
      </c>
      <c r="K14" s="224">
        <f>K9+25000</f>
        <v>76850</v>
      </c>
      <c r="L14" s="224">
        <f>L9+25000</f>
        <v>82950</v>
      </c>
      <c r="M14" s="224">
        <f>M9+25000</f>
        <v>79900</v>
      </c>
      <c r="N14" s="224">
        <f t="shared" si="3"/>
        <v>6100</v>
      </c>
      <c r="O14" s="116"/>
      <c r="P14" s="252"/>
      <c r="Q14" s="252"/>
      <c r="R14" s="116"/>
      <c r="S14" s="114">
        <v>0.2</v>
      </c>
      <c r="T14" s="114">
        <v>0.33</v>
      </c>
    </row>
    <row r="15" spans="1:20" x14ac:dyDescent="0.25">
      <c r="D15" s="253"/>
      <c r="E15" s="122"/>
      <c r="F15" s="254" t="s">
        <v>1189</v>
      </c>
      <c r="G15" s="254" t="s">
        <v>1189</v>
      </c>
      <c r="H15" s="254" t="s">
        <v>1189</v>
      </c>
    </row>
    <row r="16" spans="1:20" ht="30" x14ac:dyDescent="0.25">
      <c r="A16" s="113" t="s">
        <v>202</v>
      </c>
      <c r="B16" s="113" t="s">
        <v>203</v>
      </c>
      <c r="C16" s="237" t="s">
        <v>140</v>
      </c>
      <c r="E16" s="113" t="s">
        <v>155</v>
      </c>
      <c r="F16" s="122">
        <f>F2</f>
        <v>6579.53777389481</v>
      </c>
      <c r="G16" s="122">
        <f>G2</f>
        <v>7320.0160646210188</v>
      </c>
      <c r="H16" s="122">
        <f>H2</f>
        <v>8460.7161614841716</v>
      </c>
      <c r="J16" s="116"/>
    </row>
    <row r="17" spans="1:8" x14ac:dyDescent="0.25">
      <c r="A17" s="113" t="s">
        <v>732</v>
      </c>
      <c r="B17" s="113" t="s">
        <v>218</v>
      </c>
      <c r="C17" s="190">
        <v>1</v>
      </c>
      <c r="E17" s="113" t="s">
        <v>156</v>
      </c>
      <c r="F17" s="122">
        <f t="shared" ref="F17:F27" si="11">F16+F3</f>
        <v>9288.7592102044382</v>
      </c>
      <c r="G17" s="122">
        <f t="shared" ref="G17:G27" si="12">G16+G3</f>
        <v>10334.140326523791</v>
      </c>
      <c r="H17" s="122">
        <f t="shared" ref="H17:H27" si="13">H16+H3</f>
        <v>11944.540463271771</v>
      </c>
    </row>
    <row r="18" spans="1:8" x14ac:dyDescent="0.25">
      <c r="A18" s="113" t="s">
        <v>15</v>
      </c>
      <c r="B18" s="113" t="s">
        <v>218</v>
      </c>
      <c r="C18" s="190">
        <v>1</v>
      </c>
      <c r="E18" s="113" t="s">
        <v>157</v>
      </c>
      <c r="F18" s="122">
        <f t="shared" si="11"/>
        <v>11997.980646514066</v>
      </c>
      <c r="G18" s="122">
        <f t="shared" si="12"/>
        <v>13348.264588426564</v>
      </c>
      <c r="H18" s="122">
        <f t="shared" si="13"/>
        <v>15428.36476505937</v>
      </c>
    </row>
    <row r="19" spans="1:8" x14ac:dyDescent="0.25">
      <c r="A19" s="113" t="s">
        <v>204</v>
      </c>
      <c r="B19" s="113" t="s">
        <v>219</v>
      </c>
      <c r="C19" s="190">
        <v>1</v>
      </c>
      <c r="E19" s="113" t="s">
        <v>158</v>
      </c>
      <c r="F19" s="122">
        <f t="shared" si="11"/>
        <v>16255.328617857767</v>
      </c>
      <c r="G19" s="122">
        <f t="shared" si="12"/>
        <v>18084.745571416635</v>
      </c>
      <c r="H19" s="122">
        <f t="shared" si="13"/>
        <v>20902.9458107256</v>
      </c>
    </row>
    <row r="20" spans="1:8" x14ac:dyDescent="0.25">
      <c r="A20" s="113" t="s">
        <v>205</v>
      </c>
      <c r="B20" s="113" t="s">
        <v>220</v>
      </c>
      <c r="C20" s="190">
        <v>2</v>
      </c>
      <c r="E20" s="113" t="s">
        <v>160</v>
      </c>
      <c r="F20" s="122">
        <f t="shared" si="11"/>
        <v>19351.581687925915</v>
      </c>
      <c r="G20" s="122">
        <f t="shared" si="12"/>
        <v>21529.459013591233</v>
      </c>
      <c r="H20" s="122">
        <f t="shared" si="13"/>
        <v>24884.459298482856</v>
      </c>
    </row>
    <row r="21" spans="1:8" x14ac:dyDescent="0.25">
      <c r="A21" s="113" t="s">
        <v>206</v>
      </c>
      <c r="B21" s="113" t="s">
        <v>221</v>
      </c>
      <c r="C21" s="190">
        <v>2</v>
      </c>
      <c r="E21" s="113" t="s">
        <v>161</v>
      </c>
      <c r="F21" s="122">
        <f t="shared" si="11"/>
        <v>22060.803124235543</v>
      </c>
      <c r="G21" s="122">
        <f t="shared" si="12"/>
        <v>24543.583275494006</v>
      </c>
      <c r="H21" s="122">
        <f t="shared" si="13"/>
        <v>28368.283600270457</v>
      </c>
    </row>
    <row r="22" spans="1:8" x14ac:dyDescent="0.25">
      <c r="A22" s="113" t="s">
        <v>183</v>
      </c>
      <c r="B22" s="113" t="s">
        <v>222</v>
      </c>
      <c r="C22" s="190">
        <v>2</v>
      </c>
      <c r="E22" s="113" t="s">
        <v>159</v>
      </c>
      <c r="F22" s="122">
        <f t="shared" si="11"/>
        <v>25157.056194303688</v>
      </c>
      <c r="G22" s="122">
        <f t="shared" si="12"/>
        <v>27988.296717668603</v>
      </c>
      <c r="H22" s="122">
        <f t="shared" si="13"/>
        <v>32349.797088027713</v>
      </c>
    </row>
    <row r="23" spans="1:8" x14ac:dyDescent="0.25">
      <c r="A23" s="113" t="s">
        <v>1160</v>
      </c>
      <c r="B23" s="113" t="s">
        <v>1161</v>
      </c>
      <c r="C23" s="190">
        <v>2</v>
      </c>
      <c r="E23" s="113" t="s">
        <v>164</v>
      </c>
      <c r="F23" s="122">
        <f t="shared" si="11"/>
        <v>29801.435799405906</v>
      </c>
      <c r="G23" s="122">
        <f t="shared" si="12"/>
        <v>33155.366880930502</v>
      </c>
      <c r="H23" s="122">
        <f t="shared" si="13"/>
        <v>38322.067319663598</v>
      </c>
    </row>
    <row r="24" spans="1:8" x14ac:dyDescent="0.25">
      <c r="E24" s="113" t="s">
        <v>165</v>
      </c>
      <c r="F24" s="122">
        <f t="shared" si="11"/>
        <v>32897.688869474056</v>
      </c>
      <c r="G24" s="122">
        <f t="shared" si="12"/>
        <v>36600.080323105096</v>
      </c>
      <c r="H24" s="122">
        <f t="shared" si="13"/>
        <v>42303.580807420854</v>
      </c>
    </row>
    <row r="25" spans="1:8" x14ac:dyDescent="0.25">
      <c r="E25" s="113" t="s">
        <v>162</v>
      </c>
      <c r="F25" s="122">
        <f t="shared" si="11"/>
        <v>34058.783770749607</v>
      </c>
      <c r="G25" s="122">
        <f t="shared" si="12"/>
        <v>37891.847863920571</v>
      </c>
      <c r="H25" s="122">
        <f t="shared" si="13"/>
        <v>43796.648365329827</v>
      </c>
    </row>
    <row r="26" spans="1:8" x14ac:dyDescent="0.25">
      <c r="E26" s="113" t="s">
        <v>166</v>
      </c>
      <c r="F26" s="122">
        <f t="shared" si="11"/>
        <v>35219.878672025159</v>
      </c>
      <c r="G26" s="122">
        <f t="shared" si="12"/>
        <v>39183.615404736047</v>
      </c>
      <c r="H26" s="122">
        <f t="shared" si="13"/>
        <v>45289.7159232388</v>
      </c>
    </row>
    <row r="27" spans="1:8" x14ac:dyDescent="0.25">
      <c r="E27" s="113" t="s">
        <v>163</v>
      </c>
      <c r="F27" s="122">
        <f t="shared" si="11"/>
        <v>38703.163375851822</v>
      </c>
      <c r="G27" s="122">
        <f t="shared" si="12"/>
        <v>43058.918027182466</v>
      </c>
      <c r="H27" s="122">
        <f t="shared" si="13"/>
        <v>49768.918596965712</v>
      </c>
    </row>
    <row r="28" spans="1:8" x14ac:dyDescent="0.25">
      <c r="F28" s="122"/>
    </row>
    <row r="29" spans="1:8" ht="28.5" customHeight="1" x14ac:dyDescent="0.25"/>
  </sheetData>
  <conditionalFormatting sqref="J2:J14 J16">
    <cfRule type="colorScale" priority="2">
      <colorScale>
        <cfvo type="min"/>
        <cfvo type="percentile" val="50"/>
        <cfvo type="max"/>
        <color rgb="FF63BE7B"/>
        <color rgb="FFFFEB84"/>
        <color rgb="FFF8696B"/>
      </colorScale>
    </cfRule>
  </conditionalFormatting>
  <conditionalFormatting sqref="K2:K14 L14:M14">
    <cfRule type="colorScale" priority="11">
      <colorScale>
        <cfvo type="min"/>
        <cfvo type="percentile" val="50"/>
        <cfvo type="max"/>
        <color rgb="FF63BE7B"/>
        <color rgb="FFFFEB84"/>
        <color rgb="FFF8696B"/>
      </colorScale>
    </cfRule>
  </conditionalFormatting>
  <conditionalFormatting sqref="L2:L13">
    <cfRule type="colorScale" priority="10">
      <colorScale>
        <cfvo type="min"/>
        <cfvo type="percentile" val="50"/>
        <cfvo type="max"/>
        <color rgb="FF63BE7B"/>
        <color rgb="FFFFEB84"/>
        <color rgb="FFF8696B"/>
      </colorScale>
    </cfRule>
  </conditionalFormatting>
  <conditionalFormatting sqref="M2:M13">
    <cfRule type="colorScale" priority="9">
      <colorScale>
        <cfvo type="min"/>
        <cfvo type="percentile" val="50"/>
        <cfvo type="max"/>
        <color rgb="FF63BE7B"/>
        <color rgb="FFFFEB84"/>
        <color rgb="FFF8696B"/>
      </colorScale>
    </cfRule>
  </conditionalFormatting>
  <conditionalFormatting sqref="N2:N14">
    <cfRule type="colorScale" priority="8">
      <colorScale>
        <cfvo type="min"/>
        <cfvo type="percentile" val="50"/>
        <cfvo type="max"/>
        <color rgb="FF63BE7B"/>
        <color rgb="FFFFEB84"/>
        <color rgb="FFF8696B"/>
      </colorScale>
    </cfRule>
  </conditionalFormatting>
  <conditionalFormatting sqref="O2:O14">
    <cfRule type="colorScale" priority="3">
      <colorScale>
        <cfvo type="min"/>
        <cfvo type="percentile" val="50"/>
        <cfvo type="max"/>
        <color rgb="FF63BE7B"/>
        <color rgb="FFFFEB84"/>
        <color rgb="FFF8696B"/>
      </colorScale>
    </cfRule>
  </conditionalFormatting>
  <conditionalFormatting sqref="P2:P14">
    <cfRule type="colorScale" priority="7">
      <colorScale>
        <cfvo type="min"/>
        <cfvo type="percentile" val="50"/>
        <cfvo type="max"/>
        <color rgb="FF63BE7B"/>
        <color rgb="FFFFEB84"/>
        <color rgb="FFF8696B"/>
      </colorScale>
    </cfRule>
  </conditionalFormatting>
  <conditionalFormatting sqref="Q2:Q14">
    <cfRule type="colorScale" priority="6">
      <colorScale>
        <cfvo type="min"/>
        <cfvo type="percentile" val="50"/>
        <cfvo type="max"/>
        <color rgb="FF63BE7B"/>
        <color rgb="FFFFEB84"/>
        <color rgb="FFF8696B"/>
      </colorScale>
    </cfRule>
  </conditionalFormatting>
  <conditionalFormatting sqref="R2:R14">
    <cfRule type="colorScale" priority="5">
      <colorScale>
        <cfvo type="min"/>
        <cfvo type="percentile" val="50"/>
        <cfvo type="max"/>
        <color rgb="FF63BE7B"/>
        <color rgb="FFFFEB84"/>
        <color rgb="FFF8696B"/>
      </colorScale>
    </cfRule>
  </conditionalFormatting>
  <conditionalFormatting sqref="S2:S14">
    <cfRule type="colorScale" priority="4">
      <colorScale>
        <cfvo type="min"/>
        <cfvo type="percentile" val="50"/>
        <cfvo type="max"/>
        <color rgb="FF63BE7B"/>
        <color rgb="FFFFEB84"/>
        <color rgb="FFF8696B"/>
      </colorScale>
    </cfRule>
  </conditionalFormatting>
  <conditionalFormatting sqref="T2:T14">
    <cfRule type="colorScale" priority="1">
      <colorScale>
        <cfvo type="min"/>
        <cfvo type="percentile" val="50"/>
        <cfvo type="max"/>
        <color rgb="FF63BE7B"/>
        <color rgb="FFFFEB84"/>
        <color rgb="FFF8696B"/>
      </colorScale>
    </cfRule>
  </conditionalFormatting>
  <pageMargins left="0.25" right="0.25" top="0.75" bottom="0.75" header="0.3" footer="0.3"/>
  <pageSetup paperSize="9" scale="90" fitToHeight="2"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5772A-A3FA-4F88-8779-4E72CCA829DE}">
  <dimension ref="F3:H227"/>
  <sheetViews>
    <sheetView view="pageBreakPreview" topLeftCell="A162" zoomScaleNormal="100" zoomScaleSheetLayoutView="100" workbookViewId="0">
      <selection activeCell="H176" sqref="H176"/>
    </sheetView>
  </sheetViews>
  <sheetFormatPr defaultRowHeight="15" x14ac:dyDescent="0.25"/>
  <cols>
    <col min="1" max="5" width="9.140625" style="79"/>
    <col min="6" max="6" width="10.28515625" style="79" bestFit="1" customWidth="1"/>
    <col min="7" max="7" width="28" style="79" bestFit="1" customWidth="1"/>
    <col min="8" max="8" width="11.5703125" style="79" bestFit="1" customWidth="1"/>
    <col min="9" max="16384" width="9.140625" style="79"/>
  </cols>
  <sheetData>
    <row r="3" spans="7:8" x14ac:dyDescent="0.25">
      <c r="G3" s="517" t="s">
        <v>144</v>
      </c>
      <c r="H3" s="517"/>
    </row>
    <row r="4" spans="7:8" x14ac:dyDescent="0.25">
      <c r="G4" s="113" t="s">
        <v>145</v>
      </c>
      <c r="H4" s="113" t="s">
        <v>146</v>
      </c>
    </row>
    <row r="5" spans="7:8" x14ac:dyDescent="0.25">
      <c r="G5" s="113" t="s">
        <v>147</v>
      </c>
      <c r="H5" s="114">
        <v>0.05</v>
      </c>
    </row>
    <row r="6" spans="7:8" x14ac:dyDescent="0.25">
      <c r="G6" s="113" t="s">
        <v>148</v>
      </c>
      <c r="H6" s="114">
        <v>7.0000000000000007E-2</v>
      </c>
    </row>
    <row r="7" spans="7:8" x14ac:dyDescent="0.25">
      <c r="G7" s="113" t="s">
        <v>149</v>
      </c>
      <c r="H7" s="114">
        <v>0.11</v>
      </c>
    </row>
    <row r="8" spans="7:8" x14ac:dyDescent="0.25">
      <c r="G8" s="113" t="s">
        <v>150</v>
      </c>
      <c r="H8" s="114">
        <v>0.15</v>
      </c>
    </row>
    <row r="9" spans="7:8" x14ac:dyDescent="0.25">
      <c r="G9" s="113" t="s">
        <v>151</v>
      </c>
      <c r="H9" s="114">
        <v>0.06</v>
      </c>
    </row>
    <row r="11" spans="7:8" x14ac:dyDescent="0.25">
      <c r="G11" s="517" t="s">
        <v>152</v>
      </c>
      <c r="H11" s="517"/>
    </row>
    <row r="12" spans="7:8" x14ac:dyDescent="0.25">
      <c r="G12" s="113" t="s">
        <v>153</v>
      </c>
      <c r="H12" s="113" t="s">
        <v>154</v>
      </c>
    </row>
    <row r="13" spans="7:8" x14ac:dyDescent="0.25">
      <c r="G13" s="113" t="s">
        <v>17</v>
      </c>
      <c r="H13" s="113" t="s">
        <v>155</v>
      </c>
    </row>
    <row r="14" spans="7:8" x14ac:dyDescent="0.25">
      <c r="G14" s="113" t="s">
        <v>19</v>
      </c>
      <c r="H14" s="113" t="s">
        <v>156</v>
      </c>
    </row>
    <row r="15" spans="7:8" x14ac:dyDescent="0.25">
      <c r="G15" s="113" t="s">
        <v>20</v>
      </c>
      <c r="H15" s="113" t="s">
        <v>156</v>
      </c>
    </row>
    <row r="16" spans="7:8" x14ac:dyDescent="0.25">
      <c r="G16" s="113" t="s">
        <v>21</v>
      </c>
      <c r="H16" s="113" t="s">
        <v>155</v>
      </c>
    </row>
    <row r="17" spans="7:8" x14ac:dyDescent="0.25">
      <c r="G17" s="113" t="s">
        <v>42</v>
      </c>
      <c r="H17" s="113" t="s">
        <v>157</v>
      </c>
    </row>
    <row r="18" spans="7:8" x14ac:dyDescent="0.25">
      <c r="G18" s="113" t="s">
        <v>31</v>
      </c>
      <c r="H18" s="113" t="s">
        <v>158</v>
      </c>
    </row>
    <row r="19" spans="7:8" x14ac:dyDescent="0.25">
      <c r="G19" s="113" t="s">
        <v>33</v>
      </c>
      <c r="H19" s="113" t="s">
        <v>158</v>
      </c>
    </row>
    <row r="20" spans="7:8" x14ac:dyDescent="0.25">
      <c r="G20" s="113" t="s">
        <v>46</v>
      </c>
      <c r="H20" s="113" t="s">
        <v>157</v>
      </c>
    </row>
    <row r="21" spans="7:8" x14ac:dyDescent="0.25">
      <c r="G21" s="113" t="s">
        <v>49</v>
      </c>
      <c r="H21" s="113" t="s">
        <v>158</v>
      </c>
    </row>
    <row r="22" spans="7:8" x14ac:dyDescent="0.25">
      <c r="G22" s="113" t="s">
        <v>37</v>
      </c>
      <c r="H22" s="113" t="s">
        <v>159</v>
      </c>
    </row>
    <row r="23" spans="7:8" x14ac:dyDescent="0.25">
      <c r="G23" s="113" t="s">
        <v>38</v>
      </c>
      <c r="H23" s="113" t="s">
        <v>157</v>
      </c>
    </row>
    <row r="24" spans="7:8" x14ac:dyDescent="0.25">
      <c r="G24" s="113" t="s">
        <v>88</v>
      </c>
      <c r="H24" s="113" t="s">
        <v>160</v>
      </c>
    </row>
    <row r="25" spans="7:8" x14ac:dyDescent="0.25">
      <c r="G25" s="113" t="s">
        <v>87</v>
      </c>
      <c r="H25" s="113" t="s">
        <v>161</v>
      </c>
    </row>
    <row r="26" spans="7:8" x14ac:dyDescent="0.25">
      <c r="G26" s="113" t="s">
        <v>86</v>
      </c>
      <c r="H26" s="113" t="s">
        <v>162</v>
      </c>
    </row>
    <row r="27" spans="7:8" x14ac:dyDescent="0.25">
      <c r="G27" s="113" t="s">
        <v>106</v>
      </c>
      <c r="H27" s="113" t="s">
        <v>156</v>
      </c>
    </row>
    <row r="28" spans="7:8" x14ac:dyDescent="0.25">
      <c r="G28" s="113" t="s">
        <v>107</v>
      </c>
      <c r="H28" s="113" t="s">
        <v>159</v>
      </c>
    </row>
    <row r="29" spans="7:8" x14ac:dyDescent="0.25">
      <c r="G29" s="113" t="s">
        <v>108</v>
      </c>
      <c r="H29" s="113" t="s">
        <v>161</v>
      </c>
    </row>
    <row r="30" spans="7:8" x14ac:dyDescent="0.25">
      <c r="G30" s="113" t="s">
        <v>109</v>
      </c>
      <c r="H30" s="113" t="s">
        <v>163</v>
      </c>
    </row>
    <row r="31" spans="7:8" x14ac:dyDescent="0.25">
      <c r="G31" s="113" t="s">
        <v>110</v>
      </c>
      <c r="H31" s="113" t="s">
        <v>162</v>
      </c>
    </row>
    <row r="32" spans="7:8" x14ac:dyDescent="0.25">
      <c r="G32" s="113" t="s">
        <v>111</v>
      </c>
      <c r="H32" s="113" t="s">
        <v>164</v>
      </c>
    </row>
    <row r="33" spans="7:8" x14ac:dyDescent="0.25">
      <c r="G33" s="113" t="s">
        <v>112</v>
      </c>
      <c r="H33" s="113" t="s">
        <v>160</v>
      </c>
    </row>
    <row r="34" spans="7:8" x14ac:dyDescent="0.25">
      <c r="G34" s="113" t="s">
        <v>113</v>
      </c>
      <c r="H34" s="113" t="s">
        <v>155</v>
      </c>
    </row>
    <row r="35" spans="7:8" x14ac:dyDescent="0.25">
      <c r="G35" s="113" t="s">
        <v>114</v>
      </c>
      <c r="H35" s="113" t="s">
        <v>156</v>
      </c>
    </row>
    <row r="36" spans="7:8" x14ac:dyDescent="0.25">
      <c r="G36" s="113" t="s">
        <v>115</v>
      </c>
      <c r="H36" s="113" t="s">
        <v>155</v>
      </c>
    </row>
    <row r="37" spans="7:8" x14ac:dyDescent="0.25">
      <c r="G37" s="113" t="s">
        <v>116</v>
      </c>
      <c r="H37" s="113" t="s">
        <v>165</v>
      </c>
    </row>
    <row r="38" spans="7:8" x14ac:dyDescent="0.25">
      <c r="G38" s="113" t="s">
        <v>117</v>
      </c>
      <c r="H38" s="113" t="s">
        <v>163</v>
      </c>
    </row>
    <row r="39" spans="7:8" x14ac:dyDescent="0.25">
      <c r="G39" s="113" t="s">
        <v>118</v>
      </c>
      <c r="H39" s="113" t="s">
        <v>162</v>
      </c>
    </row>
    <row r="40" spans="7:8" x14ac:dyDescent="0.25">
      <c r="G40" s="113" t="s">
        <v>59</v>
      </c>
      <c r="H40" s="113" t="s">
        <v>162</v>
      </c>
    </row>
    <row r="41" spans="7:8" x14ac:dyDescent="0.25">
      <c r="G41" s="113" t="s">
        <v>58</v>
      </c>
      <c r="H41" s="113" t="s">
        <v>164</v>
      </c>
    </row>
    <row r="42" spans="7:8" x14ac:dyDescent="0.25">
      <c r="G42" s="113" t="s">
        <v>56</v>
      </c>
      <c r="H42" s="113" t="s">
        <v>166</v>
      </c>
    </row>
    <row r="43" spans="7:8" x14ac:dyDescent="0.25">
      <c r="G43" s="113" t="s">
        <v>63</v>
      </c>
      <c r="H43" s="113" t="s">
        <v>163</v>
      </c>
    </row>
    <row r="44" spans="7:8" x14ac:dyDescent="0.25">
      <c r="G44" s="113" t="s">
        <v>62</v>
      </c>
      <c r="H44" s="113" t="s">
        <v>165</v>
      </c>
    </row>
    <row r="45" spans="7:8" x14ac:dyDescent="0.25">
      <c r="G45" s="113" t="s">
        <v>119</v>
      </c>
      <c r="H45" s="113" t="s">
        <v>166</v>
      </c>
    </row>
    <row r="46" spans="7:8" x14ac:dyDescent="0.25">
      <c r="G46" s="113" t="s">
        <v>73</v>
      </c>
      <c r="H46" s="113" t="s">
        <v>161</v>
      </c>
    </row>
    <row r="47" spans="7:8" x14ac:dyDescent="0.25">
      <c r="G47" s="113" t="s">
        <v>72</v>
      </c>
      <c r="H47" s="113" t="s">
        <v>166</v>
      </c>
    </row>
    <row r="48" spans="7:8" x14ac:dyDescent="0.25">
      <c r="G48" s="113" t="s">
        <v>78</v>
      </c>
      <c r="H48" s="113" t="s">
        <v>166</v>
      </c>
    </row>
    <row r="49" spans="7:8" x14ac:dyDescent="0.25">
      <c r="G49" s="113" t="s">
        <v>77</v>
      </c>
      <c r="H49" s="113" t="s">
        <v>164</v>
      </c>
    </row>
    <row r="50" spans="7:8" x14ac:dyDescent="0.25">
      <c r="G50" s="113" t="s">
        <v>76</v>
      </c>
      <c r="H50" s="113" t="s">
        <v>159</v>
      </c>
    </row>
    <row r="51" spans="7:8" x14ac:dyDescent="0.25">
      <c r="G51" s="113" t="s">
        <v>167</v>
      </c>
      <c r="H51" s="113" t="s">
        <v>159</v>
      </c>
    </row>
    <row r="52" spans="7:8" x14ac:dyDescent="0.25">
      <c r="G52" s="113" t="s">
        <v>168</v>
      </c>
      <c r="H52" s="113" t="s">
        <v>164</v>
      </c>
    </row>
    <row r="53" spans="7:8" x14ac:dyDescent="0.25">
      <c r="G53" s="113" t="s">
        <v>169</v>
      </c>
      <c r="H53" s="113" t="s">
        <v>165</v>
      </c>
    </row>
    <row r="54" spans="7:8" x14ac:dyDescent="0.25">
      <c r="G54" s="113" t="s">
        <v>170</v>
      </c>
      <c r="H54" s="113" t="s">
        <v>165</v>
      </c>
    </row>
    <row r="55" spans="7:8" x14ac:dyDescent="0.25">
      <c r="G55" s="113" t="s">
        <v>171</v>
      </c>
      <c r="H55" s="113" t="s">
        <v>161</v>
      </c>
    </row>
    <row r="56" spans="7:8" x14ac:dyDescent="0.25">
      <c r="G56" s="113"/>
      <c r="H56" s="113"/>
    </row>
    <row r="57" spans="7:8" x14ac:dyDescent="0.25">
      <c r="G57" s="517" t="s">
        <v>121</v>
      </c>
      <c r="H57" s="517"/>
    </row>
    <row r="58" spans="7:8" x14ac:dyDescent="0.25">
      <c r="G58" s="113" t="s">
        <v>153</v>
      </c>
      <c r="H58" s="113" t="s">
        <v>154</v>
      </c>
    </row>
    <row r="59" spans="7:8" x14ac:dyDescent="0.25">
      <c r="G59" s="113" t="s">
        <v>17</v>
      </c>
      <c r="H59" s="113" t="s">
        <v>224</v>
      </c>
    </row>
    <row r="60" spans="7:8" x14ac:dyDescent="0.25">
      <c r="G60" s="113" t="s">
        <v>19</v>
      </c>
      <c r="H60" s="113" t="s">
        <v>223</v>
      </c>
    </row>
    <row r="61" spans="7:8" x14ac:dyDescent="0.25">
      <c r="G61" s="113" t="s">
        <v>20</v>
      </c>
      <c r="H61" s="113" t="s">
        <v>223</v>
      </c>
    </row>
    <row r="62" spans="7:8" x14ac:dyDescent="0.25">
      <c r="G62" s="113" t="s">
        <v>21</v>
      </c>
      <c r="H62" s="113" t="s">
        <v>224</v>
      </c>
    </row>
    <row r="63" spans="7:8" x14ac:dyDescent="0.25">
      <c r="G63" s="113" t="s">
        <v>26</v>
      </c>
      <c r="H63" s="113" t="s">
        <v>224</v>
      </c>
    </row>
    <row r="64" spans="7:8" x14ac:dyDescent="0.25">
      <c r="G64" s="113" t="s">
        <v>27</v>
      </c>
      <c r="H64" s="113" t="s">
        <v>223</v>
      </c>
    </row>
    <row r="65" spans="7:8" x14ac:dyDescent="0.25">
      <c r="G65" s="113" t="s">
        <v>28</v>
      </c>
      <c r="H65" s="113" t="s">
        <v>223</v>
      </c>
    </row>
    <row r="66" spans="7:8" x14ac:dyDescent="0.25">
      <c r="G66" s="113" t="s">
        <v>29</v>
      </c>
      <c r="H66" s="113" t="s">
        <v>224</v>
      </c>
    </row>
    <row r="67" spans="7:8" x14ac:dyDescent="0.25">
      <c r="G67" s="113" t="s">
        <v>42</v>
      </c>
      <c r="H67" s="113" t="s">
        <v>224</v>
      </c>
    </row>
    <row r="68" spans="7:8" x14ac:dyDescent="0.25">
      <c r="G68" s="113" t="s">
        <v>31</v>
      </c>
      <c r="H68" s="113" t="s">
        <v>224</v>
      </c>
    </row>
    <row r="69" spans="7:8" x14ac:dyDescent="0.25">
      <c r="G69" s="113" t="s">
        <v>33</v>
      </c>
      <c r="H69" s="113" t="s">
        <v>224</v>
      </c>
    </row>
    <row r="70" spans="7:8" x14ac:dyDescent="0.25">
      <c r="G70" s="113" t="s">
        <v>46</v>
      </c>
      <c r="H70" s="113" t="s">
        <v>223</v>
      </c>
    </row>
    <row r="71" spans="7:8" x14ac:dyDescent="0.25">
      <c r="G71" s="113" t="s">
        <v>45</v>
      </c>
      <c r="H71" s="113" t="s">
        <v>225</v>
      </c>
    </row>
    <row r="72" spans="7:8" x14ac:dyDescent="0.25">
      <c r="G72" s="113" t="s">
        <v>54</v>
      </c>
      <c r="H72" s="113" t="s">
        <v>225</v>
      </c>
    </row>
    <row r="73" spans="7:8" x14ac:dyDescent="0.25">
      <c r="G73" s="113" t="s">
        <v>53</v>
      </c>
      <c r="H73" s="113" t="s">
        <v>223</v>
      </c>
    </row>
    <row r="74" spans="7:8" x14ac:dyDescent="0.25">
      <c r="G74" s="113" t="s">
        <v>52</v>
      </c>
      <c r="H74" s="113" t="s">
        <v>224</v>
      </c>
    </row>
    <row r="75" spans="7:8" x14ac:dyDescent="0.25">
      <c r="G75" s="113" t="s">
        <v>69</v>
      </c>
      <c r="H75" s="113" t="s">
        <v>224</v>
      </c>
    </row>
    <row r="76" spans="7:8" x14ac:dyDescent="0.25">
      <c r="G76" s="113" t="s">
        <v>105</v>
      </c>
      <c r="H76" s="113" t="s">
        <v>223</v>
      </c>
    </row>
    <row r="77" spans="7:8" x14ac:dyDescent="0.25">
      <c r="G77" s="113" t="s">
        <v>67</v>
      </c>
      <c r="H77" s="113" t="s">
        <v>224</v>
      </c>
    </row>
    <row r="78" spans="7:8" x14ac:dyDescent="0.25">
      <c r="G78" s="113" t="s">
        <v>83</v>
      </c>
      <c r="H78" s="113" t="s">
        <v>224</v>
      </c>
    </row>
    <row r="79" spans="7:8" x14ac:dyDescent="0.25">
      <c r="G79" s="113" t="s">
        <v>82</v>
      </c>
      <c r="H79" s="113" t="s">
        <v>223</v>
      </c>
    </row>
    <row r="80" spans="7:8" x14ac:dyDescent="0.25">
      <c r="G80" s="113" t="s">
        <v>81</v>
      </c>
      <c r="H80" s="113" t="s">
        <v>225</v>
      </c>
    </row>
    <row r="81" spans="7:8" x14ac:dyDescent="0.25">
      <c r="G81" s="113" t="s">
        <v>93</v>
      </c>
      <c r="H81" s="113" t="s">
        <v>225</v>
      </c>
    </row>
    <row r="82" spans="7:8" x14ac:dyDescent="0.25">
      <c r="G82" s="113" t="s">
        <v>92</v>
      </c>
      <c r="H82" s="113" t="s">
        <v>223</v>
      </c>
    </row>
    <row r="83" spans="7:8" x14ac:dyDescent="0.25">
      <c r="G83" s="113" t="s">
        <v>91</v>
      </c>
      <c r="H83" s="113" t="s">
        <v>224</v>
      </c>
    </row>
    <row r="84" spans="7:8" x14ac:dyDescent="0.25">
      <c r="G84" s="113" t="s">
        <v>97</v>
      </c>
      <c r="H84" s="113" t="s">
        <v>224</v>
      </c>
    </row>
    <row r="85" spans="7:8" x14ac:dyDescent="0.25">
      <c r="G85" s="113" t="s">
        <v>96</v>
      </c>
      <c r="H85" s="113" t="s">
        <v>224</v>
      </c>
    </row>
    <row r="86" spans="7:8" x14ac:dyDescent="0.25">
      <c r="G86" s="113" t="s">
        <v>49</v>
      </c>
      <c r="H86" s="113" t="s">
        <v>224</v>
      </c>
    </row>
    <row r="87" spans="7:8" x14ac:dyDescent="0.25">
      <c r="G87" s="113" t="s">
        <v>37</v>
      </c>
      <c r="H87" s="113" t="s">
        <v>223</v>
      </c>
    </row>
    <row r="88" spans="7:8" x14ac:dyDescent="0.25">
      <c r="G88" s="113" t="s">
        <v>38</v>
      </c>
      <c r="H88" s="113" t="s">
        <v>224</v>
      </c>
    </row>
    <row r="89" spans="7:8" x14ac:dyDescent="0.25">
      <c r="G89" s="113" t="s">
        <v>88</v>
      </c>
      <c r="H89" s="113" t="s">
        <v>224</v>
      </c>
    </row>
    <row r="90" spans="7:8" x14ac:dyDescent="0.25">
      <c r="G90" s="113" t="s">
        <v>87</v>
      </c>
      <c r="H90" s="113" t="s">
        <v>223</v>
      </c>
    </row>
    <row r="91" spans="7:8" x14ac:dyDescent="0.25">
      <c r="G91" s="113" t="s">
        <v>86</v>
      </c>
      <c r="H91" s="113" t="s">
        <v>224</v>
      </c>
    </row>
    <row r="92" spans="7:8" x14ac:dyDescent="0.25">
      <c r="G92" s="113" t="s">
        <v>59</v>
      </c>
      <c r="H92" s="113" t="s">
        <v>38</v>
      </c>
    </row>
    <row r="93" spans="7:8" x14ac:dyDescent="0.25">
      <c r="G93" s="113" t="s">
        <v>58</v>
      </c>
      <c r="H93" s="113" t="s">
        <v>38</v>
      </c>
    </row>
    <row r="94" spans="7:8" x14ac:dyDescent="0.25">
      <c r="G94" s="113" t="s">
        <v>56</v>
      </c>
      <c r="H94" s="113" t="s">
        <v>38</v>
      </c>
    </row>
    <row r="95" spans="7:8" x14ac:dyDescent="0.25">
      <c r="G95" s="113" t="s">
        <v>63</v>
      </c>
      <c r="H95" s="113" t="s">
        <v>38</v>
      </c>
    </row>
    <row r="96" spans="7:8" x14ac:dyDescent="0.25">
      <c r="G96" s="113" t="s">
        <v>62</v>
      </c>
      <c r="H96" s="113" t="s">
        <v>38</v>
      </c>
    </row>
    <row r="97" spans="7:8" x14ac:dyDescent="0.25">
      <c r="G97" s="113" t="s">
        <v>73</v>
      </c>
      <c r="H97" s="113" t="s">
        <v>38</v>
      </c>
    </row>
    <row r="98" spans="7:8" x14ac:dyDescent="0.25">
      <c r="G98" s="113" t="s">
        <v>72</v>
      </c>
      <c r="H98" s="113" t="s">
        <v>38</v>
      </c>
    </row>
    <row r="99" spans="7:8" x14ac:dyDescent="0.25">
      <c r="G99" s="113" t="s">
        <v>78</v>
      </c>
      <c r="H99" s="113" t="s">
        <v>38</v>
      </c>
    </row>
    <row r="100" spans="7:8" x14ac:dyDescent="0.25">
      <c r="G100" s="113" t="s">
        <v>77</v>
      </c>
      <c r="H100" s="113" t="s">
        <v>38</v>
      </c>
    </row>
    <row r="101" spans="7:8" x14ac:dyDescent="0.25">
      <c r="G101" s="113" t="s">
        <v>76</v>
      </c>
      <c r="H101" s="113" t="s">
        <v>38</v>
      </c>
    </row>
    <row r="102" spans="7:8" x14ac:dyDescent="0.25">
      <c r="G102" s="113"/>
      <c r="H102" s="113"/>
    </row>
    <row r="103" spans="7:8" x14ac:dyDescent="0.25">
      <c r="G103" s="113"/>
      <c r="H103" s="113"/>
    </row>
    <row r="105" spans="7:8" x14ac:dyDescent="0.25">
      <c r="G105" s="517" t="s">
        <v>172</v>
      </c>
      <c r="H105" s="517"/>
    </row>
    <row r="106" spans="7:8" x14ac:dyDescent="0.25">
      <c r="G106" s="113" t="s">
        <v>153</v>
      </c>
      <c r="H106" s="113" t="s">
        <v>154</v>
      </c>
    </row>
    <row r="107" spans="7:8" x14ac:dyDescent="0.25">
      <c r="G107" s="113" t="s">
        <v>17</v>
      </c>
      <c r="H107" s="113" t="s">
        <v>49</v>
      </c>
    </row>
    <row r="108" spans="7:8" x14ac:dyDescent="0.25">
      <c r="G108" s="113" t="s">
        <v>19</v>
      </c>
      <c r="H108" s="113" t="s">
        <v>49</v>
      </c>
    </row>
    <row r="109" spans="7:8" x14ac:dyDescent="0.25">
      <c r="G109" s="113" t="s">
        <v>20</v>
      </c>
      <c r="H109" s="113" t="s">
        <v>49</v>
      </c>
    </row>
    <row r="110" spans="7:8" x14ac:dyDescent="0.25">
      <c r="G110" s="113" t="s">
        <v>21</v>
      </c>
      <c r="H110" s="113" t="s">
        <v>49</v>
      </c>
    </row>
    <row r="111" spans="7:8" x14ac:dyDescent="0.25">
      <c r="G111" s="113" t="s">
        <v>26</v>
      </c>
      <c r="H111" s="113" t="s">
        <v>49</v>
      </c>
    </row>
    <row r="112" spans="7:8" x14ac:dyDescent="0.25">
      <c r="G112" s="113" t="s">
        <v>27</v>
      </c>
      <c r="H112" s="113" t="s">
        <v>49</v>
      </c>
    </row>
    <row r="113" spans="7:8" x14ac:dyDescent="0.25">
      <c r="G113" s="113" t="s">
        <v>28</v>
      </c>
      <c r="H113" s="113" t="s">
        <v>49</v>
      </c>
    </row>
    <row r="114" spans="7:8" x14ac:dyDescent="0.25">
      <c r="G114" s="113" t="s">
        <v>29</v>
      </c>
      <c r="H114" s="113" t="s">
        <v>49</v>
      </c>
    </row>
    <row r="115" spans="7:8" x14ac:dyDescent="0.25">
      <c r="G115" s="113" t="s">
        <v>42</v>
      </c>
      <c r="H115" s="113" t="s">
        <v>49</v>
      </c>
    </row>
    <row r="116" spans="7:8" x14ac:dyDescent="0.25">
      <c r="G116" s="113" t="s">
        <v>31</v>
      </c>
      <c r="H116" s="113" t="s">
        <v>49</v>
      </c>
    </row>
    <row r="117" spans="7:8" x14ac:dyDescent="0.25">
      <c r="G117" s="113" t="s">
        <v>33</v>
      </c>
      <c r="H117" s="113" t="s">
        <v>49</v>
      </c>
    </row>
    <row r="118" spans="7:8" x14ac:dyDescent="0.25">
      <c r="G118" s="113" t="s">
        <v>46</v>
      </c>
      <c r="H118" s="113" t="s">
        <v>49</v>
      </c>
    </row>
    <row r="119" spans="7:8" x14ac:dyDescent="0.25">
      <c r="G119" s="113" t="s">
        <v>45</v>
      </c>
      <c r="H119" s="113" t="s">
        <v>49</v>
      </c>
    </row>
    <row r="120" spans="7:8" x14ac:dyDescent="0.25">
      <c r="G120" s="113" t="s">
        <v>54</v>
      </c>
      <c r="H120" s="113" t="s">
        <v>37</v>
      </c>
    </row>
    <row r="121" spans="7:8" x14ac:dyDescent="0.25">
      <c r="G121" s="113" t="s">
        <v>53</v>
      </c>
      <c r="H121" s="113" t="s">
        <v>37</v>
      </c>
    </row>
    <row r="122" spans="7:8" x14ac:dyDescent="0.25">
      <c r="G122" s="113" t="s">
        <v>52</v>
      </c>
      <c r="H122" s="113" t="s">
        <v>37</v>
      </c>
    </row>
    <row r="123" spans="7:8" x14ac:dyDescent="0.25">
      <c r="G123" s="113" t="s">
        <v>69</v>
      </c>
      <c r="H123" s="113" t="s">
        <v>37</v>
      </c>
    </row>
    <row r="124" spans="7:8" x14ac:dyDescent="0.25">
      <c r="G124" s="113" t="s">
        <v>105</v>
      </c>
      <c r="H124" s="113" t="s">
        <v>37</v>
      </c>
    </row>
    <row r="125" spans="7:8" x14ac:dyDescent="0.25">
      <c r="G125" s="113" t="s">
        <v>67</v>
      </c>
      <c r="H125" s="113" t="s">
        <v>37</v>
      </c>
    </row>
    <row r="126" spans="7:8" x14ac:dyDescent="0.25">
      <c r="G126" s="113" t="s">
        <v>83</v>
      </c>
      <c r="H126" s="113" t="s">
        <v>37</v>
      </c>
    </row>
    <row r="127" spans="7:8" x14ac:dyDescent="0.25">
      <c r="G127" s="113" t="s">
        <v>82</v>
      </c>
      <c r="H127" s="113" t="s">
        <v>37</v>
      </c>
    </row>
    <row r="128" spans="7:8" x14ac:dyDescent="0.25">
      <c r="G128" s="113" t="s">
        <v>81</v>
      </c>
      <c r="H128" s="113" t="s">
        <v>37</v>
      </c>
    </row>
    <row r="129" spans="7:8" x14ac:dyDescent="0.25">
      <c r="G129" s="113" t="s">
        <v>93</v>
      </c>
      <c r="H129" s="113" t="s">
        <v>49</v>
      </c>
    </row>
    <row r="130" spans="7:8" x14ac:dyDescent="0.25">
      <c r="G130" s="113" t="s">
        <v>92</v>
      </c>
      <c r="H130" s="113" t="s">
        <v>49</v>
      </c>
    </row>
    <row r="131" spans="7:8" x14ac:dyDescent="0.25">
      <c r="G131" s="113" t="s">
        <v>91</v>
      </c>
      <c r="H131" s="113" t="s">
        <v>49</v>
      </c>
    </row>
    <row r="132" spans="7:8" x14ac:dyDescent="0.25">
      <c r="G132" s="113" t="s">
        <v>97</v>
      </c>
      <c r="H132" s="113" t="s">
        <v>49</v>
      </c>
    </row>
    <row r="133" spans="7:8" x14ac:dyDescent="0.25">
      <c r="G133" s="113" t="s">
        <v>96</v>
      </c>
      <c r="H133" s="113" t="s">
        <v>49</v>
      </c>
    </row>
    <row r="134" spans="7:8" x14ac:dyDescent="0.25">
      <c r="G134" s="113" t="s">
        <v>49</v>
      </c>
      <c r="H134" s="113" t="s">
        <v>37</v>
      </c>
    </row>
    <row r="135" spans="7:8" x14ac:dyDescent="0.25">
      <c r="G135" s="113" t="s">
        <v>37</v>
      </c>
      <c r="H135" s="113" t="s">
        <v>37</v>
      </c>
    </row>
    <row r="136" spans="7:8" x14ac:dyDescent="0.25">
      <c r="G136" s="113" t="s">
        <v>38</v>
      </c>
      <c r="H136" s="113" t="s">
        <v>37</v>
      </c>
    </row>
    <row r="137" spans="7:8" x14ac:dyDescent="0.25">
      <c r="G137" s="113" t="s">
        <v>88</v>
      </c>
      <c r="H137" s="113" t="s">
        <v>37</v>
      </c>
    </row>
    <row r="138" spans="7:8" x14ac:dyDescent="0.25">
      <c r="G138" s="113" t="s">
        <v>87</v>
      </c>
      <c r="H138" s="113" t="s">
        <v>37</v>
      </c>
    </row>
    <row r="139" spans="7:8" x14ac:dyDescent="0.25">
      <c r="G139" s="113" t="s">
        <v>86</v>
      </c>
      <c r="H139" s="113" t="s">
        <v>37</v>
      </c>
    </row>
    <row r="140" spans="7:8" x14ac:dyDescent="0.25">
      <c r="G140" s="113" t="s">
        <v>59</v>
      </c>
      <c r="H140" s="113" t="s">
        <v>38</v>
      </c>
    </row>
    <row r="141" spans="7:8" x14ac:dyDescent="0.25">
      <c r="G141" s="113" t="s">
        <v>58</v>
      </c>
      <c r="H141" s="113" t="s">
        <v>38</v>
      </c>
    </row>
    <row r="142" spans="7:8" x14ac:dyDescent="0.25">
      <c r="G142" s="113" t="s">
        <v>56</v>
      </c>
      <c r="H142" s="113" t="s">
        <v>38</v>
      </c>
    </row>
    <row r="143" spans="7:8" x14ac:dyDescent="0.25">
      <c r="G143" s="113" t="s">
        <v>63</v>
      </c>
      <c r="H143" s="113" t="s">
        <v>38</v>
      </c>
    </row>
    <row r="144" spans="7:8" x14ac:dyDescent="0.25">
      <c r="G144" s="113" t="s">
        <v>62</v>
      </c>
      <c r="H144" s="113" t="s">
        <v>38</v>
      </c>
    </row>
    <row r="145" spans="7:8" x14ac:dyDescent="0.25">
      <c r="G145" s="113" t="s">
        <v>73</v>
      </c>
      <c r="H145" s="113" t="s">
        <v>38</v>
      </c>
    </row>
    <row r="146" spans="7:8" x14ac:dyDescent="0.25">
      <c r="G146" s="113" t="s">
        <v>72</v>
      </c>
      <c r="H146" s="113" t="s">
        <v>38</v>
      </c>
    </row>
    <row r="147" spans="7:8" x14ac:dyDescent="0.25">
      <c r="G147" s="113" t="s">
        <v>78</v>
      </c>
      <c r="H147" s="113" t="s">
        <v>38</v>
      </c>
    </row>
    <row r="148" spans="7:8" x14ac:dyDescent="0.25">
      <c r="G148" s="113" t="s">
        <v>77</v>
      </c>
      <c r="H148" s="113" t="s">
        <v>38</v>
      </c>
    </row>
    <row r="149" spans="7:8" x14ac:dyDescent="0.25">
      <c r="G149" s="113" t="s">
        <v>76</v>
      </c>
      <c r="H149" s="113" t="s">
        <v>38</v>
      </c>
    </row>
    <row r="150" spans="7:8" x14ac:dyDescent="0.25">
      <c r="G150" s="113"/>
      <c r="H150" s="113"/>
    </row>
    <row r="151" spans="7:8" x14ac:dyDescent="0.25">
      <c r="G151" s="517" t="s">
        <v>173</v>
      </c>
      <c r="H151" s="517"/>
    </row>
    <row r="152" spans="7:8" x14ac:dyDescent="0.25">
      <c r="G152" s="113" t="s">
        <v>174</v>
      </c>
      <c r="H152" s="113" t="s">
        <v>175</v>
      </c>
    </row>
    <row r="153" spans="7:8" x14ac:dyDescent="0.25">
      <c r="G153" s="113" t="s">
        <v>14</v>
      </c>
      <c r="H153" s="114">
        <v>0.6</v>
      </c>
    </row>
    <row r="154" spans="7:8" x14ac:dyDescent="0.25">
      <c r="G154" s="113" t="s">
        <v>176</v>
      </c>
      <c r="H154" s="114">
        <v>0.15</v>
      </c>
    </row>
    <row r="155" spans="7:8" x14ac:dyDescent="0.25">
      <c r="G155" s="113" t="s">
        <v>10</v>
      </c>
      <c r="H155" s="114">
        <v>0.15</v>
      </c>
    </row>
    <row r="156" spans="7:8" x14ac:dyDescent="0.25">
      <c r="G156" s="113" t="s">
        <v>177</v>
      </c>
      <c r="H156" s="114">
        <v>0.05</v>
      </c>
    </row>
    <row r="157" spans="7:8" x14ac:dyDescent="0.25">
      <c r="G157" s="113" t="s">
        <v>178</v>
      </c>
      <c r="H157" s="114">
        <v>0.05</v>
      </c>
    </row>
    <row r="158" spans="7:8" x14ac:dyDescent="0.25">
      <c r="G158" s="113"/>
      <c r="H158" s="114"/>
    </row>
    <row r="159" spans="7:8" x14ac:dyDescent="0.25">
      <c r="G159" s="113"/>
      <c r="H159" s="114"/>
    </row>
    <row r="160" spans="7:8" x14ac:dyDescent="0.25">
      <c r="G160" s="113"/>
      <c r="H160" s="114"/>
    </row>
    <row r="161" spans="7:8" x14ac:dyDescent="0.25">
      <c r="G161" s="113"/>
      <c r="H161" s="114"/>
    </row>
    <row r="163" spans="7:8" x14ac:dyDescent="0.25">
      <c r="G163" s="517" t="s">
        <v>179</v>
      </c>
      <c r="H163" s="517"/>
    </row>
    <row r="164" spans="7:8" x14ac:dyDescent="0.25">
      <c r="G164" s="113" t="s">
        <v>120</v>
      </c>
      <c r="H164" s="113" t="s">
        <v>146</v>
      </c>
    </row>
    <row r="165" spans="7:8" x14ac:dyDescent="0.25">
      <c r="G165" s="113" t="s">
        <v>184</v>
      </c>
      <c r="H165" s="114">
        <v>0.15</v>
      </c>
    </row>
    <row r="166" spans="7:8" x14ac:dyDescent="0.25">
      <c r="G166" s="113" t="s">
        <v>181</v>
      </c>
      <c r="H166" s="114">
        <v>0.14000000000000001</v>
      </c>
    </row>
    <row r="167" spans="7:8" x14ac:dyDescent="0.25">
      <c r="G167" s="113" t="s">
        <v>180</v>
      </c>
      <c r="H167" s="114">
        <v>0.13</v>
      </c>
    </row>
    <row r="168" spans="7:8" x14ac:dyDescent="0.25">
      <c r="G168" s="113" t="s">
        <v>183</v>
      </c>
      <c r="H168" s="114">
        <v>0.1</v>
      </c>
    </row>
    <row r="169" spans="7:8" x14ac:dyDescent="0.25">
      <c r="G169" s="113" t="s">
        <v>182</v>
      </c>
      <c r="H169" s="114">
        <v>0.1</v>
      </c>
    </row>
    <row r="170" spans="7:8" x14ac:dyDescent="0.25">
      <c r="G170" s="113" t="s">
        <v>187</v>
      </c>
      <c r="H170" s="114">
        <v>0.08</v>
      </c>
    </row>
    <row r="171" spans="7:8" x14ac:dyDescent="0.25">
      <c r="G171" s="113" t="s">
        <v>185</v>
      </c>
      <c r="H171" s="114">
        <v>0.06</v>
      </c>
    </row>
    <row r="172" spans="7:8" x14ac:dyDescent="0.25">
      <c r="G172" s="113" t="s">
        <v>186</v>
      </c>
      <c r="H172" s="114">
        <v>0.05</v>
      </c>
    </row>
    <row r="173" spans="7:8" x14ac:dyDescent="0.25">
      <c r="G173" s="517" t="s">
        <v>191</v>
      </c>
      <c r="H173" s="517"/>
    </row>
    <row r="174" spans="7:8" x14ac:dyDescent="0.25">
      <c r="G174" s="113" t="s">
        <v>122</v>
      </c>
      <c r="H174" s="113" t="s">
        <v>146</v>
      </c>
    </row>
    <row r="175" spans="7:8" x14ac:dyDescent="0.25">
      <c r="G175" s="113" t="s">
        <v>209</v>
      </c>
      <c r="H175" s="114">
        <v>0.6</v>
      </c>
    </row>
    <row r="176" spans="7:8" x14ac:dyDescent="0.25">
      <c r="G176" s="113" t="s">
        <v>210</v>
      </c>
      <c r="H176" s="114">
        <v>0.53</v>
      </c>
    </row>
    <row r="177" spans="7:8" x14ac:dyDescent="0.25">
      <c r="G177" s="113" t="s">
        <v>227</v>
      </c>
      <c r="H177" s="114">
        <f>0.8*H175</f>
        <v>0.48</v>
      </c>
    </row>
    <row r="178" spans="7:8" x14ac:dyDescent="0.25">
      <c r="G178" s="113" t="s">
        <v>228</v>
      </c>
      <c r="H178" s="114">
        <f>0.8*H176</f>
        <v>0.42400000000000004</v>
      </c>
    </row>
    <row r="179" spans="7:8" x14ac:dyDescent="0.25">
      <c r="G179" s="113" t="s">
        <v>192</v>
      </c>
      <c r="H179" s="114">
        <v>0.46</v>
      </c>
    </row>
    <row r="180" spans="7:8" x14ac:dyDescent="0.25">
      <c r="G180" s="113" t="s">
        <v>211</v>
      </c>
      <c r="H180" s="114">
        <v>0.43</v>
      </c>
    </row>
    <row r="181" spans="7:8" x14ac:dyDescent="0.25">
      <c r="G181" s="113" t="s">
        <v>212</v>
      </c>
      <c r="H181" s="114">
        <v>0.43</v>
      </c>
    </row>
    <row r="182" spans="7:8" x14ac:dyDescent="0.25">
      <c r="G182" s="113" t="s">
        <v>229</v>
      </c>
      <c r="H182" s="114">
        <f>0.75*H180</f>
        <v>0.32250000000000001</v>
      </c>
    </row>
    <row r="183" spans="7:8" x14ac:dyDescent="0.25">
      <c r="G183" s="113" t="s">
        <v>230</v>
      </c>
      <c r="H183" s="114">
        <f>0.75*H181</f>
        <v>0.32250000000000001</v>
      </c>
    </row>
    <row r="184" spans="7:8" x14ac:dyDescent="0.25">
      <c r="G184" s="113" t="s">
        <v>193</v>
      </c>
      <c r="H184" s="114">
        <v>0.3</v>
      </c>
    </row>
    <row r="185" spans="7:8" x14ac:dyDescent="0.25">
      <c r="G185" s="113" t="s">
        <v>213</v>
      </c>
      <c r="H185" s="114">
        <v>0.4</v>
      </c>
    </row>
    <row r="186" spans="7:8" x14ac:dyDescent="0.25">
      <c r="G186" s="113" t="s">
        <v>214</v>
      </c>
      <c r="H186" s="114">
        <v>0.4</v>
      </c>
    </row>
    <row r="187" spans="7:8" x14ac:dyDescent="0.25">
      <c r="G187" s="113" t="s">
        <v>194</v>
      </c>
      <c r="H187" s="114">
        <v>0.3</v>
      </c>
    </row>
    <row r="188" spans="7:8" x14ac:dyDescent="0.25">
      <c r="G188" s="113" t="s">
        <v>195</v>
      </c>
      <c r="H188" s="114">
        <v>0.25</v>
      </c>
    </row>
    <row r="189" spans="7:8" x14ac:dyDescent="0.25">
      <c r="G189" s="113" t="s">
        <v>196</v>
      </c>
      <c r="H189" s="114">
        <v>0.2</v>
      </c>
    </row>
    <row r="190" spans="7:8" x14ac:dyDescent="0.25">
      <c r="G190" s="113" t="s">
        <v>197</v>
      </c>
      <c r="H190" s="114">
        <v>0.16</v>
      </c>
    </row>
    <row r="191" spans="7:8" x14ac:dyDescent="0.25">
      <c r="G191" s="113" t="s">
        <v>198</v>
      </c>
      <c r="H191" s="114">
        <v>0.15</v>
      </c>
    </row>
    <row r="192" spans="7:8" x14ac:dyDescent="0.25">
      <c r="G192" s="113" t="s">
        <v>215</v>
      </c>
      <c r="H192" s="114">
        <v>0.2</v>
      </c>
    </row>
    <row r="193" spans="6:8" x14ac:dyDescent="0.25">
      <c r="G193" s="113" t="s">
        <v>199</v>
      </c>
      <c r="H193" s="116">
        <v>0.13</v>
      </c>
    </row>
    <row r="194" spans="6:8" x14ac:dyDescent="0.25">
      <c r="G194" s="113" t="s">
        <v>216</v>
      </c>
      <c r="H194" s="116">
        <v>0.25</v>
      </c>
    </row>
    <row r="195" spans="6:8" x14ac:dyDescent="0.25">
      <c r="G195" s="113" t="s">
        <v>200</v>
      </c>
      <c r="H195" s="116">
        <v>0.1</v>
      </c>
    </row>
    <row r="196" spans="6:8" x14ac:dyDescent="0.25">
      <c r="G196" s="113"/>
      <c r="H196" s="116"/>
    </row>
    <row r="197" spans="6:8" x14ac:dyDescent="0.25">
      <c r="F197" s="517" t="s">
        <v>201</v>
      </c>
      <c r="G197" s="517"/>
      <c r="H197" s="517"/>
    </row>
    <row r="198" spans="6:8" x14ac:dyDescent="0.25">
      <c r="F198" s="113" t="s">
        <v>202</v>
      </c>
      <c r="G198" s="113" t="s">
        <v>203</v>
      </c>
      <c r="H198" s="113" t="s">
        <v>146</v>
      </c>
    </row>
    <row r="199" spans="6:8" x14ac:dyDescent="0.25">
      <c r="F199" s="113" t="s">
        <v>732</v>
      </c>
      <c r="G199" s="113" t="s">
        <v>218</v>
      </c>
      <c r="H199" s="115">
        <v>0.05</v>
      </c>
    </row>
    <row r="200" spans="6:8" x14ac:dyDescent="0.25">
      <c r="F200" s="113" t="s">
        <v>15</v>
      </c>
      <c r="G200" s="113" t="s">
        <v>218</v>
      </c>
      <c r="H200" s="115">
        <v>0.05</v>
      </c>
    </row>
    <row r="201" spans="6:8" x14ac:dyDescent="0.25">
      <c r="F201" s="113" t="s">
        <v>204</v>
      </c>
      <c r="G201" s="113" t="s">
        <v>219</v>
      </c>
      <c r="H201" s="115">
        <v>0.04</v>
      </c>
    </row>
    <row r="202" spans="6:8" x14ac:dyDescent="0.25">
      <c r="F202" s="113" t="s">
        <v>205</v>
      </c>
      <c r="G202" s="113" t="s">
        <v>220</v>
      </c>
      <c r="H202" s="115">
        <v>3.5000000000000003E-2</v>
      </c>
    </row>
    <row r="203" spans="6:8" x14ac:dyDescent="0.25">
      <c r="F203" s="113" t="s">
        <v>206</v>
      </c>
      <c r="G203" s="113" t="s">
        <v>221</v>
      </c>
      <c r="H203" s="115">
        <v>2.5000000000000001E-2</v>
      </c>
    </row>
    <row r="204" spans="6:8" x14ac:dyDescent="0.25">
      <c r="F204" s="113" t="s">
        <v>183</v>
      </c>
      <c r="G204" s="113" t="s">
        <v>222</v>
      </c>
      <c r="H204" s="115">
        <v>1.4999999999999999E-2</v>
      </c>
    </row>
    <row r="205" spans="6:8" x14ac:dyDescent="0.25">
      <c r="F205" s="113" t="s">
        <v>1160</v>
      </c>
      <c r="G205" s="113" t="s">
        <v>1161</v>
      </c>
      <c r="H205" s="115">
        <v>0</v>
      </c>
    </row>
    <row r="206" spans="6:8" x14ac:dyDescent="0.25">
      <c r="G206" s="517" t="s">
        <v>188</v>
      </c>
      <c r="H206" s="517"/>
    </row>
    <row r="207" spans="6:8" x14ac:dyDescent="0.25">
      <c r="G207" s="113" t="s">
        <v>189</v>
      </c>
      <c r="H207" s="113" t="s">
        <v>146</v>
      </c>
    </row>
    <row r="208" spans="6:8" x14ac:dyDescent="0.25">
      <c r="G208" s="113" t="s">
        <v>226</v>
      </c>
      <c r="H208" s="114">
        <v>0.05</v>
      </c>
    </row>
    <row r="209" spans="6:8" x14ac:dyDescent="0.25">
      <c r="G209" s="113" t="s">
        <v>190</v>
      </c>
      <c r="H209" s="115">
        <v>2.5000000000000001E-2</v>
      </c>
    </row>
    <row r="210" spans="6:8" x14ac:dyDescent="0.25">
      <c r="G210" s="113"/>
      <c r="H210" s="115"/>
    </row>
    <row r="212" spans="6:8" x14ac:dyDescent="0.25">
      <c r="G212" s="517" t="s">
        <v>144</v>
      </c>
      <c r="H212" s="517"/>
    </row>
    <row r="213" spans="6:8" x14ac:dyDescent="0.25">
      <c r="G213" s="113" t="s">
        <v>145</v>
      </c>
      <c r="H213" s="113" t="s">
        <v>146</v>
      </c>
    </row>
    <row r="214" spans="6:8" x14ac:dyDescent="0.25">
      <c r="F214" s="79">
        <v>0</v>
      </c>
      <c r="G214" s="113" t="s">
        <v>147</v>
      </c>
      <c r="H214" s="114">
        <v>0.05</v>
      </c>
    </row>
    <row r="215" spans="6:8" x14ac:dyDescent="0.25">
      <c r="F215" s="223" t="s">
        <v>206</v>
      </c>
      <c r="G215" s="113" t="s">
        <v>1162</v>
      </c>
      <c r="H215" s="114">
        <v>0.06</v>
      </c>
    </row>
    <row r="216" spans="6:8" x14ac:dyDescent="0.25">
      <c r="F216" s="79">
        <v>1</v>
      </c>
      <c r="G216" s="113" t="s">
        <v>148</v>
      </c>
      <c r="H216" s="114">
        <v>7.0000000000000007E-2</v>
      </c>
    </row>
    <row r="217" spans="6:8" x14ac:dyDescent="0.25">
      <c r="F217" s="79">
        <v>2</v>
      </c>
      <c r="G217" s="113" t="s">
        <v>149</v>
      </c>
      <c r="H217" s="114">
        <v>0.11</v>
      </c>
    </row>
    <row r="218" spans="6:8" x14ac:dyDescent="0.25">
      <c r="F218" s="79">
        <v>3</v>
      </c>
      <c r="G218" s="113" t="s">
        <v>150</v>
      </c>
      <c r="H218" s="114">
        <v>0.15</v>
      </c>
    </row>
    <row r="219" spans="6:8" x14ac:dyDescent="0.25">
      <c r="F219" s="79">
        <v>4</v>
      </c>
      <c r="G219" s="113" t="s">
        <v>151</v>
      </c>
      <c r="H219" s="114">
        <v>0.06</v>
      </c>
    </row>
    <row r="223" spans="6:8" x14ac:dyDescent="0.25">
      <c r="G223" s="79" t="s">
        <v>1296</v>
      </c>
    </row>
    <row r="224" spans="6:8" x14ac:dyDescent="0.25">
      <c r="G224" s="79" t="s">
        <v>1293</v>
      </c>
    </row>
    <row r="225" spans="7:7" x14ac:dyDescent="0.25">
      <c r="G225" s="79" t="s">
        <v>1294</v>
      </c>
    </row>
    <row r="226" spans="7:7" x14ac:dyDescent="0.25">
      <c r="G226" s="79" t="s">
        <v>1295</v>
      </c>
    </row>
    <row r="227" spans="7:7" x14ac:dyDescent="0.25">
      <c r="G227" s="79" t="s">
        <v>1297</v>
      </c>
    </row>
  </sheetData>
  <mergeCells count="10">
    <mergeCell ref="G173:H173"/>
    <mergeCell ref="F197:H197"/>
    <mergeCell ref="G212:H212"/>
    <mergeCell ref="G57:H57"/>
    <mergeCell ref="G3:H3"/>
    <mergeCell ref="G11:H11"/>
    <mergeCell ref="G105:H105"/>
    <mergeCell ref="G151:H151"/>
    <mergeCell ref="G163:H163"/>
    <mergeCell ref="G206:H206"/>
  </mergeCells>
  <phoneticPr fontId="13" type="noConversion"/>
  <printOptions horizontalCentered="1" verticalCentered="1"/>
  <pageMargins left="0" right="0" top="0" bottom="0" header="0" footer="0"/>
  <pageSetup paperSize="9" scale="84" fitToHeight="2" orientation="landscape" r:id="rId1"/>
  <rowBreaks count="1" manualBreakCount="1">
    <brk id="196" min="5" max="15"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E7FA0-AE30-4611-9EA8-99D969212B9B}">
  <dimension ref="G8:N125"/>
  <sheetViews>
    <sheetView topLeftCell="A100" workbookViewId="0">
      <selection activeCell="J110" sqref="J110"/>
    </sheetView>
  </sheetViews>
  <sheetFormatPr defaultRowHeight="15" x14ac:dyDescent="0.25"/>
  <cols>
    <col min="7" max="7" width="13.42578125" bestFit="1" customWidth="1"/>
    <col min="8" max="8" width="11" customWidth="1"/>
    <col min="9" max="9" width="22" bestFit="1" customWidth="1"/>
    <col min="10" max="10" width="14" bestFit="1" customWidth="1"/>
    <col min="11" max="11" width="16.28515625" bestFit="1" customWidth="1"/>
  </cols>
  <sheetData>
    <row r="8" spans="7:8" x14ac:dyDescent="0.25">
      <c r="G8" s="517" t="s">
        <v>172</v>
      </c>
      <c r="H8" s="517"/>
    </row>
    <row r="9" spans="7:8" x14ac:dyDescent="0.25">
      <c r="G9" s="113" t="s">
        <v>207</v>
      </c>
      <c r="H9" s="113" t="s">
        <v>731</v>
      </c>
    </row>
    <row r="10" spans="7:8" x14ac:dyDescent="0.25">
      <c r="G10" s="113" t="s">
        <v>153</v>
      </c>
      <c r="H10" s="113" t="s">
        <v>154</v>
      </c>
    </row>
    <row r="11" spans="7:8" x14ac:dyDescent="0.25">
      <c r="G11" s="113" t="s">
        <v>17</v>
      </c>
      <c r="H11" s="113" t="s">
        <v>49</v>
      </c>
    </row>
    <row r="12" spans="7:8" x14ac:dyDescent="0.25">
      <c r="G12" s="113" t="s">
        <v>19</v>
      </c>
      <c r="H12" s="113" t="s">
        <v>49</v>
      </c>
    </row>
    <row r="13" spans="7:8" x14ac:dyDescent="0.25">
      <c r="G13" s="113" t="s">
        <v>20</v>
      </c>
      <c r="H13" s="113" t="s">
        <v>49</v>
      </c>
    </row>
    <row r="14" spans="7:8" x14ac:dyDescent="0.25">
      <c r="G14" s="113" t="s">
        <v>21</v>
      </c>
      <c r="H14" s="113" t="s">
        <v>49</v>
      </c>
    </row>
    <row r="15" spans="7:8" x14ac:dyDescent="0.25">
      <c r="G15" s="113" t="s">
        <v>26</v>
      </c>
      <c r="H15" s="113" t="s">
        <v>49</v>
      </c>
    </row>
    <row r="16" spans="7:8" x14ac:dyDescent="0.25">
      <c r="G16" s="113" t="s">
        <v>27</v>
      </c>
      <c r="H16" s="113" t="s">
        <v>49</v>
      </c>
    </row>
    <row r="17" spans="7:8" x14ac:dyDescent="0.25">
      <c r="G17" s="113" t="s">
        <v>28</v>
      </c>
      <c r="H17" s="113" t="s">
        <v>49</v>
      </c>
    </row>
    <row r="18" spans="7:8" x14ac:dyDescent="0.25">
      <c r="G18" s="113" t="s">
        <v>29</v>
      </c>
      <c r="H18" s="113" t="s">
        <v>49</v>
      </c>
    </row>
    <row r="19" spans="7:8" x14ac:dyDescent="0.25">
      <c r="G19" s="113" t="s">
        <v>42</v>
      </c>
      <c r="H19" s="113" t="s">
        <v>49</v>
      </c>
    </row>
    <row r="20" spans="7:8" x14ac:dyDescent="0.25">
      <c r="G20" s="113" t="s">
        <v>31</v>
      </c>
      <c r="H20" s="113" t="s">
        <v>49</v>
      </c>
    </row>
    <row r="21" spans="7:8" x14ac:dyDescent="0.25">
      <c r="G21" s="113" t="s">
        <v>33</v>
      </c>
      <c r="H21" s="113" t="s">
        <v>49</v>
      </c>
    </row>
    <row r="22" spans="7:8" x14ac:dyDescent="0.25">
      <c r="G22" s="113" t="s">
        <v>46</v>
      </c>
      <c r="H22" s="113" t="s">
        <v>49</v>
      </c>
    </row>
    <row r="23" spans="7:8" x14ac:dyDescent="0.25">
      <c r="G23" s="113" t="s">
        <v>45</v>
      </c>
      <c r="H23" s="113" t="s">
        <v>49</v>
      </c>
    </row>
    <row r="24" spans="7:8" x14ac:dyDescent="0.25">
      <c r="G24" s="113" t="s">
        <v>54</v>
      </c>
      <c r="H24" s="113" t="s">
        <v>37</v>
      </c>
    </row>
    <row r="25" spans="7:8" x14ac:dyDescent="0.25">
      <c r="G25" s="113" t="s">
        <v>53</v>
      </c>
      <c r="H25" s="113" t="s">
        <v>37</v>
      </c>
    </row>
    <row r="26" spans="7:8" x14ac:dyDescent="0.25">
      <c r="G26" s="113" t="s">
        <v>52</v>
      </c>
      <c r="H26" s="113" t="s">
        <v>37</v>
      </c>
    </row>
    <row r="27" spans="7:8" x14ac:dyDescent="0.25">
      <c r="G27" s="113" t="s">
        <v>69</v>
      </c>
      <c r="H27" s="113" t="s">
        <v>37</v>
      </c>
    </row>
    <row r="28" spans="7:8" x14ac:dyDescent="0.25">
      <c r="G28" s="113" t="s">
        <v>105</v>
      </c>
      <c r="H28" s="113" t="s">
        <v>37</v>
      </c>
    </row>
    <row r="29" spans="7:8" x14ac:dyDescent="0.25">
      <c r="G29" s="113" t="s">
        <v>67</v>
      </c>
      <c r="H29" s="113" t="s">
        <v>37</v>
      </c>
    </row>
    <row r="30" spans="7:8" x14ac:dyDescent="0.25">
      <c r="G30" s="113" t="s">
        <v>83</v>
      </c>
      <c r="H30" s="113" t="s">
        <v>37</v>
      </c>
    </row>
    <row r="31" spans="7:8" x14ac:dyDescent="0.25">
      <c r="G31" s="113" t="s">
        <v>82</v>
      </c>
      <c r="H31" s="113" t="s">
        <v>37</v>
      </c>
    </row>
    <row r="32" spans="7:8" x14ac:dyDescent="0.25">
      <c r="G32" s="113" t="s">
        <v>81</v>
      </c>
      <c r="H32" s="113" t="s">
        <v>37</v>
      </c>
    </row>
    <row r="33" spans="7:8" x14ac:dyDescent="0.25">
      <c r="G33" s="113" t="s">
        <v>93</v>
      </c>
      <c r="H33" s="113" t="s">
        <v>49</v>
      </c>
    </row>
    <row r="34" spans="7:8" x14ac:dyDescent="0.25">
      <c r="G34" s="113" t="s">
        <v>92</v>
      </c>
      <c r="H34" s="113" t="s">
        <v>49</v>
      </c>
    </row>
    <row r="35" spans="7:8" x14ac:dyDescent="0.25">
      <c r="G35" s="113" t="s">
        <v>91</v>
      </c>
      <c r="H35" s="113" t="s">
        <v>49</v>
      </c>
    </row>
    <row r="36" spans="7:8" x14ac:dyDescent="0.25">
      <c r="G36" s="113" t="s">
        <v>97</v>
      </c>
      <c r="H36" s="113" t="s">
        <v>49</v>
      </c>
    </row>
    <row r="37" spans="7:8" x14ac:dyDescent="0.25">
      <c r="G37" s="113" t="s">
        <v>96</v>
      </c>
      <c r="H37" s="113" t="s">
        <v>49</v>
      </c>
    </row>
    <row r="38" spans="7:8" x14ac:dyDescent="0.25">
      <c r="G38" s="113" t="s">
        <v>49</v>
      </c>
      <c r="H38" s="113" t="s">
        <v>37</v>
      </c>
    </row>
    <row r="39" spans="7:8" x14ac:dyDescent="0.25">
      <c r="G39" s="113" t="s">
        <v>37</v>
      </c>
      <c r="H39" s="113" t="s">
        <v>37</v>
      </c>
    </row>
    <row r="40" spans="7:8" x14ac:dyDescent="0.25">
      <c r="G40" s="113" t="s">
        <v>38</v>
      </c>
      <c r="H40" s="113" t="s">
        <v>37</v>
      </c>
    </row>
    <row r="41" spans="7:8" x14ac:dyDescent="0.25">
      <c r="G41" s="113" t="s">
        <v>88</v>
      </c>
      <c r="H41" s="113" t="s">
        <v>37</v>
      </c>
    </row>
    <row r="42" spans="7:8" x14ac:dyDescent="0.25">
      <c r="G42" s="113" t="s">
        <v>87</v>
      </c>
      <c r="H42" s="113" t="s">
        <v>37</v>
      </c>
    </row>
    <row r="43" spans="7:8" x14ac:dyDescent="0.25">
      <c r="G43" s="113" t="s">
        <v>86</v>
      </c>
      <c r="H43" s="113" t="s">
        <v>37</v>
      </c>
    </row>
    <row r="44" spans="7:8" x14ac:dyDescent="0.25">
      <c r="G44" s="113" t="s">
        <v>59</v>
      </c>
      <c r="H44" s="113" t="s">
        <v>38</v>
      </c>
    </row>
    <row r="45" spans="7:8" x14ac:dyDescent="0.25">
      <c r="G45" s="113" t="s">
        <v>58</v>
      </c>
      <c r="H45" s="113" t="s">
        <v>38</v>
      </c>
    </row>
    <row r="46" spans="7:8" x14ac:dyDescent="0.25">
      <c r="G46" s="113" t="s">
        <v>56</v>
      </c>
      <c r="H46" s="113" t="s">
        <v>38</v>
      </c>
    </row>
    <row r="47" spans="7:8" x14ac:dyDescent="0.25">
      <c r="G47" s="113" t="s">
        <v>63</v>
      </c>
      <c r="H47" s="113" t="s">
        <v>38</v>
      </c>
    </row>
    <row r="48" spans="7:8" x14ac:dyDescent="0.25">
      <c r="G48" s="113" t="s">
        <v>62</v>
      </c>
      <c r="H48" s="113" t="s">
        <v>38</v>
      </c>
    </row>
    <row r="49" spans="7:8" x14ac:dyDescent="0.25">
      <c r="G49" s="113" t="s">
        <v>73</v>
      </c>
      <c r="H49" s="113" t="s">
        <v>38</v>
      </c>
    </row>
    <row r="50" spans="7:8" x14ac:dyDescent="0.25">
      <c r="G50" s="113" t="s">
        <v>72</v>
      </c>
      <c r="H50" s="113" t="s">
        <v>38</v>
      </c>
    </row>
    <row r="51" spans="7:8" x14ac:dyDescent="0.25">
      <c r="G51" s="113" t="s">
        <v>78</v>
      </c>
      <c r="H51" s="113" t="s">
        <v>38</v>
      </c>
    </row>
    <row r="52" spans="7:8" x14ac:dyDescent="0.25">
      <c r="G52" s="113" t="s">
        <v>77</v>
      </c>
      <c r="H52" s="113" t="s">
        <v>38</v>
      </c>
    </row>
    <row r="53" spans="7:8" x14ac:dyDescent="0.25">
      <c r="G53" s="113" t="s">
        <v>76</v>
      </c>
      <c r="H53" s="113" t="s">
        <v>38</v>
      </c>
    </row>
    <row r="87" spans="12:14" x14ac:dyDescent="0.25">
      <c r="L87" t="s">
        <v>17</v>
      </c>
      <c r="M87" t="s">
        <v>54</v>
      </c>
      <c r="N87" s="178" t="s">
        <v>59</v>
      </c>
    </row>
    <row r="88" spans="12:14" x14ac:dyDescent="0.25">
      <c r="L88" t="s">
        <v>19</v>
      </c>
      <c r="M88" t="s">
        <v>53</v>
      </c>
      <c r="N88" s="178" t="s">
        <v>58</v>
      </c>
    </row>
    <row r="89" spans="12:14" x14ac:dyDescent="0.25">
      <c r="L89" t="s">
        <v>20</v>
      </c>
      <c r="M89" t="s">
        <v>52</v>
      </c>
      <c r="N89" s="178" t="s">
        <v>56</v>
      </c>
    </row>
    <row r="90" spans="12:14" x14ac:dyDescent="0.25">
      <c r="L90" t="s">
        <v>21</v>
      </c>
      <c r="M90" t="s">
        <v>69</v>
      </c>
      <c r="N90" s="178" t="s">
        <v>63</v>
      </c>
    </row>
    <row r="91" spans="12:14" x14ac:dyDescent="0.25">
      <c r="L91" t="s">
        <v>26</v>
      </c>
      <c r="M91" t="s">
        <v>105</v>
      </c>
      <c r="N91" s="178" t="s">
        <v>62</v>
      </c>
    </row>
    <row r="92" spans="12:14" x14ac:dyDescent="0.25">
      <c r="L92" t="s">
        <v>27</v>
      </c>
      <c r="M92" t="s">
        <v>67</v>
      </c>
      <c r="N92" s="178" t="s">
        <v>73</v>
      </c>
    </row>
    <row r="93" spans="12:14" x14ac:dyDescent="0.25">
      <c r="L93" t="s">
        <v>28</v>
      </c>
      <c r="M93" t="s">
        <v>83</v>
      </c>
      <c r="N93" s="178" t="s">
        <v>72</v>
      </c>
    </row>
    <row r="94" spans="12:14" x14ac:dyDescent="0.25">
      <c r="L94" t="s">
        <v>29</v>
      </c>
      <c r="M94" t="s">
        <v>82</v>
      </c>
      <c r="N94" s="178" t="s">
        <v>78</v>
      </c>
    </row>
    <row r="95" spans="12:14" x14ac:dyDescent="0.25">
      <c r="L95" t="s">
        <v>42</v>
      </c>
      <c r="M95" t="s">
        <v>81</v>
      </c>
      <c r="N95" s="178" t="s">
        <v>77</v>
      </c>
    </row>
    <row r="96" spans="12:14" x14ac:dyDescent="0.25">
      <c r="L96" t="s">
        <v>31</v>
      </c>
      <c r="M96" t="s">
        <v>49</v>
      </c>
      <c r="N96" s="178" t="s">
        <v>76</v>
      </c>
    </row>
    <row r="97" spans="9:13" x14ac:dyDescent="0.25">
      <c r="L97" t="s">
        <v>33</v>
      </c>
      <c r="M97" t="s">
        <v>37</v>
      </c>
    </row>
    <row r="98" spans="9:13" x14ac:dyDescent="0.25">
      <c r="L98" t="s">
        <v>46</v>
      </c>
      <c r="M98" t="s">
        <v>38</v>
      </c>
    </row>
    <row r="99" spans="9:13" x14ac:dyDescent="0.25">
      <c r="L99" t="s">
        <v>45</v>
      </c>
      <c r="M99" t="s">
        <v>88</v>
      </c>
    </row>
    <row r="100" spans="9:13" x14ac:dyDescent="0.25">
      <c r="L100" t="s">
        <v>93</v>
      </c>
      <c r="M100" t="s">
        <v>87</v>
      </c>
    </row>
    <row r="101" spans="9:13" x14ac:dyDescent="0.25">
      <c r="L101" t="s">
        <v>92</v>
      </c>
      <c r="M101" t="s">
        <v>86</v>
      </c>
    </row>
    <row r="102" spans="9:13" x14ac:dyDescent="0.25">
      <c r="L102" t="s">
        <v>91</v>
      </c>
    </row>
    <row r="103" spans="9:13" x14ac:dyDescent="0.25">
      <c r="L103" t="s">
        <v>97</v>
      </c>
    </row>
    <row r="104" spans="9:13" x14ac:dyDescent="0.25">
      <c r="L104" t="s">
        <v>96</v>
      </c>
    </row>
    <row r="107" spans="9:13" x14ac:dyDescent="0.25">
      <c r="I107" t="s">
        <v>1154</v>
      </c>
      <c r="J107" t="s">
        <v>1155</v>
      </c>
      <c r="K107" t="s">
        <v>1157</v>
      </c>
    </row>
    <row r="108" spans="9:13" x14ac:dyDescent="0.25">
      <c r="I108" t="s">
        <v>49</v>
      </c>
      <c r="J108" s="194">
        <v>45839</v>
      </c>
      <c r="K108" t="s">
        <v>1158</v>
      </c>
    </row>
    <row r="109" spans="9:13" x14ac:dyDescent="0.25">
      <c r="I109" t="s">
        <v>37</v>
      </c>
      <c r="J109" s="194">
        <v>46204</v>
      </c>
    </row>
    <row r="110" spans="9:13" x14ac:dyDescent="0.25">
      <c r="I110" t="s">
        <v>38</v>
      </c>
      <c r="J110" s="194">
        <v>46569</v>
      </c>
    </row>
    <row r="113" spans="9:10" x14ac:dyDescent="0.25">
      <c r="I113" t="s">
        <v>1177</v>
      </c>
      <c r="J113" s="194">
        <v>45170</v>
      </c>
    </row>
    <row r="114" spans="9:10" x14ac:dyDescent="0.25">
      <c r="I114" t="s">
        <v>1178</v>
      </c>
      <c r="J114" s="194">
        <v>45292</v>
      </c>
    </row>
    <row r="115" spans="9:10" x14ac:dyDescent="0.25">
      <c r="I115" t="s">
        <v>1179</v>
      </c>
      <c r="J115" s="194">
        <f t="shared" ref="J115:J120" si="0">EDATE(J114,3)</f>
        <v>45383</v>
      </c>
    </row>
    <row r="116" spans="9:10" x14ac:dyDescent="0.25">
      <c r="I116" t="s">
        <v>1180</v>
      </c>
      <c r="J116" s="194">
        <f t="shared" si="0"/>
        <v>45474</v>
      </c>
    </row>
    <row r="117" spans="9:10" x14ac:dyDescent="0.25">
      <c r="I117" t="s">
        <v>1181</v>
      </c>
      <c r="J117" s="194">
        <f t="shared" si="0"/>
        <v>45566</v>
      </c>
    </row>
    <row r="118" spans="9:10" x14ac:dyDescent="0.25">
      <c r="I118" t="s">
        <v>1182</v>
      </c>
      <c r="J118" s="194">
        <f t="shared" si="0"/>
        <v>45658</v>
      </c>
    </row>
    <row r="119" spans="9:10" x14ac:dyDescent="0.25">
      <c r="I119" t="s">
        <v>1183</v>
      </c>
      <c r="J119" s="194">
        <f t="shared" si="0"/>
        <v>45748</v>
      </c>
    </row>
    <row r="120" spans="9:10" x14ac:dyDescent="0.25">
      <c r="I120" t="s">
        <v>1184</v>
      </c>
      <c r="J120" s="194">
        <f t="shared" si="0"/>
        <v>45839</v>
      </c>
    </row>
    <row r="121" spans="9:10" x14ac:dyDescent="0.25">
      <c r="I121" t="s">
        <v>1149</v>
      </c>
      <c r="J121" s="194">
        <f>J120</f>
        <v>45839</v>
      </c>
    </row>
    <row r="122" spans="9:10" x14ac:dyDescent="0.25">
      <c r="I122" t="s">
        <v>1185</v>
      </c>
      <c r="J122" s="194">
        <f>EDATE(J121,3)</f>
        <v>45931</v>
      </c>
    </row>
    <row r="123" spans="9:10" x14ac:dyDescent="0.25">
      <c r="I123" t="s">
        <v>1186</v>
      </c>
      <c r="J123" s="194">
        <f>EDATE(J122,3)</f>
        <v>46023</v>
      </c>
    </row>
    <row r="124" spans="9:10" x14ac:dyDescent="0.25">
      <c r="I124" t="s">
        <v>1187</v>
      </c>
      <c r="J124" s="194">
        <f>EDATE(J123,3)</f>
        <v>46113</v>
      </c>
    </row>
    <row r="125" spans="9:10" x14ac:dyDescent="0.25">
      <c r="I125" t="s">
        <v>1188</v>
      </c>
      <c r="J125" s="194">
        <f>EDATE(J124,3)</f>
        <v>46204</v>
      </c>
    </row>
  </sheetData>
  <mergeCells count="1">
    <mergeCell ref="G8:H8"/>
  </mergeCells>
  <phoneticPr fontId="13"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9187D-887E-4DF0-B7A1-92F7CC634601}">
  <dimension ref="A3:D1240"/>
  <sheetViews>
    <sheetView topLeftCell="A548" workbookViewId="0">
      <selection activeCell="XFD10" sqref="XFD10"/>
    </sheetView>
  </sheetViews>
  <sheetFormatPr defaultRowHeight="15" x14ac:dyDescent="0.25"/>
  <cols>
    <col min="1" max="1" width="14.28515625" style="79" bestFit="1" customWidth="1"/>
    <col min="2" max="2" width="20.85546875" style="126" bestFit="1" customWidth="1"/>
    <col min="3" max="3" width="22.85546875" style="79" bestFit="1" customWidth="1"/>
    <col min="4" max="4" width="23.85546875" style="79" bestFit="1" customWidth="1"/>
    <col min="5" max="16384" width="9.140625" style="79"/>
  </cols>
  <sheetData>
    <row r="3" spans="1:2" x14ac:dyDescent="0.25">
      <c r="A3" s="79" t="s">
        <v>146</v>
      </c>
      <c r="B3" s="79" t="s">
        <v>711</v>
      </c>
    </row>
    <row r="4" spans="1:2" x14ac:dyDescent="0.25">
      <c r="A4" s="120">
        <v>0.27499999999999997</v>
      </c>
      <c r="B4" s="79">
        <v>1</v>
      </c>
    </row>
    <row r="5" spans="1:2" x14ac:dyDescent="0.25">
      <c r="A5" s="120">
        <v>0.28499999999999998</v>
      </c>
      <c r="B5" s="79">
        <v>2</v>
      </c>
    </row>
    <row r="6" spans="1:2" x14ac:dyDescent="0.25">
      <c r="A6" s="120">
        <v>0.31</v>
      </c>
      <c r="B6" s="79">
        <v>1</v>
      </c>
    </row>
    <row r="7" spans="1:2" x14ac:dyDescent="0.25">
      <c r="A7" s="120">
        <v>0.32</v>
      </c>
      <c r="B7" s="79">
        <v>2</v>
      </c>
    </row>
    <row r="8" spans="1:2" x14ac:dyDescent="0.25">
      <c r="A8" s="120">
        <v>0.32000000000000006</v>
      </c>
      <c r="B8" s="79">
        <v>2</v>
      </c>
    </row>
    <row r="9" spans="1:2" x14ac:dyDescent="0.25">
      <c r="A9" s="120">
        <v>0.32499999999999996</v>
      </c>
      <c r="B9" s="79">
        <v>2</v>
      </c>
    </row>
    <row r="10" spans="1:2" x14ac:dyDescent="0.25">
      <c r="A10" s="120">
        <v>0.32500000000000001</v>
      </c>
      <c r="B10" s="79">
        <v>4</v>
      </c>
    </row>
    <row r="11" spans="1:2" x14ac:dyDescent="0.25">
      <c r="A11" s="120">
        <v>0.33</v>
      </c>
      <c r="B11" s="79">
        <v>1</v>
      </c>
    </row>
    <row r="12" spans="1:2" x14ac:dyDescent="0.25">
      <c r="A12" s="120">
        <v>0.33000000000000007</v>
      </c>
      <c r="B12" s="79">
        <v>2</v>
      </c>
    </row>
    <row r="13" spans="1:2" x14ac:dyDescent="0.25">
      <c r="A13" s="120">
        <v>0.33500000000000002</v>
      </c>
      <c r="B13" s="79">
        <v>3</v>
      </c>
    </row>
    <row r="14" spans="1:2" x14ac:dyDescent="0.25">
      <c r="A14" s="120">
        <v>0.34</v>
      </c>
      <c r="B14" s="79">
        <v>5</v>
      </c>
    </row>
    <row r="15" spans="1:2" x14ac:dyDescent="0.25">
      <c r="A15" s="120">
        <v>0.34499999999999997</v>
      </c>
      <c r="B15" s="79">
        <v>6</v>
      </c>
    </row>
    <row r="16" spans="1:2" x14ac:dyDescent="0.25">
      <c r="A16" s="120">
        <v>0.34500000000000003</v>
      </c>
      <c r="B16" s="79">
        <v>6</v>
      </c>
    </row>
    <row r="17" spans="1:2" x14ac:dyDescent="0.25">
      <c r="A17" s="120">
        <v>0.35000000000000003</v>
      </c>
      <c r="B17" s="79">
        <v>5</v>
      </c>
    </row>
    <row r="18" spans="1:2" x14ac:dyDescent="0.25">
      <c r="A18" s="120">
        <v>0.35499999999999998</v>
      </c>
      <c r="B18" s="79">
        <v>21</v>
      </c>
    </row>
    <row r="19" spans="1:2" x14ac:dyDescent="0.25">
      <c r="A19" s="120">
        <v>0.35500000000000004</v>
      </c>
      <c r="B19" s="79">
        <v>2</v>
      </c>
    </row>
    <row r="20" spans="1:2" x14ac:dyDescent="0.25">
      <c r="A20" s="120">
        <v>0.36</v>
      </c>
      <c r="B20" s="79">
        <v>8</v>
      </c>
    </row>
    <row r="21" spans="1:2" x14ac:dyDescent="0.25">
      <c r="A21" s="120">
        <v>0.36000000000000004</v>
      </c>
      <c r="B21" s="79">
        <v>3</v>
      </c>
    </row>
    <row r="22" spans="1:2" x14ac:dyDescent="0.25">
      <c r="A22" s="120">
        <v>0.36499999999999999</v>
      </c>
      <c r="B22" s="79">
        <v>6</v>
      </c>
    </row>
    <row r="23" spans="1:2" x14ac:dyDescent="0.25">
      <c r="A23" s="120">
        <v>0.36500000000000005</v>
      </c>
      <c r="B23" s="79">
        <v>7</v>
      </c>
    </row>
    <row r="24" spans="1:2" x14ac:dyDescent="0.25">
      <c r="A24" s="120">
        <v>0.37</v>
      </c>
      <c r="B24" s="79">
        <v>2</v>
      </c>
    </row>
    <row r="25" spans="1:2" x14ac:dyDescent="0.25">
      <c r="A25" s="120">
        <v>0.37000000000000005</v>
      </c>
      <c r="B25" s="79">
        <v>4</v>
      </c>
    </row>
    <row r="26" spans="1:2" x14ac:dyDescent="0.25">
      <c r="A26" s="120">
        <v>0.375</v>
      </c>
      <c r="B26" s="79">
        <v>17</v>
      </c>
    </row>
    <row r="27" spans="1:2" x14ac:dyDescent="0.25">
      <c r="A27" s="120">
        <v>0.37500000000000006</v>
      </c>
      <c r="B27" s="79">
        <v>2</v>
      </c>
    </row>
    <row r="28" spans="1:2" x14ac:dyDescent="0.25">
      <c r="A28" s="120">
        <v>0.38</v>
      </c>
      <c r="B28" s="79">
        <v>8</v>
      </c>
    </row>
    <row r="29" spans="1:2" x14ac:dyDescent="0.25">
      <c r="A29" s="120">
        <v>0.38500000000000001</v>
      </c>
      <c r="B29" s="79">
        <v>7</v>
      </c>
    </row>
    <row r="30" spans="1:2" x14ac:dyDescent="0.25">
      <c r="A30" s="120">
        <v>0.38500000000000006</v>
      </c>
      <c r="B30" s="79">
        <v>2</v>
      </c>
    </row>
    <row r="31" spans="1:2" x14ac:dyDescent="0.25">
      <c r="A31" s="120">
        <v>0.39</v>
      </c>
      <c r="B31" s="79">
        <v>9</v>
      </c>
    </row>
    <row r="32" spans="1:2" x14ac:dyDescent="0.25">
      <c r="A32" s="120">
        <v>0.39499999999999996</v>
      </c>
      <c r="B32" s="79">
        <v>12</v>
      </c>
    </row>
    <row r="33" spans="1:2" x14ac:dyDescent="0.25">
      <c r="A33" s="120">
        <v>0.39500000000000002</v>
      </c>
      <c r="B33" s="79">
        <v>13</v>
      </c>
    </row>
    <row r="34" spans="1:2" x14ac:dyDescent="0.25">
      <c r="A34" s="120">
        <v>0.39999999999999997</v>
      </c>
      <c r="B34" s="79">
        <v>1</v>
      </c>
    </row>
    <row r="35" spans="1:2" x14ac:dyDescent="0.25">
      <c r="A35" s="120">
        <v>0.4</v>
      </c>
      <c r="B35" s="79">
        <v>19</v>
      </c>
    </row>
    <row r="36" spans="1:2" x14ac:dyDescent="0.25">
      <c r="A36" s="120">
        <v>0.40499999999999997</v>
      </c>
      <c r="B36" s="79">
        <v>12</v>
      </c>
    </row>
    <row r="37" spans="1:2" x14ac:dyDescent="0.25">
      <c r="A37" s="120">
        <v>0.40500000000000003</v>
      </c>
      <c r="B37" s="79">
        <v>3</v>
      </c>
    </row>
    <row r="38" spans="1:2" x14ac:dyDescent="0.25">
      <c r="A38" s="120">
        <v>0.41000000000000003</v>
      </c>
      <c r="B38" s="79">
        <v>10</v>
      </c>
    </row>
    <row r="39" spans="1:2" x14ac:dyDescent="0.25">
      <c r="A39" s="120">
        <v>0.41499999999999992</v>
      </c>
      <c r="B39" s="79">
        <v>3</v>
      </c>
    </row>
    <row r="40" spans="1:2" x14ac:dyDescent="0.25">
      <c r="A40" s="120">
        <v>0.41499999999999998</v>
      </c>
      <c r="B40" s="79">
        <v>16</v>
      </c>
    </row>
    <row r="41" spans="1:2" x14ac:dyDescent="0.25">
      <c r="A41" s="120">
        <v>0.41500000000000004</v>
      </c>
      <c r="B41" s="79">
        <v>1</v>
      </c>
    </row>
    <row r="42" spans="1:2" x14ac:dyDescent="0.25">
      <c r="A42" s="120">
        <v>0.42</v>
      </c>
      <c r="B42" s="79">
        <v>1</v>
      </c>
    </row>
    <row r="43" spans="1:2" x14ac:dyDescent="0.25">
      <c r="A43" s="120">
        <v>0.42000000000000004</v>
      </c>
      <c r="B43" s="79">
        <v>4</v>
      </c>
    </row>
    <row r="44" spans="1:2" x14ac:dyDescent="0.25">
      <c r="A44" s="120">
        <v>0.42499999999999993</v>
      </c>
      <c r="B44" s="79">
        <v>14</v>
      </c>
    </row>
    <row r="45" spans="1:2" x14ac:dyDescent="0.25">
      <c r="A45" s="120">
        <v>0.42499999999999999</v>
      </c>
      <c r="B45" s="79">
        <v>3</v>
      </c>
    </row>
    <row r="46" spans="1:2" x14ac:dyDescent="0.25">
      <c r="A46" s="120">
        <v>0.42500000000000004</v>
      </c>
      <c r="B46" s="79">
        <v>7</v>
      </c>
    </row>
    <row r="47" spans="1:2" x14ac:dyDescent="0.25">
      <c r="A47" s="120">
        <v>0.43</v>
      </c>
      <c r="B47" s="79">
        <v>1</v>
      </c>
    </row>
    <row r="48" spans="1:2" x14ac:dyDescent="0.25">
      <c r="A48" s="120">
        <v>0.43000000000000005</v>
      </c>
      <c r="B48" s="79">
        <v>3</v>
      </c>
    </row>
    <row r="49" spans="1:2" x14ac:dyDescent="0.25">
      <c r="A49" s="120">
        <v>0.43499999999999994</v>
      </c>
      <c r="B49" s="79">
        <v>10</v>
      </c>
    </row>
    <row r="50" spans="1:2" x14ac:dyDescent="0.25">
      <c r="A50" s="120">
        <v>0.435</v>
      </c>
      <c r="B50" s="79">
        <v>1</v>
      </c>
    </row>
    <row r="51" spans="1:2" x14ac:dyDescent="0.25">
      <c r="A51" s="120">
        <v>0.43500000000000005</v>
      </c>
      <c r="B51" s="79">
        <v>3</v>
      </c>
    </row>
    <row r="52" spans="1:2" x14ac:dyDescent="0.25">
      <c r="A52" s="120">
        <v>0.44</v>
      </c>
      <c r="B52" s="79">
        <v>9</v>
      </c>
    </row>
    <row r="53" spans="1:2" x14ac:dyDescent="0.25">
      <c r="A53" s="120">
        <v>0.44000000000000006</v>
      </c>
      <c r="B53" s="79">
        <v>6</v>
      </c>
    </row>
    <row r="54" spans="1:2" x14ac:dyDescent="0.25">
      <c r="A54" s="120">
        <v>0.44499999999999995</v>
      </c>
      <c r="B54" s="79">
        <v>6</v>
      </c>
    </row>
    <row r="55" spans="1:2" x14ac:dyDescent="0.25">
      <c r="A55" s="120">
        <v>0.44500000000000001</v>
      </c>
      <c r="B55" s="79">
        <v>8</v>
      </c>
    </row>
    <row r="56" spans="1:2" x14ac:dyDescent="0.25">
      <c r="A56" s="120">
        <v>0.44999999999999996</v>
      </c>
      <c r="B56" s="79">
        <v>7</v>
      </c>
    </row>
    <row r="57" spans="1:2" x14ac:dyDescent="0.25">
      <c r="A57" s="120">
        <v>0.45000000000000007</v>
      </c>
      <c r="B57" s="79">
        <v>6</v>
      </c>
    </row>
    <row r="58" spans="1:2" x14ac:dyDescent="0.25">
      <c r="A58" s="120">
        <v>0.45499999999999996</v>
      </c>
      <c r="B58" s="79">
        <v>2</v>
      </c>
    </row>
    <row r="59" spans="1:2" x14ac:dyDescent="0.25">
      <c r="A59" s="120">
        <v>0.45500000000000002</v>
      </c>
      <c r="B59" s="79">
        <v>1</v>
      </c>
    </row>
    <row r="60" spans="1:2" x14ac:dyDescent="0.25">
      <c r="A60" s="120">
        <v>0.46000000000000008</v>
      </c>
      <c r="B60" s="79">
        <v>2</v>
      </c>
    </row>
    <row r="61" spans="1:2" x14ac:dyDescent="0.25">
      <c r="A61" s="120">
        <v>0.46499999999999997</v>
      </c>
      <c r="B61" s="79">
        <v>11</v>
      </c>
    </row>
    <row r="62" spans="1:2" x14ac:dyDescent="0.25">
      <c r="A62" s="120">
        <v>0.46500000000000008</v>
      </c>
      <c r="B62" s="79">
        <v>7</v>
      </c>
    </row>
    <row r="63" spans="1:2" x14ac:dyDescent="0.25">
      <c r="A63" s="120">
        <v>0.47</v>
      </c>
      <c r="B63" s="79">
        <v>1</v>
      </c>
    </row>
    <row r="64" spans="1:2" x14ac:dyDescent="0.25">
      <c r="A64" s="120">
        <v>0.47000000000000008</v>
      </c>
      <c r="B64" s="79">
        <v>1</v>
      </c>
    </row>
    <row r="65" spans="1:2" x14ac:dyDescent="0.25">
      <c r="A65" s="120">
        <v>0.47499999999999992</v>
      </c>
      <c r="B65" s="79">
        <v>5</v>
      </c>
    </row>
    <row r="66" spans="1:2" x14ac:dyDescent="0.25">
      <c r="A66" s="120">
        <v>0.47499999999999998</v>
      </c>
      <c r="B66" s="79">
        <v>2</v>
      </c>
    </row>
    <row r="67" spans="1:2" x14ac:dyDescent="0.25">
      <c r="A67" s="120">
        <v>0.47500000000000003</v>
      </c>
      <c r="B67" s="79">
        <v>1</v>
      </c>
    </row>
    <row r="68" spans="1:2" x14ac:dyDescent="0.25">
      <c r="A68" s="120">
        <v>0.48</v>
      </c>
      <c r="B68" s="79">
        <v>10</v>
      </c>
    </row>
    <row r="69" spans="1:2" x14ac:dyDescent="0.25">
      <c r="A69" s="120">
        <v>0.48499999999999993</v>
      </c>
      <c r="B69" s="79">
        <v>3</v>
      </c>
    </row>
    <row r="70" spans="1:2" x14ac:dyDescent="0.25">
      <c r="A70" s="120">
        <v>0.48499999999999999</v>
      </c>
      <c r="B70" s="79">
        <v>1</v>
      </c>
    </row>
    <row r="71" spans="1:2" x14ac:dyDescent="0.25">
      <c r="A71" s="120">
        <v>0.48500000000000004</v>
      </c>
      <c r="B71" s="79">
        <v>2</v>
      </c>
    </row>
    <row r="72" spans="1:2" x14ac:dyDescent="0.25">
      <c r="A72" s="120">
        <v>0.49</v>
      </c>
      <c r="B72" s="79">
        <v>9</v>
      </c>
    </row>
    <row r="73" spans="1:2" x14ac:dyDescent="0.25">
      <c r="A73" s="120">
        <v>0.49000000000000005</v>
      </c>
      <c r="B73" s="79">
        <v>1</v>
      </c>
    </row>
    <row r="74" spans="1:2" x14ac:dyDescent="0.25">
      <c r="A74" s="120">
        <v>0.495</v>
      </c>
      <c r="B74" s="79">
        <v>3</v>
      </c>
    </row>
    <row r="75" spans="1:2" x14ac:dyDescent="0.25">
      <c r="A75" s="120">
        <v>0.5</v>
      </c>
      <c r="B75" s="79">
        <v>2</v>
      </c>
    </row>
    <row r="76" spans="1:2" x14ac:dyDescent="0.25">
      <c r="A76" s="120">
        <v>0.505</v>
      </c>
      <c r="B76" s="79">
        <v>10</v>
      </c>
    </row>
    <row r="77" spans="1:2" x14ac:dyDescent="0.25">
      <c r="A77" s="120">
        <v>0.51</v>
      </c>
      <c r="B77" s="79">
        <v>1</v>
      </c>
    </row>
    <row r="78" spans="1:2" x14ac:dyDescent="0.25">
      <c r="A78" s="120">
        <v>0.51500000000000001</v>
      </c>
      <c r="B78" s="79">
        <v>11</v>
      </c>
    </row>
    <row r="79" spans="1:2" x14ac:dyDescent="0.25">
      <c r="A79" s="120">
        <v>0.52500000000000002</v>
      </c>
      <c r="B79" s="79">
        <v>5</v>
      </c>
    </row>
    <row r="80" spans="1:2" x14ac:dyDescent="0.25">
      <c r="A80" s="120">
        <v>0.53500000000000003</v>
      </c>
      <c r="B80" s="79">
        <v>2</v>
      </c>
    </row>
    <row r="81" spans="1:2" x14ac:dyDescent="0.25">
      <c r="A81" s="120">
        <v>0.54</v>
      </c>
      <c r="B81" s="79">
        <v>3</v>
      </c>
    </row>
    <row r="82" spans="1:2" x14ac:dyDescent="0.25">
      <c r="A82" s="120">
        <v>0.54500000000000004</v>
      </c>
      <c r="B82" s="79">
        <v>1</v>
      </c>
    </row>
    <row r="83" spans="1:2" x14ac:dyDescent="0.25">
      <c r="A83" s="120">
        <v>0.55000000000000004</v>
      </c>
      <c r="B83" s="79">
        <v>1</v>
      </c>
    </row>
    <row r="84" spans="1:2" x14ac:dyDescent="0.25">
      <c r="A84" s="120">
        <v>0.55500000000000005</v>
      </c>
      <c r="B84" s="79">
        <v>5</v>
      </c>
    </row>
    <row r="85" spans="1:2" x14ac:dyDescent="0.25">
      <c r="A85" s="120">
        <v>0.55999999999999994</v>
      </c>
      <c r="B85" s="79">
        <v>2</v>
      </c>
    </row>
    <row r="86" spans="1:2" x14ac:dyDescent="0.25">
      <c r="A86" s="120">
        <v>0.56000000000000005</v>
      </c>
      <c r="B86" s="79">
        <v>1</v>
      </c>
    </row>
    <row r="87" spans="1:2" x14ac:dyDescent="0.25">
      <c r="A87" s="120">
        <v>0.56500000000000006</v>
      </c>
      <c r="B87" s="79">
        <v>2</v>
      </c>
    </row>
    <row r="88" spans="1:2" x14ac:dyDescent="0.25">
      <c r="A88" s="120">
        <v>0.56999999999999995</v>
      </c>
      <c r="B88" s="79">
        <v>1</v>
      </c>
    </row>
    <row r="89" spans="1:2" x14ac:dyDescent="0.25">
      <c r="A89" s="120">
        <v>0.57000000000000006</v>
      </c>
      <c r="B89" s="79">
        <v>1</v>
      </c>
    </row>
    <row r="90" spans="1:2" x14ac:dyDescent="0.25">
      <c r="A90" s="120">
        <v>0.57500000000000007</v>
      </c>
      <c r="B90" s="79">
        <v>4</v>
      </c>
    </row>
    <row r="91" spans="1:2" x14ac:dyDescent="0.25">
      <c r="A91" s="120">
        <v>0.57750000000000001</v>
      </c>
      <c r="B91" s="79">
        <v>1</v>
      </c>
    </row>
    <row r="92" spans="1:2" x14ac:dyDescent="0.25">
      <c r="A92" s="120">
        <v>0.58000000000000007</v>
      </c>
      <c r="B92" s="79">
        <v>3</v>
      </c>
    </row>
    <row r="93" spans="1:2" x14ac:dyDescent="0.25">
      <c r="A93" s="120">
        <v>0.58250000000000002</v>
      </c>
      <c r="B93" s="79">
        <v>2</v>
      </c>
    </row>
    <row r="94" spans="1:2" x14ac:dyDescent="0.25">
      <c r="A94" s="120">
        <v>0.58499999999999996</v>
      </c>
      <c r="B94" s="79">
        <v>4</v>
      </c>
    </row>
    <row r="95" spans="1:2" x14ac:dyDescent="0.25">
      <c r="A95" s="120">
        <v>0.58500000000000008</v>
      </c>
      <c r="B95" s="79">
        <v>3</v>
      </c>
    </row>
    <row r="96" spans="1:2" x14ac:dyDescent="0.25">
      <c r="A96" s="120">
        <v>0.58750000000000002</v>
      </c>
      <c r="B96" s="79">
        <v>3</v>
      </c>
    </row>
    <row r="97" spans="1:2" x14ac:dyDescent="0.25">
      <c r="A97" s="120">
        <v>0.59499999999999997</v>
      </c>
      <c r="B97" s="79">
        <v>3</v>
      </c>
    </row>
    <row r="98" spans="1:2" x14ac:dyDescent="0.25">
      <c r="A98" s="120">
        <v>0.59500000000000008</v>
      </c>
      <c r="B98" s="79">
        <v>2</v>
      </c>
    </row>
    <row r="99" spans="1:2" x14ac:dyDescent="0.25">
      <c r="A99" s="120">
        <v>0.59750000000000003</v>
      </c>
      <c r="B99" s="79">
        <v>1</v>
      </c>
    </row>
    <row r="100" spans="1:2" x14ac:dyDescent="0.25">
      <c r="A100" s="120">
        <v>0.60499999999999998</v>
      </c>
      <c r="B100" s="79">
        <v>2</v>
      </c>
    </row>
    <row r="101" spans="1:2" x14ac:dyDescent="0.25">
      <c r="A101" s="120">
        <v>0.60500000000000009</v>
      </c>
      <c r="B101" s="79">
        <v>1</v>
      </c>
    </row>
    <row r="102" spans="1:2" x14ac:dyDescent="0.25">
      <c r="A102" s="120">
        <v>0.60750000000000004</v>
      </c>
      <c r="B102" s="79">
        <v>2</v>
      </c>
    </row>
    <row r="103" spans="1:2" x14ac:dyDescent="0.25">
      <c r="A103" s="120">
        <v>0.61</v>
      </c>
      <c r="B103" s="79">
        <v>2</v>
      </c>
    </row>
    <row r="104" spans="1:2" x14ac:dyDescent="0.25">
      <c r="A104" s="120">
        <v>0.6100000000000001</v>
      </c>
      <c r="B104" s="79">
        <v>1</v>
      </c>
    </row>
    <row r="105" spans="1:2" x14ac:dyDescent="0.25">
      <c r="A105" s="120">
        <v>0.61499999999999999</v>
      </c>
      <c r="B105" s="79">
        <v>1</v>
      </c>
    </row>
    <row r="106" spans="1:2" x14ac:dyDescent="0.25">
      <c r="A106" s="120">
        <v>0.6150000000000001</v>
      </c>
      <c r="B106" s="79">
        <v>3</v>
      </c>
    </row>
    <row r="107" spans="1:2" x14ac:dyDescent="0.25">
      <c r="A107" s="120">
        <v>0.61900000000000011</v>
      </c>
      <c r="B107" s="79">
        <v>1</v>
      </c>
    </row>
    <row r="108" spans="1:2" x14ac:dyDescent="0.25">
      <c r="A108" s="120">
        <v>0.62</v>
      </c>
      <c r="B108" s="79">
        <v>1</v>
      </c>
    </row>
    <row r="109" spans="1:2" x14ac:dyDescent="0.25">
      <c r="A109" s="120">
        <v>0.62000000000000011</v>
      </c>
      <c r="B109" s="79">
        <v>4</v>
      </c>
    </row>
    <row r="110" spans="1:2" x14ac:dyDescent="0.25">
      <c r="A110" s="120">
        <v>0.62900000000000011</v>
      </c>
      <c r="B110" s="79">
        <v>2</v>
      </c>
    </row>
    <row r="111" spans="1:2" x14ac:dyDescent="0.25">
      <c r="A111" s="120">
        <v>0.63</v>
      </c>
      <c r="B111" s="79">
        <v>5</v>
      </c>
    </row>
    <row r="112" spans="1:2" x14ac:dyDescent="0.25">
      <c r="A112" s="120">
        <v>0.63000000000000012</v>
      </c>
      <c r="B112" s="79">
        <v>2</v>
      </c>
    </row>
    <row r="113" spans="1:2" x14ac:dyDescent="0.25">
      <c r="A113" s="120">
        <v>0.63250000000000006</v>
      </c>
      <c r="B113" s="79">
        <v>2</v>
      </c>
    </row>
    <row r="114" spans="1:2" x14ac:dyDescent="0.25">
      <c r="A114" s="120">
        <v>0.63500000000000001</v>
      </c>
      <c r="B114" s="79">
        <v>5</v>
      </c>
    </row>
    <row r="115" spans="1:2" x14ac:dyDescent="0.25">
      <c r="A115" s="120">
        <v>0.63749999999999996</v>
      </c>
      <c r="B115" s="79">
        <v>1</v>
      </c>
    </row>
    <row r="116" spans="1:2" x14ac:dyDescent="0.25">
      <c r="A116" s="120">
        <v>0.63900000000000012</v>
      </c>
      <c r="B116" s="79">
        <v>2</v>
      </c>
    </row>
    <row r="117" spans="1:2" x14ac:dyDescent="0.25">
      <c r="A117" s="120">
        <v>0.64</v>
      </c>
      <c r="B117" s="79">
        <v>6</v>
      </c>
    </row>
    <row r="118" spans="1:2" x14ac:dyDescent="0.25">
      <c r="A118" s="120">
        <v>0.64500000000000013</v>
      </c>
      <c r="B118" s="79">
        <v>11</v>
      </c>
    </row>
    <row r="119" spans="1:2" x14ac:dyDescent="0.25">
      <c r="A119" s="120">
        <v>0.64900000000000013</v>
      </c>
      <c r="B119" s="79">
        <v>1</v>
      </c>
    </row>
    <row r="120" spans="1:2" x14ac:dyDescent="0.25">
      <c r="A120" s="120">
        <v>0.65</v>
      </c>
      <c r="B120" s="79">
        <v>7</v>
      </c>
    </row>
    <row r="121" spans="1:2" x14ac:dyDescent="0.25">
      <c r="A121" s="120">
        <v>0.65500000000000003</v>
      </c>
      <c r="B121" s="79">
        <v>5</v>
      </c>
    </row>
    <row r="122" spans="1:2" x14ac:dyDescent="0.25">
      <c r="A122" s="120">
        <v>0.65500000000000014</v>
      </c>
      <c r="B122" s="79">
        <v>4</v>
      </c>
    </row>
    <row r="123" spans="1:2" x14ac:dyDescent="0.25">
      <c r="A123" s="120">
        <v>0.66500000000000004</v>
      </c>
      <c r="B123" s="79">
        <v>7</v>
      </c>
    </row>
    <row r="124" spans="1:2" x14ac:dyDescent="0.25">
      <c r="A124" s="120">
        <v>0.66500000000000015</v>
      </c>
      <c r="B124" s="79">
        <v>1</v>
      </c>
    </row>
    <row r="125" spans="1:2" x14ac:dyDescent="0.25">
      <c r="A125" s="120">
        <v>0.66900000000000015</v>
      </c>
      <c r="B125" s="79">
        <v>1</v>
      </c>
    </row>
    <row r="126" spans="1:2" x14ac:dyDescent="0.25">
      <c r="A126" s="120">
        <v>0.67</v>
      </c>
      <c r="B126" s="79">
        <v>6</v>
      </c>
    </row>
    <row r="127" spans="1:2" x14ac:dyDescent="0.25">
      <c r="A127" s="120">
        <v>0.67249999999999999</v>
      </c>
      <c r="B127" s="79">
        <v>2</v>
      </c>
    </row>
    <row r="128" spans="1:2" x14ac:dyDescent="0.25">
      <c r="A128" s="120">
        <v>0.67500000000000004</v>
      </c>
      <c r="B128" s="79">
        <v>4</v>
      </c>
    </row>
    <row r="129" spans="1:2" x14ac:dyDescent="0.25">
      <c r="A129" s="120">
        <v>0.67500000000000016</v>
      </c>
      <c r="B129" s="79">
        <v>1</v>
      </c>
    </row>
    <row r="130" spans="1:2" x14ac:dyDescent="0.25">
      <c r="A130" s="120">
        <v>0.67749999999999999</v>
      </c>
      <c r="B130" s="79">
        <v>1</v>
      </c>
    </row>
    <row r="131" spans="1:2" x14ac:dyDescent="0.25">
      <c r="A131" s="120">
        <v>0.67900000000000005</v>
      </c>
      <c r="B131" s="79">
        <v>1</v>
      </c>
    </row>
    <row r="132" spans="1:2" x14ac:dyDescent="0.25">
      <c r="A132" s="120">
        <v>0.67900000000000016</v>
      </c>
      <c r="B132" s="79">
        <v>2</v>
      </c>
    </row>
    <row r="133" spans="1:2" x14ac:dyDescent="0.25">
      <c r="A133" s="120">
        <v>0.68</v>
      </c>
      <c r="B133" s="79">
        <v>14</v>
      </c>
    </row>
    <row r="134" spans="1:2" x14ac:dyDescent="0.25">
      <c r="A134" s="120">
        <v>0.68499999999999994</v>
      </c>
      <c r="B134" s="79">
        <v>1</v>
      </c>
    </row>
    <row r="135" spans="1:2" x14ac:dyDescent="0.25">
      <c r="A135" s="120">
        <v>0.68500000000000005</v>
      </c>
      <c r="B135" s="79">
        <v>3</v>
      </c>
    </row>
    <row r="136" spans="1:2" x14ac:dyDescent="0.25">
      <c r="A136" s="120">
        <v>0.68500000000000016</v>
      </c>
      <c r="B136" s="79">
        <v>1</v>
      </c>
    </row>
    <row r="137" spans="1:2" x14ac:dyDescent="0.25">
      <c r="A137" s="120">
        <v>0.68900000000000006</v>
      </c>
      <c r="B137" s="79">
        <v>1</v>
      </c>
    </row>
    <row r="138" spans="1:2" x14ac:dyDescent="0.25">
      <c r="A138" s="120">
        <v>0.68900000000000017</v>
      </c>
      <c r="B138" s="79">
        <v>2</v>
      </c>
    </row>
    <row r="139" spans="1:2" x14ac:dyDescent="0.25">
      <c r="A139" s="120">
        <v>0.69000000000000006</v>
      </c>
      <c r="B139" s="79">
        <v>10</v>
      </c>
    </row>
    <row r="140" spans="1:2" x14ac:dyDescent="0.25">
      <c r="A140" s="120">
        <v>0.69499999999999995</v>
      </c>
      <c r="B140" s="79">
        <v>7</v>
      </c>
    </row>
    <row r="141" spans="1:2" x14ac:dyDescent="0.25">
      <c r="A141" s="120">
        <v>0.69500000000000006</v>
      </c>
      <c r="B141" s="79">
        <v>10</v>
      </c>
    </row>
    <row r="142" spans="1:2" x14ac:dyDescent="0.25">
      <c r="A142" s="120">
        <v>0.69900000000000018</v>
      </c>
      <c r="B142" s="79">
        <v>1</v>
      </c>
    </row>
    <row r="143" spans="1:2" x14ac:dyDescent="0.25">
      <c r="A143" s="120">
        <v>0.70000000000000007</v>
      </c>
      <c r="B143" s="79">
        <v>12</v>
      </c>
    </row>
    <row r="144" spans="1:2" x14ac:dyDescent="0.25">
      <c r="A144" s="120">
        <v>0.70499999999999996</v>
      </c>
      <c r="B144" s="79">
        <v>6</v>
      </c>
    </row>
    <row r="145" spans="1:2" x14ac:dyDescent="0.25">
      <c r="A145" s="120">
        <v>0.70500000000000007</v>
      </c>
      <c r="B145" s="79">
        <v>7</v>
      </c>
    </row>
    <row r="146" spans="1:2" x14ac:dyDescent="0.25">
      <c r="A146" s="120">
        <v>0.71000000000000008</v>
      </c>
      <c r="B146" s="79">
        <v>3</v>
      </c>
    </row>
    <row r="147" spans="1:2" x14ac:dyDescent="0.25">
      <c r="A147" s="120">
        <v>0.71499999999999997</v>
      </c>
      <c r="B147" s="79">
        <v>4</v>
      </c>
    </row>
    <row r="148" spans="1:2" x14ac:dyDescent="0.25">
      <c r="A148" s="120">
        <v>0.71900000000000008</v>
      </c>
      <c r="B148" s="79">
        <v>1</v>
      </c>
    </row>
    <row r="149" spans="1:2" x14ac:dyDescent="0.25">
      <c r="A149" s="120">
        <v>0.72000000000000008</v>
      </c>
      <c r="B149" s="79">
        <v>9</v>
      </c>
    </row>
    <row r="150" spans="1:2" x14ac:dyDescent="0.25">
      <c r="A150" s="120">
        <v>0.72499999999999998</v>
      </c>
      <c r="B150" s="79">
        <v>4</v>
      </c>
    </row>
    <row r="151" spans="1:2" x14ac:dyDescent="0.25">
      <c r="A151" s="120">
        <v>0.72500000000000009</v>
      </c>
      <c r="B151" s="79">
        <v>3</v>
      </c>
    </row>
    <row r="152" spans="1:2" x14ac:dyDescent="0.25">
      <c r="A152" s="120">
        <v>0.72900000000000009</v>
      </c>
      <c r="B152" s="79">
        <v>2</v>
      </c>
    </row>
    <row r="153" spans="1:2" x14ac:dyDescent="0.25">
      <c r="A153" s="120">
        <v>0.73</v>
      </c>
      <c r="B153" s="79">
        <v>5</v>
      </c>
    </row>
    <row r="154" spans="1:2" x14ac:dyDescent="0.25">
      <c r="A154" s="120">
        <v>0.73000000000000009</v>
      </c>
      <c r="B154" s="79">
        <v>2</v>
      </c>
    </row>
    <row r="155" spans="1:2" x14ac:dyDescent="0.25">
      <c r="A155" s="120">
        <v>0.73499999999999999</v>
      </c>
      <c r="B155" s="79">
        <v>3</v>
      </c>
    </row>
    <row r="156" spans="1:2" x14ac:dyDescent="0.25">
      <c r="A156" s="120">
        <v>0.7350000000000001</v>
      </c>
      <c r="B156" s="79">
        <v>6</v>
      </c>
    </row>
    <row r="157" spans="1:2" x14ac:dyDescent="0.25">
      <c r="A157" s="120">
        <v>0.7390000000000001</v>
      </c>
      <c r="B157" s="79">
        <v>1</v>
      </c>
    </row>
    <row r="158" spans="1:2" x14ac:dyDescent="0.25">
      <c r="A158" s="120">
        <v>0.74</v>
      </c>
      <c r="B158" s="79">
        <v>4</v>
      </c>
    </row>
    <row r="159" spans="1:2" x14ac:dyDescent="0.25">
      <c r="A159" s="120">
        <v>0.7400000000000001</v>
      </c>
      <c r="B159" s="79">
        <v>2</v>
      </c>
    </row>
    <row r="160" spans="1:2" x14ac:dyDescent="0.25">
      <c r="A160" s="120">
        <v>0.745</v>
      </c>
      <c r="B160" s="79">
        <v>10</v>
      </c>
    </row>
    <row r="161" spans="1:2" x14ac:dyDescent="0.25">
      <c r="A161" s="120">
        <v>0.74500000000000011</v>
      </c>
      <c r="B161" s="79">
        <v>3</v>
      </c>
    </row>
    <row r="162" spans="1:2" x14ac:dyDescent="0.25">
      <c r="A162" s="120">
        <v>0.75</v>
      </c>
      <c r="B162" s="79">
        <v>4</v>
      </c>
    </row>
    <row r="163" spans="1:2" x14ac:dyDescent="0.25">
      <c r="A163" s="120">
        <v>0.75000000000000011</v>
      </c>
      <c r="B163" s="79">
        <v>2</v>
      </c>
    </row>
    <row r="164" spans="1:2" x14ac:dyDescent="0.25">
      <c r="A164" s="120">
        <v>0.755</v>
      </c>
      <c r="B164" s="79">
        <v>3</v>
      </c>
    </row>
    <row r="165" spans="1:2" x14ac:dyDescent="0.25">
      <c r="A165" s="120">
        <v>0.76</v>
      </c>
      <c r="B165" s="79">
        <v>3</v>
      </c>
    </row>
    <row r="166" spans="1:2" x14ac:dyDescent="0.25">
      <c r="A166" s="120">
        <v>0.76000000000000012</v>
      </c>
      <c r="B166" s="79">
        <v>2</v>
      </c>
    </row>
    <row r="167" spans="1:2" x14ac:dyDescent="0.25">
      <c r="A167" s="120">
        <v>0.76500000000000001</v>
      </c>
      <c r="B167" s="79">
        <v>4</v>
      </c>
    </row>
    <row r="168" spans="1:2" x14ac:dyDescent="0.25">
      <c r="A168" s="120">
        <v>0.76500000000000012</v>
      </c>
      <c r="B168" s="79">
        <v>1</v>
      </c>
    </row>
    <row r="169" spans="1:2" x14ac:dyDescent="0.25">
      <c r="A169" s="120">
        <v>0.76900000000000013</v>
      </c>
      <c r="B169" s="79">
        <v>1</v>
      </c>
    </row>
    <row r="170" spans="1:2" x14ac:dyDescent="0.25">
      <c r="A170" s="120">
        <v>0.77</v>
      </c>
      <c r="B170" s="79">
        <v>9</v>
      </c>
    </row>
    <row r="171" spans="1:2" x14ac:dyDescent="0.25">
      <c r="A171" s="120">
        <v>0.77000000000000013</v>
      </c>
      <c r="B171" s="79">
        <v>4</v>
      </c>
    </row>
    <row r="172" spans="1:2" x14ac:dyDescent="0.25">
      <c r="A172" s="120">
        <v>0.77500000000000002</v>
      </c>
      <c r="B172" s="79">
        <v>3</v>
      </c>
    </row>
    <row r="173" spans="1:2" x14ac:dyDescent="0.25">
      <c r="A173" s="120">
        <v>0.77900000000000014</v>
      </c>
      <c r="B173" s="79">
        <v>1</v>
      </c>
    </row>
    <row r="174" spans="1:2" x14ac:dyDescent="0.25">
      <c r="A174" s="120">
        <v>0.77999999999999992</v>
      </c>
      <c r="B174" s="79">
        <v>2</v>
      </c>
    </row>
    <row r="175" spans="1:2" x14ac:dyDescent="0.25">
      <c r="A175" s="120">
        <v>0.78</v>
      </c>
      <c r="B175" s="79">
        <v>4</v>
      </c>
    </row>
    <row r="176" spans="1:2" x14ac:dyDescent="0.25">
      <c r="A176" s="120">
        <v>0.78500000000000003</v>
      </c>
      <c r="B176" s="79">
        <v>10</v>
      </c>
    </row>
    <row r="177" spans="1:2" x14ac:dyDescent="0.25">
      <c r="A177" s="120">
        <v>0.78999999999999992</v>
      </c>
      <c r="B177" s="79">
        <v>3</v>
      </c>
    </row>
    <row r="178" spans="1:2" x14ac:dyDescent="0.25">
      <c r="A178" s="120">
        <v>0.79</v>
      </c>
      <c r="B178" s="79">
        <v>6</v>
      </c>
    </row>
    <row r="179" spans="1:2" x14ac:dyDescent="0.25">
      <c r="A179" s="120">
        <v>0.79499999999999993</v>
      </c>
      <c r="B179" s="79">
        <v>1</v>
      </c>
    </row>
    <row r="180" spans="1:2" x14ac:dyDescent="0.25">
      <c r="A180" s="120">
        <v>0.79500000000000004</v>
      </c>
      <c r="B180" s="79">
        <v>4</v>
      </c>
    </row>
    <row r="181" spans="1:2" x14ac:dyDescent="0.25">
      <c r="A181" s="120">
        <v>0.79999999999999993</v>
      </c>
      <c r="B181" s="79">
        <v>3</v>
      </c>
    </row>
    <row r="182" spans="1:2" x14ac:dyDescent="0.25">
      <c r="A182" s="120">
        <v>0.8</v>
      </c>
      <c r="B182" s="79">
        <v>2</v>
      </c>
    </row>
    <row r="183" spans="1:2" x14ac:dyDescent="0.25">
      <c r="A183" s="120">
        <v>0.80500000000000005</v>
      </c>
      <c r="B183" s="79">
        <v>8</v>
      </c>
    </row>
    <row r="184" spans="1:2" x14ac:dyDescent="0.25">
      <c r="A184" s="120">
        <v>0.80999999999999994</v>
      </c>
      <c r="B184" s="79">
        <v>2</v>
      </c>
    </row>
    <row r="185" spans="1:2" x14ac:dyDescent="0.25">
      <c r="A185" s="120">
        <v>0.81</v>
      </c>
      <c r="B185" s="79">
        <v>4</v>
      </c>
    </row>
    <row r="186" spans="1:2" x14ac:dyDescent="0.25">
      <c r="A186" s="120">
        <v>0.81500000000000006</v>
      </c>
      <c r="B186" s="79">
        <v>4</v>
      </c>
    </row>
    <row r="187" spans="1:2" x14ac:dyDescent="0.25">
      <c r="A187" s="120">
        <v>0.82000000000000006</v>
      </c>
      <c r="B187" s="79">
        <v>2</v>
      </c>
    </row>
    <row r="188" spans="1:2" x14ac:dyDescent="0.25">
      <c r="A188" s="120">
        <v>0.82500000000000007</v>
      </c>
      <c r="B188" s="79">
        <v>3</v>
      </c>
    </row>
    <row r="189" spans="1:2" x14ac:dyDescent="0.25">
      <c r="A189" s="120">
        <v>0.83</v>
      </c>
      <c r="B189" s="79">
        <v>2</v>
      </c>
    </row>
    <row r="190" spans="1:2" x14ac:dyDescent="0.25">
      <c r="A190" s="120">
        <v>0.83499999999999996</v>
      </c>
      <c r="B190" s="79">
        <v>3</v>
      </c>
    </row>
    <row r="191" spans="1:2" x14ac:dyDescent="0.25">
      <c r="A191" s="120">
        <v>0.84</v>
      </c>
      <c r="B191" s="79">
        <v>4</v>
      </c>
    </row>
    <row r="192" spans="1:2" x14ac:dyDescent="0.25">
      <c r="A192" s="120">
        <v>0.84000000000000008</v>
      </c>
      <c r="B192" s="79">
        <v>2</v>
      </c>
    </row>
    <row r="193" spans="1:2" x14ac:dyDescent="0.25">
      <c r="A193" s="120">
        <v>0.84500000000000008</v>
      </c>
      <c r="B193" s="79">
        <v>1</v>
      </c>
    </row>
    <row r="194" spans="1:2" x14ac:dyDescent="0.25">
      <c r="A194" s="120">
        <v>0.85</v>
      </c>
      <c r="B194" s="79">
        <v>8</v>
      </c>
    </row>
    <row r="195" spans="1:2" x14ac:dyDescent="0.25">
      <c r="A195" s="120">
        <v>0.85000000000000009</v>
      </c>
      <c r="B195" s="79">
        <v>2</v>
      </c>
    </row>
    <row r="196" spans="1:2" x14ac:dyDescent="0.25">
      <c r="A196" s="120">
        <v>0.85499999999999998</v>
      </c>
      <c r="B196" s="79">
        <v>2</v>
      </c>
    </row>
    <row r="197" spans="1:2" x14ac:dyDescent="0.25">
      <c r="A197" s="120">
        <v>0.85500000000000009</v>
      </c>
      <c r="B197" s="79">
        <v>1</v>
      </c>
    </row>
    <row r="198" spans="1:2" x14ac:dyDescent="0.25">
      <c r="A198" s="120">
        <v>0.86</v>
      </c>
      <c r="B198" s="79">
        <v>4</v>
      </c>
    </row>
    <row r="199" spans="1:2" x14ac:dyDescent="0.25">
      <c r="A199" s="120">
        <v>0.8600000000000001</v>
      </c>
      <c r="B199" s="79">
        <v>2</v>
      </c>
    </row>
    <row r="200" spans="1:2" x14ac:dyDescent="0.25">
      <c r="A200" s="120">
        <v>0.86499999999999999</v>
      </c>
      <c r="B200" s="79">
        <v>1</v>
      </c>
    </row>
    <row r="201" spans="1:2" x14ac:dyDescent="0.25">
      <c r="A201" s="120">
        <v>0.8650000000000001</v>
      </c>
      <c r="B201" s="79">
        <v>5</v>
      </c>
    </row>
    <row r="202" spans="1:2" x14ac:dyDescent="0.25">
      <c r="A202" s="120">
        <v>0.87</v>
      </c>
      <c r="B202" s="79">
        <v>2</v>
      </c>
    </row>
    <row r="203" spans="1:2" x14ac:dyDescent="0.25">
      <c r="A203" s="120">
        <v>0.875</v>
      </c>
      <c r="B203" s="79">
        <v>2</v>
      </c>
    </row>
    <row r="204" spans="1:2" x14ac:dyDescent="0.25">
      <c r="A204" s="120">
        <v>0.87500000000000011</v>
      </c>
      <c r="B204" s="79">
        <v>3</v>
      </c>
    </row>
    <row r="205" spans="1:2" x14ac:dyDescent="0.25">
      <c r="A205" s="120">
        <v>0.88500000000000012</v>
      </c>
      <c r="B205" s="79">
        <v>2</v>
      </c>
    </row>
    <row r="206" spans="1:2" x14ac:dyDescent="0.25">
      <c r="A206" s="120">
        <v>0.89</v>
      </c>
      <c r="B206" s="79">
        <v>4</v>
      </c>
    </row>
    <row r="207" spans="1:2" x14ac:dyDescent="0.25">
      <c r="A207" s="120">
        <v>0.89500000000000002</v>
      </c>
      <c r="B207" s="79">
        <v>2</v>
      </c>
    </row>
    <row r="208" spans="1:2" x14ac:dyDescent="0.25">
      <c r="A208" s="120">
        <v>0.89999999999999991</v>
      </c>
      <c r="B208" s="79">
        <v>2</v>
      </c>
    </row>
    <row r="209" spans="1:2" x14ac:dyDescent="0.25">
      <c r="A209" s="120">
        <v>0.9</v>
      </c>
      <c r="B209" s="79">
        <v>3</v>
      </c>
    </row>
    <row r="210" spans="1:2" x14ac:dyDescent="0.25">
      <c r="A210" s="120">
        <v>0.90500000000000003</v>
      </c>
      <c r="B210" s="79">
        <v>2</v>
      </c>
    </row>
    <row r="211" spans="1:2" x14ac:dyDescent="0.25">
      <c r="A211" s="120">
        <v>0.91500000000000004</v>
      </c>
      <c r="B211" s="79">
        <v>1</v>
      </c>
    </row>
    <row r="212" spans="1:2" x14ac:dyDescent="0.25">
      <c r="A212" s="120">
        <v>0.92500000000000004</v>
      </c>
      <c r="B212" s="79">
        <v>2</v>
      </c>
    </row>
    <row r="213" spans="1:2" x14ac:dyDescent="0.25">
      <c r="A213" s="120">
        <v>0.94</v>
      </c>
      <c r="B213" s="79">
        <v>2</v>
      </c>
    </row>
    <row r="214" spans="1:2" x14ac:dyDescent="0.25">
      <c r="A214" s="120">
        <v>0.94000000000000006</v>
      </c>
      <c r="B214" s="79">
        <v>3</v>
      </c>
    </row>
    <row r="215" spans="1:2" x14ac:dyDescent="0.25">
      <c r="A215" s="120">
        <v>0.94500000000000006</v>
      </c>
      <c r="B215" s="79">
        <v>1</v>
      </c>
    </row>
    <row r="216" spans="1:2" x14ac:dyDescent="0.25">
      <c r="A216" s="120">
        <v>0.95500000000000007</v>
      </c>
      <c r="B216" s="79">
        <v>1</v>
      </c>
    </row>
    <row r="217" spans="1:2" x14ac:dyDescent="0.25">
      <c r="A217" s="120">
        <v>0.96500000000000008</v>
      </c>
      <c r="B217" s="79">
        <v>2</v>
      </c>
    </row>
    <row r="218" spans="1:2" x14ac:dyDescent="0.25">
      <c r="A218" s="120">
        <v>0.93</v>
      </c>
      <c r="B218" s="79">
        <v>1</v>
      </c>
    </row>
    <row r="219" spans="1:2" x14ac:dyDescent="0.25">
      <c r="A219" s="120">
        <v>0.88</v>
      </c>
      <c r="B219" s="79">
        <v>1</v>
      </c>
    </row>
    <row r="220" spans="1:2" x14ac:dyDescent="0.25">
      <c r="A220" s="120">
        <v>0.72</v>
      </c>
      <c r="B220" s="79">
        <v>1</v>
      </c>
    </row>
    <row r="221" spans="1:2" x14ac:dyDescent="0.25">
      <c r="A221" s="120" t="s">
        <v>709</v>
      </c>
      <c r="B221" s="79">
        <v>858</v>
      </c>
    </row>
    <row r="222" spans="1:2" x14ac:dyDescent="0.25">
      <c r="A222"/>
      <c r="B222"/>
    </row>
    <row r="223" spans="1:2" x14ac:dyDescent="0.25">
      <c r="A223"/>
      <c r="B223"/>
    </row>
    <row r="224" spans="1:2" x14ac:dyDescent="0.25">
      <c r="A224"/>
      <c r="B224"/>
    </row>
    <row r="225" spans="1:4" x14ac:dyDescent="0.25">
      <c r="B225" s="79"/>
    </row>
    <row r="226" spans="1:4" x14ac:dyDescent="0.25">
      <c r="B226" s="79"/>
    </row>
    <row r="227" spans="1:4" x14ac:dyDescent="0.25">
      <c r="A227" s="79" t="s">
        <v>146</v>
      </c>
      <c r="B227" s="79" t="s">
        <v>710</v>
      </c>
      <c r="C227" s="79" t="s">
        <v>713</v>
      </c>
      <c r="D227" s="79" t="s">
        <v>715</v>
      </c>
    </row>
    <row r="228" spans="1:4" x14ac:dyDescent="0.25">
      <c r="A228" s="121" t="s">
        <v>15</v>
      </c>
      <c r="B228" s="79">
        <v>204</v>
      </c>
      <c r="C228" s="122">
        <v>38732</v>
      </c>
      <c r="D228" s="123">
        <v>0.29425126681810237</v>
      </c>
    </row>
    <row r="229" spans="1:4" x14ac:dyDescent="0.25">
      <c r="A229" s="121" t="s">
        <v>204</v>
      </c>
      <c r="B229" s="79">
        <v>253</v>
      </c>
      <c r="C229" s="122">
        <v>43091</v>
      </c>
      <c r="D229" s="123">
        <v>0.32736706956673683</v>
      </c>
    </row>
    <row r="230" spans="1:4" x14ac:dyDescent="0.25">
      <c r="A230" s="121" t="s">
        <v>205</v>
      </c>
      <c r="B230" s="79">
        <v>345</v>
      </c>
      <c r="C230" s="122">
        <v>49806</v>
      </c>
      <c r="D230" s="123">
        <v>0.37838166361516079</v>
      </c>
    </row>
    <row r="231" spans="1:4" x14ac:dyDescent="0.25">
      <c r="A231" s="121" t="s">
        <v>709</v>
      </c>
      <c r="B231" s="79">
        <v>802</v>
      </c>
      <c r="C231" s="122">
        <v>131629</v>
      </c>
      <c r="D231" s="123">
        <v>1</v>
      </c>
    </row>
    <row r="232" spans="1:4" x14ac:dyDescent="0.25">
      <c r="A232"/>
      <c r="B232"/>
      <c r="C232"/>
      <c r="D232"/>
    </row>
    <row r="233" spans="1:4" x14ac:dyDescent="0.25">
      <c r="A233" s="79" t="s">
        <v>712</v>
      </c>
      <c r="B233" s="79" t="s">
        <v>205</v>
      </c>
    </row>
    <row r="234" spans="1:4" x14ac:dyDescent="0.25">
      <c r="B234" s="79"/>
    </row>
    <row r="235" spans="1:4" x14ac:dyDescent="0.25">
      <c r="A235" s="79" t="s">
        <v>146</v>
      </c>
      <c r="B235" s="79" t="s">
        <v>713</v>
      </c>
    </row>
    <row r="236" spans="1:4" x14ac:dyDescent="0.25">
      <c r="A236" s="120">
        <v>0.27499999999999997</v>
      </c>
      <c r="B236" s="79">
        <v>111</v>
      </c>
    </row>
    <row r="237" spans="1:4" x14ac:dyDescent="0.25">
      <c r="A237" s="124" t="s">
        <v>320</v>
      </c>
      <c r="B237" s="79">
        <v>111</v>
      </c>
    </row>
    <row r="238" spans="1:4" x14ac:dyDescent="0.25">
      <c r="A238" s="120">
        <v>0.32</v>
      </c>
      <c r="B238" s="79">
        <v>340</v>
      </c>
    </row>
    <row r="239" spans="1:4" x14ac:dyDescent="0.25">
      <c r="A239" s="124" t="s">
        <v>411</v>
      </c>
      <c r="B239" s="79">
        <v>170</v>
      </c>
    </row>
    <row r="240" spans="1:4" x14ac:dyDescent="0.25">
      <c r="A240" s="124" t="s">
        <v>479</v>
      </c>
      <c r="B240" s="79">
        <v>170</v>
      </c>
    </row>
    <row r="241" spans="1:2" x14ac:dyDescent="0.25">
      <c r="A241" s="120">
        <v>0.32000000000000006</v>
      </c>
      <c r="B241" s="79">
        <v>340</v>
      </c>
    </row>
    <row r="242" spans="1:2" x14ac:dyDescent="0.25">
      <c r="A242" s="124" t="s">
        <v>554</v>
      </c>
      <c r="B242" s="79">
        <v>170</v>
      </c>
    </row>
    <row r="243" spans="1:2" x14ac:dyDescent="0.25">
      <c r="A243" s="124" t="s">
        <v>572</v>
      </c>
      <c r="B243" s="79">
        <v>170</v>
      </c>
    </row>
    <row r="244" spans="1:2" x14ac:dyDescent="0.25">
      <c r="A244" s="120">
        <v>0.32499999999999996</v>
      </c>
      <c r="B244" s="79">
        <v>232</v>
      </c>
    </row>
    <row r="245" spans="1:2" x14ac:dyDescent="0.25">
      <c r="A245" s="124" t="s">
        <v>369</v>
      </c>
      <c r="B245" s="79">
        <v>116</v>
      </c>
    </row>
    <row r="246" spans="1:2" x14ac:dyDescent="0.25">
      <c r="A246" s="124" t="s">
        <v>471</v>
      </c>
      <c r="B246" s="79">
        <v>116</v>
      </c>
    </row>
    <row r="247" spans="1:2" x14ac:dyDescent="0.25">
      <c r="A247" s="120">
        <v>0.32500000000000001</v>
      </c>
      <c r="B247" s="79">
        <v>448</v>
      </c>
    </row>
    <row r="248" spans="1:2" x14ac:dyDescent="0.25">
      <c r="A248" s="124" t="s">
        <v>548</v>
      </c>
      <c r="B248" s="79">
        <v>116</v>
      </c>
    </row>
    <row r="249" spans="1:2" x14ac:dyDescent="0.25">
      <c r="A249" s="124" t="s">
        <v>566</v>
      </c>
      <c r="B249" s="79">
        <v>116</v>
      </c>
    </row>
    <row r="250" spans="1:2" x14ac:dyDescent="0.25">
      <c r="A250" s="124" t="s">
        <v>654</v>
      </c>
      <c r="B250" s="79">
        <v>108</v>
      </c>
    </row>
    <row r="251" spans="1:2" x14ac:dyDescent="0.25">
      <c r="A251" s="124" t="s">
        <v>666</v>
      </c>
      <c r="B251" s="79">
        <v>108</v>
      </c>
    </row>
    <row r="252" spans="1:2" x14ac:dyDescent="0.25">
      <c r="A252" s="120">
        <v>0.33</v>
      </c>
      <c r="B252" s="79">
        <v>173</v>
      </c>
    </row>
    <row r="253" spans="1:2" x14ac:dyDescent="0.25">
      <c r="A253" s="124" t="s">
        <v>555</v>
      </c>
      <c r="B253" s="79">
        <v>173</v>
      </c>
    </row>
    <row r="254" spans="1:2" x14ac:dyDescent="0.25">
      <c r="A254" s="120">
        <v>0.33000000000000007</v>
      </c>
      <c r="B254" s="79">
        <v>306</v>
      </c>
    </row>
    <row r="255" spans="1:2" x14ac:dyDescent="0.25">
      <c r="A255" s="124" t="s">
        <v>663</v>
      </c>
      <c r="B255" s="79">
        <v>153</v>
      </c>
    </row>
    <row r="256" spans="1:2" x14ac:dyDescent="0.25">
      <c r="A256" s="124" t="s">
        <v>672</v>
      </c>
      <c r="B256" s="79">
        <v>153</v>
      </c>
    </row>
    <row r="257" spans="1:2" x14ac:dyDescent="0.25">
      <c r="A257" s="120">
        <v>0.33500000000000002</v>
      </c>
      <c r="B257" s="79">
        <v>513</v>
      </c>
    </row>
    <row r="258" spans="1:2" x14ac:dyDescent="0.25">
      <c r="A258" s="124" t="s">
        <v>376</v>
      </c>
      <c r="B258" s="79">
        <v>176</v>
      </c>
    </row>
    <row r="259" spans="1:2" x14ac:dyDescent="0.25">
      <c r="A259" s="124" t="s">
        <v>470</v>
      </c>
      <c r="B259" s="79">
        <v>176</v>
      </c>
    </row>
    <row r="260" spans="1:2" x14ac:dyDescent="0.25">
      <c r="A260" s="124" t="s">
        <v>655</v>
      </c>
      <c r="B260" s="79">
        <v>161</v>
      </c>
    </row>
    <row r="261" spans="1:2" x14ac:dyDescent="0.25">
      <c r="A261" s="120">
        <v>0.34</v>
      </c>
      <c r="B261" s="79">
        <v>833</v>
      </c>
    </row>
    <row r="262" spans="1:2" x14ac:dyDescent="0.25">
      <c r="A262" s="124" t="s">
        <v>490</v>
      </c>
      <c r="B262" s="79">
        <v>160</v>
      </c>
    </row>
    <row r="263" spans="1:2" x14ac:dyDescent="0.25">
      <c r="A263" s="124" t="s">
        <v>520</v>
      </c>
      <c r="B263" s="79">
        <v>173</v>
      </c>
    </row>
    <row r="264" spans="1:2" x14ac:dyDescent="0.25">
      <c r="A264" s="124" t="s">
        <v>563</v>
      </c>
      <c r="B264" s="79">
        <v>170</v>
      </c>
    </row>
    <row r="265" spans="1:2" x14ac:dyDescent="0.25">
      <c r="A265" s="124" t="s">
        <v>564</v>
      </c>
      <c r="B265" s="79">
        <v>170</v>
      </c>
    </row>
    <row r="266" spans="1:2" x14ac:dyDescent="0.25">
      <c r="A266" s="124" t="s">
        <v>611</v>
      </c>
      <c r="B266" s="79">
        <v>160</v>
      </c>
    </row>
    <row r="267" spans="1:2" x14ac:dyDescent="0.25">
      <c r="A267" s="120">
        <v>0.34499999999999997</v>
      </c>
      <c r="B267" s="79">
        <v>703</v>
      </c>
    </row>
    <row r="268" spans="1:2" x14ac:dyDescent="0.25">
      <c r="A268" s="124" t="s">
        <v>255</v>
      </c>
      <c r="B268" s="79">
        <v>121</v>
      </c>
    </row>
    <row r="269" spans="1:2" x14ac:dyDescent="0.25">
      <c r="A269" s="124" t="s">
        <v>264</v>
      </c>
      <c r="B269" s="79">
        <v>121</v>
      </c>
    </row>
    <row r="270" spans="1:2" x14ac:dyDescent="0.25">
      <c r="A270" s="124" t="s">
        <v>266</v>
      </c>
      <c r="B270" s="79">
        <v>111</v>
      </c>
    </row>
    <row r="271" spans="1:2" x14ac:dyDescent="0.25">
      <c r="A271" s="124" t="s">
        <v>378</v>
      </c>
      <c r="B271" s="79">
        <v>117</v>
      </c>
    </row>
    <row r="272" spans="1:2" x14ac:dyDescent="0.25">
      <c r="A272" s="124" t="s">
        <v>473</v>
      </c>
      <c r="B272" s="79">
        <v>117</v>
      </c>
    </row>
    <row r="273" spans="1:2" x14ac:dyDescent="0.25">
      <c r="A273" s="124" t="s">
        <v>556</v>
      </c>
      <c r="B273" s="79">
        <v>116</v>
      </c>
    </row>
    <row r="274" spans="1:2" x14ac:dyDescent="0.25">
      <c r="A274" s="120">
        <v>0.34500000000000003</v>
      </c>
      <c r="B274" s="79">
        <v>796</v>
      </c>
    </row>
    <row r="275" spans="1:2" x14ac:dyDescent="0.25">
      <c r="A275" s="124" t="s">
        <v>417</v>
      </c>
      <c r="B275" s="79">
        <v>173</v>
      </c>
    </row>
    <row r="276" spans="1:2" x14ac:dyDescent="0.25">
      <c r="A276" s="124" t="s">
        <v>478</v>
      </c>
      <c r="B276" s="79">
        <v>173</v>
      </c>
    </row>
    <row r="277" spans="1:2" x14ac:dyDescent="0.25">
      <c r="A277" s="124" t="s">
        <v>549</v>
      </c>
      <c r="B277" s="79">
        <v>117</v>
      </c>
    </row>
    <row r="278" spans="1:2" x14ac:dyDescent="0.25">
      <c r="A278" s="124" t="s">
        <v>567</v>
      </c>
      <c r="B278" s="79">
        <v>117</v>
      </c>
    </row>
    <row r="279" spans="1:2" x14ac:dyDescent="0.25">
      <c r="A279" s="124" t="s">
        <v>656</v>
      </c>
      <c r="B279" s="79">
        <v>108</v>
      </c>
    </row>
    <row r="280" spans="1:2" x14ac:dyDescent="0.25">
      <c r="A280" s="124" t="s">
        <v>1113</v>
      </c>
      <c r="B280" s="79">
        <v>108</v>
      </c>
    </row>
    <row r="281" spans="1:2" x14ac:dyDescent="0.25">
      <c r="A281" s="120">
        <v>0.35000000000000003</v>
      </c>
      <c r="B281" s="79">
        <v>854</v>
      </c>
    </row>
    <row r="282" spans="1:2" x14ac:dyDescent="0.25">
      <c r="A282" s="124" t="s">
        <v>518</v>
      </c>
      <c r="B282" s="79">
        <v>170</v>
      </c>
    </row>
    <row r="283" spans="1:2" x14ac:dyDescent="0.25">
      <c r="A283" s="124" t="s">
        <v>530</v>
      </c>
      <c r="B283" s="79">
        <v>170</v>
      </c>
    </row>
    <row r="284" spans="1:2" x14ac:dyDescent="0.25">
      <c r="A284" s="124" t="s">
        <v>531</v>
      </c>
      <c r="B284" s="79">
        <v>170</v>
      </c>
    </row>
    <row r="285" spans="1:2" x14ac:dyDescent="0.25">
      <c r="A285" s="124" t="s">
        <v>542</v>
      </c>
      <c r="B285" s="79">
        <v>170</v>
      </c>
    </row>
    <row r="286" spans="1:2" x14ac:dyDescent="0.25">
      <c r="A286" s="124" t="s">
        <v>557</v>
      </c>
      <c r="B286" s="79">
        <v>174</v>
      </c>
    </row>
    <row r="287" spans="1:2" x14ac:dyDescent="0.25">
      <c r="A287" s="120">
        <v>0.35499999999999998</v>
      </c>
      <c r="B287" s="79">
        <v>1937</v>
      </c>
    </row>
    <row r="288" spans="1:2" x14ac:dyDescent="0.25">
      <c r="A288" s="124" t="s">
        <v>245</v>
      </c>
      <c r="B288" s="79">
        <v>75</v>
      </c>
    </row>
    <row r="289" spans="1:2" x14ac:dyDescent="0.25">
      <c r="A289" s="124" t="s">
        <v>253</v>
      </c>
      <c r="B289" s="79">
        <v>110</v>
      </c>
    </row>
    <row r="290" spans="1:2" x14ac:dyDescent="0.25">
      <c r="A290" s="124" t="s">
        <v>254</v>
      </c>
      <c r="B290" s="79">
        <v>75</v>
      </c>
    </row>
    <row r="291" spans="1:2" x14ac:dyDescent="0.25">
      <c r="A291" s="124" t="s">
        <v>262</v>
      </c>
      <c r="B291" s="79">
        <v>110</v>
      </c>
    </row>
    <row r="292" spans="1:2" x14ac:dyDescent="0.25">
      <c r="A292" s="124" t="s">
        <v>263</v>
      </c>
      <c r="B292" s="79">
        <v>120</v>
      </c>
    </row>
    <row r="293" spans="1:2" x14ac:dyDescent="0.25">
      <c r="A293" s="124" t="s">
        <v>267</v>
      </c>
      <c r="B293" s="79">
        <v>75</v>
      </c>
    </row>
    <row r="294" spans="1:2" x14ac:dyDescent="0.25">
      <c r="A294" s="124" t="s">
        <v>276</v>
      </c>
      <c r="B294" s="79">
        <v>120</v>
      </c>
    </row>
    <row r="295" spans="1:2" x14ac:dyDescent="0.25">
      <c r="A295" s="124" t="s">
        <v>278</v>
      </c>
      <c r="B295" s="79">
        <v>110</v>
      </c>
    </row>
    <row r="296" spans="1:2" x14ac:dyDescent="0.25">
      <c r="A296" s="124" t="s">
        <v>480</v>
      </c>
      <c r="B296" s="79">
        <v>106</v>
      </c>
    </row>
    <row r="297" spans="1:2" x14ac:dyDescent="0.25">
      <c r="A297" s="124" t="s">
        <v>491</v>
      </c>
      <c r="B297" s="79">
        <v>106</v>
      </c>
    </row>
    <row r="298" spans="1:2" x14ac:dyDescent="0.25">
      <c r="A298" s="124" t="s">
        <v>501</v>
      </c>
      <c r="B298" s="79">
        <v>106</v>
      </c>
    </row>
    <row r="299" spans="1:2" x14ac:dyDescent="0.25">
      <c r="A299" s="124" t="s">
        <v>510</v>
      </c>
      <c r="B299" s="79">
        <v>116</v>
      </c>
    </row>
    <row r="300" spans="1:2" x14ac:dyDescent="0.25">
      <c r="A300" s="124" t="s">
        <v>521</v>
      </c>
      <c r="B300" s="79">
        <v>116</v>
      </c>
    </row>
    <row r="301" spans="1:2" x14ac:dyDescent="0.25">
      <c r="A301" s="124" t="s">
        <v>533</v>
      </c>
      <c r="B301" s="79">
        <v>116</v>
      </c>
    </row>
    <row r="302" spans="1:2" x14ac:dyDescent="0.25">
      <c r="A302" s="124" t="s">
        <v>600</v>
      </c>
      <c r="B302" s="79">
        <v>106</v>
      </c>
    </row>
    <row r="303" spans="1:2" x14ac:dyDescent="0.25">
      <c r="A303" s="124" t="s">
        <v>612</v>
      </c>
      <c r="B303" s="79">
        <v>106</v>
      </c>
    </row>
    <row r="304" spans="1:2" x14ac:dyDescent="0.25">
      <c r="A304" s="124" t="s">
        <v>622</v>
      </c>
      <c r="B304" s="79">
        <v>106</v>
      </c>
    </row>
    <row r="305" spans="1:2" x14ac:dyDescent="0.25">
      <c r="A305" s="124" t="s">
        <v>664</v>
      </c>
      <c r="B305" s="79">
        <v>158</v>
      </c>
    </row>
    <row r="306" spans="1:2" x14ac:dyDescent="0.25">
      <c r="A306" s="120">
        <v>0.35500000000000004</v>
      </c>
      <c r="B306" s="79">
        <v>346</v>
      </c>
    </row>
    <row r="307" spans="1:2" x14ac:dyDescent="0.25">
      <c r="A307" s="124" t="s">
        <v>382</v>
      </c>
      <c r="B307" s="79">
        <v>173</v>
      </c>
    </row>
    <row r="308" spans="1:2" x14ac:dyDescent="0.25">
      <c r="A308" s="124" t="s">
        <v>472</v>
      </c>
      <c r="B308" s="79">
        <v>173</v>
      </c>
    </row>
    <row r="309" spans="1:2" x14ac:dyDescent="0.25">
      <c r="A309" s="120">
        <v>0.36</v>
      </c>
      <c r="B309" s="79">
        <v>1234</v>
      </c>
    </row>
    <row r="310" spans="1:2" x14ac:dyDescent="0.25">
      <c r="A310" s="124" t="s">
        <v>488</v>
      </c>
      <c r="B310" s="79">
        <v>153</v>
      </c>
    </row>
    <row r="311" spans="1:2" x14ac:dyDescent="0.25">
      <c r="A311" s="124" t="s">
        <v>498</v>
      </c>
      <c r="B311" s="79">
        <v>158</v>
      </c>
    </row>
    <row r="312" spans="1:2" x14ac:dyDescent="0.25">
      <c r="A312" s="124" t="s">
        <v>499</v>
      </c>
      <c r="B312" s="79">
        <v>153</v>
      </c>
    </row>
    <row r="313" spans="1:2" x14ac:dyDescent="0.25">
      <c r="A313" s="124" t="s">
        <v>509</v>
      </c>
      <c r="B313" s="79">
        <v>153</v>
      </c>
    </row>
    <row r="314" spans="1:2" x14ac:dyDescent="0.25">
      <c r="A314" s="124" t="s">
        <v>609</v>
      </c>
      <c r="B314" s="79">
        <v>153</v>
      </c>
    </row>
    <row r="315" spans="1:2" x14ac:dyDescent="0.25">
      <c r="A315" s="124" t="s">
        <v>619</v>
      </c>
      <c r="B315" s="79">
        <v>158</v>
      </c>
    </row>
    <row r="316" spans="1:2" x14ac:dyDescent="0.25">
      <c r="A316" s="124" t="s">
        <v>620</v>
      </c>
      <c r="B316" s="79">
        <v>153</v>
      </c>
    </row>
    <row r="317" spans="1:2" x14ac:dyDescent="0.25">
      <c r="A317" s="124" t="s">
        <v>631</v>
      </c>
      <c r="B317" s="79">
        <v>153</v>
      </c>
    </row>
    <row r="318" spans="1:2" x14ac:dyDescent="0.25">
      <c r="A318" s="120">
        <v>0.36000000000000004</v>
      </c>
      <c r="B318" s="79">
        <v>498</v>
      </c>
    </row>
    <row r="319" spans="1:2" x14ac:dyDescent="0.25">
      <c r="A319" s="124" t="s">
        <v>492</v>
      </c>
      <c r="B319" s="79">
        <v>162</v>
      </c>
    </row>
    <row r="320" spans="1:2" x14ac:dyDescent="0.25">
      <c r="A320" s="124" t="s">
        <v>522</v>
      </c>
      <c r="B320" s="79">
        <v>174</v>
      </c>
    </row>
    <row r="321" spans="1:2" x14ac:dyDescent="0.25">
      <c r="A321" s="124" t="s">
        <v>613</v>
      </c>
      <c r="B321" s="79">
        <v>162</v>
      </c>
    </row>
    <row r="322" spans="1:2" x14ac:dyDescent="0.25">
      <c r="A322" s="120">
        <v>0.36499999999999999</v>
      </c>
      <c r="B322" s="79">
        <v>648</v>
      </c>
    </row>
    <row r="323" spans="1:2" x14ac:dyDescent="0.25">
      <c r="A323" s="124" t="s">
        <v>244</v>
      </c>
      <c r="B323" s="79">
        <v>136</v>
      </c>
    </row>
    <row r="324" spans="1:2" x14ac:dyDescent="0.25">
      <c r="A324" s="124" t="s">
        <v>257</v>
      </c>
      <c r="B324" s="79">
        <v>119</v>
      </c>
    </row>
    <row r="325" spans="1:2" x14ac:dyDescent="0.25">
      <c r="A325" s="124" t="s">
        <v>268</v>
      </c>
      <c r="B325" s="79">
        <v>119</v>
      </c>
    </row>
    <row r="326" spans="1:2" x14ac:dyDescent="0.25">
      <c r="A326" s="124" t="s">
        <v>558</v>
      </c>
      <c r="B326" s="79">
        <v>117</v>
      </c>
    </row>
    <row r="327" spans="1:2" x14ac:dyDescent="0.25">
      <c r="A327" s="124" t="s">
        <v>657</v>
      </c>
      <c r="B327" s="79">
        <v>157</v>
      </c>
    </row>
    <row r="328" spans="1:2" x14ac:dyDescent="0.25">
      <c r="A328" s="120">
        <v>0.36500000000000005</v>
      </c>
      <c r="B328" s="79">
        <v>1157</v>
      </c>
    </row>
    <row r="329" spans="1:2" x14ac:dyDescent="0.25">
      <c r="A329" s="124" t="s">
        <v>481</v>
      </c>
      <c r="B329" s="79">
        <v>160</v>
      </c>
    </row>
    <row r="330" spans="1:2" x14ac:dyDescent="0.25">
      <c r="A330" s="124" t="s">
        <v>500</v>
      </c>
      <c r="B330" s="79">
        <v>160</v>
      </c>
    </row>
    <row r="331" spans="1:2" x14ac:dyDescent="0.25">
      <c r="A331" s="124" t="s">
        <v>511</v>
      </c>
      <c r="B331" s="79">
        <v>180</v>
      </c>
    </row>
    <row r="332" spans="1:2" x14ac:dyDescent="0.25">
      <c r="A332" s="124" t="s">
        <v>532</v>
      </c>
      <c r="B332" s="79">
        <v>176</v>
      </c>
    </row>
    <row r="333" spans="1:2" x14ac:dyDescent="0.25">
      <c r="A333" s="124" t="s">
        <v>601</v>
      </c>
      <c r="B333" s="79">
        <v>160</v>
      </c>
    </row>
    <row r="334" spans="1:2" x14ac:dyDescent="0.25">
      <c r="A334" s="124" t="s">
        <v>621</v>
      </c>
      <c r="B334" s="79">
        <v>160</v>
      </c>
    </row>
    <row r="335" spans="1:2" x14ac:dyDescent="0.25">
      <c r="A335" s="124" t="s">
        <v>1109</v>
      </c>
      <c r="B335" s="79">
        <v>161</v>
      </c>
    </row>
    <row r="336" spans="1:2" x14ac:dyDescent="0.25">
      <c r="A336" s="120">
        <v>0.37</v>
      </c>
      <c r="B336" s="79">
        <v>344</v>
      </c>
    </row>
    <row r="337" spans="1:2" x14ac:dyDescent="0.25">
      <c r="A337" s="124" t="s">
        <v>386</v>
      </c>
      <c r="B337" s="79">
        <v>172</v>
      </c>
    </row>
    <row r="338" spans="1:2" x14ac:dyDescent="0.25">
      <c r="A338" s="124" t="s">
        <v>475</v>
      </c>
      <c r="B338" s="79">
        <v>172</v>
      </c>
    </row>
    <row r="339" spans="1:2" x14ac:dyDescent="0.25">
      <c r="A339" s="120">
        <v>0.37000000000000005</v>
      </c>
      <c r="B339" s="79">
        <v>684</v>
      </c>
    </row>
    <row r="340" spans="1:2" x14ac:dyDescent="0.25">
      <c r="A340" s="124" t="s">
        <v>550</v>
      </c>
      <c r="B340" s="79">
        <v>172</v>
      </c>
    </row>
    <row r="341" spans="1:2" x14ac:dyDescent="0.25">
      <c r="A341" s="124" t="s">
        <v>568</v>
      </c>
      <c r="B341" s="79">
        <v>172</v>
      </c>
    </row>
    <row r="342" spans="1:2" x14ac:dyDescent="0.25">
      <c r="A342" s="124" t="s">
        <v>579</v>
      </c>
      <c r="B342" s="79">
        <v>170</v>
      </c>
    </row>
    <row r="343" spans="1:2" x14ac:dyDescent="0.25">
      <c r="A343" s="124" t="s">
        <v>599</v>
      </c>
      <c r="B343" s="79">
        <v>170</v>
      </c>
    </row>
    <row r="344" spans="1:2" x14ac:dyDescent="0.25">
      <c r="A344" s="120">
        <v>0.375</v>
      </c>
      <c r="B344" s="79">
        <v>1703</v>
      </c>
    </row>
    <row r="345" spans="1:2" x14ac:dyDescent="0.25">
      <c r="A345" s="124" t="s">
        <v>247</v>
      </c>
      <c r="B345" s="79">
        <v>76</v>
      </c>
    </row>
    <row r="346" spans="1:2" x14ac:dyDescent="0.25">
      <c r="A346" s="124" t="s">
        <v>252</v>
      </c>
      <c r="B346" s="79">
        <v>136</v>
      </c>
    </row>
    <row r="347" spans="1:2" x14ac:dyDescent="0.25">
      <c r="A347" s="124" t="s">
        <v>256</v>
      </c>
      <c r="B347" s="79">
        <v>76</v>
      </c>
    </row>
    <row r="348" spans="1:2" x14ac:dyDescent="0.25">
      <c r="A348" s="124" t="s">
        <v>270</v>
      </c>
      <c r="B348" s="79">
        <v>76</v>
      </c>
    </row>
    <row r="349" spans="1:2" x14ac:dyDescent="0.25">
      <c r="A349" s="124" t="s">
        <v>482</v>
      </c>
      <c r="B349" s="79">
        <v>108</v>
      </c>
    </row>
    <row r="350" spans="1:2" x14ac:dyDescent="0.25">
      <c r="A350" s="124" t="s">
        <v>493</v>
      </c>
      <c r="B350" s="79">
        <v>108</v>
      </c>
    </row>
    <row r="351" spans="1:2" x14ac:dyDescent="0.25">
      <c r="A351" s="124" t="s">
        <v>503</v>
      </c>
      <c r="B351" s="79">
        <v>108</v>
      </c>
    </row>
    <row r="352" spans="1:2" x14ac:dyDescent="0.25">
      <c r="A352" s="124" t="s">
        <v>512</v>
      </c>
      <c r="B352" s="79">
        <v>117</v>
      </c>
    </row>
    <row r="353" spans="1:2" x14ac:dyDescent="0.25">
      <c r="A353" s="124" t="s">
        <v>525</v>
      </c>
      <c r="B353" s="79">
        <v>117</v>
      </c>
    </row>
    <row r="354" spans="1:2" x14ac:dyDescent="0.25">
      <c r="A354" s="124" t="s">
        <v>535</v>
      </c>
      <c r="B354" s="79">
        <v>117</v>
      </c>
    </row>
    <row r="355" spans="1:2" x14ac:dyDescent="0.25">
      <c r="A355" s="124" t="s">
        <v>573</v>
      </c>
      <c r="B355" s="79">
        <v>116</v>
      </c>
    </row>
    <row r="356" spans="1:2" x14ac:dyDescent="0.25">
      <c r="A356" s="124" t="s">
        <v>592</v>
      </c>
      <c r="B356" s="79">
        <v>116</v>
      </c>
    </row>
    <row r="357" spans="1:2" x14ac:dyDescent="0.25">
      <c r="A357" s="124" t="s">
        <v>602</v>
      </c>
      <c r="B357" s="79">
        <v>108</v>
      </c>
    </row>
    <row r="358" spans="1:2" x14ac:dyDescent="0.25">
      <c r="A358" s="124" t="s">
        <v>614</v>
      </c>
      <c r="B358" s="79">
        <v>108</v>
      </c>
    </row>
    <row r="359" spans="1:2" x14ac:dyDescent="0.25">
      <c r="A359" s="124" t="s">
        <v>624</v>
      </c>
      <c r="B359" s="79">
        <v>108</v>
      </c>
    </row>
    <row r="360" spans="1:2" x14ac:dyDescent="0.25">
      <c r="A360" s="124" t="s">
        <v>644</v>
      </c>
      <c r="B360" s="79">
        <v>108</v>
      </c>
    </row>
    <row r="361" spans="1:2" x14ac:dyDescent="0.25">
      <c r="A361" s="120">
        <v>0.37500000000000006</v>
      </c>
      <c r="B361" s="79">
        <v>346</v>
      </c>
    </row>
    <row r="362" spans="1:2" x14ac:dyDescent="0.25">
      <c r="A362" s="124" t="s">
        <v>519</v>
      </c>
      <c r="B362" s="79">
        <v>173</v>
      </c>
    </row>
    <row r="363" spans="1:2" x14ac:dyDescent="0.25">
      <c r="A363" s="124" t="s">
        <v>540</v>
      </c>
      <c r="B363" s="79">
        <v>173</v>
      </c>
    </row>
    <row r="364" spans="1:2" x14ac:dyDescent="0.25">
      <c r="A364" s="120">
        <v>0.38</v>
      </c>
      <c r="B364" s="79">
        <v>1129</v>
      </c>
    </row>
    <row r="365" spans="1:2" x14ac:dyDescent="0.25">
      <c r="A365" s="124" t="s">
        <v>396</v>
      </c>
      <c r="B365" s="79">
        <v>173</v>
      </c>
    </row>
    <row r="366" spans="1:2" x14ac:dyDescent="0.25">
      <c r="A366" s="124" t="s">
        <v>432</v>
      </c>
      <c r="B366" s="79">
        <v>160</v>
      </c>
    </row>
    <row r="367" spans="1:2" x14ac:dyDescent="0.25">
      <c r="A367" s="124" t="s">
        <v>580</v>
      </c>
      <c r="B367" s="79">
        <v>173</v>
      </c>
    </row>
    <row r="368" spans="1:2" x14ac:dyDescent="0.25">
      <c r="A368" s="124" t="s">
        <v>653</v>
      </c>
      <c r="B368" s="79">
        <v>153</v>
      </c>
    </row>
    <row r="369" spans="1:2" x14ac:dyDescent="0.25">
      <c r="A369" s="124" t="s">
        <v>658</v>
      </c>
      <c r="B369" s="79">
        <v>155</v>
      </c>
    </row>
    <row r="370" spans="1:2" x14ac:dyDescent="0.25">
      <c r="A370" s="124" t="s">
        <v>1116</v>
      </c>
      <c r="B370" s="79">
        <v>155</v>
      </c>
    </row>
    <row r="371" spans="1:2" x14ac:dyDescent="0.25">
      <c r="A371" s="124" t="s">
        <v>684</v>
      </c>
      <c r="B371" s="79">
        <v>160</v>
      </c>
    </row>
    <row r="372" spans="1:2" x14ac:dyDescent="0.25">
      <c r="A372" s="120">
        <v>0.38500000000000001</v>
      </c>
      <c r="B372" s="79">
        <v>1040</v>
      </c>
    </row>
    <row r="373" spans="1:2" x14ac:dyDescent="0.25">
      <c r="A373" s="124" t="s">
        <v>246</v>
      </c>
      <c r="B373" s="79">
        <v>136</v>
      </c>
    </row>
    <row r="374" spans="1:2" x14ac:dyDescent="0.25">
      <c r="A374" s="124" t="s">
        <v>333</v>
      </c>
      <c r="B374" s="79">
        <v>111</v>
      </c>
    </row>
    <row r="375" spans="1:2" x14ac:dyDescent="0.25">
      <c r="A375" s="124" t="s">
        <v>489</v>
      </c>
      <c r="B375" s="79">
        <v>158</v>
      </c>
    </row>
    <row r="376" spans="1:2" x14ac:dyDescent="0.25">
      <c r="A376" s="124" t="s">
        <v>508</v>
      </c>
      <c r="B376" s="79">
        <v>158</v>
      </c>
    </row>
    <row r="377" spans="1:2" x14ac:dyDescent="0.25">
      <c r="A377" s="124" t="s">
        <v>610</v>
      </c>
      <c r="B377" s="79">
        <v>158</v>
      </c>
    </row>
    <row r="378" spans="1:2" x14ac:dyDescent="0.25">
      <c r="A378" s="124" t="s">
        <v>630</v>
      </c>
      <c r="B378" s="79">
        <v>158</v>
      </c>
    </row>
    <row r="379" spans="1:2" x14ac:dyDescent="0.25">
      <c r="A379" s="124" t="s">
        <v>642</v>
      </c>
      <c r="B379" s="79">
        <v>161</v>
      </c>
    </row>
    <row r="380" spans="1:2" x14ac:dyDescent="0.25">
      <c r="A380" s="120">
        <v>0.38500000000000006</v>
      </c>
      <c r="B380" s="79">
        <v>346</v>
      </c>
    </row>
    <row r="381" spans="1:2" x14ac:dyDescent="0.25">
      <c r="A381" s="124" t="s">
        <v>513</v>
      </c>
      <c r="B381" s="79">
        <v>173</v>
      </c>
    </row>
    <row r="382" spans="1:2" x14ac:dyDescent="0.25">
      <c r="A382" s="124" t="s">
        <v>534</v>
      </c>
      <c r="B382" s="79">
        <v>173</v>
      </c>
    </row>
    <row r="383" spans="1:2" x14ac:dyDescent="0.25">
      <c r="A383" s="120">
        <v>0.39</v>
      </c>
      <c r="B383" s="79">
        <v>1534</v>
      </c>
    </row>
    <row r="384" spans="1:2" x14ac:dyDescent="0.25">
      <c r="A384" s="124" t="s">
        <v>394</v>
      </c>
      <c r="B384" s="79">
        <v>170</v>
      </c>
    </row>
    <row r="385" spans="1:2" x14ac:dyDescent="0.25">
      <c r="A385" s="124" t="s">
        <v>406</v>
      </c>
      <c r="B385" s="79">
        <v>170</v>
      </c>
    </row>
    <row r="386" spans="1:2" x14ac:dyDescent="0.25">
      <c r="A386" s="124" t="s">
        <v>407</v>
      </c>
      <c r="B386" s="79">
        <v>170</v>
      </c>
    </row>
    <row r="387" spans="1:2" x14ac:dyDescent="0.25">
      <c r="A387" s="124" t="s">
        <v>420</v>
      </c>
      <c r="B387" s="79">
        <v>170</v>
      </c>
    </row>
    <row r="388" spans="1:2" x14ac:dyDescent="0.25">
      <c r="A388" s="124" t="s">
        <v>461</v>
      </c>
      <c r="B388" s="79">
        <v>170</v>
      </c>
    </row>
    <row r="389" spans="1:2" x14ac:dyDescent="0.25">
      <c r="A389" s="124" t="s">
        <v>559</v>
      </c>
      <c r="B389" s="79">
        <v>172</v>
      </c>
    </row>
    <row r="390" spans="1:2" x14ac:dyDescent="0.25">
      <c r="A390" s="124" t="s">
        <v>560</v>
      </c>
      <c r="B390" s="79">
        <v>172</v>
      </c>
    </row>
    <row r="391" spans="1:2" x14ac:dyDescent="0.25">
      <c r="A391" s="124" t="s">
        <v>588</v>
      </c>
      <c r="B391" s="79">
        <v>170</v>
      </c>
    </row>
    <row r="392" spans="1:2" x14ac:dyDescent="0.25">
      <c r="A392" s="124" t="s">
        <v>589</v>
      </c>
      <c r="B392" s="79">
        <v>170</v>
      </c>
    </row>
    <row r="393" spans="1:2" x14ac:dyDescent="0.25">
      <c r="A393" s="120">
        <v>0.39499999999999996</v>
      </c>
      <c r="B393" s="79">
        <v>1324</v>
      </c>
    </row>
    <row r="394" spans="1:2" x14ac:dyDescent="0.25">
      <c r="A394" s="124" t="s">
        <v>384</v>
      </c>
      <c r="B394" s="79">
        <v>116</v>
      </c>
    </row>
    <row r="395" spans="1:2" x14ac:dyDescent="0.25">
      <c r="A395" s="124" t="s">
        <v>397</v>
      </c>
      <c r="B395" s="79">
        <v>116</v>
      </c>
    </row>
    <row r="396" spans="1:2" x14ac:dyDescent="0.25">
      <c r="A396" s="124" t="s">
        <v>410</v>
      </c>
      <c r="B396" s="79">
        <v>116</v>
      </c>
    </row>
    <row r="397" spans="1:2" x14ac:dyDescent="0.25">
      <c r="A397" s="124" t="s">
        <v>421</v>
      </c>
      <c r="B397" s="79">
        <v>106</v>
      </c>
    </row>
    <row r="398" spans="1:2" x14ac:dyDescent="0.25">
      <c r="A398" s="124" t="s">
        <v>434</v>
      </c>
      <c r="B398" s="79">
        <v>106</v>
      </c>
    </row>
    <row r="399" spans="1:2" x14ac:dyDescent="0.25">
      <c r="A399" s="124" t="s">
        <v>445</v>
      </c>
      <c r="B399" s="79">
        <v>106</v>
      </c>
    </row>
    <row r="400" spans="1:2" x14ac:dyDescent="0.25">
      <c r="A400" s="124" t="s">
        <v>453</v>
      </c>
      <c r="B400" s="79">
        <v>116</v>
      </c>
    </row>
    <row r="401" spans="1:2" x14ac:dyDescent="0.25">
      <c r="A401" s="124" t="s">
        <v>581</v>
      </c>
      <c r="B401" s="79">
        <v>116</v>
      </c>
    </row>
    <row r="402" spans="1:2" x14ac:dyDescent="0.25">
      <c r="A402" s="124" t="s">
        <v>632</v>
      </c>
      <c r="B402" s="79">
        <v>108</v>
      </c>
    </row>
    <row r="403" spans="1:2" x14ac:dyDescent="0.25">
      <c r="A403" s="124" t="s">
        <v>673</v>
      </c>
      <c r="B403" s="79">
        <v>106</v>
      </c>
    </row>
    <row r="404" spans="1:2" x14ac:dyDescent="0.25">
      <c r="A404" s="124" t="s">
        <v>687</v>
      </c>
      <c r="B404" s="79">
        <v>106</v>
      </c>
    </row>
    <row r="405" spans="1:2" x14ac:dyDescent="0.25">
      <c r="A405" s="124" t="s">
        <v>700</v>
      </c>
      <c r="B405" s="79">
        <v>106</v>
      </c>
    </row>
    <row r="406" spans="1:2" x14ac:dyDescent="0.25">
      <c r="A406" s="120">
        <v>0.39500000000000002</v>
      </c>
      <c r="B406" s="79">
        <v>1593</v>
      </c>
    </row>
    <row r="407" spans="1:2" x14ac:dyDescent="0.25">
      <c r="A407" s="124" t="s">
        <v>324</v>
      </c>
      <c r="B407" s="79">
        <v>110</v>
      </c>
    </row>
    <row r="408" spans="1:2" x14ac:dyDescent="0.25">
      <c r="A408" s="124" t="s">
        <v>393</v>
      </c>
      <c r="B408" s="79">
        <v>176</v>
      </c>
    </row>
    <row r="409" spans="1:2" x14ac:dyDescent="0.25">
      <c r="A409" s="124" t="s">
        <v>474</v>
      </c>
      <c r="B409" s="79">
        <v>176</v>
      </c>
    </row>
    <row r="410" spans="1:2" x14ac:dyDescent="0.25">
      <c r="A410" s="124" t="s">
        <v>483</v>
      </c>
      <c r="B410" s="79">
        <v>157</v>
      </c>
    </row>
    <row r="411" spans="1:2" x14ac:dyDescent="0.25">
      <c r="A411" s="124" t="s">
        <v>502</v>
      </c>
      <c r="B411" s="79">
        <v>157</v>
      </c>
    </row>
    <row r="412" spans="1:2" x14ac:dyDescent="0.25">
      <c r="A412" s="124" t="s">
        <v>575</v>
      </c>
      <c r="B412" s="79">
        <v>117</v>
      </c>
    </row>
    <row r="413" spans="1:2" x14ac:dyDescent="0.25">
      <c r="A413" s="124" t="s">
        <v>594</v>
      </c>
      <c r="B413" s="79">
        <v>117</v>
      </c>
    </row>
    <row r="414" spans="1:2" x14ac:dyDescent="0.25">
      <c r="A414" s="124" t="s">
        <v>603</v>
      </c>
      <c r="B414" s="79">
        <v>157</v>
      </c>
    </row>
    <row r="415" spans="1:2" x14ac:dyDescent="0.25">
      <c r="A415" s="124" t="s">
        <v>623</v>
      </c>
      <c r="B415" s="79">
        <v>157</v>
      </c>
    </row>
    <row r="416" spans="1:2" x14ac:dyDescent="0.25">
      <c r="A416" s="124" t="s">
        <v>646</v>
      </c>
      <c r="B416" s="79">
        <v>108</v>
      </c>
    </row>
    <row r="417" spans="1:2" x14ac:dyDescent="0.25">
      <c r="A417" s="124" t="s">
        <v>659</v>
      </c>
      <c r="B417" s="79">
        <v>161</v>
      </c>
    </row>
    <row r="418" spans="1:2" x14ac:dyDescent="0.25">
      <c r="A418" s="120">
        <v>0.39999999999999997</v>
      </c>
      <c r="B418" s="79">
        <v>173</v>
      </c>
    </row>
    <row r="419" spans="1:2" x14ac:dyDescent="0.25">
      <c r="A419" s="124" t="s">
        <v>367</v>
      </c>
      <c r="B419" s="79">
        <v>173</v>
      </c>
    </row>
    <row r="420" spans="1:2" x14ac:dyDescent="0.25">
      <c r="A420" s="120">
        <v>0.4</v>
      </c>
      <c r="B420" s="79">
        <v>3067</v>
      </c>
    </row>
    <row r="421" spans="1:2" x14ac:dyDescent="0.25">
      <c r="A421" s="124" t="s">
        <v>399</v>
      </c>
      <c r="B421" s="79">
        <v>174</v>
      </c>
    </row>
    <row r="422" spans="1:2" x14ac:dyDescent="0.25">
      <c r="A422" s="124" t="s">
        <v>430</v>
      </c>
      <c r="B422" s="79">
        <v>153</v>
      </c>
    </row>
    <row r="423" spans="1:2" x14ac:dyDescent="0.25">
      <c r="A423" s="124" t="s">
        <v>435</v>
      </c>
      <c r="B423" s="79">
        <v>162</v>
      </c>
    </row>
    <row r="424" spans="1:2" x14ac:dyDescent="0.25">
      <c r="A424" s="124" t="s">
        <v>441</v>
      </c>
      <c r="B424" s="79">
        <v>158</v>
      </c>
    </row>
    <row r="425" spans="1:2" x14ac:dyDescent="0.25">
      <c r="A425" s="124" t="s">
        <v>443</v>
      </c>
      <c r="B425" s="79">
        <v>153</v>
      </c>
    </row>
    <row r="426" spans="1:2" x14ac:dyDescent="0.25">
      <c r="A426" s="124" t="s">
        <v>452</v>
      </c>
      <c r="B426" s="79">
        <v>153</v>
      </c>
    </row>
    <row r="427" spans="1:2" x14ac:dyDescent="0.25">
      <c r="A427" s="124" t="s">
        <v>494</v>
      </c>
      <c r="B427" s="79">
        <v>160</v>
      </c>
    </row>
    <row r="428" spans="1:2" x14ac:dyDescent="0.25">
      <c r="A428" s="124" t="s">
        <v>514</v>
      </c>
      <c r="B428" s="79">
        <v>172</v>
      </c>
    </row>
    <row r="429" spans="1:2" x14ac:dyDescent="0.25">
      <c r="A429" s="124" t="s">
        <v>526</v>
      </c>
      <c r="B429" s="79">
        <v>172</v>
      </c>
    </row>
    <row r="430" spans="1:2" x14ac:dyDescent="0.25">
      <c r="A430" s="124" t="s">
        <v>527</v>
      </c>
      <c r="B430" s="79">
        <v>172</v>
      </c>
    </row>
    <row r="431" spans="1:2" x14ac:dyDescent="0.25">
      <c r="A431" s="124" t="s">
        <v>537</v>
      </c>
      <c r="B431" s="79">
        <v>172</v>
      </c>
    </row>
    <row r="432" spans="1:2" x14ac:dyDescent="0.25">
      <c r="A432" s="124" t="s">
        <v>582</v>
      </c>
      <c r="B432" s="79">
        <v>174</v>
      </c>
    </row>
    <row r="433" spans="1:2" x14ac:dyDescent="0.25">
      <c r="A433" s="124" t="s">
        <v>615</v>
      </c>
      <c r="B433" s="79">
        <v>160</v>
      </c>
    </row>
    <row r="434" spans="1:2" x14ac:dyDescent="0.25">
      <c r="A434" s="124" t="s">
        <v>639</v>
      </c>
      <c r="B434" s="79">
        <v>153</v>
      </c>
    </row>
    <row r="435" spans="1:2" x14ac:dyDescent="0.25">
      <c r="A435" s="124" t="s">
        <v>681</v>
      </c>
      <c r="B435" s="79">
        <v>153</v>
      </c>
    </row>
    <row r="436" spans="1:2" x14ac:dyDescent="0.25">
      <c r="A436" s="124" t="s">
        <v>688</v>
      </c>
      <c r="B436" s="79">
        <v>162</v>
      </c>
    </row>
    <row r="437" spans="1:2" x14ac:dyDescent="0.25">
      <c r="A437" s="124" t="s">
        <v>694</v>
      </c>
      <c r="B437" s="79">
        <v>158</v>
      </c>
    </row>
    <row r="438" spans="1:2" x14ac:dyDescent="0.25">
      <c r="A438" s="124" t="s">
        <v>697</v>
      </c>
      <c r="B438" s="79">
        <v>153</v>
      </c>
    </row>
    <row r="439" spans="1:2" x14ac:dyDescent="0.25">
      <c r="A439" s="124" t="s">
        <v>708</v>
      </c>
      <c r="B439" s="79">
        <v>153</v>
      </c>
    </row>
    <row r="440" spans="1:2" x14ac:dyDescent="0.25">
      <c r="A440" s="120">
        <v>0.40499999999999997</v>
      </c>
      <c r="B440" s="79">
        <v>1752</v>
      </c>
    </row>
    <row r="441" spans="1:2" x14ac:dyDescent="0.25">
      <c r="A441" s="124" t="s">
        <v>249</v>
      </c>
      <c r="B441" s="79">
        <v>112</v>
      </c>
    </row>
    <row r="442" spans="1:2" x14ac:dyDescent="0.25">
      <c r="A442" s="124" t="s">
        <v>258</v>
      </c>
      <c r="B442" s="79">
        <v>112</v>
      </c>
    </row>
    <row r="443" spans="1:2" x14ac:dyDescent="0.25">
      <c r="A443" s="124" t="s">
        <v>259</v>
      </c>
      <c r="B443" s="79">
        <v>122</v>
      </c>
    </row>
    <row r="444" spans="1:2" x14ac:dyDescent="0.25">
      <c r="A444" s="124" t="s">
        <v>271</v>
      </c>
      <c r="B444" s="79">
        <v>122</v>
      </c>
    </row>
    <row r="445" spans="1:2" x14ac:dyDescent="0.25">
      <c r="A445" s="124" t="s">
        <v>272</v>
      </c>
      <c r="B445" s="79">
        <v>112</v>
      </c>
    </row>
    <row r="446" spans="1:2" x14ac:dyDescent="0.25">
      <c r="A446" s="124" t="s">
        <v>385</v>
      </c>
      <c r="B446" s="79">
        <v>180</v>
      </c>
    </row>
    <row r="447" spans="1:2" x14ac:dyDescent="0.25">
      <c r="A447" s="124" t="s">
        <v>408</v>
      </c>
      <c r="B447" s="79">
        <v>176</v>
      </c>
    </row>
    <row r="448" spans="1:2" x14ac:dyDescent="0.25">
      <c r="A448" s="124" t="s">
        <v>423</v>
      </c>
      <c r="B448" s="79">
        <v>160</v>
      </c>
    </row>
    <row r="449" spans="1:2" x14ac:dyDescent="0.25">
      <c r="A449" s="124" t="s">
        <v>444</v>
      </c>
      <c r="B449" s="79">
        <v>160</v>
      </c>
    </row>
    <row r="450" spans="1:2" x14ac:dyDescent="0.25">
      <c r="A450" s="124" t="s">
        <v>454</v>
      </c>
      <c r="B450" s="79">
        <v>176</v>
      </c>
    </row>
    <row r="451" spans="1:2" x14ac:dyDescent="0.25">
      <c r="A451" s="124" t="s">
        <v>675</v>
      </c>
      <c r="B451" s="79">
        <v>160</v>
      </c>
    </row>
    <row r="452" spans="1:2" x14ac:dyDescent="0.25">
      <c r="A452" s="124" t="s">
        <v>698</v>
      </c>
      <c r="B452" s="79">
        <v>160</v>
      </c>
    </row>
    <row r="453" spans="1:2" x14ac:dyDescent="0.25">
      <c r="A453" s="120">
        <v>0.40500000000000003</v>
      </c>
      <c r="B453" s="79">
        <v>158</v>
      </c>
    </row>
    <row r="454" spans="1:2" x14ac:dyDescent="0.25">
      <c r="A454" s="124" t="s">
        <v>651</v>
      </c>
      <c r="B454" s="79">
        <v>158</v>
      </c>
    </row>
    <row r="455" spans="1:2" x14ac:dyDescent="0.25">
      <c r="A455" s="120">
        <v>0.41000000000000003</v>
      </c>
      <c r="B455" s="79">
        <v>1618</v>
      </c>
    </row>
    <row r="456" spans="1:2" x14ac:dyDescent="0.25">
      <c r="A456" s="124" t="s">
        <v>398</v>
      </c>
      <c r="B456" s="79">
        <v>172</v>
      </c>
    </row>
    <row r="457" spans="1:2" x14ac:dyDescent="0.25">
      <c r="A457" s="124" t="s">
        <v>477</v>
      </c>
      <c r="B457" s="79">
        <v>172</v>
      </c>
    </row>
    <row r="458" spans="1:2" x14ac:dyDescent="0.25">
      <c r="A458" s="124" t="s">
        <v>484</v>
      </c>
      <c r="B458" s="79">
        <v>155</v>
      </c>
    </row>
    <row r="459" spans="1:2" x14ac:dyDescent="0.25">
      <c r="A459" s="124" t="s">
        <v>495</v>
      </c>
      <c r="B459" s="79">
        <v>155</v>
      </c>
    </row>
    <row r="460" spans="1:2" x14ac:dyDescent="0.25">
      <c r="A460" s="124" t="s">
        <v>505</v>
      </c>
      <c r="B460" s="79">
        <v>155</v>
      </c>
    </row>
    <row r="461" spans="1:2" x14ac:dyDescent="0.25">
      <c r="A461" s="124" t="s">
        <v>551</v>
      </c>
      <c r="B461" s="79">
        <v>172</v>
      </c>
    </row>
    <row r="462" spans="1:2" x14ac:dyDescent="0.25">
      <c r="A462" s="124" t="s">
        <v>570</v>
      </c>
      <c r="B462" s="79">
        <v>172</v>
      </c>
    </row>
    <row r="463" spans="1:2" x14ac:dyDescent="0.25">
      <c r="A463" s="124" t="s">
        <v>604</v>
      </c>
      <c r="B463" s="79">
        <v>155</v>
      </c>
    </row>
    <row r="464" spans="1:2" x14ac:dyDescent="0.25">
      <c r="A464" s="124" t="s">
        <v>616</v>
      </c>
      <c r="B464" s="79">
        <v>155</v>
      </c>
    </row>
    <row r="465" spans="1:2" x14ac:dyDescent="0.25">
      <c r="A465" s="124" t="s">
        <v>626</v>
      </c>
      <c r="B465" s="79">
        <v>155</v>
      </c>
    </row>
    <row r="466" spans="1:2" x14ac:dyDescent="0.25">
      <c r="A466" s="120">
        <v>0.41499999999999992</v>
      </c>
      <c r="B466" s="79">
        <v>358</v>
      </c>
    </row>
    <row r="467" spans="1:2" x14ac:dyDescent="0.25">
      <c r="A467" s="124" t="s">
        <v>322</v>
      </c>
      <c r="B467" s="79">
        <v>121</v>
      </c>
    </row>
    <row r="468" spans="1:2" x14ac:dyDescent="0.25">
      <c r="A468" s="124" t="s">
        <v>336</v>
      </c>
      <c r="B468" s="79">
        <v>121</v>
      </c>
    </row>
    <row r="469" spans="1:2" x14ac:dyDescent="0.25">
      <c r="A469" s="124" t="s">
        <v>368</v>
      </c>
      <c r="B469" s="79">
        <v>116</v>
      </c>
    </row>
    <row r="470" spans="1:2" x14ac:dyDescent="0.25">
      <c r="A470" s="120">
        <v>0.41499999999999998</v>
      </c>
      <c r="B470" s="79">
        <v>1860</v>
      </c>
    </row>
    <row r="471" spans="1:2" x14ac:dyDescent="0.25">
      <c r="A471" s="124" t="s">
        <v>387</v>
      </c>
      <c r="B471" s="79">
        <v>117</v>
      </c>
    </row>
    <row r="472" spans="1:2" x14ac:dyDescent="0.25">
      <c r="A472" s="124" t="s">
        <v>395</v>
      </c>
      <c r="B472" s="79">
        <v>173</v>
      </c>
    </row>
    <row r="473" spans="1:2" x14ac:dyDescent="0.25">
      <c r="A473" s="124" t="s">
        <v>400</v>
      </c>
      <c r="B473" s="79">
        <v>117</v>
      </c>
    </row>
    <row r="474" spans="1:2" x14ac:dyDescent="0.25">
      <c r="A474" s="124" t="s">
        <v>413</v>
      </c>
      <c r="B474" s="79">
        <v>117</v>
      </c>
    </row>
    <row r="475" spans="1:2" x14ac:dyDescent="0.25">
      <c r="A475" s="124" t="s">
        <v>418</v>
      </c>
      <c r="B475" s="79">
        <v>173</v>
      </c>
    </row>
    <row r="476" spans="1:2" x14ac:dyDescent="0.25">
      <c r="A476" s="124" t="s">
        <v>424</v>
      </c>
      <c r="B476" s="79">
        <v>108</v>
      </c>
    </row>
    <row r="477" spans="1:2" x14ac:dyDescent="0.25">
      <c r="A477" s="124" t="s">
        <v>436</v>
      </c>
      <c r="B477" s="79">
        <v>108</v>
      </c>
    </row>
    <row r="478" spans="1:2" x14ac:dyDescent="0.25">
      <c r="A478" s="124" t="s">
        <v>447</v>
      </c>
      <c r="B478" s="79">
        <v>108</v>
      </c>
    </row>
    <row r="479" spans="1:2" x14ac:dyDescent="0.25">
      <c r="A479" s="124" t="s">
        <v>455</v>
      </c>
      <c r="B479" s="79">
        <v>117</v>
      </c>
    </row>
    <row r="480" spans="1:2" x14ac:dyDescent="0.25">
      <c r="A480" s="124" t="s">
        <v>463</v>
      </c>
      <c r="B480" s="79">
        <v>173</v>
      </c>
    </row>
    <row r="481" spans="1:2" x14ac:dyDescent="0.25">
      <c r="A481" s="124" t="s">
        <v>583</v>
      </c>
      <c r="B481" s="79">
        <v>117</v>
      </c>
    </row>
    <row r="482" spans="1:2" x14ac:dyDescent="0.25">
      <c r="A482" s="124" t="s">
        <v>634</v>
      </c>
      <c r="B482" s="79">
        <v>108</v>
      </c>
    </row>
    <row r="483" spans="1:2" x14ac:dyDescent="0.25">
      <c r="A483" s="124" t="s">
        <v>676</v>
      </c>
      <c r="B483" s="79">
        <v>108</v>
      </c>
    </row>
    <row r="484" spans="1:2" x14ac:dyDescent="0.25">
      <c r="A484" s="124" t="s">
        <v>689</v>
      </c>
      <c r="B484" s="79">
        <v>108</v>
      </c>
    </row>
    <row r="485" spans="1:2" x14ac:dyDescent="0.25">
      <c r="A485" s="124" t="s">
        <v>702</v>
      </c>
      <c r="B485" s="79">
        <v>108</v>
      </c>
    </row>
    <row r="486" spans="1:2" x14ac:dyDescent="0.25">
      <c r="A486" s="120">
        <v>0.41500000000000004</v>
      </c>
      <c r="B486" s="79">
        <v>157</v>
      </c>
    </row>
    <row r="487" spans="1:2" x14ac:dyDescent="0.25">
      <c r="A487" s="124" t="s">
        <v>645</v>
      </c>
      <c r="B487" s="79">
        <v>157</v>
      </c>
    </row>
    <row r="488" spans="1:2" x14ac:dyDescent="0.25">
      <c r="A488" s="120">
        <v>0.42000000000000004</v>
      </c>
      <c r="B488" s="79">
        <v>654</v>
      </c>
    </row>
    <row r="489" spans="1:2" x14ac:dyDescent="0.25">
      <c r="A489" s="124" t="s">
        <v>576</v>
      </c>
      <c r="B489" s="79">
        <v>172</v>
      </c>
    </row>
    <row r="490" spans="1:2" x14ac:dyDescent="0.25">
      <c r="A490" s="124" t="s">
        <v>596</v>
      </c>
      <c r="B490" s="79">
        <v>172</v>
      </c>
    </row>
    <row r="491" spans="1:2" x14ac:dyDescent="0.25">
      <c r="A491" s="124" t="s">
        <v>660</v>
      </c>
      <c r="B491" s="79">
        <v>155</v>
      </c>
    </row>
    <row r="492" spans="1:2" x14ac:dyDescent="0.25">
      <c r="A492" s="124" t="s">
        <v>1118</v>
      </c>
      <c r="B492" s="79">
        <v>155</v>
      </c>
    </row>
    <row r="493" spans="1:2" x14ac:dyDescent="0.25">
      <c r="A493" s="120">
        <v>0.42499999999999993</v>
      </c>
      <c r="B493" s="79">
        <v>1548</v>
      </c>
    </row>
    <row r="494" spans="1:2" x14ac:dyDescent="0.25">
      <c r="A494" s="124" t="s">
        <v>319</v>
      </c>
      <c r="B494" s="79">
        <v>75</v>
      </c>
    </row>
    <row r="495" spans="1:2" x14ac:dyDescent="0.25">
      <c r="A495" s="124" t="s">
        <v>321</v>
      </c>
      <c r="B495" s="79">
        <v>121</v>
      </c>
    </row>
    <row r="496" spans="1:2" x14ac:dyDescent="0.25">
      <c r="A496" s="124" t="s">
        <v>332</v>
      </c>
      <c r="B496" s="79">
        <v>110</v>
      </c>
    </row>
    <row r="497" spans="1:2" x14ac:dyDescent="0.25">
      <c r="A497" s="124" t="s">
        <v>335</v>
      </c>
      <c r="B497" s="79">
        <v>120</v>
      </c>
    </row>
    <row r="498" spans="1:2" x14ac:dyDescent="0.25">
      <c r="A498" s="124" t="s">
        <v>339</v>
      </c>
      <c r="B498" s="79">
        <v>75</v>
      </c>
    </row>
    <row r="499" spans="1:2" x14ac:dyDescent="0.25">
      <c r="A499" s="124" t="s">
        <v>348</v>
      </c>
      <c r="B499" s="79">
        <v>120</v>
      </c>
    </row>
    <row r="500" spans="1:2" x14ac:dyDescent="0.25">
      <c r="A500" s="124" t="s">
        <v>351</v>
      </c>
      <c r="B500" s="79">
        <v>110</v>
      </c>
    </row>
    <row r="501" spans="1:2" x14ac:dyDescent="0.25">
      <c r="A501" s="124" t="s">
        <v>352</v>
      </c>
      <c r="B501" s="79">
        <v>75</v>
      </c>
    </row>
    <row r="502" spans="1:2" x14ac:dyDescent="0.25">
      <c r="A502" s="124" t="s">
        <v>363</v>
      </c>
      <c r="B502" s="79">
        <v>110</v>
      </c>
    </row>
    <row r="503" spans="1:2" x14ac:dyDescent="0.25">
      <c r="A503" s="124" t="s">
        <v>431</v>
      </c>
      <c r="B503" s="79">
        <v>158</v>
      </c>
    </row>
    <row r="504" spans="1:2" x14ac:dyDescent="0.25">
      <c r="A504" s="124" t="s">
        <v>451</v>
      </c>
      <c r="B504" s="79">
        <v>158</v>
      </c>
    </row>
    <row r="505" spans="1:2" x14ac:dyDescent="0.25">
      <c r="A505" s="124" t="s">
        <v>683</v>
      </c>
      <c r="B505" s="79">
        <v>158</v>
      </c>
    </row>
    <row r="506" spans="1:2" x14ac:dyDescent="0.25">
      <c r="A506" s="124" t="s">
        <v>706</v>
      </c>
      <c r="B506" s="79">
        <v>158</v>
      </c>
    </row>
    <row r="507" spans="1:2" x14ac:dyDescent="0.25">
      <c r="A507" s="120">
        <v>0.42499999999999999</v>
      </c>
      <c r="B507" s="79">
        <v>519</v>
      </c>
    </row>
    <row r="508" spans="1:2" x14ac:dyDescent="0.25">
      <c r="A508" s="124" t="s">
        <v>388</v>
      </c>
      <c r="B508" s="79">
        <v>173</v>
      </c>
    </row>
    <row r="509" spans="1:2" x14ac:dyDescent="0.25">
      <c r="A509" s="124" t="s">
        <v>412</v>
      </c>
      <c r="B509" s="79">
        <v>173</v>
      </c>
    </row>
    <row r="510" spans="1:2" x14ac:dyDescent="0.25">
      <c r="A510" s="124" t="s">
        <v>457</v>
      </c>
      <c r="B510" s="79">
        <v>173</v>
      </c>
    </row>
    <row r="511" spans="1:2" x14ac:dyDescent="0.25">
      <c r="A511" s="120">
        <v>0.42500000000000004</v>
      </c>
      <c r="B511" s="79">
        <v>1130</v>
      </c>
    </row>
    <row r="512" spans="1:2" x14ac:dyDescent="0.25">
      <c r="A512" s="124" t="s">
        <v>248</v>
      </c>
      <c r="B512" s="79">
        <v>138</v>
      </c>
    </row>
    <row r="513" spans="1:2" x14ac:dyDescent="0.25">
      <c r="A513" s="124" t="s">
        <v>485</v>
      </c>
      <c r="B513" s="79">
        <v>160</v>
      </c>
    </row>
    <row r="514" spans="1:2" x14ac:dyDescent="0.25">
      <c r="A514" s="124" t="s">
        <v>504</v>
      </c>
      <c r="B514" s="79">
        <v>160</v>
      </c>
    </row>
    <row r="515" spans="1:2" x14ac:dyDescent="0.25">
      <c r="A515" s="124" t="s">
        <v>515</v>
      </c>
      <c r="B515" s="79">
        <v>176</v>
      </c>
    </row>
    <row r="516" spans="1:2" x14ac:dyDescent="0.25">
      <c r="A516" s="124" t="s">
        <v>536</v>
      </c>
      <c r="B516" s="79">
        <v>176</v>
      </c>
    </row>
    <row r="517" spans="1:2" x14ac:dyDescent="0.25">
      <c r="A517" s="124" t="s">
        <v>605</v>
      </c>
      <c r="B517" s="79">
        <v>160</v>
      </c>
    </row>
    <row r="518" spans="1:2" x14ac:dyDescent="0.25">
      <c r="A518" s="124" t="s">
        <v>625</v>
      </c>
      <c r="B518" s="79">
        <v>160</v>
      </c>
    </row>
    <row r="519" spans="1:2" x14ac:dyDescent="0.25">
      <c r="A519" s="120">
        <v>0.43000000000000005</v>
      </c>
      <c r="B519" s="79">
        <v>501</v>
      </c>
    </row>
    <row r="520" spans="1:2" x14ac:dyDescent="0.25">
      <c r="A520" s="124" t="s">
        <v>561</v>
      </c>
      <c r="B520" s="79">
        <v>173</v>
      </c>
    </row>
    <row r="521" spans="1:2" x14ac:dyDescent="0.25">
      <c r="A521" s="124" t="s">
        <v>562</v>
      </c>
      <c r="B521" s="79">
        <v>173</v>
      </c>
    </row>
    <row r="522" spans="1:2" x14ac:dyDescent="0.25">
      <c r="A522" s="124" t="s">
        <v>648</v>
      </c>
      <c r="B522" s="79">
        <v>155</v>
      </c>
    </row>
    <row r="523" spans="1:2" x14ac:dyDescent="0.25">
      <c r="A523" s="120">
        <v>0.43499999999999994</v>
      </c>
      <c r="B523" s="79">
        <v>1123</v>
      </c>
    </row>
    <row r="524" spans="1:2" x14ac:dyDescent="0.25">
      <c r="A524" s="124" t="s">
        <v>326</v>
      </c>
      <c r="B524" s="79">
        <v>119</v>
      </c>
    </row>
    <row r="525" spans="1:2" x14ac:dyDescent="0.25">
      <c r="A525" s="124" t="s">
        <v>334</v>
      </c>
      <c r="B525" s="79">
        <v>121</v>
      </c>
    </row>
    <row r="526" spans="1:2" x14ac:dyDescent="0.25">
      <c r="A526" s="124" t="s">
        <v>340</v>
      </c>
      <c r="B526" s="79">
        <v>119</v>
      </c>
    </row>
    <row r="527" spans="1:2" x14ac:dyDescent="0.25">
      <c r="A527" s="124" t="s">
        <v>355</v>
      </c>
      <c r="B527" s="79">
        <v>136</v>
      </c>
    </row>
    <row r="528" spans="1:2" x14ac:dyDescent="0.25">
      <c r="A528" s="124" t="s">
        <v>425</v>
      </c>
      <c r="B528" s="79">
        <v>157</v>
      </c>
    </row>
    <row r="529" spans="1:2" x14ac:dyDescent="0.25">
      <c r="A529" s="124" t="s">
        <v>446</v>
      </c>
      <c r="B529" s="79">
        <v>157</v>
      </c>
    </row>
    <row r="530" spans="1:2" x14ac:dyDescent="0.25">
      <c r="A530" s="124" t="s">
        <v>677</v>
      </c>
      <c r="B530" s="79">
        <v>157</v>
      </c>
    </row>
    <row r="531" spans="1:2" x14ac:dyDescent="0.25">
      <c r="A531" s="124" t="s">
        <v>701</v>
      </c>
      <c r="B531" s="79">
        <v>157</v>
      </c>
    </row>
    <row r="532" spans="1:2" x14ac:dyDescent="0.25">
      <c r="A532" s="120">
        <v>0.435</v>
      </c>
      <c r="B532" s="79">
        <v>112</v>
      </c>
    </row>
    <row r="533" spans="1:2" x14ac:dyDescent="0.25">
      <c r="A533" s="124" t="s">
        <v>328</v>
      </c>
      <c r="B533" s="79">
        <v>112</v>
      </c>
    </row>
    <row r="534" spans="1:2" x14ac:dyDescent="0.25">
      <c r="A534" s="120">
        <v>0.43500000000000005</v>
      </c>
      <c r="B534" s="79">
        <v>513</v>
      </c>
    </row>
    <row r="535" spans="1:2" x14ac:dyDescent="0.25">
      <c r="A535" s="124" t="s">
        <v>405</v>
      </c>
      <c r="B535" s="79">
        <v>176</v>
      </c>
    </row>
    <row r="536" spans="1:2" x14ac:dyDescent="0.25">
      <c r="A536" s="124" t="s">
        <v>476</v>
      </c>
      <c r="B536" s="79">
        <v>176</v>
      </c>
    </row>
    <row r="537" spans="1:2" x14ac:dyDescent="0.25">
      <c r="A537" s="124" t="s">
        <v>662</v>
      </c>
      <c r="B537" s="79">
        <v>161</v>
      </c>
    </row>
    <row r="538" spans="1:2" x14ac:dyDescent="0.25">
      <c r="A538" s="120">
        <v>0.44</v>
      </c>
      <c r="B538" s="79">
        <v>1524</v>
      </c>
    </row>
    <row r="539" spans="1:2" x14ac:dyDescent="0.25">
      <c r="A539" s="124" t="s">
        <v>389</v>
      </c>
      <c r="B539" s="79">
        <v>172</v>
      </c>
    </row>
    <row r="540" spans="1:2" x14ac:dyDescent="0.25">
      <c r="A540" s="124" t="s">
        <v>401</v>
      </c>
      <c r="B540" s="79">
        <v>172</v>
      </c>
    </row>
    <row r="541" spans="1:2" x14ac:dyDescent="0.25">
      <c r="A541" s="124" t="s">
        <v>402</v>
      </c>
      <c r="B541" s="79">
        <v>172</v>
      </c>
    </row>
    <row r="542" spans="1:2" x14ac:dyDescent="0.25">
      <c r="A542" s="124" t="s">
        <v>415</v>
      </c>
      <c r="B542" s="79">
        <v>172</v>
      </c>
    </row>
    <row r="543" spans="1:2" x14ac:dyDescent="0.25">
      <c r="A543" s="124" t="s">
        <v>437</v>
      </c>
      <c r="B543" s="79">
        <v>160</v>
      </c>
    </row>
    <row r="544" spans="1:2" x14ac:dyDescent="0.25">
      <c r="A544" s="124" t="s">
        <v>458</v>
      </c>
      <c r="B544" s="79">
        <v>172</v>
      </c>
    </row>
    <row r="545" spans="1:2" x14ac:dyDescent="0.25">
      <c r="A545" s="124" t="s">
        <v>584</v>
      </c>
      <c r="B545" s="79">
        <v>172</v>
      </c>
    </row>
    <row r="546" spans="1:2" x14ac:dyDescent="0.25">
      <c r="A546" s="124" t="s">
        <v>585</v>
      </c>
      <c r="B546" s="79">
        <v>172</v>
      </c>
    </row>
    <row r="547" spans="1:2" x14ac:dyDescent="0.25">
      <c r="A547" s="124" t="s">
        <v>690</v>
      </c>
      <c r="B547" s="79">
        <v>160</v>
      </c>
    </row>
    <row r="548" spans="1:2" x14ac:dyDescent="0.25">
      <c r="A548" s="120">
        <v>0.44000000000000006</v>
      </c>
      <c r="B548" s="79">
        <v>1012</v>
      </c>
    </row>
    <row r="549" spans="1:2" x14ac:dyDescent="0.25">
      <c r="A549" s="124" t="s">
        <v>496</v>
      </c>
      <c r="B549" s="79">
        <v>161</v>
      </c>
    </row>
    <row r="550" spans="1:2" x14ac:dyDescent="0.25">
      <c r="A550" s="124" t="s">
        <v>516</v>
      </c>
      <c r="B550" s="79">
        <v>172</v>
      </c>
    </row>
    <row r="551" spans="1:2" x14ac:dyDescent="0.25">
      <c r="A551" s="124" t="s">
        <v>528</v>
      </c>
      <c r="B551" s="79">
        <v>173</v>
      </c>
    </row>
    <row r="552" spans="1:2" x14ac:dyDescent="0.25">
      <c r="A552" s="124" t="s">
        <v>529</v>
      </c>
      <c r="B552" s="79">
        <v>173</v>
      </c>
    </row>
    <row r="553" spans="1:2" x14ac:dyDescent="0.25">
      <c r="A553" s="124" t="s">
        <v>539</v>
      </c>
      <c r="B553" s="79">
        <v>172</v>
      </c>
    </row>
    <row r="554" spans="1:2" x14ac:dyDescent="0.25">
      <c r="A554" s="124" t="s">
        <v>617</v>
      </c>
      <c r="B554" s="79">
        <v>161</v>
      </c>
    </row>
    <row r="555" spans="1:2" x14ac:dyDescent="0.25">
      <c r="A555" s="120">
        <v>0.44499999999999995</v>
      </c>
      <c r="B555" s="79">
        <v>483</v>
      </c>
    </row>
    <row r="556" spans="1:2" x14ac:dyDescent="0.25">
      <c r="A556" s="124" t="s">
        <v>323</v>
      </c>
      <c r="B556" s="79">
        <v>76</v>
      </c>
    </row>
    <row r="557" spans="1:2" x14ac:dyDescent="0.25">
      <c r="A557" s="124" t="s">
        <v>325</v>
      </c>
      <c r="B557" s="79">
        <v>119</v>
      </c>
    </row>
    <row r="558" spans="1:2" x14ac:dyDescent="0.25">
      <c r="A558" s="124" t="s">
        <v>343</v>
      </c>
      <c r="B558" s="79">
        <v>76</v>
      </c>
    </row>
    <row r="559" spans="1:2" x14ac:dyDescent="0.25">
      <c r="A559" s="124" t="s">
        <v>356</v>
      </c>
      <c r="B559" s="79">
        <v>76</v>
      </c>
    </row>
    <row r="560" spans="1:2" x14ac:dyDescent="0.25">
      <c r="A560" s="124" t="s">
        <v>366</v>
      </c>
      <c r="B560" s="79">
        <v>136</v>
      </c>
    </row>
    <row r="561" spans="1:2" x14ac:dyDescent="0.25">
      <c r="A561" s="120">
        <v>0.44500000000000001</v>
      </c>
      <c r="B561" s="79">
        <v>729</v>
      </c>
    </row>
    <row r="562" spans="1:2" x14ac:dyDescent="0.25">
      <c r="A562" s="124" t="s">
        <v>251</v>
      </c>
      <c r="B562" s="79">
        <v>110</v>
      </c>
    </row>
    <row r="563" spans="1:2" x14ac:dyDescent="0.25">
      <c r="A563" s="124" t="s">
        <v>260</v>
      </c>
      <c r="B563" s="79">
        <v>110</v>
      </c>
    </row>
    <row r="564" spans="1:2" x14ac:dyDescent="0.25">
      <c r="A564" s="124" t="s">
        <v>261</v>
      </c>
      <c r="B564" s="79">
        <v>119</v>
      </c>
    </row>
    <row r="565" spans="1:2" x14ac:dyDescent="0.25">
      <c r="A565" s="124" t="s">
        <v>273</v>
      </c>
      <c r="B565" s="79">
        <v>119</v>
      </c>
    </row>
    <row r="566" spans="1:2" x14ac:dyDescent="0.25">
      <c r="A566" s="124" t="s">
        <v>275</v>
      </c>
      <c r="B566" s="79">
        <v>110</v>
      </c>
    </row>
    <row r="567" spans="1:2" x14ac:dyDescent="0.25">
      <c r="A567" s="124" t="s">
        <v>647</v>
      </c>
      <c r="B567" s="79">
        <v>161</v>
      </c>
    </row>
    <row r="568" spans="1:2" x14ac:dyDescent="0.25">
      <c r="A568" s="120">
        <v>0.44999999999999996</v>
      </c>
      <c r="B568" s="79">
        <v>1085</v>
      </c>
    </row>
    <row r="569" spans="1:2" x14ac:dyDescent="0.25">
      <c r="A569" s="124" t="s">
        <v>426</v>
      </c>
      <c r="B569" s="79">
        <v>155</v>
      </c>
    </row>
    <row r="570" spans="1:2" x14ac:dyDescent="0.25">
      <c r="A570" s="124" t="s">
        <v>438</v>
      </c>
      <c r="B570" s="79">
        <v>155</v>
      </c>
    </row>
    <row r="571" spans="1:2" x14ac:dyDescent="0.25">
      <c r="A571" s="124" t="s">
        <v>449</v>
      </c>
      <c r="B571" s="79">
        <v>155</v>
      </c>
    </row>
    <row r="572" spans="1:2" x14ac:dyDescent="0.25">
      <c r="A572" s="124" t="s">
        <v>636</v>
      </c>
      <c r="B572" s="79">
        <v>155</v>
      </c>
    </row>
    <row r="573" spans="1:2" x14ac:dyDescent="0.25">
      <c r="A573" s="124" t="s">
        <v>678</v>
      </c>
      <c r="B573" s="79">
        <v>155</v>
      </c>
    </row>
    <row r="574" spans="1:2" x14ac:dyDescent="0.25">
      <c r="A574" s="124" t="s">
        <v>691</v>
      </c>
      <c r="B574" s="79">
        <v>155</v>
      </c>
    </row>
    <row r="575" spans="1:2" x14ac:dyDescent="0.25">
      <c r="A575" s="124" t="s">
        <v>704</v>
      </c>
      <c r="B575" s="79">
        <v>155</v>
      </c>
    </row>
    <row r="576" spans="1:2" x14ac:dyDescent="0.25">
      <c r="A576" s="120">
        <v>0.45000000000000007</v>
      </c>
      <c r="B576" s="79">
        <v>930</v>
      </c>
    </row>
    <row r="577" spans="1:2" x14ac:dyDescent="0.25">
      <c r="A577" s="124" t="s">
        <v>486</v>
      </c>
      <c r="B577" s="79">
        <v>155</v>
      </c>
    </row>
    <row r="578" spans="1:2" x14ac:dyDescent="0.25">
      <c r="A578" s="124" t="s">
        <v>497</v>
      </c>
      <c r="B578" s="79">
        <v>155</v>
      </c>
    </row>
    <row r="579" spans="1:2" x14ac:dyDescent="0.25">
      <c r="A579" s="124" t="s">
        <v>507</v>
      </c>
      <c r="B579" s="79">
        <v>155</v>
      </c>
    </row>
    <row r="580" spans="1:2" x14ac:dyDescent="0.25">
      <c r="A580" s="124" t="s">
        <v>606</v>
      </c>
      <c r="B580" s="79">
        <v>155</v>
      </c>
    </row>
    <row r="581" spans="1:2" x14ac:dyDescent="0.25">
      <c r="A581" s="124" t="s">
        <v>618</v>
      </c>
      <c r="B581" s="79">
        <v>155</v>
      </c>
    </row>
    <row r="582" spans="1:2" x14ac:dyDescent="0.25">
      <c r="A582" s="124" t="s">
        <v>629</v>
      </c>
      <c r="B582" s="79">
        <v>155</v>
      </c>
    </row>
    <row r="583" spans="1:2" x14ac:dyDescent="0.25">
      <c r="A583" s="120">
        <v>0.45499999999999996</v>
      </c>
      <c r="B583" s="79">
        <v>247</v>
      </c>
    </row>
    <row r="584" spans="1:2" x14ac:dyDescent="0.25">
      <c r="A584" s="124" t="s">
        <v>277</v>
      </c>
      <c r="B584" s="79">
        <v>111</v>
      </c>
    </row>
    <row r="585" spans="1:2" x14ac:dyDescent="0.25">
      <c r="A585" s="124" t="s">
        <v>359</v>
      </c>
      <c r="B585" s="79">
        <v>136</v>
      </c>
    </row>
    <row r="586" spans="1:2" x14ac:dyDescent="0.25">
      <c r="A586" s="120">
        <v>0.46000000000000008</v>
      </c>
      <c r="B586" s="79">
        <v>344</v>
      </c>
    </row>
    <row r="587" spans="1:2" x14ac:dyDescent="0.25">
      <c r="A587" s="124" t="s">
        <v>578</v>
      </c>
      <c r="B587" s="79">
        <v>172</v>
      </c>
    </row>
    <row r="588" spans="1:2" x14ac:dyDescent="0.25">
      <c r="A588" s="124" t="s">
        <v>597</v>
      </c>
      <c r="B588" s="79">
        <v>172</v>
      </c>
    </row>
    <row r="589" spans="1:2" x14ac:dyDescent="0.25">
      <c r="A589" s="120">
        <v>0.46499999999999997</v>
      </c>
      <c r="B589" s="79">
        <v>1278</v>
      </c>
    </row>
    <row r="590" spans="1:2" x14ac:dyDescent="0.25">
      <c r="A590" s="124" t="s">
        <v>269</v>
      </c>
      <c r="B590" s="79">
        <v>110</v>
      </c>
    </row>
    <row r="591" spans="1:2" x14ac:dyDescent="0.25">
      <c r="A591" s="124" t="s">
        <v>391</v>
      </c>
      <c r="B591" s="79">
        <v>176</v>
      </c>
    </row>
    <row r="592" spans="1:2" x14ac:dyDescent="0.25">
      <c r="A592" s="124" t="s">
        <v>414</v>
      </c>
      <c r="B592" s="79">
        <v>176</v>
      </c>
    </row>
    <row r="593" spans="1:2" x14ac:dyDescent="0.25">
      <c r="A593" s="124" t="s">
        <v>427</v>
      </c>
      <c r="B593" s="79">
        <v>160</v>
      </c>
    </row>
    <row r="594" spans="1:2" x14ac:dyDescent="0.25">
      <c r="A594" s="124" t="s">
        <v>448</v>
      </c>
      <c r="B594" s="79">
        <v>160</v>
      </c>
    </row>
    <row r="595" spans="1:2" x14ac:dyDescent="0.25">
      <c r="A595" s="124" t="s">
        <v>459</v>
      </c>
      <c r="B595" s="79">
        <v>176</v>
      </c>
    </row>
    <row r="596" spans="1:2" x14ac:dyDescent="0.25">
      <c r="A596" s="124" t="s">
        <v>679</v>
      </c>
      <c r="B596" s="79">
        <v>160</v>
      </c>
    </row>
    <row r="597" spans="1:2" x14ac:dyDescent="0.25">
      <c r="A597" s="124" t="s">
        <v>703</v>
      </c>
      <c r="B597" s="79">
        <v>160</v>
      </c>
    </row>
    <row r="598" spans="1:2" x14ac:dyDescent="0.25">
      <c r="A598" s="120">
        <v>0.46500000000000008</v>
      </c>
      <c r="B598" s="79">
        <v>1131</v>
      </c>
    </row>
    <row r="599" spans="1:2" x14ac:dyDescent="0.25">
      <c r="A599" s="124" t="s">
        <v>250</v>
      </c>
      <c r="B599" s="79">
        <v>135</v>
      </c>
    </row>
    <row r="600" spans="1:2" x14ac:dyDescent="0.25">
      <c r="A600" s="124" t="s">
        <v>487</v>
      </c>
      <c r="B600" s="79">
        <v>161</v>
      </c>
    </row>
    <row r="601" spans="1:2" x14ac:dyDescent="0.25">
      <c r="A601" s="124" t="s">
        <v>506</v>
      </c>
      <c r="B601" s="79">
        <v>161</v>
      </c>
    </row>
    <row r="602" spans="1:2" x14ac:dyDescent="0.25">
      <c r="A602" s="124" t="s">
        <v>517</v>
      </c>
      <c r="B602" s="79">
        <v>176</v>
      </c>
    </row>
    <row r="603" spans="1:2" x14ac:dyDescent="0.25">
      <c r="A603" s="124" t="s">
        <v>538</v>
      </c>
      <c r="B603" s="79">
        <v>176</v>
      </c>
    </row>
    <row r="604" spans="1:2" x14ac:dyDescent="0.25">
      <c r="A604" s="124" t="s">
        <v>608</v>
      </c>
      <c r="B604" s="79">
        <v>161</v>
      </c>
    </row>
    <row r="605" spans="1:2" x14ac:dyDescent="0.25">
      <c r="A605" s="124" t="s">
        <v>627</v>
      </c>
      <c r="B605" s="79">
        <v>161</v>
      </c>
    </row>
    <row r="606" spans="1:2" x14ac:dyDescent="0.25">
      <c r="A606" s="120">
        <v>0.47000000000000008</v>
      </c>
      <c r="B606" s="79">
        <v>155</v>
      </c>
    </row>
    <row r="607" spans="1:2" x14ac:dyDescent="0.25">
      <c r="A607" s="124" t="s">
        <v>650</v>
      </c>
      <c r="B607" s="79">
        <v>155</v>
      </c>
    </row>
    <row r="608" spans="1:2" x14ac:dyDescent="0.25">
      <c r="A608" s="120">
        <v>0.47499999999999992</v>
      </c>
      <c r="B608" s="79">
        <v>580</v>
      </c>
    </row>
    <row r="609" spans="1:2" x14ac:dyDescent="0.25">
      <c r="A609" s="124" t="s">
        <v>327</v>
      </c>
      <c r="B609" s="79">
        <v>112</v>
      </c>
    </row>
    <row r="610" spans="1:2" x14ac:dyDescent="0.25">
      <c r="A610" s="124" t="s">
        <v>330</v>
      </c>
      <c r="B610" s="79">
        <v>122</v>
      </c>
    </row>
    <row r="611" spans="1:2" x14ac:dyDescent="0.25">
      <c r="A611" s="124" t="s">
        <v>344</v>
      </c>
      <c r="B611" s="79">
        <v>122</v>
      </c>
    </row>
    <row r="612" spans="1:2" x14ac:dyDescent="0.25">
      <c r="A612" s="124" t="s">
        <v>347</v>
      </c>
      <c r="B612" s="79">
        <v>112</v>
      </c>
    </row>
    <row r="613" spans="1:2" x14ac:dyDescent="0.25">
      <c r="A613" s="124" t="s">
        <v>360</v>
      </c>
      <c r="B613" s="79">
        <v>112</v>
      </c>
    </row>
    <row r="614" spans="1:2" x14ac:dyDescent="0.25">
      <c r="A614" s="120">
        <v>0.47500000000000003</v>
      </c>
      <c r="B614" s="79">
        <v>110</v>
      </c>
    </row>
    <row r="615" spans="1:2" x14ac:dyDescent="0.25">
      <c r="A615" s="124" t="s">
        <v>331</v>
      </c>
      <c r="B615" s="79">
        <v>110</v>
      </c>
    </row>
    <row r="616" spans="1:2" x14ac:dyDescent="0.25">
      <c r="A616" s="120">
        <v>0.48</v>
      </c>
      <c r="B616" s="79">
        <v>1530</v>
      </c>
    </row>
    <row r="617" spans="1:2" x14ac:dyDescent="0.25">
      <c r="A617" s="124" t="s">
        <v>392</v>
      </c>
      <c r="B617" s="79">
        <v>172</v>
      </c>
    </row>
    <row r="618" spans="1:2" x14ac:dyDescent="0.25">
      <c r="A618" s="124" t="s">
        <v>403</v>
      </c>
      <c r="B618" s="79">
        <v>173</v>
      </c>
    </row>
    <row r="619" spans="1:2" x14ac:dyDescent="0.25">
      <c r="A619" s="124" t="s">
        <v>404</v>
      </c>
      <c r="B619" s="79">
        <v>173</v>
      </c>
    </row>
    <row r="620" spans="1:2" x14ac:dyDescent="0.25">
      <c r="A620" s="124" t="s">
        <v>416</v>
      </c>
      <c r="B620" s="79">
        <v>172</v>
      </c>
    </row>
    <row r="621" spans="1:2" x14ac:dyDescent="0.25">
      <c r="A621" s="124" t="s">
        <v>439</v>
      </c>
      <c r="B621" s="79">
        <v>161</v>
      </c>
    </row>
    <row r="622" spans="1:2" x14ac:dyDescent="0.25">
      <c r="A622" s="124" t="s">
        <v>460</v>
      </c>
      <c r="B622" s="79">
        <v>172</v>
      </c>
    </row>
    <row r="623" spans="1:2" x14ac:dyDescent="0.25">
      <c r="A623" s="124" t="s">
        <v>586</v>
      </c>
      <c r="B623" s="79">
        <v>173</v>
      </c>
    </row>
    <row r="624" spans="1:2" x14ac:dyDescent="0.25">
      <c r="A624" s="124" t="s">
        <v>587</v>
      </c>
      <c r="B624" s="79">
        <v>173</v>
      </c>
    </row>
    <row r="625" spans="1:2" x14ac:dyDescent="0.25">
      <c r="A625" s="124" t="s">
        <v>692</v>
      </c>
      <c r="B625" s="79">
        <v>161</v>
      </c>
    </row>
    <row r="626" spans="1:2" x14ac:dyDescent="0.25">
      <c r="A626" s="120">
        <v>0.48499999999999993</v>
      </c>
      <c r="B626" s="79">
        <v>122</v>
      </c>
    </row>
    <row r="627" spans="1:2" x14ac:dyDescent="0.25">
      <c r="A627" s="124" t="s">
        <v>329</v>
      </c>
      <c r="B627" s="79">
        <v>122</v>
      </c>
    </row>
    <row r="628" spans="1:2" x14ac:dyDescent="0.25">
      <c r="A628" s="120">
        <v>0.48499999999999999</v>
      </c>
      <c r="B628" s="79">
        <v>161</v>
      </c>
    </row>
    <row r="629" spans="1:2" x14ac:dyDescent="0.25">
      <c r="A629" s="124" t="s">
        <v>649</v>
      </c>
      <c r="B629" s="79">
        <v>161</v>
      </c>
    </row>
    <row r="630" spans="1:2" x14ac:dyDescent="0.25">
      <c r="A630" s="120">
        <v>0.49</v>
      </c>
      <c r="B630" s="79">
        <v>1085</v>
      </c>
    </row>
    <row r="631" spans="1:2" x14ac:dyDescent="0.25">
      <c r="A631" s="124" t="s">
        <v>428</v>
      </c>
      <c r="B631" s="79">
        <v>155</v>
      </c>
    </row>
    <row r="632" spans="1:2" x14ac:dyDescent="0.25">
      <c r="A632" s="124" t="s">
        <v>440</v>
      </c>
      <c r="B632" s="79">
        <v>155</v>
      </c>
    </row>
    <row r="633" spans="1:2" x14ac:dyDescent="0.25">
      <c r="A633" s="124" t="s">
        <v>450</v>
      </c>
      <c r="B633" s="79">
        <v>155</v>
      </c>
    </row>
    <row r="634" spans="1:2" x14ac:dyDescent="0.25">
      <c r="A634" s="124" t="s">
        <v>638</v>
      </c>
      <c r="B634" s="79">
        <v>155</v>
      </c>
    </row>
    <row r="635" spans="1:2" x14ac:dyDescent="0.25">
      <c r="A635" s="124" t="s">
        <v>680</v>
      </c>
      <c r="B635" s="79">
        <v>155</v>
      </c>
    </row>
    <row r="636" spans="1:2" x14ac:dyDescent="0.25">
      <c r="A636" s="124" t="s">
        <v>693</v>
      </c>
      <c r="B636" s="79">
        <v>155</v>
      </c>
    </row>
    <row r="637" spans="1:2" x14ac:dyDescent="0.25">
      <c r="A637" s="124" t="s">
        <v>705</v>
      </c>
      <c r="B637" s="79">
        <v>155</v>
      </c>
    </row>
    <row r="638" spans="1:2" x14ac:dyDescent="0.25">
      <c r="A638" s="120">
        <v>0.49000000000000005</v>
      </c>
      <c r="B638" s="79">
        <v>170</v>
      </c>
    </row>
    <row r="639" spans="1:2" x14ac:dyDescent="0.25">
      <c r="A639" s="124" t="s">
        <v>469</v>
      </c>
      <c r="B639" s="79">
        <v>170</v>
      </c>
    </row>
    <row r="640" spans="1:2" x14ac:dyDescent="0.25">
      <c r="A640" s="120">
        <v>0.495</v>
      </c>
      <c r="B640" s="79">
        <v>375</v>
      </c>
    </row>
    <row r="641" spans="1:2" x14ac:dyDescent="0.25">
      <c r="A641" s="124" t="s">
        <v>265</v>
      </c>
      <c r="B641" s="79">
        <v>121</v>
      </c>
    </row>
    <row r="642" spans="1:2" x14ac:dyDescent="0.25">
      <c r="A642" s="124" t="s">
        <v>362</v>
      </c>
      <c r="B642" s="79">
        <v>138</v>
      </c>
    </row>
    <row r="643" spans="1:2" x14ac:dyDescent="0.25">
      <c r="A643" s="124" t="s">
        <v>464</v>
      </c>
      <c r="B643" s="79">
        <v>116</v>
      </c>
    </row>
    <row r="644" spans="1:2" x14ac:dyDescent="0.25">
      <c r="A644" s="120" t="s">
        <v>709</v>
      </c>
      <c r="B644" s="79">
        <v>49806</v>
      </c>
    </row>
    <row r="645" spans="1:2" x14ac:dyDescent="0.25">
      <c r="A645"/>
      <c r="B645"/>
    </row>
    <row r="646" spans="1:2" x14ac:dyDescent="0.25">
      <c r="A646"/>
      <c r="B646"/>
    </row>
    <row r="647" spans="1:2" x14ac:dyDescent="0.25">
      <c r="A647"/>
      <c r="B647"/>
    </row>
    <row r="648" spans="1:2" x14ac:dyDescent="0.25">
      <c r="A648"/>
      <c r="B648"/>
    </row>
    <row r="649" spans="1:2" x14ac:dyDescent="0.25">
      <c r="A649"/>
      <c r="B649"/>
    </row>
    <row r="650" spans="1:2" x14ac:dyDescent="0.25">
      <c r="A650"/>
      <c r="B650"/>
    </row>
    <row r="651" spans="1:2" x14ac:dyDescent="0.25">
      <c r="A651"/>
      <c r="B651"/>
    </row>
    <row r="652" spans="1:2" x14ac:dyDescent="0.25">
      <c r="A652"/>
      <c r="B652"/>
    </row>
    <row r="653" spans="1:2" x14ac:dyDescent="0.25">
      <c r="A653"/>
      <c r="B653"/>
    </row>
    <row r="654" spans="1:2" x14ac:dyDescent="0.25">
      <c r="A654"/>
      <c r="B654"/>
    </row>
    <row r="655" spans="1:2" x14ac:dyDescent="0.25">
      <c r="A655"/>
      <c r="B655"/>
    </row>
    <row r="656" spans="1:2" x14ac:dyDescent="0.25">
      <c r="A656"/>
      <c r="B656"/>
    </row>
    <row r="657" spans="1:2" x14ac:dyDescent="0.25">
      <c r="A657"/>
      <c r="B657"/>
    </row>
    <row r="658" spans="1:2" x14ac:dyDescent="0.25">
      <c r="A658"/>
      <c r="B658"/>
    </row>
    <row r="659" spans="1:2" x14ac:dyDescent="0.25">
      <c r="A659"/>
      <c r="B659"/>
    </row>
    <row r="660" spans="1:2" x14ac:dyDescent="0.25">
      <c r="A660"/>
      <c r="B660"/>
    </row>
    <row r="661" spans="1:2" x14ac:dyDescent="0.25">
      <c r="A661"/>
      <c r="B661"/>
    </row>
    <row r="662" spans="1:2" x14ac:dyDescent="0.25">
      <c r="A662"/>
      <c r="B662"/>
    </row>
    <row r="663" spans="1:2" x14ac:dyDescent="0.25">
      <c r="A663"/>
      <c r="B663"/>
    </row>
    <row r="664" spans="1:2" x14ac:dyDescent="0.25">
      <c r="A664"/>
      <c r="B664"/>
    </row>
    <row r="665" spans="1:2" x14ac:dyDescent="0.25">
      <c r="A665"/>
      <c r="B665"/>
    </row>
    <row r="666" spans="1:2" x14ac:dyDescent="0.25">
      <c r="A666"/>
      <c r="B666"/>
    </row>
    <row r="667" spans="1:2" x14ac:dyDescent="0.25">
      <c r="A667"/>
      <c r="B667"/>
    </row>
    <row r="668" spans="1:2" x14ac:dyDescent="0.25">
      <c r="A668"/>
      <c r="B668"/>
    </row>
    <row r="669" spans="1:2" x14ac:dyDescent="0.25">
      <c r="A669"/>
      <c r="B669"/>
    </row>
    <row r="670" spans="1:2" x14ac:dyDescent="0.25">
      <c r="A670"/>
      <c r="B670"/>
    </row>
    <row r="671" spans="1:2" x14ac:dyDescent="0.25">
      <c r="A671"/>
      <c r="B671"/>
    </row>
    <row r="672" spans="1:2" x14ac:dyDescent="0.25">
      <c r="A672"/>
      <c r="B672"/>
    </row>
    <row r="673" spans="1:2" x14ac:dyDescent="0.25">
      <c r="A673"/>
      <c r="B673"/>
    </row>
    <row r="674" spans="1:2" x14ac:dyDescent="0.25">
      <c r="A674"/>
      <c r="B674"/>
    </row>
    <row r="675" spans="1:2" x14ac:dyDescent="0.25">
      <c r="A675"/>
      <c r="B675"/>
    </row>
    <row r="676" spans="1:2" x14ac:dyDescent="0.25">
      <c r="A676"/>
      <c r="B676"/>
    </row>
    <row r="677" spans="1:2" x14ac:dyDescent="0.25">
      <c r="A677"/>
      <c r="B677"/>
    </row>
    <row r="678" spans="1:2" x14ac:dyDescent="0.25">
      <c r="A678"/>
      <c r="B678"/>
    </row>
    <row r="679" spans="1:2" x14ac:dyDescent="0.25">
      <c r="A679"/>
      <c r="B679"/>
    </row>
    <row r="680" spans="1:2" x14ac:dyDescent="0.25">
      <c r="A680"/>
      <c r="B680"/>
    </row>
    <row r="681" spans="1:2" x14ac:dyDescent="0.25">
      <c r="A681"/>
      <c r="B681"/>
    </row>
    <row r="682" spans="1:2" x14ac:dyDescent="0.25">
      <c r="A682"/>
      <c r="B682"/>
    </row>
    <row r="683" spans="1:2" x14ac:dyDescent="0.25">
      <c r="A683"/>
      <c r="B683"/>
    </row>
    <row r="684" spans="1:2" x14ac:dyDescent="0.25">
      <c r="A684"/>
      <c r="B684"/>
    </row>
    <row r="685" spans="1:2" x14ac:dyDescent="0.25">
      <c r="A685"/>
      <c r="B685"/>
    </row>
    <row r="686" spans="1:2" x14ac:dyDescent="0.25">
      <c r="A686"/>
      <c r="B686"/>
    </row>
    <row r="687" spans="1:2" x14ac:dyDescent="0.25">
      <c r="A687"/>
      <c r="B687"/>
    </row>
    <row r="688" spans="1:2" x14ac:dyDescent="0.25">
      <c r="A688"/>
      <c r="B688"/>
    </row>
    <row r="689" spans="1:2" x14ac:dyDescent="0.25">
      <c r="A689"/>
      <c r="B689"/>
    </row>
    <row r="690" spans="1:2" x14ac:dyDescent="0.25">
      <c r="A690"/>
      <c r="B690"/>
    </row>
    <row r="691" spans="1:2" x14ac:dyDescent="0.25">
      <c r="A691"/>
      <c r="B691"/>
    </row>
    <row r="692" spans="1:2" x14ac:dyDescent="0.25">
      <c r="A692"/>
      <c r="B692"/>
    </row>
    <row r="693" spans="1:2" x14ac:dyDescent="0.25">
      <c r="A693"/>
      <c r="B693"/>
    </row>
    <row r="694" spans="1:2" x14ac:dyDescent="0.25">
      <c r="A694"/>
      <c r="B694"/>
    </row>
    <row r="695" spans="1:2" x14ac:dyDescent="0.25">
      <c r="A695"/>
      <c r="B695"/>
    </row>
    <row r="696" spans="1:2" x14ac:dyDescent="0.25">
      <c r="A696"/>
      <c r="B696"/>
    </row>
    <row r="697" spans="1:2" x14ac:dyDescent="0.25">
      <c r="A697"/>
      <c r="B697"/>
    </row>
    <row r="698" spans="1:2" x14ac:dyDescent="0.25">
      <c r="A698"/>
      <c r="B698"/>
    </row>
    <row r="699" spans="1:2" x14ac:dyDescent="0.25">
      <c r="A699"/>
      <c r="B699"/>
    </row>
    <row r="700" spans="1:2" x14ac:dyDescent="0.25">
      <c r="A700"/>
      <c r="B700"/>
    </row>
    <row r="701" spans="1:2" x14ac:dyDescent="0.25">
      <c r="A701"/>
      <c r="B701"/>
    </row>
    <row r="702" spans="1:2" x14ac:dyDescent="0.25">
      <c r="A702"/>
      <c r="B702"/>
    </row>
    <row r="703" spans="1:2" x14ac:dyDescent="0.25">
      <c r="A703"/>
      <c r="B703"/>
    </row>
    <row r="704" spans="1:2" x14ac:dyDescent="0.25">
      <c r="A704"/>
      <c r="B704"/>
    </row>
    <row r="705" spans="1:2" x14ac:dyDescent="0.25">
      <c r="A705"/>
      <c r="B705"/>
    </row>
    <row r="706" spans="1:2" x14ac:dyDescent="0.25">
      <c r="A706"/>
      <c r="B706"/>
    </row>
    <row r="707" spans="1:2" x14ac:dyDescent="0.25">
      <c r="A707"/>
      <c r="B707"/>
    </row>
    <row r="708" spans="1:2" x14ac:dyDescent="0.25">
      <c r="A708"/>
      <c r="B708"/>
    </row>
    <row r="709" spans="1:2" x14ac:dyDescent="0.25">
      <c r="A709"/>
      <c r="B709"/>
    </row>
    <row r="710" spans="1:2" x14ac:dyDescent="0.25">
      <c r="A710"/>
      <c r="B710"/>
    </row>
    <row r="711" spans="1:2" x14ac:dyDescent="0.25">
      <c r="A711"/>
      <c r="B711"/>
    </row>
    <row r="712" spans="1:2" x14ac:dyDescent="0.25">
      <c r="A712"/>
      <c r="B712"/>
    </row>
    <row r="713" spans="1:2" x14ac:dyDescent="0.25">
      <c r="A713"/>
      <c r="B713"/>
    </row>
    <row r="714" spans="1:2" x14ac:dyDescent="0.25">
      <c r="A714"/>
      <c r="B714"/>
    </row>
    <row r="715" spans="1:2" x14ac:dyDescent="0.25">
      <c r="A715"/>
      <c r="B715"/>
    </row>
    <row r="716" spans="1:2" x14ac:dyDescent="0.25">
      <c r="A716"/>
      <c r="B716"/>
    </row>
    <row r="717" spans="1:2" x14ac:dyDescent="0.25">
      <c r="A717"/>
      <c r="B717"/>
    </row>
    <row r="718" spans="1:2" x14ac:dyDescent="0.25">
      <c r="A718"/>
      <c r="B718"/>
    </row>
    <row r="719" spans="1:2" x14ac:dyDescent="0.25">
      <c r="A719"/>
      <c r="B719"/>
    </row>
    <row r="720" spans="1:2" x14ac:dyDescent="0.25">
      <c r="A720"/>
      <c r="B720"/>
    </row>
    <row r="721" spans="1:2" x14ac:dyDescent="0.25">
      <c r="A721"/>
      <c r="B721"/>
    </row>
    <row r="722" spans="1:2" x14ac:dyDescent="0.25">
      <c r="A722"/>
      <c r="B722"/>
    </row>
    <row r="723" spans="1:2" x14ac:dyDescent="0.25">
      <c r="A723"/>
      <c r="B723"/>
    </row>
    <row r="724" spans="1:2" x14ac:dyDescent="0.25">
      <c r="A724"/>
      <c r="B724"/>
    </row>
    <row r="725" spans="1:2" x14ac:dyDescent="0.25">
      <c r="A725"/>
      <c r="B725"/>
    </row>
    <row r="726" spans="1:2" x14ac:dyDescent="0.25">
      <c r="A726"/>
      <c r="B726"/>
    </row>
    <row r="727" spans="1:2" x14ac:dyDescent="0.25">
      <c r="A727"/>
      <c r="B727"/>
    </row>
    <row r="728" spans="1:2" x14ac:dyDescent="0.25">
      <c r="A728"/>
      <c r="B728"/>
    </row>
    <row r="729" spans="1:2" x14ac:dyDescent="0.25">
      <c r="A729"/>
      <c r="B729"/>
    </row>
    <row r="730" spans="1:2" x14ac:dyDescent="0.25">
      <c r="A730"/>
      <c r="B730"/>
    </row>
    <row r="731" spans="1:2" x14ac:dyDescent="0.25">
      <c r="A731"/>
      <c r="B731"/>
    </row>
    <row r="732" spans="1:2" x14ac:dyDescent="0.25">
      <c r="A732"/>
      <c r="B732"/>
    </row>
    <row r="733" spans="1:2" x14ac:dyDescent="0.25">
      <c r="A733"/>
      <c r="B733"/>
    </row>
    <row r="734" spans="1:2" x14ac:dyDescent="0.25">
      <c r="A734"/>
      <c r="B734"/>
    </row>
    <row r="735" spans="1:2" x14ac:dyDescent="0.25">
      <c r="A735"/>
      <c r="B735"/>
    </row>
    <row r="736" spans="1:2" x14ac:dyDescent="0.25">
      <c r="A736"/>
      <c r="B736"/>
    </row>
    <row r="737" spans="1:2" x14ac:dyDescent="0.25">
      <c r="A737"/>
      <c r="B737"/>
    </row>
    <row r="738" spans="1:2" x14ac:dyDescent="0.25">
      <c r="A738"/>
      <c r="B738"/>
    </row>
    <row r="739" spans="1:2" x14ac:dyDescent="0.25">
      <c r="A739"/>
      <c r="B739"/>
    </row>
    <row r="740" spans="1:2" x14ac:dyDescent="0.25">
      <c r="A740"/>
      <c r="B740"/>
    </row>
    <row r="741" spans="1:2" x14ac:dyDescent="0.25">
      <c r="A741"/>
      <c r="B741"/>
    </row>
    <row r="742" spans="1:2" x14ac:dyDescent="0.25">
      <c r="A742"/>
      <c r="B742"/>
    </row>
    <row r="743" spans="1:2" x14ac:dyDescent="0.25">
      <c r="A743"/>
      <c r="B743"/>
    </row>
    <row r="744" spans="1:2" x14ac:dyDescent="0.25">
      <c r="A744"/>
      <c r="B744"/>
    </row>
    <row r="745" spans="1:2" x14ac:dyDescent="0.25">
      <c r="A745"/>
      <c r="B745"/>
    </row>
    <row r="746" spans="1:2" x14ac:dyDescent="0.25">
      <c r="A746"/>
      <c r="B746"/>
    </row>
    <row r="747" spans="1:2" x14ac:dyDescent="0.25">
      <c r="A747"/>
      <c r="B747"/>
    </row>
    <row r="748" spans="1:2" x14ac:dyDescent="0.25">
      <c r="B748" s="79"/>
    </row>
    <row r="749" spans="1:2" x14ac:dyDescent="0.25">
      <c r="B749" s="79"/>
    </row>
    <row r="750" spans="1:2" x14ac:dyDescent="0.25">
      <c r="B750" s="79"/>
    </row>
    <row r="751" spans="1:2" x14ac:dyDescent="0.25">
      <c r="B751" s="79"/>
    </row>
    <row r="752" spans="1:2" x14ac:dyDescent="0.25">
      <c r="B752" s="79"/>
    </row>
    <row r="753" s="79" customFormat="1" x14ac:dyDescent="0.25"/>
    <row r="754" s="79" customFormat="1" x14ac:dyDescent="0.25"/>
    <row r="755" s="79" customFormat="1" x14ac:dyDescent="0.25"/>
    <row r="756" s="79" customFormat="1" x14ac:dyDescent="0.25"/>
    <row r="757" s="79" customFormat="1" x14ac:dyDescent="0.25"/>
    <row r="758" s="79" customFormat="1" x14ac:dyDescent="0.25"/>
    <row r="759" s="79" customFormat="1" x14ac:dyDescent="0.25"/>
    <row r="760" s="79" customFormat="1" x14ac:dyDescent="0.25"/>
    <row r="761" s="79" customFormat="1" x14ac:dyDescent="0.25"/>
    <row r="762" s="79" customFormat="1" x14ac:dyDescent="0.25"/>
    <row r="763" s="79" customFormat="1" x14ac:dyDescent="0.25"/>
    <row r="764" s="79" customFormat="1" x14ac:dyDescent="0.25"/>
    <row r="765" s="79" customFormat="1" x14ac:dyDescent="0.25"/>
    <row r="766" s="79" customFormat="1" x14ac:dyDescent="0.25"/>
    <row r="767" s="79" customFormat="1" x14ac:dyDescent="0.25"/>
    <row r="768" s="79" customFormat="1" x14ac:dyDescent="0.25"/>
    <row r="769" s="79" customFormat="1" x14ac:dyDescent="0.25"/>
    <row r="770" s="79" customFormat="1" x14ac:dyDescent="0.25"/>
    <row r="771" s="79" customFormat="1" x14ac:dyDescent="0.25"/>
    <row r="772" s="79" customFormat="1" x14ac:dyDescent="0.25"/>
    <row r="773" s="79" customFormat="1" x14ac:dyDescent="0.25"/>
    <row r="774" s="79" customFormat="1" x14ac:dyDescent="0.25"/>
    <row r="775" s="79" customFormat="1" x14ac:dyDescent="0.25"/>
    <row r="776" s="79" customFormat="1" x14ac:dyDescent="0.25"/>
    <row r="777" s="79" customFormat="1" x14ac:dyDescent="0.25"/>
    <row r="778" s="79" customFormat="1" x14ac:dyDescent="0.25"/>
    <row r="779" s="79" customFormat="1" x14ac:dyDescent="0.25"/>
    <row r="780" s="79" customFormat="1" x14ac:dyDescent="0.25"/>
    <row r="781" s="79" customFormat="1" x14ac:dyDescent="0.25"/>
    <row r="782" s="79" customFormat="1" x14ac:dyDescent="0.25"/>
    <row r="783" s="79" customFormat="1" x14ac:dyDescent="0.25"/>
    <row r="784" s="79" customFormat="1" x14ac:dyDescent="0.25"/>
    <row r="785" s="79" customFormat="1" x14ac:dyDescent="0.25"/>
    <row r="786" s="79" customFormat="1" x14ac:dyDescent="0.25"/>
    <row r="787" s="79" customFormat="1" x14ac:dyDescent="0.25"/>
    <row r="788" s="79" customFormat="1" x14ac:dyDescent="0.25"/>
    <row r="789" s="79" customFormat="1" x14ac:dyDescent="0.25"/>
    <row r="790" s="79" customFormat="1" x14ac:dyDescent="0.25"/>
    <row r="791" s="79" customFormat="1" x14ac:dyDescent="0.25"/>
    <row r="792" s="79" customFormat="1" x14ac:dyDescent="0.25"/>
    <row r="793" s="79" customFormat="1" x14ac:dyDescent="0.25"/>
    <row r="794" s="79" customFormat="1" x14ac:dyDescent="0.25"/>
    <row r="795" s="79" customFormat="1" x14ac:dyDescent="0.25"/>
    <row r="796" s="79" customFormat="1" x14ac:dyDescent="0.25"/>
    <row r="797" s="79" customFormat="1" x14ac:dyDescent="0.25"/>
    <row r="798" s="79" customFormat="1" x14ac:dyDescent="0.25"/>
    <row r="799" s="79" customFormat="1" x14ac:dyDescent="0.25"/>
    <row r="800" s="79" customFormat="1" x14ac:dyDescent="0.25"/>
    <row r="801" s="79" customFormat="1" x14ac:dyDescent="0.25"/>
    <row r="802" s="79" customFormat="1" x14ac:dyDescent="0.25"/>
    <row r="803" s="79" customFormat="1" x14ac:dyDescent="0.25"/>
    <row r="804" s="79" customFormat="1" x14ac:dyDescent="0.25"/>
    <row r="805" s="79" customFormat="1" x14ac:dyDescent="0.25"/>
    <row r="806" s="79" customFormat="1" x14ac:dyDescent="0.25"/>
    <row r="807" s="79" customFormat="1" x14ac:dyDescent="0.25"/>
    <row r="808" s="79" customFormat="1" x14ac:dyDescent="0.25"/>
    <row r="809" s="79" customFormat="1" x14ac:dyDescent="0.25"/>
    <row r="810" s="79" customFormat="1" x14ac:dyDescent="0.25"/>
    <row r="811" s="79" customFormat="1" x14ac:dyDescent="0.25"/>
    <row r="812" s="79" customFormat="1" x14ac:dyDescent="0.25"/>
    <row r="813" s="79" customFormat="1" x14ac:dyDescent="0.25"/>
    <row r="814" s="79" customFormat="1" x14ac:dyDescent="0.25"/>
    <row r="815" s="79" customFormat="1" x14ac:dyDescent="0.25"/>
    <row r="816" s="79" customFormat="1" x14ac:dyDescent="0.25"/>
    <row r="817" s="79" customFormat="1" x14ac:dyDescent="0.25"/>
    <row r="818" s="79" customFormat="1" x14ac:dyDescent="0.25"/>
    <row r="819" s="79" customFormat="1" x14ac:dyDescent="0.25"/>
    <row r="820" s="79" customFormat="1" x14ac:dyDescent="0.25"/>
    <row r="821" s="79" customFormat="1" x14ac:dyDescent="0.25"/>
    <row r="822" s="79" customFormat="1" x14ac:dyDescent="0.25"/>
    <row r="823" s="79" customFormat="1" x14ac:dyDescent="0.25"/>
    <row r="824" s="79" customFormat="1" x14ac:dyDescent="0.25"/>
    <row r="825" s="79" customFormat="1" x14ac:dyDescent="0.25"/>
    <row r="826" s="79" customFormat="1" x14ac:dyDescent="0.25"/>
    <row r="827" s="79" customFormat="1" x14ac:dyDescent="0.25"/>
    <row r="828" s="79" customFormat="1" x14ac:dyDescent="0.25"/>
    <row r="829" s="79" customFormat="1" x14ac:dyDescent="0.25"/>
    <row r="830" s="79" customFormat="1" x14ac:dyDescent="0.25"/>
    <row r="831" s="79" customFormat="1" x14ac:dyDescent="0.25"/>
    <row r="832" s="79" customFormat="1" x14ac:dyDescent="0.25"/>
    <row r="833" s="79" customFormat="1" x14ac:dyDescent="0.25"/>
    <row r="834" s="79" customFormat="1" x14ac:dyDescent="0.25"/>
    <row r="835" s="79" customFormat="1" x14ac:dyDescent="0.25"/>
    <row r="836" s="79" customFormat="1" x14ac:dyDescent="0.25"/>
    <row r="837" s="79" customFormat="1" x14ac:dyDescent="0.25"/>
    <row r="838" s="79" customFormat="1" x14ac:dyDescent="0.25"/>
    <row r="839" s="79" customFormat="1" x14ac:dyDescent="0.25"/>
    <row r="840" s="79" customFormat="1" x14ac:dyDescent="0.25"/>
    <row r="841" s="79" customFormat="1" x14ac:dyDescent="0.25"/>
    <row r="842" s="79" customFormat="1" x14ac:dyDescent="0.25"/>
    <row r="843" s="79" customFormat="1" x14ac:dyDescent="0.25"/>
    <row r="844" s="79" customFormat="1" x14ac:dyDescent="0.25"/>
    <row r="845" s="79" customFormat="1" x14ac:dyDescent="0.25"/>
    <row r="846" s="79" customFormat="1" x14ac:dyDescent="0.25"/>
    <row r="847" s="79" customFormat="1" x14ac:dyDescent="0.25"/>
    <row r="848" s="79" customFormat="1" x14ac:dyDescent="0.25"/>
    <row r="849" s="79" customFormat="1" x14ac:dyDescent="0.25"/>
    <row r="850" s="79" customFormat="1" x14ac:dyDescent="0.25"/>
    <row r="851" s="79" customFormat="1" x14ac:dyDescent="0.25"/>
    <row r="852" s="79" customFormat="1" x14ac:dyDescent="0.25"/>
    <row r="853" s="79" customFormat="1" x14ac:dyDescent="0.25"/>
    <row r="854" s="79" customFormat="1" x14ac:dyDescent="0.25"/>
    <row r="855" s="79" customFormat="1" x14ac:dyDescent="0.25"/>
    <row r="856" s="79" customFormat="1" x14ac:dyDescent="0.25"/>
    <row r="857" s="79" customFormat="1" x14ac:dyDescent="0.25"/>
    <row r="858" s="79" customFormat="1" x14ac:dyDescent="0.25"/>
    <row r="859" s="79" customFormat="1" x14ac:dyDescent="0.25"/>
    <row r="860" s="79" customFormat="1" x14ac:dyDescent="0.25"/>
    <row r="861" s="79" customFormat="1" x14ac:dyDescent="0.25"/>
    <row r="862" s="79" customFormat="1" x14ac:dyDescent="0.25"/>
    <row r="863" s="79" customFormat="1" x14ac:dyDescent="0.25"/>
    <row r="864" s="79" customFormat="1" x14ac:dyDescent="0.25"/>
    <row r="865" s="79" customFormat="1" x14ac:dyDescent="0.25"/>
    <row r="866" s="79" customFormat="1" x14ac:dyDescent="0.25"/>
    <row r="867" s="79" customFormat="1" x14ac:dyDescent="0.25"/>
    <row r="868" s="79" customFormat="1" x14ac:dyDescent="0.25"/>
    <row r="869" s="79" customFormat="1" x14ac:dyDescent="0.25"/>
    <row r="870" s="79" customFormat="1" x14ac:dyDescent="0.25"/>
    <row r="871" s="79" customFormat="1" x14ac:dyDescent="0.25"/>
    <row r="872" s="79" customFormat="1" x14ac:dyDescent="0.25"/>
    <row r="873" s="79" customFormat="1" x14ac:dyDescent="0.25"/>
    <row r="874" s="79" customFormat="1" x14ac:dyDescent="0.25"/>
    <row r="875" s="79" customFormat="1" x14ac:dyDescent="0.25"/>
    <row r="876" s="79" customFormat="1" x14ac:dyDescent="0.25"/>
    <row r="877" s="79" customFormat="1" x14ac:dyDescent="0.25"/>
    <row r="878" s="79" customFormat="1" x14ac:dyDescent="0.25"/>
    <row r="879" s="79" customFormat="1" x14ac:dyDescent="0.25"/>
    <row r="880" s="79" customFormat="1" x14ac:dyDescent="0.25"/>
    <row r="881" spans="1:2" x14ac:dyDescent="0.25">
      <c r="B881" s="79"/>
    </row>
    <row r="882" spans="1:2" x14ac:dyDescent="0.25">
      <c r="B882" s="79"/>
    </row>
    <row r="883" spans="1:2" x14ac:dyDescent="0.25">
      <c r="B883" s="79"/>
    </row>
    <row r="884" spans="1:2" x14ac:dyDescent="0.25">
      <c r="B884" s="79"/>
    </row>
    <row r="885" spans="1:2" x14ac:dyDescent="0.25">
      <c r="B885" s="79"/>
    </row>
    <row r="886" spans="1:2" x14ac:dyDescent="0.25">
      <c r="B886" s="79"/>
    </row>
    <row r="887" spans="1:2" x14ac:dyDescent="0.25">
      <c r="B887" s="79"/>
    </row>
    <row r="888" spans="1:2" x14ac:dyDescent="0.25">
      <c r="B888" s="79"/>
    </row>
    <row r="889" spans="1:2" x14ac:dyDescent="0.25">
      <c r="B889" s="79"/>
    </row>
    <row r="896" spans="1:2" x14ac:dyDescent="0.25">
      <c r="A896" s="79" t="s">
        <v>146</v>
      </c>
      <c r="B896" s="79" t="s">
        <v>710</v>
      </c>
    </row>
    <row r="897" spans="1:2" x14ac:dyDescent="0.25">
      <c r="A897" s="125">
        <v>135</v>
      </c>
      <c r="B897" s="79">
        <v>8</v>
      </c>
    </row>
    <row r="898" spans="1:2" x14ac:dyDescent="0.25">
      <c r="A898" s="125">
        <v>110</v>
      </c>
      <c r="B898" s="79">
        <v>26</v>
      </c>
    </row>
    <row r="899" spans="1:2" x14ac:dyDescent="0.25">
      <c r="A899" s="125">
        <v>75</v>
      </c>
      <c r="B899" s="79">
        <v>6</v>
      </c>
    </row>
    <row r="900" spans="1:2" x14ac:dyDescent="0.25">
      <c r="A900" s="125">
        <v>111</v>
      </c>
      <c r="B900" s="79">
        <v>10</v>
      </c>
    </row>
    <row r="901" spans="1:2" x14ac:dyDescent="0.25">
      <c r="A901" s="125">
        <v>120</v>
      </c>
      <c r="B901" s="79">
        <v>5</v>
      </c>
    </row>
    <row r="902" spans="1:2" x14ac:dyDescent="0.25">
      <c r="A902" s="125">
        <v>121</v>
      </c>
      <c r="B902" s="79">
        <v>12</v>
      </c>
    </row>
    <row r="903" spans="1:2" x14ac:dyDescent="0.25">
      <c r="A903" s="125">
        <v>119</v>
      </c>
      <c r="B903" s="79">
        <v>15</v>
      </c>
    </row>
    <row r="904" spans="1:2" x14ac:dyDescent="0.25">
      <c r="A904" s="125">
        <v>116</v>
      </c>
      <c r="B904" s="79">
        <v>19</v>
      </c>
    </row>
    <row r="905" spans="1:2" x14ac:dyDescent="0.25">
      <c r="A905" s="125">
        <v>199</v>
      </c>
      <c r="B905" s="79">
        <v>22</v>
      </c>
    </row>
    <row r="906" spans="1:2" x14ac:dyDescent="0.25">
      <c r="A906" s="125">
        <v>224</v>
      </c>
      <c r="B906" s="79">
        <v>28</v>
      </c>
    </row>
    <row r="907" spans="1:2" x14ac:dyDescent="0.25">
      <c r="A907" s="125">
        <v>176</v>
      </c>
      <c r="B907" s="79">
        <v>37</v>
      </c>
    </row>
    <row r="908" spans="1:2" x14ac:dyDescent="0.25">
      <c r="A908" s="125">
        <v>117</v>
      </c>
      <c r="B908" s="79">
        <v>19</v>
      </c>
    </row>
    <row r="909" spans="1:2" x14ac:dyDescent="0.25">
      <c r="A909" s="125">
        <v>173</v>
      </c>
      <c r="B909" s="79">
        <v>63</v>
      </c>
    </row>
    <row r="910" spans="1:2" x14ac:dyDescent="0.25">
      <c r="A910" s="125">
        <v>172</v>
      </c>
      <c r="B910" s="79">
        <v>38</v>
      </c>
    </row>
    <row r="911" spans="1:2" x14ac:dyDescent="0.25">
      <c r="A911" s="125">
        <v>205</v>
      </c>
      <c r="B911" s="79">
        <v>4</v>
      </c>
    </row>
    <row r="912" spans="1:2" x14ac:dyDescent="0.25">
      <c r="A912" s="125">
        <v>228</v>
      </c>
      <c r="B912" s="79">
        <v>24</v>
      </c>
    </row>
    <row r="913" spans="1:2" x14ac:dyDescent="0.25">
      <c r="A913" s="125">
        <v>202</v>
      </c>
      <c r="B913" s="79">
        <v>4</v>
      </c>
    </row>
    <row r="914" spans="1:2" x14ac:dyDescent="0.25">
      <c r="A914" s="125">
        <v>229</v>
      </c>
      <c r="B914" s="79">
        <v>4</v>
      </c>
    </row>
    <row r="915" spans="1:2" x14ac:dyDescent="0.25">
      <c r="A915" s="125">
        <v>170</v>
      </c>
      <c r="B915" s="79">
        <v>24</v>
      </c>
    </row>
    <row r="916" spans="1:2" x14ac:dyDescent="0.25">
      <c r="A916" s="125">
        <v>223</v>
      </c>
      <c r="B916" s="79">
        <v>4</v>
      </c>
    </row>
    <row r="917" spans="1:2" x14ac:dyDescent="0.25">
      <c r="A917" s="125">
        <v>106</v>
      </c>
      <c r="B917" s="79">
        <v>12</v>
      </c>
    </row>
    <row r="918" spans="1:2" x14ac:dyDescent="0.25">
      <c r="A918" s="125">
        <v>153</v>
      </c>
      <c r="B918" s="79">
        <v>24</v>
      </c>
    </row>
    <row r="919" spans="1:2" x14ac:dyDescent="0.25">
      <c r="A919" s="125">
        <v>158</v>
      </c>
      <c r="B919" s="79">
        <v>28</v>
      </c>
    </row>
    <row r="920" spans="1:2" x14ac:dyDescent="0.25">
      <c r="A920" s="125">
        <v>160</v>
      </c>
      <c r="B920" s="79">
        <v>68</v>
      </c>
    </row>
    <row r="921" spans="1:2" x14ac:dyDescent="0.25">
      <c r="A921" s="125">
        <v>108</v>
      </c>
      <c r="B921" s="79">
        <v>20</v>
      </c>
    </row>
    <row r="922" spans="1:2" x14ac:dyDescent="0.25">
      <c r="A922" s="125">
        <v>155</v>
      </c>
      <c r="B922" s="79">
        <v>88</v>
      </c>
    </row>
    <row r="923" spans="1:2" x14ac:dyDescent="0.25">
      <c r="A923" s="125">
        <v>157</v>
      </c>
      <c r="B923" s="79">
        <v>12</v>
      </c>
    </row>
    <row r="924" spans="1:2" x14ac:dyDescent="0.25">
      <c r="A924" s="125">
        <v>161</v>
      </c>
      <c r="B924" s="79">
        <v>40</v>
      </c>
    </row>
    <row r="925" spans="1:2" x14ac:dyDescent="0.25">
      <c r="A925" s="125">
        <v>309</v>
      </c>
      <c r="B925" s="79">
        <v>4</v>
      </c>
    </row>
    <row r="926" spans="1:2" x14ac:dyDescent="0.25">
      <c r="A926" s="125">
        <v>301</v>
      </c>
      <c r="B926" s="79">
        <v>4</v>
      </c>
    </row>
    <row r="927" spans="1:2" x14ac:dyDescent="0.25">
      <c r="A927" s="125">
        <v>162</v>
      </c>
      <c r="B927" s="79">
        <v>4</v>
      </c>
    </row>
    <row r="928" spans="1:2" x14ac:dyDescent="0.25">
      <c r="A928" s="125">
        <v>180</v>
      </c>
      <c r="B928" s="79">
        <v>5</v>
      </c>
    </row>
    <row r="929" spans="1:2" x14ac:dyDescent="0.25">
      <c r="A929" s="125">
        <v>198</v>
      </c>
      <c r="B929" s="79">
        <v>20</v>
      </c>
    </row>
    <row r="930" spans="1:2" x14ac:dyDescent="0.25">
      <c r="A930" s="125">
        <v>204</v>
      </c>
      <c r="B930" s="79">
        <v>10</v>
      </c>
    </row>
    <row r="931" spans="1:2" x14ac:dyDescent="0.25">
      <c r="A931" s="125">
        <v>201</v>
      </c>
      <c r="B931" s="79">
        <v>10</v>
      </c>
    </row>
    <row r="932" spans="1:2" x14ac:dyDescent="0.25">
      <c r="A932" s="125">
        <v>222</v>
      </c>
      <c r="B932" s="79">
        <v>10</v>
      </c>
    </row>
    <row r="933" spans="1:2" x14ac:dyDescent="0.25">
      <c r="A933" s="125">
        <v>344</v>
      </c>
      <c r="B933" s="79">
        <v>10</v>
      </c>
    </row>
    <row r="934" spans="1:2" x14ac:dyDescent="0.25">
      <c r="A934" s="125">
        <v>174</v>
      </c>
      <c r="B934" s="79">
        <v>15</v>
      </c>
    </row>
    <row r="935" spans="1:2" x14ac:dyDescent="0.25">
      <c r="A935" s="125">
        <v>152</v>
      </c>
      <c r="B935" s="79">
        <v>4</v>
      </c>
    </row>
    <row r="936" spans="1:2" x14ac:dyDescent="0.25">
      <c r="A936" s="125">
        <v>154</v>
      </c>
      <c r="B936" s="79">
        <v>4</v>
      </c>
    </row>
    <row r="937" spans="1:2" x14ac:dyDescent="0.25">
      <c r="A937" s="125">
        <v>136</v>
      </c>
      <c r="B937" s="79">
        <v>8</v>
      </c>
    </row>
    <row r="938" spans="1:2" x14ac:dyDescent="0.25">
      <c r="A938" s="125">
        <v>76</v>
      </c>
      <c r="B938" s="79">
        <v>6</v>
      </c>
    </row>
    <row r="939" spans="1:2" x14ac:dyDescent="0.25">
      <c r="A939" s="125">
        <v>138</v>
      </c>
      <c r="B939" s="79">
        <v>4</v>
      </c>
    </row>
    <row r="940" spans="1:2" x14ac:dyDescent="0.25">
      <c r="A940" s="125">
        <v>112</v>
      </c>
      <c r="B940" s="79">
        <v>12</v>
      </c>
    </row>
    <row r="941" spans="1:2" x14ac:dyDescent="0.25">
      <c r="A941" s="125">
        <v>122</v>
      </c>
      <c r="B941" s="79">
        <v>8</v>
      </c>
    </row>
    <row r="942" spans="1:2" x14ac:dyDescent="0.25">
      <c r="A942" s="125">
        <v>78</v>
      </c>
      <c r="B942" s="79">
        <v>10</v>
      </c>
    </row>
    <row r="943" spans="1:2" x14ac:dyDescent="0.25">
      <c r="A943" s="125">
        <v>63</v>
      </c>
      <c r="B943" s="79">
        <v>16</v>
      </c>
    </row>
    <row r="944" spans="1:2" x14ac:dyDescent="0.25">
      <c r="A944" s="125">
        <v>84</v>
      </c>
      <c r="B944" s="79">
        <v>12</v>
      </c>
    </row>
    <row r="945" spans="1:2" x14ac:dyDescent="0.25">
      <c r="A945" s="125">
        <v>85</v>
      </c>
      <c r="B945" s="79">
        <v>8</v>
      </c>
    </row>
    <row r="946" spans="1:2" x14ac:dyDescent="0.25">
      <c r="A946" s="125">
        <v>77</v>
      </c>
      <c r="B946" s="79">
        <v>10</v>
      </c>
    </row>
    <row r="947" spans="1:2" x14ac:dyDescent="0.25">
      <c r="A947" s="125" t="s">
        <v>709</v>
      </c>
      <c r="B947" s="79">
        <v>858</v>
      </c>
    </row>
    <row r="948" spans="1:2" x14ac:dyDescent="0.25">
      <c r="A948"/>
      <c r="B948"/>
    </row>
    <row r="949" spans="1:2" x14ac:dyDescent="0.25">
      <c r="A949"/>
      <c r="B949"/>
    </row>
    <row r="950" spans="1:2" x14ac:dyDescent="0.25">
      <c r="A950"/>
      <c r="B950"/>
    </row>
    <row r="951" spans="1:2" x14ac:dyDescent="0.25">
      <c r="A951"/>
      <c r="B951"/>
    </row>
    <row r="952" spans="1:2" x14ac:dyDescent="0.25">
      <c r="A952"/>
      <c r="B952"/>
    </row>
    <row r="953" spans="1:2" x14ac:dyDescent="0.25">
      <c r="A953"/>
      <c r="B953"/>
    </row>
    <row r="954" spans="1:2" x14ac:dyDescent="0.25">
      <c r="A954"/>
      <c r="B954"/>
    </row>
    <row r="955" spans="1:2" x14ac:dyDescent="0.25">
      <c r="A955"/>
      <c r="B955"/>
    </row>
    <row r="956" spans="1:2" x14ac:dyDescent="0.25">
      <c r="A956"/>
      <c r="B956"/>
    </row>
    <row r="957" spans="1:2" x14ac:dyDescent="0.25">
      <c r="A957"/>
      <c r="B957"/>
    </row>
    <row r="958" spans="1:2" x14ac:dyDescent="0.25">
      <c r="A958"/>
      <c r="B958"/>
    </row>
    <row r="959" spans="1:2" x14ac:dyDescent="0.25">
      <c r="A959"/>
      <c r="B959"/>
    </row>
    <row r="960" spans="1:2" x14ac:dyDescent="0.25">
      <c r="A960"/>
      <c r="B960"/>
    </row>
    <row r="961" spans="1:2" x14ac:dyDescent="0.25">
      <c r="A961"/>
      <c r="B961"/>
    </row>
    <row r="962" spans="1:2" x14ac:dyDescent="0.25">
      <c r="A962"/>
      <c r="B962"/>
    </row>
    <row r="963" spans="1:2" x14ac:dyDescent="0.25">
      <c r="A963"/>
      <c r="B963"/>
    </row>
    <row r="964" spans="1:2" x14ac:dyDescent="0.25">
      <c r="A964"/>
      <c r="B964"/>
    </row>
    <row r="965" spans="1:2" x14ac:dyDescent="0.25">
      <c r="A965"/>
      <c r="B965"/>
    </row>
    <row r="966" spans="1:2" x14ac:dyDescent="0.25">
      <c r="A966"/>
      <c r="B966"/>
    </row>
    <row r="967" spans="1:2" x14ac:dyDescent="0.25">
      <c r="A967"/>
      <c r="B967"/>
    </row>
    <row r="968" spans="1:2" x14ac:dyDescent="0.25">
      <c r="A968"/>
      <c r="B968"/>
    </row>
    <row r="969" spans="1:2" x14ac:dyDescent="0.25">
      <c r="A969"/>
      <c r="B969"/>
    </row>
    <row r="970" spans="1:2" x14ac:dyDescent="0.25">
      <c r="A970"/>
      <c r="B970"/>
    </row>
    <row r="971" spans="1:2" x14ac:dyDescent="0.25">
      <c r="A971"/>
      <c r="B971"/>
    </row>
    <row r="972" spans="1:2" x14ac:dyDescent="0.25">
      <c r="A972"/>
      <c r="B972"/>
    </row>
    <row r="973" spans="1:2" x14ac:dyDescent="0.25">
      <c r="A973"/>
      <c r="B973"/>
    </row>
    <row r="974" spans="1:2" x14ac:dyDescent="0.25">
      <c r="A974"/>
      <c r="B974"/>
    </row>
    <row r="975" spans="1:2" x14ac:dyDescent="0.25">
      <c r="A975"/>
      <c r="B975"/>
    </row>
    <row r="976" spans="1:2" x14ac:dyDescent="0.25">
      <c r="A976"/>
      <c r="B976"/>
    </row>
    <row r="977" spans="1:2" x14ac:dyDescent="0.25">
      <c r="A977"/>
      <c r="B977"/>
    </row>
    <row r="978" spans="1:2" x14ac:dyDescent="0.25">
      <c r="A978"/>
      <c r="B978"/>
    </row>
    <row r="979" spans="1:2" x14ac:dyDescent="0.25">
      <c r="A979"/>
      <c r="B979"/>
    </row>
    <row r="980" spans="1:2" x14ac:dyDescent="0.25">
      <c r="A980"/>
      <c r="B980"/>
    </row>
    <row r="981" spans="1:2" x14ac:dyDescent="0.25">
      <c r="A981"/>
      <c r="B981"/>
    </row>
    <row r="982" spans="1:2" x14ac:dyDescent="0.25">
      <c r="A982"/>
      <c r="B982"/>
    </row>
    <row r="983" spans="1:2" x14ac:dyDescent="0.25">
      <c r="A983"/>
      <c r="B983"/>
    </row>
    <row r="984" spans="1:2" x14ac:dyDescent="0.25">
      <c r="A984"/>
      <c r="B984"/>
    </row>
    <row r="985" spans="1:2" x14ac:dyDescent="0.25">
      <c r="A985"/>
      <c r="B985"/>
    </row>
    <row r="986" spans="1:2" x14ac:dyDescent="0.25">
      <c r="A986"/>
      <c r="B986"/>
    </row>
    <row r="987" spans="1:2" x14ac:dyDescent="0.25">
      <c r="A987"/>
      <c r="B987"/>
    </row>
    <row r="988" spans="1:2" x14ac:dyDescent="0.25">
      <c r="A988"/>
      <c r="B988"/>
    </row>
    <row r="989" spans="1:2" x14ac:dyDescent="0.25">
      <c r="A989"/>
      <c r="B989"/>
    </row>
    <row r="990" spans="1:2" x14ac:dyDescent="0.25">
      <c r="A990"/>
      <c r="B990"/>
    </row>
    <row r="991" spans="1:2" x14ac:dyDescent="0.25">
      <c r="A991"/>
      <c r="B991"/>
    </row>
    <row r="992" spans="1:2" x14ac:dyDescent="0.25">
      <c r="A992"/>
      <c r="B992"/>
    </row>
    <row r="993" spans="1:2" x14ac:dyDescent="0.25">
      <c r="A993"/>
      <c r="B993"/>
    </row>
    <row r="994" spans="1:2" x14ac:dyDescent="0.25">
      <c r="A994"/>
      <c r="B994"/>
    </row>
    <row r="995" spans="1:2" x14ac:dyDescent="0.25">
      <c r="A995"/>
      <c r="B995"/>
    </row>
    <row r="996" spans="1:2" x14ac:dyDescent="0.25">
      <c r="A996"/>
      <c r="B996"/>
    </row>
    <row r="997" spans="1:2" x14ac:dyDescent="0.25">
      <c r="A997"/>
      <c r="B997"/>
    </row>
    <row r="998" spans="1:2" x14ac:dyDescent="0.25">
      <c r="A998"/>
      <c r="B998"/>
    </row>
    <row r="999" spans="1:2" x14ac:dyDescent="0.25">
      <c r="A999"/>
      <c r="B999"/>
    </row>
    <row r="1000" spans="1:2" x14ac:dyDescent="0.25">
      <c r="A1000"/>
      <c r="B1000"/>
    </row>
    <row r="1001" spans="1:2" x14ac:dyDescent="0.25">
      <c r="A1001"/>
      <c r="B1001"/>
    </row>
    <row r="1002" spans="1:2" x14ac:dyDescent="0.25">
      <c r="A1002"/>
      <c r="B1002"/>
    </row>
    <row r="1003" spans="1:2" x14ac:dyDescent="0.25">
      <c r="A1003"/>
      <c r="B1003"/>
    </row>
    <row r="1004" spans="1:2" x14ac:dyDescent="0.25">
      <c r="A1004"/>
      <c r="B1004"/>
    </row>
    <row r="1005" spans="1:2" x14ac:dyDescent="0.25">
      <c r="A1005"/>
      <c r="B1005"/>
    </row>
    <row r="1006" spans="1:2" x14ac:dyDescent="0.25">
      <c r="A1006"/>
      <c r="B1006"/>
    </row>
    <row r="1007" spans="1:2" x14ac:dyDescent="0.25">
      <c r="A1007"/>
      <c r="B1007"/>
    </row>
    <row r="1008" spans="1:2" x14ac:dyDescent="0.25">
      <c r="A1008"/>
      <c r="B1008"/>
    </row>
    <row r="1009" spans="1:2" x14ac:dyDescent="0.25">
      <c r="A1009"/>
      <c r="B1009"/>
    </row>
    <row r="1010" spans="1:2" x14ac:dyDescent="0.25">
      <c r="A1010"/>
      <c r="B1010"/>
    </row>
    <row r="1011" spans="1:2" x14ac:dyDescent="0.25">
      <c r="A1011"/>
      <c r="B1011"/>
    </row>
    <row r="1012" spans="1:2" x14ac:dyDescent="0.25">
      <c r="A1012"/>
      <c r="B1012"/>
    </row>
    <row r="1013" spans="1:2" x14ac:dyDescent="0.25">
      <c r="A1013"/>
      <c r="B1013"/>
    </row>
    <row r="1014" spans="1:2" x14ac:dyDescent="0.25">
      <c r="A1014"/>
      <c r="B1014"/>
    </row>
    <row r="1015" spans="1:2" x14ac:dyDescent="0.25">
      <c r="A1015"/>
      <c r="B1015"/>
    </row>
    <row r="1016" spans="1:2" x14ac:dyDescent="0.25">
      <c r="A1016"/>
      <c r="B1016"/>
    </row>
    <row r="1017" spans="1:2" x14ac:dyDescent="0.25">
      <c r="A1017"/>
      <c r="B1017"/>
    </row>
    <row r="1018" spans="1:2" x14ac:dyDescent="0.25">
      <c r="A1018"/>
      <c r="B1018"/>
    </row>
    <row r="1019" spans="1:2" x14ac:dyDescent="0.25">
      <c r="A1019"/>
      <c r="B1019"/>
    </row>
    <row r="1020" spans="1:2" x14ac:dyDescent="0.25">
      <c r="A1020"/>
      <c r="B1020"/>
    </row>
    <row r="1021" spans="1:2" x14ac:dyDescent="0.25">
      <c r="A1021"/>
      <c r="B1021"/>
    </row>
    <row r="1022" spans="1:2" x14ac:dyDescent="0.25">
      <c r="A1022"/>
      <c r="B1022"/>
    </row>
    <row r="1023" spans="1:2" x14ac:dyDescent="0.25">
      <c r="A1023"/>
      <c r="B1023"/>
    </row>
    <row r="1024" spans="1:2" x14ac:dyDescent="0.25">
      <c r="A1024"/>
      <c r="B1024"/>
    </row>
    <row r="1025" spans="1:2" x14ac:dyDescent="0.25">
      <c r="A1025"/>
      <c r="B1025"/>
    </row>
    <row r="1026" spans="1:2" x14ac:dyDescent="0.25">
      <c r="A1026"/>
      <c r="B1026"/>
    </row>
    <row r="1027" spans="1:2" x14ac:dyDescent="0.25">
      <c r="A1027"/>
      <c r="B1027"/>
    </row>
    <row r="1028" spans="1:2" x14ac:dyDescent="0.25">
      <c r="A1028"/>
      <c r="B1028"/>
    </row>
    <row r="1029" spans="1:2" x14ac:dyDescent="0.25">
      <c r="A1029"/>
      <c r="B1029"/>
    </row>
    <row r="1030" spans="1:2" x14ac:dyDescent="0.25">
      <c r="A1030"/>
      <c r="B1030"/>
    </row>
    <row r="1031" spans="1:2" x14ac:dyDescent="0.25">
      <c r="A1031"/>
      <c r="B1031"/>
    </row>
    <row r="1032" spans="1:2" x14ac:dyDescent="0.25">
      <c r="A1032"/>
      <c r="B1032"/>
    </row>
    <row r="1033" spans="1:2" x14ac:dyDescent="0.25">
      <c r="A1033"/>
      <c r="B1033"/>
    </row>
    <row r="1034" spans="1:2" x14ac:dyDescent="0.25">
      <c r="A1034"/>
      <c r="B1034"/>
    </row>
    <row r="1035" spans="1:2" x14ac:dyDescent="0.25">
      <c r="A1035"/>
      <c r="B1035"/>
    </row>
    <row r="1036" spans="1:2" x14ac:dyDescent="0.25">
      <c r="A1036"/>
      <c r="B1036"/>
    </row>
    <row r="1037" spans="1:2" x14ac:dyDescent="0.25">
      <c r="A1037"/>
      <c r="B1037"/>
    </row>
    <row r="1038" spans="1:2" x14ac:dyDescent="0.25">
      <c r="A1038"/>
      <c r="B1038"/>
    </row>
    <row r="1039" spans="1:2" x14ac:dyDescent="0.25">
      <c r="A1039"/>
      <c r="B1039"/>
    </row>
    <row r="1040" spans="1:2" x14ac:dyDescent="0.25">
      <c r="A1040"/>
      <c r="B1040"/>
    </row>
    <row r="1041" spans="1:3" x14ac:dyDescent="0.25">
      <c r="A1041"/>
      <c r="B1041"/>
    </row>
    <row r="1042" spans="1:3" x14ac:dyDescent="0.25">
      <c r="A1042"/>
      <c r="B1042"/>
    </row>
    <row r="1043" spans="1:3" x14ac:dyDescent="0.25">
      <c r="A1043"/>
      <c r="B1043"/>
    </row>
    <row r="1044" spans="1:3" x14ac:dyDescent="0.25">
      <c r="A1044"/>
      <c r="B1044"/>
    </row>
    <row r="1045" spans="1:3" x14ac:dyDescent="0.25">
      <c r="A1045"/>
      <c r="B1045"/>
    </row>
    <row r="1046" spans="1:3" x14ac:dyDescent="0.25">
      <c r="A1046"/>
      <c r="B1046"/>
    </row>
    <row r="1047" spans="1:3" x14ac:dyDescent="0.25">
      <c r="A1047"/>
      <c r="B1047"/>
    </row>
    <row r="1048" spans="1:3" x14ac:dyDescent="0.25">
      <c r="A1048"/>
      <c r="B1048"/>
    </row>
    <row r="1049" spans="1:3" x14ac:dyDescent="0.25">
      <c r="A1049"/>
      <c r="B1049"/>
    </row>
    <row r="1050" spans="1:3" x14ac:dyDescent="0.25">
      <c r="A1050"/>
      <c r="B1050"/>
    </row>
    <row r="1051" spans="1:3" x14ac:dyDescent="0.25">
      <c r="A1051"/>
      <c r="B1051"/>
    </row>
    <row r="1052" spans="1:3" x14ac:dyDescent="0.25">
      <c r="A1052"/>
      <c r="B1052"/>
    </row>
    <row r="1053" spans="1:3" x14ac:dyDescent="0.25">
      <c r="A1053"/>
      <c r="B1053"/>
    </row>
    <row r="1054" spans="1:3" x14ac:dyDescent="0.25">
      <c r="B1054" s="79"/>
    </row>
    <row r="1055" spans="1:3" x14ac:dyDescent="0.25">
      <c r="B1055" s="79"/>
    </row>
    <row r="1056" spans="1:3" x14ac:dyDescent="0.25">
      <c r="A1056" s="79" t="s">
        <v>146</v>
      </c>
      <c r="B1056" s="79" t="s">
        <v>710</v>
      </c>
      <c r="C1056" s="79" t="s">
        <v>715</v>
      </c>
    </row>
    <row r="1057" spans="1:3" x14ac:dyDescent="0.25">
      <c r="A1057" s="121" t="s">
        <v>15</v>
      </c>
      <c r="B1057" s="79">
        <v>68</v>
      </c>
      <c r="C1057" s="79">
        <v>5152</v>
      </c>
    </row>
    <row r="1058" spans="1:3" x14ac:dyDescent="0.25">
      <c r="A1058" s="121" t="s">
        <v>204</v>
      </c>
      <c r="B1058" s="79">
        <v>158</v>
      </c>
      <c r="C1058" s="79">
        <v>17986</v>
      </c>
    </row>
    <row r="1059" spans="1:3" x14ac:dyDescent="0.25">
      <c r="A1059" s="121" t="s">
        <v>205</v>
      </c>
      <c r="B1059" s="79">
        <v>180</v>
      </c>
      <c r="C1059" s="79">
        <v>27564</v>
      </c>
    </row>
    <row r="1060" spans="1:3" x14ac:dyDescent="0.25">
      <c r="A1060" s="121" t="s">
        <v>206</v>
      </c>
      <c r="B1060" s="79">
        <v>294</v>
      </c>
      <c r="C1060" s="79">
        <v>49505</v>
      </c>
    </row>
    <row r="1061" spans="1:3" x14ac:dyDescent="0.25">
      <c r="A1061" s="121" t="s">
        <v>183</v>
      </c>
      <c r="B1061" s="79">
        <v>140</v>
      </c>
      <c r="C1061" s="79">
        <v>29788</v>
      </c>
    </row>
    <row r="1062" spans="1:3" x14ac:dyDescent="0.25">
      <c r="A1062" s="121" t="s">
        <v>1160</v>
      </c>
      <c r="B1062" s="79">
        <v>18</v>
      </c>
      <c r="C1062" s="79">
        <v>5880</v>
      </c>
    </row>
    <row r="1063" spans="1:3" x14ac:dyDescent="0.25">
      <c r="A1063" s="121" t="s">
        <v>709</v>
      </c>
      <c r="B1063" s="79">
        <v>858</v>
      </c>
      <c r="C1063" s="79">
        <v>135875</v>
      </c>
    </row>
    <row r="1064" spans="1:3" x14ac:dyDescent="0.25">
      <c r="A1064"/>
      <c r="B1064"/>
      <c r="C1064"/>
    </row>
    <row r="1065" spans="1:3" x14ac:dyDescent="0.25">
      <c r="A1065" s="79" t="s">
        <v>146</v>
      </c>
      <c r="B1065" s="79" t="s">
        <v>710</v>
      </c>
      <c r="C1065" s="79" t="s">
        <v>715</v>
      </c>
    </row>
    <row r="1066" spans="1:3" x14ac:dyDescent="0.25">
      <c r="A1066" s="121" t="s">
        <v>15</v>
      </c>
      <c r="B1066" s="123">
        <v>7.9254079254079249E-2</v>
      </c>
      <c r="C1066" s="123">
        <v>3.7917203311867528E-2</v>
      </c>
    </row>
    <row r="1067" spans="1:3" x14ac:dyDescent="0.25">
      <c r="A1067" s="121" t="s">
        <v>204</v>
      </c>
      <c r="B1067" s="123">
        <v>0.18414918414918416</v>
      </c>
      <c r="C1067" s="123">
        <v>0.13237166513339466</v>
      </c>
    </row>
    <row r="1068" spans="1:3" x14ac:dyDescent="0.25">
      <c r="A1068" s="121" t="s">
        <v>205</v>
      </c>
      <c r="B1068" s="123">
        <v>0.20979020979020979</v>
      </c>
      <c r="C1068" s="123">
        <v>0.20286292548298068</v>
      </c>
    </row>
    <row r="1069" spans="1:3" x14ac:dyDescent="0.25">
      <c r="A1069" s="121" t="s">
        <v>206</v>
      </c>
      <c r="B1069" s="123">
        <v>0.34265734265734266</v>
      </c>
      <c r="C1069" s="123">
        <v>0.36434222631094754</v>
      </c>
    </row>
    <row r="1070" spans="1:3" x14ac:dyDescent="0.25">
      <c r="A1070" s="121" t="s">
        <v>183</v>
      </c>
      <c r="B1070" s="123">
        <v>0.16317016317016317</v>
      </c>
      <c r="C1070" s="123">
        <v>0.21923091076356946</v>
      </c>
    </row>
    <row r="1071" spans="1:3" x14ac:dyDescent="0.25">
      <c r="A1071" s="121" t="s">
        <v>1160</v>
      </c>
      <c r="B1071" s="123">
        <v>2.097902097902098E-2</v>
      </c>
      <c r="C1071" s="123">
        <v>4.327506899724011E-2</v>
      </c>
    </row>
    <row r="1072" spans="1:3" x14ac:dyDescent="0.25">
      <c r="A1072" s="121" t="s">
        <v>709</v>
      </c>
      <c r="B1072" s="123">
        <v>1</v>
      </c>
      <c r="C1072" s="123">
        <v>1</v>
      </c>
    </row>
    <row r="1073" spans="1:3" x14ac:dyDescent="0.25">
      <c r="A1073"/>
      <c r="B1073"/>
      <c r="C1073"/>
    </row>
    <row r="1074" spans="1:3" x14ac:dyDescent="0.25">
      <c r="B1074" s="79"/>
    </row>
    <row r="1075" spans="1:3" x14ac:dyDescent="0.25">
      <c r="B1075" s="79"/>
    </row>
    <row r="1076" spans="1:3" x14ac:dyDescent="0.25">
      <c r="B1076" s="79"/>
    </row>
    <row r="1077" spans="1:3" x14ac:dyDescent="0.25">
      <c r="B1077" s="79"/>
    </row>
    <row r="1078" spans="1:3" x14ac:dyDescent="0.25">
      <c r="A1078" s="79" t="s">
        <v>10</v>
      </c>
      <c r="B1078" s="193">
        <v>2</v>
      </c>
    </row>
    <row r="1079" spans="1:3" x14ac:dyDescent="0.25">
      <c r="B1079" s="79"/>
    </row>
    <row r="1080" spans="1:3" x14ac:dyDescent="0.25">
      <c r="A1080" s="79" t="s">
        <v>146</v>
      </c>
      <c r="B1080" s="79" t="s">
        <v>713</v>
      </c>
      <c r="C1080"/>
    </row>
    <row r="1081" spans="1:3" x14ac:dyDescent="0.25">
      <c r="A1081" s="121" t="s">
        <v>92</v>
      </c>
      <c r="B1081" s="79">
        <v>630</v>
      </c>
      <c r="C1081"/>
    </row>
    <row r="1082" spans="1:3" x14ac:dyDescent="0.25">
      <c r="A1082" s="124" t="s">
        <v>437</v>
      </c>
      <c r="B1082" s="79">
        <v>160</v>
      </c>
      <c r="C1082"/>
    </row>
    <row r="1083" spans="1:3" x14ac:dyDescent="0.25">
      <c r="A1083" s="124" t="s">
        <v>865</v>
      </c>
      <c r="B1083" s="79">
        <v>160</v>
      </c>
      <c r="C1083"/>
    </row>
    <row r="1084" spans="1:3" x14ac:dyDescent="0.25">
      <c r="A1084" s="124" t="s">
        <v>866</v>
      </c>
      <c r="B1084" s="79">
        <v>155</v>
      </c>
      <c r="C1084"/>
    </row>
    <row r="1085" spans="1:3" x14ac:dyDescent="0.25">
      <c r="A1085" s="124" t="s">
        <v>438</v>
      </c>
      <c r="B1085" s="79">
        <v>155</v>
      </c>
      <c r="C1085"/>
    </row>
    <row r="1086" spans="1:3" x14ac:dyDescent="0.25">
      <c r="A1086" s="121" t="s">
        <v>91</v>
      </c>
      <c r="B1086" s="79">
        <v>630</v>
      </c>
      <c r="C1086"/>
    </row>
    <row r="1087" spans="1:3" x14ac:dyDescent="0.25">
      <c r="A1087" s="124" t="s">
        <v>448</v>
      </c>
      <c r="B1087" s="79">
        <v>160</v>
      </c>
      <c r="C1087"/>
    </row>
    <row r="1088" spans="1:3" x14ac:dyDescent="0.25">
      <c r="A1088" s="124" t="s">
        <v>874</v>
      </c>
      <c r="B1088" s="79">
        <v>160</v>
      </c>
      <c r="C1088"/>
    </row>
    <row r="1089" spans="1:3" x14ac:dyDescent="0.25">
      <c r="A1089" s="124" t="s">
        <v>875</v>
      </c>
      <c r="B1089" s="79">
        <v>155</v>
      </c>
      <c r="C1089"/>
    </row>
    <row r="1090" spans="1:3" x14ac:dyDescent="0.25">
      <c r="A1090" s="124" t="s">
        <v>449</v>
      </c>
      <c r="B1090" s="79">
        <v>155</v>
      </c>
      <c r="C1090"/>
    </row>
    <row r="1091" spans="1:3" x14ac:dyDescent="0.25">
      <c r="A1091" s="121" t="s">
        <v>709</v>
      </c>
      <c r="B1091" s="79">
        <v>1260</v>
      </c>
      <c r="C1091"/>
    </row>
    <row r="1092" spans="1:3" x14ac:dyDescent="0.25">
      <c r="A1092"/>
      <c r="B1092"/>
      <c r="C1092"/>
    </row>
    <row r="1093" spans="1:3" x14ac:dyDescent="0.25">
      <c r="A1093"/>
      <c r="B1093"/>
      <c r="C1093"/>
    </row>
    <row r="1094" spans="1:3" x14ac:dyDescent="0.25">
      <c r="A1094"/>
      <c r="B1094"/>
      <c r="C1094"/>
    </row>
    <row r="1095" spans="1:3" x14ac:dyDescent="0.25">
      <c r="A1095"/>
      <c r="B1095"/>
      <c r="C1095"/>
    </row>
    <row r="1096" spans="1:3" x14ac:dyDescent="0.25">
      <c r="A1096"/>
      <c r="B1096"/>
      <c r="C1096"/>
    </row>
    <row r="1097" spans="1:3" x14ac:dyDescent="0.25">
      <c r="A1097"/>
      <c r="B1097"/>
      <c r="C1097"/>
    </row>
    <row r="1098" spans="1:3" x14ac:dyDescent="0.25">
      <c r="A1098"/>
      <c r="B1098"/>
      <c r="C1098"/>
    </row>
    <row r="1099" spans="1:3" x14ac:dyDescent="0.25">
      <c r="A1099"/>
      <c r="B1099"/>
      <c r="C1099"/>
    </row>
    <row r="1100" spans="1:3" x14ac:dyDescent="0.25">
      <c r="A1100"/>
      <c r="B1100"/>
      <c r="C1100"/>
    </row>
    <row r="1101" spans="1:3" x14ac:dyDescent="0.25">
      <c r="A1101"/>
      <c r="B1101"/>
      <c r="C1101"/>
    </row>
    <row r="1102" spans="1:3" x14ac:dyDescent="0.25">
      <c r="A1102"/>
      <c r="B1102"/>
      <c r="C1102"/>
    </row>
    <row r="1103" spans="1:3" x14ac:dyDescent="0.25">
      <c r="A1103"/>
      <c r="B1103"/>
      <c r="C1103"/>
    </row>
    <row r="1104" spans="1:3" x14ac:dyDescent="0.25">
      <c r="A1104"/>
      <c r="B1104"/>
      <c r="C1104"/>
    </row>
    <row r="1105" spans="1:3" x14ac:dyDescent="0.25">
      <c r="A1105"/>
      <c r="B1105"/>
      <c r="C1105"/>
    </row>
    <row r="1106" spans="1:3" x14ac:dyDescent="0.25">
      <c r="A1106"/>
      <c r="B1106"/>
      <c r="C1106"/>
    </row>
    <row r="1107" spans="1:3" x14ac:dyDescent="0.25">
      <c r="A1107"/>
      <c r="B1107"/>
      <c r="C1107"/>
    </row>
    <row r="1108" spans="1:3" x14ac:dyDescent="0.25">
      <c r="A1108"/>
      <c r="B1108"/>
      <c r="C1108"/>
    </row>
    <row r="1109" spans="1:3" x14ac:dyDescent="0.25">
      <c r="A1109"/>
      <c r="B1109"/>
      <c r="C1109"/>
    </row>
    <row r="1110" spans="1:3" x14ac:dyDescent="0.25">
      <c r="A1110"/>
      <c r="B1110"/>
      <c r="C1110"/>
    </row>
    <row r="1111" spans="1:3" x14ac:dyDescent="0.25">
      <c r="A1111"/>
      <c r="B1111"/>
      <c r="C1111"/>
    </row>
    <row r="1112" spans="1:3" x14ac:dyDescent="0.25">
      <c r="A1112"/>
      <c r="B1112"/>
      <c r="C1112"/>
    </row>
    <row r="1113" spans="1:3" x14ac:dyDescent="0.25">
      <c r="A1113"/>
      <c r="B1113"/>
      <c r="C1113"/>
    </row>
    <row r="1114" spans="1:3" x14ac:dyDescent="0.25">
      <c r="A1114"/>
      <c r="B1114"/>
      <c r="C1114"/>
    </row>
    <row r="1115" spans="1:3" x14ac:dyDescent="0.25">
      <c r="A1115"/>
      <c r="B1115"/>
      <c r="C1115"/>
    </row>
    <row r="1116" spans="1:3" x14ac:dyDescent="0.25">
      <c r="A1116"/>
      <c r="B1116"/>
      <c r="C1116"/>
    </row>
    <row r="1117" spans="1:3" x14ac:dyDescent="0.25">
      <c r="A1117"/>
      <c r="B1117"/>
      <c r="C1117"/>
    </row>
    <row r="1118" spans="1:3" x14ac:dyDescent="0.25">
      <c r="A1118"/>
      <c r="B1118"/>
      <c r="C1118"/>
    </row>
    <row r="1119" spans="1:3" x14ac:dyDescent="0.25">
      <c r="A1119"/>
      <c r="B1119"/>
      <c r="C1119"/>
    </row>
    <row r="1120" spans="1:3" x14ac:dyDescent="0.25">
      <c r="A1120"/>
      <c r="B1120"/>
      <c r="C1120"/>
    </row>
    <row r="1121" spans="1:3" x14ac:dyDescent="0.25">
      <c r="A1121"/>
      <c r="B1121"/>
      <c r="C1121"/>
    </row>
    <row r="1122" spans="1:3" x14ac:dyDescent="0.25">
      <c r="A1122"/>
      <c r="B1122"/>
      <c r="C1122"/>
    </row>
    <row r="1123" spans="1:3" x14ac:dyDescent="0.25">
      <c r="A1123"/>
      <c r="B1123"/>
      <c r="C1123"/>
    </row>
    <row r="1124" spans="1:3" x14ac:dyDescent="0.25">
      <c r="A1124"/>
      <c r="B1124"/>
      <c r="C1124"/>
    </row>
    <row r="1125" spans="1:3" x14ac:dyDescent="0.25">
      <c r="A1125"/>
      <c r="B1125"/>
      <c r="C1125"/>
    </row>
    <row r="1126" spans="1:3" x14ac:dyDescent="0.25">
      <c r="A1126"/>
      <c r="B1126"/>
      <c r="C1126"/>
    </row>
    <row r="1127" spans="1:3" x14ac:dyDescent="0.25">
      <c r="A1127"/>
      <c r="B1127"/>
      <c r="C1127"/>
    </row>
    <row r="1128" spans="1:3" x14ac:dyDescent="0.25">
      <c r="A1128"/>
      <c r="B1128"/>
      <c r="C1128"/>
    </row>
    <row r="1129" spans="1:3" x14ac:dyDescent="0.25">
      <c r="A1129"/>
      <c r="B1129"/>
      <c r="C1129"/>
    </row>
    <row r="1130" spans="1:3" x14ac:dyDescent="0.25">
      <c r="A1130"/>
      <c r="B1130"/>
      <c r="C1130"/>
    </row>
    <row r="1131" spans="1:3" x14ac:dyDescent="0.25">
      <c r="A1131"/>
      <c r="B1131"/>
      <c r="C1131"/>
    </row>
    <row r="1132" spans="1:3" x14ac:dyDescent="0.25">
      <c r="A1132"/>
      <c r="B1132"/>
      <c r="C1132"/>
    </row>
    <row r="1133" spans="1:3" x14ac:dyDescent="0.25">
      <c r="A1133"/>
      <c r="B1133"/>
      <c r="C1133"/>
    </row>
    <row r="1134" spans="1:3" x14ac:dyDescent="0.25">
      <c r="A1134"/>
      <c r="B1134"/>
      <c r="C1134"/>
    </row>
    <row r="1135" spans="1:3" x14ac:dyDescent="0.25">
      <c r="A1135"/>
      <c r="B1135"/>
      <c r="C1135"/>
    </row>
    <row r="1136" spans="1:3" x14ac:dyDescent="0.25">
      <c r="A1136"/>
      <c r="B1136"/>
      <c r="C1136"/>
    </row>
    <row r="1137" spans="1:3" x14ac:dyDescent="0.25">
      <c r="A1137"/>
      <c r="B1137"/>
      <c r="C1137"/>
    </row>
    <row r="1138" spans="1:3" x14ac:dyDescent="0.25">
      <c r="A1138"/>
      <c r="B1138"/>
      <c r="C1138"/>
    </row>
    <row r="1139" spans="1:3" x14ac:dyDescent="0.25">
      <c r="A1139"/>
      <c r="B1139"/>
      <c r="C1139"/>
    </row>
    <row r="1140" spans="1:3" x14ac:dyDescent="0.25">
      <c r="A1140"/>
      <c r="B1140"/>
      <c r="C1140"/>
    </row>
    <row r="1141" spans="1:3" x14ac:dyDescent="0.25">
      <c r="A1141"/>
      <c r="B1141"/>
      <c r="C1141"/>
    </row>
    <row r="1142" spans="1:3" x14ac:dyDescent="0.25">
      <c r="A1142"/>
      <c r="B1142"/>
      <c r="C1142"/>
    </row>
    <row r="1143" spans="1:3" x14ac:dyDescent="0.25">
      <c r="A1143"/>
      <c r="B1143"/>
      <c r="C1143"/>
    </row>
    <row r="1144" spans="1:3" x14ac:dyDescent="0.25">
      <c r="A1144"/>
      <c r="B1144"/>
      <c r="C1144"/>
    </row>
    <row r="1145" spans="1:3" x14ac:dyDescent="0.25">
      <c r="A1145"/>
      <c r="B1145"/>
      <c r="C1145"/>
    </row>
    <row r="1146" spans="1:3" x14ac:dyDescent="0.25">
      <c r="A1146"/>
      <c r="B1146"/>
      <c r="C1146"/>
    </row>
    <row r="1147" spans="1:3" x14ac:dyDescent="0.25">
      <c r="A1147"/>
      <c r="B1147"/>
      <c r="C1147"/>
    </row>
    <row r="1148" spans="1:3" x14ac:dyDescent="0.25">
      <c r="A1148"/>
      <c r="B1148"/>
      <c r="C1148"/>
    </row>
    <row r="1149" spans="1:3" x14ac:dyDescent="0.25">
      <c r="A1149"/>
      <c r="B1149"/>
      <c r="C1149"/>
    </row>
    <row r="1150" spans="1:3" x14ac:dyDescent="0.25">
      <c r="A1150"/>
      <c r="B1150"/>
      <c r="C1150"/>
    </row>
    <row r="1151" spans="1:3" x14ac:dyDescent="0.25">
      <c r="A1151"/>
      <c r="B1151"/>
      <c r="C1151"/>
    </row>
    <row r="1152" spans="1:3" x14ac:dyDescent="0.25">
      <c r="A1152"/>
      <c r="B1152"/>
      <c r="C1152"/>
    </row>
    <row r="1153" spans="1:3" x14ac:dyDescent="0.25">
      <c r="A1153"/>
      <c r="B1153"/>
      <c r="C1153"/>
    </row>
    <row r="1154" spans="1:3" x14ac:dyDescent="0.25">
      <c r="A1154"/>
      <c r="B1154"/>
      <c r="C1154"/>
    </row>
    <row r="1155" spans="1:3" x14ac:dyDescent="0.25">
      <c r="A1155"/>
      <c r="B1155"/>
      <c r="C1155"/>
    </row>
    <row r="1156" spans="1:3" x14ac:dyDescent="0.25">
      <c r="A1156"/>
      <c r="B1156"/>
      <c r="C1156"/>
    </row>
    <row r="1157" spans="1:3" x14ac:dyDescent="0.25">
      <c r="A1157"/>
      <c r="B1157"/>
      <c r="C1157"/>
    </row>
    <row r="1158" spans="1:3" x14ac:dyDescent="0.25">
      <c r="A1158"/>
      <c r="B1158"/>
      <c r="C1158"/>
    </row>
    <row r="1159" spans="1:3" x14ac:dyDescent="0.25">
      <c r="A1159"/>
      <c r="B1159"/>
      <c r="C1159"/>
    </row>
    <row r="1160" spans="1:3" x14ac:dyDescent="0.25">
      <c r="A1160"/>
      <c r="B1160"/>
      <c r="C1160"/>
    </row>
    <row r="1161" spans="1:3" x14ac:dyDescent="0.25">
      <c r="A1161"/>
      <c r="B1161"/>
      <c r="C1161"/>
    </row>
    <row r="1162" spans="1:3" x14ac:dyDescent="0.25">
      <c r="A1162"/>
      <c r="B1162"/>
      <c r="C1162"/>
    </row>
    <row r="1163" spans="1:3" x14ac:dyDescent="0.25">
      <c r="A1163"/>
      <c r="B1163"/>
      <c r="C1163"/>
    </row>
    <row r="1164" spans="1:3" x14ac:dyDescent="0.25">
      <c r="A1164"/>
      <c r="B1164"/>
      <c r="C1164"/>
    </row>
    <row r="1165" spans="1:3" x14ac:dyDescent="0.25">
      <c r="A1165"/>
      <c r="B1165"/>
      <c r="C1165"/>
    </row>
    <row r="1166" spans="1:3" x14ac:dyDescent="0.25">
      <c r="A1166"/>
      <c r="B1166"/>
      <c r="C1166"/>
    </row>
    <row r="1167" spans="1:3" x14ac:dyDescent="0.25">
      <c r="A1167"/>
      <c r="B1167"/>
      <c r="C1167"/>
    </row>
    <row r="1168" spans="1:3" x14ac:dyDescent="0.25">
      <c r="A1168"/>
      <c r="B1168"/>
      <c r="C1168"/>
    </row>
    <row r="1169" spans="1:3" x14ac:dyDescent="0.25">
      <c r="A1169"/>
      <c r="B1169"/>
      <c r="C1169"/>
    </row>
    <row r="1170" spans="1:3" x14ac:dyDescent="0.25">
      <c r="A1170"/>
      <c r="B1170"/>
      <c r="C1170"/>
    </row>
    <row r="1171" spans="1:3" x14ac:dyDescent="0.25">
      <c r="A1171"/>
      <c r="B1171"/>
      <c r="C1171"/>
    </row>
    <row r="1172" spans="1:3" x14ac:dyDescent="0.25">
      <c r="A1172"/>
      <c r="B1172"/>
      <c r="C1172"/>
    </row>
    <row r="1173" spans="1:3" x14ac:dyDescent="0.25">
      <c r="A1173"/>
      <c r="B1173"/>
      <c r="C1173"/>
    </row>
    <row r="1174" spans="1:3" x14ac:dyDescent="0.25">
      <c r="A1174"/>
      <c r="B1174"/>
      <c r="C1174"/>
    </row>
    <row r="1175" spans="1:3" x14ac:dyDescent="0.25">
      <c r="A1175"/>
      <c r="B1175"/>
      <c r="C1175"/>
    </row>
    <row r="1176" spans="1:3" x14ac:dyDescent="0.25">
      <c r="A1176"/>
      <c r="B1176"/>
      <c r="C1176"/>
    </row>
    <row r="1177" spans="1:3" x14ac:dyDescent="0.25">
      <c r="A1177"/>
      <c r="B1177"/>
      <c r="C1177"/>
    </row>
    <row r="1178" spans="1:3" x14ac:dyDescent="0.25">
      <c r="A1178"/>
      <c r="B1178"/>
      <c r="C1178"/>
    </row>
    <row r="1179" spans="1:3" x14ac:dyDescent="0.25">
      <c r="A1179"/>
      <c r="B1179"/>
      <c r="C1179"/>
    </row>
    <row r="1180" spans="1:3" x14ac:dyDescent="0.25">
      <c r="A1180"/>
      <c r="B1180"/>
      <c r="C1180"/>
    </row>
    <row r="1181" spans="1:3" x14ac:dyDescent="0.25">
      <c r="A1181"/>
      <c r="B1181"/>
      <c r="C1181"/>
    </row>
    <row r="1182" spans="1:3" x14ac:dyDescent="0.25">
      <c r="A1182"/>
      <c r="B1182"/>
      <c r="C1182"/>
    </row>
    <row r="1183" spans="1:3" x14ac:dyDescent="0.25">
      <c r="A1183"/>
      <c r="B1183"/>
      <c r="C1183"/>
    </row>
    <row r="1184" spans="1:3" x14ac:dyDescent="0.25">
      <c r="A1184"/>
      <c r="B1184"/>
      <c r="C1184"/>
    </row>
    <row r="1185" spans="1:3" x14ac:dyDescent="0.25">
      <c r="A1185"/>
      <c r="B1185"/>
      <c r="C1185"/>
    </row>
    <row r="1186" spans="1:3" x14ac:dyDescent="0.25">
      <c r="A1186"/>
      <c r="B1186"/>
      <c r="C1186"/>
    </row>
    <row r="1187" spans="1:3" x14ac:dyDescent="0.25">
      <c r="A1187"/>
      <c r="B1187"/>
      <c r="C1187"/>
    </row>
    <row r="1188" spans="1:3" x14ac:dyDescent="0.25">
      <c r="A1188"/>
      <c r="B1188"/>
      <c r="C1188"/>
    </row>
    <row r="1189" spans="1:3" x14ac:dyDescent="0.25">
      <c r="A1189"/>
      <c r="B1189"/>
      <c r="C1189"/>
    </row>
    <row r="1190" spans="1:3" x14ac:dyDescent="0.25">
      <c r="A1190"/>
      <c r="B1190"/>
      <c r="C1190"/>
    </row>
    <row r="1191" spans="1:3" x14ac:dyDescent="0.25">
      <c r="A1191"/>
      <c r="B1191"/>
      <c r="C1191"/>
    </row>
    <row r="1192" spans="1:3" x14ac:dyDescent="0.25">
      <c r="A1192"/>
      <c r="B1192"/>
      <c r="C1192"/>
    </row>
    <row r="1193" spans="1:3" x14ac:dyDescent="0.25">
      <c r="A1193"/>
      <c r="B1193"/>
      <c r="C1193"/>
    </row>
    <row r="1194" spans="1:3" x14ac:dyDescent="0.25">
      <c r="A1194"/>
      <c r="B1194"/>
      <c r="C1194"/>
    </row>
    <row r="1195" spans="1:3" x14ac:dyDescent="0.25">
      <c r="A1195"/>
      <c r="B1195"/>
      <c r="C1195"/>
    </row>
    <row r="1196" spans="1:3" x14ac:dyDescent="0.25">
      <c r="A1196"/>
      <c r="B1196"/>
      <c r="C1196"/>
    </row>
    <row r="1197" spans="1:3" x14ac:dyDescent="0.25">
      <c r="A1197"/>
      <c r="B1197"/>
      <c r="C1197"/>
    </row>
    <row r="1198" spans="1:3" x14ac:dyDescent="0.25">
      <c r="A1198"/>
      <c r="B1198"/>
      <c r="C1198"/>
    </row>
    <row r="1199" spans="1:3" x14ac:dyDescent="0.25">
      <c r="A1199"/>
      <c r="B1199"/>
      <c r="C1199"/>
    </row>
    <row r="1200" spans="1:3" x14ac:dyDescent="0.25">
      <c r="A1200"/>
      <c r="B1200"/>
      <c r="C1200"/>
    </row>
    <row r="1201" spans="1:3" x14ac:dyDescent="0.25">
      <c r="A1201"/>
      <c r="B1201"/>
      <c r="C1201"/>
    </row>
    <row r="1202" spans="1:3" x14ac:dyDescent="0.25">
      <c r="A1202"/>
      <c r="B1202"/>
      <c r="C1202"/>
    </row>
    <row r="1203" spans="1:3" x14ac:dyDescent="0.25">
      <c r="A1203"/>
      <c r="B1203"/>
      <c r="C1203"/>
    </row>
    <row r="1204" spans="1:3" x14ac:dyDescent="0.25">
      <c r="A1204"/>
      <c r="B1204"/>
      <c r="C1204"/>
    </row>
    <row r="1205" spans="1:3" x14ac:dyDescent="0.25">
      <c r="A1205"/>
      <c r="B1205"/>
      <c r="C1205"/>
    </row>
    <row r="1206" spans="1:3" x14ac:dyDescent="0.25">
      <c r="A1206"/>
      <c r="B1206"/>
      <c r="C1206"/>
    </row>
    <row r="1207" spans="1:3" x14ac:dyDescent="0.25">
      <c r="A1207"/>
      <c r="B1207"/>
      <c r="C1207"/>
    </row>
    <row r="1208" spans="1:3" x14ac:dyDescent="0.25">
      <c r="A1208"/>
      <c r="B1208"/>
      <c r="C1208"/>
    </row>
    <row r="1209" spans="1:3" x14ac:dyDescent="0.25">
      <c r="A1209"/>
      <c r="B1209"/>
      <c r="C1209"/>
    </row>
    <row r="1210" spans="1:3" x14ac:dyDescent="0.25">
      <c r="A1210"/>
      <c r="B1210"/>
      <c r="C1210"/>
    </row>
    <row r="1211" spans="1:3" x14ac:dyDescent="0.25">
      <c r="A1211"/>
      <c r="B1211"/>
      <c r="C1211"/>
    </row>
    <row r="1212" spans="1:3" x14ac:dyDescent="0.25">
      <c r="A1212"/>
      <c r="B1212"/>
      <c r="C1212"/>
    </row>
    <row r="1213" spans="1:3" x14ac:dyDescent="0.25">
      <c r="A1213"/>
      <c r="B1213"/>
      <c r="C1213"/>
    </row>
    <row r="1214" spans="1:3" x14ac:dyDescent="0.25">
      <c r="A1214"/>
      <c r="B1214"/>
      <c r="C1214"/>
    </row>
    <row r="1215" spans="1:3" x14ac:dyDescent="0.25">
      <c r="A1215"/>
      <c r="B1215"/>
      <c r="C1215"/>
    </row>
    <row r="1216" spans="1:3" x14ac:dyDescent="0.25">
      <c r="A1216"/>
      <c r="B1216"/>
      <c r="C1216"/>
    </row>
    <row r="1217" spans="1:3" x14ac:dyDescent="0.25">
      <c r="A1217"/>
      <c r="B1217"/>
      <c r="C1217"/>
    </row>
    <row r="1218" spans="1:3" x14ac:dyDescent="0.25">
      <c r="A1218"/>
      <c r="B1218"/>
      <c r="C1218"/>
    </row>
    <row r="1219" spans="1:3" x14ac:dyDescent="0.25">
      <c r="A1219"/>
      <c r="B1219"/>
      <c r="C1219"/>
    </row>
    <row r="1220" spans="1:3" x14ac:dyDescent="0.25">
      <c r="A1220"/>
      <c r="B1220"/>
      <c r="C1220"/>
    </row>
    <row r="1221" spans="1:3" x14ac:dyDescent="0.25">
      <c r="A1221"/>
      <c r="B1221"/>
      <c r="C1221"/>
    </row>
    <row r="1222" spans="1:3" x14ac:dyDescent="0.25">
      <c r="A1222"/>
      <c r="B1222"/>
      <c r="C1222"/>
    </row>
    <row r="1223" spans="1:3" x14ac:dyDescent="0.25">
      <c r="A1223"/>
      <c r="B1223"/>
      <c r="C1223"/>
    </row>
    <row r="1224" spans="1:3" x14ac:dyDescent="0.25">
      <c r="A1224"/>
      <c r="B1224"/>
      <c r="C1224"/>
    </row>
    <row r="1225" spans="1:3" x14ac:dyDescent="0.25">
      <c r="A1225"/>
      <c r="B1225"/>
      <c r="C1225"/>
    </row>
    <row r="1226" spans="1:3" x14ac:dyDescent="0.25">
      <c r="A1226"/>
      <c r="B1226"/>
      <c r="C1226"/>
    </row>
    <row r="1227" spans="1:3" x14ac:dyDescent="0.25">
      <c r="A1227"/>
      <c r="B1227"/>
      <c r="C1227"/>
    </row>
    <row r="1228" spans="1:3" x14ac:dyDescent="0.25">
      <c r="A1228"/>
      <c r="B1228"/>
      <c r="C1228"/>
    </row>
    <row r="1229" spans="1:3" x14ac:dyDescent="0.25">
      <c r="A1229"/>
      <c r="B1229"/>
      <c r="C1229"/>
    </row>
    <row r="1230" spans="1:3" x14ac:dyDescent="0.25">
      <c r="A1230"/>
      <c r="B1230"/>
      <c r="C1230"/>
    </row>
    <row r="1231" spans="1:3" x14ac:dyDescent="0.25">
      <c r="A1231"/>
      <c r="B1231"/>
      <c r="C1231"/>
    </row>
    <row r="1232" spans="1:3" x14ac:dyDescent="0.25">
      <c r="A1232"/>
      <c r="B1232"/>
      <c r="C1232"/>
    </row>
    <row r="1233" spans="1:3" x14ac:dyDescent="0.25">
      <c r="A1233"/>
      <c r="B1233"/>
      <c r="C1233"/>
    </row>
    <row r="1234" spans="1:3" x14ac:dyDescent="0.25">
      <c r="A1234"/>
      <c r="B1234"/>
      <c r="C1234"/>
    </row>
    <row r="1235" spans="1:3" x14ac:dyDescent="0.25">
      <c r="A1235"/>
      <c r="B1235"/>
      <c r="C1235"/>
    </row>
    <row r="1236" spans="1:3" x14ac:dyDescent="0.25">
      <c r="A1236"/>
      <c r="B1236"/>
      <c r="C1236"/>
    </row>
    <row r="1237" spans="1:3" x14ac:dyDescent="0.25">
      <c r="A1237"/>
      <c r="B1237"/>
      <c r="C1237"/>
    </row>
    <row r="1238" spans="1:3" x14ac:dyDescent="0.25">
      <c r="A1238"/>
      <c r="B1238"/>
      <c r="C1238"/>
    </row>
    <row r="1239" spans="1:3" x14ac:dyDescent="0.25">
      <c r="A1239"/>
      <c r="B1239"/>
      <c r="C1239"/>
    </row>
    <row r="1240" spans="1:3" x14ac:dyDescent="0.25">
      <c r="A1240"/>
      <c r="B1240"/>
      <c r="C1240"/>
    </row>
  </sheetData>
  <pageMargins left="0.25" right="0.25" top="0.75" bottom="0.75" header="0.3" footer="0.3"/>
  <pageSetup paperSize="9" orientation="landscape" r:id="rId8"/>
  <drawing r:id="rId9"/>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979C0-713C-4F91-A4B0-098F4434BECB}">
  <sheetPr>
    <pageSetUpPr fitToPage="1"/>
  </sheetPr>
  <dimension ref="A3:BA67"/>
  <sheetViews>
    <sheetView view="pageBreakPreview" topLeftCell="A25" zoomScale="70" zoomScaleNormal="85" zoomScaleSheetLayoutView="70" workbookViewId="0">
      <selection activeCell="A3" sqref="A3:BA45"/>
    </sheetView>
  </sheetViews>
  <sheetFormatPr defaultRowHeight="15" x14ac:dyDescent="0.25"/>
  <cols>
    <col min="1" max="2" width="2.7109375" style="79" customWidth="1"/>
    <col min="3" max="51" width="4.28515625" style="79" customWidth="1"/>
    <col min="52" max="53" width="3" style="79" customWidth="1"/>
    <col min="54" max="57" width="3.42578125" style="79" customWidth="1"/>
    <col min="58" max="16384" width="9.140625" style="79"/>
  </cols>
  <sheetData>
    <row r="3" spans="1:51" ht="36.75" customHeight="1" x14ac:dyDescent="0.35">
      <c r="A3" s="527" t="s">
        <v>729</v>
      </c>
      <c r="B3" s="527"/>
      <c r="C3" s="527"/>
      <c r="D3" s="527"/>
      <c r="V3" s="526" t="s">
        <v>1149</v>
      </c>
      <c r="W3" s="526"/>
      <c r="X3" s="526"/>
      <c r="Y3" s="526"/>
      <c r="AH3" s="527" t="s">
        <v>730</v>
      </c>
      <c r="AI3" s="527"/>
      <c r="AJ3" s="527"/>
      <c r="AK3" s="527"/>
    </row>
    <row r="4" spans="1:51" ht="15" customHeight="1" x14ac:dyDescent="0.25">
      <c r="B4" s="520" t="s">
        <v>155</v>
      </c>
      <c r="C4" s="520"/>
      <c r="E4" s="520" t="s">
        <v>156</v>
      </c>
      <c r="F4" s="520"/>
      <c r="H4" s="520" t="s">
        <v>157</v>
      </c>
      <c r="I4" s="520"/>
      <c r="K4" s="520" t="s">
        <v>158</v>
      </c>
      <c r="L4" s="520"/>
      <c r="N4" s="520" t="s">
        <v>160</v>
      </c>
      <c r="O4" s="520"/>
      <c r="Q4" s="520" t="s">
        <v>161</v>
      </c>
      <c r="R4" s="520"/>
      <c r="T4" s="520" t="s">
        <v>159</v>
      </c>
      <c r="U4" s="520"/>
      <c r="W4" s="520" t="s">
        <v>164</v>
      </c>
      <c r="X4" s="520"/>
      <c r="Z4" s="520" t="s">
        <v>165</v>
      </c>
      <c r="AA4" s="520"/>
      <c r="AC4" s="520" t="s">
        <v>162</v>
      </c>
      <c r="AD4" s="520"/>
      <c r="AF4" s="520" t="s">
        <v>166</v>
      </c>
      <c r="AG4" s="520"/>
      <c r="AI4" s="520" t="s">
        <v>163</v>
      </c>
      <c r="AJ4" s="520"/>
    </row>
    <row r="5" spans="1:51" ht="15" customHeight="1" x14ac:dyDescent="0.25">
      <c r="B5" s="520"/>
      <c r="C5" s="520"/>
      <c r="E5" s="520"/>
      <c r="F5" s="520"/>
      <c r="H5" s="520"/>
      <c r="I5" s="520"/>
      <c r="K5" s="520"/>
      <c r="L5" s="520"/>
      <c r="N5" s="520"/>
      <c r="O5" s="520"/>
      <c r="Q5" s="520"/>
      <c r="R5" s="520"/>
      <c r="T5" s="520"/>
      <c r="U5" s="520"/>
      <c r="W5" s="520"/>
      <c r="X5" s="520"/>
      <c r="Z5" s="520"/>
      <c r="AA5" s="520"/>
      <c r="AC5" s="520"/>
      <c r="AD5" s="520"/>
      <c r="AF5" s="520"/>
      <c r="AG5" s="520"/>
      <c r="AI5" s="520"/>
      <c r="AJ5" s="520"/>
    </row>
    <row r="6" spans="1:51" x14ac:dyDescent="0.25">
      <c r="C6" s="158"/>
      <c r="F6" s="158"/>
      <c r="I6" s="158"/>
      <c r="L6" s="158"/>
      <c r="O6" s="158"/>
      <c r="R6" s="158"/>
      <c r="U6" s="158"/>
      <c r="X6" s="158"/>
      <c r="AA6" s="158"/>
      <c r="AD6" s="158"/>
      <c r="AG6" s="158"/>
      <c r="AJ6" s="158"/>
    </row>
    <row r="7" spans="1:51" x14ac:dyDescent="0.25">
      <c r="C7" s="158"/>
      <c r="F7" s="158"/>
      <c r="I7" s="158"/>
      <c r="L7" s="158"/>
      <c r="O7" s="158"/>
      <c r="R7" s="158"/>
      <c r="U7" s="158"/>
      <c r="X7" s="158"/>
      <c r="AA7" s="158"/>
      <c r="AD7" s="158"/>
      <c r="AG7" s="158"/>
      <c r="AJ7" s="158"/>
    </row>
    <row r="8" spans="1:51" ht="15.75" thickBot="1" x14ac:dyDescent="0.3">
      <c r="C8" s="158"/>
      <c r="F8" s="158"/>
      <c r="I8" s="158"/>
      <c r="L8" s="158"/>
      <c r="O8" s="158"/>
      <c r="R8" s="158"/>
      <c r="U8" s="158"/>
      <c r="X8" s="158"/>
      <c r="AA8" s="158"/>
      <c r="AD8" s="158"/>
      <c r="AG8" s="158"/>
      <c r="AJ8" s="158"/>
    </row>
    <row r="9" spans="1:51" ht="22.5" thickTop="1" thickBot="1" x14ac:dyDescent="0.4">
      <c r="C9" s="521" t="s">
        <v>721</v>
      </c>
      <c r="D9" s="521"/>
      <c r="E9" s="521"/>
      <c r="F9" s="521"/>
      <c r="G9" s="521" t="s">
        <v>722</v>
      </c>
      <c r="H9" s="521"/>
      <c r="I9" s="521"/>
      <c r="J9" s="521"/>
      <c r="K9" s="521"/>
      <c r="L9" s="521"/>
      <c r="M9" s="521"/>
      <c r="N9" s="521"/>
      <c r="O9" s="521"/>
      <c r="P9" s="521"/>
      <c r="Q9" s="521"/>
      <c r="R9" s="521"/>
      <c r="S9" s="521" t="s">
        <v>723</v>
      </c>
      <c r="T9" s="521"/>
      <c r="U9" s="521"/>
      <c r="V9" s="521"/>
      <c r="W9" s="521"/>
      <c r="X9" s="521"/>
      <c r="Y9" s="521"/>
      <c r="Z9" s="521"/>
      <c r="AA9" s="521"/>
      <c r="AB9" s="521"/>
      <c r="AC9" s="521"/>
      <c r="AD9" s="521"/>
      <c r="AE9" s="521" t="s">
        <v>724</v>
      </c>
      <c r="AF9" s="521"/>
      <c r="AG9" s="521"/>
      <c r="AH9" s="521"/>
      <c r="AI9" s="521"/>
      <c r="AJ9" s="521"/>
      <c r="AK9" s="521"/>
      <c r="AL9" s="521"/>
      <c r="AM9" s="521"/>
      <c r="AN9" s="521"/>
      <c r="AO9" s="521"/>
      <c r="AP9" s="521"/>
      <c r="AQ9" s="521" t="s">
        <v>725</v>
      </c>
      <c r="AR9" s="521"/>
      <c r="AS9" s="521"/>
      <c r="AT9" s="521"/>
      <c r="AU9" s="521"/>
      <c r="AV9" s="521"/>
      <c r="AW9" s="521"/>
      <c r="AX9" s="521"/>
      <c r="AY9" s="521"/>
    </row>
    <row r="10" spans="1:51" ht="15.75" thickTop="1" x14ac:dyDescent="0.25">
      <c r="C10" s="143"/>
      <c r="F10" s="163"/>
      <c r="G10" s="143"/>
      <c r="I10" s="158"/>
      <c r="L10" s="158"/>
      <c r="O10" s="158"/>
      <c r="R10" s="158"/>
      <c r="S10" s="143"/>
      <c r="U10" s="158"/>
      <c r="X10" s="158"/>
      <c r="AA10" s="158"/>
      <c r="AD10" s="163"/>
      <c r="AE10" s="143"/>
      <c r="AG10" s="158"/>
      <c r="AJ10" s="158"/>
      <c r="AP10" s="144"/>
      <c r="AQ10" s="143"/>
      <c r="AY10" s="144"/>
    </row>
    <row r="11" spans="1:51" x14ac:dyDescent="0.25">
      <c r="C11" s="143"/>
      <c r="F11" s="163"/>
      <c r="G11" s="143"/>
      <c r="I11" s="158"/>
      <c r="L11" s="158"/>
      <c r="O11" s="158"/>
      <c r="R11" s="158"/>
      <c r="S11" s="143"/>
      <c r="U11" s="158"/>
      <c r="X11" s="158"/>
      <c r="AA11" s="158"/>
      <c r="AD11" s="163"/>
      <c r="AE11" s="143"/>
      <c r="AG11" s="158"/>
      <c r="AJ11" s="158"/>
      <c r="AP11" s="144"/>
      <c r="AQ11" s="143"/>
      <c r="AY11" s="144"/>
    </row>
    <row r="12" spans="1:51" x14ac:dyDescent="0.25">
      <c r="C12" s="143"/>
      <c r="F12" s="163"/>
      <c r="G12" s="143"/>
      <c r="I12" s="158"/>
      <c r="L12" s="158"/>
      <c r="O12" s="158"/>
      <c r="R12" s="158"/>
      <c r="S12" s="143"/>
      <c r="U12" s="158"/>
      <c r="X12" s="158"/>
      <c r="AA12" s="158"/>
      <c r="AD12" s="163"/>
      <c r="AE12" s="143"/>
      <c r="AG12" s="158"/>
      <c r="AJ12" s="158"/>
      <c r="AP12" s="144"/>
      <c r="AQ12" s="143"/>
      <c r="AY12" s="144"/>
    </row>
    <row r="13" spans="1:51" x14ac:dyDescent="0.25">
      <c r="C13" s="143"/>
      <c r="F13" s="163"/>
      <c r="G13" s="143"/>
      <c r="I13" s="158"/>
      <c r="L13" s="158"/>
      <c r="O13" s="158"/>
      <c r="R13" s="158"/>
      <c r="S13" s="143"/>
      <c r="U13" s="158"/>
      <c r="X13" s="158"/>
      <c r="AA13" s="158"/>
      <c r="AD13" s="163"/>
      <c r="AE13" s="143"/>
      <c r="AG13" s="158"/>
      <c r="AJ13" s="158"/>
      <c r="AP13" s="144"/>
      <c r="AQ13" s="143"/>
      <c r="AY13" s="144"/>
    </row>
    <row r="14" spans="1:51" x14ac:dyDescent="0.25">
      <c r="C14" s="159"/>
      <c r="D14" s="160"/>
      <c r="E14" s="160"/>
      <c r="F14" s="164"/>
      <c r="G14" s="143"/>
      <c r="I14" s="158"/>
      <c r="L14" s="158"/>
      <c r="O14" s="158"/>
      <c r="R14" s="158"/>
      <c r="S14" s="143"/>
      <c r="U14" s="158"/>
      <c r="X14" s="158"/>
      <c r="AA14" s="158"/>
      <c r="AD14" s="163"/>
      <c r="AE14" s="143"/>
      <c r="AG14" s="158"/>
      <c r="AJ14" s="158"/>
      <c r="AP14" s="144"/>
      <c r="AQ14" s="143"/>
      <c r="AY14" s="144"/>
    </row>
    <row r="15" spans="1:51" ht="15.75" thickBot="1" x14ac:dyDescent="0.3">
      <c r="C15" s="161"/>
      <c r="D15" s="162"/>
      <c r="E15" s="162"/>
      <c r="F15" s="165"/>
      <c r="G15" s="143"/>
      <c r="I15" s="158"/>
      <c r="L15" s="158"/>
      <c r="O15" s="158"/>
      <c r="R15" s="158"/>
      <c r="S15" s="143"/>
      <c r="U15" s="158"/>
      <c r="X15" s="158"/>
      <c r="AA15" s="158"/>
      <c r="AD15" s="163"/>
      <c r="AE15" s="143"/>
      <c r="AG15" s="158"/>
      <c r="AJ15" s="158"/>
      <c r="AP15" s="144"/>
      <c r="AQ15" s="143"/>
      <c r="AY15" s="144"/>
    </row>
    <row r="16" spans="1:51" ht="15.75" thickBot="1" x14ac:dyDescent="0.3">
      <c r="C16" s="145">
        <v>1</v>
      </c>
      <c r="D16" s="141">
        <v>2</v>
      </c>
      <c r="E16" s="141">
        <v>3</v>
      </c>
      <c r="F16" s="166">
        <v>4</v>
      </c>
      <c r="G16" s="143"/>
      <c r="I16" s="158"/>
      <c r="L16" s="158"/>
      <c r="O16" s="158"/>
      <c r="R16" s="158"/>
      <c r="S16" s="143"/>
      <c r="U16" s="158"/>
      <c r="X16" s="158"/>
      <c r="AA16" s="158"/>
      <c r="AD16" s="163"/>
      <c r="AE16" s="143"/>
      <c r="AG16" s="158"/>
      <c r="AJ16" s="158"/>
      <c r="AP16" s="144"/>
      <c r="AQ16" s="143"/>
      <c r="AY16" s="144"/>
    </row>
    <row r="17" spans="3:51" ht="15.75" thickBot="1" x14ac:dyDescent="0.3">
      <c r="C17" s="143"/>
      <c r="F17" s="163"/>
      <c r="G17" s="139"/>
      <c r="H17" s="139"/>
      <c r="I17" s="167"/>
      <c r="J17" s="139"/>
      <c r="K17" s="139"/>
      <c r="L17" s="167"/>
      <c r="M17" s="139"/>
      <c r="N17" s="139"/>
      <c r="O17" s="167"/>
      <c r="P17" s="139"/>
      <c r="Q17" s="139"/>
      <c r="R17" s="167"/>
      <c r="S17" s="150"/>
      <c r="T17" s="139"/>
      <c r="U17" s="167"/>
      <c r="V17" s="139"/>
      <c r="W17" s="139"/>
      <c r="X17" s="167"/>
      <c r="AA17" s="158"/>
      <c r="AD17" s="163"/>
      <c r="AE17" s="143"/>
      <c r="AG17" s="158"/>
      <c r="AJ17" s="158"/>
      <c r="AP17" s="144"/>
      <c r="AQ17" s="143"/>
      <c r="AY17" s="144"/>
    </row>
    <row r="18" spans="3:51" ht="15.75" thickBot="1" x14ac:dyDescent="0.3">
      <c r="C18" s="143"/>
      <c r="F18" s="163"/>
      <c r="G18" s="128">
        <v>5</v>
      </c>
      <c r="H18" s="128">
        <v>6</v>
      </c>
      <c r="I18" s="168">
        <v>7</v>
      </c>
      <c r="J18" s="128">
        <v>8</v>
      </c>
      <c r="K18" s="128">
        <v>9</v>
      </c>
      <c r="L18" s="170">
        <v>10</v>
      </c>
      <c r="M18" s="127">
        <v>11</v>
      </c>
      <c r="N18" s="128">
        <v>12</v>
      </c>
      <c r="O18" s="168">
        <v>13</v>
      </c>
      <c r="P18" s="128">
        <v>14</v>
      </c>
      <c r="Q18" s="128">
        <v>15</v>
      </c>
      <c r="R18" s="168">
        <v>16</v>
      </c>
      <c r="S18" s="151">
        <v>17</v>
      </c>
      <c r="T18" s="128">
        <v>18</v>
      </c>
      <c r="U18" s="168">
        <v>19</v>
      </c>
      <c r="V18" s="128">
        <v>20</v>
      </c>
      <c r="W18" s="128">
        <v>21</v>
      </c>
      <c r="X18" s="170">
        <v>22</v>
      </c>
      <c r="AA18" s="158"/>
      <c r="AD18" s="163"/>
      <c r="AE18" s="143"/>
      <c r="AG18" s="158"/>
      <c r="AJ18" s="158"/>
      <c r="AP18" s="144"/>
      <c r="AQ18" s="143"/>
      <c r="AY18" s="144"/>
    </row>
    <row r="19" spans="3:51" ht="15.75" thickBot="1" x14ac:dyDescent="0.3">
      <c r="C19" s="143"/>
      <c r="F19" s="163"/>
      <c r="G19" s="146"/>
      <c r="H19" s="147"/>
      <c r="I19" s="169"/>
      <c r="J19" s="147"/>
      <c r="K19" s="147"/>
      <c r="L19" s="169"/>
      <c r="M19" s="147"/>
      <c r="N19" s="147"/>
      <c r="O19" s="169"/>
      <c r="P19" s="147"/>
      <c r="Q19" s="147"/>
      <c r="R19" s="169"/>
      <c r="S19" s="150"/>
      <c r="T19" s="139"/>
      <c r="U19" s="167"/>
      <c r="V19" s="139"/>
      <c r="W19" s="139"/>
      <c r="X19" s="167"/>
      <c r="Y19" s="139"/>
      <c r="Z19" s="139"/>
      <c r="AA19" s="167"/>
      <c r="AB19" s="139"/>
      <c r="AC19" s="139"/>
      <c r="AD19" s="173"/>
      <c r="AE19" s="150"/>
      <c r="AF19" s="139"/>
      <c r="AG19" s="167"/>
      <c r="AH19" s="139"/>
      <c r="AI19" s="139"/>
      <c r="AJ19" s="167"/>
      <c r="AP19" s="144"/>
      <c r="AQ19" s="143"/>
      <c r="AY19" s="144"/>
    </row>
    <row r="20" spans="3:51" ht="15.75" thickBot="1" x14ac:dyDescent="0.3">
      <c r="C20" s="143"/>
      <c r="F20" s="163"/>
      <c r="G20" s="143"/>
      <c r="I20" s="158"/>
      <c r="L20" s="158"/>
      <c r="O20" s="158"/>
      <c r="R20" s="158"/>
      <c r="S20" s="152">
        <v>17</v>
      </c>
      <c r="T20" s="131">
        <v>18</v>
      </c>
      <c r="U20" s="171">
        <v>19</v>
      </c>
      <c r="V20" s="131">
        <v>20</v>
      </c>
      <c r="W20" s="131">
        <v>21</v>
      </c>
      <c r="X20" s="172">
        <v>22</v>
      </c>
      <c r="Y20" s="130">
        <v>23</v>
      </c>
      <c r="Z20" s="131">
        <v>24</v>
      </c>
      <c r="AA20" s="171">
        <v>25</v>
      </c>
      <c r="AB20" s="131">
        <v>26</v>
      </c>
      <c r="AC20" s="131">
        <v>27</v>
      </c>
      <c r="AD20" s="174">
        <v>28</v>
      </c>
      <c r="AE20" s="152">
        <v>29</v>
      </c>
      <c r="AF20" s="131">
        <v>30</v>
      </c>
      <c r="AG20" s="171">
        <v>31</v>
      </c>
      <c r="AH20" s="131">
        <v>32</v>
      </c>
      <c r="AI20" s="131">
        <v>33</v>
      </c>
      <c r="AJ20" s="172">
        <v>34</v>
      </c>
      <c r="AP20" s="144"/>
      <c r="AQ20" s="143"/>
      <c r="AY20" s="144"/>
    </row>
    <row r="21" spans="3:51" ht="15.75" thickBot="1" x14ac:dyDescent="0.3">
      <c r="C21" s="143"/>
      <c r="F21" s="163"/>
      <c r="G21" s="143"/>
      <c r="I21" s="158"/>
      <c r="L21" s="158"/>
      <c r="O21" s="158"/>
      <c r="P21" s="140">
        <v>14</v>
      </c>
      <c r="Q21" s="141">
        <v>15</v>
      </c>
      <c r="R21" s="177">
        <v>16</v>
      </c>
      <c r="U21" s="158"/>
      <c r="X21" s="158"/>
      <c r="AA21" s="158"/>
      <c r="AD21" s="163"/>
      <c r="AE21" s="150"/>
      <c r="AF21" s="139"/>
      <c r="AG21" s="167"/>
      <c r="AH21" s="139"/>
      <c r="AI21" s="139"/>
      <c r="AJ21" s="167"/>
      <c r="AK21" s="139"/>
      <c r="AL21" s="139"/>
      <c r="AM21" s="139"/>
      <c r="AN21" s="139"/>
      <c r="AO21" s="139"/>
      <c r="AP21" s="149"/>
      <c r="AQ21" s="150"/>
      <c r="AR21" s="139"/>
      <c r="AS21" s="139"/>
      <c r="AT21" s="139"/>
      <c r="AU21" s="139"/>
      <c r="AV21" s="139"/>
      <c r="AY21" s="144"/>
    </row>
    <row r="22" spans="3:51" ht="15.75" thickBot="1" x14ac:dyDescent="0.3">
      <c r="C22" s="143"/>
      <c r="F22" s="163"/>
      <c r="G22" s="143"/>
      <c r="I22" s="158"/>
      <c r="L22" s="158"/>
      <c r="O22" s="158"/>
      <c r="R22" s="158"/>
      <c r="S22" s="143"/>
      <c r="U22" s="158"/>
      <c r="X22" s="158"/>
      <c r="AA22" s="158"/>
      <c r="AD22" s="163"/>
      <c r="AE22" s="153">
        <v>29</v>
      </c>
      <c r="AF22" s="134">
        <v>30</v>
      </c>
      <c r="AG22" s="175">
        <v>31</v>
      </c>
      <c r="AH22" s="134">
        <v>32</v>
      </c>
      <c r="AI22" s="134">
        <v>33</v>
      </c>
      <c r="AJ22" s="176">
        <v>34</v>
      </c>
      <c r="AK22" s="133">
        <v>35</v>
      </c>
      <c r="AL22" s="134">
        <v>36</v>
      </c>
      <c r="AM22" s="134">
        <v>37</v>
      </c>
      <c r="AN22" s="134">
        <v>38</v>
      </c>
      <c r="AO22" s="134">
        <v>39</v>
      </c>
      <c r="AP22" s="154">
        <v>40</v>
      </c>
      <c r="AQ22" s="153">
        <v>41</v>
      </c>
      <c r="AR22" s="134">
        <v>42</v>
      </c>
      <c r="AS22" s="134">
        <v>43</v>
      </c>
      <c r="AT22" s="134">
        <v>44</v>
      </c>
      <c r="AU22" s="134">
        <v>45</v>
      </c>
      <c r="AV22" s="135">
        <v>46</v>
      </c>
      <c r="AY22" s="144"/>
    </row>
    <row r="23" spans="3:51" ht="15.75" thickBot="1" x14ac:dyDescent="0.3">
      <c r="C23" s="143"/>
      <c r="F23" s="163"/>
      <c r="G23" s="143"/>
      <c r="I23" s="158"/>
      <c r="L23" s="158"/>
      <c r="O23" s="158"/>
      <c r="R23" s="158"/>
      <c r="S23" s="143"/>
      <c r="U23" s="158"/>
      <c r="X23" s="158"/>
      <c r="AA23" s="158"/>
      <c r="AB23" s="140">
        <v>26</v>
      </c>
      <c r="AC23" s="141">
        <v>27</v>
      </c>
      <c r="AD23" s="177">
        <v>28</v>
      </c>
      <c r="AG23" s="158"/>
      <c r="AJ23" s="158"/>
      <c r="AK23" s="139"/>
      <c r="AL23" s="139"/>
      <c r="AM23" s="139"/>
      <c r="AN23" s="139"/>
      <c r="AO23" s="139"/>
      <c r="AP23" s="149"/>
      <c r="AQ23" s="150"/>
      <c r="AR23" s="139"/>
      <c r="AS23" s="139"/>
      <c r="AT23" s="139"/>
      <c r="AU23" s="139"/>
      <c r="AV23" s="139"/>
      <c r="AW23" s="139"/>
      <c r="AX23" s="139"/>
      <c r="AY23" s="149"/>
    </row>
    <row r="24" spans="3:51" ht="15.75" thickBot="1" x14ac:dyDescent="0.3">
      <c r="C24" s="143"/>
      <c r="F24" s="163"/>
      <c r="G24" s="143"/>
      <c r="I24" s="158"/>
      <c r="L24" s="158"/>
      <c r="O24" s="158"/>
      <c r="R24" s="158"/>
      <c r="S24" s="143"/>
      <c r="U24" s="158"/>
      <c r="X24" s="158"/>
      <c r="AA24" s="158"/>
      <c r="AD24" s="163"/>
      <c r="AE24" s="143"/>
      <c r="AG24" s="158"/>
      <c r="AJ24" s="158"/>
      <c r="AK24" s="136">
        <v>35</v>
      </c>
      <c r="AL24" s="137">
        <v>36</v>
      </c>
      <c r="AM24" s="137">
        <v>37</v>
      </c>
      <c r="AN24" s="137">
        <v>38</v>
      </c>
      <c r="AO24" s="137">
        <v>39</v>
      </c>
      <c r="AP24" s="155">
        <v>40</v>
      </c>
      <c r="AQ24" s="156">
        <v>41</v>
      </c>
      <c r="AR24" s="137">
        <v>42</v>
      </c>
      <c r="AS24" s="137">
        <v>43</v>
      </c>
      <c r="AT24" s="137">
        <v>44</v>
      </c>
      <c r="AU24" s="137">
        <v>45</v>
      </c>
      <c r="AV24" s="138">
        <v>46</v>
      </c>
      <c r="AW24" s="136">
        <v>47</v>
      </c>
      <c r="AX24" s="137">
        <v>48</v>
      </c>
      <c r="AY24" s="155">
        <v>49</v>
      </c>
    </row>
    <row r="25" spans="3:51" ht="15.75" thickBot="1" x14ac:dyDescent="0.3">
      <c r="C25" s="143"/>
      <c r="F25" s="163"/>
      <c r="G25" s="143"/>
      <c r="I25" s="158"/>
      <c r="L25" s="158"/>
      <c r="O25" s="158"/>
      <c r="R25" s="158"/>
      <c r="S25" s="143"/>
      <c r="U25" s="158"/>
      <c r="X25" s="158"/>
      <c r="AA25" s="158"/>
      <c r="AD25" s="163"/>
      <c r="AE25" s="143"/>
      <c r="AG25" s="158"/>
      <c r="AH25" s="140">
        <v>32</v>
      </c>
      <c r="AI25" s="141">
        <v>33</v>
      </c>
      <c r="AJ25" s="177">
        <v>34</v>
      </c>
      <c r="AP25" s="144"/>
      <c r="AQ25" s="143"/>
      <c r="AY25" s="144"/>
    </row>
    <row r="26" spans="3:51" x14ac:dyDescent="0.25">
      <c r="C26" s="158"/>
      <c r="F26" s="158"/>
      <c r="I26" s="158"/>
      <c r="L26" s="158"/>
      <c r="O26" s="158"/>
      <c r="R26" s="158"/>
      <c r="U26" s="158"/>
      <c r="X26" s="158"/>
      <c r="AA26" s="158"/>
      <c r="AD26" s="158"/>
      <c r="AG26" s="158"/>
      <c r="AJ26" s="158"/>
    </row>
    <row r="27" spans="3:51" x14ac:dyDescent="0.25">
      <c r="C27" s="158"/>
      <c r="F27" s="158"/>
      <c r="I27" s="158"/>
      <c r="L27" s="158"/>
      <c r="O27" s="158"/>
      <c r="R27" s="158"/>
      <c r="U27" s="158"/>
      <c r="X27" s="158"/>
      <c r="AA27" s="158"/>
      <c r="AD27" s="158"/>
      <c r="AG27" s="158"/>
      <c r="AJ27" s="158"/>
    </row>
    <row r="28" spans="3:51" x14ac:dyDescent="0.25">
      <c r="C28" s="158"/>
      <c r="F28" s="158"/>
      <c r="I28" s="158"/>
      <c r="L28" s="158"/>
      <c r="O28" s="158"/>
      <c r="R28" s="158"/>
      <c r="U28" s="158"/>
      <c r="X28" s="158"/>
      <c r="AA28" s="158"/>
      <c r="AD28" s="158"/>
      <c r="AG28" s="158"/>
      <c r="AJ28" s="158"/>
    </row>
    <row r="29" spans="3:51" x14ac:dyDescent="0.25">
      <c r="C29" s="158"/>
      <c r="F29" s="158"/>
      <c r="I29" s="158"/>
      <c r="L29" s="158"/>
      <c r="O29" s="158"/>
      <c r="R29" s="158"/>
      <c r="U29" s="158"/>
      <c r="X29" s="158"/>
      <c r="AA29" s="158"/>
      <c r="AD29" s="158"/>
      <c r="AG29" s="158"/>
      <c r="AJ29" s="158"/>
    </row>
    <row r="30" spans="3:51" x14ac:dyDescent="0.25">
      <c r="C30" s="158"/>
      <c r="F30" s="158"/>
      <c r="I30" s="158"/>
      <c r="L30" s="158"/>
      <c r="O30" s="158"/>
      <c r="R30" s="158"/>
      <c r="U30" s="158"/>
      <c r="X30" s="158"/>
      <c r="AA30" s="158"/>
      <c r="AD30" s="158"/>
      <c r="AG30" s="158"/>
      <c r="AJ30" s="158"/>
    </row>
    <row r="31" spans="3:51" x14ac:dyDescent="0.25">
      <c r="C31" s="158"/>
      <c r="F31" s="158"/>
      <c r="I31" s="158"/>
      <c r="L31" s="158"/>
      <c r="O31" s="158"/>
      <c r="R31" s="158"/>
      <c r="U31" s="158"/>
      <c r="X31" s="158"/>
      <c r="AA31" s="158"/>
      <c r="AD31" s="158"/>
      <c r="AG31" s="158"/>
      <c r="AJ31" s="158"/>
    </row>
    <row r="32" spans="3:51" x14ac:dyDescent="0.25">
      <c r="C32" s="158"/>
      <c r="F32" s="158"/>
      <c r="I32" s="158"/>
      <c r="L32" s="158"/>
      <c r="O32" s="158"/>
      <c r="R32" s="158"/>
      <c r="U32" s="158"/>
      <c r="X32" s="158"/>
      <c r="AA32" s="158"/>
      <c r="AD32" s="158"/>
      <c r="AG32" s="158"/>
      <c r="AJ32" s="158"/>
    </row>
    <row r="33" spans="1:53" x14ac:dyDescent="0.25">
      <c r="C33" s="158"/>
      <c r="F33" s="158"/>
      <c r="I33" s="158"/>
      <c r="L33" s="158"/>
      <c r="O33" s="158"/>
      <c r="R33" s="158"/>
      <c r="U33" s="158"/>
      <c r="X33" s="158"/>
      <c r="AA33" s="158"/>
      <c r="AD33" s="158"/>
      <c r="AG33" s="158"/>
      <c r="AJ33" s="158"/>
    </row>
    <row r="34" spans="1:53" x14ac:dyDescent="0.25">
      <c r="C34" s="158"/>
      <c r="F34" s="158"/>
      <c r="I34" s="158"/>
      <c r="L34" s="158"/>
      <c r="O34" s="158"/>
      <c r="R34" s="158"/>
      <c r="U34" s="158"/>
      <c r="X34" s="158"/>
      <c r="AA34" s="158"/>
      <c r="AD34" s="158"/>
      <c r="AG34" s="158"/>
      <c r="AJ34" s="158"/>
    </row>
    <row r="35" spans="1:53" x14ac:dyDescent="0.25">
      <c r="C35" s="158"/>
      <c r="F35" s="158"/>
      <c r="I35" s="158"/>
      <c r="L35" s="158"/>
      <c r="O35" s="158"/>
      <c r="R35" s="158"/>
      <c r="U35" s="158"/>
      <c r="X35" s="158"/>
      <c r="AA35" s="158"/>
      <c r="AD35" s="158"/>
      <c r="AG35" s="158"/>
      <c r="AJ35" s="158"/>
    </row>
    <row r="36" spans="1:53" x14ac:dyDescent="0.25">
      <c r="C36" s="158"/>
      <c r="F36" s="158"/>
      <c r="I36" s="158"/>
      <c r="L36" s="158"/>
      <c r="O36" s="158"/>
      <c r="R36" s="158"/>
      <c r="U36" s="158"/>
      <c r="X36" s="158"/>
      <c r="AA36" s="158"/>
      <c r="AD36" s="158"/>
      <c r="AG36" s="158"/>
      <c r="AJ36" s="158"/>
    </row>
    <row r="37" spans="1:53" x14ac:dyDescent="0.25">
      <c r="C37" s="158"/>
      <c r="F37" s="158"/>
      <c r="I37" s="158"/>
      <c r="L37" s="158"/>
      <c r="O37" s="158"/>
      <c r="R37" s="158"/>
      <c r="U37" s="158"/>
      <c r="X37" s="158"/>
      <c r="AA37" s="158"/>
      <c r="AD37" s="158"/>
      <c r="AG37" s="158"/>
      <c r="AJ37" s="158"/>
    </row>
    <row r="39" spans="1:53" ht="24" customHeight="1" x14ac:dyDescent="0.3">
      <c r="A39" s="518">
        <v>45170</v>
      </c>
      <c r="B39" s="519"/>
      <c r="C39" s="519"/>
      <c r="D39" s="519"/>
      <c r="H39" s="524" t="s">
        <v>720</v>
      </c>
      <c r="I39" s="524"/>
      <c r="J39" s="524"/>
      <c r="K39" s="524"/>
      <c r="L39" s="157"/>
      <c r="M39" s="157"/>
      <c r="N39" s="157"/>
      <c r="O39" s="522" t="s">
        <v>726</v>
      </c>
      <c r="P39" s="522"/>
      <c r="Q39" s="522"/>
      <c r="R39" s="522"/>
      <c r="S39" s="522"/>
      <c r="T39" s="522"/>
      <c r="U39" s="157"/>
      <c r="V39" s="157"/>
      <c r="W39" s="157"/>
      <c r="X39" s="522" t="s">
        <v>727</v>
      </c>
      <c r="Y39" s="522"/>
      <c r="Z39" s="522"/>
      <c r="AA39" s="522"/>
      <c r="AB39" s="522"/>
      <c r="AC39" s="522"/>
      <c r="AD39" s="157"/>
      <c r="AE39" s="157"/>
      <c r="AF39" s="157"/>
      <c r="AG39" s="522" t="s">
        <v>728</v>
      </c>
      <c r="AH39" s="522"/>
      <c r="AI39" s="522"/>
      <c r="AJ39" s="522"/>
      <c r="AK39" s="522"/>
      <c r="AL39" s="522"/>
      <c r="AM39" s="157"/>
      <c r="AN39" s="157"/>
      <c r="AO39" s="157"/>
      <c r="AP39" s="522" t="s">
        <v>719</v>
      </c>
      <c r="AQ39" s="522"/>
      <c r="AR39" s="522"/>
      <c r="AS39" s="522"/>
      <c r="AT39" s="522"/>
      <c r="AU39" s="522"/>
      <c r="AX39" s="518">
        <v>46631</v>
      </c>
      <c r="AY39" s="519"/>
      <c r="AZ39" s="519"/>
      <c r="BA39" s="519"/>
    </row>
    <row r="40" spans="1:53" ht="24" customHeight="1" thickBot="1" x14ac:dyDescent="0.3">
      <c r="H40" s="525"/>
      <c r="I40" s="525"/>
      <c r="J40" s="525"/>
      <c r="K40" s="525"/>
      <c r="L40" s="157"/>
      <c r="M40" s="157"/>
      <c r="N40" s="157"/>
      <c r="O40" s="523"/>
      <c r="P40" s="523"/>
      <c r="Q40" s="523"/>
      <c r="R40" s="523"/>
      <c r="S40" s="523"/>
      <c r="T40" s="523"/>
      <c r="U40" s="157"/>
      <c r="V40" s="157"/>
      <c r="W40" s="157"/>
      <c r="X40" s="523"/>
      <c r="Y40" s="523"/>
      <c r="Z40" s="523"/>
      <c r="AA40" s="523"/>
      <c r="AB40" s="523"/>
      <c r="AC40" s="523"/>
      <c r="AD40" s="157"/>
      <c r="AE40" s="157"/>
      <c r="AF40" s="157"/>
      <c r="AG40" s="523"/>
      <c r="AH40" s="523"/>
      <c r="AI40" s="523"/>
      <c r="AJ40" s="523"/>
      <c r="AK40" s="523"/>
      <c r="AL40" s="523"/>
      <c r="AM40" s="157"/>
      <c r="AN40" s="157"/>
      <c r="AO40" s="157"/>
      <c r="AP40" s="523"/>
      <c r="AQ40" s="523"/>
      <c r="AR40" s="523"/>
      <c r="AS40" s="523"/>
      <c r="AT40" s="523"/>
      <c r="AU40" s="523"/>
    </row>
    <row r="41" spans="1:53" ht="15.75" thickBot="1" x14ac:dyDescent="0.3">
      <c r="H41" s="140"/>
      <c r="I41" s="141"/>
      <c r="J41" s="141"/>
      <c r="K41" s="142"/>
      <c r="O41" s="179"/>
      <c r="P41" s="180"/>
      <c r="Q41" s="180"/>
      <c r="R41" s="180"/>
      <c r="S41" s="180"/>
      <c r="T41" s="129"/>
      <c r="X41" s="182"/>
      <c r="Y41" s="183"/>
      <c r="Z41" s="183"/>
      <c r="AA41" s="183"/>
      <c r="AB41" s="131"/>
      <c r="AC41" s="132"/>
      <c r="AG41" s="185"/>
      <c r="AH41" s="186"/>
      <c r="AI41" s="186"/>
      <c r="AJ41" s="134"/>
      <c r="AK41" s="134"/>
      <c r="AL41" s="135"/>
      <c r="AP41" s="136"/>
      <c r="AQ41" s="137"/>
      <c r="AR41" s="137"/>
      <c r="AS41" s="137"/>
      <c r="AT41" s="137"/>
      <c r="AU41" s="138"/>
    </row>
    <row r="42" spans="1:53" x14ac:dyDescent="0.25">
      <c r="O42" s="181" t="s">
        <v>17</v>
      </c>
      <c r="P42" s="181" t="s">
        <v>26</v>
      </c>
      <c r="Q42" s="181" t="s">
        <v>42</v>
      </c>
      <c r="R42" s="181" t="s">
        <v>45</v>
      </c>
      <c r="S42" s="181" t="s">
        <v>97</v>
      </c>
      <c r="X42" s="181" t="s">
        <v>54</v>
      </c>
      <c r="Y42" s="181" t="s">
        <v>105</v>
      </c>
      <c r="Z42" s="181" t="s">
        <v>81</v>
      </c>
      <c r="AA42" s="181" t="s">
        <v>88</v>
      </c>
      <c r="AG42" s="187" t="s">
        <v>59</v>
      </c>
      <c r="AH42" s="187" t="s">
        <v>62</v>
      </c>
      <c r="AI42" s="187" t="s">
        <v>77</v>
      </c>
    </row>
    <row r="43" spans="1:53" x14ac:dyDescent="0.25">
      <c r="O43" s="181" t="s">
        <v>19</v>
      </c>
      <c r="P43" s="181" t="s">
        <v>27</v>
      </c>
      <c r="Q43" s="181" t="s">
        <v>31</v>
      </c>
      <c r="R43" s="181" t="s">
        <v>93</v>
      </c>
      <c r="S43" s="181" t="s">
        <v>96</v>
      </c>
      <c r="X43" s="181" t="s">
        <v>53</v>
      </c>
      <c r="Y43" s="181" t="s">
        <v>67</v>
      </c>
      <c r="Z43" s="181" t="s">
        <v>49</v>
      </c>
      <c r="AA43" s="181" t="s">
        <v>87</v>
      </c>
      <c r="AG43" s="187" t="s">
        <v>58</v>
      </c>
      <c r="AH43" s="187" t="s">
        <v>73</v>
      </c>
      <c r="AI43" s="187" t="s">
        <v>76</v>
      </c>
    </row>
    <row r="44" spans="1:53" x14ac:dyDescent="0.25">
      <c r="O44" s="181" t="s">
        <v>20</v>
      </c>
      <c r="P44" s="181" t="s">
        <v>28</v>
      </c>
      <c r="Q44" s="181" t="s">
        <v>33</v>
      </c>
      <c r="R44" s="181" t="s">
        <v>92</v>
      </c>
      <c r="S44" s="181"/>
      <c r="X44" s="181" t="s">
        <v>52</v>
      </c>
      <c r="Y44" s="181" t="s">
        <v>83</v>
      </c>
      <c r="Z44" s="181" t="s">
        <v>37</v>
      </c>
      <c r="AA44" s="181" t="s">
        <v>86</v>
      </c>
      <c r="AG44" s="187" t="s">
        <v>56</v>
      </c>
      <c r="AH44" s="187" t="s">
        <v>72</v>
      </c>
      <c r="AI44" s="181"/>
    </row>
    <row r="45" spans="1:53" x14ac:dyDescent="0.25">
      <c r="O45" s="181" t="s">
        <v>21</v>
      </c>
      <c r="P45" s="181" t="s">
        <v>29</v>
      </c>
      <c r="Q45" s="181" t="s">
        <v>46</v>
      </c>
      <c r="R45" s="181" t="s">
        <v>91</v>
      </c>
      <c r="S45" s="181"/>
      <c r="X45" s="181" t="s">
        <v>69</v>
      </c>
      <c r="Y45" s="181" t="s">
        <v>82</v>
      </c>
      <c r="Z45" s="181" t="s">
        <v>38</v>
      </c>
      <c r="AA45" s="184"/>
      <c r="AG45" s="187" t="s">
        <v>63</v>
      </c>
      <c r="AH45" s="187" t="s">
        <v>78</v>
      </c>
      <c r="AI45" s="184"/>
      <c r="AJ45" s="148"/>
    </row>
    <row r="46" spans="1:53" x14ac:dyDescent="0.25">
      <c r="P46" s="148"/>
      <c r="Q46" s="148"/>
      <c r="R46" s="148"/>
      <c r="Y46" s="148"/>
      <c r="Z46" s="148"/>
      <c r="AA46" s="148"/>
      <c r="AH46" s="148"/>
      <c r="AI46" s="148"/>
      <c r="AJ46" s="148"/>
    </row>
    <row r="48" spans="1:53" x14ac:dyDescent="0.25">
      <c r="Q48"/>
    </row>
    <row r="49" spans="17:28" x14ac:dyDescent="0.25">
      <c r="Q49"/>
    </row>
    <row r="50" spans="17:28" x14ac:dyDescent="0.25">
      <c r="Q50"/>
    </row>
    <row r="51" spans="17:28" x14ac:dyDescent="0.25">
      <c r="Q51"/>
    </row>
    <row r="52" spans="17:28" x14ac:dyDescent="0.25">
      <c r="Q52"/>
    </row>
    <row r="53" spans="17:28" x14ac:dyDescent="0.25">
      <c r="Q53"/>
      <c r="AB53"/>
    </row>
    <row r="54" spans="17:28" x14ac:dyDescent="0.25">
      <c r="Q54"/>
      <c r="AB54"/>
    </row>
    <row r="55" spans="17:28" x14ac:dyDescent="0.25">
      <c r="Q55"/>
      <c r="AB55"/>
    </row>
    <row r="56" spans="17:28" x14ac:dyDescent="0.25">
      <c r="Q56"/>
      <c r="AB56"/>
    </row>
    <row r="57" spans="17:28" x14ac:dyDescent="0.25">
      <c r="Q57"/>
      <c r="AB57"/>
    </row>
    <row r="58" spans="17:28" x14ac:dyDescent="0.25">
      <c r="Q58"/>
      <c r="AB58"/>
    </row>
    <row r="59" spans="17:28" x14ac:dyDescent="0.25">
      <c r="Q59"/>
      <c r="AB59"/>
    </row>
    <row r="60" spans="17:28" x14ac:dyDescent="0.25">
      <c r="Q60"/>
      <c r="AB60"/>
    </row>
    <row r="61" spans="17:28" x14ac:dyDescent="0.25">
      <c r="Q61"/>
      <c r="AB61"/>
    </row>
    <row r="62" spans="17:28" x14ac:dyDescent="0.25">
      <c r="Q62"/>
      <c r="AB62"/>
    </row>
    <row r="63" spans="17:28" x14ac:dyDescent="0.25">
      <c r="Q63"/>
      <c r="AB63"/>
    </row>
    <row r="64" spans="17:28" x14ac:dyDescent="0.25">
      <c r="Q64"/>
      <c r="AB64"/>
    </row>
    <row r="65" spans="17:28" x14ac:dyDescent="0.25">
      <c r="Q65"/>
      <c r="AB65"/>
    </row>
    <row r="66" spans="17:28" x14ac:dyDescent="0.25">
      <c r="AB66"/>
    </row>
    <row r="67" spans="17:28" x14ac:dyDescent="0.25">
      <c r="AB67"/>
    </row>
  </sheetData>
  <mergeCells count="27">
    <mergeCell ref="H39:K40"/>
    <mergeCell ref="V3:Y3"/>
    <mergeCell ref="AF4:AG5"/>
    <mergeCell ref="AI4:AJ5"/>
    <mergeCell ref="A3:D3"/>
    <mergeCell ref="AH3:AK3"/>
    <mergeCell ref="Q4:R5"/>
    <mergeCell ref="T4:U5"/>
    <mergeCell ref="W4:X5"/>
    <mergeCell ref="Z4:AA5"/>
    <mergeCell ref="AC4:AD5"/>
    <mergeCell ref="AX39:BA39"/>
    <mergeCell ref="A39:D39"/>
    <mergeCell ref="B4:C5"/>
    <mergeCell ref="E4:F5"/>
    <mergeCell ref="H4:I5"/>
    <mergeCell ref="K4:L5"/>
    <mergeCell ref="N4:O5"/>
    <mergeCell ref="C9:F9"/>
    <mergeCell ref="G9:R9"/>
    <mergeCell ref="S9:AD9"/>
    <mergeCell ref="AE9:AP9"/>
    <mergeCell ref="AQ9:AY9"/>
    <mergeCell ref="O39:T40"/>
    <mergeCell ref="X39:AC40"/>
    <mergeCell ref="AG39:AL40"/>
    <mergeCell ref="AP39:AU40"/>
  </mergeCells>
  <printOptions horizontalCentered="1"/>
  <pageMargins left="0" right="0" top="0.75" bottom="0.75" header="0.3" footer="0.3"/>
  <pageSetup paperSize="9" scale="6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100E5-989B-4D20-8A6E-966711D02ACD}">
  <dimension ref="A1:AV862"/>
  <sheetViews>
    <sheetView view="pageBreakPreview" zoomScale="70" zoomScaleNormal="70" zoomScaleSheetLayoutView="70" workbookViewId="0">
      <selection activeCell="BE311" sqref="BE311"/>
    </sheetView>
  </sheetViews>
  <sheetFormatPr defaultRowHeight="18.75" x14ac:dyDescent="0.25"/>
  <cols>
    <col min="1" max="1" width="7" style="87" customWidth="1"/>
    <col min="2" max="2" width="9" style="87" customWidth="1"/>
    <col min="3" max="3" width="5.7109375" style="87" customWidth="1"/>
    <col min="4" max="4" width="16" style="87" bestFit="1" customWidth="1"/>
    <col min="5" max="6" width="9" style="101" customWidth="1"/>
    <col min="7" max="7" width="17.5703125" style="87" customWidth="1"/>
    <col min="8" max="8" width="37.28515625" style="87" customWidth="1"/>
    <col min="9" max="9" width="27.85546875" style="87" customWidth="1"/>
    <col min="10" max="10" width="18.28515625" style="87" customWidth="1"/>
    <col min="11" max="11" width="20.28515625" style="87" customWidth="1"/>
    <col min="12" max="12" width="21.7109375" style="87" customWidth="1"/>
    <col min="13" max="13" width="25.42578125" style="87" customWidth="1"/>
    <col min="14" max="14" width="21.42578125" style="87" customWidth="1"/>
    <col min="15" max="15" width="18.140625" style="87" customWidth="1"/>
    <col min="16" max="16" width="25.7109375" style="87" customWidth="1"/>
    <col min="17" max="17" width="36.42578125" style="87" customWidth="1"/>
    <col min="18" max="18" width="11.85546875" style="87" customWidth="1"/>
    <col min="19" max="19" width="21.42578125" style="87" customWidth="1"/>
    <col min="20" max="20" width="8.28515625" style="117" bestFit="1" customWidth="1"/>
    <col min="21" max="21" width="6.85546875" style="117" bestFit="1" customWidth="1"/>
    <col min="22" max="23" width="8.28515625" style="117" bestFit="1" customWidth="1"/>
    <col min="24" max="24" width="10.7109375" style="117" bestFit="1" customWidth="1"/>
    <col min="25" max="25" width="24.28515625" style="91" customWidth="1"/>
    <col min="26" max="26" width="26.7109375" style="91" customWidth="1"/>
    <col min="27" max="27" width="27.140625" style="91" customWidth="1"/>
    <col min="28" max="28" width="41.85546875" style="87" customWidth="1"/>
    <col min="29" max="29" width="40.7109375" style="87" customWidth="1"/>
    <col min="30" max="30" width="31.140625" style="87" customWidth="1"/>
    <col min="31" max="31" width="29" style="189" customWidth="1"/>
    <col min="32" max="32" width="28.140625" style="189" customWidth="1"/>
    <col min="33" max="35" width="26.7109375" style="189" customWidth="1"/>
    <col min="36" max="38" width="29" style="87" customWidth="1"/>
    <col min="39" max="39" width="28.5703125" style="189" customWidth="1"/>
    <col min="40" max="40" width="27.5703125" style="87" customWidth="1"/>
    <col min="41" max="41" width="26.140625" style="87" customWidth="1"/>
    <col min="42" max="42" width="21.140625" style="87" customWidth="1"/>
    <col min="43" max="43" width="24.28515625" style="87" customWidth="1"/>
    <col min="44" max="46" width="23.85546875" style="87" customWidth="1"/>
    <col min="47" max="47" width="26.140625" style="195" customWidth="1"/>
    <col min="48" max="48" width="33.140625" style="195" customWidth="1"/>
    <col min="49" max="16384" width="9.140625" style="87"/>
  </cols>
  <sheetData>
    <row r="1" spans="1:48" ht="15" customHeight="1" x14ac:dyDescent="0.25"/>
    <row r="2" spans="1:48" ht="15" customHeight="1" x14ac:dyDescent="0.25"/>
    <row r="3" spans="1:48" ht="15" customHeight="1" thickBot="1" x14ac:dyDescent="0.3"/>
    <row r="4" spans="1:48" s="234" customFormat="1" ht="52.5" customHeight="1" thickBot="1" x14ac:dyDescent="0.3">
      <c r="A4" s="240" t="s">
        <v>9</v>
      </c>
      <c r="B4" s="240" t="s">
        <v>714</v>
      </c>
      <c r="C4" s="240" t="s">
        <v>8</v>
      </c>
      <c r="D4" s="240" t="s">
        <v>1146</v>
      </c>
      <c r="E4" s="241" t="s">
        <v>10</v>
      </c>
      <c r="F4" s="242" t="s">
        <v>2</v>
      </c>
      <c r="G4" s="240" t="s">
        <v>104</v>
      </c>
      <c r="H4" s="240" t="s">
        <v>1291</v>
      </c>
      <c r="I4" s="240" t="s">
        <v>217</v>
      </c>
      <c r="J4" s="240" t="s">
        <v>3</v>
      </c>
      <c r="K4" s="240" t="s">
        <v>102</v>
      </c>
      <c r="L4" s="240" t="s">
        <v>101</v>
      </c>
      <c r="M4" s="240" t="s">
        <v>103</v>
      </c>
      <c r="N4" s="240" t="s">
        <v>1292</v>
      </c>
      <c r="O4" s="243" t="s">
        <v>120</v>
      </c>
      <c r="P4" s="243" t="s">
        <v>121</v>
      </c>
      <c r="Q4" s="243" t="s">
        <v>122</v>
      </c>
      <c r="R4" s="243" t="s">
        <v>1194</v>
      </c>
      <c r="S4" s="243" t="s">
        <v>124</v>
      </c>
      <c r="T4" s="244" t="s">
        <v>125</v>
      </c>
      <c r="U4" s="244" t="s">
        <v>126</v>
      </c>
      <c r="V4" s="244" t="s">
        <v>127</v>
      </c>
      <c r="W4" s="244" t="s">
        <v>128</v>
      </c>
      <c r="X4" s="244" t="s">
        <v>129</v>
      </c>
      <c r="Y4" s="245" t="s">
        <v>130</v>
      </c>
      <c r="Z4" s="245" t="s">
        <v>712</v>
      </c>
      <c r="AA4" s="245" t="s">
        <v>231</v>
      </c>
      <c r="AB4" s="246" t="s">
        <v>131</v>
      </c>
      <c r="AC4" s="246" t="s">
        <v>132</v>
      </c>
      <c r="AD4" s="246" t="s">
        <v>133</v>
      </c>
      <c r="AE4" s="246" t="s">
        <v>134</v>
      </c>
      <c r="AF4" s="246" t="s">
        <v>1285</v>
      </c>
      <c r="AG4" s="246" t="s">
        <v>136</v>
      </c>
      <c r="AH4" s="246" t="s">
        <v>1283</v>
      </c>
      <c r="AI4" s="246" t="s">
        <v>1284</v>
      </c>
      <c r="AJ4" s="243" t="s">
        <v>1282</v>
      </c>
      <c r="AK4" s="243" t="s">
        <v>1286</v>
      </c>
      <c r="AL4" s="243" t="s">
        <v>1287</v>
      </c>
      <c r="AM4" s="246" t="s">
        <v>138</v>
      </c>
      <c r="AN4" s="243" t="s">
        <v>139</v>
      </c>
      <c r="AO4" s="243" t="s">
        <v>1374</v>
      </c>
      <c r="AP4" s="243" t="s">
        <v>141</v>
      </c>
      <c r="AQ4" s="243" t="s">
        <v>142</v>
      </c>
      <c r="AR4" s="243" t="s">
        <v>1288</v>
      </c>
      <c r="AS4" s="243" t="s">
        <v>1289</v>
      </c>
      <c r="AT4" s="243" t="s">
        <v>1290</v>
      </c>
      <c r="AU4" s="247" t="s">
        <v>1156</v>
      </c>
      <c r="AV4" s="247" t="s">
        <v>1159</v>
      </c>
    </row>
    <row r="5" spans="1:48" ht="15" customHeight="1" x14ac:dyDescent="0.25">
      <c r="A5" s="235" t="s">
        <v>15</v>
      </c>
      <c r="B5" s="227" t="str">
        <f>LEFT(C5,1)</f>
        <v>A</v>
      </c>
      <c r="C5" s="227" t="s">
        <v>17</v>
      </c>
      <c r="D5" s="227" t="s">
        <v>1147</v>
      </c>
      <c r="E5" s="228">
        <v>0</v>
      </c>
      <c r="F5" s="101">
        <v>1</v>
      </c>
      <c r="G5" s="87" t="str">
        <f>LEFT(C5,2)&amp;E5&amp;F5</f>
        <v>A101</v>
      </c>
      <c r="H5" s="87" t="s">
        <v>1293</v>
      </c>
      <c r="I5" s="89" t="str">
        <f>VLOOKUP(C5,'PREMIUM TABLES'!$G$107:$H$149,2,FALSE)</f>
        <v>C1</v>
      </c>
      <c r="J5" s="87">
        <v>110.32</v>
      </c>
      <c r="K5" s="87">
        <v>120.40866089136887</v>
      </c>
      <c r="L5" s="87">
        <v>136</v>
      </c>
      <c r="M5" s="87">
        <v>42.779499999999999</v>
      </c>
      <c r="O5" s="87" t="s">
        <v>187</v>
      </c>
      <c r="P5" s="87" t="s">
        <v>226</v>
      </c>
      <c r="Q5" s="229" t="s">
        <v>198</v>
      </c>
      <c r="R5" s="87" t="str">
        <f>VLOOKUP(E5,'PREMIUM TABLES'!$F$214:$G$219,2,FALSE)</f>
        <v>GROUND</v>
      </c>
      <c r="S5" s="87" t="str" cm="1">
        <f t="array" ref="S5">IF(AND(L5&gt;0,L5&lt;90),"A",IF(AND(L5&gt;90,L5&lt;123),"B",IF(AND(L5&gt;122,L5&lt;159),"C",IF(AND(L5&gt;159,L5&lt;185),"D",IF(AND(L5&gt;185,L5&lt;230),"E",IF(AND(L5&gt;230,L5&lt;350),"F",NONE))))))</f>
        <v>C</v>
      </c>
      <c r="T5" s="230">
        <f>VLOOKUP(O5,'PREMIUM TABLES'!$G$165:$H$172,2,FALSE)</f>
        <v>0.08</v>
      </c>
      <c r="U5" s="230">
        <f>VLOOKUP(P5,'PREMIUM TABLES'!$G$208:$H$209,2,FALSE)</f>
        <v>0.05</v>
      </c>
      <c r="V5" s="230">
        <f>VLOOKUP(Q5,'PREMIUM TABLES'!$G$175:$H$195,2,FALSE)</f>
        <v>0.15</v>
      </c>
      <c r="W5" s="230">
        <f>VLOOKUP(R5,'PREMIUM TABLES'!$G$214:$H$219,2,FALSE)</f>
        <v>0.05</v>
      </c>
      <c r="X5" s="230">
        <f>VLOOKUP(S5,'PREMIUM TABLES'!$F$199:$H$205,3,FALSE)</f>
        <v>3.5000000000000003E-2</v>
      </c>
      <c r="Y5" s="231">
        <f>SUM(T5:X5)</f>
        <v>0.36499999999999999</v>
      </c>
      <c r="Z5" s="231" t="str" cm="1">
        <f t="array" ref="Z5">IF(AND(Y5&gt;0,Y5&lt;0.5),"C",IF(AND(Y5&gt;=0.5,Y5&lt;0.73),"B",IF(AND(Y5&gt;=0.73,Y5&lt;0.98),"A",NONE)))</f>
        <v>C</v>
      </c>
      <c r="AA5" s="231" t="str">
        <f>VLOOKUP(G5,'ALL (R)'!$N$5:$R$862,5,FALSE)</f>
        <v>R 2</v>
      </c>
      <c r="AB5" s="232">
        <f>VLOOKUP(AA5,FACTS!$B$2:$L$14,10,FALSE)</f>
        <v>43562.499999999993</v>
      </c>
      <c r="AC5" s="232">
        <f>VLOOKUP(AA5,FACTS!$B$2:$L$14,11,FALSE)</f>
        <v>48687.499999999993</v>
      </c>
      <c r="AD5" s="232">
        <f>VLOOKUP(AA5,FACTS!$B$2:$N$14,13,FALSE)</f>
        <v>5125</v>
      </c>
      <c r="AE5" s="232">
        <f>AD5*Y5</f>
        <v>1870.625</v>
      </c>
      <c r="AF5" s="232">
        <f>AE5+AB5</f>
        <v>45433.124999999993</v>
      </c>
      <c r="AG5" s="232">
        <f>AF5*FACTS!$T$2</f>
        <v>14992.931249999998</v>
      </c>
      <c r="AH5" s="232">
        <f>Table1[[#This Row],[UNIT (BUILDING) RATE (SEMI FINISHED)]]+4500</f>
        <v>49933.124999999993</v>
      </c>
      <c r="AI5" s="232">
        <f>Table1[[#This Row],[UNIT (BUILDING) RATE (SEMI FINISHED)]]+7500</f>
        <v>52933.124999999993</v>
      </c>
      <c r="AJ5" s="232">
        <f>AF5*L5</f>
        <v>6178904.9999999991</v>
      </c>
      <c r="AK5" s="232">
        <f>Table1[[#This Row],[UNIT (BUILDING) RATE (BASIC FINISH)]]*Table1[[#This Row],[Unit Selling Area]]</f>
        <v>6790904.9999999991</v>
      </c>
      <c r="AL5" s="232">
        <f>Table1[[#This Row],[UNIT (BUILDING) RATE (FULLY FINISH)]]*Table1[[#This Row],[Unit Selling Area]]</f>
        <v>7198904.9999999991</v>
      </c>
      <c r="AM5" s="232">
        <f>AG5*M5</f>
        <v>641390.1024093749</v>
      </c>
      <c r="AN5" s="232">
        <f>(AM5+AJ5)*FACTS!$S$2</f>
        <v>579725.08370479685</v>
      </c>
      <c r="AO5" s="101">
        <f>VLOOKUP(S5,FACTS!$A$17:$C$23,3,FALSE)</f>
        <v>2</v>
      </c>
      <c r="AP5" s="232">
        <f>VLOOKUP(AA5,FACTS!$B$2:$J$14,9,FALSE)</f>
        <v>204999.99999999997</v>
      </c>
      <c r="AQ5" s="232">
        <f>Table1[[#This Row],[PARKING VALUE]]*1</f>
        <v>204999.99999999997</v>
      </c>
      <c r="AR5" s="232">
        <f t="shared" ref="AR5:AR68" si="0">AQ5+AM5+AJ5</f>
        <v>7025295.102409374</v>
      </c>
      <c r="AS5" s="440">
        <f>Table1[[#This Row],[TOTAL CARS VALUE]]+Table1[[#This Row],[UNIT (BUILDING) VALUE BASIC FINISHED]]+Table1[[#This Row],[UNIT (GARDEN) VALUE]]</f>
        <v>7637295.102409374</v>
      </c>
      <c r="AT5" s="232">
        <f>Table1[[#This Row],[TOTAL CARS VALUE]]+Table1[[#This Row],[UNIT (GARDEN) VALUE]]+Table1[[#This Row],[UNIT (BUILDING) VALUE FULLY FINISHED]]</f>
        <v>8045295.102409374</v>
      </c>
      <c r="AU5" s="233">
        <f>VLOOKUP(I5,'C PHASES'!$I$108:$J$110,2,FALSE)</f>
        <v>45839</v>
      </c>
      <c r="AV5" s="233">
        <f>VLOOKUP(AA5,'C PHASES'!$I$113:$J$125,2,FALSE)</f>
        <v>45292</v>
      </c>
    </row>
    <row r="6" spans="1:48" ht="15" customHeight="1" x14ac:dyDescent="0.25">
      <c r="A6" s="235"/>
      <c r="B6" s="227" t="str">
        <f t="shared" ref="B6:B69" si="1">LEFT(C6,1)</f>
        <v>A</v>
      </c>
      <c r="C6" s="227" t="s">
        <v>17</v>
      </c>
      <c r="D6" s="227" t="s">
        <v>1147</v>
      </c>
      <c r="E6" s="228">
        <v>0</v>
      </c>
      <c r="F6" s="101">
        <v>2</v>
      </c>
      <c r="G6" s="87" t="str">
        <f t="shared" ref="G6:G24" si="2">LEFT(C6,2)&amp;E6&amp;F6</f>
        <v>A102</v>
      </c>
      <c r="H6" s="87" t="s">
        <v>1293</v>
      </c>
      <c r="I6" s="89" t="str">
        <f>VLOOKUP(C6,'PREMIUM TABLES'!$G$107:$H$149,2,FALSE)</f>
        <v>C1</v>
      </c>
      <c r="J6" s="87">
        <v>110.14</v>
      </c>
      <c r="K6" s="87">
        <v>120.21220005960269</v>
      </c>
      <c r="L6" s="87">
        <v>135</v>
      </c>
      <c r="M6" s="87">
        <v>59.482100000000003</v>
      </c>
      <c r="O6" s="87" t="s">
        <v>180</v>
      </c>
      <c r="P6" s="87" t="s">
        <v>226</v>
      </c>
      <c r="Q6" s="229" t="s">
        <v>213</v>
      </c>
      <c r="R6" s="87" t="str">
        <f>VLOOKUP(E6,'PREMIUM TABLES'!$F$214:$G$219,2,FALSE)</f>
        <v>GROUND</v>
      </c>
      <c r="S6" s="87" t="str" cm="1">
        <f t="array" ref="S6">IF(AND(L6&gt;0,L6&lt;90),"A",IF(AND(L6&gt;90,L6&lt;123),"B",IF(AND(L6&gt;122,L6&lt;159),"C",IF(AND(L6&gt;159,L6&lt;185),"D",IF(AND(L6&gt;185,L6&lt;230),"E",IF(AND(L6&gt;230,L6&lt;350),"F",NONE))))))</f>
        <v>C</v>
      </c>
      <c r="T6" s="230">
        <f>VLOOKUP(O6,'PREMIUM TABLES'!$G$165:$H$172,2,FALSE)</f>
        <v>0.13</v>
      </c>
      <c r="U6" s="230">
        <f>VLOOKUP(P6,'PREMIUM TABLES'!$G$208:$H$209,2,FALSE)</f>
        <v>0.05</v>
      </c>
      <c r="V6" s="230">
        <f>VLOOKUP(Q6,'PREMIUM TABLES'!$G$175:$H$195,2,FALSE)</f>
        <v>0.4</v>
      </c>
      <c r="W6" s="230">
        <f>VLOOKUP(R6,'PREMIUM TABLES'!$G$214:$H$219,2,FALSE)</f>
        <v>0.05</v>
      </c>
      <c r="X6" s="230">
        <f>VLOOKUP(S6,'PREMIUM TABLES'!$F$199:$H$205,3,FALSE)</f>
        <v>3.5000000000000003E-2</v>
      </c>
      <c r="Y6" s="231">
        <f t="shared" ref="Y6:Y69" si="3">SUM(T6:X6)</f>
        <v>0.66500000000000015</v>
      </c>
      <c r="Z6" s="231" t="str" cm="1">
        <f t="array" ref="Z6">IF(AND(Y6&gt;0,Y6&lt;0.5),"C",IF(AND(Y6&gt;=0.5,Y6&lt;0.73),"B",IF(AND(Y6&gt;=0.73,Y6&lt;0.98),"A",NONE)))</f>
        <v>B</v>
      </c>
      <c r="AA6" s="231" t="str">
        <f>VLOOKUP(G6,'ALL (R)'!$N$5:$R$862,5,FALSE)</f>
        <v>R 6</v>
      </c>
      <c r="AB6" s="232">
        <f>VLOOKUP(AA6,FACTS!$B$2:$L$14,10,FALSE)</f>
        <v>48450.000000000007</v>
      </c>
      <c r="AC6" s="232">
        <f>VLOOKUP(AA6,FACTS!$B$2:$L$14,11,FALSE)</f>
        <v>54150.000000000007</v>
      </c>
      <c r="AD6" s="232">
        <f>VLOOKUP(AA6,FACTS!$B$2:$N$14,13,FALSE)</f>
        <v>5700</v>
      </c>
      <c r="AE6" s="232">
        <f t="shared" ref="AE6:AE69" si="4">AD6*Y6</f>
        <v>3790.5000000000009</v>
      </c>
      <c r="AF6" s="232">
        <f t="shared" ref="AF6:AF69" si="5">AE6+AB6</f>
        <v>52240.500000000007</v>
      </c>
      <c r="AG6" s="232">
        <f>AF6*FACTS!$T$2</f>
        <v>17239.365000000002</v>
      </c>
      <c r="AH6" s="232">
        <f>Table1[[#This Row],[UNIT (BUILDING) RATE (SEMI FINISHED)]]+4500</f>
        <v>56740.500000000007</v>
      </c>
      <c r="AI6" s="232">
        <f>Table1[[#This Row],[UNIT (BUILDING) RATE (SEMI FINISHED)]]+7500</f>
        <v>59740.500000000007</v>
      </c>
      <c r="AJ6" s="232">
        <f t="shared" ref="AJ6:AJ69" si="6">AF6*L6</f>
        <v>7052467.5000000009</v>
      </c>
      <c r="AK6" s="232">
        <f>Table1[[#This Row],[UNIT (BUILDING) RATE (BASIC FINISH)]]*Table1[[#This Row],[Unit Selling Area]]</f>
        <v>7659967.5000000009</v>
      </c>
      <c r="AL6" s="232">
        <f>Table1[[#This Row],[UNIT (BUILDING) RATE (FULLY FINISH)]]*Table1[[#This Row],[Unit Selling Area]]</f>
        <v>8064967.5000000009</v>
      </c>
      <c r="AM6" s="232">
        <f t="shared" ref="AM6:AM69" si="7">AG6*M6</f>
        <v>1025433.6328665002</v>
      </c>
      <c r="AN6" s="232">
        <f>(AM6+AJ6)*FACTS!$S$2</f>
        <v>686621.59629365266</v>
      </c>
      <c r="AO6" s="101">
        <f>VLOOKUP(S6,FACTS!$A$17:$C$23,3,FALSE)</f>
        <v>2</v>
      </c>
      <c r="AP6" s="232">
        <f>VLOOKUP(AA6,FACTS!$B$2:$J$14,9,FALSE)</f>
        <v>228000.00000000003</v>
      </c>
      <c r="AQ6" s="232">
        <f>Table1[[#This Row],[PARKING VALUE]]*1</f>
        <v>228000.00000000003</v>
      </c>
      <c r="AR6" s="232">
        <f t="shared" si="0"/>
        <v>8305901.1328665009</v>
      </c>
      <c r="AS6" s="440">
        <f>Table1[[#This Row],[TOTAL CARS VALUE]]+Table1[[#This Row],[UNIT (BUILDING) VALUE BASIC FINISHED]]+Table1[[#This Row],[UNIT (GARDEN) VALUE]]</f>
        <v>8913401.1328665018</v>
      </c>
      <c r="AT6" s="232">
        <f>Table1[[#This Row],[TOTAL CARS VALUE]]+Table1[[#This Row],[UNIT (GARDEN) VALUE]]+Table1[[#This Row],[UNIT (BUILDING) VALUE FULLY FINISHED]]</f>
        <v>9318401.1328665018</v>
      </c>
      <c r="AU6" s="233">
        <f>VLOOKUP(I6,'C PHASES'!$I$108:$J$110,2,FALSE)</f>
        <v>45839</v>
      </c>
      <c r="AV6" s="233">
        <f>VLOOKUP(AA6,'C PHASES'!$I$113:$J$125,2,FALSE)</f>
        <v>45658</v>
      </c>
    </row>
    <row r="7" spans="1:48" ht="15" customHeight="1" x14ac:dyDescent="0.25">
      <c r="A7" s="235"/>
      <c r="B7" s="227" t="str">
        <f t="shared" si="1"/>
        <v>A</v>
      </c>
      <c r="C7" s="227" t="s">
        <v>17</v>
      </c>
      <c r="D7" s="227" t="s">
        <v>1147</v>
      </c>
      <c r="E7" s="228">
        <v>0</v>
      </c>
      <c r="F7" s="101">
        <v>3</v>
      </c>
      <c r="G7" s="87" t="str">
        <f t="shared" si="2"/>
        <v>A103</v>
      </c>
      <c r="H7" s="87" t="s">
        <v>1293</v>
      </c>
      <c r="I7" s="89" t="str">
        <f>VLOOKUP(C7,'PREMIUM TABLES'!$G$107:$H$149,2,FALSE)</f>
        <v>C1</v>
      </c>
      <c r="J7" s="87">
        <v>89.96</v>
      </c>
      <c r="K7" s="87">
        <v>98.186757920481725</v>
      </c>
      <c r="L7" s="87">
        <v>111</v>
      </c>
      <c r="M7" s="87">
        <v>50.507800000000003</v>
      </c>
      <c r="O7" s="87" t="s">
        <v>180</v>
      </c>
      <c r="P7" s="87" t="s">
        <v>190</v>
      </c>
      <c r="Q7" s="229" t="s">
        <v>213</v>
      </c>
      <c r="R7" s="87" t="str">
        <f>VLOOKUP(E7,'PREMIUM TABLES'!$F$214:$G$219,2,FALSE)</f>
        <v>GROUND</v>
      </c>
      <c r="S7" s="87" t="str" cm="1">
        <f t="array" ref="S7">IF(AND(L7&gt;0,L7&lt;90),"A",IF(AND(L7&gt;90,L7&lt;123),"B",IF(AND(L7&gt;122,L7&lt;159),"C",IF(AND(L7&gt;159,L7&lt;185),"D",IF(AND(L7&gt;185,L7&lt;230),"E",IF(AND(L7&gt;230,L7&lt;350),"F",NONE))))))</f>
        <v>B</v>
      </c>
      <c r="T7" s="230">
        <f>VLOOKUP(O7,'PREMIUM TABLES'!$G$165:$H$172,2,FALSE)</f>
        <v>0.13</v>
      </c>
      <c r="U7" s="230">
        <f>VLOOKUP(P7,'PREMIUM TABLES'!$G$208:$H$209,2,FALSE)</f>
        <v>2.5000000000000001E-2</v>
      </c>
      <c r="V7" s="230">
        <f>VLOOKUP(Q7,'PREMIUM TABLES'!$G$175:$H$195,2,FALSE)</f>
        <v>0.4</v>
      </c>
      <c r="W7" s="230">
        <f>VLOOKUP(R7,'PREMIUM TABLES'!$G$214:$H$219,2,FALSE)</f>
        <v>0.05</v>
      </c>
      <c r="X7" s="230">
        <f>VLOOKUP(S7,'PREMIUM TABLES'!$F$199:$H$205,3,FALSE)</f>
        <v>0.04</v>
      </c>
      <c r="Y7" s="231">
        <f t="shared" si="3"/>
        <v>0.64500000000000013</v>
      </c>
      <c r="Z7" s="231" t="str" cm="1">
        <f t="array" ref="Z7">IF(AND(Y7&gt;0,Y7&lt;0.5),"C",IF(AND(Y7&gt;=0.5,Y7&lt;0.73),"B",IF(AND(Y7&gt;=0.73,Y7&lt;0.98),"A",NONE)))</f>
        <v>B</v>
      </c>
      <c r="AA7" s="231" t="str">
        <f>VLOOKUP(G7,'ALL (R)'!$N$5:$R$862,5,FALSE)</f>
        <v>R 4</v>
      </c>
      <c r="AB7" s="232">
        <f>VLOOKUP(AA7,FACTS!$B$2:$L$14,10,FALSE)</f>
        <v>45687.5</v>
      </c>
      <c r="AC7" s="232">
        <f>VLOOKUP(AA7,FACTS!$B$2:$L$14,11,FALSE)</f>
        <v>51062.5</v>
      </c>
      <c r="AD7" s="232">
        <f>VLOOKUP(AA7,FACTS!$B$2:$N$14,13,FALSE)</f>
        <v>5375</v>
      </c>
      <c r="AE7" s="232">
        <f t="shared" si="4"/>
        <v>3466.8750000000009</v>
      </c>
      <c r="AF7" s="232">
        <f t="shared" si="5"/>
        <v>49154.375</v>
      </c>
      <c r="AG7" s="232">
        <f>AF7*FACTS!$T$2</f>
        <v>16220.94375</v>
      </c>
      <c r="AH7" s="232">
        <f>Table1[[#This Row],[UNIT (BUILDING) RATE (SEMI FINISHED)]]+4500</f>
        <v>53654.375</v>
      </c>
      <c r="AI7" s="232">
        <f>Table1[[#This Row],[UNIT (BUILDING) RATE (SEMI FINISHED)]]+7500</f>
        <v>56654.375</v>
      </c>
      <c r="AJ7" s="232">
        <f t="shared" si="6"/>
        <v>5456135.625</v>
      </c>
      <c r="AK7" s="232">
        <f>Table1[[#This Row],[UNIT (BUILDING) RATE (BASIC FINISH)]]*Table1[[#This Row],[Unit Selling Area]]</f>
        <v>5955635.625</v>
      </c>
      <c r="AL7" s="232">
        <f>Table1[[#This Row],[UNIT (BUILDING) RATE (FULLY FINISH)]]*Table1[[#This Row],[Unit Selling Area]]</f>
        <v>6288635.625</v>
      </c>
      <c r="AM7" s="232">
        <f t="shared" si="7"/>
        <v>819284.18273625011</v>
      </c>
      <c r="AN7" s="232">
        <f>(AM7+AJ7)*FACTS!$S$2</f>
        <v>533410.68365758122</v>
      </c>
      <c r="AO7" s="101">
        <f>VLOOKUP(S7,FACTS!$A$17:$C$23,3,FALSE)</f>
        <v>1</v>
      </c>
      <c r="AP7" s="232">
        <f>VLOOKUP(AA7,FACTS!$B$2:$J$14,9,FALSE)</f>
        <v>215000</v>
      </c>
      <c r="AQ7" s="232">
        <f>Table1[[#This Row],[PARKING VALUE]]*1</f>
        <v>215000</v>
      </c>
      <c r="AR7" s="232">
        <f t="shared" si="0"/>
        <v>6490419.8077362496</v>
      </c>
      <c r="AS7" s="440">
        <f>Table1[[#This Row],[TOTAL CARS VALUE]]+Table1[[#This Row],[UNIT (BUILDING) VALUE BASIC FINISHED]]+Table1[[#This Row],[UNIT (GARDEN) VALUE]]</f>
        <v>6989919.8077362496</v>
      </c>
      <c r="AT7" s="232">
        <f>Table1[[#This Row],[TOTAL CARS VALUE]]+Table1[[#This Row],[UNIT (GARDEN) VALUE]]+Table1[[#This Row],[UNIT (BUILDING) VALUE FULLY FINISHED]]</f>
        <v>7322919.8077362496</v>
      </c>
      <c r="AU7" s="233">
        <f>VLOOKUP(I7,'C PHASES'!$I$108:$J$110,2,FALSE)</f>
        <v>45839</v>
      </c>
      <c r="AV7" s="233">
        <f>VLOOKUP(AA7,'C PHASES'!$I$113:$J$125,2,FALSE)</f>
        <v>45474</v>
      </c>
    </row>
    <row r="8" spans="1:48" ht="15" customHeight="1" x14ac:dyDescent="0.25">
      <c r="A8" s="235"/>
      <c r="B8" s="227" t="str">
        <f t="shared" si="1"/>
        <v>A</v>
      </c>
      <c r="C8" s="227" t="s">
        <v>17</v>
      </c>
      <c r="D8" s="227" t="s">
        <v>1147</v>
      </c>
      <c r="E8" s="228">
        <v>0</v>
      </c>
      <c r="F8" s="101">
        <v>4</v>
      </c>
      <c r="G8" s="87" t="str">
        <f t="shared" si="2"/>
        <v>A104</v>
      </c>
      <c r="H8" s="87" t="s">
        <v>1296</v>
      </c>
      <c r="I8" s="89" t="str">
        <f>VLOOKUP(C8,'PREMIUM TABLES'!$G$107:$H$149,2,FALSE)</f>
        <v>C1</v>
      </c>
      <c r="J8" s="87">
        <v>60.98</v>
      </c>
      <c r="K8" s="87">
        <v>66.556564006124674</v>
      </c>
      <c r="L8" s="87">
        <v>75</v>
      </c>
      <c r="M8" s="87">
        <v>23.808399999999999</v>
      </c>
      <c r="O8" s="87" t="s">
        <v>187</v>
      </c>
      <c r="P8" s="87" t="s">
        <v>190</v>
      </c>
      <c r="Q8" s="229" t="s">
        <v>198</v>
      </c>
      <c r="R8" s="87" t="str">
        <f>VLOOKUP(E8,'PREMIUM TABLES'!$F$214:$G$219,2,FALSE)</f>
        <v>GROUND</v>
      </c>
      <c r="S8" s="87" t="str" cm="1">
        <f t="array" ref="S8">IF(AND(L8&gt;0,L8&lt;90),"A",IF(AND(L8&gt;90,L8&lt;123),"B",IF(AND(L8&gt;122,L8&lt;159),"C",IF(AND(L8&gt;159,L8&lt;185),"D",IF(AND(L8&gt;185,L8&lt;230),"E",IF(AND(L8&gt;230,L8&lt;350),"F",NONE))))))</f>
        <v>A</v>
      </c>
      <c r="T8" s="230">
        <f>VLOOKUP(O8,'PREMIUM TABLES'!$G$165:$H$172,2,FALSE)</f>
        <v>0.08</v>
      </c>
      <c r="U8" s="230">
        <f>VLOOKUP(P8,'PREMIUM TABLES'!$G$208:$H$209,2,FALSE)</f>
        <v>2.5000000000000001E-2</v>
      </c>
      <c r="V8" s="230">
        <f>VLOOKUP(Q8,'PREMIUM TABLES'!$G$175:$H$195,2,FALSE)</f>
        <v>0.15</v>
      </c>
      <c r="W8" s="230">
        <f>VLOOKUP(R8,'PREMIUM TABLES'!$G$214:$H$219,2,FALSE)</f>
        <v>0.05</v>
      </c>
      <c r="X8" s="230">
        <f>VLOOKUP(S8,'PREMIUM TABLES'!$F$199:$H$205,3,FALSE)</f>
        <v>0.05</v>
      </c>
      <c r="Y8" s="231">
        <f t="shared" si="3"/>
        <v>0.35499999999999998</v>
      </c>
      <c r="Z8" s="231" t="str" cm="1">
        <f t="array" ref="Z8">IF(AND(Y8&gt;0,Y8&lt;0.5),"C",IF(AND(Y8&gt;=0.5,Y8&lt;0.73),"B",IF(AND(Y8&gt;=0.73,Y8&lt;0.98),"A",NONE)))</f>
        <v>C</v>
      </c>
      <c r="AA8" s="231" t="str">
        <f>VLOOKUP(G8,'ALL (R)'!$N$5:$R$862,5,FALSE)</f>
        <v>R 1</v>
      </c>
      <c r="AB8" s="232">
        <f>VLOOKUP(AA8,FACTS!$B$2:$L$14,10,FALSE)</f>
        <v>42500</v>
      </c>
      <c r="AC8" s="232">
        <f>VLOOKUP(AA8,FACTS!$B$2:$L$14,11,FALSE)</f>
        <v>47500</v>
      </c>
      <c r="AD8" s="232">
        <f>VLOOKUP(AA8,FACTS!$B$2:$N$14,13,FALSE)</f>
        <v>5000</v>
      </c>
      <c r="AE8" s="232">
        <f t="shared" si="4"/>
        <v>1775</v>
      </c>
      <c r="AF8" s="232">
        <f t="shared" si="5"/>
        <v>44275</v>
      </c>
      <c r="AG8" s="232">
        <f>AF8*FACTS!$T$2</f>
        <v>14610.75</v>
      </c>
      <c r="AH8" s="232">
        <f>Table1[[#This Row],[UNIT (BUILDING) RATE (SEMI FINISHED)]]+4500</f>
        <v>48775</v>
      </c>
      <c r="AI8" s="232">
        <f>Table1[[#This Row],[UNIT (BUILDING) RATE (SEMI FINISHED)]]+7500</f>
        <v>51775</v>
      </c>
      <c r="AJ8" s="232">
        <f t="shared" si="6"/>
        <v>3320625</v>
      </c>
      <c r="AK8" s="232">
        <f>Table1[[#This Row],[UNIT (BUILDING) RATE (BASIC FINISH)]]*Table1[[#This Row],[Unit Selling Area]]</f>
        <v>3658125</v>
      </c>
      <c r="AL8" s="232">
        <f>Table1[[#This Row],[UNIT (BUILDING) RATE (FULLY FINISH)]]*Table1[[#This Row],[Unit Selling Area]]</f>
        <v>3883125</v>
      </c>
      <c r="AM8" s="232">
        <f t="shared" si="7"/>
        <v>347858.58029999997</v>
      </c>
      <c r="AN8" s="232">
        <f>(AM8+AJ8)*FACTS!$S$2</f>
        <v>311821.10432550003</v>
      </c>
      <c r="AO8" s="101">
        <f>VLOOKUP(S8,FACTS!$A$17:$C$23,3,FALSE)</f>
        <v>1</v>
      </c>
      <c r="AP8" s="232">
        <f>VLOOKUP(AA8,FACTS!$B$2:$J$14,9,FALSE)</f>
        <v>200000</v>
      </c>
      <c r="AQ8" s="232">
        <f>Table1[[#This Row],[PARKING VALUE]]*1</f>
        <v>200000</v>
      </c>
      <c r="AR8" s="232">
        <f t="shared" si="0"/>
        <v>3868483.5803</v>
      </c>
      <c r="AS8" s="440">
        <f>Table1[[#This Row],[TOTAL CARS VALUE]]+Table1[[#This Row],[UNIT (BUILDING) VALUE BASIC FINISHED]]+Table1[[#This Row],[UNIT (GARDEN) VALUE]]</f>
        <v>4205983.5802999996</v>
      </c>
      <c r="AT8" s="232">
        <f>Table1[[#This Row],[TOTAL CARS VALUE]]+Table1[[#This Row],[UNIT (GARDEN) VALUE]]+Table1[[#This Row],[UNIT (BUILDING) VALUE FULLY FINISHED]]</f>
        <v>4430983.5802999996</v>
      </c>
      <c r="AU8" s="233">
        <f>VLOOKUP(I8,'C PHASES'!$I$108:$J$110,2,FALSE)</f>
        <v>45839</v>
      </c>
      <c r="AV8" s="233">
        <f>VLOOKUP(AA8,'C PHASES'!$I$113:$J$125,2,FALSE)</f>
        <v>45170</v>
      </c>
    </row>
    <row r="9" spans="1:48" ht="15" customHeight="1" x14ac:dyDescent="0.25">
      <c r="A9" s="235"/>
      <c r="B9" s="227" t="str">
        <f t="shared" si="1"/>
        <v>A</v>
      </c>
      <c r="C9" s="227" t="s">
        <v>17</v>
      </c>
      <c r="D9" s="227" t="s">
        <v>1147</v>
      </c>
      <c r="E9" s="228">
        <v>1</v>
      </c>
      <c r="F9" s="101">
        <v>1</v>
      </c>
      <c r="G9" s="87" t="str">
        <f t="shared" si="2"/>
        <v>A111</v>
      </c>
      <c r="H9" s="87" t="s">
        <v>1293</v>
      </c>
      <c r="I9" s="89" t="str">
        <f>VLOOKUP(C9,'PREMIUM TABLES'!$G$107:$H$149,2,FALSE)</f>
        <v>C1</v>
      </c>
      <c r="J9" s="87">
        <v>110.61</v>
      </c>
      <c r="K9" s="87">
        <v>120.72518112032553</v>
      </c>
      <c r="L9" s="87">
        <v>136</v>
      </c>
      <c r="O9" s="87" t="s">
        <v>187</v>
      </c>
      <c r="P9" s="87" t="s">
        <v>226</v>
      </c>
      <c r="Q9" s="229" t="s">
        <v>198</v>
      </c>
      <c r="R9" s="87" t="str">
        <f>VLOOKUP(E9,'PREMIUM TABLES'!$F$214:$G$219,2,FALSE)</f>
        <v>FIRST</v>
      </c>
      <c r="S9" s="87" t="str" cm="1">
        <f t="array" ref="S9">IF(AND(L9&gt;0,L9&lt;90),"A",IF(AND(L9&gt;90,L9&lt;123),"B",IF(AND(L9&gt;122,L9&lt;159),"C",IF(AND(L9&gt;159,L9&lt;185),"D",IF(AND(L9&gt;185,L9&lt;230),"E",IF(AND(L9&gt;230,L9&lt;350),"F",NONE))))))</f>
        <v>C</v>
      </c>
      <c r="T9" s="230">
        <f>VLOOKUP(O9,'PREMIUM TABLES'!$G$165:$H$172,2,FALSE)</f>
        <v>0.08</v>
      </c>
      <c r="U9" s="230">
        <f>VLOOKUP(P9,'PREMIUM TABLES'!$G$208:$H$209,2,FALSE)</f>
        <v>0.05</v>
      </c>
      <c r="V9" s="230">
        <f>VLOOKUP(Q9,'PREMIUM TABLES'!$G$175:$H$195,2,FALSE)</f>
        <v>0.15</v>
      </c>
      <c r="W9" s="230">
        <f>VLOOKUP(R9,'PREMIUM TABLES'!$G$214:$H$219,2,FALSE)</f>
        <v>7.0000000000000007E-2</v>
      </c>
      <c r="X9" s="230">
        <f>VLOOKUP(S9,'PREMIUM TABLES'!$F$199:$H$205,3,FALSE)</f>
        <v>3.5000000000000003E-2</v>
      </c>
      <c r="Y9" s="231">
        <f t="shared" si="3"/>
        <v>0.38500000000000001</v>
      </c>
      <c r="Z9" s="231" t="str" cm="1">
        <f t="array" ref="Z9">IF(AND(Y9&gt;0,Y9&lt;0.5),"C",IF(AND(Y9&gt;=0.5,Y9&lt;0.73),"B",IF(AND(Y9&gt;=0.73,Y9&lt;0.98),"A",NONE)))</f>
        <v>C</v>
      </c>
      <c r="AA9" s="231" t="str">
        <f>VLOOKUP(G9,'ALL (R)'!$N$5:$R$862,5,FALSE)</f>
        <v>R 4</v>
      </c>
      <c r="AB9" s="232">
        <f>VLOOKUP(AA9,FACTS!$B$2:$L$14,10,FALSE)</f>
        <v>45687.5</v>
      </c>
      <c r="AC9" s="232">
        <f>VLOOKUP(AA9,FACTS!$B$2:$L$14,11,FALSE)</f>
        <v>51062.5</v>
      </c>
      <c r="AD9" s="232">
        <f>VLOOKUP(AA9,FACTS!$B$2:$N$14,13,FALSE)</f>
        <v>5375</v>
      </c>
      <c r="AE9" s="232">
        <f t="shared" si="4"/>
        <v>2069.375</v>
      </c>
      <c r="AF9" s="232">
        <f t="shared" si="5"/>
        <v>47756.875</v>
      </c>
      <c r="AG9" s="232">
        <f>AF9*FACTS!$T$2</f>
        <v>15759.768750000001</v>
      </c>
      <c r="AH9" s="232">
        <f>Table1[[#This Row],[UNIT (BUILDING) RATE (SEMI FINISHED)]]+4500</f>
        <v>52256.875</v>
      </c>
      <c r="AI9" s="232">
        <f>Table1[[#This Row],[UNIT (BUILDING) RATE (SEMI FINISHED)]]+7500</f>
        <v>55256.875</v>
      </c>
      <c r="AJ9" s="232">
        <f t="shared" si="6"/>
        <v>6494935</v>
      </c>
      <c r="AK9" s="232">
        <f>Table1[[#This Row],[UNIT (BUILDING) RATE (BASIC FINISH)]]*Table1[[#This Row],[Unit Selling Area]]</f>
        <v>7106935</v>
      </c>
      <c r="AL9" s="232">
        <f>Table1[[#This Row],[UNIT (BUILDING) RATE (FULLY FINISH)]]*Table1[[#This Row],[Unit Selling Area]]</f>
        <v>7514935</v>
      </c>
      <c r="AM9" s="232">
        <f t="shared" si="7"/>
        <v>0</v>
      </c>
      <c r="AN9" s="232">
        <f>(AM9+AJ9)*FACTS!$S$2</f>
        <v>552069.47500000009</v>
      </c>
      <c r="AO9" s="101">
        <f>VLOOKUP(S9,FACTS!$A$17:$C$23,3,FALSE)</f>
        <v>2</v>
      </c>
      <c r="AP9" s="232">
        <f>VLOOKUP(AA9,FACTS!$B$2:$J$14,9,FALSE)</f>
        <v>215000</v>
      </c>
      <c r="AQ9" s="232">
        <f>Table1[[#This Row],[PARKING VALUE]]*1</f>
        <v>215000</v>
      </c>
      <c r="AR9" s="232">
        <f t="shared" si="0"/>
        <v>6709935</v>
      </c>
      <c r="AS9" s="440">
        <f>Table1[[#This Row],[TOTAL CARS VALUE]]+Table1[[#This Row],[UNIT (BUILDING) VALUE BASIC FINISHED]]+Table1[[#This Row],[UNIT (GARDEN) VALUE]]</f>
        <v>7321935</v>
      </c>
      <c r="AT9" s="232">
        <f>Table1[[#This Row],[TOTAL CARS VALUE]]+Table1[[#This Row],[UNIT (GARDEN) VALUE]]+Table1[[#This Row],[UNIT (BUILDING) VALUE FULLY FINISHED]]</f>
        <v>7729935</v>
      </c>
      <c r="AU9" s="233">
        <f>VLOOKUP(I9,'C PHASES'!$I$108:$J$110,2,FALSE)</f>
        <v>45839</v>
      </c>
      <c r="AV9" s="233">
        <f>VLOOKUP(AA9,'C PHASES'!$I$113:$J$125,2,FALSE)</f>
        <v>45474</v>
      </c>
    </row>
    <row r="10" spans="1:48" ht="15" customHeight="1" x14ac:dyDescent="0.25">
      <c r="A10" s="235"/>
      <c r="B10" s="227" t="str">
        <f t="shared" si="1"/>
        <v>A</v>
      </c>
      <c r="C10" s="227" t="s">
        <v>17</v>
      </c>
      <c r="D10" s="227" t="s">
        <v>1147</v>
      </c>
      <c r="E10" s="228">
        <v>1</v>
      </c>
      <c r="F10" s="101">
        <v>2</v>
      </c>
      <c r="G10" s="87" t="str">
        <f t="shared" si="2"/>
        <v>A112</v>
      </c>
      <c r="H10" s="87" t="s">
        <v>1293</v>
      </c>
      <c r="I10" s="89" t="str">
        <f>VLOOKUP(C10,'PREMIUM TABLES'!$G$107:$H$149,2,FALSE)</f>
        <v>C1</v>
      </c>
      <c r="J10" s="87">
        <v>110.14</v>
      </c>
      <c r="K10" s="87">
        <v>120.21220005960269</v>
      </c>
      <c r="L10" s="87">
        <v>135</v>
      </c>
      <c r="O10" s="87" t="s">
        <v>180</v>
      </c>
      <c r="P10" s="87" t="s">
        <v>226</v>
      </c>
      <c r="Q10" s="229" t="s">
        <v>213</v>
      </c>
      <c r="R10" s="87" t="str">
        <f>VLOOKUP(E10,'PREMIUM TABLES'!$F$214:$G$219,2,FALSE)</f>
        <v>FIRST</v>
      </c>
      <c r="S10" s="87" t="str" cm="1">
        <f t="array" ref="S10">IF(AND(L10&gt;0,L10&lt;90),"A",IF(AND(L10&gt;90,L10&lt;123),"B",IF(AND(L10&gt;122,L10&lt;159),"C",IF(AND(L10&gt;159,L10&lt;185),"D",IF(AND(L10&gt;185,L10&lt;230),"E",IF(AND(L10&gt;230,L10&lt;350),"F",NONE))))))</f>
        <v>C</v>
      </c>
      <c r="T10" s="230">
        <f>VLOOKUP(O10,'PREMIUM TABLES'!$G$165:$H$172,2,FALSE)</f>
        <v>0.13</v>
      </c>
      <c r="U10" s="230">
        <f>VLOOKUP(P10,'PREMIUM TABLES'!$G$208:$H$209,2,FALSE)</f>
        <v>0.05</v>
      </c>
      <c r="V10" s="230">
        <f>VLOOKUP(Q10,'PREMIUM TABLES'!$G$175:$H$195,2,FALSE)</f>
        <v>0.4</v>
      </c>
      <c r="W10" s="230">
        <f>VLOOKUP(R10,'PREMIUM TABLES'!$G$214:$H$219,2,FALSE)</f>
        <v>7.0000000000000007E-2</v>
      </c>
      <c r="X10" s="230">
        <f>VLOOKUP(S10,'PREMIUM TABLES'!$F$199:$H$205,3,FALSE)</f>
        <v>3.5000000000000003E-2</v>
      </c>
      <c r="Y10" s="231">
        <f t="shared" si="3"/>
        <v>0.68500000000000016</v>
      </c>
      <c r="Z10" s="231" t="str" cm="1">
        <f t="array" ref="Z10">IF(AND(Y10&gt;0,Y10&lt;0.5),"C",IF(AND(Y10&gt;=0.5,Y10&lt;0.73),"B",IF(AND(Y10&gt;=0.73,Y10&lt;0.98),"A",NONE)))</f>
        <v>B</v>
      </c>
      <c r="AA10" s="231" t="str">
        <f>VLOOKUP(G10,'ALL (R)'!$N$5:$R$862,5,FALSE)</f>
        <v>R 8</v>
      </c>
      <c r="AB10" s="232">
        <f>VLOOKUP(AA10,FACTS!$B$2:$L$14,10,FALSE)</f>
        <v>51850</v>
      </c>
      <c r="AC10" s="232">
        <f>VLOOKUP(AA10,FACTS!$B$2:$L$14,11,FALSE)</f>
        <v>57950</v>
      </c>
      <c r="AD10" s="232">
        <f>VLOOKUP(AA10,FACTS!$B$2:$N$14,13,FALSE)</f>
        <v>6100</v>
      </c>
      <c r="AE10" s="232">
        <f t="shared" si="4"/>
        <v>4178.5000000000009</v>
      </c>
      <c r="AF10" s="232">
        <f t="shared" si="5"/>
        <v>56028.5</v>
      </c>
      <c r="AG10" s="232">
        <f>AF10*FACTS!$T$2</f>
        <v>18489.405000000002</v>
      </c>
      <c r="AH10" s="232">
        <f>Table1[[#This Row],[UNIT (BUILDING) RATE (SEMI FINISHED)]]+4500</f>
        <v>60528.5</v>
      </c>
      <c r="AI10" s="232">
        <f>Table1[[#This Row],[UNIT (BUILDING) RATE (SEMI FINISHED)]]+7500</f>
        <v>63528.5</v>
      </c>
      <c r="AJ10" s="232">
        <f t="shared" si="6"/>
        <v>7563847.5</v>
      </c>
      <c r="AK10" s="232">
        <f>Table1[[#This Row],[UNIT (BUILDING) RATE (BASIC FINISH)]]*Table1[[#This Row],[Unit Selling Area]]</f>
        <v>8171347.5</v>
      </c>
      <c r="AL10" s="232">
        <f>Table1[[#This Row],[UNIT (BUILDING) RATE (FULLY FINISH)]]*Table1[[#This Row],[Unit Selling Area]]</f>
        <v>8576347.5</v>
      </c>
      <c r="AM10" s="232">
        <f t="shared" si="7"/>
        <v>0</v>
      </c>
      <c r="AN10" s="232">
        <f>(AM10+AJ10)*FACTS!$S$2</f>
        <v>642927.03750000009</v>
      </c>
      <c r="AO10" s="101">
        <f>VLOOKUP(S10,FACTS!$A$17:$C$23,3,FALSE)</f>
        <v>2</v>
      </c>
      <c r="AP10" s="232">
        <f>VLOOKUP(AA10,FACTS!$B$2:$J$14,9,FALSE)</f>
        <v>244000</v>
      </c>
      <c r="AQ10" s="232">
        <f>Table1[[#This Row],[PARKING VALUE]]*1</f>
        <v>244000</v>
      </c>
      <c r="AR10" s="232">
        <f t="shared" si="0"/>
        <v>7807847.5</v>
      </c>
      <c r="AS10" s="440">
        <f>Table1[[#This Row],[TOTAL CARS VALUE]]+Table1[[#This Row],[UNIT (BUILDING) VALUE BASIC FINISHED]]+Table1[[#This Row],[UNIT (GARDEN) VALUE]]</f>
        <v>8415347.5</v>
      </c>
      <c r="AT10" s="232">
        <f>Table1[[#This Row],[TOTAL CARS VALUE]]+Table1[[#This Row],[UNIT (GARDEN) VALUE]]+Table1[[#This Row],[UNIT (BUILDING) VALUE FULLY FINISHED]]</f>
        <v>8820347.5</v>
      </c>
      <c r="AU10" s="233">
        <f>VLOOKUP(I10,'C PHASES'!$I$108:$J$110,2,FALSE)</f>
        <v>45839</v>
      </c>
      <c r="AV10" s="233">
        <f>VLOOKUP(AA10,'C PHASES'!$I$113:$J$125,2,FALSE)</f>
        <v>45839</v>
      </c>
    </row>
    <row r="11" spans="1:48" ht="15" customHeight="1" x14ac:dyDescent="0.25">
      <c r="A11" s="235"/>
      <c r="B11" s="227" t="str">
        <f t="shared" si="1"/>
        <v>A</v>
      </c>
      <c r="C11" s="227" t="s">
        <v>17</v>
      </c>
      <c r="D11" s="227" t="s">
        <v>1147</v>
      </c>
      <c r="E11" s="228">
        <v>1</v>
      </c>
      <c r="F11" s="101">
        <v>3</v>
      </c>
      <c r="G11" s="87" t="str">
        <f t="shared" si="2"/>
        <v>A113</v>
      </c>
      <c r="H11" s="87" t="s">
        <v>1293</v>
      </c>
      <c r="I11" s="89" t="str">
        <f>VLOOKUP(C11,'PREMIUM TABLES'!$G$107:$H$149,2,FALSE)</f>
        <v>C1</v>
      </c>
      <c r="J11" s="87">
        <v>89.05</v>
      </c>
      <c r="K11" s="87">
        <v>97.193539270997093</v>
      </c>
      <c r="L11" s="87">
        <v>110</v>
      </c>
      <c r="O11" s="87" t="s">
        <v>180</v>
      </c>
      <c r="P11" s="87" t="s">
        <v>190</v>
      </c>
      <c r="Q11" s="229" t="s">
        <v>213</v>
      </c>
      <c r="R11" s="87" t="str">
        <f>VLOOKUP(E11,'PREMIUM TABLES'!$F$214:$G$219,2,FALSE)</f>
        <v>FIRST</v>
      </c>
      <c r="S11" s="87" t="str" cm="1">
        <f t="array" ref="S11">IF(AND(L11&gt;0,L11&lt;90),"A",IF(AND(L11&gt;90,L11&lt;123),"B",IF(AND(L11&gt;122,L11&lt;159),"C",IF(AND(L11&gt;159,L11&lt;185),"D",IF(AND(L11&gt;185,L11&lt;230),"E",IF(AND(L11&gt;230,L11&lt;350),"F",NONE))))))</f>
        <v>B</v>
      </c>
      <c r="T11" s="230">
        <f>VLOOKUP(O11,'PREMIUM TABLES'!$G$165:$H$172,2,FALSE)</f>
        <v>0.13</v>
      </c>
      <c r="U11" s="230">
        <f>VLOOKUP(P11,'PREMIUM TABLES'!$G$208:$H$209,2,FALSE)</f>
        <v>2.5000000000000001E-2</v>
      </c>
      <c r="V11" s="230">
        <f>VLOOKUP(Q11,'PREMIUM TABLES'!$G$175:$H$195,2,FALSE)</f>
        <v>0.4</v>
      </c>
      <c r="W11" s="230">
        <f>VLOOKUP(R11,'PREMIUM TABLES'!$G$214:$H$219,2,FALSE)</f>
        <v>7.0000000000000007E-2</v>
      </c>
      <c r="X11" s="230">
        <f>VLOOKUP(S11,'PREMIUM TABLES'!$F$199:$H$205,3,FALSE)</f>
        <v>0.04</v>
      </c>
      <c r="Y11" s="231">
        <f t="shared" si="3"/>
        <v>0.66500000000000004</v>
      </c>
      <c r="Z11" s="231" t="str" cm="1">
        <f t="array" ref="Z11">IF(AND(Y11&gt;0,Y11&lt;0.5),"C",IF(AND(Y11&gt;=0.5,Y11&lt;0.73),"B",IF(AND(Y11&gt;=0.73,Y11&lt;0.98),"A",NONE)))</f>
        <v>B</v>
      </c>
      <c r="AA11" s="231" t="str">
        <f>VLOOKUP(G11,'ALL (R)'!$N$5:$R$862,5,FALSE)</f>
        <v>R 5</v>
      </c>
      <c r="AB11" s="232">
        <f>VLOOKUP(AA11,FACTS!$B$2:$L$14,10,FALSE)</f>
        <v>46750.000000000007</v>
      </c>
      <c r="AC11" s="232">
        <f>VLOOKUP(AA11,FACTS!$B$2:$L$14,11,FALSE)</f>
        <v>52250.000000000007</v>
      </c>
      <c r="AD11" s="232">
        <f>VLOOKUP(AA11,FACTS!$B$2:$N$14,13,FALSE)</f>
        <v>5500</v>
      </c>
      <c r="AE11" s="232">
        <f t="shared" si="4"/>
        <v>3657.5</v>
      </c>
      <c r="AF11" s="232">
        <f t="shared" si="5"/>
        <v>50407.500000000007</v>
      </c>
      <c r="AG11" s="232">
        <f>AF11*FACTS!$T$2</f>
        <v>16634.475000000002</v>
      </c>
      <c r="AH11" s="232">
        <f>Table1[[#This Row],[UNIT (BUILDING) RATE (SEMI FINISHED)]]+4500</f>
        <v>54907.500000000007</v>
      </c>
      <c r="AI11" s="232">
        <f>Table1[[#This Row],[UNIT (BUILDING) RATE (SEMI FINISHED)]]+7500</f>
        <v>57907.500000000007</v>
      </c>
      <c r="AJ11" s="232">
        <f t="shared" si="6"/>
        <v>5544825.0000000009</v>
      </c>
      <c r="AK11" s="232">
        <f>Table1[[#This Row],[UNIT (BUILDING) RATE (BASIC FINISH)]]*Table1[[#This Row],[Unit Selling Area]]</f>
        <v>6039825.0000000009</v>
      </c>
      <c r="AL11" s="232">
        <f>Table1[[#This Row],[UNIT (BUILDING) RATE (FULLY FINISH)]]*Table1[[#This Row],[Unit Selling Area]]</f>
        <v>6369825.0000000009</v>
      </c>
      <c r="AM11" s="232">
        <f t="shared" si="7"/>
        <v>0</v>
      </c>
      <c r="AN11" s="232">
        <f>(AM11+AJ11)*FACTS!$S$2</f>
        <v>471310.12500000012</v>
      </c>
      <c r="AO11" s="101">
        <f>VLOOKUP(S11,FACTS!$A$17:$C$23,3,FALSE)</f>
        <v>1</v>
      </c>
      <c r="AP11" s="232">
        <f>VLOOKUP(AA11,FACTS!$B$2:$J$14,9,FALSE)</f>
        <v>220000.00000000003</v>
      </c>
      <c r="AQ11" s="232">
        <f>Table1[[#This Row],[PARKING VALUE]]*1</f>
        <v>220000.00000000003</v>
      </c>
      <c r="AR11" s="232">
        <f t="shared" si="0"/>
        <v>5764825.0000000009</v>
      </c>
      <c r="AS11" s="440">
        <f>Table1[[#This Row],[TOTAL CARS VALUE]]+Table1[[#This Row],[UNIT (BUILDING) VALUE BASIC FINISHED]]+Table1[[#This Row],[UNIT (GARDEN) VALUE]]</f>
        <v>6259825.0000000009</v>
      </c>
      <c r="AT11" s="232">
        <f>Table1[[#This Row],[TOTAL CARS VALUE]]+Table1[[#This Row],[UNIT (GARDEN) VALUE]]+Table1[[#This Row],[UNIT (BUILDING) VALUE FULLY FINISHED]]</f>
        <v>6589825.0000000009</v>
      </c>
      <c r="AU11" s="233">
        <f>VLOOKUP(I11,'C PHASES'!$I$108:$J$110,2,FALSE)</f>
        <v>45839</v>
      </c>
      <c r="AV11" s="233">
        <f>VLOOKUP(AA11,'C PHASES'!$I$113:$J$125,2,FALSE)</f>
        <v>45566</v>
      </c>
    </row>
    <row r="12" spans="1:48" ht="15" customHeight="1" x14ac:dyDescent="0.25">
      <c r="A12" s="235"/>
      <c r="B12" s="227" t="str">
        <f t="shared" si="1"/>
        <v>A</v>
      </c>
      <c r="C12" s="227" t="s">
        <v>17</v>
      </c>
      <c r="D12" s="227" t="s">
        <v>1147</v>
      </c>
      <c r="E12" s="228">
        <v>1</v>
      </c>
      <c r="F12" s="101">
        <v>4</v>
      </c>
      <c r="G12" s="87" t="str">
        <f t="shared" si="2"/>
        <v>A114</v>
      </c>
      <c r="H12" s="87" t="s">
        <v>1296</v>
      </c>
      <c r="I12" s="89" t="str">
        <f>VLOOKUP(C12,'PREMIUM TABLES'!$G$107:$H$149,2,FALSE)</f>
        <v>C1</v>
      </c>
      <c r="J12" s="87">
        <v>61.82</v>
      </c>
      <c r="K12" s="87">
        <v>67.473381221033577</v>
      </c>
      <c r="L12" s="87">
        <v>76</v>
      </c>
      <c r="O12" s="87" t="s">
        <v>187</v>
      </c>
      <c r="P12" s="87" t="s">
        <v>190</v>
      </c>
      <c r="Q12" s="229" t="s">
        <v>198</v>
      </c>
      <c r="R12" s="87" t="str">
        <f>VLOOKUP(E12,'PREMIUM TABLES'!$F$214:$G$219,2,FALSE)</f>
        <v>FIRST</v>
      </c>
      <c r="S12" s="87" t="str" cm="1">
        <f t="array" ref="S12">IF(AND(L12&gt;0,L12&lt;90),"A",IF(AND(L12&gt;90,L12&lt;123),"B",IF(AND(L12&gt;122,L12&lt;159),"C",IF(AND(L12&gt;159,L12&lt;185),"D",IF(AND(L12&gt;185,L12&lt;230),"E",IF(AND(L12&gt;230,L12&lt;350),"F",NONE))))))</f>
        <v>A</v>
      </c>
      <c r="T12" s="230">
        <f>VLOOKUP(O12,'PREMIUM TABLES'!$G$165:$H$172,2,FALSE)</f>
        <v>0.08</v>
      </c>
      <c r="U12" s="230">
        <f>VLOOKUP(P12,'PREMIUM TABLES'!$G$208:$H$209,2,FALSE)</f>
        <v>2.5000000000000001E-2</v>
      </c>
      <c r="V12" s="230">
        <f>VLOOKUP(Q12,'PREMIUM TABLES'!$G$175:$H$195,2,FALSE)</f>
        <v>0.15</v>
      </c>
      <c r="W12" s="230">
        <f>VLOOKUP(R12,'PREMIUM TABLES'!$G$214:$H$219,2,FALSE)</f>
        <v>7.0000000000000007E-2</v>
      </c>
      <c r="X12" s="230">
        <f>VLOOKUP(S12,'PREMIUM TABLES'!$F$199:$H$205,3,FALSE)</f>
        <v>0.05</v>
      </c>
      <c r="Y12" s="231">
        <f t="shared" si="3"/>
        <v>0.375</v>
      </c>
      <c r="Z12" s="231" t="str" cm="1">
        <f t="array" ref="Z12">IF(AND(Y12&gt;0,Y12&lt;0.5),"C",IF(AND(Y12&gt;=0.5,Y12&lt;0.73),"B",IF(AND(Y12&gt;=0.73,Y12&lt;0.98),"A",NONE)))</f>
        <v>C</v>
      </c>
      <c r="AA12" s="231" t="str">
        <f>VLOOKUP(G12,'ALL (R)'!$N$5:$R$862,5,FALSE)</f>
        <v>R 3</v>
      </c>
      <c r="AB12" s="232">
        <f>VLOOKUP(AA12,FACTS!$B$2:$L$14,10,FALSE)</f>
        <v>44625</v>
      </c>
      <c r="AC12" s="232">
        <f>VLOOKUP(AA12,FACTS!$B$2:$L$14,11,FALSE)</f>
        <v>49875</v>
      </c>
      <c r="AD12" s="232">
        <f>VLOOKUP(AA12,FACTS!$B$2:$N$14,13,FALSE)</f>
        <v>5250</v>
      </c>
      <c r="AE12" s="232">
        <f t="shared" si="4"/>
        <v>1968.75</v>
      </c>
      <c r="AF12" s="232">
        <f t="shared" si="5"/>
        <v>46593.75</v>
      </c>
      <c r="AG12" s="232">
        <f>AF12*FACTS!$T$2</f>
        <v>15375.9375</v>
      </c>
      <c r="AH12" s="232">
        <f>Table1[[#This Row],[UNIT (BUILDING) RATE (SEMI FINISHED)]]+4500</f>
        <v>51093.75</v>
      </c>
      <c r="AI12" s="232">
        <f>Table1[[#This Row],[UNIT (BUILDING) RATE (SEMI FINISHED)]]+7500</f>
        <v>54093.75</v>
      </c>
      <c r="AJ12" s="232">
        <f t="shared" si="6"/>
        <v>3541125</v>
      </c>
      <c r="AK12" s="232">
        <f>Table1[[#This Row],[UNIT (BUILDING) RATE (BASIC FINISH)]]*Table1[[#This Row],[Unit Selling Area]]</f>
        <v>3883125</v>
      </c>
      <c r="AL12" s="232">
        <f>Table1[[#This Row],[UNIT (BUILDING) RATE (FULLY FINISH)]]*Table1[[#This Row],[Unit Selling Area]]</f>
        <v>4111125</v>
      </c>
      <c r="AM12" s="232">
        <f t="shared" si="7"/>
        <v>0</v>
      </c>
      <c r="AN12" s="232">
        <f>(AM12+AJ12)*FACTS!$S$2</f>
        <v>300995.625</v>
      </c>
      <c r="AO12" s="101">
        <f>VLOOKUP(S12,FACTS!$A$17:$C$23,3,FALSE)</f>
        <v>1</v>
      </c>
      <c r="AP12" s="232">
        <f>VLOOKUP(AA12,FACTS!$B$2:$J$14,9,FALSE)</f>
        <v>210000</v>
      </c>
      <c r="AQ12" s="232">
        <f>Table1[[#This Row],[PARKING VALUE]]*1</f>
        <v>210000</v>
      </c>
      <c r="AR12" s="232">
        <f t="shared" si="0"/>
        <v>3751125</v>
      </c>
      <c r="AS12" s="440">
        <f>Table1[[#This Row],[TOTAL CARS VALUE]]+Table1[[#This Row],[UNIT (BUILDING) VALUE BASIC FINISHED]]+Table1[[#This Row],[UNIT (GARDEN) VALUE]]</f>
        <v>4093125</v>
      </c>
      <c r="AT12" s="232">
        <f>Table1[[#This Row],[TOTAL CARS VALUE]]+Table1[[#This Row],[UNIT (GARDEN) VALUE]]+Table1[[#This Row],[UNIT (BUILDING) VALUE FULLY FINISHED]]</f>
        <v>4321125</v>
      </c>
      <c r="AU12" s="233">
        <f>VLOOKUP(I12,'C PHASES'!$I$108:$J$110,2,FALSE)</f>
        <v>45839</v>
      </c>
      <c r="AV12" s="233">
        <f>VLOOKUP(AA12,'C PHASES'!$I$113:$J$125,2,FALSE)</f>
        <v>45383</v>
      </c>
    </row>
    <row r="13" spans="1:48" ht="15" customHeight="1" x14ac:dyDescent="0.25">
      <c r="A13" s="235"/>
      <c r="B13" s="227" t="str">
        <f t="shared" si="1"/>
        <v>A</v>
      </c>
      <c r="C13" s="227" t="s">
        <v>17</v>
      </c>
      <c r="D13" s="227" t="s">
        <v>1147</v>
      </c>
      <c r="E13" s="228">
        <v>2</v>
      </c>
      <c r="F13" s="101">
        <v>1</v>
      </c>
      <c r="G13" s="87" t="str">
        <f t="shared" si="2"/>
        <v>A121</v>
      </c>
      <c r="H13" s="87" t="s">
        <v>1293</v>
      </c>
      <c r="I13" s="89" t="str">
        <f>VLOOKUP(C13,'PREMIUM TABLES'!$G$107:$H$149,2,FALSE)</f>
        <v>C1</v>
      </c>
      <c r="J13" s="87">
        <v>112.2</v>
      </c>
      <c r="K13" s="87">
        <v>122.46058513426023</v>
      </c>
      <c r="L13" s="87">
        <v>138</v>
      </c>
      <c r="O13" s="87" t="s">
        <v>187</v>
      </c>
      <c r="P13" s="87" t="s">
        <v>226</v>
      </c>
      <c r="Q13" s="229" t="s">
        <v>198</v>
      </c>
      <c r="R13" s="87" t="str">
        <f>VLOOKUP(E13,'PREMIUM TABLES'!$F$214:$G$219,2,FALSE)</f>
        <v>SECOND</v>
      </c>
      <c r="S13" s="87" t="str" cm="1">
        <f t="array" ref="S13">IF(AND(L13&gt;0,L13&lt;90),"A",IF(AND(L13&gt;90,L13&lt;123),"B",IF(AND(L13&gt;122,L13&lt;159),"C",IF(AND(L13&gt;159,L13&lt;185),"D",IF(AND(L13&gt;185,L13&lt;230),"E",IF(AND(L13&gt;230,L13&lt;350),"F",NONE))))))</f>
        <v>C</v>
      </c>
      <c r="T13" s="230">
        <f>VLOOKUP(O13,'PREMIUM TABLES'!$G$165:$H$172,2,FALSE)</f>
        <v>0.08</v>
      </c>
      <c r="U13" s="230">
        <f>VLOOKUP(P13,'PREMIUM TABLES'!$G$208:$H$209,2,FALSE)</f>
        <v>0.05</v>
      </c>
      <c r="V13" s="230">
        <f>VLOOKUP(Q13,'PREMIUM TABLES'!$G$175:$H$195,2,FALSE)</f>
        <v>0.15</v>
      </c>
      <c r="W13" s="230">
        <f>VLOOKUP(R13,'PREMIUM TABLES'!$G$214:$H$219,2,FALSE)</f>
        <v>0.11</v>
      </c>
      <c r="X13" s="230">
        <f>VLOOKUP(S13,'PREMIUM TABLES'!$F$199:$H$205,3,FALSE)</f>
        <v>3.5000000000000003E-2</v>
      </c>
      <c r="Y13" s="231">
        <f t="shared" si="3"/>
        <v>0.42500000000000004</v>
      </c>
      <c r="Z13" s="231" t="str" cm="1">
        <f t="array" ref="Z13">IF(AND(Y13&gt;0,Y13&lt;0.5),"C",IF(AND(Y13&gt;=0.5,Y13&lt;0.73),"B",IF(AND(Y13&gt;=0.73,Y13&lt;0.98),"A",NONE)))</f>
        <v>C</v>
      </c>
      <c r="AA13" s="231" t="str">
        <f>VLOOKUP(G13,'ALL (R)'!$N$5:$R$862,5,FALSE)</f>
        <v>R 8</v>
      </c>
      <c r="AB13" s="232">
        <f>VLOOKUP(AA13,FACTS!$B$2:$L$14,10,FALSE)</f>
        <v>51850</v>
      </c>
      <c r="AC13" s="232">
        <f>VLOOKUP(AA13,FACTS!$B$2:$L$14,11,FALSE)</f>
        <v>57950</v>
      </c>
      <c r="AD13" s="232">
        <f>VLOOKUP(AA13,FACTS!$B$2:$N$14,13,FALSE)</f>
        <v>6100</v>
      </c>
      <c r="AE13" s="232">
        <f t="shared" si="4"/>
        <v>2592.5000000000005</v>
      </c>
      <c r="AF13" s="232">
        <f t="shared" si="5"/>
        <v>54442.5</v>
      </c>
      <c r="AG13" s="232">
        <f>AF13*FACTS!$T$2</f>
        <v>17966.025000000001</v>
      </c>
      <c r="AH13" s="232">
        <f>Table1[[#This Row],[UNIT (BUILDING) RATE (SEMI FINISHED)]]+4500</f>
        <v>58942.5</v>
      </c>
      <c r="AI13" s="232">
        <f>Table1[[#This Row],[UNIT (BUILDING) RATE (SEMI FINISHED)]]+7500</f>
        <v>61942.5</v>
      </c>
      <c r="AJ13" s="232">
        <f t="shared" si="6"/>
        <v>7513065</v>
      </c>
      <c r="AK13" s="232">
        <f>Table1[[#This Row],[UNIT (BUILDING) RATE (BASIC FINISH)]]*Table1[[#This Row],[Unit Selling Area]]</f>
        <v>8134065</v>
      </c>
      <c r="AL13" s="232">
        <f>Table1[[#This Row],[UNIT (BUILDING) RATE (FULLY FINISH)]]*Table1[[#This Row],[Unit Selling Area]]</f>
        <v>8548065</v>
      </c>
      <c r="AM13" s="232">
        <f t="shared" si="7"/>
        <v>0</v>
      </c>
      <c r="AN13" s="232">
        <f>(AM13+AJ13)*FACTS!$S$2</f>
        <v>638610.52500000002</v>
      </c>
      <c r="AO13" s="101">
        <f>VLOOKUP(S13,FACTS!$A$17:$C$23,3,FALSE)</f>
        <v>2</v>
      </c>
      <c r="AP13" s="232">
        <f>VLOOKUP(AA13,FACTS!$B$2:$J$14,9,FALSE)</f>
        <v>244000</v>
      </c>
      <c r="AQ13" s="232">
        <f>Table1[[#This Row],[PARKING VALUE]]*1</f>
        <v>244000</v>
      </c>
      <c r="AR13" s="232">
        <f t="shared" si="0"/>
        <v>7757065</v>
      </c>
      <c r="AS13" s="440">
        <f>Table1[[#This Row],[TOTAL CARS VALUE]]+Table1[[#This Row],[UNIT (BUILDING) VALUE BASIC FINISHED]]+Table1[[#This Row],[UNIT (GARDEN) VALUE]]</f>
        <v>8378065</v>
      </c>
      <c r="AT13" s="232">
        <f>Table1[[#This Row],[TOTAL CARS VALUE]]+Table1[[#This Row],[UNIT (GARDEN) VALUE]]+Table1[[#This Row],[UNIT (BUILDING) VALUE FULLY FINISHED]]</f>
        <v>8792065</v>
      </c>
      <c r="AU13" s="233">
        <f>VLOOKUP(I13,'C PHASES'!$I$108:$J$110,2,FALSE)</f>
        <v>45839</v>
      </c>
      <c r="AV13" s="233">
        <f>VLOOKUP(AA13,'C PHASES'!$I$113:$J$125,2,FALSE)</f>
        <v>45839</v>
      </c>
    </row>
    <row r="14" spans="1:48" ht="15" customHeight="1" x14ac:dyDescent="0.25">
      <c r="A14" s="235"/>
      <c r="B14" s="227" t="str">
        <f t="shared" si="1"/>
        <v>A</v>
      </c>
      <c r="C14" s="227" t="s">
        <v>17</v>
      </c>
      <c r="D14" s="227" t="s">
        <v>1147</v>
      </c>
      <c r="E14" s="228">
        <v>2</v>
      </c>
      <c r="F14" s="101">
        <v>2</v>
      </c>
      <c r="G14" s="87" t="str">
        <f t="shared" si="2"/>
        <v>A122</v>
      </c>
      <c r="H14" s="87" t="s">
        <v>1293</v>
      </c>
      <c r="I14" s="89" t="str">
        <f>VLOOKUP(C14,'PREMIUM TABLES'!$G$107:$H$149,2,FALSE)</f>
        <v>C1</v>
      </c>
      <c r="J14" s="87">
        <v>112.2</v>
      </c>
      <c r="K14" s="87">
        <v>122.46058513426023</v>
      </c>
      <c r="L14" s="87">
        <v>138</v>
      </c>
      <c r="O14" s="87" t="s">
        <v>180</v>
      </c>
      <c r="P14" s="87" t="s">
        <v>226</v>
      </c>
      <c r="Q14" s="229" t="s">
        <v>213</v>
      </c>
      <c r="R14" s="87" t="str">
        <f>VLOOKUP(E14,'PREMIUM TABLES'!$F$214:$G$219,2,FALSE)</f>
        <v>SECOND</v>
      </c>
      <c r="S14" s="87" t="str" cm="1">
        <f t="array" ref="S14">IF(AND(L14&gt;0,L14&lt;90),"A",IF(AND(L14&gt;90,L14&lt;123),"B",IF(AND(L14&gt;122,L14&lt;159),"C",IF(AND(L14&gt;159,L14&lt;185),"D",IF(AND(L14&gt;185,L14&lt;230),"E",IF(AND(L14&gt;230,L14&lt;350),"F",NONE))))))</f>
        <v>C</v>
      </c>
      <c r="T14" s="230">
        <f>VLOOKUP(O14,'PREMIUM TABLES'!$G$165:$H$172,2,FALSE)</f>
        <v>0.13</v>
      </c>
      <c r="U14" s="230">
        <f>VLOOKUP(P14,'PREMIUM TABLES'!$G$208:$H$209,2,FALSE)</f>
        <v>0.05</v>
      </c>
      <c r="V14" s="230">
        <f>VLOOKUP(Q14,'PREMIUM TABLES'!$G$175:$H$195,2,FALSE)</f>
        <v>0.4</v>
      </c>
      <c r="W14" s="230">
        <f>VLOOKUP(R14,'PREMIUM TABLES'!$G$214:$H$219,2,FALSE)</f>
        <v>0.11</v>
      </c>
      <c r="X14" s="230">
        <f>VLOOKUP(S14,'PREMIUM TABLES'!$F$199:$H$205,3,FALSE)</f>
        <v>3.5000000000000003E-2</v>
      </c>
      <c r="Y14" s="231">
        <f t="shared" si="3"/>
        <v>0.72500000000000009</v>
      </c>
      <c r="Z14" s="231" t="str" cm="1">
        <f t="array" ref="Z14">IF(AND(Y14&gt;0,Y14&lt;0.5),"C",IF(AND(Y14&gt;=0.5,Y14&lt;0.73),"B",IF(AND(Y14&gt;=0.73,Y14&lt;0.98),"A",NONE)))</f>
        <v>B</v>
      </c>
      <c r="AA14" s="231" t="str">
        <f>VLOOKUP(G14,'ALL (R)'!$N$5:$R$862,5,FALSE)</f>
        <v>R 12</v>
      </c>
      <c r="AB14" s="232">
        <f>VLOOKUP(AA14,FACTS!$B$2:$L$14,10,FALSE)</f>
        <v>61625</v>
      </c>
      <c r="AC14" s="232">
        <f>VLOOKUP(AA14,FACTS!$B$2:$L$14,11,FALSE)</f>
        <v>68875</v>
      </c>
      <c r="AD14" s="232">
        <f>VLOOKUP(AA14,FACTS!$B$2:$N$14,13,FALSE)</f>
        <v>7250</v>
      </c>
      <c r="AE14" s="232">
        <f t="shared" si="4"/>
        <v>5256.2500000000009</v>
      </c>
      <c r="AF14" s="232">
        <f t="shared" si="5"/>
        <v>66881.25</v>
      </c>
      <c r="AG14" s="232">
        <f>AF14*FACTS!$T$2</f>
        <v>22070.8125</v>
      </c>
      <c r="AH14" s="232">
        <f>Table1[[#This Row],[UNIT (BUILDING) RATE (SEMI FINISHED)]]+4500</f>
        <v>71381.25</v>
      </c>
      <c r="AI14" s="232">
        <f>Table1[[#This Row],[UNIT (BUILDING) RATE (SEMI FINISHED)]]+7500</f>
        <v>74381.25</v>
      </c>
      <c r="AJ14" s="232">
        <f t="shared" si="6"/>
        <v>9229612.5</v>
      </c>
      <c r="AK14" s="232">
        <f>Table1[[#This Row],[UNIT (BUILDING) RATE (BASIC FINISH)]]*Table1[[#This Row],[Unit Selling Area]]</f>
        <v>9850612.5</v>
      </c>
      <c r="AL14" s="232">
        <f>Table1[[#This Row],[UNIT (BUILDING) RATE (FULLY FINISH)]]*Table1[[#This Row],[Unit Selling Area]]</f>
        <v>10264612.5</v>
      </c>
      <c r="AM14" s="232">
        <f t="shared" si="7"/>
        <v>0</v>
      </c>
      <c r="AN14" s="232">
        <f>(AM14+AJ14)*FACTS!$S$2</f>
        <v>784517.0625</v>
      </c>
      <c r="AO14" s="101">
        <f>VLOOKUP(S14,FACTS!$A$17:$C$23,3,FALSE)</f>
        <v>2</v>
      </c>
      <c r="AP14" s="232">
        <f>VLOOKUP(AA14,FACTS!$B$2:$J$14,9,FALSE)</f>
        <v>290000</v>
      </c>
      <c r="AQ14" s="232">
        <f>Table1[[#This Row],[PARKING VALUE]]*1</f>
        <v>290000</v>
      </c>
      <c r="AR14" s="232">
        <f t="shared" si="0"/>
        <v>9519612.5</v>
      </c>
      <c r="AS14" s="440">
        <f>Table1[[#This Row],[TOTAL CARS VALUE]]+Table1[[#This Row],[UNIT (BUILDING) VALUE BASIC FINISHED]]+Table1[[#This Row],[UNIT (GARDEN) VALUE]]</f>
        <v>10140612.5</v>
      </c>
      <c r="AT14" s="232">
        <f>Table1[[#This Row],[TOTAL CARS VALUE]]+Table1[[#This Row],[UNIT (GARDEN) VALUE]]+Table1[[#This Row],[UNIT (BUILDING) VALUE FULLY FINISHED]]</f>
        <v>10554612.5</v>
      </c>
      <c r="AU14" s="233">
        <f>VLOOKUP(I14,'C PHASES'!$I$108:$J$110,2,FALSE)</f>
        <v>45839</v>
      </c>
      <c r="AV14" s="233">
        <f>VLOOKUP(AA14,'C PHASES'!$I$113:$J$125,2,FALSE)</f>
        <v>46204</v>
      </c>
    </row>
    <row r="15" spans="1:48" ht="15" customHeight="1" x14ac:dyDescent="0.25">
      <c r="A15" s="235"/>
      <c r="B15" s="227" t="str">
        <f t="shared" si="1"/>
        <v>A</v>
      </c>
      <c r="C15" s="227" t="s">
        <v>17</v>
      </c>
      <c r="D15" s="227" t="s">
        <v>1147</v>
      </c>
      <c r="E15" s="228">
        <v>2</v>
      </c>
      <c r="F15" s="101">
        <v>3</v>
      </c>
      <c r="G15" s="87" t="str">
        <f t="shared" si="2"/>
        <v>A123</v>
      </c>
      <c r="H15" s="87" t="s">
        <v>1293</v>
      </c>
      <c r="I15" s="89" t="str">
        <f>VLOOKUP(C15,'PREMIUM TABLES'!$G$107:$H$149,2,FALSE)</f>
        <v>C1</v>
      </c>
      <c r="J15" s="87">
        <v>90.91</v>
      </c>
      <c r="K15" s="87">
        <v>99.223634532581073</v>
      </c>
      <c r="L15" s="87">
        <v>112</v>
      </c>
      <c r="O15" s="87" t="s">
        <v>180</v>
      </c>
      <c r="P15" s="87" t="s">
        <v>190</v>
      </c>
      <c r="Q15" s="229" t="s">
        <v>213</v>
      </c>
      <c r="R15" s="87" t="str">
        <f>VLOOKUP(E15,'PREMIUM TABLES'!$F$214:$G$219,2,FALSE)</f>
        <v>SECOND</v>
      </c>
      <c r="S15" s="87" t="str" cm="1">
        <f t="array" ref="S15">IF(AND(L15&gt;0,L15&lt;90),"A",IF(AND(L15&gt;90,L15&lt;123),"B",IF(AND(L15&gt;122,L15&lt;159),"C",IF(AND(L15&gt;159,L15&lt;185),"D",IF(AND(L15&gt;185,L15&lt;230),"E",IF(AND(L15&gt;230,L15&lt;350),"F",NONE))))))</f>
        <v>B</v>
      </c>
      <c r="T15" s="230">
        <f>VLOOKUP(O15,'PREMIUM TABLES'!$G$165:$H$172,2,FALSE)</f>
        <v>0.13</v>
      </c>
      <c r="U15" s="230">
        <f>VLOOKUP(P15,'PREMIUM TABLES'!$G$208:$H$209,2,FALSE)</f>
        <v>2.5000000000000001E-2</v>
      </c>
      <c r="V15" s="230">
        <f>VLOOKUP(Q15,'PREMIUM TABLES'!$G$175:$H$195,2,FALSE)</f>
        <v>0.4</v>
      </c>
      <c r="W15" s="230">
        <f>VLOOKUP(R15,'PREMIUM TABLES'!$G$214:$H$219,2,FALSE)</f>
        <v>0.11</v>
      </c>
      <c r="X15" s="230">
        <f>VLOOKUP(S15,'PREMIUM TABLES'!$F$199:$H$205,3,FALSE)</f>
        <v>0.04</v>
      </c>
      <c r="Y15" s="231">
        <f t="shared" si="3"/>
        <v>0.70500000000000007</v>
      </c>
      <c r="Z15" s="231" t="str" cm="1">
        <f t="array" ref="Z15">IF(AND(Y15&gt;0,Y15&lt;0.5),"C",IF(AND(Y15&gt;=0.5,Y15&lt;0.73),"B",IF(AND(Y15&gt;=0.73,Y15&lt;0.98),"A",NONE)))</f>
        <v>B</v>
      </c>
      <c r="AA15" s="231" t="str">
        <f>VLOOKUP(G15,'ALL (R)'!$N$5:$R$862,5,FALSE)</f>
        <v>R 10</v>
      </c>
      <c r="AB15" s="232">
        <f>VLOOKUP(AA15,FACTS!$B$2:$L$14,10,FALSE)</f>
        <v>56100</v>
      </c>
      <c r="AC15" s="232">
        <f>VLOOKUP(AA15,FACTS!$B$2:$L$14,11,FALSE)</f>
        <v>62700</v>
      </c>
      <c r="AD15" s="232">
        <f>VLOOKUP(AA15,FACTS!$B$2:$N$14,13,FALSE)</f>
        <v>6600</v>
      </c>
      <c r="AE15" s="232">
        <f t="shared" si="4"/>
        <v>4653.0000000000009</v>
      </c>
      <c r="AF15" s="232">
        <f t="shared" si="5"/>
        <v>60753</v>
      </c>
      <c r="AG15" s="232">
        <f>AF15*FACTS!$T$2</f>
        <v>20048.490000000002</v>
      </c>
      <c r="AH15" s="232">
        <f>Table1[[#This Row],[UNIT (BUILDING) RATE (SEMI FINISHED)]]+4500</f>
        <v>65253</v>
      </c>
      <c r="AI15" s="232">
        <f>Table1[[#This Row],[UNIT (BUILDING) RATE (SEMI FINISHED)]]+7500</f>
        <v>68253</v>
      </c>
      <c r="AJ15" s="232">
        <f t="shared" si="6"/>
        <v>6804336</v>
      </c>
      <c r="AK15" s="232">
        <f>Table1[[#This Row],[UNIT (BUILDING) RATE (BASIC FINISH)]]*Table1[[#This Row],[Unit Selling Area]]</f>
        <v>7308336</v>
      </c>
      <c r="AL15" s="232">
        <f>Table1[[#This Row],[UNIT (BUILDING) RATE (FULLY FINISH)]]*Table1[[#This Row],[Unit Selling Area]]</f>
        <v>7644336</v>
      </c>
      <c r="AM15" s="232">
        <f t="shared" si="7"/>
        <v>0</v>
      </c>
      <c r="AN15" s="232">
        <f>(AM15+AJ15)*FACTS!$S$2</f>
        <v>578368.56000000006</v>
      </c>
      <c r="AO15" s="101">
        <f>VLOOKUP(S15,FACTS!$A$17:$C$23,3,FALSE)</f>
        <v>1</v>
      </c>
      <c r="AP15" s="232">
        <f>VLOOKUP(AA15,FACTS!$B$2:$J$14,9,FALSE)</f>
        <v>264000</v>
      </c>
      <c r="AQ15" s="232">
        <f>Table1[[#This Row],[PARKING VALUE]]*1</f>
        <v>264000</v>
      </c>
      <c r="AR15" s="232">
        <f t="shared" si="0"/>
        <v>7068336</v>
      </c>
      <c r="AS15" s="440">
        <f>Table1[[#This Row],[TOTAL CARS VALUE]]+Table1[[#This Row],[UNIT (BUILDING) VALUE BASIC FINISHED]]+Table1[[#This Row],[UNIT (GARDEN) VALUE]]</f>
        <v>7572336</v>
      </c>
      <c r="AT15" s="232">
        <f>Table1[[#This Row],[TOTAL CARS VALUE]]+Table1[[#This Row],[UNIT (GARDEN) VALUE]]+Table1[[#This Row],[UNIT (BUILDING) VALUE FULLY FINISHED]]</f>
        <v>7908336</v>
      </c>
      <c r="AU15" s="233">
        <f>VLOOKUP(I15,'C PHASES'!$I$108:$J$110,2,FALSE)</f>
        <v>45839</v>
      </c>
      <c r="AV15" s="233">
        <f>VLOOKUP(AA15,'C PHASES'!$I$113:$J$125,2,FALSE)</f>
        <v>46023</v>
      </c>
    </row>
    <row r="16" spans="1:48" ht="15" customHeight="1" x14ac:dyDescent="0.25">
      <c r="A16" s="235"/>
      <c r="B16" s="227" t="str">
        <f t="shared" si="1"/>
        <v>A</v>
      </c>
      <c r="C16" s="227" t="s">
        <v>17</v>
      </c>
      <c r="D16" s="227" t="s">
        <v>1147</v>
      </c>
      <c r="E16" s="228">
        <v>2</v>
      </c>
      <c r="F16" s="101">
        <v>4</v>
      </c>
      <c r="G16" s="87" t="str">
        <f t="shared" si="2"/>
        <v>A124</v>
      </c>
      <c r="H16" s="87" t="s">
        <v>1293</v>
      </c>
      <c r="I16" s="89" t="str">
        <f>VLOOKUP(C16,'PREMIUM TABLES'!$G$107:$H$149,2,FALSE)</f>
        <v>C1</v>
      </c>
      <c r="J16" s="87">
        <v>90.91</v>
      </c>
      <c r="K16" s="87">
        <v>99.223634532581073</v>
      </c>
      <c r="L16" s="87">
        <v>112</v>
      </c>
      <c r="O16" s="87" t="s">
        <v>187</v>
      </c>
      <c r="P16" s="87" t="s">
        <v>190</v>
      </c>
      <c r="Q16" s="229" t="s">
        <v>198</v>
      </c>
      <c r="R16" s="87" t="str">
        <f>VLOOKUP(E16,'PREMIUM TABLES'!$F$214:$G$219,2,FALSE)</f>
        <v>SECOND</v>
      </c>
      <c r="S16" s="87" t="str" cm="1">
        <f t="array" ref="S16">IF(AND(L16&gt;0,L16&lt;90),"A",IF(AND(L16&gt;90,L16&lt;123),"B",IF(AND(L16&gt;122,L16&lt;159),"C",IF(AND(L16&gt;159,L16&lt;185),"D",IF(AND(L16&gt;185,L16&lt;230),"E",IF(AND(L16&gt;230,L16&lt;350),"F",NONE))))))</f>
        <v>B</v>
      </c>
      <c r="T16" s="230">
        <f>VLOOKUP(O16,'PREMIUM TABLES'!$G$165:$H$172,2,FALSE)</f>
        <v>0.08</v>
      </c>
      <c r="U16" s="230">
        <f>VLOOKUP(P16,'PREMIUM TABLES'!$G$208:$H$209,2,FALSE)</f>
        <v>2.5000000000000001E-2</v>
      </c>
      <c r="V16" s="230">
        <f>VLOOKUP(Q16,'PREMIUM TABLES'!$G$175:$H$195,2,FALSE)</f>
        <v>0.15</v>
      </c>
      <c r="W16" s="230">
        <f>VLOOKUP(R16,'PREMIUM TABLES'!$G$214:$H$219,2,FALSE)</f>
        <v>0.11</v>
      </c>
      <c r="X16" s="230">
        <f>VLOOKUP(S16,'PREMIUM TABLES'!$F$199:$H$205,3,FALSE)</f>
        <v>0.04</v>
      </c>
      <c r="Y16" s="231">
        <f t="shared" si="3"/>
        <v>0.40499999999999997</v>
      </c>
      <c r="Z16" s="231" t="str" cm="1">
        <f t="array" ref="Z16">IF(AND(Y16&gt;0,Y16&lt;0.5),"C",IF(AND(Y16&gt;=0.5,Y16&lt;0.73),"B",IF(AND(Y16&gt;=0.73,Y16&lt;0.98),"A",NONE)))</f>
        <v>C</v>
      </c>
      <c r="AA16" s="231" t="str">
        <f>VLOOKUP(G16,'ALL (R)'!$N$5:$R$862,5,FALSE)</f>
        <v>R 5</v>
      </c>
      <c r="AB16" s="232">
        <f>VLOOKUP(AA16,FACTS!$B$2:$L$14,10,FALSE)</f>
        <v>46750.000000000007</v>
      </c>
      <c r="AC16" s="232">
        <f>VLOOKUP(AA16,FACTS!$B$2:$L$14,11,FALSE)</f>
        <v>52250.000000000007</v>
      </c>
      <c r="AD16" s="232">
        <f>VLOOKUP(AA16,FACTS!$B$2:$N$14,13,FALSE)</f>
        <v>5500</v>
      </c>
      <c r="AE16" s="232">
        <f t="shared" si="4"/>
        <v>2227.5</v>
      </c>
      <c r="AF16" s="232">
        <f t="shared" si="5"/>
        <v>48977.500000000007</v>
      </c>
      <c r="AG16" s="232">
        <f>AF16*FACTS!$T$2</f>
        <v>16162.575000000003</v>
      </c>
      <c r="AH16" s="232">
        <f>Table1[[#This Row],[UNIT (BUILDING) RATE (SEMI FINISHED)]]+4500</f>
        <v>53477.500000000007</v>
      </c>
      <c r="AI16" s="232">
        <f>Table1[[#This Row],[UNIT (BUILDING) RATE (SEMI FINISHED)]]+7500</f>
        <v>56477.500000000007</v>
      </c>
      <c r="AJ16" s="232">
        <f t="shared" si="6"/>
        <v>5485480.0000000009</v>
      </c>
      <c r="AK16" s="232">
        <f>Table1[[#This Row],[UNIT (BUILDING) RATE (BASIC FINISH)]]*Table1[[#This Row],[Unit Selling Area]]</f>
        <v>5989480.0000000009</v>
      </c>
      <c r="AL16" s="232">
        <f>Table1[[#This Row],[UNIT (BUILDING) RATE (FULLY FINISH)]]*Table1[[#This Row],[Unit Selling Area]]</f>
        <v>6325480.0000000009</v>
      </c>
      <c r="AM16" s="232">
        <f t="shared" si="7"/>
        <v>0</v>
      </c>
      <c r="AN16" s="232">
        <f>(AM16+AJ16)*FACTS!$S$2</f>
        <v>466265.8000000001</v>
      </c>
      <c r="AO16" s="101">
        <f>VLOOKUP(S16,FACTS!$A$17:$C$23,3,FALSE)</f>
        <v>1</v>
      </c>
      <c r="AP16" s="232">
        <f>VLOOKUP(AA16,FACTS!$B$2:$J$14,9,FALSE)</f>
        <v>220000.00000000003</v>
      </c>
      <c r="AQ16" s="232">
        <f>Table1[[#This Row],[PARKING VALUE]]*1</f>
        <v>220000.00000000003</v>
      </c>
      <c r="AR16" s="232">
        <f t="shared" si="0"/>
        <v>5705480.0000000009</v>
      </c>
      <c r="AS16" s="440">
        <f>Table1[[#This Row],[TOTAL CARS VALUE]]+Table1[[#This Row],[UNIT (BUILDING) VALUE BASIC FINISHED]]+Table1[[#This Row],[UNIT (GARDEN) VALUE]]</f>
        <v>6209480.0000000009</v>
      </c>
      <c r="AT16" s="232">
        <f>Table1[[#This Row],[TOTAL CARS VALUE]]+Table1[[#This Row],[UNIT (GARDEN) VALUE]]+Table1[[#This Row],[UNIT (BUILDING) VALUE FULLY FINISHED]]</f>
        <v>6545480.0000000009</v>
      </c>
      <c r="AU16" s="233">
        <f>VLOOKUP(I16,'C PHASES'!$I$108:$J$110,2,FALSE)</f>
        <v>45839</v>
      </c>
      <c r="AV16" s="233">
        <f>VLOOKUP(AA16,'C PHASES'!$I$113:$J$125,2,FALSE)</f>
        <v>45566</v>
      </c>
    </row>
    <row r="17" spans="1:48" ht="15" customHeight="1" x14ac:dyDescent="0.25">
      <c r="A17" s="235"/>
      <c r="B17" s="227" t="str">
        <f t="shared" si="1"/>
        <v>A</v>
      </c>
      <c r="C17" s="227" t="s">
        <v>17</v>
      </c>
      <c r="D17" s="227" t="s">
        <v>1147</v>
      </c>
      <c r="E17" s="228">
        <v>3</v>
      </c>
      <c r="F17" s="101">
        <v>1</v>
      </c>
      <c r="G17" s="87" t="str">
        <f t="shared" si="2"/>
        <v>A131</v>
      </c>
      <c r="H17" s="87" t="s">
        <v>1293</v>
      </c>
      <c r="I17" s="89" t="str">
        <f>VLOOKUP(C17,'PREMIUM TABLES'!$G$107:$H$149,2,FALSE)</f>
        <v>C1</v>
      </c>
      <c r="J17" s="87">
        <v>110.14</v>
      </c>
      <c r="K17" s="87">
        <v>120.21220005960269</v>
      </c>
      <c r="L17" s="87">
        <v>135</v>
      </c>
      <c r="O17" s="87" t="s">
        <v>187</v>
      </c>
      <c r="P17" s="87" t="s">
        <v>226</v>
      </c>
      <c r="Q17" s="229" t="s">
        <v>198</v>
      </c>
      <c r="R17" s="87" t="str">
        <f>VLOOKUP(E17,'PREMIUM TABLES'!$F$214:$G$219,2,FALSE)</f>
        <v>THIRD</v>
      </c>
      <c r="S17" s="87" t="str" cm="1">
        <f t="array" ref="S17">IF(AND(L17&gt;0,L17&lt;90),"A",IF(AND(L17&gt;90,L17&lt;123),"B",IF(AND(L17&gt;122,L17&lt;159),"C",IF(AND(L17&gt;159,L17&lt;185),"D",IF(AND(L17&gt;185,L17&lt;230),"E",IF(AND(L17&gt;230,L17&lt;350),"F",NONE))))))</f>
        <v>C</v>
      </c>
      <c r="T17" s="230">
        <f>VLOOKUP(O17,'PREMIUM TABLES'!$G$165:$H$172,2,FALSE)</f>
        <v>0.08</v>
      </c>
      <c r="U17" s="230">
        <f>VLOOKUP(P17,'PREMIUM TABLES'!$G$208:$H$209,2,FALSE)</f>
        <v>0.05</v>
      </c>
      <c r="V17" s="230">
        <f>VLOOKUP(Q17,'PREMIUM TABLES'!$G$175:$H$195,2,FALSE)</f>
        <v>0.15</v>
      </c>
      <c r="W17" s="230">
        <f>VLOOKUP(R17,'PREMIUM TABLES'!$G$214:$H$219,2,FALSE)</f>
        <v>0.15</v>
      </c>
      <c r="X17" s="230">
        <f>VLOOKUP(S17,'PREMIUM TABLES'!$F$199:$H$205,3,FALSE)</f>
        <v>3.5000000000000003E-2</v>
      </c>
      <c r="Y17" s="231">
        <f t="shared" si="3"/>
        <v>0.46500000000000008</v>
      </c>
      <c r="Z17" s="231" t="str" cm="1">
        <f t="array" ref="Z17">IF(AND(Y17&gt;0,Y17&lt;0.5),"C",IF(AND(Y17&gt;=0.5,Y17&lt;0.73),"B",IF(AND(Y17&gt;=0.73,Y17&lt;0.98),"A",NONE)))</f>
        <v>C</v>
      </c>
      <c r="AA17" s="231" t="str">
        <f>VLOOKUP(G17,'ALL (R)'!$N$5:$R$862,5,FALSE)</f>
        <v>R 11</v>
      </c>
      <c r="AB17" s="232">
        <f>VLOOKUP(AA17,FACTS!$B$2:$L$14,10,FALSE)</f>
        <v>58649.999999999993</v>
      </c>
      <c r="AC17" s="232">
        <f>VLOOKUP(AA17,FACTS!$B$2:$L$14,11,FALSE)</f>
        <v>65550</v>
      </c>
      <c r="AD17" s="232">
        <f>VLOOKUP(AA17,FACTS!$B$2:$N$14,13,FALSE)</f>
        <v>6900.0000000000073</v>
      </c>
      <c r="AE17" s="232">
        <f t="shared" si="4"/>
        <v>3208.5000000000041</v>
      </c>
      <c r="AF17" s="232">
        <f t="shared" si="5"/>
        <v>61858.5</v>
      </c>
      <c r="AG17" s="232">
        <f>AF17*FACTS!$T$2</f>
        <v>20413.305</v>
      </c>
      <c r="AH17" s="232">
        <f>Table1[[#This Row],[UNIT (BUILDING) RATE (SEMI FINISHED)]]+4500</f>
        <v>66358.5</v>
      </c>
      <c r="AI17" s="232">
        <f>Table1[[#This Row],[UNIT (BUILDING) RATE (SEMI FINISHED)]]+7500</f>
        <v>69358.5</v>
      </c>
      <c r="AJ17" s="232">
        <f t="shared" si="6"/>
        <v>8350897.5</v>
      </c>
      <c r="AK17" s="232">
        <f>Table1[[#This Row],[UNIT (BUILDING) RATE (BASIC FINISH)]]*Table1[[#This Row],[Unit Selling Area]]</f>
        <v>8958397.5</v>
      </c>
      <c r="AL17" s="232">
        <f>Table1[[#This Row],[UNIT (BUILDING) RATE (FULLY FINISH)]]*Table1[[#This Row],[Unit Selling Area]]</f>
        <v>9363397.5</v>
      </c>
      <c r="AM17" s="232">
        <f t="shared" si="7"/>
        <v>0</v>
      </c>
      <c r="AN17" s="232">
        <f>(AM17+AJ17)*FACTS!$S$2</f>
        <v>709826.28750000009</v>
      </c>
      <c r="AO17" s="101">
        <f>VLOOKUP(S17,FACTS!$A$17:$C$23,3,FALSE)</f>
        <v>2</v>
      </c>
      <c r="AP17" s="232">
        <f>VLOOKUP(AA17,FACTS!$B$2:$J$14,9,FALSE)</f>
        <v>276000</v>
      </c>
      <c r="AQ17" s="232">
        <f>Table1[[#This Row],[PARKING VALUE]]*1</f>
        <v>276000</v>
      </c>
      <c r="AR17" s="232">
        <f t="shared" si="0"/>
        <v>8626897.5</v>
      </c>
      <c r="AS17" s="440">
        <f>Table1[[#This Row],[TOTAL CARS VALUE]]+Table1[[#This Row],[UNIT (BUILDING) VALUE BASIC FINISHED]]+Table1[[#This Row],[UNIT (GARDEN) VALUE]]</f>
        <v>9234397.5</v>
      </c>
      <c r="AT17" s="232">
        <f>Table1[[#This Row],[TOTAL CARS VALUE]]+Table1[[#This Row],[UNIT (GARDEN) VALUE]]+Table1[[#This Row],[UNIT (BUILDING) VALUE FULLY FINISHED]]</f>
        <v>9639397.5</v>
      </c>
      <c r="AU17" s="233">
        <f>VLOOKUP(I17,'C PHASES'!$I$108:$J$110,2,FALSE)</f>
        <v>45839</v>
      </c>
      <c r="AV17" s="233">
        <f>VLOOKUP(AA17,'C PHASES'!$I$113:$J$125,2,FALSE)</f>
        <v>46113</v>
      </c>
    </row>
    <row r="18" spans="1:48" ht="15" customHeight="1" x14ac:dyDescent="0.25">
      <c r="A18" s="235"/>
      <c r="B18" s="227" t="str">
        <f t="shared" si="1"/>
        <v>A</v>
      </c>
      <c r="C18" s="227" t="s">
        <v>17</v>
      </c>
      <c r="D18" s="227" t="s">
        <v>1147</v>
      </c>
      <c r="E18" s="228">
        <v>3</v>
      </c>
      <c r="F18" s="101">
        <v>2</v>
      </c>
      <c r="G18" s="87" t="str">
        <f t="shared" si="2"/>
        <v>A132</v>
      </c>
      <c r="H18" s="87" t="s">
        <v>1293</v>
      </c>
      <c r="I18" s="89" t="str">
        <f>VLOOKUP(C18,'PREMIUM TABLES'!$G$107:$H$149,2,FALSE)</f>
        <v>C1</v>
      </c>
      <c r="J18" s="87">
        <v>110.14</v>
      </c>
      <c r="K18" s="87">
        <v>120.21220005960269</v>
      </c>
      <c r="L18" s="87">
        <v>135</v>
      </c>
      <c r="O18" s="87" t="s">
        <v>180</v>
      </c>
      <c r="P18" s="87" t="s">
        <v>226</v>
      </c>
      <c r="Q18" s="229" t="s">
        <v>213</v>
      </c>
      <c r="R18" s="87" t="str">
        <f>VLOOKUP(E18,'PREMIUM TABLES'!$F$214:$G$219,2,FALSE)</f>
        <v>THIRD</v>
      </c>
      <c r="S18" s="87" t="str" cm="1">
        <f t="array" ref="S18">IF(AND(L18&gt;0,L18&lt;90),"A",IF(AND(L18&gt;90,L18&lt;123),"B",IF(AND(L18&gt;122,L18&lt;159),"C",IF(AND(L18&gt;159,L18&lt;185),"D",IF(AND(L18&gt;185,L18&lt;230),"E",IF(AND(L18&gt;230,L18&lt;350),"F",NONE))))))</f>
        <v>C</v>
      </c>
      <c r="T18" s="230">
        <f>VLOOKUP(O18,'PREMIUM TABLES'!$G$165:$H$172,2,FALSE)</f>
        <v>0.13</v>
      </c>
      <c r="U18" s="230">
        <f>VLOOKUP(P18,'PREMIUM TABLES'!$G$208:$H$209,2,FALSE)</f>
        <v>0.05</v>
      </c>
      <c r="V18" s="230">
        <f>VLOOKUP(Q18,'PREMIUM TABLES'!$G$175:$H$195,2,FALSE)</f>
        <v>0.4</v>
      </c>
      <c r="W18" s="230">
        <f>VLOOKUP(R18,'PREMIUM TABLES'!$G$214:$H$219,2,FALSE)</f>
        <v>0.15</v>
      </c>
      <c r="X18" s="230">
        <f>VLOOKUP(S18,'PREMIUM TABLES'!$F$199:$H$205,3,FALSE)</f>
        <v>3.5000000000000003E-2</v>
      </c>
      <c r="Y18" s="231">
        <f t="shared" si="3"/>
        <v>0.76500000000000012</v>
      </c>
      <c r="Z18" s="231" t="str" cm="1">
        <f t="array" ref="Z18">IF(AND(Y18&gt;0,Y18&lt;0.5),"C",IF(AND(Y18&gt;=0.5,Y18&lt;0.73),"B",IF(AND(Y18&gt;=0.73,Y18&lt;0.98),"A",NONE)))</f>
        <v>A</v>
      </c>
      <c r="AA18" s="231" t="str">
        <f>VLOOKUP(G18,'ALL (R)'!$N$5:$R$862,5,FALSE)</f>
        <v>R 3</v>
      </c>
      <c r="AB18" s="232">
        <f>VLOOKUP(AA18,FACTS!$B$2:$L$14,10,FALSE)</f>
        <v>44625</v>
      </c>
      <c r="AC18" s="232">
        <f>VLOOKUP(AA18,FACTS!$B$2:$L$14,11,FALSE)</f>
        <v>49875</v>
      </c>
      <c r="AD18" s="232">
        <f>VLOOKUP(AA18,FACTS!$B$2:$N$14,13,FALSE)</f>
        <v>5250</v>
      </c>
      <c r="AE18" s="232">
        <f t="shared" si="4"/>
        <v>4016.2500000000005</v>
      </c>
      <c r="AF18" s="232">
        <f t="shared" si="5"/>
        <v>48641.25</v>
      </c>
      <c r="AG18" s="232">
        <f>AF18*FACTS!$T$2</f>
        <v>16051.612500000001</v>
      </c>
      <c r="AH18" s="232">
        <f>Table1[[#This Row],[UNIT (BUILDING) RATE (SEMI FINISHED)]]+4500</f>
        <v>53141.25</v>
      </c>
      <c r="AI18" s="232">
        <f>Table1[[#This Row],[UNIT (BUILDING) RATE (SEMI FINISHED)]]+7500</f>
        <v>56141.25</v>
      </c>
      <c r="AJ18" s="232">
        <f t="shared" si="6"/>
        <v>6566568.75</v>
      </c>
      <c r="AK18" s="232">
        <f>Table1[[#This Row],[UNIT (BUILDING) RATE (BASIC FINISH)]]*Table1[[#This Row],[Unit Selling Area]]</f>
        <v>7174068.75</v>
      </c>
      <c r="AL18" s="232">
        <f>Table1[[#This Row],[UNIT (BUILDING) RATE (FULLY FINISH)]]*Table1[[#This Row],[Unit Selling Area]]</f>
        <v>7579068.75</v>
      </c>
      <c r="AM18" s="232">
        <f t="shared" si="7"/>
        <v>0</v>
      </c>
      <c r="AN18" s="232">
        <f>(AM18+AJ18)*FACTS!$S$2</f>
        <v>558158.34375</v>
      </c>
      <c r="AO18" s="101">
        <f>VLOOKUP(S18,FACTS!$A$17:$C$23,3,FALSE)</f>
        <v>2</v>
      </c>
      <c r="AP18" s="232">
        <f>VLOOKUP(AA18,FACTS!$B$2:$J$14,9,FALSE)</f>
        <v>210000</v>
      </c>
      <c r="AQ18" s="232">
        <f>Table1[[#This Row],[PARKING VALUE]]*1</f>
        <v>210000</v>
      </c>
      <c r="AR18" s="232">
        <f t="shared" si="0"/>
        <v>6776568.75</v>
      </c>
      <c r="AS18" s="440">
        <f>Table1[[#This Row],[TOTAL CARS VALUE]]+Table1[[#This Row],[UNIT (BUILDING) VALUE BASIC FINISHED]]+Table1[[#This Row],[UNIT (GARDEN) VALUE]]</f>
        <v>7384068.75</v>
      </c>
      <c r="AT18" s="232">
        <f>Table1[[#This Row],[TOTAL CARS VALUE]]+Table1[[#This Row],[UNIT (GARDEN) VALUE]]+Table1[[#This Row],[UNIT (BUILDING) VALUE FULLY FINISHED]]</f>
        <v>7789068.75</v>
      </c>
      <c r="AU18" s="233">
        <f>VLOOKUP(I18,'C PHASES'!$I$108:$J$110,2,FALSE)</f>
        <v>45839</v>
      </c>
      <c r="AV18" s="233">
        <f>VLOOKUP(AA18,'C PHASES'!$I$113:$J$125,2,FALSE)</f>
        <v>45383</v>
      </c>
    </row>
    <row r="19" spans="1:48" ht="15" customHeight="1" x14ac:dyDescent="0.25">
      <c r="A19" s="235"/>
      <c r="B19" s="227" t="str">
        <f t="shared" si="1"/>
        <v>A</v>
      </c>
      <c r="C19" s="227" t="s">
        <v>17</v>
      </c>
      <c r="D19" s="227" t="s">
        <v>1147</v>
      </c>
      <c r="E19" s="228">
        <v>3</v>
      </c>
      <c r="F19" s="101">
        <v>3</v>
      </c>
      <c r="G19" s="87" t="str">
        <f t="shared" si="2"/>
        <v>A133</v>
      </c>
      <c r="H19" s="87" t="s">
        <v>1293</v>
      </c>
      <c r="I19" s="89" t="str">
        <f>VLOOKUP(C19,'PREMIUM TABLES'!$G$107:$H$149,2,FALSE)</f>
        <v>C1</v>
      </c>
      <c r="J19" s="87">
        <v>89.05</v>
      </c>
      <c r="K19" s="87">
        <v>97.193539270997093</v>
      </c>
      <c r="L19" s="87">
        <v>110</v>
      </c>
      <c r="O19" s="87" t="s">
        <v>180</v>
      </c>
      <c r="P19" s="87" t="s">
        <v>190</v>
      </c>
      <c r="Q19" s="229" t="s">
        <v>213</v>
      </c>
      <c r="R19" s="87" t="str">
        <f>VLOOKUP(E19,'PREMIUM TABLES'!$F$214:$G$219,2,FALSE)</f>
        <v>THIRD</v>
      </c>
      <c r="S19" s="87" t="str" cm="1">
        <f t="array" ref="S19">IF(AND(L19&gt;0,L19&lt;90),"A",IF(AND(L19&gt;90,L19&lt;123),"B",IF(AND(L19&gt;122,L19&lt;159),"C",IF(AND(L19&gt;159,L19&lt;185),"D",IF(AND(L19&gt;185,L19&lt;230),"E",IF(AND(L19&gt;230,L19&lt;350),"F",NONE))))))</f>
        <v>B</v>
      </c>
      <c r="T19" s="230">
        <f>VLOOKUP(O19,'PREMIUM TABLES'!$G$165:$H$172,2,FALSE)</f>
        <v>0.13</v>
      </c>
      <c r="U19" s="230">
        <f>VLOOKUP(P19,'PREMIUM TABLES'!$G$208:$H$209,2,FALSE)</f>
        <v>2.5000000000000001E-2</v>
      </c>
      <c r="V19" s="230">
        <f>VLOOKUP(Q19,'PREMIUM TABLES'!$G$175:$H$195,2,FALSE)</f>
        <v>0.4</v>
      </c>
      <c r="W19" s="230">
        <f>VLOOKUP(R19,'PREMIUM TABLES'!$G$214:$H$219,2,FALSE)</f>
        <v>0.15</v>
      </c>
      <c r="X19" s="230">
        <f>VLOOKUP(S19,'PREMIUM TABLES'!$F$199:$H$205,3,FALSE)</f>
        <v>0.04</v>
      </c>
      <c r="Y19" s="231">
        <f t="shared" si="3"/>
        <v>0.74500000000000011</v>
      </c>
      <c r="Z19" s="231" t="str" cm="1">
        <f t="array" ref="Z19">IF(AND(Y19&gt;0,Y19&lt;0.5),"C",IF(AND(Y19&gt;=0.5,Y19&lt;0.73),"B",IF(AND(Y19&gt;=0.73,Y19&lt;0.98),"A",NONE)))</f>
        <v>A</v>
      </c>
      <c r="AA19" s="231" t="str">
        <f>VLOOKUP(G19,'ALL (R)'!$N$5:$R$862,5,FALSE)</f>
        <v>R 2</v>
      </c>
      <c r="AB19" s="232">
        <f>VLOOKUP(AA19,FACTS!$B$2:$L$14,10,FALSE)</f>
        <v>43562.499999999993</v>
      </c>
      <c r="AC19" s="232">
        <f>VLOOKUP(AA19,FACTS!$B$2:$L$14,11,FALSE)</f>
        <v>48687.499999999993</v>
      </c>
      <c r="AD19" s="232">
        <f>VLOOKUP(AA19,FACTS!$B$2:$N$14,13,FALSE)</f>
        <v>5125</v>
      </c>
      <c r="AE19" s="232">
        <f t="shared" si="4"/>
        <v>3818.1250000000005</v>
      </c>
      <c r="AF19" s="232">
        <f t="shared" si="5"/>
        <v>47380.624999999993</v>
      </c>
      <c r="AG19" s="232">
        <f>AF19*FACTS!$T$2</f>
        <v>15635.606249999999</v>
      </c>
      <c r="AH19" s="232">
        <f>Table1[[#This Row],[UNIT (BUILDING) RATE (SEMI FINISHED)]]+4500</f>
        <v>51880.624999999993</v>
      </c>
      <c r="AI19" s="232">
        <f>Table1[[#This Row],[UNIT (BUILDING) RATE (SEMI FINISHED)]]+7500</f>
        <v>54880.624999999993</v>
      </c>
      <c r="AJ19" s="232">
        <f t="shared" si="6"/>
        <v>5211868.7499999991</v>
      </c>
      <c r="AK19" s="232">
        <f>Table1[[#This Row],[UNIT (BUILDING) RATE (BASIC FINISH)]]*Table1[[#This Row],[Unit Selling Area]]</f>
        <v>5706868.7499999991</v>
      </c>
      <c r="AL19" s="232">
        <f>Table1[[#This Row],[UNIT (BUILDING) RATE (FULLY FINISH)]]*Table1[[#This Row],[Unit Selling Area]]</f>
        <v>6036868.7499999991</v>
      </c>
      <c r="AM19" s="232">
        <f t="shared" si="7"/>
        <v>0</v>
      </c>
      <c r="AN19" s="232">
        <f>(AM19+AJ19)*FACTS!$S$2</f>
        <v>443008.84374999994</v>
      </c>
      <c r="AO19" s="101">
        <f>VLOOKUP(S19,FACTS!$A$17:$C$23,3,FALSE)</f>
        <v>1</v>
      </c>
      <c r="AP19" s="232">
        <f>VLOOKUP(AA19,FACTS!$B$2:$J$14,9,FALSE)</f>
        <v>204999.99999999997</v>
      </c>
      <c r="AQ19" s="232">
        <f>Table1[[#This Row],[PARKING VALUE]]*1</f>
        <v>204999.99999999997</v>
      </c>
      <c r="AR19" s="232">
        <f t="shared" si="0"/>
        <v>5416868.7499999991</v>
      </c>
      <c r="AS19" s="440">
        <f>Table1[[#This Row],[TOTAL CARS VALUE]]+Table1[[#This Row],[UNIT (BUILDING) VALUE BASIC FINISHED]]+Table1[[#This Row],[UNIT (GARDEN) VALUE]]</f>
        <v>5911868.7499999991</v>
      </c>
      <c r="AT19" s="232">
        <f>Table1[[#This Row],[TOTAL CARS VALUE]]+Table1[[#This Row],[UNIT (GARDEN) VALUE]]+Table1[[#This Row],[UNIT (BUILDING) VALUE FULLY FINISHED]]</f>
        <v>6241868.7499999991</v>
      </c>
      <c r="AU19" s="233">
        <f>VLOOKUP(I19,'C PHASES'!$I$108:$J$110,2,FALSE)</f>
        <v>45839</v>
      </c>
      <c r="AV19" s="233">
        <f>VLOOKUP(AA19,'C PHASES'!$I$113:$J$125,2,FALSE)</f>
        <v>45292</v>
      </c>
    </row>
    <row r="20" spans="1:48" ht="15" customHeight="1" x14ac:dyDescent="0.25">
      <c r="A20" s="235"/>
      <c r="B20" s="227" t="str">
        <f t="shared" si="1"/>
        <v>A</v>
      </c>
      <c r="C20" s="227" t="s">
        <v>17</v>
      </c>
      <c r="D20" s="227" t="s">
        <v>1147</v>
      </c>
      <c r="E20" s="228">
        <v>3</v>
      </c>
      <c r="F20" s="101">
        <v>4</v>
      </c>
      <c r="G20" s="87" t="str">
        <f t="shared" si="2"/>
        <v>A134</v>
      </c>
      <c r="H20" s="87" t="s">
        <v>1293</v>
      </c>
      <c r="I20" s="89" t="str">
        <f>VLOOKUP(C20,'PREMIUM TABLES'!$G$107:$H$149,2,FALSE)</f>
        <v>C1</v>
      </c>
      <c r="J20" s="87">
        <v>89.05</v>
      </c>
      <c r="K20" s="87">
        <v>97.193539270997093</v>
      </c>
      <c r="L20" s="87">
        <v>110</v>
      </c>
      <c r="O20" s="87" t="s">
        <v>187</v>
      </c>
      <c r="P20" s="87" t="s">
        <v>190</v>
      </c>
      <c r="Q20" s="229" t="s">
        <v>198</v>
      </c>
      <c r="R20" s="87" t="str">
        <f>VLOOKUP(E20,'PREMIUM TABLES'!$F$214:$G$219,2,FALSE)</f>
        <v>THIRD</v>
      </c>
      <c r="S20" s="87" t="str" cm="1">
        <f t="array" ref="S20">IF(AND(L20&gt;0,L20&lt;90),"A",IF(AND(L20&gt;90,L20&lt;123),"B",IF(AND(L20&gt;122,L20&lt;159),"C",IF(AND(L20&gt;159,L20&lt;185),"D",IF(AND(L20&gt;185,L20&lt;230),"E",IF(AND(L20&gt;230,L20&lt;350),"F",NONE))))))</f>
        <v>B</v>
      </c>
      <c r="T20" s="230">
        <f>VLOOKUP(O20,'PREMIUM TABLES'!$G$165:$H$172,2,FALSE)</f>
        <v>0.08</v>
      </c>
      <c r="U20" s="230">
        <f>VLOOKUP(P20,'PREMIUM TABLES'!$G$208:$H$209,2,FALSE)</f>
        <v>2.5000000000000001E-2</v>
      </c>
      <c r="V20" s="230">
        <f>VLOOKUP(Q20,'PREMIUM TABLES'!$G$175:$H$195,2,FALSE)</f>
        <v>0.15</v>
      </c>
      <c r="W20" s="230">
        <f>VLOOKUP(R20,'PREMIUM TABLES'!$G$214:$H$219,2,FALSE)</f>
        <v>0.15</v>
      </c>
      <c r="X20" s="230">
        <f>VLOOKUP(S20,'PREMIUM TABLES'!$F$199:$H$205,3,FALSE)</f>
        <v>0.04</v>
      </c>
      <c r="Y20" s="231">
        <f t="shared" si="3"/>
        <v>0.44500000000000001</v>
      </c>
      <c r="Z20" s="231" t="str" cm="1">
        <f t="array" ref="Z20">IF(AND(Y20&gt;0,Y20&lt;0.5),"C",IF(AND(Y20&gt;=0.5,Y20&lt;0.73),"B",IF(AND(Y20&gt;=0.73,Y20&lt;0.98),"A",NONE)))</f>
        <v>C</v>
      </c>
      <c r="AA20" s="231" t="str">
        <f>VLOOKUP(G20,'ALL (R)'!$N$5:$R$862,5,FALSE)</f>
        <v>R 9</v>
      </c>
      <c r="AB20" s="232">
        <f>VLOOKUP(AA20,FACTS!$B$2:$L$14,10,FALSE)</f>
        <v>53550</v>
      </c>
      <c r="AC20" s="232">
        <f>VLOOKUP(AA20,FACTS!$B$2:$L$14,11,FALSE)</f>
        <v>59850</v>
      </c>
      <c r="AD20" s="232">
        <f>VLOOKUP(AA20,FACTS!$B$2:$N$14,13,FALSE)</f>
        <v>6300</v>
      </c>
      <c r="AE20" s="232">
        <f t="shared" si="4"/>
        <v>2803.5</v>
      </c>
      <c r="AF20" s="232">
        <f t="shared" si="5"/>
        <v>56353.5</v>
      </c>
      <c r="AG20" s="232">
        <f>AF20*FACTS!$T$2</f>
        <v>18596.655000000002</v>
      </c>
      <c r="AH20" s="232">
        <f>Table1[[#This Row],[UNIT (BUILDING) RATE (SEMI FINISHED)]]+4500</f>
        <v>60853.5</v>
      </c>
      <c r="AI20" s="232">
        <f>Table1[[#This Row],[UNIT (BUILDING) RATE (SEMI FINISHED)]]+7500</f>
        <v>63853.5</v>
      </c>
      <c r="AJ20" s="232">
        <f t="shared" si="6"/>
        <v>6198885</v>
      </c>
      <c r="AK20" s="232">
        <f>Table1[[#This Row],[UNIT (BUILDING) RATE (BASIC FINISH)]]*Table1[[#This Row],[Unit Selling Area]]</f>
        <v>6693885</v>
      </c>
      <c r="AL20" s="232">
        <f>Table1[[#This Row],[UNIT (BUILDING) RATE (FULLY FINISH)]]*Table1[[#This Row],[Unit Selling Area]]</f>
        <v>7023885</v>
      </c>
      <c r="AM20" s="232">
        <f t="shared" si="7"/>
        <v>0</v>
      </c>
      <c r="AN20" s="232">
        <f>(AM20+AJ20)*FACTS!$S$2</f>
        <v>526905.22500000009</v>
      </c>
      <c r="AO20" s="101">
        <f>VLOOKUP(S20,FACTS!$A$17:$C$23,3,FALSE)</f>
        <v>1</v>
      </c>
      <c r="AP20" s="232">
        <f>VLOOKUP(AA20,FACTS!$B$2:$J$14,9,FALSE)</f>
        <v>252000</v>
      </c>
      <c r="AQ20" s="232">
        <f>Table1[[#This Row],[PARKING VALUE]]*1</f>
        <v>252000</v>
      </c>
      <c r="AR20" s="232">
        <f t="shared" si="0"/>
        <v>6450885</v>
      </c>
      <c r="AS20" s="440">
        <f>Table1[[#This Row],[TOTAL CARS VALUE]]+Table1[[#This Row],[UNIT (BUILDING) VALUE BASIC FINISHED]]+Table1[[#This Row],[UNIT (GARDEN) VALUE]]</f>
        <v>6945885</v>
      </c>
      <c r="AT20" s="232">
        <f>Table1[[#This Row],[TOTAL CARS VALUE]]+Table1[[#This Row],[UNIT (GARDEN) VALUE]]+Table1[[#This Row],[UNIT (BUILDING) VALUE FULLY FINISHED]]</f>
        <v>7275885</v>
      </c>
      <c r="AU20" s="233">
        <f>VLOOKUP(I20,'C PHASES'!$I$108:$J$110,2,FALSE)</f>
        <v>45839</v>
      </c>
      <c r="AV20" s="233">
        <f>VLOOKUP(AA20,'C PHASES'!$I$113:$J$125,2,FALSE)</f>
        <v>45931</v>
      </c>
    </row>
    <row r="21" spans="1:48" ht="15" customHeight="1" x14ac:dyDescent="0.25">
      <c r="A21" s="235"/>
      <c r="B21" s="227" t="str">
        <f t="shared" si="1"/>
        <v>A</v>
      </c>
      <c r="C21" s="227" t="s">
        <v>17</v>
      </c>
      <c r="D21" s="227" t="s">
        <v>1147</v>
      </c>
      <c r="E21" s="228">
        <v>4</v>
      </c>
      <c r="F21" s="101">
        <v>1</v>
      </c>
      <c r="G21" s="87" t="str">
        <f t="shared" si="2"/>
        <v>A141</v>
      </c>
      <c r="H21" s="87" t="s">
        <v>1293</v>
      </c>
      <c r="I21" s="89" t="str">
        <f>VLOOKUP(C21,'PREMIUM TABLES'!$G$107:$H$149,2,FALSE)</f>
        <v>C1</v>
      </c>
      <c r="J21" s="87">
        <v>110.18</v>
      </c>
      <c r="K21" s="87">
        <v>120.25585802221741</v>
      </c>
      <c r="L21" s="87">
        <v>136</v>
      </c>
      <c r="O21" s="87" t="s">
        <v>187</v>
      </c>
      <c r="P21" s="87" t="s">
        <v>226</v>
      </c>
      <c r="Q21" s="229" t="s">
        <v>198</v>
      </c>
      <c r="R21" s="87" t="str">
        <f>VLOOKUP(E21,'PREMIUM TABLES'!$F$214:$G$219,2,FALSE)</f>
        <v>FORTH</v>
      </c>
      <c r="S21" s="87" t="str" cm="1">
        <f t="array" ref="S21">IF(AND(L21&gt;0,L21&lt;90),"A",IF(AND(L21&gt;90,L21&lt;123),"B",IF(AND(L21&gt;122,L21&lt;159),"C",IF(AND(L21&gt;159,L21&lt;185),"D",IF(AND(L21&gt;185,L21&lt;230),"E",IF(AND(L21&gt;230,L21&lt;350),"F",NONE))))))</f>
        <v>C</v>
      </c>
      <c r="T21" s="230">
        <f>VLOOKUP(O21,'PREMIUM TABLES'!$G$165:$H$172,2,FALSE)</f>
        <v>0.08</v>
      </c>
      <c r="U21" s="230">
        <f>VLOOKUP(P21,'PREMIUM TABLES'!$G$208:$H$209,2,FALSE)</f>
        <v>0.05</v>
      </c>
      <c r="V21" s="230">
        <f>VLOOKUP(Q21,'PREMIUM TABLES'!$G$175:$H$195,2,FALSE)</f>
        <v>0.15</v>
      </c>
      <c r="W21" s="230">
        <f>VLOOKUP(R21,'PREMIUM TABLES'!$G$214:$H$219,2,FALSE)</f>
        <v>0.06</v>
      </c>
      <c r="X21" s="230">
        <f>VLOOKUP(S21,'PREMIUM TABLES'!$F$199:$H$205,3,FALSE)</f>
        <v>3.5000000000000003E-2</v>
      </c>
      <c r="Y21" s="231">
        <f t="shared" si="3"/>
        <v>0.375</v>
      </c>
      <c r="Z21" s="231" t="str" cm="1">
        <f t="array" ref="Z21">IF(AND(Y21&gt;0,Y21&lt;0.5),"C",IF(AND(Y21&gt;=0.5,Y21&lt;0.73),"B",IF(AND(Y21&gt;=0.73,Y21&lt;0.98),"A",NONE)))</f>
        <v>C</v>
      </c>
      <c r="AA21" s="231" t="str">
        <f>VLOOKUP(G21,'ALL (R)'!$N$5:$R$862,5,FALSE)</f>
        <v>R 3</v>
      </c>
      <c r="AB21" s="232">
        <f>VLOOKUP(AA21,FACTS!$B$2:$L$14,10,FALSE)</f>
        <v>44625</v>
      </c>
      <c r="AC21" s="232">
        <f>VLOOKUP(AA21,FACTS!$B$2:$L$14,11,FALSE)</f>
        <v>49875</v>
      </c>
      <c r="AD21" s="232">
        <f>VLOOKUP(AA21,FACTS!$B$2:$N$14,13,FALSE)</f>
        <v>5250</v>
      </c>
      <c r="AE21" s="232">
        <f t="shared" si="4"/>
        <v>1968.75</v>
      </c>
      <c r="AF21" s="232">
        <f t="shared" si="5"/>
        <v>46593.75</v>
      </c>
      <c r="AG21" s="232">
        <f>AF21*FACTS!$T$2</f>
        <v>15375.9375</v>
      </c>
      <c r="AH21" s="232">
        <f>Table1[[#This Row],[UNIT (BUILDING) RATE (SEMI FINISHED)]]+4500</f>
        <v>51093.75</v>
      </c>
      <c r="AI21" s="232">
        <f>Table1[[#This Row],[UNIT (BUILDING) RATE (SEMI FINISHED)]]+7500</f>
        <v>54093.75</v>
      </c>
      <c r="AJ21" s="232">
        <f t="shared" si="6"/>
        <v>6336750</v>
      </c>
      <c r="AK21" s="232">
        <f>Table1[[#This Row],[UNIT (BUILDING) RATE (BASIC FINISH)]]*Table1[[#This Row],[Unit Selling Area]]</f>
        <v>6948750</v>
      </c>
      <c r="AL21" s="232">
        <f>Table1[[#This Row],[UNIT (BUILDING) RATE (FULLY FINISH)]]*Table1[[#This Row],[Unit Selling Area]]</f>
        <v>7356750</v>
      </c>
      <c r="AM21" s="232">
        <f t="shared" si="7"/>
        <v>0</v>
      </c>
      <c r="AN21" s="232">
        <f>(AM21+AJ21)*FACTS!$S$2</f>
        <v>538623.75</v>
      </c>
      <c r="AO21" s="101">
        <f>VLOOKUP(S21,FACTS!$A$17:$C$23,3,FALSE)</f>
        <v>2</v>
      </c>
      <c r="AP21" s="232">
        <f>VLOOKUP(AA21,FACTS!$B$2:$J$14,9,FALSE)</f>
        <v>210000</v>
      </c>
      <c r="AQ21" s="232">
        <f>Table1[[#This Row],[PARKING VALUE]]*1</f>
        <v>210000</v>
      </c>
      <c r="AR21" s="232">
        <f t="shared" si="0"/>
        <v>6546750</v>
      </c>
      <c r="AS21" s="440">
        <f>Table1[[#This Row],[TOTAL CARS VALUE]]+Table1[[#This Row],[UNIT (BUILDING) VALUE BASIC FINISHED]]+Table1[[#This Row],[UNIT (GARDEN) VALUE]]</f>
        <v>7158750</v>
      </c>
      <c r="AT21" s="232">
        <f>Table1[[#This Row],[TOTAL CARS VALUE]]+Table1[[#This Row],[UNIT (GARDEN) VALUE]]+Table1[[#This Row],[UNIT (BUILDING) VALUE FULLY FINISHED]]</f>
        <v>7566750</v>
      </c>
      <c r="AU21" s="233">
        <f>VLOOKUP(I21,'C PHASES'!$I$108:$J$110,2,FALSE)</f>
        <v>45839</v>
      </c>
      <c r="AV21" s="233">
        <f>VLOOKUP(AA21,'C PHASES'!$I$113:$J$125,2,FALSE)</f>
        <v>45383</v>
      </c>
    </row>
    <row r="22" spans="1:48" ht="15" customHeight="1" x14ac:dyDescent="0.25">
      <c r="A22" s="235"/>
      <c r="B22" s="227" t="str">
        <f t="shared" si="1"/>
        <v>A</v>
      </c>
      <c r="C22" s="227" t="s">
        <v>17</v>
      </c>
      <c r="D22" s="227" t="s">
        <v>1147</v>
      </c>
      <c r="E22" s="228">
        <v>4</v>
      </c>
      <c r="F22" s="101">
        <v>2</v>
      </c>
      <c r="G22" s="87" t="str">
        <f t="shared" si="2"/>
        <v>A142</v>
      </c>
      <c r="H22" s="87" t="s">
        <v>1293</v>
      </c>
      <c r="I22" s="89" t="str">
        <f>VLOOKUP(C22,'PREMIUM TABLES'!$G$107:$H$149,2,FALSE)</f>
        <v>C1</v>
      </c>
      <c r="J22" s="87">
        <v>110.18</v>
      </c>
      <c r="K22" s="87">
        <v>120.25585802221741</v>
      </c>
      <c r="L22" s="87">
        <v>136</v>
      </c>
      <c r="O22" s="87" t="s">
        <v>180</v>
      </c>
      <c r="P22" s="87" t="s">
        <v>226</v>
      </c>
      <c r="Q22" s="229" t="s">
        <v>213</v>
      </c>
      <c r="R22" s="87" t="str">
        <f>VLOOKUP(E22,'PREMIUM TABLES'!$F$214:$G$219,2,FALSE)</f>
        <v>FORTH</v>
      </c>
      <c r="S22" s="87" t="str" cm="1">
        <f t="array" ref="S22">IF(AND(L22&gt;0,L22&lt;90),"A",IF(AND(L22&gt;90,L22&lt;123),"B",IF(AND(L22&gt;122,L22&lt;159),"C",IF(AND(L22&gt;159,L22&lt;185),"D",IF(AND(L22&gt;185,L22&lt;230),"E",IF(AND(L22&gt;230,L22&lt;350),"F",NONE))))))</f>
        <v>C</v>
      </c>
      <c r="T22" s="230">
        <f>VLOOKUP(O22,'PREMIUM TABLES'!$G$165:$H$172,2,FALSE)</f>
        <v>0.13</v>
      </c>
      <c r="U22" s="230">
        <f>VLOOKUP(P22,'PREMIUM TABLES'!$G$208:$H$209,2,FALSE)</f>
        <v>0.05</v>
      </c>
      <c r="V22" s="230">
        <f>VLOOKUP(Q22,'PREMIUM TABLES'!$G$175:$H$195,2,FALSE)</f>
        <v>0.4</v>
      </c>
      <c r="W22" s="230">
        <f>VLOOKUP(R22,'PREMIUM TABLES'!$G$214:$H$219,2,FALSE)</f>
        <v>0.06</v>
      </c>
      <c r="X22" s="230">
        <f>VLOOKUP(S22,'PREMIUM TABLES'!$F$199:$H$205,3,FALSE)</f>
        <v>3.5000000000000003E-2</v>
      </c>
      <c r="Y22" s="231">
        <f t="shared" si="3"/>
        <v>0.67500000000000016</v>
      </c>
      <c r="Z22" s="231" t="str" cm="1">
        <f t="array" ref="Z22">IF(AND(Y22&gt;0,Y22&lt;0.5),"C",IF(AND(Y22&gt;=0.5,Y22&lt;0.73),"B",IF(AND(Y22&gt;=0.73,Y22&lt;0.98),"A",NONE)))</f>
        <v>B</v>
      </c>
      <c r="AA22" s="231" t="str">
        <f>VLOOKUP(G22,'ALL (R)'!$N$5:$R$862,5,FALSE)</f>
        <v>R 6</v>
      </c>
      <c r="AB22" s="232">
        <f>VLOOKUP(AA22,FACTS!$B$2:$L$14,10,FALSE)</f>
        <v>48450.000000000007</v>
      </c>
      <c r="AC22" s="232">
        <f>VLOOKUP(AA22,FACTS!$B$2:$L$14,11,FALSE)</f>
        <v>54150.000000000007</v>
      </c>
      <c r="AD22" s="232">
        <f>VLOOKUP(AA22,FACTS!$B$2:$N$14,13,FALSE)</f>
        <v>5700</v>
      </c>
      <c r="AE22" s="232">
        <f t="shared" si="4"/>
        <v>3847.5000000000009</v>
      </c>
      <c r="AF22" s="232">
        <f t="shared" si="5"/>
        <v>52297.500000000007</v>
      </c>
      <c r="AG22" s="232">
        <f>AF22*FACTS!$T$2</f>
        <v>17258.175000000003</v>
      </c>
      <c r="AH22" s="232">
        <f>Table1[[#This Row],[UNIT (BUILDING) RATE (SEMI FINISHED)]]+4500</f>
        <v>56797.500000000007</v>
      </c>
      <c r="AI22" s="232">
        <f>Table1[[#This Row],[UNIT (BUILDING) RATE (SEMI FINISHED)]]+7500</f>
        <v>59797.500000000007</v>
      </c>
      <c r="AJ22" s="232">
        <f t="shared" si="6"/>
        <v>7112460.0000000009</v>
      </c>
      <c r="AK22" s="232">
        <f>Table1[[#This Row],[UNIT (BUILDING) RATE (BASIC FINISH)]]*Table1[[#This Row],[Unit Selling Area]]</f>
        <v>7724460.0000000009</v>
      </c>
      <c r="AL22" s="232">
        <f>Table1[[#This Row],[UNIT (BUILDING) RATE (FULLY FINISH)]]*Table1[[#This Row],[Unit Selling Area]]</f>
        <v>8132460.0000000009</v>
      </c>
      <c r="AM22" s="232">
        <f t="shared" si="7"/>
        <v>0</v>
      </c>
      <c r="AN22" s="232">
        <f>(AM22+AJ22)*FACTS!$S$2</f>
        <v>604559.10000000009</v>
      </c>
      <c r="AO22" s="101">
        <f>VLOOKUP(S22,FACTS!$A$17:$C$23,3,FALSE)</f>
        <v>2</v>
      </c>
      <c r="AP22" s="232">
        <f>VLOOKUP(AA22,FACTS!$B$2:$J$14,9,FALSE)</f>
        <v>228000.00000000003</v>
      </c>
      <c r="AQ22" s="232">
        <f>Table1[[#This Row],[PARKING VALUE]]*1</f>
        <v>228000.00000000003</v>
      </c>
      <c r="AR22" s="232">
        <f t="shared" si="0"/>
        <v>7340460.0000000009</v>
      </c>
      <c r="AS22" s="440">
        <f>Table1[[#This Row],[TOTAL CARS VALUE]]+Table1[[#This Row],[UNIT (BUILDING) VALUE BASIC FINISHED]]+Table1[[#This Row],[UNIT (GARDEN) VALUE]]</f>
        <v>7952460.0000000009</v>
      </c>
      <c r="AT22" s="232">
        <f>Table1[[#This Row],[TOTAL CARS VALUE]]+Table1[[#This Row],[UNIT (GARDEN) VALUE]]+Table1[[#This Row],[UNIT (BUILDING) VALUE FULLY FINISHED]]</f>
        <v>8360460.0000000009</v>
      </c>
      <c r="AU22" s="233">
        <f>VLOOKUP(I22,'C PHASES'!$I$108:$J$110,2,FALSE)</f>
        <v>45839</v>
      </c>
      <c r="AV22" s="233">
        <f>VLOOKUP(AA22,'C PHASES'!$I$113:$J$125,2,FALSE)</f>
        <v>45658</v>
      </c>
    </row>
    <row r="23" spans="1:48" ht="15" customHeight="1" x14ac:dyDescent="0.25">
      <c r="A23" s="235"/>
      <c r="B23" s="227" t="str">
        <f t="shared" si="1"/>
        <v>A</v>
      </c>
      <c r="C23" s="227" t="s">
        <v>17</v>
      </c>
      <c r="D23" s="227" t="s">
        <v>1147</v>
      </c>
      <c r="E23" s="228">
        <v>4</v>
      </c>
      <c r="F23" s="101">
        <v>3</v>
      </c>
      <c r="G23" s="87" t="str">
        <f t="shared" si="2"/>
        <v>A143</v>
      </c>
      <c r="H23" s="87" t="s">
        <v>1293</v>
      </c>
      <c r="I23" s="89" t="str">
        <f>VLOOKUP(C23,'PREMIUM TABLES'!$G$107:$H$149,2,FALSE)</f>
        <v>C1</v>
      </c>
      <c r="J23" s="87">
        <v>89.12</v>
      </c>
      <c r="K23" s="87">
        <v>97.269940705572836</v>
      </c>
      <c r="L23" s="87">
        <v>110</v>
      </c>
      <c r="O23" s="87" t="s">
        <v>180</v>
      </c>
      <c r="P23" s="87" t="s">
        <v>190</v>
      </c>
      <c r="Q23" s="229" t="s">
        <v>213</v>
      </c>
      <c r="R23" s="87" t="str">
        <f>VLOOKUP(E23,'PREMIUM TABLES'!$F$214:$G$219,2,FALSE)</f>
        <v>FORTH</v>
      </c>
      <c r="S23" s="87" t="str" cm="1">
        <f t="array" ref="S23">IF(AND(L23&gt;0,L23&lt;90),"A",IF(AND(L23&gt;90,L23&lt;123),"B",IF(AND(L23&gt;122,L23&lt;159),"C",IF(AND(L23&gt;159,L23&lt;185),"D",IF(AND(L23&gt;185,L23&lt;230),"E",IF(AND(L23&gt;230,L23&lt;350),"F",NONE))))))</f>
        <v>B</v>
      </c>
      <c r="T23" s="230">
        <f>VLOOKUP(O23,'PREMIUM TABLES'!$G$165:$H$172,2,FALSE)</f>
        <v>0.13</v>
      </c>
      <c r="U23" s="230">
        <f>VLOOKUP(P23,'PREMIUM TABLES'!$G$208:$H$209,2,FALSE)</f>
        <v>2.5000000000000001E-2</v>
      </c>
      <c r="V23" s="230">
        <f>VLOOKUP(Q23,'PREMIUM TABLES'!$G$175:$H$195,2,FALSE)</f>
        <v>0.4</v>
      </c>
      <c r="W23" s="230">
        <f>VLOOKUP(R23,'PREMIUM TABLES'!$G$214:$H$219,2,FALSE)</f>
        <v>0.06</v>
      </c>
      <c r="X23" s="230">
        <f>VLOOKUP(S23,'PREMIUM TABLES'!$F$199:$H$205,3,FALSE)</f>
        <v>0.04</v>
      </c>
      <c r="Y23" s="231">
        <f t="shared" si="3"/>
        <v>0.65500000000000003</v>
      </c>
      <c r="Z23" s="231" t="str" cm="1">
        <f t="array" ref="Z23">IF(AND(Y23&gt;0,Y23&lt;0.5),"C",IF(AND(Y23&gt;=0.5,Y23&lt;0.73),"B",IF(AND(Y23&gt;=0.73,Y23&lt;0.98),"A",NONE)))</f>
        <v>B</v>
      </c>
      <c r="AA23" s="231" t="str">
        <f>VLOOKUP(G23,'ALL (R)'!$N$5:$R$862,5,FALSE)</f>
        <v>R 5</v>
      </c>
      <c r="AB23" s="232">
        <f>VLOOKUP(AA23,FACTS!$B$2:$L$14,10,FALSE)</f>
        <v>46750.000000000007</v>
      </c>
      <c r="AC23" s="232">
        <f>VLOOKUP(AA23,FACTS!$B$2:$L$14,11,FALSE)</f>
        <v>52250.000000000007</v>
      </c>
      <c r="AD23" s="232">
        <f>VLOOKUP(AA23,FACTS!$B$2:$N$14,13,FALSE)</f>
        <v>5500</v>
      </c>
      <c r="AE23" s="232">
        <f t="shared" si="4"/>
        <v>3602.5</v>
      </c>
      <c r="AF23" s="232">
        <f t="shared" si="5"/>
        <v>50352.500000000007</v>
      </c>
      <c r="AG23" s="232">
        <f>AF23*FACTS!$T$2</f>
        <v>16616.325000000004</v>
      </c>
      <c r="AH23" s="232">
        <f>Table1[[#This Row],[UNIT (BUILDING) RATE (SEMI FINISHED)]]+4500</f>
        <v>54852.500000000007</v>
      </c>
      <c r="AI23" s="232">
        <f>Table1[[#This Row],[UNIT (BUILDING) RATE (SEMI FINISHED)]]+7500</f>
        <v>57852.500000000007</v>
      </c>
      <c r="AJ23" s="232">
        <f t="shared" si="6"/>
        <v>5538775.0000000009</v>
      </c>
      <c r="AK23" s="232">
        <f>Table1[[#This Row],[UNIT (BUILDING) RATE (BASIC FINISH)]]*Table1[[#This Row],[Unit Selling Area]]</f>
        <v>6033775.0000000009</v>
      </c>
      <c r="AL23" s="232">
        <f>Table1[[#This Row],[UNIT (BUILDING) RATE (FULLY FINISH)]]*Table1[[#This Row],[Unit Selling Area]]</f>
        <v>6363775.0000000009</v>
      </c>
      <c r="AM23" s="232">
        <f t="shared" si="7"/>
        <v>0</v>
      </c>
      <c r="AN23" s="232">
        <f>(AM23+AJ23)*FACTS!$S$2</f>
        <v>470795.87500000012</v>
      </c>
      <c r="AO23" s="101">
        <f>VLOOKUP(S23,FACTS!$A$17:$C$23,3,FALSE)</f>
        <v>1</v>
      </c>
      <c r="AP23" s="232">
        <f>VLOOKUP(AA23,FACTS!$B$2:$J$14,9,FALSE)</f>
        <v>220000.00000000003</v>
      </c>
      <c r="AQ23" s="232">
        <f>Table1[[#This Row],[PARKING VALUE]]*1</f>
        <v>220000.00000000003</v>
      </c>
      <c r="AR23" s="232">
        <f t="shared" si="0"/>
        <v>5758775.0000000009</v>
      </c>
      <c r="AS23" s="440">
        <f>Table1[[#This Row],[TOTAL CARS VALUE]]+Table1[[#This Row],[UNIT (BUILDING) VALUE BASIC FINISHED]]+Table1[[#This Row],[UNIT (GARDEN) VALUE]]</f>
        <v>6253775.0000000009</v>
      </c>
      <c r="AT23" s="232">
        <f>Table1[[#This Row],[TOTAL CARS VALUE]]+Table1[[#This Row],[UNIT (GARDEN) VALUE]]+Table1[[#This Row],[UNIT (BUILDING) VALUE FULLY FINISHED]]</f>
        <v>6583775.0000000009</v>
      </c>
      <c r="AU23" s="233">
        <f>VLOOKUP(I23,'C PHASES'!$I$108:$J$110,2,FALSE)</f>
        <v>45839</v>
      </c>
      <c r="AV23" s="233">
        <f>VLOOKUP(AA23,'C PHASES'!$I$113:$J$125,2,FALSE)</f>
        <v>45566</v>
      </c>
    </row>
    <row r="24" spans="1:48" ht="15" customHeight="1" x14ac:dyDescent="0.25">
      <c r="A24" s="235"/>
      <c r="B24" s="227" t="str">
        <f t="shared" si="1"/>
        <v>A</v>
      </c>
      <c r="C24" s="227" t="s">
        <v>17</v>
      </c>
      <c r="D24" s="227" t="s">
        <v>1147</v>
      </c>
      <c r="E24" s="228">
        <v>4</v>
      </c>
      <c r="F24" s="101">
        <v>4</v>
      </c>
      <c r="G24" s="87" t="str">
        <f t="shared" si="2"/>
        <v>A144</v>
      </c>
      <c r="H24" s="87" t="s">
        <v>1293</v>
      </c>
      <c r="I24" s="89" t="str">
        <f>VLOOKUP(C24,'PREMIUM TABLES'!$G$107:$H$149,2,FALSE)</f>
        <v>C1</v>
      </c>
      <c r="J24" s="87">
        <v>89.12</v>
      </c>
      <c r="K24" s="87">
        <v>97.269940705572836</v>
      </c>
      <c r="L24" s="87">
        <v>110</v>
      </c>
      <c r="O24" s="87" t="s">
        <v>187</v>
      </c>
      <c r="P24" s="87" t="s">
        <v>190</v>
      </c>
      <c r="Q24" s="229" t="s">
        <v>198</v>
      </c>
      <c r="R24" s="87" t="str">
        <f>VLOOKUP(E24,'PREMIUM TABLES'!$F$214:$G$219,2,FALSE)</f>
        <v>FORTH</v>
      </c>
      <c r="S24" s="87" t="str" cm="1">
        <f t="array" ref="S24">IF(AND(L24&gt;0,L24&lt;90),"A",IF(AND(L24&gt;90,L24&lt;123),"B",IF(AND(L24&gt;122,L24&lt;159),"C",IF(AND(L24&gt;159,L24&lt;185),"D",IF(AND(L24&gt;185,L24&lt;230),"E",IF(AND(L24&gt;230,L24&lt;350),"F",NONE))))))</f>
        <v>B</v>
      </c>
      <c r="T24" s="230">
        <f>VLOOKUP(O24,'PREMIUM TABLES'!$G$165:$H$172,2,FALSE)</f>
        <v>0.08</v>
      </c>
      <c r="U24" s="230">
        <f>VLOOKUP(P24,'PREMIUM TABLES'!$G$208:$H$209,2,FALSE)</f>
        <v>2.5000000000000001E-2</v>
      </c>
      <c r="V24" s="230">
        <f>VLOOKUP(Q24,'PREMIUM TABLES'!$G$175:$H$195,2,FALSE)</f>
        <v>0.15</v>
      </c>
      <c r="W24" s="230">
        <f>VLOOKUP(R24,'PREMIUM TABLES'!$G$214:$H$219,2,FALSE)</f>
        <v>0.06</v>
      </c>
      <c r="X24" s="230">
        <f>VLOOKUP(S24,'PREMIUM TABLES'!$F$199:$H$205,3,FALSE)</f>
        <v>0.04</v>
      </c>
      <c r="Y24" s="231">
        <f t="shared" si="3"/>
        <v>0.35499999999999998</v>
      </c>
      <c r="Z24" s="231" t="str" cm="1">
        <f t="array" ref="Z24">IF(AND(Y24&gt;0,Y24&lt;0.5),"C",IF(AND(Y24&gt;=0.5,Y24&lt;0.73),"B",IF(AND(Y24&gt;=0.73,Y24&lt;0.98),"A",NONE)))</f>
        <v>C</v>
      </c>
      <c r="AA24" s="231" t="str">
        <f>VLOOKUP(G24,'ALL (R)'!$N$5:$R$862,5,FALSE)</f>
        <v>R 1</v>
      </c>
      <c r="AB24" s="232">
        <f>VLOOKUP(AA24,FACTS!$B$2:$L$14,10,FALSE)</f>
        <v>42500</v>
      </c>
      <c r="AC24" s="232">
        <f>VLOOKUP(AA24,FACTS!$B$2:$L$14,11,FALSE)</f>
        <v>47500</v>
      </c>
      <c r="AD24" s="232">
        <f>VLOOKUP(AA24,FACTS!$B$2:$N$14,13,FALSE)</f>
        <v>5000</v>
      </c>
      <c r="AE24" s="232">
        <f t="shared" si="4"/>
        <v>1775</v>
      </c>
      <c r="AF24" s="232">
        <f t="shared" si="5"/>
        <v>44275</v>
      </c>
      <c r="AG24" s="232">
        <f>AF24*FACTS!$T$2</f>
        <v>14610.75</v>
      </c>
      <c r="AH24" s="232">
        <f>Table1[[#This Row],[UNIT (BUILDING) RATE (SEMI FINISHED)]]+4500</f>
        <v>48775</v>
      </c>
      <c r="AI24" s="232">
        <f>Table1[[#This Row],[UNIT (BUILDING) RATE (SEMI FINISHED)]]+7500</f>
        <v>51775</v>
      </c>
      <c r="AJ24" s="232">
        <f t="shared" si="6"/>
        <v>4870250</v>
      </c>
      <c r="AK24" s="232">
        <f>Table1[[#This Row],[UNIT (BUILDING) RATE (BASIC FINISH)]]*Table1[[#This Row],[Unit Selling Area]]</f>
        <v>5365250</v>
      </c>
      <c r="AL24" s="232">
        <f>Table1[[#This Row],[UNIT (BUILDING) RATE (FULLY FINISH)]]*Table1[[#This Row],[Unit Selling Area]]</f>
        <v>5695250</v>
      </c>
      <c r="AM24" s="232">
        <f t="shared" si="7"/>
        <v>0</v>
      </c>
      <c r="AN24" s="232">
        <f>(AM24+AJ24)*FACTS!$S$2</f>
        <v>413971.25000000006</v>
      </c>
      <c r="AO24" s="101">
        <f>VLOOKUP(S24,FACTS!$A$17:$C$23,3,FALSE)</f>
        <v>1</v>
      </c>
      <c r="AP24" s="232">
        <f>VLOOKUP(AA24,FACTS!$B$2:$J$14,9,FALSE)</f>
        <v>200000</v>
      </c>
      <c r="AQ24" s="232">
        <f>Table1[[#This Row],[PARKING VALUE]]*1</f>
        <v>200000</v>
      </c>
      <c r="AR24" s="232">
        <f t="shared" si="0"/>
        <v>5070250</v>
      </c>
      <c r="AS24" s="440">
        <f>Table1[[#This Row],[TOTAL CARS VALUE]]+Table1[[#This Row],[UNIT (BUILDING) VALUE BASIC FINISHED]]+Table1[[#This Row],[UNIT (GARDEN) VALUE]]</f>
        <v>5565250</v>
      </c>
      <c r="AT24" s="232">
        <f>Table1[[#This Row],[TOTAL CARS VALUE]]+Table1[[#This Row],[UNIT (GARDEN) VALUE]]+Table1[[#This Row],[UNIT (BUILDING) VALUE FULLY FINISHED]]</f>
        <v>5895250</v>
      </c>
      <c r="AU24" s="233">
        <f>VLOOKUP(I24,'C PHASES'!$I$108:$J$110,2,FALSE)</f>
        <v>45839</v>
      </c>
      <c r="AV24" s="233">
        <f>VLOOKUP(AA24,'C PHASES'!$I$113:$J$125,2,FALSE)</f>
        <v>45170</v>
      </c>
    </row>
    <row r="25" spans="1:48" ht="15" customHeight="1" x14ac:dyDescent="0.25">
      <c r="A25" s="235" t="s">
        <v>15</v>
      </c>
      <c r="B25" s="227" t="str">
        <f t="shared" si="1"/>
        <v>A</v>
      </c>
      <c r="C25" s="227" t="s">
        <v>19</v>
      </c>
      <c r="D25" s="227" t="s">
        <v>1147</v>
      </c>
      <c r="E25" s="228">
        <v>0</v>
      </c>
      <c r="F25" s="101">
        <v>1</v>
      </c>
      <c r="G25" s="87" t="str">
        <f>LEFT(C25,2)&amp;E25&amp;F25</f>
        <v>A201</v>
      </c>
      <c r="H25" s="87" t="s">
        <v>1296</v>
      </c>
      <c r="I25" s="89" t="str">
        <f>VLOOKUP(C25,'PREMIUM TABLES'!$G$107:$H$149,2,FALSE)</f>
        <v>C1</v>
      </c>
      <c r="J25" s="87">
        <v>60.98</v>
      </c>
      <c r="K25" s="87">
        <v>66.844099610330389</v>
      </c>
      <c r="L25" s="87">
        <v>75</v>
      </c>
      <c r="M25" s="87">
        <v>23.808399999999999</v>
      </c>
      <c r="O25" s="87" t="s">
        <v>187</v>
      </c>
      <c r="P25" s="87" t="s">
        <v>190</v>
      </c>
      <c r="Q25" s="229" t="s">
        <v>198</v>
      </c>
      <c r="R25" s="87" t="str">
        <f>VLOOKUP(E25,'PREMIUM TABLES'!$F$214:$G$219,2,FALSE)</f>
        <v>GROUND</v>
      </c>
      <c r="S25" s="87" t="str" cm="1">
        <f t="array" ref="S25">IF(AND(L25&gt;0,L25&lt;90),"A",IF(AND(L25&gt;90,L25&lt;123),"B",IF(AND(L25&gt;122,L25&lt;159),"C",IF(AND(L25&gt;159,L25&lt;185),"D",IF(AND(L25&gt;185,L25&lt;230),"E",IF(AND(L25&gt;230,L25&lt;350),"F",NONE))))))</f>
        <v>A</v>
      </c>
      <c r="T25" s="230">
        <f>VLOOKUP(O25,'PREMIUM TABLES'!$G$165:$H$172,2,FALSE)</f>
        <v>0.08</v>
      </c>
      <c r="U25" s="230">
        <f>VLOOKUP(P25,'PREMIUM TABLES'!$G$208:$H$209,2,FALSE)</f>
        <v>2.5000000000000001E-2</v>
      </c>
      <c r="V25" s="230">
        <f>VLOOKUP(Q25,'PREMIUM TABLES'!$G$175:$H$195,2,FALSE)</f>
        <v>0.15</v>
      </c>
      <c r="W25" s="230">
        <f>VLOOKUP(R25,'PREMIUM TABLES'!$G$214:$H$219,2,FALSE)</f>
        <v>0.05</v>
      </c>
      <c r="X25" s="230">
        <f>VLOOKUP(S25,'PREMIUM TABLES'!$F$199:$H$205,3,FALSE)</f>
        <v>0.05</v>
      </c>
      <c r="Y25" s="231">
        <f t="shared" si="3"/>
        <v>0.35499999999999998</v>
      </c>
      <c r="Z25" s="231" t="str" cm="1">
        <f t="array" ref="Z25">IF(AND(Y25&gt;0,Y25&lt;0.5),"C",IF(AND(Y25&gt;=0.5,Y25&lt;0.73),"B",IF(AND(Y25&gt;=0.73,Y25&lt;0.98),"A",NONE)))</f>
        <v>C</v>
      </c>
      <c r="AA25" s="231" t="str">
        <f>VLOOKUP(G25,'ALL (R)'!$N$5:$R$862,5,FALSE)</f>
        <v>R 1</v>
      </c>
      <c r="AB25" s="232">
        <f>VLOOKUP(AA25,FACTS!$B$2:$L$14,10,FALSE)</f>
        <v>42500</v>
      </c>
      <c r="AC25" s="232">
        <f>VLOOKUP(AA25,FACTS!$B$2:$L$14,11,FALSE)</f>
        <v>47500</v>
      </c>
      <c r="AD25" s="232">
        <f>VLOOKUP(AA25,FACTS!$B$2:$N$14,13,FALSE)</f>
        <v>5000</v>
      </c>
      <c r="AE25" s="232">
        <f t="shared" si="4"/>
        <v>1775</v>
      </c>
      <c r="AF25" s="232">
        <f t="shared" si="5"/>
        <v>44275</v>
      </c>
      <c r="AG25" s="232">
        <f>AF25*FACTS!$T$2</f>
        <v>14610.75</v>
      </c>
      <c r="AH25" s="232">
        <f>Table1[[#This Row],[UNIT (BUILDING) RATE (SEMI FINISHED)]]+4500</f>
        <v>48775</v>
      </c>
      <c r="AI25" s="232">
        <f>Table1[[#This Row],[UNIT (BUILDING) RATE (SEMI FINISHED)]]+7500</f>
        <v>51775</v>
      </c>
      <c r="AJ25" s="232">
        <f t="shared" si="6"/>
        <v>3320625</v>
      </c>
      <c r="AK25" s="232">
        <f>Table1[[#This Row],[UNIT (BUILDING) RATE (BASIC FINISH)]]*Table1[[#This Row],[Unit Selling Area]]</f>
        <v>3658125</v>
      </c>
      <c r="AL25" s="232">
        <f>Table1[[#This Row],[UNIT (BUILDING) RATE (FULLY FINISH)]]*Table1[[#This Row],[Unit Selling Area]]</f>
        <v>3883125</v>
      </c>
      <c r="AM25" s="232">
        <f t="shared" si="7"/>
        <v>347858.58029999997</v>
      </c>
      <c r="AN25" s="232">
        <f>(AM25+AJ25)*FACTS!$S$2</f>
        <v>311821.10432550003</v>
      </c>
      <c r="AO25" s="101">
        <f>VLOOKUP(S25,FACTS!$A$17:$C$23,3,FALSE)</f>
        <v>1</v>
      </c>
      <c r="AP25" s="232">
        <f>VLOOKUP(AA25,FACTS!$B$2:$J$14,9,FALSE)</f>
        <v>200000</v>
      </c>
      <c r="AQ25" s="232">
        <f>Table1[[#This Row],[PARKING VALUE]]*1</f>
        <v>200000</v>
      </c>
      <c r="AR25" s="232">
        <f t="shared" si="0"/>
        <v>3868483.5803</v>
      </c>
      <c r="AS25" s="440">
        <f>Table1[[#This Row],[TOTAL CARS VALUE]]+Table1[[#This Row],[UNIT (BUILDING) VALUE BASIC FINISHED]]+Table1[[#This Row],[UNIT (GARDEN) VALUE]]</f>
        <v>4205983.5802999996</v>
      </c>
      <c r="AT25" s="232">
        <f>Table1[[#This Row],[TOTAL CARS VALUE]]+Table1[[#This Row],[UNIT (GARDEN) VALUE]]+Table1[[#This Row],[UNIT (BUILDING) VALUE FULLY FINISHED]]</f>
        <v>4430983.5802999996</v>
      </c>
      <c r="AU25" s="233">
        <f>VLOOKUP(I25,'C PHASES'!$I$108:$J$110,2,FALSE)</f>
        <v>45839</v>
      </c>
      <c r="AV25" s="233">
        <f>VLOOKUP(AA25,'C PHASES'!$I$113:$J$125,2,FALSE)</f>
        <v>45170</v>
      </c>
    </row>
    <row r="26" spans="1:48" ht="15" customHeight="1" x14ac:dyDescent="0.25">
      <c r="A26" s="235"/>
      <c r="B26" s="227" t="str">
        <f t="shared" si="1"/>
        <v>A</v>
      </c>
      <c r="C26" s="227" t="s">
        <v>19</v>
      </c>
      <c r="D26" s="227" t="s">
        <v>1147</v>
      </c>
      <c r="E26" s="228">
        <v>0</v>
      </c>
      <c r="F26" s="101">
        <v>2</v>
      </c>
      <c r="G26" s="87" t="str">
        <f t="shared" ref="G26:G44" si="8">LEFT(C26,2)&amp;E26&amp;F26</f>
        <v>A202</v>
      </c>
      <c r="H26" s="87" t="s">
        <v>1293</v>
      </c>
      <c r="I26" s="89" t="str">
        <f>VLOOKUP(C26,'PREMIUM TABLES'!$G$107:$H$149,2,FALSE)</f>
        <v>C1</v>
      </c>
      <c r="J26" s="87">
        <v>89.96</v>
      </c>
      <c r="K26" s="87">
        <v>98.610941307729107</v>
      </c>
      <c r="L26" s="87">
        <v>111</v>
      </c>
      <c r="M26" s="87">
        <v>50.503900000000002</v>
      </c>
      <c r="O26" s="87" t="s">
        <v>180</v>
      </c>
      <c r="P26" s="87" t="s">
        <v>190</v>
      </c>
      <c r="Q26" s="229" t="s">
        <v>213</v>
      </c>
      <c r="R26" s="87" t="str">
        <f>VLOOKUP(E26,'PREMIUM TABLES'!$F$214:$G$219,2,FALSE)</f>
        <v>GROUND</v>
      </c>
      <c r="S26" s="87" t="str" cm="1">
        <f t="array" ref="S26">IF(AND(L26&gt;0,L26&lt;90),"A",IF(AND(L26&gt;90,L26&lt;123),"B",IF(AND(L26&gt;122,L26&lt;159),"C",IF(AND(L26&gt;159,L26&lt;185),"D",IF(AND(L26&gt;185,L26&lt;230),"E",IF(AND(L26&gt;230,L26&lt;350),"F",NONE))))))</f>
        <v>B</v>
      </c>
      <c r="T26" s="230">
        <f>VLOOKUP(O26,'PREMIUM TABLES'!$G$165:$H$172,2,FALSE)</f>
        <v>0.13</v>
      </c>
      <c r="U26" s="230">
        <f>VLOOKUP(P26,'PREMIUM TABLES'!$G$208:$H$209,2,FALSE)</f>
        <v>2.5000000000000001E-2</v>
      </c>
      <c r="V26" s="230">
        <f>VLOOKUP(Q26,'PREMIUM TABLES'!$G$175:$H$195,2,FALSE)</f>
        <v>0.4</v>
      </c>
      <c r="W26" s="230">
        <f>VLOOKUP(R26,'PREMIUM TABLES'!$G$214:$H$219,2,FALSE)</f>
        <v>0.05</v>
      </c>
      <c r="X26" s="230">
        <f>VLOOKUP(S26,'PREMIUM TABLES'!$F$199:$H$205,3,FALSE)</f>
        <v>0.04</v>
      </c>
      <c r="Y26" s="231">
        <f t="shared" si="3"/>
        <v>0.64500000000000013</v>
      </c>
      <c r="Z26" s="231" t="str" cm="1">
        <f t="array" ref="Z26">IF(AND(Y26&gt;0,Y26&lt;0.5),"C",IF(AND(Y26&gt;=0.5,Y26&lt;0.73),"B",IF(AND(Y26&gt;=0.73,Y26&lt;0.98),"A",NONE)))</f>
        <v>B</v>
      </c>
      <c r="AA26" s="231" t="str">
        <f>VLOOKUP(G26,'ALL (R)'!$N$5:$R$862,5,FALSE)</f>
        <v>R 4</v>
      </c>
      <c r="AB26" s="232">
        <f>VLOOKUP(AA26,FACTS!$B$2:$L$14,10,FALSE)</f>
        <v>45687.5</v>
      </c>
      <c r="AC26" s="232">
        <f>VLOOKUP(AA26,FACTS!$B$2:$L$14,11,FALSE)</f>
        <v>51062.5</v>
      </c>
      <c r="AD26" s="232">
        <f>VLOOKUP(AA26,FACTS!$B$2:$N$14,13,FALSE)</f>
        <v>5375</v>
      </c>
      <c r="AE26" s="232">
        <f t="shared" si="4"/>
        <v>3466.8750000000009</v>
      </c>
      <c r="AF26" s="232">
        <f t="shared" si="5"/>
        <v>49154.375</v>
      </c>
      <c r="AG26" s="232">
        <f>AF26*FACTS!$T$2</f>
        <v>16220.94375</v>
      </c>
      <c r="AH26" s="232">
        <f>Table1[[#This Row],[UNIT (BUILDING) RATE (SEMI FINISHED)]]+4500</f>
        <v>53654.375</v>
      </c>
      <c r="AI26" s="232">
        <f>Table1[[#This Row],[UNIT (BUILDING) RATE (SEMI FINISHED)]]+7500</f>
        <v>56654.375</v>
      </c>
      <c r="AJ26" s="232">
        <f t="shared" si="6"/>
        <v>5456135.625</v>
      </c>
      <c r="AK26" s="232">
        <f>Table1[[#This Row],[UNIT (BUILDING) RATE (BASIC FINISH)]]*Table1[[#This Row],[Unit Selling Area]]</f>
        <v>5955635.625</v>
      </c>
      <c r="AL26" s="232">
        <f>Table1[[#This Row],[UNIT (BUILDING) RATE (FULLY FINISH)]]*Table1[[#This Row],[Unit Selling Area]]</f>
        <v>6288635.625</v>
      </c>
      <c r="AM26" s="232">
        <f t="shared" si="7"/>
        <v>819220.92105562508</v>
      </c>
      <c r="AN26" s="232">
        <f>(AM26+AJ26)*FACTS!$S$2</f>
        <v>533405.30641472817</v>
      </c>
      <c r="AO26" s="101">
        <f>VLOOKUP(S26,FACTS!$A$17:$C$23,3,FALSE)</f>
        <v>1</v>
      </c>
      <c r="AP26" s="232">
        <f>VLOOKUP(AA26,FACTS!$B$2:$J$14,9,FALSE)</f>
        <v>215000</v>
      </c>
      <c r="AQ26" s="232">
        <f>Table1[[#This Row],[PARKING VALUE]]*1</f>
        <v>215000</v>
      </c>
      <c r="AR26" s="232">
        <f t="shared" si="0"/>
        <v>6490356.5460556252</v>
      </c>
      <c r="AS26" s="440">
        <f>Table1[[#This Row],[TOTAL CARS VALUE]]+Table1[[#This Row],[UNIT (BUILDING) VALUE BASIC FINISHED]]+Table1[[#This Row],[UNIT (GARDEN) VALUE]]</f>
        <v>6989856.5460556252</v>
      </c>
      <c r="AT26" s="232">
        <f>Table1[[#This Row],[TOTAL CARS VALUE]]+Table1[[#This Row],[UNIT (GARDEN) VALUE]]+Table1[[#This Row],[UNIT (BUILDING) VALUE FULLY FINISHED]]</f>
        <v>7322856.5460556252</v>
      </c>
      <c r="AU26" s="233">
        <f>VLOOKUP(I26,'C PHASES'!$I$108:$J$110,2,FALSE)</f>
        <v>45839</v>
      </c>
      <c r="AV26" s="233">
        <f>VLOOKUP(AA26,'C PHASES'!$I$113:$J$125,2,FALSE)</f>
        <v>45474</v>
      </c>
    </row>
    <row r="27" spans="1:48" ht="15" customHeight="1" x14ac:dyDescent="0.25">
      <c r="A27" s="235"/>
      <c r="B27" s="227" t="str">
        <f t="shared" si="1"/>
        <v>A</v>
      </c>
      <c r="C27" s="227" t="s">
        <v>19</v>
      </c>
      <c r="D27" s="227" t="s">
        <v>1147</v>
      </c>
      <c r="E27" s="228">
        <v>0</v>
      </c>
      <c r="F27" s="101">
        <v>3</v>
      </c>
      <c r="G27" s="87" t="str">
        <f t="shared" si="8"/>
        <v>A203</v>
      </c>
      <c r="H27" s="87" t="s">
        <v>1293</v>
      </c>
      <c r="I27" s="89" t="str">
        <f>VLOOKUP(C27,'PREMIUM TABLES'!$G$107:$H$149,2,FALSE)</f>
        <v>C1</v>
      </c>
      <c r="J27" s="87">
        <v>97.98</v>
      </c>
      <c r="K27" s="87">
        <v>107.40217907215762</v>
      </c>
      <c r="L27" s="87">
        <v>121</v>
      </c>
      <c r="M27" s="87">
        <v>50.705300000000001</v>
      </c>
      <c r="O27" s="87" t="s">
        <v>180</v>
      </c>
      <c r="P27" s="87" t="s">
        <v>190</v>
      </c>
      <c r="Q27" s="229" t="s">
        <v>213</v>
      </c>
      <c r="R27" s="87" t="str">
        <f>VLOOKUP(E27,'PREMIUM TABLES'!$F$214:$G$219,2,FALSE)</f>
        <v>GROUND</v>
      </c>
      <c r="S27" s="87" t="str" cm="1">
        <f t="array" ref="S27">IF(AND(L27&gt;0,L27&lt;90),"A",IF(AND(L27&gt;90,L27&lt;123),"B",IF(AND(L27&gt;122,L27&lt;159),"C",IF(AND(L27&gt;159,L27&lt;185),"D",IF(AND(L27&gt;185,L27&lt;230),"E",IF(AND(L27&gt;230,L27&lt;350),"F",NONE))))))</f>
        <v>B</v>
      </c>
      <c r="T27" s="230">
        <f>VLOOKUP(O27,'PREMIUM TABLES'!$G$165:$H$172,2,FALSE)</f>
        <v>0.13</v>
      </c>
      <c r="U27" s="230">
        <f>VLOOKUP(P27,'PREMIUM TABLES'!$G$208:$H$209,2,FALSE)</f>
        <v>2.5000000000000001E-2</v>
      </c>
      <c r="V27" s="230">
        <f>VLOOKUP(Q27,'PREMIUM TABLES'!$G$175:$H$195,2,FALSE)</f>
        <v>0.4</v>
      </c>
      <c r="W27" s="230">
        <f>VLOOKUP(R27,'PREMIUM TABLES'!$G$214:$H$219,2,FALSE)</f>
        <v>0.05</v>
      </c>
      <c r="X27" s="230">
        <f>VLOOKUP(S27,'PREMIUM TABLES'!$F$199:$H$205,3,FALSE)</f>
        <v>0.04</v>
      </c>
      <c r="Y27" s="231">
        <f t="shared" si="3"/>
        <v>0.64500000000000013</v>
      </c>
      <c r="Z27" s="231" t="str" cm="1">
        <f t="array" ref="Z27">IF(AND(Y27&gt;0,Y27&lt;0.5),"C",IF(AND(Y27&gt;=0.5,Y27&lt;0.73),"B",IF(AND(Y27&gt;=0.73,Y27&lt;0.98),"A",NONE)))</f>
        <v>B</v>
      </c>
      <c r="AA27" s="231" t="str">
        <f>VLOOKUP(G27,'ALL (R)'!$N$5:$R$862,5,FALSE)</f>
        <v>R 4</v>
      </c>
      <c r="AB27" s="232">
        <f>VLOOKUP(AA27,FACTS!$B$2:$L$14,10,FALSE)</f>
        <v>45687.5</v>
      </c>
      <c r="AC27" s="232">
        <f>VLOOKUP(AA27,FACTS!$B$2:$L$14,11,FALSE)</f>
        <v>51062.5</v>
      </c>
      <c r="AD27" s="232">
        <f>VLOOKUP(AA27,FACTS!$B$2:$N$14,13,FALSE)</f>
        <v>5375</v>
      </c>
      <c r="AE27" s="232">
        <f t="shared" si="4"/>
        <v>3466.8750000000009</v>
      </c>
      <c r="AF27" s="232">
        <f t="shared" si="5"/>
        <v>49154.375</v>
      </c>
      <c r="AG27" s="232">
        <f>AF27*FACTS!$T$2</f>
        <v>16220.94375</v>
      </c>
      <c r="AH27" s="232">
        <f>Table1[[#This Row],[UNIT (BUILDING) RATE (SEMI FINISHED)]]+4500</f>
        <v>53654.375</v>
      </c>
      <c r="AI27" s="232">
        <f>Table1[[#This Row],[UNIT (BUILDING) RATE (SEMI FINISHED)]]+7500</f>
        <v>56654.375</v>
      </c>
      <c r="AJ27" s="232">
        <f t="shared" si="6"/>
        <v>5947679.375</v>
      </c>
      <c r="AK27" s="232">
        <f>Table1[[#This Row],[UNIT (BUILDING) RATE (BASIC FINISH)]]*Table1[[#This Row],[Unit Selling Area]]</f>
        <v>6492179.375</v>
      </c>
      <c r="AL27" s="232">
        <f>Table1[[#This Row],[UNIT (BUILDING) RATE (FULLY FINISH)]]*Table1[[#This Row],[Unit Selling Area]]</f>
        <v>6855179.375</v>
      </c>
      <c r="AM27" s="232">
        <f t="shared" si="7"/>
        <v>822487.81912687502</v>
      </c>
      <c r="AN27" s="232">
        <f>(AM27+AJ27)*FACTS!$S$2</f>
        <v>575464.21150078438</v>
      </c>
      <c r="AO27" s="101">
        <f>VLOOKUP(S27,FACTS!$A$17:$C$23,3,FALSE)</f>
        <v>1</v>
      </c>
      <c r="AP27" s="232">
        <f>VLOOKUP(AA27,FACTS!$B$2:$J$14,9,FALSE)</f>
        <v>215000</v>
      </c>
      <c r="AQ27" s="232">
        <f>Table1[[#This Row],[PARKING VALUE]]*1</f>
        <v>215000</v>
      </c>
      <c r="AR27" s="232">
        <f t="shared" si="0"/>
        <v>6985167.1941268751</v>
      </c>
      <c r="AS27" s="440">
        <f>Table1[[#This Row],[TOTAL CARS VALUE]]+Table1[[#This Row],[UNIT (BUILDING) VALUE BASIC FINISHED]]+Table1[[#This Row],[UNIT (GARDEN) VALUE]]</f>
        <v>7529667.1941268751</v>
      </c>
      <c r="AT27" s="232">
        <f>Table1[[#This Row],[TOTAL CARS VALUE]]+Table1[[#This Row],[UNIT (GARDEN) VALUE]]+Table1[[#This Row],[UNIT (BUILDING) VALUE FULLY FINISHED]]</f>
        <v>7892667.1941268751</v>
      </c>
      <c r="AU27" s="233">
        <f>VLOOKUP(I27,'C PHASES'!$I$108:$J$110,2,FALSE)</f>
        <v>45839</v>
      </c>
      <c r="AV27" s="233">
        <f>VLOOKUP(AA27,'C PHASES'!$I$113:$J$125,2,FALSE)</f>
        <v>45474</v>
      </c>
    </row>
    <row r="28" spans="1:48" ht="15" customHeight="1" x14ac:dyDescent="0.25">
      <c r="A28" s="235"/>
      <c r="B28" s="227" t="str">
        <f t="shared" si="1"/>
        <v>A</v>
      </c>
      <c r="C28" s="227" t="s">
        <v>19</v>
      </c>
      <c r="D28" s="227" t="s">
        <v>1147</v>
      </c>
      <c r="E28" s="228">
        <v>0</v>
      </c>
      <c r="F28" s="101">
        <v>4</v>
      </c>
      <c r="G28" s="87" t="str">
        <f t="shared" si="8"/>
        <v>A204</v>
      </c>
      <c r="H28" s="87" t="s">
        <v>1293</v>
      </c>
      <c r="I28" s="89" t="str">
        <f>VLOOKUP(C28,'PREMIUM TABLES'!$G$107:$H$149,2,FALSE)</f>
        <v>C1</v>
      </c>
      <c r="J28" s="87">
        <v>98.17</v>
      </c>
      <c r="K28" s="87">
        <v>107.61045029101565</v>
      </c>
      <c r="L28" s="87">
        <v>121</v>
      </c>
      <c r="M28" s="87">
        <v>31.613900000000001</v>
      </c>
      <c r="O28" s="87" t="s">
        <v>187</v>
      </c>
      <c r="P28" s="87" t="s">
        <v>190</v>
      </c>
      <c r="Q28" s="229" t="s">
        <v>198</v>
      </c>
      <c r="R28" s="87" t="str">
        <f>VLOOKUP(E28,'PREMIUM TABLES'!$F$214:$G$219,2,FALSE)</f>
        <v>GROUND</v>
      </c>
      <c r="S28" s="87" t="str" cm="1">
        <f t="array" ref="S28">IF(AND(L28&gt;0,L28&lt;90),"A",IF(AND(L28&gt;90,L28&lt;123),"B",IF(AND(L28&gt;122,L28&lt;159),"C",IF(AND(L28&gt;159,L28&lt;185),"D",IF(AND(L28&gt;185,L28&lt;230),"E",IF(AND(L28&gt;230,L28&lt;350),"F",NONE))))))</f>
        <v>B</v>
      </c>
      <c r="T28" s="230">
        <f>VLOOKUP(O28,'PREMIUM TABLES'!$G$165:$H$172,2,FALSE)</f>
        <v>0.08</v>
      </c>
      <c r="U28" s="230">
        <f>VLOOKUP(P28,'PREMIUM TABLES'!$G$208:$H$209,2,FALSE)</f>
        <v>2.5000000000000001E-2</v>
      </c>
      <c r="V28" s="230">
        <f>VLOOKUP(Q28,'PREMIUM TABLES'!$G$175:$H$195,2,FALSE)</f>
        <v>0.15</v>
      </c>
      <c r="W28" s="230">
        <f>VLOOKUP(R28,'PREMIUM TABLES'!$G$214:$H$219,2,FALSE)</f>
        <v>0.05</v>
      </c>
      <c r="X28" s="230">
        <f>VLOOKUP(S28,'PREMIUM TABLES'!$F$199:$H$205,3,FALSE)</f>
        <v>0.04</v>
      </c>
      <c r="Y28" s="231">
        <f t="shared" si="3"/>
        <v>0.34499999999999997</v>
      </c>
      <c r="Z28" s="231" t="str" cm="1">
        <f t="array" ref="Z28">IF(AND(Y28&gt;0,Y28&lt;0.5),"C",IF(AND(Y28&gt;=0.5,Y28&lt;0.73),"B",IF(AND(Y28&gt;=0.73,Y28&lt;0.98),"A",NONE)))</f>
        <v>C</v>
      </c>
      <c r="AA28" s="231" t="str">
        <f>VLOOKUP(G28,'ALL (R)'!$N$5:$R$862,5,FALSE)</f>
        <v>R 1</v>
      </c>
      <c r="AB28" s="232">
        <f>VLOOKUP(AA28,FACTS!$B$2:$L$14,10,FALSE)</f>
        <v>42500</v>
      </c>
      <c r="AC28" s="232">
        <f>VLOOKUP(AA28,FACTS!$B$2:$L$14,11,FALSE)</f>
        <v>47500</v>
      </c>
      <c r="AD28" s="232">
        <f>VLOOKUP(AA28,FACTS!$B$2:$N$14,13,FALSE)</f>
        <v>5000</v>
      </c>
      <c r="AE28" s="232">
        <f t="shared" si="4"/>
        <v>1724.9999999999998</v>
      </c>
      <c r="AF28" s="232">
        <f t="shared" si="5"/>
        <v>44225</v>
      </c>
      <c r="AG28" s="232">
        <f>AF28*FACTS!$T$2</f>
        <v>14594.25</v>
      </c>
      <c r="AH28" s="232">
        <f>Table1[[#This Row],[UNIT (BUILDING) RATE (SEMI FINISHED)]]+4500</f>
        <v>48725</v>
      </c>
      <c r="AI28" s="232">
        <f>Table1[[#This Row],[UNIT (BUILDING) RATE (SEMI FINISHED)]]+7500</f>
        <v>51725</v>
      </c>
      <c r="AJ28" s="232">
        <f t="shared" si="6"/>
        <v>5351225</v>
      </c>
      <c r="AK28" s="232">
        <f>Table1[[#This Row],[UNIT (BUILDING) RATE (BASIC FINISH)]]*Table1[[#This Row],[Unit Selling Area]]</f>
        <v>5895725</v>
      </c>
      <c r="AL28" s="232">
        <f>Table1[[#This Row],[UNIT (BUILDING) RATE (FULLY FINISH)]]*Table1[[#This Row],[Unit Selling Area]]</f>
        <v>6258725</v>
      </c>
      <c r="AM28" s="232">
        <f t="shared" si="7"/>
        <v>461381.16007500002</v>
      </c>
      <c r="AN28" s="232">
        <f>(AM28+AJ28)*FACTS!$S$2</f>
        <v>494071.52360637498</v>
      </c>
      <c r="AO28" s="101">
        <f>VLOOKUP(S28,FACTS!$A$17:$C$23,3,FALSE)</f>
        <v>1</v>
      </c>
      <c r="AP28" s="232">
        <f>VLOOKUP(AA28,FACTS!$B$2:$J$14,9,FALSE)</f>
        <v>200000</v>
      </c>
      <c r="AQ28" s="232">
        <f>Table1[[#This Row],[PARKING VALUE]]*1</f>
        <v>200000</v>
      </c>
      <c r="AR28" s="232">
        <f t="shared" si="0"/>
        <v>6012606.1600749996</v>
      </c>
      <c r="AS28" s="440">
        <f>Table1[[#This Row],[TOTAL CARS VALUE]]+Table1[[#This Row],[UNIT (BUILDING) VALUE BASIC FINISHED]]+Table1[[#This Row],[UNIT (GARDEN) VALUE]]</f>
        <v>6557106.1600749996</v>
      </c>
      <c r="AT28" s="232">
        <f>Table1[[#This Row],[TOTAL CARS VALUE]]+Table1[[#This Row],[UNIT (GARDEN) VALUE]]+Table1[[#This Row],[UNIT (BUILDING) VALUE FULLY FINISHED]]</f>
        <v>6920106.1600749996</v>
      </c>
      <c r="AU28" s="233">
        <f>VLOOKUP(I28,'C PHASES'!$I$108:$J$110,2,FALSE)</f>
        <v>45839</v>
      </c>
      <c r="AV28" s="233">
        <f>VLOOKUP(AA28,'C PHASES'!$I$113:$J$125,2,FALSE)</f>
        <v>45170</v>
      </c>
    </row>
    <row r="29" spans="1:48" ht="15" customHeight="1" x14ac:dyDescent="0.25">
      <c r="A29" s="235"/>
      <c r="B29" s="227" t="str">
        <f t="shared" si="1"/>
        <v>A</v>
      </c>
      <c r="C29" s="227" t="s">
        <v>19</v>
      </c>
      <c r="D29" s="227" t="s">
        <v>1147</v>
      </c>
      <c r="E29" s="228">
        <v>1</v>
      </c>
      <c r="F29" s="101">
        <v>1</v>
      </c>
      <c r="G29" s="87" t="str">
        <f t="shared" si="8"/>
        <v>A211</v>
      </c>
      <c r="H29" s="87" t="s">
        <v>1296</v>
      </c>
      <c r="I29" s="89" t="str">
        <f>VLOOKUP(C29,'PREMIUM TABLES'!$G$107:$H$149,2,FALSE)</f>
        <v>C1</v>
      </c>
      <c r="J29" s="87">
        <v>61.82</v>
      </c>
      <c r="K29" s="87">
        <v>67.764877630544845</v>
      </c>
      <c r="L29" s="87">
        <v>76</v>
      </c>
      <c r="O29" s="87" t="s">
        <v>187</v>
      </c>
      <c r="P29" s="87" t="s">
        <v>190</v>
      </c>
      <c r="Q29" s="229" t="s">
        <v>198</v>
      </c>
      <c r="R29" s="87" t="str">
        <f>VLOOKUP(E29,'PREMIUM TABLES'!$F$214:$G$219,2,FALSE)</f>
        <v>FIRST</v>
      </c>
      <c r="S29" s="87" t="str" cm="1">
        <f t="array" ref="S29">IF(AND(L29&gt;0,L29&lt;90),"A",IF(AND(L29&gt;90,L29&lt;123),"B",IF(AND(L29&gt;122,L29&lt;159),"C",IF(AND(L29&gt;159,L29&lt;185),"D",IF(AND(L29&gt;185,L29&lt;230),"E",IF(AND(L29&gt;230,L29&lt;350),"F",NONE))))))</f>
        <v>A</v>
      </c>
      <c r="T29" s="230">
        <f>VLOOKUP(O29,'PREMIUM TABLES'!$G$165:$H$172,2,FALSE)</f>
        <v>0.08</v>
      </c>
      <c r="U29" s="230">
        <f>VLOOKUP(P29,'PREMIUM TABLES'!$G$208:$H$209,2,FALSE)</f>
        <v>2.5000000000000001E-2</v>
      </c>
      <c r="V29" s="230">
        <f>VLOOKUP(Q29,'PREMIUM TABLES'!$G$175:$H$195,2,FALSE)</f>
        <v>0.15</v>
      </c>
      <c r="W29" s="230">
        <f>VLOOKUP(R29,'PREMIUM TABLES'!$G$214:$H$219,2,FALSE)</f>
        <v>7.0000000000000007E-2</v>
      </c>
      <c r="X29" s="230">
        <f>VLOOKUP(S29,'PREMIUM TABLES'!$F$199:$H$205,3,FALSE)</f>
        <v>0.05</v>
      </c>
      <c r="Y29" s="231">
        <f t="shared" si="3"/>
        <v>0.375</v>
      </c>
      <c r="Z29" s="231" t="str" cm="1">
        <f t="array" ref="Z29">IF(AND(Y29&gt;0,Y29&lt;0.5),"C",IF(AND(Y29&gt;=0.5,Y29&lt;0.73),"B",IF(AND(Y29&gt;=0.73,Y29&lt;0.98),"A",NONE)))</f>
        <v>C</v>
      </c>
      <c r="AA29" s="231" t="str">
        <f>VLOOKUP(G29,'ALL (R)'!$N$5:$R$862,5,FALSE)</f>
        <v>R 3</v>
      </c>
      <c r="AB29" s="232">
        <f>VLOOKUP(AA29,FACTS!$B$2:$L$14,10,FALSE)</f>
        <v>44625</v>
      </c>
      <c r="AC29" s="232">
        <f>VLOOKUP(AA29,FACTS!$B$2:$L$14,11,FALSE)</f>
        <v>49875</v>
      </c>
      <c r="AD29" s="232">
        <f>VLOOKUP(AA29,FACTS!$B$2:$N$14,13,FALSE)</f>
        <v>5250</v>
      </c>
      <c r="AE29" s="232">
        <f t="shared" si="4"/>
        <v>1968.75</v>
      </c>
      <c r="AF29" s="232">
        <f t="shared" si="5"/>
        <v>46593.75</v>
      </c>
      <c r="AG29" s="232">
        <f>AF29*FACTS!$T$2</f>
        <v>15375.9375</v>
      </c>
      <c r="AH29" s="232">
        <f>Table1[[#This Row],[UNIT (BUILDING) RATE (SEMI FINISHED)]]+4500</f>
        <v>51093.75</v>
      </c>
      <c r="AI29" s="232">
        <f>Table1[[#This Row],[UNIT (BUILDING) RATE (SEMI FINISHED)]]+7500</f>
        <v>54093.75</v>
      </c>
      <c r="AJ29" s="232">
        <f t="shared" si="6"/>
        <v>3541125</v>
      </c>
      <c r="AK29" s="232">
        <f>Table1[[#This Row],[UNIT (BUILDING) RATE (BASIC FINISH)]]*Table1[[#This Row],[Unit Selling Area]]</f>
        <v>3883125</v>
      </c>
      <c r="AL29" s="232">
        <f>Table1[[#This Row],[UNIT (BUILDING) RATE (FULLY FINISH)]]*Table1[[#This Row],[Unit Selling Area]]</f>
        <v>4111125</v>
      </c>
      <c r="AM29" s="232">
        <f t="shared" si="7"/>
        <v>0</v>
      </c>
      <c r="AN29" s="232">
        <f>(AM29+AJ29)*FACTS!$S$2</f>
        <v>300995.625</v>
      </c>
      <c r="AO29" s="101">
        <f>VLOOKUP(S29,FACTS!$A$17:$C$23,3,FALSE)</f>
        <v>1</v>
      </c>
      <c r="AP29" s="232">
        <f>VLOOKUP(AA29,FACTS!$B$2:$J$14,9,FALSE)</f>
        <v>210000</v>
      </c>
      <c r="AQ29" s="232">
        <f>Table1[[#This Row],[PARKING VALUE]]*1</f>
        <v>210000</v>
      </c>
      <c r="AR29" s="232">
        <f t="shared" si="0"/>
        <v>3751125</v>
      </c>
      <c r="AS29" s="440">
        <f>Table1[[#This Row],[TOTAL CARS VALUE]]+Table1[[#This Row],[UNIT (BUILDING) VALUE BASIC FINISHED]]+Table1[[#This Row],[UNIT (GARDEN) VALUE]]</f>
        <v>4093125</v>
      </c>
      <c r="AT29" s="232">
        <f>Table1[[#This Row],[TOTAL CARS VALUE]]+Table1[[#This Row],[UNIT (GARDEN) VALUE]]+Table1[[#This Row],[UNIT (BUILDING) VALUE FULLY FINISHED]]</f>
        <v>4321125</v>
      </c>
      <c r="AU29" s="233">
        <f>VLOOKUP(I29,'C PHASES'!$I$108:$J$110,2,FALSE)</f>
        <v>45839</v>
      </c>
      <c r="AV29" s="233">
        <f>VLOOKUP(AA29,'C PHASES'!$I$113:$J$125,2,FALSE)</f>
        <v>45383</v>
      </c>
    </row>
    <row r="30" spans="1:48" ht="15" customHeight="1" x14ac:dyDescent="0.25">
      <c r="A30" s="235"/>
      <c r="B30" s="227" t="str">
        <f t="shared" si="1"/>
        <v>A</v>
      </c>
      <c r="C30" s="227" t="s">
        <v>19</v>
      </c>
      <c r="D30" s="227" t="s">
        <v>1147</v>
      </c>
      <c r="E30" s="228">
        <v>1</v>
      </c>
      <c r="F30" s="101">
        <v>2</v>
      </c>
      <c r="G30" s="87" t="str">
        <f t="shared" si="8"/>
        <v>A212</v>
      </c>
      <c r="H30" s="87" t="s">
        <v>1293</v>
      </c>
      <c r="I30" s="89" t="str">
        <f>VLOOKUP(C30,'PREMIUM TABLES'!$G$107:$H$149,2,FALSE)</f>
        <v>C1</v>
      </c>
      <c r="J30" s="87">
        <v>89.05</v>
      </c>
      <c r="K30" s="87">
        <v>97.61343178583013</v>
      </c>
      <c r="L30" s="87">
        <v>110</v>
      </c>
      <c r="O30" s="87" t="s">
        <v>180</v>
      </c>
      <c r="P30" s="87" t="s">
        <v>190</v>
      </c>
      <c r="Q30" s="229" t="s">
        <v>213</v>
      </c>
      <c r="R30" s="87" t="str">
        <f>VLOOKUP(E30,'PREMIUM TABLES'!$F$214:$G$219,2,FALSE)</f>
        <v>FIRST</v>
      </c>
      <c r="S30" s="87" t="str" cm="1">
        <f t="array" ref="S30">IF(AND(L30&gt;0,L30&lt;90),"A",IF(AND(L30&gt;90,L30&lt;123),"B",IF(AND(L30&gt;122,L30&lt;159),"C",IF(AND(L30&gt;159,L30&lt;185),"D",IF(AND(L30&gt;185,L30&lt;230),"E",IF(AND(L30&gt;230,L30&lt;350),"F",NONE))))))</f>
        <v>B</v>
      </c>
      <c r="T30" s="230">
        <f>VLOOKUP(O30,'PREMIUM TABLES'!$G$165:$H$172,2,FALSE)</f>
        <v>0.13</v>
      </c>
      <c r="U30" s="230">
        <f>VLOOKUP(P30,'PREMIUM TABLES'!$G$208:$H$209,2,FALSE)</f>
        <v>2.5000000000000001E-2</v>
      </c>
      <c r="V30" s="230">
        <f>VLOOKUP(Q30,'PREMIUM TABLES'!$G$175:$H$195,2,FALSE)</f>
        <v>0.4</v>
      </c>
      <c r="W30" s="230">
        <f>VLOOKUP(R30,'PREMIUM TABLES'!$G$214:$H$219,2,FALSE)</f>
        <v>7.0000000000000007E-2</v>
      </c>
      <c r="X30" s="230">
        <f>VLOOKUP(S30,'PREMIUM TABLES'!$F$199:$H$205,3,FALSE)</f>
        <v>0.04</v>
      </c>
      <c r="Y30" s="231">
        <f t="shared" si="3"/>
        <v>0.66500000000000004</v>
      </c>
      <c r="Z30" s="231" t="str" cm="1">
        <f t="array" ref="Z30">IF(AND(Y30&gt;0,Y30&lt;0.5),"C",IF(AND(Y30&gt;=0.5,Y30&lt;0.73),"B",IF(AND(Y30&gt;=0.73,Y30&lt;0.98),"A",NONE)))</f>
        <v>B</v>
      </c>
      <c r="AA30" s="231" t="str">
        <f>VLOOKUP(G30,'ALL (R)'!$N$5:$R$862,5,FALSE)</f>
        <v>R 5</v>
      </c>
      <c r="AB30" s="232">
        <f>VLOOKUP(AA30,FACTS!$B$2:$L$14,10,FALSE)</f>
        <v>46750.000000000007</v>
      </c>
      <c r="AC30" s="232">
        <f>VLOOKUP(AA30,FACTS!$B$2:$L$14,11,FALSE)</f>
        <v>52250.000000000007</v>
      </c>
      <c r="AD30" s="232">
        <f>VLOOKUP(AA30,FACTS!$B$2:$N$14,13,FALSE)</f>
        <v>5500</v>
      </c>
      <c r="AE30" s="232">
        <f t="shared" si="4"/>
        <v>3657.5</v>
      </c>
      <c r="AF30" s="232">
        <f t="shared" si="5"/>
        <v>50407.500000000007</v>
      </c>
      <c r="AG30" s="232">
        <f>AF30*FACTS!$T$2</f>
        <v>16634.475000000002</v>
      </c>
      <c r="AH30" s="232">
        <f>Table1[[#This Row],[UNIT (BUILDING) RATE (SEMI FINISHED)]]+4500</f>
        <v>54907.500000000007</v>
      </c>
      <c r="AI30" s="232">
        <f>Table1[[#This Row],[UNIT (BUILDING) RATE (SEMI FINISHED)]]+7500</f>
        <v>57907.500000000007</v>
      </c>
      <c r="AJ30" s="232">
        <f t="shared" si="6"/>
        <v>5544825.0000000009</v>
      </c>
      <c r="AK30" s="232">
        <f>Table1[[#This Row],[UNIT (BUILDING) RATE (BASIC FINISH)]]*Table1[[#This Row],[Unit Selling Area]]</f>
        <v>6039825.0000000009</v>
      </c>
      <c r="AL30" s="232">
        <f>Table1[[#This Row],[UNIT (BUILDING) RATE (FULLY FINISH)]]*Table1[[#This Row],[Unit Selling Area]]</f>
        <v>6369825.0000000009</v>
      </c>
      <c r="AM30" s="232">
        <f t="shared" si="7"/>
        <v>0</v>
      </c>
      <c r="AN30" s="232">
        <f>(AM30+AJ30)*FACTS!$S$2</f>
        <v>471310.12500000012</v>
      </c>
      <c r="AO30" s="101">
        <f>VLOOKUP(S30,FACTS!$A$17:$C$23,3,FALSE)</f>
        <v>1</v>
      </c>
      <c r="AP30" s="232">
        <f>VLOOKUP(AA30,FACTS!$B$2:$J$14,9,FALSE)</f>
        <v>220000.00000000003</v>
      </c>
      <c r="AQ30" s="232">
        <f>Table1[[#This Row],[PARKING VALUE]]*1</f>
        <v>220000.00000000003</v>
      </c>
      <c r="AR30" s="232">
        <f t="shared" si="0"/>
        <v>5764825.0000000009</v>
      </c>
      <c r="AS30" s="440">
        <f>Table1[[#This Row],[TOTAL CARS VALUE]]+Table1[[#This Row],[UNIT (BUILDING) VALUE BASIC FINISHED]]+Table1[[#This Row],[UNIT (GARDEN) VALUE]]</f>
        <v>6259825.0000000009</v>
      </c>
      <c r="AT30" s="232">
        <f>Table1[[#This Row],[TOTAL CARS VALUE]]+Table1[[#This Row],[UNIT (GARDEN) VALUE]]+Table1[[#This Row],[UNIT (BUILDING) VALUE FULLY FINISHED]]</f>
        <v>6589825.0000000009</v>
      </c>
      <c r="AU30" s="233">
        <f>VLOOKUP(I30,'C PHASES'!$I$108:$J$110,2,FALSE)</f>
        <v>45839</v>
      </c>
      <c r="AV30" s="233">
        <f>VLOOKUP(AA30,'C PHASES'!$I$113:$J$125,2,FALSE)</f>
        <v>45566</v>
      </c>
    </row>
    <row r="31" spans="1:48" ht="15" customHeight="1" x14ac:dyDescent="0.25">
      <c r="A31" s="235"/>
      <c r="B31" s="227" t="str">
        <f t="shared" si="1"/>
        <v>A</v>
      </c>
      <c r="C31" s="227" t="s">
        <v>19</v>
      </c>
      <c r="D31" s="227" t="s">
        <v>1147</v>
      </c>
      <c r="E31" s="228">
        <v>1</v>
      </c>
      <c r="F31" s="101">
        <v>3</v>
      </c>
      <c r="G31" s="87" t="str">
        <f t="shared" si="8"/>
        <v>A213</v>
      </c>
      <c r="H31" s="87" t="s">
        <v>1293</v>
      </c>
      <c r="I31" s="89" t="str">
        <f>VLOOKUP(C31,'PREMIUM TABLES'!$G$107:$H$149,2,FALSE)</f>
        <v>C1</v>
      </c>
      <c r="J31" s="87">
        <v>97.06</v>
      </c>
      <c r="K31" s="87">
        <v>106.39370790716083</v>
      </c>
      <c r="L31" s="87">
        <v>120</v>
      </c>
      <c r="O31" s="87" t="s">
        <v>180</v>
      </c>
      <c r="P31" s="87" t="s">
        <v>190</v>
      </c>
      <c r="Q31" s="229" t="s">
        <v>213</v>
      </c>
      <c r="R31" s="87" t="str">
        <f>VLOOKUP(E31,'PREMIUM TABLES'!$F$214:$G$219,2,FALSE)</f>
        <v>FIRST</v>
      </c>
      <c r="S31" s="87" t="str" cm="1">
        <f t="array" ref="S31">IF(AND(L31&gt;0,L31&lt;90),"A",IF(AND(L31&gt;90,L31&lt;123),"B",IF(AND(L31&gt;122,L31&lt;159),"C",IF(AND(L31&gt;159,L31&lt;185),"D",IF(AND(L31&gt;185,L31&lt;230),"E",IF(AND(L31&gt;230,L31&lt;350),"F",NONE))))))</f>
        <v>B</v>
      </c>
      <c r="T31" s="230">
        <f>VLOOKUP(O31,'PREMIUM TABLES'!$G$165:$H$172,2,FALSE)</f>
        <v>0.13</v>
      </c>
      <c r="U31" s="230">
        <f>VLOOKUP(P31,'PREMIUM TABLES'!$G$208:$H$209,2,FALSE)</f>
        <v>2.5000000000000001E-2</v>
      </c>
      <c r="V31" s="230">
        <f>VLOOKUP(Q31,'PREMIUM TABLES'!$G$175:$H$195,2,FALSE)</f>
        <v>0.4</v>
      </c>
      <c r="W31" s="230">
        <f>VLOOKUP(R31,'PREMIUM TABLES'!$G$214:$H$219,2,FALSE)</f>
        <v>7.0000000000000007E-2</v>
      </c>
      <c r="X31" s="230">
        <f>VLOOKUP(S31,'PREMIUM TABLES'!$F$199:$H$205,3,FALSE)</f>
        <v>0.04</v>
      </c>
      <c r="Y31" s="231">
        <f t="shared" si="3"/>
        <v>0.66500000000000004</v>
      </c>
      <c r="Z31" s="231" t="str" cm="1">
        <f t="array" ref="Z31">IF(AND(Y31&gt;0,Y31&lt;0.5),"C",IF(AND(Y31&gt;=0.5,Y31&lt;0.73),"B",IF(AND(Y31&gt;=0.73,Y31&lt;0.98),"A",NONE)))</f>
        <v>B</v>
      </c>
      <c r="AA31" s="231" t="str">
        <f>VLOOKUP(G31,'ALL (R)'!$N$5:$R$862,5,FALSE)</f>
        <v>R 5</v>
      </c>
      <c r="AB31" s="232">
        <f>VLOOKUP(AA31,FACTS!$B$2:$L$14,10,FALSE)</f>
        <v>46750.000000000007</v>
      </c>
      <c r="AC31" s="232">
        <f>VLOOKUP(AA31,FACTS!$B$2:$L$14,11,FALSE)</f>
        <v>52250.000000000007</v>
      </c>
      <c r="AD31" s="232">
        <f>VLOOKUP(AA31,FACTS!$B$2:$N$14,13,FALSE)</f>
        <v>5500</v>
      </c>
      <c r="AE31" s="232">
        <f t="shared" si="4"/>
        <v>3657.5</v>
      </c>
      <c r="AF31" s="232">
        <f t="shared" si="5"/>
        <v>50407.500000000007</v>
      </c>
      <c r="AG31" s="232">
        <f>AF31*FACTS!$T$2</f>
        <v>16634.475000000002</v>
      </c>
      <c r="AH31" s="232">
        <f>Table1[[#This Row],[UNIT (BUILDING) RATE (SEMI FINISHED)]]+4500</f>
        <v>54907.500000000007</v>
      </c>
      <c r="AI31" s="232">
        <f>Table1[[#This Row],[UNIT (BUILDING) RATE (SEMI FINISHED)]]+7500</f>
        <v>57907.500000000007</v>
      </c>
      <c r="AJ31" s="232">
        <f t="shared" si="6"/>
        <v>6048900.0000000009</v>
      </c>
      <c r="AK31" s="232">
        <f>Table1[[#This Row],[UNIT (BUILDING) RATE (BASIC FINISH)]]*Table1[[#This Row],[Unit Selling Area]]</f>
        <v>6588900.0000000009</v>
      </c>
      <c r="AL31" s="232">
        <f>Table1[[#This Row],[UNIT (BUILDING) RATE (FULLY FINISH)]]*Table1[[#This Row],[Unit Selling Area]]</f>
        <v>6948900.0000000009</v>
      </c>
      <c r="AM31" s="232">
        <f t="shared" si="7"/>
        <v>0</v>
      </c>
      <c r="AN31" s="232">
        <f>(AM31+AJ31)*FACTS!$S$2</f>
        <v>514156.50000000012</v>
      </c>
      <c r="AO31" s="101">
        <f>VLOOKUP(S31,FACTS!$A$17:$C$23,3,FALSE)</f>
        <v>1</v>
      </c>
      <c r="AP31" s="232">
        <f>VLOOKUP(AA31,FACTS!$B$2:$J$14,9,FALSE)</f>
        <v>220000.00000000003</v>
      </c>
      <c r="AQ31" s="232">
        <f>Table1[[#This Row],[PARKING VALUE]]*1</f>
        <v>220000.00000000003</v>
      </c>
      <c r="AR31" s="232">
        <f t="shared" si="0"/>
        <v>6268900.0000000009</v>
      </c>
      <c r="AS31" s="440">
        <f>Table1[[#This Row],[TOTAL CARS VALUE]]+Table1[[#This Row],[UNIT (BUILDING) VALUE BASIC FINISHED]]+Table1[[#This Row],[UNIT (GARDEN) VALUE]]</f>
        <v>6808900.0000000009</v>
      </c>
      <c r="AT31" s="232">
        <f>Table1[[#This Row],[TOTAL CARS VALUE]]+Table1[[#This Row],[UNIT (GARDEN) VALUE]]+Table1[[#This Row],[UNIT (BUILDING) VALUE FULLY FINISHED]]</f>
        <v>7168900.0000000009</v>
      </c>
      <c r="AU31" s="233">
        <f>VLOOKUP(I31,'C PHASES'!$I$108:$J$110,2,FALSE)</f>
        <v>45839</v>
      </c>
      <c r="AV31" s="233">
        <f>VLOOKUP(AA31,'C PHASES'!$I$113:$J$125,2,FALSE)</f>
        <v>45566</v>
      </c>
    </row>
    <row r="32" spans="1:48" ht="15" customHeight="1" x14ac:dyDescent="0.25">
      <c r="A32" s="235"/>
      <c r="B32" s="227" t="str">
        <f t="shared" si="1"/>
        <v>A</v>
      </c>
      <c r="C32" s="227" t="s">
        <v>19</v>
      </c>
      <c r="D32" s="227" t="s">
        <v>1147</v>
      </c>
      <c r="E32" s="228">
        <v>1</v>
      </c>
      <c r="F32" s="101">
        <v>4</v>
      </c>
      <c r="G32" s="87" t="str">
        <f t="shared" si="8"/>
        <v>A214</v>
      </c>
      <c r="H32" s="87" t="s">
        <v>1293</v>
      </c>
      <c r="I32" s="89" t="str">
        <f>VLOOKUP(C32,'PREMIUM TABLES'!$G$107:$H$149,2,FALSE)</f>
        <v>C1</v>
      </c>
      <c r="J32" s="87">
        <v>97.09</v>
      </c>
      <c r="K32" s="87">
        <v>106.4265928364542</v>
      </c>
      <c r="L32" s="87">
        <v>119</v>
      </c>
      <c r="O32" s="87" t="s">
        <v>187</v>
      </c>
      <c r="P32" s="87" t="s">
        <v>190</v>
      </c>
      <c r="Q32" s="229" t="s">
        <v>198</v>
      </c>
      <c r="R32" s="87" t="str">
        <f>VLOOKUP(E32,'PREMIUM TABLES'!$F$214:$G$219,2,FALSE)</f>
        <v>FIRST</v>
      </c>
      <c r="S32" s="87" t="str" cm="1">
        <f t="array" ref="S32">IF(AND(L32&gt;0,L32&lt;90),"A",IF(AND(L32&gt;90,L32&lt;123),"B",IF(AND(L32&gt;122,L32&lt;159),"C",IF(AND(L32&gt;159,L32&lt;185),"D",IF(AND(L32&gt;185,L32&lt;230),"E",IF(AND(L32&gt;230,L32&lt;350),"F",NONE))))))</f>
        <v>B</v>
      </c>
      <c r="T32" s="230">
        <f>VLOOKUP(O32,'PREMIUM TABLES'!$G$165:$H$172,2,FALSE)</f>
        <v>0.08</v>
      </c>
      <c r="U32" s="230">
        <f>VLOOKUP(P32,'PREMIUM TABLES'!$G$208:$H$209,2,FALSE)</f>
        <v>2.5000000000000001E-2</v>
      </c>
      <c r="V32" s="230">
        <f>VLOOKUP(Q32,'PREMIUM TABLES'!$G$175:$H$195,2,FALSE)</f>
        <v>0.15</v>
      </c>
      <c r="W32" s="230">
        <f>VLOOKUP(R32,'PREMIUM TABLES'!$G$214:$H$219,2,FALSE)</f>
        <v>7.0000000000000007E-2</v>
      </c>
      <c r="X32" s="230">
        <f>VLOOKUP(S32,'PREMIUM TABLES'!$F$199:$H$205,3,FALSE)</f>
        <v>0.04</v>
      </c>
      <c r="Y32" s="231">
        <f t="shared" si="3"/>
        <v>0.36499999999999999</v>
      </c>
      <c r="Z32" s="231" t="str" cm="1">
        <f t="array" ref="Z32">IF(AND(Y32&gt;0,Y32&lt;0.5),"C",IF(AND(Y32&gt;=0.5,Y32&lt;0.73),"B",IF(AND(Y32&gt;=0.73,Y32&lt;0.98),"A",NONE)))</f>
        <v>C</v>
      </c>
      <c r="AA32" s="231" t="str">
        <f>VLOOKUP(G32,'ALL (R)'!$N$5:$R$862,5,FALSE)</f>
        <v>R 2</v>
      </c>
      <c r="AB32" s="232">
        <f>VLOOKUP(AA32,FACTS!$B$2:$L$14,10,FALSE)</f>
        <v>43562.499999999993</v>
      </c>
      <c r="AC32" s="232">
        <f>VLOOKUP(AA32,FACTS!$B$2:$L$14,11,FALSE)</f>
        <v>48687.499999999993</v>
      </c>
      <c r="AD32" s="232">
        <f>VLOOKUP(AA32,FACTS!$B$2:$N$14,13,FALSE)</f>
        <v>5125</v>
      </c>
      <c r="AE32" s="232">
        <f t="shared" si="4"/>
        <v>1870.625</v>
      </c>
      <c r="AF32" s="232">
        <f t="shared" si="5"/>
        <v>45433.124999999993</v>
      </c>
      <c r="AG32" s="232">
        <f>AF32*FACTS!$T$2</f>
        <v>14992.931249999998</v>
      </c>
      <c r="AH32" s="232">
        <f>Table1[[#This Row],[UNIT (BUILDING) RATE (SEMI FINISHED)]]+4500</f>
        <v>49933.124999999993</v>
      </c>
      <c r="AI32" s="232">
        <f>Table1[[#This Row],[UNIT (BUILDING) RATE (SEMI FINISHED)]]+7500</f>
        <v>52933.124999999993</v>
      </c>
      <c r="AJ32" s="232">
        <f t="shared" si="6"/>
        <v>5406541.8749999991</v>
      </c>
      <c r="AK32" s="232">
        <f>Table1[[#This Row],[UNIT (BUILDING) RATE (BASIC FINISH)]]*Table1[[#This Row],[Unit Selling Area]]</f>
        <v>5942041.8749999991</v>
      </c>
      <c r="AL32" s="232">
        <f>Table1[[#This Row],[UNIT (BUILDING) RATE (FULLY FINISH)]]*Table1[[#This Row],[Unit Selling Area]]</f>
        <v>6299041.8749999991</v>
      </c>
      <c r="AM32" s="232">
        <f t="shared" si="7"/>
        <v>0</v>
      </c>
      <c r="AN32" s="232">
        <f>(AM32+AJ32)*FACTS!$S$2</f>
        <v>459556.05937499995</v>
      </c>
      <c r="AO32" s="101">
        <f>VLOOKUP(S32,FACTS!$A$17:$C$23,3,FALSE)</f>
        <v>1</v>
      </c>
      <c r="AP32" s="232">
        <f>VLOOKUP(AA32,FACTS!$B$2:$J$14,9,FALSE)</f>
        <v>204999.99999999997</v>
      </c>
      <c r="AQ32" s="232">
        <f>Table1[[#This Row],[PARKING VALUE]]*1</f>
        <v>204999.99999999997</v>
      </c>
      <c r="AR32" s="232">
        <f t="shared" si="0"/>
        <v>5611541.8749999991</v>
      </c>
      <c r="AS32" s="440">
        <f>Table1[[#This Row],[TOTAL CARS VALUE]]+Table1[[#This Row],[UNIT (BUILDING) VALUE BASIC FINISHED]]+Table1[[#This Row],[UNIT (GARDEN) VALUE]]</f>
        <v>6147041.8749999991</v>
      </c>
      <c r="AT32" s="232">
        <f>Table1[[#This Row],[TOTAL CARS VALUE]]+Table1[[#This Row],[UNIT (GARDEN) VALUE]]+Table1[[#This Row],[UNIT (BUILDING) VALUE FULLY FINISHED]]</f>
        <v>6504041.8749999991</v>
      </c>
      <c r="AU32" s="233">
        <f>VLOOKUP(I32,'C PHASES'!$I$108:$J$110,2,FALSE)</f>
        <v>45839</v>
      </c>
      <c r="AV32" s="233">
        <f>VLOOKUP(AA32,'C PHASES'!$I$113:$J$125,2,FALSE)</f>
        <v>45292</v>
      </c>
    </row>
    <row r="33" spans="1:48" ht="15" customHeight="1" x14ac:dyDescent="0.25">
      <c r="A33" s="235"/>
      <c r="B33" s="227" t="str">
        <f t="shared" si="1"/>
        <v>A</v>
      </c>
      <c r="C33" s="227" t="s">
        <v>19</v>
      </c>
      <c r="D33" s="227" t="s">
        <v>1147</v>
      </c>
      <c r="E33" s="228">
        <v>2</v>
      </c>
      <c r="F33" s="101">
        <v>1</v>
      </c>
      <c r="G33" s="87" t="str">
        <f t="shared" si="8"/>
        <v>A221</v>
      </c>
      <c r="H33" s="87" t="s">
        <v>1293</v>
      </c>
      <c r="I33" s="89" t="str">
        <f>VLOOKUP(C33,'PREMIUM TABLES'!$G$107:$H$149,2,FALSE)</f>
        <v>C1</v>
      </c>
      <c r="J33" s="87">
        <v>90.91</v>
      </c>
      <c r="K33" s="87">
        <v>99.652297402019272</v>
      </c>
      <c r="L33" s="87">
        <v>112</v>
      </c>
      <c r="O33" s="87" t="s">
        <v>187</v>
      </c>
      <c r="P33" s="87" t="s">
        <v>190</v>
      </c>
      <c r="Q33" s="229" t="s">
        <v>198</v>
      </c>
      <c r="R33" s="87" t="str">
        <f>VLOOKUP(E33,'PREMIUM TABLES'!$F$214:$G$219,2,FALSE)</f>
        <v>SECOND</v>
      </c>
      <c r="S33" s="87" t="str" cm="1">
        <f t="array" ref="S33">IF(AND(L33&gt;0,L33&lt;90),"A",IF(AND(L33&gt;90,L33&lt;123),"B",IF(AND(L33&gt;122,L33&lt;159),"C",IF(AND(L33&gt;159,L33&lt;185),"D",IF(AND(L33&gt;185,L33&lt;230),"E",IF(AND(L33&gt;230,L33&lt;350),"F",NONE))))))</f>
        <v>B</v>
      </c>
      <c r="T33" s="230">
        <f>VLOOKUP(O33,'PREMIUM TABLES'!$G$165:$H$172,2,FALSE)</f>
        <v>0.08</v>
      </c>
      <c r="U33" s="230">
        <f>VLOOKUP(P33,'PREMIUM TABLES'!$G$208:$H$209,2,FALSE)</f>
        <v>2.5000000000000001E-2</v>
      </c>
      <c r="V33" s="230">
        <f>VLOOKUP(Q33,'PREMIUM TABLES'!$G$175:$H$195,2,FALSE)</f>
        <v>0.15</v>
      </c>
      <c r="W33" s="230">
        <f>VLOOKUP(R33,'PREMIUM TABLES'!$G$214:$H$219,2,FALSE)</f>
        <v>0.11</v>
      </c>
      <c r="X33" s="230">
        <f>VLOOKUP(S33,'PREMIUM TABLES'!$F$199:$H$205,3,FALSE)</f>
        <v>0.04</v>
      </c>
      <c r="Y33" s="231">
        <f t="shared" si="3"/>
        <v>0.40499999999999997</v>
      </c>
      <c r="Z33" s="231" t="str" cm="1">
        <f t="array" ref="Z33">IF(AND(Y33&gt;0,Y33&lt;0.5),"C",IF(AND(Y33&gt;=0.5,Y33&lt;0.73),"B",IF(AND(Y33&gt;=0.73,Y33&lt;0.98),"A",NONE)))</f>
        <v>C</v>
      </c>
      <c r="AA33" s="231" t="str">
        <f>VLOOKUP(G33,'ALL (R)'!$N$5:$R$862,5,FALSE)</f>
        <v>R 6</v>
      </c>
      <c r="AB33" s="232">
        <f>VLOOKUP(AA33,FACTS!$B$2:$L$14,10,FALSE)</f>
        <v>48450.000000000007</v>
      </c>
      <c r="AC33" s="232">
        <f>VLOOKUP(AA33,FACTS!$B$2:$L$14,11,FALSE)</f>
        <v>54150.000000000007</v>
      </c>
      <c r="AD33" s="232">
        <f>VLOOKUP(AA33,FACTS!$B$2:$N$14,13,FALSE)</f>
        <v>5700</v>
      </c>
      <c r="AE33" s="232">
        <f t="shared" si="4"/>
        <v>2308.5</v>
      </c>
      <c r="AF33" s="232">
        <f t="shared" si="5"/>
        <v>50758.500000000007</v>
      </c>
      <c r="AG33" s="232">
        <f>AF33*FACTS!$T$2</f>
        <v>16750.305000000004</v>
      </c>
      <c r="AH33" s="232">
        <f>Table1[[#This Row],[UNIT (BUILDING) RATE (SEMI FINISHED)]]+4500</f>
        <v>55258.500000000007</v>
      </c>
      <c r="AI33" s="232">
        <f>Table1[[#This Row],[UNIT (BUILDING) RATE (SEMI FINISHED)]]+7500</f>
        <v>58258.500000000007</v>
      </c>
      <c r="AJ33" s="232">
        <f t="shared" si="6"/>
        <v>5684952.0000000009</v>
      </c>
      <c r="AK33" s="232">
        <f>Table1[[#This Row],[UNIT (BUILDING) RATE (BASIC FINISH)]]*Table1[[#This Row],[Unit Selling Area]]</f>
        <v>6188952.0000000009</v>
      </c>
      <c r="AL33" s="232">
        <f>Table1[[#This Row],[UNIT (BUILDING) RATE (FULLY FINISH)]]*Table1[[#This Row],[Unit Selling Area]]</f>
        <v>6524952.0000000009</v>
      </c>
      <c r="AM33" s="232">
        <f t="shared" si="7"/>
        <v>0</v>
      </c>
      <c r="AN33" s="232">
        <f>(AM33+AJ33)*FACTS!$S$2</f>
        <v>483220.9200000001</v>
      </c>
      <c r="AO33" s="101">
        <f>VLOOKUP(S33,FACTS!$A$17:$C$23,3,FALSE)</f>
        <v>1</v>
      </c>
      <c r="AP33" s="232">
        <f>VLOOKUP(AA33,FACTS!$B$2:$J$14,9,FALSE)</f>
        <v>228000.00000000003</v>
      </c>
      <c r="AQ33" s="232">
        <f>Table1[[#This Row],[PARKING VALUE]]*1</f>
        <v>228000.00000000003</v>
      </c>
      <c r="AR33" s="232">
        <f t="shared" si="0"/>
        <v>5912952.0000000009</v>
      </c>
      <c r="AS33" s="440">
        <f>Table1[[#This Row],[TOTAL CARS VALUE]]+Table1[[#This Row],[UNIT (BUILDING) VALUE BASIC FINISHED]]+Table1[[#This Row],[UNIT (GARDEN) VALUE]]</f>
        <v>6416952.0000000009</v>
      </c>
      <c r="AT33" s="232">
        <f>Table1[[#This Row],[TOTAL CARS VALUE]]+Table1[[#This Row],[UNIT (GARDEN) VALUE]]+Table1[[#This Row],[UNIT (BUILDING) VALUE FULLY FINISHED]]</f>
        <v>6752952.0000000009</v>
      </c>
      <c r="AU33" s="233">
        <f>VLOOKUP(I33,'C PHASES'!$I$108:$J$110,2,FALSE)</f>
        <v>45839</v>
      </c>
      <c r="AV33" s="233">
        <f>VLOOKUP(AA33,'C PHASES'!$I$113:$J$125,2,FALSE)</f>
        <v>45658</v>
      </c>
    </row>
    <row r="34" spans="1:48" ht="15" customHeight="1" x14ac:dyDescent="0.25">
      <c r="A34" s="235"/>
      <c r="B34" s="227" t="str">
        <f t="shared" si="1"/>
        <v>A</v>
      </c>
      <c r="C34" s="227" t="s">
        <v>19</v>
      </c>
      <c r="D34" s="227" t="s">
        <v>1147</v>
      </c>
      <c r="E34" s="228">
        <v>2</v>
      </c>
      <c r="F34" s="101">
        <v>2</v>
      </c>
      <c r="G34" s="87" t="str">
        <f t="shared" si="8"/>
        <v>A222</v>
      </c>
      <c r="H34" s="87" t="s">
        <v>1293</v>
      </c>
      <c r="I34" s="89" t="str">
        <f>VLOOKUP(C34,'PREMIUM TABLES'!$G$107:$H$149,2,FALSE)</f>
        <v>C1</v>
      </c>
      <c r="J34" s="87">
        <v>90.91</v>
      </c>
      <c r="K34" s="87">
        <v>99.652297402019272</v>
      </c>
      <c r="L34" s="87">
        <v>112</v>
      </c>
      <c r="O34" s="87" t="s">
        <v>180</v>
      </c>
      <c r="P34" s="87" t="s">
        <v>190</v>
      </c>
      <c r="Q34" s="229" t="s">
        <v>213</v>
      </c>
      <c r="R34" s="87" t="str">
        <f>VLOOKUP(E34,'PREMIUM TABLES'!$F$214:$G$219,2,FALSE)</f>
        <v>SECOND</v>
      </c>
      <c r="S34" s="87" t="str" cm="1">
        <f t="array" ref="S34">IF(AND(L34&gt;0,L34&lt;90),"A",IF(AND(L34&gt;90,L34&lt;123),"B",IF(AND(L34&gt;122,L34&lt;159),"C",IF(AND(L34&gt;159,L34&lt;185),"D",IF(AND(L34&gt;185,L34&lt;230),"E",IF(AND(L34&gt;230,L34&lt;350),"F",NONE))))))</f>
        <v>B</v>
      </c>
      <c r="T34" s="230">
        <f>VLOOKUP(O34,'PREMIUM TABLES'!$G$165:$H$172,2,FALSE)</f>
        <v>0.13</v>
      </c>
      <c r="U34" s="230">
        <f>VLOOKUP(P34,'PREMIUM TABLES'!$G$208:$H$209,2,FALSE)</f>
        <v>2.5000000000000001E-2</v>
      </c>
      <c r="V34" s="230">
        <f>VLOOKUP(Q34,'PREMIUM TABLES'!$G$175:$H$195,2,FALSE)</f>
        <v>0.4</v>
      </c>
      <c r="W34" s="230">
        <f>VLOOKUP(R34,'PREMIUM TABLES'!$G$214:$H$219,2,FALSE)</f>
        <v>0.11</v>
      </c>
      <c r="X34" s="230">
        <f>VLOOKUP(S34,'PREMIUM TABLES'!$F$199:$H$205,3,FALSE)</f>
        <v>0.04</v>
      </c>
      <c r="Y34" s="231">
        <f t="shared" si="3"/>
        <v>0.70500000000000007</v>
      </c>
      <c r="Z34" s="231" t="str" cm="1">
        <f t="array" ref="Z34">IF(AND(Y34&gt;0,Y34&lt;0.5),"C",IF(AND(Y34&gt;=0.5,Y34&lt;0.73),"B",IF(AND(Y34&gt;=0.73,Y34&lt;0.98),"A",NONE)))</f>
        <v>B</v>
      </c>
      <c r="AA34" s="231" t="str">
        <f>VLOOKUP(G34,'ALL (R)'!$N$5:$R$862,5,FALSE)</f>
        <v>R 10</v>
      </c>
      <c r="AB34" s="232">
        <f>VLOOKUP(AA34,FACTS!$B$2:$L$14,10,FALSE)</f>
        <v>56100</v>
      </c>
      <c r="AC34" s="232">
        <f>VLOOKUP(AA34,FACTS!$B$2:$L$14,11,FALSE)</f>
        <v>62700</v>
      </c>
      <c r="AD34" s="232">
        <f>VLOOKUP(AA34,FACTS!$B$2:$N$14,13,FALSE)</f>
        <v>6600</v>
      </c>
      <c r="AE34" s="232">
        <f t="shared" si="4"/>
        <v>4653.0000000000009</v>
      </c>
      <c r="AF34" s="232">
        <f t="shared" si="5"/>
        <v>60753</v>
      </c>
      <c r="AG34" s="232">
        <f>AF34*FACTS!$T$2</f>
        <v>20048.490000000002</v>
      </c>
      <c r="AH34" s="232">
        <f>Table1[[#This Row],[UNIT (BUILDING) RATE (SEMI FINISHED)]]+4500</f>
        <v>65253</v>
      </c>
      <c r="AI34" s="232">
        <f>Table1[[#This Row],[UNIT (BUILDING) RATE (SEMI FINISHED)]]+7500</f>
        <v>68253</v>
      </c>
      <c r="AJ34" s="232">
        <f t="shared" si="6"/>
        <v>6804336</v>
      </c>
      <c r="AK34" s="232">
        <f>Table1[[#This Row],[UNIT (BUILDING) RATE (BASIC FINISH)]]*Table1[[#This Row],[Unit Selling Area]]</f>
        <v>7308336</v>
      </c>
      <c r="AL34" s="232">
        <f>Table1[[#This Row],[UNIT (BUILDING) RATE (FULLY FINISH)]]*Table1[[#This Row],[Unit Selling Area]]</f>
        <v>7644336</v>
      </c>
      <c r="AM34" s="232">
        <f t="shared" si="7"/>
        <v>0</v>
      </c>
      <c r="AN34" s="232">
        <f>(AM34+AJ34)*FACTS!$S$2</f>
        <v>578368.56000000006</v>
      </c>
      <c r="AO34" s="101">
        <f>VLOOKUP(S34,FACTS!$A$17:$C$23,3,FALSE)</f>
        <v>1</v>
      </c>
      <c r="AP34" s="232">
        <f>VLOOKUP(AA34,FACTS!$B$2:$J$14,9,FALSE)</f>
        <v>264000</v>
      </c>
      <c r="AQ34" s="232">
        <f>Table1[[#This Row],[PARKING VALUE]]*1</f>
        <v>264000</v>
      </c>
      <c r="AR34" s="232">
        <f t="shared" si="0"/>
        <v>7068336</v>
      </c>
      <c r="AS34" s="440">
        <f>Table1[[#This Row],[TOTAL CARS VALUE]]+Table1[[#This Row],[UNIT (BUILDING) VALUE BASIC FINISHED]]+Table1[[#This Row],[UNIT (GARDEN) VALUE]]</f>
        <v>7572336</v>
      </c>
      <c r="AT34" s="232">
        <f>Table1[[#This Row],[TOTAL CARS VALUE]]+Table1[[#This Row],[UNIT (GARDEN) VALUE]]+Table1[[#This Row],[UNIT (BUILDING) VALUE FULLY FINISHED]]</f>
        <v>7908336</v>
      </c>
      <c r="AU34" s="233">
        <f>VLOOKUP(I34,'C PHASES'!$I$108:$J$110,2,FALSE)</f>
        <v>45839</v>
      </c>
      <c r="AV34" s="233">
        <f>VLOOKUP(AA34,'C PHASES'!$I$113:$J$125,2,FALSE)</f>
        <v>46023</v>
      </c>
    </row>
    <row r="35" spans="1:48" ht="15" customHeight="1" x14ac:dyDescent="0.25">
      <c r="A35" s="235"/>
      <c r="B35" s="227" t="str">
        <f t="shared" si="1"/>
        <v>A</v>
      </c>
      <c r="C35" s="227" t="s">
        <v>19</v>
      </c>
      <c r="D35" s="227" t="s">
        <v>1147</v>
      </c>
      <c r="E35" s="228">
        <v>2</v>
      </c>
      <c r="F35" s="101">
        <v>3</v>
      </c>
      <c r="G35" s="87" t="str">
        <f t="shared" si="8"/>
        <v>A223</v>
      </c>
      <c r="H35" s="87" t="s">
        <v>1293</v>
      </c>
      <c r="I35" s="89" t="str">
        <f>VLOOKUP(C35,'PREMIUM TABLES'!$G$107:$H$149,2,FALSE)</f>
        <v>C1</v>
      </c>
      <c r="J35" s="87">
        <v>98.95</v>
      </c>
      <c r="K35" s="87">
        <v>108.46545845264336</v>
      </c>
      <c r="L35" s="87">
        <v>122</v>
      </c>
      <c r="O35" s="87" t="s">
        <v>180</v>
      </c>
      <c r="P35" s="87" t="s">
        <v>190</v>
      </c>
      <c r="Q35" s="229" t="s">
        <v>213</v>
      </c>
      <c r="R35" s="87" t="str">
        <f>VLOOKUP(E35,'PREMIUM TABLES'!$F$214:$G$219,2,FALSE)</f>
        <v>SECOND</v>
      </c>
      <c r="S35" s="87" t="str" cm="1">
        <f t="array" ref="S35">IF(AND(L35&gt;0,L35&lt;90),"A",IF(AND(L35&gt;90,L35&lt;123),"B",IF(AND(L35&gt;122,L35&lt;159),"C",IF(AND(L35&gt;159,L35&lt;185),"D",IF(AND(L35&gt;185,L35&lt;230),"E",IF(AND(L35&gt;230,L35&lt;350),"F",NONE))))))</f>
        <v>B</v>
      </c>
      <c r="T35" s="230">
        <f>VLOOKUP(O35,'PREMIUM TABLES'!$G$165:$H$172,2,FALSE)</f>
        <v>0.13</v>
      </c>
      <c r="U35" s="230">
        <f>VLOOKUP(P35,'PREMIUM TABLES'!$G$208:$H$209,2,FALSE)</f>
        <v>2.5000000000000001E-2</v>
      </c>
      <c r="V35" s="230">
        <f>VLOOKUP(Q35,'PREMIUM TABLES'!$G$175:$H$195,2,FALSE)</f>
        <v>0.4</v>
      </c>
      <c r="W35" s="230">
        <f>VLOOKUP(R35,'PREMIUM TABLES'!$G$214:$H$219,2,FALSE)</f>
        <v>0.11</v>
      </c>
      <c r="X35" s="230">
        <f>VLOOKUP(S35,'PREMIUM TABLES'!$F$199:$H$205,3,FALSE)</f>
        <v>0.04</v>
      </c>
      <c r="Y35" s="231">
        <f t="shared" si="3"/>
        <v>0.70500000000000007</v>
      </c>
      <c r="Z35" s="231" t="str" cm="1">
        <f t="array" ref="Z35">IF(AND(Y35&gt;0,Y35&lt;0.5),"C",IF(AND(Y35&gt;=0.5,Y35&lt;0.73),"B",IF(AND(Y35&gt;=0.73,Y35&lt;0.98),"A",NONE)))</f>
        <v>B</v>
      </c>
      <c r="AA35" s="231" t="str">
        <f>VLOOKUP(G35,'ALL (R)'!$N$5:$R$862,5,FALSE)</f>
        <v>R 10</v>
      </c>
      <c r="AB35" s="232">
        <f>VLOOKUP(AA35,FACTS!$B$2:$L$14,10,FALSE)</f>
        <v>56100</v>
      </c>
      <c r="AC35" s="232">
        <f>VLOOKUP(AA35,FACTS!$B$2:$L$14,11,FALSE)</f>
        <v>62700</v>
      </c>
      <c r="AD35" s="232">
        <f>VLOOKUP(AA35,FACTS!$B$2:$N$14,13,FALSE)</f>
        <v>6600</v>
      </c>
      <c r="AE35" s="232">
        <f t="shared" si="4"/>
        <v>4653.0000000000009</v>
      </c>
      <c r="AF35" s="232">
        <f t="shared" si="5"/>
        <v>60753</v>
      </c>
      <c r="AG35" s="232">
        <f>AF35*FACTS!$T$2</f>
        <v>20048.490000000002</v>
      </c>
      <c r="AH35" s="232">
        <f>Table1[[#This Row],[UNIT (BUILDING) RATE (SEMI FINISHED)]]+4500</f>
        <v>65253</v>
      </c>
      <c r="AI35" s="232">
        <f>Table1[[#This Row],[UNIT (BUILDING) RATE (SEMI FINISHED)]]+7500</f>
        <v>68253</v>
      </c>
      <c r="AJ35" s="232">
        <f t="shared" si="6"/>
        <v>7411866</v>
      </c>
      <c r="AK35" s="232">
        <f>Table1[[#This Row],[UNIT (BUILDING) RATE (BASIC FINISH)]]*Table1[[#This Row],[Unit Selling Area]]</f>
        <v>7960866</v>
      </c>
      <c r="AL35" s="232">
        <f>Table1[[#This Row],[UNIT (BUILDING) RATE (FULLY FINISH)]]*Table1[[#This Row],[Unit Selling Area]]</f>
        <v>8326866</v>
      </c>
      <c r="AM35" s="232">
        <f t="shared" si="7"/>
        <v>0</v>
      </c>
      <c r="AN35" s="232">
        <f>(AM35+AJ35)*FACTS!$S$2</f>
        <v>630008.6100000001</v>
      </c>
      <c r="AO35" s="101">
        <f>VLOOKUP(S35,FACTS!$A$17:$C$23,3,FALSE)</f>
        <v>1</v>
      </c>
      <c r="AP35" s="232">
        <f>VLOOKUP(AA35,FACTS!$B$2:$J$14,9,FALSE)</f>
        <v>264000</v>
      </c>
      <c r="AQ35" s="232">
        <f>Table1[[#This Row],[PARKING VALUE]]*1</f>
        <v>264000</v>
      </c>
      <c r="AR35" s="232">
        <f t="shared" si="0"/>
        <v>7675866</v>
      </c>
      <c r="AS35" s="440">
        <f>Table1[[#This Row],[TOTAL CARS VALUE]]+Table1[[#This Row],[UNIT (BUILDING) VALUE BASIC FINISHED]]+Table1[[#This Row],[UNIT (GARDEN) VALUE]]</f>
        <v>8224866</v>
      </c>
      <c r="AT35" s="232">
        <f>Table1[[#This Row],[TOTAL CARS VALUE]]+Table1[[#This Row],[UNIT (GARDEN) VALUE]]+Table1[[#This Row],[UNIT (BUILDING) VALUE FULLY FINISHED]]</f>
        <v>8590866</v>
      </c>
      <c r="AU35" s="233">
        <f>VLOOKUP(I35,'C PHASES'!$I$108:$J$110,2,FALSE)</f>
        <v>45839</v>
      </c>
      <c r="AV35" s="233">
        <f>VLOOKUP(AA35,'C PHASES'!$I$113:$J$125,2,FALSE)</f>
        <v>46023</v>
      </c>
    </row>
    <row r="36" spans="1:48" ht="15" customHeight="1" x14ac:dyDescent="0.25">
      <c r="A36" s="235"/>
      <c r="B36" s="227" t="str">
        <f t="shared" si="1"/>
        <v>A</v>
      </c>
      <c r="C36" s="227" t="s">
        <v>19</v>
      </c>
      <c r="D36" s="227" t="s">
        <v>1147</v>
      </c>
      <c r="E36" s="228">
        <v>2</v>
      </c>
      <c r="F36" s="101">
        <v>4</v>
      </c>
      <c r="G36" s="87" t="str">
        <f t="shared" si="8"/>
        <v>A224</v>
      </c>
      <c r="H36" s="87" t="s">
        <v>1293</v>
      </c>
      <c r="I36" s="89" t="str">
        <f>VLOOKUP(C36,'PREMIUM TABLES'!$G$107:$H$149,2,FALSE)</f>
        <v>C1</v>
      </c>
      <c r="J36" s="87">
        <v>98.95</v>
      </c>
      <c r="K36" s="87">
        <v>108.46545845264336</v>
      </c>
      <c r="L36" s="87">
        <v>122</v>
      </c>
      <c r="O36" s="87" t="s">
        <v>187</v>
      </c>
      <c r="P36" s="87" t="s">
        <v>190</v>
      </c>
      <c r="Q36" s="229" t="s">
        <v>198</v>
      </c>
      <c r="R36" s="87" t="str">
        <f>VLOOKUP(E36,'PREMIUM TABLES'!$F$214:$G$219,2,FALSE)</f>
        <v>SECOND</v>
      </c>
      <c r="S36" s="87" t="str" cm="1">
        <f t="array" ref="S36">IF(AND(L36&gt;0,L36&lt;90),"A",IF(AND(L36&gt;90,L36&lt;123),"B",IF(AND(L36&gt;122,L36&lt;159),"C",IF(AND(L36&gt;159,L36&lt;185),"D",IF(AND(L36&gt;185,L36&lt;230),"E",IF(AND(L36&gt;230,L36&lt;350),"F",NONE))))))</f>
        <v>B</v>
      </c>
      <c r="T36" s="230">
        <f>VLOOKUP(O36,'PREMIUM TABLES'!$G$165:$H$172,2,FALSE)</f>
        <v>0.08</v>
      </c>
      <c r="U36" s="230">
        <f>VLOOKUP(P36,'PREMIUM TABLES'!$G$208:$H$209,2,FALSE)</f>
        <v>2.5000000000000001E-2</v>
      </c>
      <c r="V36" s="230">
        <f>VLOOKUP(Q36,'PREMIUM TABLES'!$G$175:$H$195,2,FALSE)</f>
        <v>0.15</v>
      </c>
      <c r="W36" s="230">
        <f>VLOOKUP(R36,'PREMIUM TABLES'!$G$214:$H$219,2,FALSE)</f>
        <v>0.11</v>
      </c>
      <c r="X36" s="230">
        <f>VLOOKUP(S36,'PREMIUM TABLES'!$F$199:$H$205,3,FALSE)</f>
        <v>0.04</v>
      </c>
      <c r="Y36" s="231">
        <f t="shared" si="3"/>
        <v>0.40499999999999997</v>
      </c>
      <c r="Z36" s="231" t="str" cm="1">
        <f t="array" ref="Z36">IF(AND(Y36&gt;0,Y36&lt;0.5),"C",IF(AND(Y36&gt;=0.5,Y36&lt;0.73),"B",IF(AND(Y36&gt;=0.73,Y36&lt;0.98),"A",NONE)))</f>
        <v>C</v>
      </c>
      <c r="AA36" s="231" t="str">
        <f>VLOOKUP(G36,'ALL (R)'!$N$5:$R$862,5,FALSE)</f>
        <v>R 6</v>
      </c>
      <c r="AB36" s="232">
        <f>VLOOKUP(AA36,FACTS!$B$2:$L$14,10,FALSE)</f>
        <v>48450.000000000007</v>
      </c>
      <c r="AC36" s="232">
        <f>VLOOKUP(AA36,FACTS!$B$2:$L$14,11,FALSE)</f>
        <v>54150.000000000007</v>
      </c>
      <c r="AD36" s="232">
        <f>VLOOKUP(AA36,FACTS!$B$2:$N$14,13,FALSE)</f>
        <v>5700</v>
      </c>
      <c r="AE36" s="232">
        <f t="shared" si="4"/>
        <v>2308.5</v>
      </c>
      <c r="AF36" s="232">
        <f t="shared" si="5"/>
        <v>50758.500000000007</v>
      </c>
      <c r="AG36" s="232">
        <f>AF36*FACTS!$T$2</f>
        <v>16750.305000000004</v>
      </c>
      <c r="AH36" s="232">
        <f>Table1[[#This Row],[UNIT (BUILDING) RATE (SEMI FINISHED)]]+4500</f>
        <v>55258.500000000007</v>
      </c>
      <c r="AI36" s="232">
        <f>Table1[[#This Row],[UNIT (BUILDING) RATE (SEMI FINISHED)]]+7500</f>
        <v>58258.500000000007</v>
      </c>
      <c r="AJ36" s="232">
        <f t="shared" si="6"/>
        <v>6192537.0000000009</v>
      </c>
      <c r="AK36" s="232">
        <f>Table1[[#This Row],[UNIT (BUILDING) RATE (BASIC FINISH)]]*Table1[[#This Row],[Unit Selling Area]]</f>
        <v>6741537.0000000009</v>
      </c>
      <c r="AL36" s="232">
        <f>Table1[[#This Row],[UNIT (BUILDING) RATE (FULLY FINISH)]]*Table1[[#This Row],[Unit Selling Area]]</f>
        <v>7107537.0000000009</v>
      </c>
      <c r="AM36" s="232">
        <f t="shared" si="7"/>
        <v>0</v>
      </c>
      <c r="AN36" s="232">
        <f>(AM36+AJ36)*FACTS!$S$2</f>
        <v>526365.64500000014</v>
      </c>
      <c r="AO36" s="101">
        <f>VLOOKUP(S36,FACTS!$A$17:$C$23,3,FALSE)</f>
        <v>1</v>
      </c>
      <c r="AP36" s="232">
        <f>VLOOKUP(AA36,FACTS!$B$2:$J$14,9,FALSE)</f>
        <v>228000.00000000003</v>
      </c>
      <c r="AQ36" s="232">
        <f>Table1[[#This Row],[PARKING VALUE]]*1</f>
        <v>228000.00000000003</v>
      </c>
      <c r="AR36" s="232">
        <f t="shared" si="0"/>
        <v>6420537.0000000009</v>
      </c>
      <c r="AS36" s="440">
        <f>Table1[[#This Row],[TOTAL CARS VALUE]]+Table1[[#This Row],[UNIT (BUILDING) VALUE BASIC FINISHED]]+Table1[[#This Row],[UNIT (GARDEN) VALUE]]</f>
        <v>6969537.0000000009</v>
      </c>
      <c r="AT36" s="232">
        <f>Table1[[#This Row],[TOTAL CARS VALUE]]+Table1[[#This Row],[UNIT (GARDEN) VALUE]]+Table1[[#This Row],[UNIT (BUILDING) VALUE FULLY FINISHED]]</f>
        <v>7335537.0000000009</v>
      </c>
      <c r="AU36" s="233">
        <f>VLOOKUP(I36,'C PHASES'!$I$108:$J$110,2,FALSE)</f>
        <v>45839</v>
      </c>
      <c r="AV36" s="233">
        <f>VLOOKUP(AA36,'C PHASES'!$I$113:$J$125,2,FALSE)</f>
        <v>45658</v>
      </c>
    </row>
    <row r="37" spans="1:48" ht="15" customHeight="1" x14ac:dyDescent="0.25">
      <c r="A37" s="235"/>
      <c r="B37" s="227" t="str">
        <f t="shared" si="1"/>
        <v>A</v>
      </c>
      <c r="C37" s="227" t="s">
        <v>19</v>
      </c>
      <c r="D37" s="227" t="s">
        <v>1147</v>
      </c>
      <c r="E37" s="228">
        <v>3</v>
      </c>
      <c r="F37" s="101">
        <v>1</v>
      </c>
      <c r="G37" s="87" t="str">
        <f t="shared" si="8"/>
        <v>A231</v>
      </c>
      <c r="H37" s="87" t="s">
        <v>1293</v>
      </c>
      <c r="I37" s="89" t="str">
        <f>VLOOKUP(C37,'PREMIUM TABLES'!$G$107:$H$149,2,FALSE)</f>
        <v>C1</v>
      </c>
      <c r="J37" s="87">
        <v>89.05</v>
      </c>
      <c r="K37" s="87">
        <v>97.61343178583013</v>
      </c>
      <c r="L37" s="87">
        <v>110</v>
      </c>
      <c r="O37" s="87" t="s">
        <v>187</v>
      </c>
      <c r="P37" s="87" t="s">
        <v>190</v>
      </c>
      <c r="Q37" s="229" t="s">
        <v>198</v>
      </c>
      <c r="R37" s="87" t="str">
        <f>VLOOKUP(E37,'PREMIUM TABLES'!$F$214:$G$219,2,FALSE)</f>
        <v>THIRD</v>
      </c>
      <c r="S37" s="87" t="str" cm="1">
        <f t="array" ref="S37">IF(AND(L37&gt;0,L37&lt;90),"A",IF(AND(L37&gt;90,L37&lt;123),"B",IF(AND(L37&gt;122,L37&lt;159),"C",IF(AND(L37&gt;159,L37&lt;185),"D",IF(AND(L37&gt;185,L37&lt;230),"E",IF(AND(L37&gt;230,L37&lt;350),"F",NONE))))))</f>
        <v>B</v>
      </c>
      <c r="T37" s="230">
        <f>VLOOKUP(O37,'PREMIUM TABLES'!$G$165:$H$172,2,FALSE)</f>
        <v>0.08</v>
      </c>
      <c r="U37" s="230">
        <f>VLOOKUP(P37,'PREMIUM TABLES'!$G$208:$H$209,2,FALSE)</f>
        <v>2.5000000000000001E-2</v>
      </c>
      <c r="V37" s="230">
        <f>VLOOKUP(Q37,'PREMIUM TABLES'!$G$175:$H$195,2,FALSE)</f>
        <v>0.15</v>
      </c>
      <c r="W37" s="230">
        <f>VLOOKUP(R37,'PREMIUM TABLES'!$G$214:$H$219,2,FALSE)</f>
        <v>0.15</v>
      </c>
      <c r="X37" s="230">
        <f>VLOOKUP(S37,'PREMIUM TABLES'!$F$199:$H$205,3,FALSE)</f>
        <v>0.04</v>
      </c>
      <c r="Y37" s="231">
        <f t="shared" si="3"/>
        <v>0.44500000000000001</v>
      </c>
      <c r="Z37" s="231" t="str" cm="1">
        <f t="array" ref="Z37">IF(AND(Y37&gt;0,Y37&lt;0.5),"C",IF(AND(Y37&gt;=0.5,Y37&lt;0.73),"B",IF(AND(Y37&gt;=0.73,Y37&lt;0.98),"A",NONE)))</f>
        <v>C</v>
      </c>
      <c r="AA37" s="231" t="str">
        <f>VLOOKUP(G37,'ALL (R)'!$N$5:$R$862,5,FALSE)</f>
        <v>R 9</v>
      </c>
      <c r="AB37" s="232">
        <f>VLOOKUP(AA37,FACTS!$B$2:$L$14,10,FALSE)</f>
        <v>53550</v>
      </c>
      <c r="AC37" s="232">
        <f>VLOOKUP(AA37,FACTS!$B$2:$L$14,11,FALSE)</f>
        <v>59850</v>
      </c>
      <c r="AD37" s="232">
        <f>VLOOKUP(AA37,FACTS!$B$2:$N$14,13,FALSE)</f>
        <v>6300</v>
      </c>
      <c r="AE37" s="232">
        <f t="shared" si="4"/>
        <v>2803.5</v>
      </c>
      <c r="AF37" s="232">
        <f t="shared" si="5"/>
        <v>56353.5</v>
      </c>
      <c r="AG37" s="232">
        <f>AF37*FACTS!$T$2</f>
        <v>18596.655000000002</v>
      </c>
      <c r="AH37" s="232">
        <f>Table1[[#This Row],[UNIT (BUILDING) RATE (SEMI FINISHED)]]+4500</f>
        <v>60853.5</v>
      </c>
      <c r="AI37" s="232">
        <f>Table1[[#This Row],[UNIT (BUILDING) RATE (SEMI FINISHED)]]+7500</f>
        <v>63853.5</v>
      </c>
      <c r="AJ37" s="232">
        <f t="shared" si="6"/>
        <v>6198885</v>
      </c>
      <c r="AK37" s="232">
        <f>Table1[[#This Row],[UNIT (BUILDING) RATE (BASIC FINISH)]]*Table1[[#This Row],[Unit Selling Area]]</f>
        <v>6693885</v>
      </c>
      <c r="AL37" s="232">
        <f>Table1[[#This Row],[UNIT (BUILDING) RATE (FULLY FINISH)]]*Table1[[#This Row],[Unit Selling Area]]</f>
        <v>7023885</v>
      </c>
      <c r="AM37" s="232">
        <f t="shared" si="7"/>
        <v>0</v>
      </c>
      <c r="AN37" s="232">
        <f>(AM37+AJ37)*FACTS!$S$2</f>
        <v>526905.22500000009</v>
      </c>
      <c r="AO37" s="101">
        <f>VLOOKUP(S37,FACTS!$A$17:$C$23,3,FALSE)</f>
        <v>1</v>
      </c>
      <c r="AP37" s="232">
        <f>VLOOKUP(AA37,FACTS!$B$2:$J$14,9,FALSE)</f>
        <v>252000</v>
      </c>
      <c r="AQ37" s="232">
        <f>Table1[[#This Row],[PARKING VALUE]]*1</f>
        <v>252000</v>
      </c>
      <c r="AR37" s="232">
        <f t="shared" si="0"/>
        <v>6450885</v>
      </c>
      <c r="AS37" s="440">
        <f>Table1[[#This Row],[TOTAL CARS VALUE]]+Table1[[#This Row],[UNIT (BUILDING) VALUE BASIC FINISHED]]+Table1[[#This Row],[UNIT (GARDEN) VALUE]]</f>
        <v>6945885</v>
      </c>
      <c r="AT37" s="232">
        <f>Table1[[#This Row],[TOTAL CARS VALUE]]+Table1[[#This Row],[UNIT (GARDEN) VALUE]]+Table1[[#This Row],[UNIT (BUILDING) VALUE FULLY FINISHED]]</f>
        <v>7275885</v>
      </c>
      <c r="AU37" s="233">
        <f>VLOOKUP(I37,'C PHASES'!$I$108:$J$110,2,FALSE)</f>
        <v>45839</v>
      </c>
      <c r="AV37" s="233">
        <f>VLOOKUP(AA37,'C PHASES'!$I$113:$J$125,2,FALSE)</f>
        <v>45931</v>
      </c>
    </row>
    <row r="38" spans="1:48" ht="15" customHeight="1" x14ac:dyDescent="0.25">
      <c r="A38" s="235"/>
      <c r="B38" s="227" t="str">
        <f t="shared" si="1"/>
        <v>A</v>
      </c>
      <c r="C38" s="227" t="s">
        <v>19</v>
      </c>
      <c r="D38" s="227" t="s">
        <v>1147</v>
      </c>
      <c r="E38" s="228">
        <v>3</v>
      </c>
      <c r="F38" s="101">
        <v>2</v>
      </c>
      <c r="G38" s="87" t="str">
        <f t="shared" si="8"/>
        <v>A232</v>
      </c>
      <c r="H38" s="87" t="s">
        <v>1293</v>
      </c>
      <c r="I38" s="89" t="str">
        <f>VLOOKUP(C38,'PREMIUM TABLES'!$G$107:$H$149,2,FALSE)</f>
        <v>C1</v>
      </c>
      <c r="J38" s="87">
        <v>89.05</v>
      </c>
      <c r="K38" s="87">
        <v>97.61343178583013</v>
      </c>
      <c r="L38" s="87">
        <v>110</v>
      </c>
      <c r="O38" s="87" t="s">
        <v>180</v>
      </c>
      <c r="P38" s="87" t="s">
        <v>190</v>
      </c>
      <c r="Q38" s="229" t="s">
        <v>213</v>
      </c>
      <c r="R38" s="87" t="str">
        <f>VLOOKUP(E38,'PREMIUM TABLES'!$F$214:$G$219,2,FALSE)</f>
        <v>THIRD</v>
      </c>
      <c r="S38" s="87" t="str" cm="1">
        <f t="array" ref="S38">IF(AND(L38&gt;0,L38&lt;90),"A",IF(AND(L38&gt;90,L38&lt;123),"B",IF(AND(L38&gt;122,L38&lt;159),"C",IF(AND(L38&gt;159,L38&lt;185),"D",IF(AND(L38&gt;185,L38&lt;230),"E",IF(AND(L38&gt;230,L38&lt;350),"F",NONE))))))</f>
        <v>B</v>
      </c>
      <c r="T38" s="230">
        <f>VLOOKUP(O38,'PREMIUM TABLES'!$G$165:$H$172,2,FALSE)</f>
        <v>0.13</v>
      </c>
      <c r="U38" s="230">
        <f>VLOOKUP(P38,'PREMIUM TABLES'!$G$208:$H$209,2,FALSE)</f>
        <v>2.5000000000000001E-2</v>
      </c>
      <c r="V38" s="230">
        <f>VLOOKUP(Q38,'PREMIUM TABLES'!$G$175:$H$195,2,FALSE)</f>
        <v>0.4</v>
      </c>
      <c r="W38" s="230">
        <f>VLOOKUP(R38,'PREMIUM TABLES'!$G$214:$H$219,2,FALSE)</f>
        <v>0.15</v>
      </c>
      <c r="X38" s="230">
        <f>VLOOKUP(S38,'PREMIUM TABLES'!$F$199:$H$205,3,FALSE)</f>
        <v>0.04</v>
      </c>
      <c r="Y38" s="231">
        <f t="shared" si="3"/>
        <v>0.74500000000000011</v>
      </c>
      <c r="Z38" s="231" t="str" cm="1">
        <f t="array" ref="Z38">IF(AND(Y38&gt;0,Y38&lt;0.5),"C",IF(AND(Y38&gt;=0.5,Y38&lt;0.73),"B",IF(AND(Y38&gt;=0.73,Y38&lt;0.98),"A",NONE)))</f>
        <v>A</v>
      </c>
      <c r="AA38" s="231" t="str">
        <f>VLOOKUP(G38,'ALL (R)'!$N$5:$R$862,5,FALSE)</f>
        <v>R 1</v>
      </c>
      <c r="AB38" s="232">
        <f>VLOOKUP(AA38,FACTS!$B$2:$L$14,10,FALSE)</f>
        <v>42500</v>
      </c>
      <c r="AC38" s="232">
        <f>VLOOKUP(AA38,FACTS!$B$2:$L$14,11,FALSE)</f>
        <v>47500</v>
      </c>
      <c r="AD38" s="232">
        <f>VLOOKUP(AA38,FACTS!$B$2:$N$14,13,FALSE)</f>
        <v>5000</v>
      </c>
      <c r="AE38" s="232">
        <f t="shared" si="4"/>
        <v>3725.0000000000005</v>
      </c>
      <c r="AF38" s="232">
        <f t="shared" si="5"/>
        <v>46225</v>
      </c>
      <c r="AG38" s="232">
        <f>AF38*FACTS!$T$2</f>
        <v>15254.25</v>
      </c>
      <c r="AH38" s="232">
        <f>Table1[[#This Row],[UNIT (BUILDING) RATE (SEMI FINISHED)]]+4500</f>
        <v>50725</v>
      </c>
      <c r="AI38" s="232">
        <f>Table1[[#This Row],[UNIT (BUILDING) RATE (SEMI FINISHED)]]+7500</f>
        <v>53725</v>
      </c>
      <c r="AJ38" s="232">
        <f t="shared" si="6"/>
        <v>5084750</v>
      </c>
      <c r="AK38" s="232">
        <f>Table1[[#This Row],[UNIT (BUILDING) RATE (BASIC FINISH)]]*Table1[[#This Row],[Unit Selling Area]]</f>
        <v>5579750</v>
      </c>
      <c r="AL38" s="232">
        <f>Table1[[#This Row],[UNIT (BUILDING) RATE (FULLY FINISH)]]*Table1[[#This Row],[Unit Selling Area]]</f>
        <v>5909750</v>
      </c>
      <c r="AM38" s="232">
        <f t="shared" si="7"/>
        <v>0</v>
      </c>
      <c r="AN38" s="232">
        <f>(AM38+AJ38)*FACTS!$S$2</f>
        <v>432203.75000000006</v>
      </c>
      <c r="AO38" s="101">
        <f>VLOOKUP(S38,FACTS!$A$17:$C$23,3,FALSE)</f>
        <v>1</v>
      </c>
      <c r="AP38" s="232">
        <f>VLOOKUP(AA38,FACTS!$B$2:$J$14,9,FALSE)</f>
        <v>200000</v>
      </c>
      <c r="AQ38" s="232">
        <f>Table1[[#This Row],[PARKING VALUE]]*1</f>
        <v>200000</v>
      </c>
      <c r="AR38" s="232">
        <f t="shared" si="0"/>
        <v>5284750</v>
      </c>
      <c r="AS38" s="440">
        <f>Table1[[#This Row],[TOTAL CARS VALUE]]+Table1[[#This Row],[UNIT (BUILDING) VALUE BASIC FINISHED]]+Table1[[#This Row],[UNIT (GARDEN) VALUE]]</f>
        <v>5779750</v>
      </c>
      <c r="AT38" s="232">
        <f>Table1[[#This Row],[TOTAL CARS VALUE]]+Table1[[#This Row],[UNIT (GARDEN) VALUE]]+Table1[[#This Row],[UNIT (BUILDING) VALUE FULLY FINISHED]]</f>
        <v>6109750</v>
      </c>
      <c r="AU38" s="233">
        <f>VLOOKUP(I38,'C PHASES'!$I$108:$J$110,2,FALSE)</f>
        <v>45839</v>
      </c>
      <c r="AV38" s="233">
        <f>VLOOKUP(AA38,'C PHASES'!$I$113:$J$125,2,FALSE)</f>
        <v>45170</v>
      </c>
    </row>
    <row r="39" spans="1:48" ht="15" customHeight="1" x14ac:dyDescent="0.25">
      <c r="A39" s="235"/>
      <c r="B39" s="227" t="str">
        <f t="shared" si="1"/>
        <v>A</v>
      </c>
      <c r="C39" s="227" t="s">
        <v>19</v>
      </c>
      <c r="D39" s="227" t="s">
        <v>1147</v>
      </c>
      <c r="E39" s="228">
        <v>3</v>
      </c>
      <c r="F39" s="101">
        <v>3</v>
      </c>
      <c r="G39" s="87" t="str">
        <f t="shared" si="8"/>
        <v>A233</v>
      </c>
      <c r="H39" s="87" t="s">
        <v>1293</v>
      </c>
      <c r="I39" s="89" t="str">
        <f>VLOOKUP(C39,'PREMIUM TABLES'!$G$107:$H$149,2,FALSE)</f>
        <v>C1</v>
      </c>
      <c r="J39" s="87">
        <v>97.09</v>
      </c>
      <c r="K39" s="87">
        <v>106.4265928364542</v>
      </c>
      <c r="L39" s="87">
        <v>119</v>
      </c>
      <c r="O39" s="87" t="s">
        <v>180</v>
      </c>
      <c r="P39" s="87" t="s">
        <v>190</v>
      </c>
      <c r="Q39" s="229" t="s">
        <v>213</v>
      </c>
      <c r="R39" s="87" t="str">
        <f>VLOOKUP(E39,'PREMIUM TABLES'!$F$214:$G$219,2,FALSE)</f>
        <v>THIRD</v>
      </c>
      <c r="S39" s="87" t="str" cm="1">
        <f t="array" ref="S39">IF(AND(L39&gt;0,L39&lt;90),"A",IF(AND(L39&gt;90,L39&lt;123),"B",IF(AND(L39&gt;122,L39&lt;159),"C",IF(AND(L39&gt;159,L39&lt;185),"D",IF(AND(L39&gt;185,L39&lt;230),"E",IF(AND(L39&gt;230,L39&lt;350),"F",NONE))))))</f>
        <v>B</v>
      </c>
      <c r="T39" s="230">
        <f>VLOOKUP(O39,'PREMIUM TABLES'!$G$165:$H$172,2,FALSE)</f>
        <v>0.13</v>
      </c>
      <c r="U39" s="230">
        <f>VLOOKUP(P39,'PREMIUM TABLES'!$G$208:$H$209,2,FALSE)</f>
        <v>2.5000000000000001E-2</v>
      </c>
      <c r="V39" s="230">
        <f>VLOOKUP(Q39,'PREMIUM TABLES'!$G$175:$H$195,2,FALSE)</f>
        <v>0.4</v>
      </c>
      <c r="W39" s="230">
        <f>VLOOKUP(R39,'PREMIUM TABLES'!$G$214:$H$219,2,FALSE)</f>
        <v>0.15</v>
      </c>
      <c r="X39" s="230">
        <f>VLOOKUP(S39,'PREMIUM TABLES'!$F$199:$H$205,3,FALSE)</f>
        <v>0.04</v>
      </c>
      <c r="Y39" s="231">
        <f t="shared" si="3"/>
        <v>0.74500000000000011</v>
      </c>
      <c r="Z39" s="231" t="str" cm="1">
        <f t="array" ref="Z39">IF(AND(Y39&gt;0,Y39&lt;0.5),"C",IF(AND(Y39&gt;=0.5,Y39&lt;0.73),"B",IF(AND(Y39&gt;=0.73,Y39&lt;0.98),"A",NONE)))</f>
        <v>A</v>
      </c>
      <c r="AA39" s="231" t="str">
        <f>VLOOKUP(G39,'ALL (R)'!$N$5:$R$862,5,FALSE)</f>
        <v>R 1</v>
      </c>
      <c r="AB39" s="232">
        <f>VLOOKUP(AA39,FACTS!$B$2:$L$14,10,FALSE)</f>
        <v>42500</v>
      </c>
      <c r="AC39" s="232">
        <f>VLOOKUP(AA39,FACTS!$B$2:$L$14,11,FALSE)</f>
        <v>47500</v>
      </c>
      <c r="AD39" s="232">
        <f>VLOOKUP(AA39,FACTS!$B$2:$N$14,13,FALSE)</f>
        <v>5000</v>
      </c>
      <c r="AE39" s="232">
        <f t="shared" si="4"/>
        <v>3725.0000000000005</v>
      </c>
      <c r="AF39" s="232">
        <f t="shared" si="5"/>
        <v>46225</v>
      </c>
      <c r="AG39" s="232">
        <f>AF39*FACTS!$T$2</f>
        <v>15254.25</v>
      </c>
      <c r="AH39" s="232">
        <f>Table1[[#This Row],[UNIT (BUILDING) RATE (SEMI FINISHED)]]+4500</f>
        <v>50725</v>
      </c>
      <c r="AI39" s="232">
        <f>Table1[[#This Row],[UNIT (BUILDING) RATE (SEMI FINISHED)]]+7500</f>
        <v>53725</v>
      </c>
      <c r="AJ39" s="232">
        <f t="shared" si="6"/>
        <v>5500775</v>
      </c>
      <c r="AK39" s="232">
        <f>Table1[[#This Row],[UNIT (BUILDING) RATE (BASIC FINISH)]]*Table1[[#This Row],[Unit Selling Area]]</f>
        <v>6036275</v>
      </c>
      <c r="AL39" s="232">
        <f>Table1[[#This Row],[UNIT (BUILDING) RATE (FULLY FINISH)]]*Table1[[#This Row],[Unit Selling Area]]</f>
        <v>6393275</v>
      </c>
      <c r="AM39" s="232">
        <f t="shared" si="7"/>
        <v>0</v>
      </c>
      <c r="AN39" s="232">
        <f>(AM39+AJ39)*FACTS!$S$2</f>
        <v>467565.87500000006</v>
      </c>
      <c r="AO39" s="101">
        <f>VLOOKUP(S39,FACTS!$A$17:$C$23,3,FALSE)</f>
        <v>1</v>
      </c>
      <c r="AP39" s="232">
        <f>VLOOKUP(AA39,FACTS!$B$2:$J$14,9,FALSE)</f>
        <v>200000</v>
      </c>
      <c r="AQ39" s="232">
        <f>Table1[[#This Row],[PARKING VALUE]]*1</f>
        <v>200000</v>
      </c>
      <c r="AR39" s="232">
        <f t="shared" si="0"/>
        <v>5700775</v>
      </c>
      <c r="AS39" s="440">
        <f>Table1[[#This Row],[TOTAL CARS VALUE]]+Table1[[#This Row],[UNIT (BUILDING) VALUE BASIC FINISHED]]+Table1[[#This Row],[UNIT (GARDEN) VALUE]]</f>
        <v>6236275</v>
      </c>
      <c r="AT39" s="232">
        <f>Table1[[#This Row],[TOTAL CARS VALUE]]+Table1[[#This Row],[UNIT (GARDEN) VALUE]]+Table1[[#This Row],[UNIT (BUILDING) VALUE FULLY FINISHED]]</f>
        <v>6593275</v>
      </c>
      <c r="AU39" s="233">
        <f>VLOOKUP(I39,'C PHASES'!$I$108:$J$110,2,FALSE)</f>
        <v>45839</v>
      </c>
      <c r="AV39" s="233">
        <f>VLOOKUP(AA39,'C PHASES'!$I$113:$J$125,2,FALSE)</f>
        <v>45170</v>
      </c>
    </row>
    <row r="40" spans="1:48" ht="15" customHeight="1" x14ac:dyDescent="0.25">
      <c r="A40" s="235"/>
      <c r="B40" s="227" t="str">
        <f t="shared" si="1"/>
        <v>A</v>
      </c>
      <c r="C40" s="227" t="s">
        <v>19</v>
      </c>
      <c r="D40" s="227" t="s">
        <v>1147</v>
      </c>
      <c r="E40" s="228">
        <v>3</v>
      </c>
      <c r="F40" s="101">
        <v>4</v>
      </c>
      <c r="G40" s="87" t="str">
        <f t="shared" si="8"/>
        <v>A234</v>
      </c>
      <c r="H40" s="87" t="s">
        <v>1293</v>
      </c>
      <c r="I40" s="89" t="str">
        <f>VLOOKUP(C40,'PREMIUM TABLES'!$G$107:$H$149,2,FALSE)</f>
        <v>C1</v>
      </c>
      <c r="J40" s="87">
        <v>97.09</v>
      </c>
      <c r="K40" s="87">
        <v>106.4265928364542</v>
      </c>
      <c r="L40" s="87">
        <v>119</v>
      </c>
      <c r="O40" s="87" t="s">
        <v>187</v>
      </c>
      <c r="P40" s="87" t="s">
        <v>190</v>
      </c>
      <c r="Q40" s="229" t="s">
        <v>198</v>
      </c>
      <c r="R40" s="87" t="str">
        <f>VLOOKUP(E40,'PREMIUM TABLES'!$F$214:$G$219,2,FALSE)</f>
        <v>THIRD</v>
      </c>
      <c r="S40" s="87" t="str" cm="1">
        <f t="array" ref="S40">IF(AND(L40&gt;0,L40&lt;90),"A",IF(AND(L40&gt;90,L40&lt;123),"B",IF(AND(L40&gt;122,L40&lt;159),"C",IF(AND(L40&gt;159,L40&lt;185),"D",IF(AND(L40&gt;185,L40&lt;230),"E",IF(AND(L40&gt;230,L40&lt;350),"F",NONE))))))</f>
        <v>B</v>
      </c>
      <c r="T40" s="230">
        <f>VLOOKUP(O40,'PREMIUM TABLES'!$G$165:$H$172,2,FALSE)</f>
        <v>0.08</v>
      </c>
      <c r="U40" s="230">
        <f>VLOOKUP(P40,'PREMIUM TABLES'!$G$208:$H$209,2,FALSE)</f>
        <v>2.5000000000000001E-2</v>
      </c>
      <c r="V40" s="230">
        <f>VLOOKUP(Q40,'PREMIUM TABLES'!$G$175:$H$195,2,FALSE)</f>
        <v>0.15</v>
      </c>
      <c r="W40" s="230">
        <f>VLOOKUP(R40,'PREMIUM TABLES'!$G$214:$H$219,2,FALSE)</f>
        <v>0.15</v>
      </c>
      <c r="X40" s="230">
        <f>VLOOKUP(S40,'PREMIUM TABLES'!$F$199:$H$205,3,FALSE)</f>
        <v>0.04</v>
      </c>
      <c r="Y40" s="231">
        <f t="shared" si="3"/>
        <v>0.44500000000000001</v>
      </c>
      <c r="Z40" s="231" t="str" cm="1">
        <f t="array" ref="Z40">IF(AND(Y40&gt;0,Y40&lt;0.5),"C",IF(AND(Y40&gt;=0.5,Y40&lt;0.73),"B",IF(AND(Y40&gt;=0.73,Y40&lt;0.98),"A",NONE)))</f>
        <v>C</v>
      </c>
      <c r="AA40" s="231" t="str">
        <f>VLOOKUP(G40,'ALL (R)'!$N$5:$R$862,5,FALSE)</f>
        <v>R 9</v>
      </c>
      <c r="AB40" s="232">
        <f>VLOOKUP(AA40,FACTS!$B$2:$L$14,10,FALSE)</f>
        <v>53550</v>
      </c>
      <c r="AC40" s="232">
        <f>VLOOKUP(AA40,FACTS!$B$2:$L$14,11,FALSE)</f>
        <v>59850</v>
      </c>
      <c r="AD40" s="232">
        <f>VLOOKUP(AA40,FACTS!$B$2:$N$14,13,FALSE)</f>
        <v>6300</v>
      </c>
      <c r="AE40" s="232">
        <f t="shared" si="4"/>
        <v>2803.5</v>
      </c>
      <c r="AF40" s="232">
        <f t="shared" si="5"/>
        <v>56353.5</v>
      </c>
      <c r="AG40" s="232">
        <f>AF40*FACTS!$T$2</f>
        <v>18596.655000000002</v>
      </c>
      <c r="AH40" s="232">
        <f>Table1[[#This Row],[UNIT (BUILDING) RATE (SEMI FINISHED)]]+4500</f>
        <v>60853.5</v>
      </c>
      <c r="AI40" s="232">
        <f>Table1[[#This Row],[UNIT (BUILDING) RATE (SEMI FINISHED)]]+7500</f>
        <v>63853.5</v>
      </c>
      <c r="AJ40" s="232">
        <f t="shared" si="6"/>
        <v>6706066.5</v>
      </c>
      <c r="AK40" s="232">
        <f>Table1[[#This Row],[UNIT (BUILDING) RATE (BASIC FINISH)]]*Table1[[#This Row],[Unit Selling Area]]</f>
        <v>7241566.5</v>
      </c>
      <c r="AL40" s="232">
        <f>Table1[[#This Row],[UNIT (BUILDING) RATE (FULLY FINISH)]]*Table1[[#This Row],[Unit Selling Area]]</f>
        <v>7598566.5</v>
      </c>
      <c r="AM40" s="232">
        <f t="shared" si="7"/>
        <v>0</v>
      </c>
      <c r="AN40" s="232">
        <f>(AM40+AJ40)*FACTS!$S$2</f>
        <v>570015.65250000008</v>
      </c>
      <c r="AO40" s="101">
        <f>VLOOKUP(S40,FACTS!$A$17:$C$23,3,FALSE)</f>
        <v>1</v>
      </c>
      <c r="AP40" s="232">
        <f>VLOOKUP(AA40,FACTS!$B$2:$J$14,9,FALSE)</f>
        <v>252000</v>
      </c>
      <c r="AQ40" s="232">
        <f>Table1[[#This Row],[PARKING VALUE]]*1</f>
        <v>252000</v>
      </c>
      <c r="AR40" s="232">
        <f t="shared" si="0"/>
        <v>6958066.5</v>
      </c>
      <c r="AS40" s="440">
        <f>Table1[[#This Row],[TOTAL CARS VALUE]]+Table1[[#This Row],[UNIT (BUILDING) VALUE BASIC FINISHED]]+Table1[[#This Row],[UNIT (GARDEN) VALUE]]</f>
        <v>7493566.5</v>
      </c>
      <c r="AT40" s="232">
        <f>Table1[[#This Row],[TOTAL CARS VALUE]]+Table1[[#This Row],[UNIT (GARDEN) VALUE]]+Table1[[#This Row],[UNIT (BUILDING) VALUE FULLY FINISHED]]</f>
        <v>7850566.5</v>
      </c>
      <c r="AU40" s="233">
        <f>VLOOKUP(I40,'C PHASES'!$I$108:$J$110,2,FALSE)</f>
        <v>45839</v>
      </c>
      <c r="AV40" s="233">
        <f>VLOOKUP(AA40,'C PHASES'!$I$113:$J$125,2,FALSE)</f>
        <v>45931</v>
      </c>
    </row>
    <row r="41" spans="1:48" ht="15" customHeight="1" x14ac:dyDescent="0.25">
      <c r="A41" s="235"/>
      <c r="B41" s="227" t="str">
        <f t="shared" si="1"/>
        <v>A</v>
      </c>
      <c r="C41" s="227" t="s">
        <v>19</v>
      </c>
      <c r="D41" s="227" t="s">
        <v>1147</v>
      </c>
      <c r="E41" s="228">
        <v>4</v>
      </c>
      <c r="F41" s="101">
        <v>1</v>
      </c>
      <c r="G41" s="87" t="str">
        <f t="shared" si="8"/>
        <v>A241</v>
      </c>
      <c r="H41" s="87" t="s">
        <v>1293</v>
      </c>
      <c r="I41" s="89" t="str">
        <f>VLOOKUP(C41,'PREMIUM TABLES'!$G$107:$H$149,2,FALSE)</f>
        <v>C1</v>
      </c>
      <c r="J41" s="87">
        <v>89.12</v>
      </c>
      <c r="K41" s="87">
        <v>97.690163287514665</v>
      </c>
      <c r="L41" s="87">
        <v>110</v>
      </c>
      <c r="O41" s="87" t="s">
        <v>187</v>
      </c>
      <c r="P41" s="87" t="s">
        <v>190</v>
      </c>
      <c r="Q41" s="229" t="s">
        <v>198</v>
      </c>
      <c r="R41" s="87" t="str">
        <f>VLOOKUP(E41,'PREMIUM TABLES'!$F$214:$G$219,2,FALSE)</f>
        <v>FORTH</v>
      </c>
      <c r="S41" s="87" t="str" cm="1">
        <f t="array" ref="S41">IF(AND(L41&gt;0,L41&lt;90),"A",IF(AND(L41&gt;90,L41&lt;123),"B",IF(AND(L41&gt;122,L41&lt;159),"C",IF(AND(L41&gt;159,L41&lt;185),"D",IF(AND(L41&gt;185,L41&lt;230),"E",IF(AND(L41&gt;230,L41&lt;350),"F",NONE))))))</f>
        <v>B</v>
      </c>
      <c r="T41" s="230">
        <f>VLOOKUP(O41,'PREMIUM TABLES'!$G$165:$H$172,2,FALSE)</f>
        <v>0.08</v>
      </c>
      <c r="U41" s="230">
        <f>VLOOKUP(P41,'PREMIUM TABLES'!$G$208:$H$209,2,FALSE)</f>
        <v>2.5000000000000001E-2</v>
      </c>
      <c r="V41" s="230">
        <f>VLOOKUP(Q41,'PREMIUM TABLES'!$G$175:$H$195,2,FALSE)</f>
        <v>0.15</v>
      </c>
      <c r="W41" s="230">
        <f>VLOOKUP(R41,'PREMIUM TABLES'!$G$214:$H$219,2,FALSE)</f>
        <v>0.06</v>
      </c>
      <c r="X41" s="230">
        <f>VLOOKUP(S41,'PREMIUM TABLES'!$F$199:$H$205,3,FALSE)</f>
        <v>0.04</v>
      </c>
      <c r="Y41" s="231">
        <f t="shared" si="3"/>
        <v>0.35499999999999998</v>
      </c>
      <c r="Z41" s="231" t="str" cm="1">
        <f t="array" ref="Z41">IF(AND(Y41&gt;0,Y41&lt;0.5),"C",IF(AND(Y41&gt;=0.5,Y41&lt;0.73),"B",IF(AND(Y41&gt;=0.73,Y41&lt;0.98),"A",NONE)))</f>
        <v>C</v>
      </c>
      <c r="AA41" s="231" t="str">
        <f>VLOOKUP(G41,'ALL (R)'!$N$5:$R$862,5,FALSE)</f>
        <v>R 1</v>
      </c>
      <c r="AB41" s="232">
        <f>VLOOKUP(AA41,FACTS!$B$2:$L$14,10,FALSE)</f>
        <v>42500</v>
      </c>
      <c r="AC41" s="232">
        <f>VLOOKUP(AA41,FACTS!$B$2:$L$14,11,FALSE)</f>
        <v>47500</v>
      </c>
      <c r="AD41" s="232">
        <f>VLOOKUP(AA41,FACTS!$B$2:$N$14,13,FALSE)</f>
        <v>5000</v>
      </c>
      <c r="AE41" s="232">
        <f t="shared" si="4"/>
        <v>1775</v>
      </c>
      <c r="AF41" s="232">
        <f t="shared" si="5"/>
        <v>44275</v>
      </c>
      <c r="AG41" s="232">
        <f>AF41*FACTS!$T$2</f>
        <v>14610.75</v>
      </c>
      <c r="AH41" s="232">
        <f>Table1[[#This Row],[UNIT (BUILDING) RATE (SEMI FINISHED)]]+4500</f>
        <v>48775</v>
      </c>
      <c r="AI41" s="232">
        <f>Table1[[#This Row],[UNIT (BUILDING) RATE (SEMI FINISHED)]]+7500</f>
        <v>51775</v>
      </c>
      <c r="AJ41" s="232">
        <f t="shared" si="6"/>
        <v>4870250</v>
      </c>
      <c r="AK41" s="232">
        <f>Table1[[#This Row],[UNIT (BUILDING) RATE (BASIC FINISH)]]*Table1[[#This Row],[Unit Selling Area]]</f>
        <v>5365250</v>
      </c>
      <c r="AL41" s="232">
        <f>Table1[[#This Row],[UNIT (BUILDING) RATE (FULLY FINISH)]]*Table1[[#This Row],[Unit Selling Area]]</f>
        <v>5695250</v>
      </c>
      <c r="AM41" s="232">
        <f t="shared" si="7"/>
        <v>0</v>
      </c>
      <c r="AN41" s="232">
        <f>(AM41+AJ41)*FACTS!$S$2</f>
        <v>413971.25000000006</v>
      </c>
      <c r="AO41" s="101">
        <f>VLOOKUP(S41,FACTS!$A$17:$C$23,3,FALSE)</f>
        <v>1</v>
      </c>
      <c r="AP41" s="232">
        <f>VLOOKUP(AA41,FACTS!$B$2:$J$14,9,FALSE)</f>
        <v>200000</v>
      </c>
      <c r="AQ41" s="232">
        <f>Table1[[#This Row],[PARKING VALUE]]*1</f>
        <v>200000</v>
      </c>
      <c r="AR41" s="232">
        <f t="shared" si="0"/>
        <v>5070250</v>
      </c>
      <c r="AS41" s="440">
        <f>Table1[[#This Row],[TOTAL CARS VALUE]]+Table1[[#This Row],[UNIT (BUILDING) VALUE BASIC FINISHED]]+Table1[[#This Row],[UNIT (GARDEN) VALUE]]</f>
        <v>5565250</v>
      </c>
      <c r="AT41" s="232">
        <f>Table1[[#This Row],[TOTAL CARS VALUE]]+Table1[[#This Row],[UNIT (GARDEN) VALUE]]+Table1[[#This Row],[UNIT (BUILDING) VALUE FULLY FINISHED]]</f>
        <v>5895250</v>
      </c>
      <c r="AU41" s="233">
        <f>VLOOKUP(I41,'C PHASES'!$I$108:$J$110,2,FALSE)</f>
        <v>45839</v>
      </c>
      <c r="AV41" s="233">
        <f>VLOOKUP(AA41,'C PHASES'!$I$113:$J$125,2,FALSE)</f>
        <v>45170</v>
      </c>
    </row>
    <row r="42" spans="1:48" ht="15" customHeight="1" x14ac:dyDescent="0.25">
      <c r="A42" s="235"/>
      <c r="B42" s="227" t="str">
        <f t="shared" si="1"/>
        <v>A</v>
      </c>
      <c r="C42" s="227" t="s">
        <v>19</v>
      </c>
      <c r="D42" s="227" t="s">
        <v>1147</v>
      </c>
      <c r="E42" s="228">
        <v>4</v>
      </c>
      <c r="F42" s="101">
        <v>2</v>
      </c>
      <c r="G42" s="87" t="str">
        <f t="shared" si="8"/>
        <v>A242</v>
      </c>
      <c r="H42" s="87" t="s">
        <v>1293</v>
      </c>
      <c r="I42" s="89" t="str">
        <f>VLOOKUP(C42,'PREMIUM TABLES'!$G$107:$H$149,2,FALSE)</f>
        <v>C1</v>
      </c>
      <c r="J42" s="87">
        <v>90.52</v>
      </c>
      <c r="K42" s="87">
        <v>99.224793321205425</v>
      </c>
      <c r="L42" s="87">
        <v>111</v>
      </c>
      <c r="O42" s="87" t="s">
        <v>180</v>
      </c>
      <c r="P42" s="87" t="s">
        <v>190</v>
      </c>
      <c r="Q42" s="229" t="s">
        <v>213</v>
      </c>
      <c r="R42" s="87" t="str">
        <f>VLOOKUP(E42,'PREMIUM TABLES'!$F$214:$G$219,2,FALSE)</f>
        <v>FORTH</v>
      </c>
      <c r="S42" s="87" t="str" cm="1">
        <f t="array" ref="S42">IF(AND(L42&gt;0,L42&lt;90),"A",IF(AND(L42&gt;90,L42&lt;123),"B",IF(AND(L42&gt;122,L42&lt;159),"C",IF(AND(L42&gt;159,L42&lt;185),"D",IF(AND(L42&gt;185,L42&lt;230),"E",IF(AND(L42&gt;230,L42&lt;350),"F",NONE))))))</f>
        <v>B</v>
      </c>
      <c r="T42" s="230">
        <f>VLOOKUP(O42,'PREMIUM TABLES'!$G$165:$H$172,2,FALSE)</f>
        <v>0.13</v>
      </c>
      <c r="U42" s="230">
        <f>VLOOKUP(P42,'PREMIUM TABLES'!$G$208:$H$209,2,FALSE)</f>
        <v>2.5000000000000001E-2</v>
      </c>
      <c r="V42" s="230">
        <f>VLOOKUP(Q42,'PREMIUM TABLES'!$G$175:$H$195,2,FALSE)</f>
        <v>0.4</v>
      </c>
      <c r="W42" s="230">
        <f>VLOOKUP(R42,'PREMIUM TABLES'!$G$214:$H$219,2,FALSE)</f>
        <v>0.06</v>
      </c>
      <c r="X42" s="230">
        <f>VLOOKUP(S42,'PREMIUM TABLES'!$F$199:$H$205,3,FALSE)</f>
        <v>0.04</v>
      </c>
      <c r="Y42" s="231">
        <f t="shared" si="3"/>
        <v>0.65500000000000003</v>
      </c>
      <c r="Z42" s="231" t="str" cm="1">
        <f t="array" ref="Z42">IF(AND(Y42&gt;0,Y42&lt;0.5),"C",IF(AND(Y42&gt;=0.5,Y42&lt;0.73),"B",IF(AND(Y42&gt;=0.73,Y42&lt;0.98),"A",NONE)))</f>
        <v>B</v>
      </c>
      <c r="AA42" s="231" t="str">
        <f>VLOOKUP(G42,'ALL (R)'!$N$5:$R$862,5,FALSE)</f>
        <v>R 5</v>
      </c>
      <c r="AB42" s="232">
        <f>VLOOKUP(AA42,FACTS!$B$2:$L$14,10,FALSE)</f>
        <v>46750.000000000007</v>
      </c>
      <c r="AC42" s="232">
        <f>VLOOKUP(AA42,FACTS!$B$2:$L$14,11,FALSE)</f>
        <v>52250.000000000007</v>
      </c>
      <c r="AD42" s="232">
        <f>VLOOKUP(AA42,FACTS!$B$2:$N$14,13,FALSE)</f>
        <v>5500</v>
      </c>
      <c r="AE42" s="232">
        <f t="shared" si="4"/>
        <v>3602.5</v>
      </c>
      <c r="AF42" s="232">
        <f t="shared" si="5"/>
        <v>50352.500000000007</v>
      </c>
      <c r="AG42" s="232">
        <f>AF42*FACTS!$T$2</f>
        <v>16616.325000000004</v>
      </c>
      <c r="AH42" s="232">
        <f>Table1[[#This Row],[UNIT (BUILDING) RATE (SEMI FINISHED)]]+4500</f>
        <v>54852.500000000007</v>
      </c>
      <c r="AI42" s="232">
        <f>Table1[[#This Row],[UNIT (BUILDING) RATE (SEMI FINISHED)]]+7500</f>
        <v>57852.500000000007</v>
      </c>
      <c r="AJ42" s="232">
        <f t="shared" si="6"/>
        <v>5589127.5000000009</v>
      </c>
      <c r="AK42" s="232">
        <f>Table1[[#This Row],[UNIT (BUILDING) RATE (BASIC FINISH)]]*Table1[[#This Row],[Unit Selling Area]]</f>
        <v>6088627.5000000009</v>
      </c>
      <c r="AL42" s="232">
        <f>Table1[[#This Row],[UNIT (BUILDING) RATE (FULLY FINISH)]]*Table1[[#This Row],[Unit Selling Area]]</f>
        <v>6421627.5000000009</v>
      </c>
      <c r="AM42" s="232">
        <f t="shared" si="7"/>
        <v>0</v>
      </c>
      <c r="AN42" s="232">
        <f>(AM42+AJ42)*FACTS!$S$2</f>
        <v>475075.83750000014</v>
      </c>
      <c r="AO42" s="101">
        <f>VLOOKUP(S42,FACTS!$A$17:$C$23,3,FALSE)</f>
        <v>1</v>
      </c>
      <c r="AP42" s="232">
        <f>VLOOKUP(AA42,FACTS!$B$2:$J$14,9,FALSE)</f>
        <v>220000.00000000003</v>
      </c>
      <c r="AQ42" s="232">
        <f>Table1[[#This Row],[PARKING VALUE]]*1</f>
        <v>220000.00000000003</v>
      </c>
      <c r="AR42" s="232">
        <f t="shared" si="0"/>
        <v>5809127.5000000009</v>
      </c>
      <c r="AS42" s="440">
        <f>Table1[[#This Row],[TOTAL CARS VALUE]]+Table1[[#This Row],[UNIT (BUILDING) VALUE BASIC FINISHED]]+Table1[[#This Row],[UNIT (GARDEN) VALUE]]</f>
        <v>6308627.5000000009</v>
      </c>
      <c r="AT42" s="232">
        <f>Table1[[#This Row],[TOTAL CARS VALUE]]+Table1[[#This Row],[UNIT (GARDEN) VALUE]]+Table1[[#This Row],[UNIT (BUILDING) VALUE FULLY FINISHED]]</f>
        <v>6641627.5000000009</v>
      </c>
      <c r="AU42" s="233">
        <f>VLOOKUP(I42,'C PHASES'!$I$108:$J$110,2,FALSE)</f>
        <v>45839</v>
      </c>
      <c r="AV42" s="233">
        <f>VLOOKUP(AA42,'C PHASES'!$I$113:$J$125,2,FALSE)</f>
        <v>45566</v>
      </c>
    </row>
    <row r="43" spans="1:48" ht="15" customHeight="1" x14ac:dyDescent="0.25">
      <c r="A43" s="235"/>
      <c r="B43" s="227" t="str">
        <f t="shared" si="1"/>
        <v>A</v>
      </c>
      <c r="C43" s="227" t="s">
        <v>19</v>
      </c>
      <c r="D43" s="227" t="s">
        <v>1147</v>
      </c>
      <c r="E43" s="228">
        <v>4</v>
      </c>
      <c r="F43" s="101">
        <v>3</v>
      </c>
      <c r="G43" s="87" t="str">
        <f t="shared" si="8"/>
        <v>A243</v>
      </c>
      <c r="H43" s="87" t="s">
        <v>1293</v>
      </c>
      <c r="I43" s="89" t="str">
        <f>VLOOKUP(C43,'PREMIUM TABLES'!$G$107:$H$149,2,FALSE)</f>
        <v>C1</v>
      </c>
      <c r="J43" s="87">
        <v>98.57</v>
      </c>
      <c r="K43" s="87">
        <v>108.04891601492729</v>
      </c>
      <c r="L43" s="87">
        <v>121</v>
      </c>
      <c r="O43" s="87" t="s">
        <v>180</v>
      </c>
      <c r="P43" s="87" t="s">
        <v>190</v>
      </c>
      <c r="Q43" s="229" t="s">
        <v>213</v>
      </c>
      <c r="R43" s="87" t="str">
        <f>VLOOKUP(E43,'PREMIUM TABLES'!$F$214:$G$219,2,FALSE)</f>
        <v>FORTH</v>
      </c>
      <c r="S43" s="87" t="str" cm="1">
        <f t="array" ref="S43">IF(AND(L43&gt;0,L43&lt;90),"A",IF(AND(L43&gt;90,L43&lt;123),"B",IF(AND(L43&gt;122,L43&lt;159),"C",IF(AND(L43&gt;159,L43&lt;185),"D",IF(AND(L43&gt;185,L43&lt;230),"E",IF(AND(L43&gt;230,L43&lt;350),"F",NONE))))))</f>
        <v>B</v>
      </c>
      <c r="T43" s="230">
        <f>VLOOKUP(O43,'PREMIUM TABLES'!$G$165:$H$172,2,FALSE)</f>
        <v>0.13</v>
      </c>
      <c r="U43" s="230">
        <f>VLOOKUP(P43,'PREMIUM TABLES'!$G$208:$H$209,2,FALSE)</f>
        <v>2.5000000000000001E-2</v>
      </c>
      <c r="V43" s="230">
        <f>VLOOKUP(Q43,'PREMIUM TABLES'!$G$175:$H$195,2,FALSE)</f>
        <v>0.4</v>
      </c>
      <c r="W43" s="230">
        <f>VLOOKUP(R43,'PREMIUM TABLES'!$G$214:$H$219,2,FALSE)</f>
        <v>0.06</v>
      </c>
      <c r="X43" s="230">
        <f>VLOOKUP(S43,'PREMIUM TABLES'!$F$199:$H$205,3,FALSE)</f>
        <v>0.04</v>
      </c>
      <c r="Y43" s="231">
        <f t="shared" si="3"/>
        <v>0.65500000000000003</v>
      </c>
      <c r="Z43" s="231" t="str" cm="1">
        <f t="array" ref="Z43">IF(AND(Y43&gt;0,Y43&lt;0.5),"C",IF(AND(Y43&gt;=0.5,Y43&lt;0.73),"B",IF(AND(Y43&gt;=0.73,Y43&lt;0.98),"A",NONE)))</f>
        <v>B</v>
      </c>
      <c r="AA43" s="231" t="str">
        <f>VLOOKUP(G43,'ALL (R)'!$N$5:$R$862,5,FALSE)</f>
        <v>R 5</v>
      </c>
      <c r="AB43" s="232">
        <f>VLOOKUP(AA43,FACTS!$B$2:$L$14,10,FALSE)</f>
        <v>46750.000000000007</v>
      </c>
      <c r="AC43" s="232">
        <f>VLOOKUP(AA43,FACTS!$B$2:$L$14,11,FALSE)</f>
        <v>52250.000000000007</v>
      </c>
      <c r="AD43" s="232">
        <f>VLOOKUP(AA43,FACTS!$B$2:$N$14,13,FALSE)</f>
        <v>5500</v>
      </c>
      <c r="AE43" s="232">
        <f t="shared" si="4"/>
        <v>3602.5</v>
      </c>
      <c r="AF43" s="232">
        <f t="shared" si="5"/>
        <v>50352.500000000007</v>
      </c>
      <c r="AG43" s="232">
        <f>AF43*FACTS!$T$2</f>
        <v>16616.325000000004</v>
      </c>
      <c r="AH43" s="232">
        <f>Table1[[#This Row],[UNIT (BUILDING) RATE (SEMI FINISHED)]]+4500</f>
        <v>54852.500000000007</v>
      </c>
      <c r="AI43" s="232">
        <f>Table1[[#This Row],[UNIT (BUILDING) RATE (SEMI FINISHED)]]+7500</f>
        <v>57852.500000000007</v>
      </c>
      <c r="AJ43" s="232">
        <f t="shared" si="6"/>
        <v>6092652.5000000009</v>
      </c>
      <c r="AK43" s="232">
        <f>Table1[[#This Row],[UNIT (BUILDING) RATE (BASIC FINISH)]]*Table1[[#This Row],[Unit Selling Area]]</f>
        <v>6637152.5000000009</v>
      </c>
      <c r="AL43" s="232">
        <f>Table1[[#This Row],[UNIT (BUILDING) RATE (FULLY FINISH)]]*Table1[[#This Row],[Unit Selling Area]]</f>
        <v>7000152.5000000009</v>
      </c>
      <c r="AM43" s="232">
        <f t="shared" si="7"/>
        <v>0</v>
      </c>
      <c r="AN43" s="232">
        <f>(AM43+AJ43)*FACTS!$S$2</f>
        <v>517875.46250000014</v>
      </c>
      <c r="AO43" s="101">
        <f>VLOOKUP(S43,FACTS!$A$17:$C$23,3,FALSE)</f>
        <v>1</v>
      </c>
      <c r="AP43" s="232">
        <f>VLOOKUP(AA43,FACTS!$B$2:$J$14,9,FALSE)</f>
        <v>220000.00000000003</v>
      </c>
      <c r="AQ43" s="232">
        <f>Table1[[#This Row],[PARKING VALUE]]*1</f>
        <v>220000.00000000003</v>
      </c>
      <c r="AR43" s="232">
        <f t="shared" si="0"/>
        <v>6312652.5000000009</v>
      </c>
      <c r="AS43" s="440">
        <f>Table1[[#This Row],[TOTAL CARS VALUE]]+Table1[[#This Row],[UNIT (BUILDING) VALUE BASIC FINISHED]]+Table1[[#This Row],[UNIT (GARDEN) VALUE]]</f>
        <v>6857152.5000000009</v>
      </c>
      <c r="AT43" s="232">
        <f>Table1[[#This Row],[TOTAL CARS VALUE]]+Table1[[#This Row],[UNIT (GARDEN) VALUE]]+Table1[[#This Row],[UNIT (BUILDING) VALUE FULLY FINISHED]]</f>
        <v>7220152.5000000009</v>
      </c>
      <c r="AU43" s="233">
        <f>VLOOKUP(I43,'C PHASES'!$I$108:$J$110,2,FALSE)</f>
        <v>45839</v>
      </c>
      <c r="AV43" s="233">
        <f>VLOOKUP(AA43,'C PHASES'!$I$113:$J$125,2,FALSE)</f>
        <v>45566</v>
      </c>
    </row>
    <row r="44" spans="1:48" ht="15" customHeight="1" x14ac:dyDescent="0.25">
      <c r="A44" s="235"/>
      <c r="B44" s="227" t="str">
        <f t="shared" si="1"/>
        <v>A</v>
      </c>
      <c r="C44" s="227" t="s">
        <v>19</v>
      </c>
      <c r="D44" s="227" t="s">
        <v>1147</v>
      </c>
      <c r="E44" s="228">
        <v>4</v>
      </c>
      <c r="F44" s="101">
        <v>4</v>
      </c>
      <c r="G44" s="87" t="str">
        <f t="shared" si="8"/>
        <v>A244</v>
      </c>
      <c r="H44" s="87" t="s">
        <v>1293</v>
      </c>
      <c r="I44" s="89" t="str">
        <f>VLOOKUP(C44,'PREMIUM TABLES'!$G$107:$H$149,2,FALSE)</f>
        <v>C1</v>
      </c>
      <c r="J44" s="87">
        <v>97.17</v>
      </c>
      <c r="K44" s="87">
        <v>106.51428598123654</v>
      </c>
      <c r="L44" s="87">
        <v>120</v>
      </c>
      <c r="O44" s="87" t="s">
        <v>187</v>
      </c>
      <c r="P44" s="87" t="s">
        <v>190</v>
      </c>
      <c r="Q44" s="229" t="s">
        <v>198</v>
      </c>
      <c r="R44" s="87" t="str">
        <f>VLOOKUP(E44,'PREMIUM TABLES'!$F$214:$G$219,2,FALSE)</f>
        <v>FORTH</v>
      </c>
      <c r="S44" s="87" t="str" cm="1">
        <f t="array" ref="S44">IF(AND(L44&gt;0,L44&lt;90),"A",IF(AND(L44&gt;90,L44&lt;123),"B",IF(AND(L44&gt;122,L44&lt;159),"C",IF(AND(L44&gt;159,L44&lt;185),"D",IF(AND(L44&gt;185,L44&lt;230),"E",IF(AND(L44&gt;230,L44&lt;350),"F",NONE))))))</f>
        <v>B</v>
      </c>
      <c r="T44" s="230">
        <f>VLOOKUP(O44,'PREMIUM TABLES'!$G$165:$H$172,2,FALSE)</f>
        <v>0.08</v>
      </c>
      <c r="U44" s="230">
        <f>VLOOKUP(P44,'PREMIUM TABLES'!$G$208:$H$209,2,FALSE)</f>
        <v>2.5000000000000001E-2</v>
      </c>
      <c r="V44" s="230">
        <f>VLOOKUP(Q44,'PREMIUM TABLES'!$G$175:$H$195,2,FALSE)</f>
        <v>0.15</v>
      </c>
      <c r="W44" s="230">
        <f>VLOOKUP(R44,'PREMIUM TABLES'!$G$214:$H$219,2,FALSE)</f>
        <v>0.06</v>
      </c>
      <c r="X44" s="230">
        <f>VLOOKUP(S44,'PREMIUM TABLES'!$F$199:$H$205,3,FALSE)</f>
        <v>0.04</v>
      </c>
      <c r="Y44" s="231">
        <f t="shared" si="3"/>
        <v>0.35499999999999998</v>
      </c>
      <c r="Z44" s="231" t="str" cm="1">
        <f t="array" ref="Z44">IF(AND(Y44&gt;0,Y44&lt;0.5),"C",IF(AND(Y44&gt;=0.5,Y44&lt;0.73),"B",IF(AND(Y44&gt;=0.73,Y44&lt;0.98),"A",NONE)))</f>
        <v>C</v>
      </c>
      <c r="AA44" s="231" t="str">
        <f>VLOOKUP(G44,'ALL (R)'!$N$5:$R$862,5,FALSE)</f>
        <v>R 1</v>
      </c>
      <c r="AB44" s="232">
        <f>VLOOKUP(AA44,FACTS!$B$2:$L$14,10,FALSE)</f>
        <v>42500</v>
      </c>
      <c r="AC44" s="232">
        <f>VLOOKUP(AA44,FACTS!$B$2:$L$14,11,FALSE)</f>
        <v>47500</v>
      </c>
      <c r="AD44" s="232">
        <f>VLOOKUP(AA44,FACTS!$B$2:$N$14,13,FALSE)</f>
        <v>5000</v>
      </c>
      <c r="AE44" s="232">
        <f t="shared" si="4"/>
        <v>1775</v>
      </c>
      <c r="AF44" s="232">
        <f t="shared" si="5"/>
        <v>44275</v>
      </c>
      <c r="AG44" s="232">
        <f>AF44*FACTS!$T$2</f>
        <v>14610.75</v>
      </c>
      <c r="AH44" s="232">
        <f>Table1[[#This Row],[UNIT (BUILDING) RATE (SEMI FINISHED)]]+4500</f>
        <v>48775</v>
      </c>
      <c r="AI44" s="232">
        <f>Table1[[#This Row],[UNIT (BUILDING) RATE (SEMI FINISHED)]]+7500</f>
        <v>51775</v>
      </c>
      <c r="AJ44" s="232">
        <f t="shared" si="6"/>
        <v>5313000</v>
      </c>
      <c r="AK44" s="232">
        <f>Table1[[#This Row],[UNIT (BUILDING) RATE (BASIC FINISH)]]*Table1[[#This Row],[Unit Selling Area]]</f>
        <v>5853000</v>
      </c>
      <c r="AL44" s="232">
        <f>Table1[[#This Row],[UNIT (BUILDING) RATE (FULLY FINISH)]]*Table1[[#This Row],[Unit Selling Area]]</f>
        <v>6213000</v>
      </c>
      <c r="AM44" s="232">
        <f t="shared" si="7"/>
        <v>0</v>
      </c>
      <c r="AN44" s="232">
        <f>(AM44+AJ44)*FACTS!$S$2</f>
        <v>451605.00000000006</v>
      </c>
      <c r="AO44" s="101">
        <f>VLOOKUP(S44,FACTS!$A$17:$C$23,3,FALSE)</f>
        <v>1</v>
      </c>
      <c r="AP44" s="232">
        <f>VLOOKUP(AA44,FACTS!$B$2:$J$14,9,FALSE)</f>
        <v>200000</v>
      </c>
      <c r="AQ44" s="232">
        <f>Table1[[#This Row],[PARKING VALUE]]*1</f>
        <v>200000</v>
      </c>
      <c r="AR44" s="232">
        <f t="shared" si="0"/>
        <v>5513000</v>
      </c>
      <c r="AS44" s="440">
        <f>Table1[[#This Row],[TOTAL CARS VALUE]]+Table1[[#This Row],[UNIT (BUILDING) VALUE BASIC FINISHED]]+Table1[[#This Row],[UNIT (GARDEN) VALUE]]</f>
        <v>6053000</v>
      </c>
      <c r="AT44" s="232">
        <f>Table1[[#This Row],[TOTAL CARS VALUE]]+Table1[[#This Row],[UNIT (GARDEN) VALUE]]+Table1[[#This Row],[UNIT (BUILDING) VALUE FULLY FINISHED]]</f>
        <v>6413000</v>
      </c>
      <c r="AU44" s="233">
        <f>VLOOKUP(I44,'C PHASES'!$I$108:$J$110,2,FALSE)</f>
        <v>45839</v>
      </c>
      <c r="AV44" s="233">
        <f>VLOOKUP(AA44,'C PHASES'!$I$113:$J$125,2,FALSE)</f>
        <v>45170</v>
      </c>
    </row>
    <row r="45" spans="1:48" ht="15" customHeight="1" x14ac:dyDescent="0.25">
      <c r="A45" s="235" t="s">
        <v>15</v>
      </c>
      <c r="B45" s="227" t="str">
        <f t="shared" si="1"/>
        <v>A</v>
      </c>
      <c r="C45" s="227" t="s">
        <v>20</v>
      </c>
      <c r="D45" s="227" t="s">
        <v>1147</v>
      </c>
      <c r="E45" s="228">
        <v>0</v>
      </c>
      <c r="F45" s="101">
        <v>1</v>
      </c>
      <c r="G45" s="87" t="str">
        <f>LEFT(C45,2)&amp;E45&amp;F45</f>
        <v>A301</v>
      </c>
      <c r="H45" s="87" t="s">
        <v>1293</v>
      </c>
      <c r="I45" s="89" t="str">
        <f>VLOOKUP(C45,'PREMIUM TABLES'!$G$107:$H$149,2,FALSE)</f>
        <v>C1</v>
      </c>
      <c r="J45" s="87">
        <v>98.17</v>
      </c>
      <c r="K45" s="87">
        <v>107.61222461609491</v>
      </c>
      <c r="L45" s="87">
        <v>121</v>
      </c>
      <c r="M45" s="87">
        <v>31.614699999999999</v>
      </c>
      <c r="O45" s="87" t="s">
        <v>187</v>
      </c>
      <c r="P45" s="87" t="s">
        <v>190</v>
      </c>
      <c r="Q45" s="87" t="s">
        <v>198</v>
      </c>
      <c r="R45" s="87" t="str">
        <f>VLOOKUP(E45,'PREMIUM TABLES'!$F$214:$G$219,2,FALSE)</f>
        <v>GROUND</v>
      </c>
      <c r="S45" s="87" t="str" cm="1">
        <f t="array" ref="S45">IF(AND(L45&gt;0,L45&lt;90),"A",IF(AND(L45&gt;90,L45&lt;123),"B",IF(AND(L45&gt;122,L45&lt;159),"C",IF(AND(L45&gt;159,L45&lt;185),"D",IF(AND(L45&gt;185,L45&lt;230),"E",IF(AND(L45&gt;230,L45&lt;350),"F",NONE))))))</f>
        <v>B</v>
      </c>
      <c r="T45" s="230">
        <f>VLOOKUP(O45,'PREMIUM TABLES'!$G$165:$H$172,2,FALSE)</f>
        <v>0.08</v>
      </c>
      <c r="U45" s="230">
        <f>VLOOKUP(P45,'PREMIUM TABLES'!$G$208:$H$209,2,FALSE)</f>
        <v>2.5000000000000001E-2</v>
      </c>
      <c r="V45" s="230">
        <f>VLOOKUP(Q45,'PREMIUM TABLES'!$G$175:$H$195,2,FALSE)</f>
        <v>0.15</v>
      </c>
      <c r="W45" s="230">
        <f>VLOOKUP(R45,'PREMIUM TABLES'!$G$214:$H$219,2,FALSE)</f>
        <v>0.05</v>
      </c>
      <c r="X45" s="230">
        <f>VLOOKUP(S45,'PREMIUM TABLES'!$F$199:$H$205,3,FALSE)</f>
        <v>0.04</v>
      </c>
      <c r="Y45" s="231">
        <f t="shared" si="3"/>
        <v>0.34499999999999997</v>
      </c>
      <c r="Z45" s="231" t="str" cm="1">
        <f t="array" ref="Z45">IF(AND(Y45&gt;0,Y45&lt;0.5),"C",IF(AND(Y45&gt;=0.5,Y45&lt;0.73),"B",IF(AND(Y45&gt;=0.73,Y45&lt;0.98),"A",NONE)))</f>
        <v>C</v>
      </c>
      <c r="AA45" s="231" t="str">
        <f>VLOOKUP(G45,'ALL (R)'!$N$5:$R$862,5,FALSE)</f>
        <v>R 1</v>
      </c>
      <c r="AB45" s="232">
        <f>VLOOKUP(AA45,FACTS!$B$2:$L$14,10,FALSE)</f>
        <v>42500</v>
      </c>
      <c r="AC45" s="232">
        <f>VLOOKUP(AA45,FACTS!$B$2:$L$14,11,FALSE)</f>
        <v>47500</v>
      </c>
      <c r="AD45" s="232">
        <f>VLOOKUP(AA45,FACTS!$B$2:$N$14,13,FALSE)</f>
        <v>5000</v>
      </c>
      <c r="AE45" s="232">
        <f t="shared" si="4"/>
        <v>1724.9999999999998</v>
      </c>
      <c r="AF45" s="232">
        <f t="shared" si="5"/>
        <v>44225</v>
      </c>
      <c r="AG45" s="232">
        <f>AF45*FACTS!$T$2</f>
        <v>14594.25</v>
      </c>
      <c r="AH45" s="232">
        <f>Table1[[#This Row],[UNIT (BUILDING) RATE (SEMI FINISHED)]]+4500</f>
        <v>48725</v>
      </c>
      <c r="AI45" s="232">
        <f>Table1[[#This Row],[UNIT (BUILDING) RATE (SEMI FINISHED)]]+7500</f>
        <v>51725</v>
      </c>
      <c r="AJ45" s="232">
        <f t="shared" si="6"/>
        <v>5351225</v>
      </c>
      <c r="AK45" s="232">
        <f>Table1[[#This Row],[UNIT (BUILDING) RATE (BASIC FINISH)]]*Table1[[#This Row],[Unit Selling Area]]</f>
        <v>5895725</v>
      </c>
      <c r="AL45" s="232">
        <f>Table1[[#This Row],[UNIT (BUILDING) RATE (FULLY FINISH)]]*Table1[[#This Row],[Unit Selling Area]]</f>
        <v>6258725</v>
      </c>
      <c r="AM45" s="232">
        <f t="shared" si="7"/>
        <v>461392.83547499997</v>
      </c>
      <c r="AN45" s="232">
        <f>(AM45+AJ45)*FACTS!$S$2</f>
        <v>494072.51601537497</v>
      </c>
      <c r="AO45" s="101">
        <f>VLOOKUP(S45,FACTS!$A$17:$C$23,3,FALSE)</f>
        <v>1</v>
      </c>
      <c r="AP45" s="232">
        <f>VLOOKUP(AA45,FACTS!$B$2:$J$14,9,FALSE)</f>
        <v>200000</v>
      </c>
      <c r="AQ45" s="232">
        <f>Table1[[#This Row],[PARKING VALUE]]*1</f>
        <v>200000</v>
      </c>
      <c r="AR45" s="232">
        <f t="shared" si="0"/>
        <v>6012617.8354749996</v>
      </c>
      <c r="AS45" s="440">
        <f>Table1[[#This Row],[TOTAL CARS VALUE]]+Table1[[#This Row],[UNIT (BUILDING) VALUE BASIC FINISHED]]+Table1[[#This Row],[UNIT (GARDEN) VALUE]]</f>
        <v>6557117.8354749996</v>
      </c>
      <c r="AT45" s="232">
        <f>Table1[[#This Row],[TOTAL CARS VALUE]]+Table1[[#This Row],[UNIT (GARDEN) VALUE]]+Table1[[#This Row],[UNIT (BUILDING) VALUE FULLY FINISHED]]</f>
        <v>6920117.8354749996</v>
      </c>
      <c r="AU45" s="233">
        <f>VLOOKUP(I45,'C PHASES'!$I$108:$J$110,2,FALSE)</f>
        <v>45839</v>
      </c>
      <c r="AV45" s="233">
        <f>VLOOKUP(AA45,'C PHASES'!$I$113:$J$125,2,FALSE)</f>
        <v>45170</v>
      </c>
    </row>
    <row r="46" spans="1:48" ht="15" customHeight="1" x14ac:dyDescent="0.25">
      <c r="A46" s="235"/>
      <c r="B46" s="227" t="str">
        <f t="shared" si="1"/>
        <v>A</v>
      </c>
      <c r="C46" s="227" t="s">
        <v>20</v>
      </c>
      <c r="D46" s="227" t="s">
        <v>1147</v>
      </c>
      <c r="E46" s="228">
        <v>0</v>
      </c>
      <c r="F46" s="101">
        <v>2</v>
      </c>
      <c r="G46" s="87" t="str">
        <f t="shared" ref="G46:G64" si="9">LEFT(C46,2)&amp;E46&amp;F46</f>
        <v>A302</v>
      </c>
      <c r="H46" s="87" t="s">
        <v>1293</v>
      </c>
      <c r="I46" s="89" t="str">
        <f>VLOOKUP(C46,'PREMIUM TABLES'!$G$107:$H$149,2,FALSE)</f>
        <v>C1</v>
      </c>
      <c r="J46" s="87">
        <v>97.98</v>
      </c>
      <c r="K46" s="87">
        <v>107.40394996317592</v>
      </c>
      <c r="L46" s="87">
        <v>121</v>
      </c>
      <c r="M46" s="87">
        <v>50.705300000000001</v>
      </c>
      <c r="O46" s="87" t="s">
        <v>180</v>
      </c>
      <c r="P46" s="87" t="s">
        <v>190</v>
      </c>
      <c r="Q46" s="87" t="s">
        <v>216</v>
      </c>
      <c r="R46" s="87" t="str">
        <f>VLOOKUP(E46,'PREMIUM TABLES'!$F$214:$G$219,2,FALSE)</f>
        <v>GROUND</v>
      </c>
      <c r="S46" s="87" t="str" cm="1">
        <f t="array" ref="S46">IF(AND(L46&gt;0,L46&lt;90),"A",IF(AND(L46&gt;90,L46&lt;123),"B",IF(AND(L46&gt;122,L46&lt;159),"C",IF(AND(L46&gt;159,L46&lt;185),"D",IF(AND(L46&gt;185,L46&lt;230),"E",IF(AND(L46&gt;230,L46&lt;350),"F",NONE))))))</f>
        <v>B</v>
      </c>
      <c r="T46" s="230">
        <f>VLOOKUP(O46,'PREMIUM TABLES'!$G$165:$H$172,2,FALSE)</f>
        <v>0.13</v>
      </c>
      <c r="U46" s="230">
        <f>VLOOKUP(P46,'PREMIUM TABLES'!$G$208:$H$209,2,FALSE)</f>
        <v>2.5000000000000001E-2</v>
      </c>
      <c r="V46" s="230">
        <f>VLOOKUP(Q46,'PREMIUM TABLES'!$G$175:$H$195,2,FALSE)</f>
        <v>0.25</v>
      </c>
      <c r="W46" s="230">
        <f>VLOOKUP(R46,'PREMIUM TABLES'!$G$214:$H$219,2,FALSE)</f>
        <v>0.05</v>
      </c>
      <c r="X46" s="230">
        <f>VLOOKUP(S46,'PREMIUM TABLES'!$F$199:$H$205,3,FALSE)</f>
        <v>0.04</v>
      </c>
      <c r="Y46" s="231">
        <f t="shared" si="3"/>
        <v>0.495</v>
      </c>
      <c r="Z46" s="231" t="str" cm="1">
        <f t="array" ref="Z46">IF(AND(Y46&gt;0,Y46&lt;0.5),"C",IF(AND(Y46&gt;=0.5,Y46&lt;0.73),"B",IF(AND(Y46&gt;=0.73,Y46&lt;0.98),"A",NONE)))</f>
        <v>C</v>
      </c>
      <c r="AA46" s="231" t="str">
        <f>VLOOKUP(G46,'ALL (R)'!$N$5:$R$862,5,FALSE)</f>
        <v>R 12</v>
      </c>
      <c r="AB46" s="232">
        <f>VLOOKUP(AA46,FACTS!$B$2:$L$14,10,FALSE)</f>
        <v>61625</v>
      </c>
      <c r="AC46" s="232">
        <f>VLOOKUP(AA46,FACTS!$B$2:$L$14,11,FALSE)</f>
        <v>68875</v>
      </c>
      <c r="AD46" s="232">
        <f>VLOOKUP(AA46,FACTS!$B$2:$N$14,13,FALSE)</f>
        <v>7250</v>
      </c>
      <c r="AE46" s="232">
        <f t="shared" si="4"/>
        <v>3588.75</v>
      </c>
      <c r="AF46" s="232">
        <f t="shared" si="5"/>
        <v>65213.75</v>
      </c>
      <c r="AG46" s="232">
        <f>AF46*FACTS!$T$2</f>
        <v>21520.537500000002</v>
      </c>
      <c r="AH46" s="232">
        <f>Table1[[#This Row],[UNIT (BUILDING) RATE (SEMI FINISHED)]]+4500</f>
        <v>69713.75</v>
      </c>
      <c r="AI46" s="232">
        <f>Table1[[#This Row],[UNIT (BUILDING) RATE (SEMI FINISHED)]]+7500</f>
        <v>72713.75</v>
      </c>
      <c r="AJ46" s="232">
        <f t="shared" si="6"/>
        <v>7890863.75</v>
      </c>
      <c r="AK46" s="232">
        <f>Table1[[#This Row],[UNIT (BUILDING) RATE (BASIC FINISH)]]*Table1[[#This Row],[Unit Selling Area]]</f>
        <v>8435363.75</v>
      </c>
      <c r="AL46" s="232">
        <f>Table1[[#This Row],[UNIT (BUILDING) RATE (FULLY FINISH)]]*Table1[[#This Row],[Unit Selling Area]]</f>
        <v>8798363.75</v>
      </c>
      <c r="AM46" s="232">
        <f t="shared" si="7"/>
        <v>1091205.3100987501</v>
      </c>
      <c r="AN46" s="232">
        <f>(AM46+AJ46)*FACTS!$S$2</f>
        <v>763475.87010839384</v>
      </c>
      <c r="AO46" s="101">
        <f>VLOOKUP(S46,FACTS!$A$17:$C$23,3,FALSE)</f>
        <v>1</v>
      </c>
      <c r="AP46" s="232">
        <f>VLOOKUP(AA46,FACTS!$B$2:$J$14,9,FALSE)</f>
        <v>290000</v>
      </c>
      <c r="AQ46" s="232">
        <f>Table1[[#This Row],[PARKING VALUE]]*1</f>
        <v>290000</v>
      </c>
      <c r="AR46" s="232">
        <f t="shared" si="0"/>
        <v>9272069.0600987505</v>
      </c>
      <c r="AS46" s="440">
        <f>Table1[[#This Row],[TOTAL CARS VALUE]]+Table1[[#This Row],[UNIT (BUILDING) VALUE BASIC FINISHED]]+Table1[[#This Row],[UNIT (GARDEN) VALUE]]</f>
        <v>9816569.0600987505</v>
      </c>
      <c r="AT46" s="232">
        <f>Table1[[#This Row],[TOTAL CARS VALUE]]+Table1[[#This Row],[UNIT (GARDEN) VALUE]]+Table1[[#This Row],[UNIT (BUILDING) VALUE FULLY FINISHED]]</f>
        <v>10179569.060098751</v>
      </c>
      <c r="AU46" s="233">
        <f>VLOOKUP(I46,'C PHASES'!$I$108:$J$110,2,FALSE)</f>
        <v>45839</v>
      </c>
      <c r="AV46" s="233">
        <f>VLOOKUP(AA46,'C PHASES'!$I$113:$J$125,2,FALSE)</f>
        <v>46204</v>
      </c>
    </row>
    <row r="47" spans="1:48" ht="15" customHeight="1" x14ac:dyDescent="0.25">
      <c r="A47" s="235"/>
      <c r="B47" s="227" t="str">
        <f t="shared" si="1"/>
        <v>A</v>
      </c>
      <c r="C47" s="227" t="s">
        <v>20</v>
      </c>
      <c r="D47" s="227" t="s">
        <v>1147</v>
      </c>
      <c r="E47" s="228">
        <v>0</v>
      </c>
      <c r="F47" s="101">
        <v>3</v>
      </c>
      <c r="G47" s="87" t="str">
        <f t="shared" si="9"/>
        <v>A303</v>
      </c>
      <c r="H47" s="87" t="s">
        <v>1293</v>
      </c>
      <c r="I47" s="89" t="str">
        <f>VLOOKUP(C47,'PREMIUM TABLES'!$G$107:$H$149,2,FALSE)</f>
        <v>C1</v>
      </c>
      <c r="J47" s="87">
        <v>89.96</v>
      </c>
      <c r="K47" s="87">
        <v>98.612567245226629</v>
      </c>
      <c r="L47" s="87">
        <v>111</v>
      </c>
      <c r="M47" s="87">
        <v>50.540100000000002</v>
      </c>
      <c r="O47" s="87" t="s">
        <v>180</v>
      </c>
      <c r="P47" s="87" t="s">
        <v>190</v>
      </c>
      <c r="Q47" s="87" t="s">
        <v>200</v>
      </c>
      <c r="R47" s="87" t="str">
        <f>VLOOKUP(E47,'PREMIUM TABLES'!$F$214:$G$219,2,FALSE)</f>
        <v>GROUND</v>
      </c>
      <c r="S47" s="87" t="str" cm="1">
        <f t="array" ref="S47">IF(AND(L47&gt;0,L47&lt;90),"A",IF(AND(L47&gt;90,L47&lt;123),"B",IF(AND(L47&gt;122,L47&lt;159),"C",IF(AND(L47&gt;159,L47&lt;185),"D",IF(AND(L47&gt;185,L47&lt;230),"E",IF(AND(L47&gt;230,L47&lt;350),"F",NONE))))))</f>
        <v>B</v>
      </c>
      <c r="T47" s="230">
        <f>VLOOKUP(O47,'PREMIUM TABLES'!$G$165:$H$172,2,FALSE)</f>
        <v>0.13</v>
      </c>
      <c r="U47" s="230">
        <f>VLOOKUP(P47,'PREMIUM TABLES'!$G$208:$H$209,2,FALSE)</f>
        <v>2.5000000000000001E-2</v>
      </c>
      <c r="V47" s="230">
        <f>VLOOKUP(Q47,'PREMIUM TABLES'!$G$175:$H$195,2,FALSE)</f>
        <v>0.1</v>
      </c>
      <c r="W47" s="230">
        <f>VLOOKUP(R47,'PREMIUM TABLES'!$G$214:$H$219,2,FALSE)</f>
        <v>0.05</v>
      </c>
      <c r="X47" s="230">
        <f>VLOOKUP(S47,'PREMIUM TABLES'!$F$199:$H$205,3,FALSE)</f>
        <v>0.04</v>
      </c>
      <c r="Y47" s="231">
        <f t="shared" si="3"/>
        <v>0.34499999999999997</v>
      </c>
      <c r="Z47" s="231" t="str" cm="1">
        <f t="array" ref="Z47">IF(AND(Y47&gt;0,Y47&lt;0.5),"C",IF(AND(Y47&gt;=0.5,Y47&lt;0.73),"B",IF(AND(Y47&gt;=0.73,Y47&lt;0.98),"A",NONE)))</f>
        <v>C</v>
      </c>
      <c r="AA47" s="231" t="str">
        <f>VLOOKUP(G47,'ALL (R)'!$N$5:$R$862,5,FALSE)</f>
        <v>R 1</v>
      </c>
      <c r="AB47" s="232">
        <f>VLOOKUP(AA47,FACTS!$B$2:$L$14,10,FALSE)</f>
        <v>42500</v>
      </c>
      <c r="AC47" s="232">
        <f>VLOOKUP(AA47,FACTS!$B$2:$L$14,11,FALSE)</f>
        <v>47500</v>
      </c>
      <c r="AD47" s="232">
        <f>VLOOKUP(AA47,FACTS!$B$2:$N$14,13,FALSE)</f>
        <v>5000</v>
      </c>
      <c r="AE47" s="232">
        <f t="shared" si="4"/>
        <v>1724.9999999999998</v>
      </c>
      <c r="AF47" s="232">
        <f t="shared" si="5"/>
        <v>44225</v>
      </c>
      <c r="AG47" s="232">
        <f>AF47*FACTS!$T$2</f>
        <v>14594.25</v>
      </c>
      <c r="AH47" s="232">
        <f>Table1[[#This Row],[UNIT (BUILDING) RATE (SEMI FINISHED)]]+4500</f>
        <v>48725</v>
      </c>
      <c r="AI47" s="232">
        <f>Table1[[#This Row],[UNIT (BUILDING) RATE (SEMI FINISHED)]]+7500</f>
        <v>51725</v>
      </c>
      <c r="AJ47" s="232">
        <f t="shared" si="6"/>
        <v>4908975</v>
      </c>
      <c r="AK47" s="232">
        <f>Table1[[#This Row],[UNIT (BUILDING) RATE (BASIC FINISH)]]*Table1[[#This Row],[Unit Selling Area]]</f>
        <v>5408475</v>
      </c>
      <c r="AL47" s="232">
        <f>Table1[[#This Row],[UNIT (BUILDING) RATE (FULLY FINISH)]]*Table1[[#This Row],[Unit Selling Area]]</f>
        <v>5741475</v>
      </c>
      <c r="AM47" s="232">
        <f t="shared" si="7"/>
        <v>737594.85442500003</v>
      </c>
      <c r="AN47" s="232">
        <f>(AM47+AJ47)*FACTS!$S$2</f>
        <v>479958.43762612506</v>
      </c>
      <c r="AO47" s="101">
        <f>VLOOKUP(S47,FACTS!$A$17:$C$23,3,FALSE)</f>
        <v>1</v>
      </c>
      <c r="AP47" s="232">
        <f>VLOOKUP(AA47,FACTS!$B$2:$J$14,9,FALSE)</f>
        <v>200000</v>
      </c>
      <c r="AQ47" s="232">
        <f>Table1[[#This Row],[PARKING VALUE]]*1</f>
        <v>200000</v>
      </c>
      <c r="AR47" s="232">
        <f t="shared" si="0"/>
        <v>5846569.854425</v>
      </c>
      <c r="AS47" s="440">
        <f>Table1[[#This Row],[TOTAL CARS VALUE]]+Table1[[#This Row],[UNIT (BUILDING) VALUE BASIC FINISHED]]+Table1[[#This Row],[UNIT (GARDEN) VALUE]]</f>
        <v>6346069.854425</v>
      </c>
      <c r="AT47" s="232">
        <f>Table1[[#This Row],[TOTAL CARS VALUE]]+Table1[[#This Row],[UNIT (GARDEN) VALUE]]+Table1[[#This Row],[UNIT (BUILDING) VALUE FULLY FINISHED]]</f>
        <v>6679069.854425</v>
      </c>
      <c r="AU47" s="233">
        <f>VLOOKUP(I47,'C PHASES'!$I$108:$J$110,2,FALSE)</f>
        <v>45839</v>
      </c>
      <c r="AV47" s="233">
        <f>VLOOKUP(AA47,'C PHASES'!$I$113:$J$125,2,FALSE)</f>
        <v>45170</v>
      </c>
    </row>
    <row r="48" spans="1:48" ht="15" customHeight="1" x14ac:dyDescent="0.25">
      <c r="A48" s="235"/>
      <c r="B48" s="227" t="str">
        <f t="shared" si="1"/>
        <v>A</v>
      </c>
      <c r="C48" s="227" t="s">
        <v>20</v>
      </c>
      <c r="D48" s="227" t="s">
        <v>1147</v>
      </c>
      <c r="E48" s="228">
        <v>0</v>
      </c>
      <c r="F48" s="101">
        <v>4</v>
      </c>
      <c r="G48" s="87" t="str">
        <f t="shared" si="9"/>
        <v>A304</v>
      </c>
      <c r="H48" s="87" t="s">
        <v>1296</v>
      </c>
      <c r="I48" s="89" t="str">
        <f>VLOOKUP(C48,'PREMIUM TABLES'!$G$107:$H$149,2,FALSE)</f>
        <v>C1</v>
      </c>
      <c r="J48" s="87">
        <v>60.98</v>
      </c>
      <c r="K48" s="87">
        <v>66.845201763160517</v>
      </c>
      <c r="L48" s="87">
        <v>75</v>
      </c>
      <c r="M48" s="87">
        <v>23.830100000000002</v>
      </c>
      <c r="O48" s="87" t="s">
        <v>187</v>
      </c>
      <c r="P48" s="87" t="s">
        <v>190</v>
      </c>
      <c r="Q48" s="87" t="s">
        <v>198</v>
      </c>
      <c r="R48" s="87" t="str">
        <f>VLOOKUP(E48,'PREMIUM TABLES'!$F$214:$G$219,2,FALSE)</f>
        <v>GROUND</v>
      </c>
      <c r="S48" s="87" t="str" cm="1">
        <f t="array" ref="S48">IF(AND(L48&gt;0,L48&lt;90),"A",IF(AND(L48&gt;90,L48&lt;123),"B",IF(AND(L48&gt;122,L48&lt;159),"C",IF(AND(L48&gt;159,L48&lt;185),"D",IF(AND(L48&gt;185,L48&lt;230),"E",IF(AND(L48&gt;230,L48&lt;350),"F",NONE))))))</f>
        <v>A</v>
      </c>
      <c r="T48" s="230">
        <f>VLOOKUP(O48,'PREMIUM TABLES'!$G$165:$H$172,2,FALSE)</f>
        <v>0.08</v>
      </c>
      <c r="U48" s="230">
        <f>VLOOKUP(P48,'PREMIUM TABLES'!$G$208:$H$209,2,FALSE)</f>
        <v>2.5000000000000001E-2</v>
      </c>
      <c r="V48" s="230">
        <f>VLOOKUP(Q48,'PREMIUM TABLES'!$G$175:$H$195,2,FALSE)</f>
        <v>0.15</v>
      </c>
      <c r="W48" s="230">
        <f>VLOOKUP(R48,'PREMIUM TABLES'!$G$214:$H$219,2,FALSE)</f>
        <v>0.05</v>
      </c>
      <c r="X48" s="230">
        <f>VLOOKUP(S48,'PREMIUM TABLES'!$F$199:$H$205,3,FALSE)</f>
        <v>0.05</v>
      </c>
      <c r="Y48" s="231">
        <f t="shared" si="3"/>
        <v>0.35499999999999998</v>
      </c>
      <c r="Z48" s="231" t="str" cm="1">
        <f t="array" ref="Z48">IF(AND(Y48&gt;0,Y48&lt;0.5),"C",IF(AND(Y48&gt;=0.5,Y48&lt;0.73),"B",IF(AND(Y48&gt;=0.73,Y48&lt;0.98),"A",NONE)))</f>
        <v>C</v>
      </c>
      <c r="AA48" s="231" t="str">
        <f>VLOOKUP(G48,'ALL (R)'!$N$5:$R$862,5,FALSE)</f>
        <v>R 1</v>
      </c>
      <c r="AB48" s="232">
        <f>VLOOKUP(AA48,FACTS!$B$2:$L$14,10,FALSE)</f>
        <v>42500</v>
      </c>
      <c r="AC48" s="232">
        <f>VLOOKUP(AA48,FACTS!$B$2:$L$14,11,FALSE)</f>
        <v>47500</v>
      </c>
      <c r="AD48" s="232">
        <f>VLOOKUP(AA48,FACTS!$B$2:$N$14,13,FALSE)</f>
        <v>5000</v>
      </c>
      <c r="AE48" s="232">
        <f t="shared" si="4"/>
        <v>1775</v>
      </c>
      <c r="AF48" s="232">
        <f t="shared" si="5"/>
        <v>44275</v>
      </c>
      <c r="AG48" s="232">
        <f>AF48*FACTS!$T$2</f>
        <v>14610.75</v>
      </c>
      <c r="AH48" s="232">
        <f>Table1[[#This Row],[UNIT (BUILDING) RATE (SEMI FINISHED)]]+4500</f>
        <v>48775</v>
      </c>
      <c r="AI48" s="232">
        <f>Table1[[#This Row],[UNIT (BUILDING) RATE (SEMI FINISHED)]]+7500</f>
        <v>51775</v>
      </c>
      <c r="AJ48" s="232">
        <f t="shared" si="6"/>
        <v>3320625</v>
      </c>
      <c r="AK48" s="232">
        <f>Table1[[#This Row],[UNIT (BUILDING) RATE (BASIC FINISH)]]*Table1[[#This Row],[Unit Selling Area]]</f>
        <v>3658125</v>
      </c>
      <c r="AL48" s="232">
        <f>Table1[[#This Row],[UNIT (BUILDING) RATE (FULLY FINISH)]]*Table1[[#This Row],[Unit Selling Area]]</f>
        <v>3883125</v>
      </c>
      <c r="AM48" s="232">
        <f t="shared" si="7"/>
        <v>348175.63357500004</v>
      </c>
      <c r="AN48" s="232">
        <f>(AM48+AJ48)*FACTS!$S$2</f>
        <v>311848.05385387503</v>
      </c>
      <c r="AO48" s="101">
        <f>VLOOKUP(S48,FACTS!$A$17:$C$23,3,FALSE)</f>
        <v>1</v>
      </c>
      <c r="AP48" s="232">
        <f>VLOOKUP(AA48,FACTS!$B$2:$J$14,9,FALSE)</f>
        <v>200000</v>
      </c>
      <c r="AQ48" s="232">
        <f>Table1[[#This Row],[PARKING VALUE]]*1</f>
        <v>200000</v>
      </c>
      <c r="AR48" s="232">
        <f t="shared" si="0"/>
        <v>3868800.6335749999</v>
      </c>
      <c r="AS48" s="440">
        <f>Table1[[#This Row],[TOTAL CARS VALUE]]+Table1[[#This Row],[UNIT (BUILDING) VALUE BASIC FINISHED]]+Table1[[#This Row],[UNIT (GARDEN) VALUE]]</f>
        <v>4206300.6335749999</v>
      </c>
      <c r="AT48" s="232">
        <f>Table1[[#This Row],[TOTAL CARS VALUE]]+Table1[[#This Row],[UNIT (GARDEN) VALUE]]+Table1[[#This Row],[UNIT (BUILDING) VALUE FULLY FINISHED]]</f>
        <v>4431300.6335749999</v>
      </c>
      <c r="AU48" s="233">
        <f>VLOOKUP(I48,'C PHASES'!$I$108:$J$110,2,FALSE)</f>
        <v>45839</v>
      </c>
      <c r="AV48" s="233">
        <f>VLOOKUP(AA48,'C PHASES'!$I$113:$J$125,2,FALSE)</f>
        <v>45170</v>
      </c>
    </row>
    <row r="49" spans="1:48" ht="15" customHeight="1" x14ac:dyDescent="0.25">
      <c r="A49" s="235"/>
      <c r="B49" s="227" t="str">
        <f t="shared" si="1"/>
        <v>A</v>
      </c>
      <c r="C49" s="227" t="s">
        <v>20</v>
      </c>
      <c r="D49" s="227" t="s">
        <v>1147</v>
      </c>
      <c r="E49" s="228">
        <v>1</v>
      </c>
      <c r="F49" s="101">
        <v>1</v>
      </c>
      <c r="G49" s="87" t="str">
        <f t="shared" si="9"/>
        <v>A311</v>
      </c>
      <c r="H49" s="87" t="s">
        <v>1293</v>
      </c>
      <c r="I49" s="89" t="str">
        <f>VLOOKUP(C49,'PREMIUM TABLES'!$G$107:$H$149,2,FALSE)</f>
        <v>C1</v>
      </c>
      <c r="J49" s="87">
        <v>97.09</v>
      </c>
      <c r="K49" s="87">
        <v>106.42834764160798</v>
      </c>
      <c r="L49" s="87">
        <v>119</v>
      </c>
      <c r="O49" s="87" t="s">
        <v>187</v>
      </c>
      <c r="P49" s="87" t="s">
        <v>190</v>
      </c>
      <c r="Q49" s="87" t="s">
        <v>198</v>
      </c>
      <c r="R49" s="87" t="str">
        <f>VLOOKUP(E49,'PREMIUM TABLES'!$F$214:$G$219,2,FALSE)</f>
        <v>FIRST</v>
      </c>
      <c r="S49" s="87" t="str" cm="1">
        <f t="array" ref="S49">IF(AND(L49&gt;0,L49&lt;90),"A",IF(AND(L49&gt;90,L49&lt;123),"B",IF(AND(L49&gt;122,L49&lt;159),"C",IF(AND(L49&gt;159,L49&lt;185),"D",IF(AND(L49&gt;185,L49&lt;230),"E",IF(AND(L49&gt;230,L49&lt;350),"F",NONE))))))</f>
        <v>B</v>
      </c>
      <c r="T49" s="230">
        <f>VLOOKUP(O49,'PREMIUM TABLES'!$G$165:$H$172,2,FALSE)</f>
        <v>0.08</v>
      </c>
      <c r="U49" s="230">
        <f>VLOOKUP(P49,'PREMIUM TABLES'!$G$208:$H$209,2,FALSE)</f>
        <v>2.5000000000000001E-2</v>
      </c>
      <c r="V49" s="230">
        <f>VLOOKUP(Q49,'PREMIUM TABLES'!$G$175:$H$195,2,FALSE)</f>
        <v>0.15</v>
      </c>
      <c r="W49" s="230">
        <f>VLOOKUP(R49,'PREMIUM TABLES'!$G$214:$H$219,2,FALSE)</f>
        <v>7.0000000000000007E-2</v>
      </c>
      <c r="X49" s="230">
        <f>VLOOKUP(S49,'PREMIUM TABLES'!$F$199:$H$205,3,FALSE)</f>
        <v>0.04</v>
      </c>
      <c r="Y49" s="231">
        <f t="shared" si="3"/>
        <v>0.36499999999999999</v>
      </c>
      <c r="Z49" s="231" t="str" cm="1">
        <f t="array" ref="Z49">IF(AND(Y49&gt;0,Y49&lt;0.5),"C",IF(AND(Y49&gt;=0.5,Y49&lt;0.73),"B",IF(AND(Y49&gt;=0.73,Y49&lt;0.98),"A",NONE)))</f>
        <v>C</v>
      </c>
      <c r="AA49" s="231" t="str">
        <f>VLOOKUP(G49,'ALL (R)'!$N$5:$R$862,5,FALSE)</f>
        <v>R 2</v>
      </c>
      <c r="AB49" s="232">
        <f>VLOOKUP(AA49,FACTS!$B$2:$L$14,10,FALSE)</f>
        <v>43562.499999999993</v>
      </c>
      <c r="AC49" s="232">
        <f>VLOOKUP(AA49,FACTS!$B$2:$L$14,11,FALSE)</f>
        <v>48687.499999999993</v>
      </c>
      <c r="AD49" s="232">
        <f>VLOOKUP(AA49,FACTS!$B$2:$N$14,13,FALSE)</f>
        <v>5125</v>
      </c>
      <c r="AE49" s="232">
        <f t="shared" si="4"/>
        <v>1870.625</v>
      </c>
      <c r="AF49" s="232">
        <f t="shared" si="5"/>
        <v>45433.124999999993</v>
      </c>
      <c r="AG49" s="232">
        <f>AF49*FACTS!$T$2</f>
        <v>14992.931249999998</v>
      </c>
      <c r="AH49" s="232">
        <f>Table1[[#This Row],[UNIT (BUILDING) RATE (SEMI FINISHED)]]+4500</f>
        <v>49933.124999999993</v>
      </c>
      <c r="AI49" s="232">
        <f>Table1[[#This Row],[UNIT (BUILDING) RATE (SEMI FINISHED)]]+7500</f>
        <v>52933.124999999993</v>
      </c>
      <c r="AJ49" s="232">
        <f t="shared" si="6"/>
        <v>5406541.8749999991</v>
      </c>
      <c r="AK49" s="232">
        <f>Table1[[#This Row],[UNIT (BUILDING) RATE (BASIC FINISH)]]*Table1[[#This Row],[Unit Selling Area]]</f>
        <v>5942041.8749999991</v>
      </c>
      <c r="AL49" s="232">
        <f>Table1[[#This Row],[UNIT (BUILDING) RATE (FULLY FINISH)]]*Table1[[#This Row],[Unit Selling Area]]</f>
        <v>6299041.8749999991</v>
      </c>
      <c r="AM49" s="232">
        <f t="shared" si="7"/>
        <v>0</v>
      </c>
      <c r="AN49" s="232">
        <f>(AM49+AJ49)*FACTS!$S$2</f>
        <v>459556.05937499995</v>
      </c>
      <c r="AO49" s="101">
        <f>VLOOKUP(S49,FACTS!$A$17:$C$23,3,FALSE)</f>
        <v>1</v>
      </c>
      <c r="AP49" s="232">
        <f>VLOOKUP(AA49,FACTS!$B$2:$J$14,9,FALSE)</f>
        <v>204999.99999999997</v>
      </c>
      <c r="AQ49" s="232">
        <f>Table1[[#This Row],[PARKING VALUE]]*1</f>
        <v>204999.99999999997</v>
      </c>
      <c r="AR49" s="232">
        <f t="shared" si="0"/>
        <v>5611541.8749999991</v>
      </c>
      <c r="AS49" s="440">
        <f>Table1[[#This Row],[TOTAL CARS VALUE]]+Table1[[#This Row],[UNIT (BUILDING) VALUE BASIC FINISHED]]+Table1[[#This Row],[UNIT (GARDEN) VALUE]]</f>
        <v>6147041.8749999991</v>
      </c>
      <c r="AT49" s="232">
        <f>Table1[[#This Row],[TOTAL CARS VALUE]]+Table1[[#This Row],[UNIT (GARDEN) VALUE]]+Table1[[#This Row],[UNIT (BUILDING) VALUE FULLY FINISHED]]</f>
        <v>6504041.8749999991</v>
      </c>
      <c r="AU49" s="233">
        <f>VLOOKUP(I49,'C PHASES'!$I$108:$J$110,2,FALSE)</f>
        <v>45839</v>
      </c>
      <c r="AV49" s="233">
        <f>VLOOKUP(AA49,'C PHASES'!$I$113:$J$125,2,FALSE)</f>
        <v>45292</v>
      </c>
    </row>
    <row r="50" spans="1:48" ht="15" customHeight="1" x14ac:dyDescent="0.25">
      <c r="A50" s="235"/>
      <c r="B50" s="227" t="str">
        <f t="shared" si="1"/>
        <v>A</v>
      </c>
      <c r="C50" s="227" t="s">
        <v>20</v>
      </c>
      <c r="D50" s="227" t="s">
        <v>1147</v>
      </c>
      <c r="E50" s="228">
        <v>1</v>
      </c>
      <c r="F50" s="101">
        <v>2</v>
      </c>
      <c r="G50" s="87" t="str">
        <f t="shared" si="9"/>
        <v>A312</v>
      </c>
      <c r="H50" s="87" t="s">
        <v>1293</v>
      </c>
      <c r="I50" s="89" t="str">
        <f>VLOOKUP(C50,'PREMIUM TABLES'!$G$107:$H$149,2,FALSE)</f>
        <v>C1</v>
      </c>
      <c r="J50" s="87">
        <v>97.06</v>
      </c>
      <c r="K50" s="87">
        <v>106.39546217009445</v>
      </c>
      <c r="L50" s="87">
        <v>119</v>
      </c>
      <c r="O50" s="87" t="s">
        <v>180</v>
      </c>
      <c r="P50" s="87" t="s">
        <v>190</v>
      </c>
      <c r="Q50" s="87" t="s">
        <v>216</v>
      </c>
      <c r="R50" s="87" t="str">
        <f>VLOOKUP(E50,'PREMIUM TABLES'!$F$214:$G$219,2,FALSE)</f>
        <v>FIRST</v>
      </c>
      <c r="S50" s="87" t="str" cm="1">
        <f t="array" ref="S50">IF(AND(L50&gt;0,L50&lt;90),"A",IF(AND(L50&gt;90,L50&lt;123),"B",IF(AND(L50&gt;122,L50&lt;159),"C",IF(AND(L50&gt;159,L50&lt;185),"D",IF(AND(L50&gt;185,L50&lt;230),"E",IF(AND(L50&gt;230,L50&lt;350),"F",NONE))))))</f>
        <v>B</v>
      </c>
      <c r="T50" s="230">
        <f>VLOOKUP(O50,'PREMIUM TABLES'!$G$165:$H$172,2,FALSE)</f>
        <v>0.13</v>
      </c>
      <c r="U50" s="230">
        <f>VLOOKUP(P50,'PREMIUM TABLES'!$G$208:$H$209,2,FALSE)</f>
        <v>2.5000000000000001E-2</v>
      </c>
      <c r="V50" s="230">
        <f>VLOOKUP(Q50,'PREMIUM TABLES'!$G$175:$H$195,2,FALSE)</f>
        <v>0.25</v>
      </c>
      <c r="W50" s="230">
        <f>VLOOKUP(R50,'PREMIUM TABLES'!$G$214:$H$219,2,FALSE)</f>
        <v>7.0000000000000007E-2</v>
      </c>
      <c r="X50" s="230">
        <f>VLOOKUP(S50,'PREMIUM TABLES'!$F$199:$H$205,3,FALSE)</f>
        <v>0.04</v>
      </c>
      <c r="Y50" s="231">
        <f t="shared" si="3"/>
        <v>0.51500000000000001</v>
      </c>
      <c r="Z50" s="231" t="str" cm="1">
        <f t="array" ref="Z50">IF(AND(Y50&gt;0,Y50&lt;0.5),"C",IF(AND(Y50&gt;=0.5,Y50&lt;0.73),"B",IF(AND(Y50&gt;=0.73,Y50&lt;0.98),"A",NONE)))</f>
        <v>B</v>
      </c>
      <c r="AA50" s="231" t="str">
        <f>VLOOKUP(G50,'ALL (R)'!$N$5:$R$862,5,FALSE)</f>
        <v>R 1</v>
      </c>
      <c r="AB50" s="232">
        <f>VLOOKUP(AA50,FACTS!$B$2:$L$14,10,FALSE)</f>
        <v>42500</v>
      </c>
      <c r="AC50" s="232">
        <f>VLOOKUP(AA50,FACTS!$B$2:$L$14,11,FALSE)</f>
        <v>47500</v>
      </c>
      <c r="AD50" s="232">
        <f>VLOOKUP(AA50,FACTS!$B$2:$N$14,13,FALSE)</f>
        <v>5000</v>
      </c>
      <c r="AE50" s="232">
        <f t="shared" si="4"/>
        <v>2575</v>
      </c>
      <c r="AF50" s="232">
        <f t="shared" si="5"/>
        <v>45075</v>
      </c>
      <c r="AG50" s="232">
        <f>AF50*FACTS!$T$2</f>
        <v>14874.75</v>
      </c>
      <c r="AH50" s="232">
        <f>Table1[[#This Row],[UNIT (BUILDING) RATE (SEMI FINISHED)]]+4500</f>
        <v>49575</v>
      </c>
      <c r="AI50" s="232">
        <f>Table1[[#This Row],[UNIT (BUILDING) RATE (SEMI FINISHED)]]+7500</f>
        <v>52575</v>
      </c>
      <c r="AJ50" s="232">
        <f t="shared" si="6"/>
        <v>5363925</v>
      </c>
      <c r="AK50" s="232">
        <f>Table1[[#This Row],[UNIT (BUILDING) RATE (BASIC FINISH)]]*Table1[[#This Row],[Unit Selling Area]]</f>
        <v>5899425</v>
      </c>
      <c r="AL50" s="232">
        <f>Table1[[#This Row],[UNIT (BUILDING) RATE (FULLY FINISH)]]*Table1[[#This Row],[Unit Selling Area]]</f>
        <v>6256425</v>
      </c>
      <c r="AM50" s="232">
        <f t="shared" si="7"/>
        <v>0</v>
      </c>
      <c r="AN50" s="232">
        <f>(AM50+AJ50)*FACTS!$S$2</f>
        <v>455933.62500000006</v>
      </c>
      <c r="AO50" s="101">
        <f>VLOOKUP(S50,FACTS!$A$17:$C$23,3,FALSE)</f>
        <v>1</v>
      </c>
      <c r="AP50" s="232">
        <f>VLOOKUP(AA50,FACTS!$B$2:$J$14,9,FALSE)</f>
        <v>200000</v>
      </c>
      <c r="AQ50" s="232">
        <f>Table1[[#This Row],[PARKING VALUE]]*1</f>
        <v>200000</v>
      </c>
      <c r="AR50" s="232">
        <f t="shared" si="0"/>
        <v>5563925</v>
      </c>
      <c r="AS50" s="440">
        <f>Table1[[#This Row],[TOTAL CARS VALUE]]+Table1[[#This Row],[UNIT (BUILDING) VALUE BASIC FINISHED]]+Table1[[#This Row],[UNIT (GARDEN) VALUE]]</f>
        <v>6099425</v>
      </c>
      <c r="AT50" s="232">
        <f>Table1[[#This Row],[TOTAL CARS VALUE]]+Table1[[#This Row],[UNIT (GARDEN) VALUE]]+Table1[[#This Row],[UNIT (BUILDING) VALUE FULLY FINISHED]]</f>
        <v>6456425</v>
      </c>
      <c r="AU50" s="233">
        <f>VLOOKUP(I50,'C PHASES'!$I$108:$J$110,2,FALSE)</f>
        <v>45839</v>
      </c>
      <c r="AV50" s="233">
        <f>VLOOKUP(AA50,'C PHASES'!$I$113:$J$125,2,FALSE)</f>
        <v>45170</v>
      </c>
    </row>
    <row r="51" spans="1:48" ht="15" customHeight="1" x14ac:dyDescent="0.25">
      <c r="A51" s="235"/>
      <c r="B51" s="227" t="str">
        <f t="shared" si="1"/>
        <v>A</v>
      </c>
      <c r="C51" s="227" t="s">
        <v>20</v>
      </c>
      <c r="D51" s="227" t="s">
        <v>1147</v>
      </c>
      <c r="E51" s="228">
        <v>1</v>
      </c>
      <c r="F51" s="101">
        <v>3</v>
      </c>
      <c r="G51" s="87" t="str">
        <f t="shared" si="9"/>
        <v>A313</v>
      </c>
      <c r="H51" s="87" t="s">
        <v>1293</v>
      </c>
      <c r="I51" s="89" t="str">
        <f>VLOOKUP(C51,'PREMIUM TABLES'!$G$107:$H$149,2,FALSE)</f>
        <v>C1</v>
      </c>
      <c r="J51" s="87">
        <v>89.05</v>
      </c>
      <c r="K51" s="87">
        <v>97.615041275983003</v>
      </c>
      <c r="L51" s="87">
        <v>110</v>
      </c>
      <c r="O51" s="87" t="s">
        <v>180</v>
      </c>
      <c r="P51" s="87" t="s">
        <v>190</v>
      </c>
      <c r="Q51" s="87" t="s">
        <v>215</v>
      </c>
      <c r="R51" s="87" t="str">
        <f>VLOOKUP(E51,'PREMIUM TABLES'!$F$214:$G$219,2,FALSE)</f>
        <v>FIRST</v>
      </c>
      <c r="S51" s="87" t="str" cm="1">
        <f t="array" ref="S51">IF(AND(L51&gt;0,L51&lt;90),"A",IF(AND(L51&gt;90,L51&lt;123),"B",IF(AND(L51&gt;122,L51&lt;159),"C",IF(AND(L51&gt;159,L51&lt;185),"D",IF(AND(L51&gt;185,L51&lt;230),"E",IF(AND(L51&gt;230,L51&lt;350),"F",NONE))))))</f>
        <v>B</v>
      </c>
      <c r="T51" s="230">
        <f>VLOOKUP(O51,'PREMIUM TABLES'!$G$165:$H$172,2,FALSE)</f>
        <v>0.13</v>
      </c>
      <c r="U51" s="230">
        <f>VLOOKUP(P51,'PREMIUM TABLES'!$G$208:$H$209,2,FALSE)</f>
        <v>2.5000000000000001E-2</v>
      </c>
      <c r="V51" s="230">
        <f>VLOOKUP(Q51,'PREMIUM TABLES'!$G$175:$H$195,2,FALSE)</f>
        <v>0.2</v>
      </c>
      <c r="W51" s="230">
        <f>VLOOKUP(R51,'PREMIUM TABLES'!$G$214:$H$219,2,FALSE)</f>
        <v>7.0000000000000007E-2</v>
      </c>
      <c r="X51" s="230">
        <f>VLOOKUP(S51,'PREMIUM TABLES'!$F$199:$H$205,3,FALSE)</f>
        <v>0.04</v>
      </c>
      <c r="Y51" s="231">
        <f t="shared" si="3"/>
        <v>0.46499999999999997</v>
      </c>
      <c r="Z51" s="231" t="str" cm="1">
        <f t="array" ref="Z51">IF(AND(Y51&gt;0,Y51&lt;0.5),"C",IF(AND(Y51&gt;=0.5,Y51&lt;0.73),"B",IF(AND(Y51&gt;=0.73,Y51&lt;0.98),"A",NONE)))</f>
        <v>C</v>
      </c>
      <c r="AA51" s="231" t="str">
        <f>VLOOKUP(G51,'ALL (R)'!$N$5:$R$862,5,FALSE)</f>
        <v>R 10</v>
      </c>
      <c r="AB51" s="232">
        <f>VLOOKUP(AA51,FACTS!$B$2:$L$14,10,FALSE)</f>
        <v>56100</v>
      </c>
      <c r="AC51" s="232">
        <f>VLOOKUP(AA51,FACTS!$B$2:$L$14,11,FALSE)</f>
        <v>62700</v>
      </c>
      <c r="AD51" s="232">
        <f>VLOOKUP(AA51,FACTS!$B$2:$N$14,13,FALSE)</f>
        <v>6600</v>
      </c>
      <c r="AE51" s="232">
        <f t="shared" si="4"/>
        <v>3069</v>
      </c>
      <c r="AF51" s="232">
        <f t="shared" si="5"/>
        <v>59169</v>
      </c>
      <c r="AG51" s="232">
        <f>AF51*FACTS!$T$2</f>
        <v>19525.77</v>
      </c>
      <c r="AH51" s="232">
        <f>Table1[[#This Row],[UNIT (BUILDING) RATE (SEMI FINISHED)]]+4500</f>
        <v>63669</v>
      </c>
      <c r="AI51" s="232">
        <f>Table1[[#This Row],[UNIT (BUILDING) RATE (SEMI FINISHED)]]+7500</f>
        <v>66669</v>
      </c>
      <c r="AJ51" s="232">
        <f t="shared" si="6"/>
        <v>6508590</v>
      </c>
      <c r="AK51" s="232">
        <f>Table1[[#This Row],[UNIT (BUILDING) RATE (BASIC FINISH)]]*Table1[[#This Row],[Unit Selling Area]]</f>
        <v>7003590</v>
      </c>
      <c r="AL51" s="232">
        <f>Table1[[#This Row],[UNIT (BUILDING) RATE (FULLY FINISH)]]*Table1[[#This Row],[Unit Selling Area]]</f>
        <v>7333590</v>
      </c>
      <c r="AM51" s="232">
        <f t="shared" si="7"/>
        <v>0</v>
      </c>
      <c r="AN51" s="232">
        <f>(AM51+AJ51)*FACTS!$S$2</f>
        <v>553230.15</v>
      </c>
      <c r="AO51" s="101">
        <f>VLOOKUP(S51,FACTS!$A$17:$C$23,3,FALSE)</f>
        <v>1</v>
      </c>
      <c r="AP51" s="232">
        <f>VLOOKUP(AA51,FACTS!$B$2:$J$14,9,FALSE)</f>
        <v>264000</v>
      </c>
      <c r="AQ51" s="232">
        <f>Table1[[#This Row],[PARKING VALUE]]*1</f>
        <v>264000</v>
      </c>
      <c r="AR51" s="232">
        <f t="shared" si="0"/>
        <v>6772590</v>
      </c>
      <c r="AS51" s="440">
        <f>Table1[[#This Row],[TOTAL CARS VALUE]]+Table1[[#This Row],[UNIT (BUILDING) VALUE BASIC FINISHED]]+Table1[[#This Row],[UNIT (GARDEN) VALUE]]</f>
        <v>7267590</v>
      </c>
      <c r="AT51" s="232">
        <f>Table1[[#This Row],[TOTAL CARS VALUE]]+Table1[[#This Row],[UNIT (GARDEN) VALUE]]+Table1[[#This Row],[UNIT (BUILDING) VALUE FULLY FINISHED]]</f>
        <v>7597590</v>
      </c>
      <c r="AU51" s="233">
        <f>VLOOKUP(I51,'C PHASES'!$I$108:$J$110,2,FALSE)</f>
        <v>45839</v>
      </c>
      <c r="AV51" s="233">
        <f>VLOOKUP(AA51,'C PHASES'!$I$113:$J$125,2,FALSE)</f>
        <v>46023</v>
      </c>
    </row>
    <row r="52" spans="1:48" ht="15" customHeight="1" x14ac:dyDescent="0.25">
      <c r="A52" s="235"/>
      <c r="B52" s="227" t="str">
        <f t="shared" si="1"/>
        <v>A</v>
      </c>
      <c r="C52" s="227" t="s">
        <v>20</v>
      </c>
      <c r="D52" s="227" t="s">
        <v>1147</v>
      </c>
      <c r="E52" s="228">
        <v>1</v>
      </c>
      <c r="F52" s="101">
        <v>4</v>
      </c>
      <c r="G52" s="87" t="str">
        <f t="shared" si="9"/>
        <v>A314</v>
      </c>
      <c r="H52" s="87" t="s">
        <v>1296</v>
      </c>
      <c r="I52" s="89" t="str">
        <f>VLOOKUP(C52,'PREMIUM TABLES'!$G$107:$H$149,2,FALSE)</f>
        <v>C1</v>
      </c>
      <c r="J52" s="87">
        <v>61.82</v>
      </c>
      <c r="K52" s="87">
        <v>67.765994965539235</v>
      </c>
      <c r="L52" s="87">
        <v>76</v>
      </c>
      <c r="O52" s="87" t="s">
        <v>187</v>
      </c>
      <c r="P52" s="87" t="s">
        <v>190</v>
      </c>
      <c r="Q52" s="87" t="s">
        <v>198</v>
      </c>
      <c r="R52" s="87" t="str">
        <f>VLOOKUP(E52,'PREMIUM TABLES'!$F$214:$G$219,2,FALSE)</f>
        <v>FIRST</v>
      </c>
      <c r="S52" s="87" t="str" cm="1">
        <f t="array" ref="S52">IF(AND(L52&gt;0,L52&lt;90),"A",IF(AND(L52&gt;90,L52&lt;123),"B",IF(AND(L52&gt;122,L52&lt;159),"C",IF(AND(L52&gt;159,L52&lt;185),"D",IF(AND(L52&gt;185,L52&lt;230),"E",IF(AND(L52&gt;230,L52&lt;350),"F",NONE))))))</f>
        <v>A</v>
      </c>
      <c r="T52" s="230">
        <f>VLOOKUP(O52,'PREMIUM TABLES'!$G$165:$H$172,2,FALSE)</f>
        <v>0.08</v>
      </c>
      <c r="U52" s="230">
        <f>VLOOKUP(P52,'PREMIUM TABLES'!$G$208:$H$209,2,FALSE)</f>
        <v>2.5000000000000001E-2</v>
      </c>
      <c r="V52" s="230">
        <f>VLOOKUP(Q52,'PREMIUM TABLES'!$G$175:$H$195,2,FALSE)</f>
        <v>0.15</v>
      </c>
      <c r="W52" s="230">
        <f>VLOOKUP(R52,'PREMIUM TABLES'!$G$214:$H$219,2,FALSE)</f>
        <v>7.0000000000000007E-2</v>
      </c>
      <c r="X52" s="230">
        <f>VLOOKUP(S52,'PREMIUM TABLES'!$F$199:$H$205,3,FALSE)</f>
        <v>0.05</v>
      </c>
      <c r="Y52" s="231">
        <f t="shared" si="3"/>
        <v>0.375</v>
      </c>
      <c r="Z52" s="231" t="str" cm="1">
        <f t="array" ref="Z52">IF(AND(Y52&gt;0,Y52&lt;0.5),"C",IF(AND(Y52&gt;=0.5,Y52&lt;0.73),"B",IF(AND(Y52&gt;=0.73,Y52&lt;0.98),"A",NONE)))</f>
        <v>C</v>
      </c>
      <c r="AA52" s="231" t="str">
        <f>VLOOKUP(G52,'ALL (R)'!$N$5:$R$862,5,FALSE)</f>
        <v>R 3</v>
      </c>
      <c r="AB52" s="232">
        <f>VLOOKUP(AA52,FACTS!$B$2:$L$14,10,FALSE)</f>
        <v>44625</v>
      </c>
      <c r="AC52" s="232">
        <f>VLOOKUP(AA52,FACTS!$B$2:$L$14,11,FALSE)</f>
        <v>49875</v>
      </c>
      <c r="AD52" s="232">
        <f>VLOOKUP(AA52,FACTS!$B$2:$N$14,13,FALSE)</f>
        <v>5250</v>
      </c>
      <c r="AE52" s="232">
        <f t="shared" si="4"/>
        <v>1968.75</v>
      </c>
      <c r="AF52" s="232">
        <f t="shared" si="5"/>
        <v>46593.75</v>
      </c>
      <c r="AG52" s="232">
        <f>AF52*FACTS!$T$2</f>
        <v>15375.9375</v>
      </c>
      <c r="AH52" s="232">
        <f>Table1[[#This Row],[UNIT (BUILDING) RATE (SEMI FINISHED)]]+4500</f>
        <v>51093.75</v>
      </c>
      <c r="AI52" s="232">
        <f>Table1[[#This Row],[UNIT (BUILDING) RATE (SEMI FINISHED)]]+7500</f>
        <v>54093.75</v>
      </c>
      <c r="AJ52" s="232">
        <f t="shared" si="6"/>
        <v>3541125</v>
      </c>
      <c r="AK52" s="232">
        <f>Table1[[#This Row],[UNIT (BUILDING) RATE (BASIC FINISH)]]*Table1[[#This Row],[Unit Selling Area]]</f>
        <v>3883125</v>
      </c>
      <c r="AL52" s="232">
        <f>Table1[[#This Row],[UNIT (BUILDING) RATE (FULLY FINISH)]]*Table1[[#This Row],[Unit Selling Area]]</f>
        <v>4111125</v>
      </c>
      <c r="AM52" s="232">
        <f t="shared" si="7"/>
        <v>0</v>
      </c>
      <c r="AN52" s="232">
        <f>(AM52+AJ52)*FACTS!$S$2</f>
        <v>300995.625</v>
      </c>
      <c r="AO52" s="101">
        <f>VLOOKUP(S52,FACTS!$A$17:$C$23,3,FALSE)</f>
        <v>1</v>
      </c>
      <c r="AP52" s="232">
        <f>VLOOKUP(AA52,FACTS!$B$2:$J$14,9,FALSE)</f>
        <v>210000</v>
      </c>
      <c r="AQ52" s="232">
        <f>Table1[[#This Row],[PARKING VALUE]]*1</f>
        <v>210000</v>
      </c>
      <c r="AR52" s="232">
        <f t="shared" si="0"/>
        <v>3751125</v>
      </c>
      <c r="AS52" s="440">
        <f>Table1[[#This Row],[TOTAL CARS VALUE]]+Table1[[#This Row],[UNIT (BUILDING) VALUE BASIC FINISHED]]+Table1[[#This Row],[UNIT (GARDEN) VALUE]]</f>
        <v>4093125</v>
      </c>
      <c r="AT52" s="232">
        <f>Table1[[#This Row],[TOTAL CARS VALUE]]+Table1[[#This Row],[UNIT (GARDEN) VALUE]]+Table1[[#This Row],[UNIT (BUILDING) VALUE FULLY FINISHED]]</f>
        <v>4321125</v>
      </c>
      <c r="AU52" s="233">
        <f>VLOOKUP(I52,'C PHASES'!$I$108:$J$110,2,FALSE)</f>
        <v>45839</v>
      </c>
      <c r="AV52" s="233">
        <f>VLOOKUP(AA52,'C PHASES'!$I$113:$J$125,2,FALSE)</f>
        <v>45383</v>
      </c>
    </row>
    <row r="53" spans="1:48" ht="15" customHeight="1" x14ac:dyDescent="0.25">
      <c r="A53" s="235"/>
      <c r="B53" s="227" t="str">
        <f t="shared" si="1"/>
        <v>A</v>
      </c>
      <c r="C53" s="227" t="s">
        <v>20</v>
      </c>
      <c r="D53" s="227" t="s">
        <v>1147</v>
      </c>
      <c r="E53" s="228">
        <v>2</v>
      </c>
      <c r="F53" s="101">
        <v>1</v>
      </c>
      <c r="G53" s="87" t="str">
        <f t="shared" si="9"/>
        <v>A321</v>
      </c>
      <c r="H53" s="87" t="s">
        <v>1293</v>
      </c>
      <c r="I53" s="89" t="str">
        <f>VLOOKUP(C53,'PREMIUM TABLES'!$G$107:$H$149,2,FALSE)</f>
        <v>C1</v>
      </c>
      <c r="J53" s="87">
        <v>98.95</v>
      </c>
      <c r="K53" s="87">
        <v>108.46724687544659</v>
      </c>
      <c r="L53" s="87">
        <v>122</v>
      </c>
      <c r="O53" s="87" t="s">
        <v>187</v>
      </c>
      <c r="P53" s="87" t="s">
        <v>190</v>
      </c>
      <c r="Q53" s="87" t="s">
        <v>198</v>
      </c>
      <c r="R53" s="87" t="str">
        <f>VLOOKUP(E53,'PREMIUM TABLES'!$F$214:$G$219,2,FALSE)</f>
        <v>SECOND</v>
      </c>
      <c r="S53" s="87" t="str" cm="1">
        <f t="array" ref="S53">IF(AND(L53&gt;0,L53&lt;90),"A",IF(AND(L53&gt;90,L53&lt;123),"B",IF(AND(L53&gt;122,L53&lt;159),"C",IF(AND(L53&gt;159,L53&lt;185),"D",IF(AND(L53&gt;185,L53&lt;230),"E",IF(AND(L53&gt;230,L53&lt;350),"F",NONE))))))</f>
        <v>B</v>
      </c>
      <c r="T53" s="230">
        <f>VLOOKUP(O53,'PREMIUM TABLES'!$G$165:$H$172,2,FALSE)</f>
        <v>0.08</v>
      </c>
      <c r="U53" s="230">
        <f>VLOOKUP(P53,'PREMIUM TABLES'!$G$208:$H$209,2,FALSE)</f>
        <v>2.5000000000000001E-2</v>
      </c>
      <c r="V53" s="230">
        <f>VLOOKUP(Q53,'PREMIUM TABLES'!$G$175:$H$195,2,FALSE)</f>
        <v>0.15</v>
      </c>
      <c r="W53" s="230">
        <f>VLOOKUP(R53,'PREMIUM TABLES'!$G$214:$H$219,2,FALSE)</f>
        <v>0.11</v>
      </c>
      <c r="X53" s="230">
        <f>VLOOKUP(S53,'PREMIUM TABLES'!$F$199:$H$205,3,FALSE)</f>
        <v>0.04</v>
      </c>
      <c r="Y53" s="231">
        <f t="shared" si="3"/>
        <v>0.40499999999999997</v>
      </c>
      <c r="Z53" s="231" t="str" cm="1">
        <f t="array" ref="Z53">IF(AND(Y53&gt;0,Y53&lt;0.5),"C",IF(AND(Y53&gt;=0.5,Y53&lt;0.73),"B",IF(AND(Y53&gt;=0.73,Y53&lt;0.98),"A",NONE)))</f>
        <v>C</v>
      </c>
      <c r="AA53" s="231" t="str">
        <f>VLOOKUP(G53,'ALL (R)'!$N$5:$R$862,5,FALSE)</f>
        <v>R 6</v>
      </c>
      <c r="AB53" s="232">
        <f>VLOOKUP(AA53,FACTS!$B$2:$L$14,10,FALSE)</f>
        <v>48450.000000000007</v>
      </c>
      <c r="AC53" s="232">
        <f>VLOOKUP(AA53,FACTS!$B$2:$L$14,11,FALSE)</f>
        <v>54150.000000000007</v>
      </c>
      <c r="AD53" s="232">
        <f>VLOOKUP(AA53,FACTS!$B$2:$N$14,13,FALSE)</f>
        <v>5700</v>
      </c>
      <c r="AE53" s="232">
        <f t="shared" si="4"/>
        <v>2308.5</v>
      </c>
      <c r="AF53" s="232">
        <f t="shared" si="5"/>
        <v>50758.500000000007</v>
      </c>
      <c r="AG53" s="232">
        <f>AF53*FACTS!$T$2</f>
        <v>16750.305000000004</v>
      </c>
      <c r="AH53" s="232">
        <f>Table1[[#This Row],[UNIT (BUILDING) RATE (SEMI FINISHED)]]+4500</f>
        <v>55258.500000000007</v>
      </c>
      <c r="AI53" s="232">
        <f>Table1[[#This Row],[UNIT (BUILDING) RATE (SEMI FINISHED)]]+7500</f>
        <v>58258.500000000007</v>
      </c>
      <c r="AJ53" s="232">
        <f t="shared" si="6"/>
        <v>6192537.0000000009</v>
      </c>
      <c r="AK53" s="232">
        <f>Table1[[#This Row],[UNIT (BUILDING) RATE (BASIC FINISH)]]*Table1[[#This Row],[Unit Selling Area]]</f>
        <v>6741537.0000000009</v>
      </c>
      <c r="AL53" s="232">
        <f>Table1[[#This Row],[UNIT (BUILDING) RATE (FULLY FINISH)]]*Table1[[#This Row],[Unit Selling Area]]</f>
        <v>7107537.0000000009</v>
      </c>
      <c r="AM53" s="232">
        <f t="shared" si="7"/>
        <v>0</v>
      </c>
      <c r="AN53" s="232">
        <f>(AM53+AJ53)*FACTS!$S$2</f>
        <v>526365.64500000014</v>
      </c>
      <c r="AO53" s="101">
        <f>VLOOKUP(S53,FACTS!$A$17:$C$23,3,FALSE)</f>
        <v>1</v>
      </c>
      <c r="AP53" s="232">
        <f>VLOOKUP(AA53,FACTS!$B$2:$J$14,9,FALSE)</f>
        <v>228000.00000000003</v>
      </c>
      <c r="AQ53" s="232">
        <f>Table1[[#This Row],[PARKING VALUE]]*1</f>
        <v>228000.00000000003</v>
      </c>
      <c r="AR53" s="232">
        <f t="shared" si="0"/>
        <v>6420537.0000000009</v>
      </c>
      <c r="AS53" s="440">
        <f>Table1[[#This Row],[TOTAL CARS VALUE]]+Table1[[#This Row],[UNIT (BUILDING) VALUE BASIC FINISHED]]+Table1[[#This Row],[UNIT (GARDEN) VALUE]]</f>
        <v>6969537.0000000009</v>
      </c>
      <c r="AT53" s="232">
        <f>Table1[[#This Row],[TOTAL CARS VALUE]]+Table1[[#This Row],[UNIT (GARDEN) VALUE]]+Table1[[#This Row],[UNIT (BUILDING) VALUE FULLY FINISHED]]</f>
        <v>7335537.0000000009</v>
      </c>
      <c r="AU53" s="233">
        <f>VLOOKUP(I53,'C PHASES'!$I$108:$J$110,2,FALSE)</f>
        <v>45839</v>
      </c>
      <c r="AV53" s="233">
        <f>VLOOKUP(AA53,'C PHASES'!$I$113:$J$125,2,FALSE)</f>
        <v>45658</v>
      </c>
    </row>
    <row r="54" spans="1:48" ht="15" customHeight="1" x14ac:dyDescent="0.25">
      <c r="A54" s="235"/>
      <c r="B54" s="227" t="str">
        <f t="shared" si="1"/>
        <v>A</v>
      </c>
      <c r="C54" s="227" t="s">
        <v>20</v>
      </c>
      <c r="D54" s="227" t="s">
        <v>1147</v>
      </c>
      <c r="E54" s="228">
        <v>2</v>
      </c>
      <c r="F54" s="101">
        <v>2</v>
      </c>
      <c r="G54" s="87" t="str">
        <f t="shared" si="9"/>
        <v>A322</v>
      </c>
      <c r="H54" s="87" t="s">
        <v>1293</v>
      </c>
      <c r="I54" s="89" t="str">
        <f>VLOOKUP(C54,'PREMIUM TABLES'!$G$107:$H$149,2,FALSE)</f>
        <v>C1</v>
      </c>
      <c r="J54" s="87">
        <v>98.93</v>
      </c>
      <c r="K54" s="87">
        <v>108.44532322777091</v>
      </c>
      <c r="L54" s="87">
        <v>122</v>
      </c>
      <c r="O54" s="87" t="s">
        <v>180</v>
      </c>
      <c r="P54" s="87" t="s">
        <v>190</v>
      </c>
      <c r="Q54" s="87" t="s">
        <v>216</v>
      </c>
      <c r="R54" s="87" t="str">
        <f>VLOOKUP(E54,'PREMIUM TABLES'!$F$214:$G$219,2,FALSE)</f>
        <v>SECOND</v>
      </c>
      <c r="S54" s="87" t="str" cm="1">
        <f t="array" ref="S54">IF(AND(L54&gt;0,L54&lt;90),"A",IF(AND(L54&gt;90,L54&lt;123),"B",IF(AND(L54&gt;122,L54&lt;159),"C",IF(AND(L54&gt;159,L54&lt;185),"D",IF(AND(L54&gt;185,L54&lt;230),"E",IF(AND(L54&gt;230,L54&lt;350),"F",NONE))))))</f>
        <v>B</v>
      </c>
      <c r="T54" s="230">
        <f>VLOOKUP(O54,'PREMIUM TABLES'!$G$165:$H$172,2,FALSE)</f>
        <v>0.13</v>
      </c>
      <c r="U54" s="230">
        <f>VLOOKUP(P54,'PREMIUM TABLES'!$G$208:$H$209,2,FALSE)</f>
        <v>2.5000000000000001E-2</v>
      </c>
      <c r="V54" s="230">
        <f>VLOOKUP(Q54,'PREMIUM TABLES'!$G$175:$H$195,2,FALSE)</f>
        <v>0.25</v>
      </c>
      <c r="W54" s="230">
        <f>VLOOKUP(R54,'PREMIUM TABLES'!$G$214:$H$219,2,FALSE)</f>
        <v>0.11</v>
      </c>
      <c r="X54" s="230">
        <f>VLOOKUP(S54,'PREMIUM TABLES'!$F$199:$H$205,3,FALSE)</f>
        <v>0.04</v>
      </c>
      <c r="Y54" s="231">
        <f t="shared" si="3"/>
        <v>0.55500000000000005</v>
      </c>
      <c r="Z54" s="231" t="str" cm="1">
        <f t="array" ref="Z54">IF(AND(Y54&gt;0,Y54&lt;0.5),"C",IF(AND(Y54&gt;=0.5,Y54&lt;0.73),"B",IF(AND(Y54&gt;=0.73,Y54&lt;0.98),"A",NONE)))</f>
        <v>B</v>
      </c>
      <c r="AA54" s="231" t="str">
        <f>VLOOKUP(G54,'ALL (R)'!$N$5:$R$862,5,FALSE)</f>
        <v>R 1</v>
      </c>
      <c r="AB54" s="232">
        <f>VLOOKUP(AA54,FACTS!$B$2:$L$14,10,FALSE)</f>
        <v>42500</v>
      </c>
      <c r="AC54" s="232">
        <f>VLOOKUP(AA54,FACTS!$B$2:$L$14,11,FALSE)</f>
        <v>47500</v>
      </c>
      <c r="AD54" s="232">
        <f>VLOOKUP(AA54,FACTS!$B$2:$N$14,13,FALSE)</f>
        <v>5000</v>
      </c>
      <c r="AE54" s="232">
        <f t="shared" si="4"/>
        <v>2775.0000000000005</v>
      </c>
      <c r="AF54" s="232">
        <f t="shared" si="5"/>
        <v>45275</v>
      </c>
      <c r="AG54" s="232">
        <f>AF54*FACTS!$T$2</f>
        <v>14940.75</v>
      </c>
      <c r="AH54" s="232">
        <f>Table1[[#This Row],[UNIT (BUILDING) RATE (SEMI FINISHED)]]+4500</f>
        <v>49775</v>
      </c>
      <c r="AI54" s="232">
        <f>Table1[[#This Row],[UNIT (BUILDING) RATE (SEMI FINISHED)]]+7500</f>
        <v>52775</v>
      </c>
      <c r="AJ54" s="232">
        <f t="shared" si="6"/>
        <v>5523550</v>
      </c>
      <c r="AK54" s="232">
        <f>Table1[[#This Row],[UNIT (BUILDING) RATE (BASIC FINISH)]]*Table1[[#This Row],[Unit Selling Area]]</f>
        <v>6072550</v>
      </c>
      <c r="AL54" s="232">
        <f>Table1[[#This Row],[UNIT (BUILDING) RATE (FULLY FINISH)]]*Table1[[#This Row],[Unit Selling Area]]</f>
        <v>6438550</v>
      </c>
      <c r="AM54" s="232">
        <f t="shared" si="7"/>
        <v>0</v>
      </c>
      <c r="AN54" s="232">
        <f>(AM54+AJ54)*FACTS!$S$2</f>
        <v>469501.75000000006</v>
      </c>
      <c r="AO54" s="101">
        <f>VLOOKUP(S54,FACTS!$A$17:$C$23,3,FALSE)</f>
        <v>1</v>
      </c>
      <c r="AP54" s="232">
        <f>VLOOKUP(AA54,FACTS!$B$2:$J$14,9,FALSE)</f>
        <v>200000</v>
      </c>
      <c r="AQ54" s="232">
        <f>Table1[[#This Row],[PARKING VALUE]]*1</f>
        <v>200000</v>
      </c>
      <c r="AR54" s="232">
        <f t="shared" si="0"/>
        <v>5723550</v>
      </c>
      <c r="AS54" s="440">
        <f>Table1[[#This Row],[TOTAL CARS VALUE]]+Table1[[#This Row],[UNIT (BUILDING) VALUE BASIC FINISHED]]+Table1[[#This Row],[UNIT (GARDEN) VALUE]]</f>
        <v>6272550</v>
      </c>
      <c r="AT54" s="232">
        <f>Table1[[#This Row],[TOTAL CARS VALUE]]+Table1[[#This Row],[UNIT (GARDEN) VALUE]]+Table1[[#This Row],[UNIT (BUILDING) VALUE FULLY FINISHED]]</f>
        <v>6638550</v>
      </c>
      <c r="AU54" s="233">
        <f>VLOOKUP(I54,'C PHASES'!$I$108:$J$110,2,FALSE)</f>
        <v>45839</v>
      </c>
      <c r="AV54" s="233">
        <f>VLOOKUP(AA54,'C PHASES'!$I$113:$J$125,2,FALSE)</f>
        <v>45170</v>
      </c>
    </row>
    <row r="55" spans="1:48" ht="15" customHeight="1" x14ac:dyDescent="0.25">
      <c r="A55" s="235"/>
      <c r="B55" s="227" t="str">
        <f t="shared" si="1"/>
        <v>A</v>
      </c>
      <c r="C55" s="227" t="s">
        <v>20</v>
      </c>
      <c r="D55" s="227" t="s">
        <v>1147</v>
      </c>
      <c r="E55" s="228">
        <v>2</v>
      </c>
      <c r="F55" s="101">
        <v>3</v>
      </c>
      <c r="G55" s="87" t="str">
        <f t="shared" si="9"/>
        <v>A323</v>
      </c>
      <c r="H55" s="87" t="s">
        <v>1293</v>
      </c>
      <c r="I55" s="89" t="str">
        <f>VLOOKUP(C55,'PREMIUM TABLES'!$G$107:$H$149,2,FALSE)</f>
        <v>C1</v>
      </c>
      <c r="J55" s="87">
        <v>90.91</v>
      </c>
      <c r="K55" s="87">
        <v>99.653940509821609</v>
      </c>
      <c r="L55" s="87">
        <v>112</v>
      </c>
      <c r="O55" s="87" t="s">
        <v>180</v>
      </c>
      <c r="P55" s="87" t="s">
        <v>190</v>
      </c>
      <c r="Q55" s="87" t="s">
        <v>215</v>
      </c>
      <c r="R55" s="87" t="str">
        <f>VLOOKUP(E55,'PREMIUM TABLES'!$F$214:$G$219,2,FALSE)</f>
        <v>SECOND</v>
      </c>
      <c r="S55" s="87" t="str" cm="1">
        <f t="array" ref="S55">IF(AND(L55&gt;0,L55&lt;90),"A",IF(AND(L55&gt;90,L55&lt;123),"B",IF(AND(L55&gt;122,L55&lt;159),"C",IF(AND(L55&gt;159,L55&lt;185),"D",IF(AND(L55&gt;185,L55&lt;230),"E",IF(AND(L55&gt;230,L55&lt;350),"F",NONE))))))</f>
        <v>B</v>
      </c>
      <c r="T55" s="230">
        <f>VLOOKUP(O55,'PREMIUM TABLES'!$G$165:$H$172,2,FALSE)</f>
        <v>0.13</v>
      </c>
      <c r="U55" s="230">
        <f>VLOOKUP(P55,'PREMIUM TABLES'!$G$208:$H$209,2,FALSE)</f>
        <v>2.5000000000000001E-2</v>
      </c>
      <c r="V55" s="230">
        <f>VLOOKUP(Q55,'PREMIUM TABLES'!$G$175:$H$195,2,FALSE)</f>
        <v>0.2</v>
      </c>
      <c r="W55" s="230">
        <f>VLOOKUP(R55,'PREMIUM TABLES'!$G$214:$H$219,2,FALSE)</f>
        <v>0.11</v>
      </c>
      <c r="X55" s="230">
        <f>VLOOKUP(S55,'PREMIUM TABLES'!$F$199:$H$205,3,FALSE)</f>
        <v>0.04</v>
      </c>
      <c r="Y55" s="231">
        <f t="shared" si="3"/>
        <v>0.505</v>
      </c>
      <c r="Z55" s="231" t="str" cm="1">
        <f t="array" ref="Z55">IF(AND(Y55&gt;0,Y55&lt;0.5),"C",IF(AND(Y55&gt;=0.5,Y55&lt;0.73),"B",IF(AND(Y55&gt;=0.73,Y55&lt;0.98),"A",NONE)))</f>
        <v>B</v>
      </c>
      <c r="AA55" s="231" t="str">
        <f>VLOOKUP(G55,'ALL (R)'!$N$5:$R$862,5,FALSE)</f>
        <v>R 1</v>
      </c>
      <c r="AB55" s="232">
        <f>VLOOKUP(AA55,FACTS!$B$2:$L$14,10,FALSE)</f>
        <v>42500</v>
      </c>
      <c r="AC55" s="232">
        <f>VLOOKUP(AA55,FACTS!$B$2:$L$14,11,FALSE)</f>
        <v>47500</v>
      </c>
      <c r="AD55" s="232">
        <f>VLOOKUP(AA55,FACTS!$B$2:$N$14,13,FALSE)</f>
        <v>5000</v>
      </c>
      <c r="AE55" s="232">
        <f t="shared" si="4"/>
        <v>2525</v>
      </c>
      <c r="AF55" s="232">
        <f t="shared" si="5"/>
        <v>45025</v>
      </c>
      <c r="AG55" s="232">
        <f>AF55*FACTS!$T$2</f>
        <v>14858.25</v>
      </c>
      <c r="AH55" s="232">
        <f>Table1[[#This Row],[UNIT (BUILDING) RATE (SEMI FINISHED)]]+4500</f>
        <v>49525</v>
      </c>
      <c r="AI55" s="232">
        <f>Table1[[#This Row],[UNIT (BUILDING) RATE (SEMI FINISHED)]]+7500</f>
        <v>52525</v>
      </c>
      <c r="AJ55" s="232">
        <f t="shared" si="6"/>
        <v>5042800</v>
      </c>
      <c r="AK55" s="232">
        <f>Table1[[#This Row],[UNIT (BUILDING) RATE (BASIC FINISH)]]*Table1[[#This Row],[Unit Selling Area]]</f>
        <v>5546800</v>
      </c>
      <c r="AL55" s="232">
        <f>Table1[[#This Row],[UNIT (BUILDING) RATE (FULLY FINISH)]]*Table1[[#This Row],[Unit Selling Area]]</f>
        <v>5882800</v>
      </c>
      <c r="AM55" s="232">
        <f t="shared" si="7"/>
        <v>0</v>
      </c>
      <c r="AN55" s="232">
        <f>(AM55+AJ55)*FACTS!$S$2</f>
        <v>428638.00000000006</v>
      </c>
      <c r="AO55" s="101">
        <f>VLOOKUP(S55,FACTS!$A$17:$C$23,3,FALSE)</f>
        <v>1</v>
      </c>
      <c r="AP55" s="232">
        <f>VLOOKUP(AA55,FACTS!$B$2:$J$14,9,FALSE)</f>
        <v>200000</v>
      </c>
      <c r="AQ55" s="232">
        <f>Table1[[#This Row],[PARKING VALUE]]*1</f>
        <v>200000</v>
      </c>
      <c r="AR55" s="232">
        <f t="shared" si="0"/>
        <v>5242800</v>
      </c>
      <c r="AS55" s="440">
        <f>Table1[[#This Row],[TOTAL CARS VALUE]]+Table1[[#This Row],[UNIT (BUILDING) VALUE BASIC FINISHED]]+Table1[[#This Row],[UNIT (GARDEN) VALUE]]</f>
        <v>5746800</v>
      </c>
      <c r="AT55" s="232">
        <f>Table1[[#This Row],[TOTAL CARS VALUE]]+Table1[[#This Row],[UNIT (GARDEN) VALUE]]+Table1[[#This Row],[UNIT (BUILDING) VALUE FULLY FINISHED]]</f>
        <v>6082800</v>
      </c>
      <c r="AU55" s="233">
        <f>VLOOKUP(I55,'C PHASES'!$I$108:$J$110,2,FALSE)</f>
        <v>45839</v>
      </c>
      <c r="AV55" s="233">
        <f>VLOOKUP(AA55,'C PHASES'!$I$113:$J$125,2,FALSE)</f>
        <v>45170</v>
      </c>
    </row>
    <row r="56" spans="1:48" ht="15" customHeight="1" x14ac:dyDescent="0.25">
      <c r="A56" s="235"/>
      <c r="B56" s="227" t="str">
        <f t="shared" si="1"/>
        <v>A</v>
      </c>
      <c r="C56" s="227" t="s">
        <v>20</v>
      </c>
      <c r="D56" s="227" t="s">
        <v>1147</v>
      </c>
      <c r="E56" s="228">
        <v>2</v>
      </c>
      <c r="F56" s="101">
        <v>4</v>
      </c>
      <c r="G56" s="87" t="str">
        <f t="shared" si="9"/>
        <v>A324</v>
      </c>
      <c r="H56" s="87" t="s">
        <v>1293</v>
      </c>
      <c r="I56" s="89" t="str">
        <f>VLOOKUP(C56,'PREMIUM TABLES'!$G$107:$H$149,2,FALSE)</f>
        <v>C1</v>
      </c>
      <c r="J56" s="87">
        <v>90.9</v>
      </c>
      <c r="K56" s="87">
        <v>99.642978685983778</v>
      </c>
      <c r="L56" s="87">
        <v>112</v>
      </c>
      <c r="O56" s="87" t="s">
        <v>187</v>
      </c>
      <c r="P56" s="87" t="s">
        <v>190</v>
      </c>
      <c r="Q56" s="87" t="s">
        <v>198</v>
      </c>
      <c r="R56" s="87" t="str">
        <f>VLOOKUP(E56,'PREMIUM TABLES'!$F$214:$G$219,2,FALSE)</f>
        <v>SECOND</v>
      </c>
      <c r="S56" s="87" t="str" cm="1">
        <f t="array" ref="S56">IF(AND(L56&gt;0,L56&lt;90),"A",IF(AND(L56&gt;90,L56&lt;123),"B",IF(AND(L56&gt;122,L56&lt;159),"C",IF(AND(L56&gt;159,L56&lt;185),"D",IF(AND(L56&gt;185,L56&lt;230),"E",IF(AND(L56&gt;230,L56&lt;350),"F",NONE))))))</f>
        <v>B</v>
      </c>
      <c r="T56" s="230">
        <f>VLOOKUP(O56,'PREMIUM TABLES'!$G$165:$H$172,2,FALSE)</f>
        <v>0.08</v>
      </c>
      <c r="U56" s="230">
        <f>VLOOKUP(P56,'PREMIUM TABLES'!$G$208:$H$209,2,FALSE)</f>
        <v>2.5000000000000001E-2</v>
      </c>
      <c r="V56" s="230">
        <f>VLOOKUP(Q56,'PREMIUM TABLES'!$G$175:$H$195,2,FALSE)</f>
        <v>0.15</v>
      </c>
      <c r="W56" s="230">
        <f>VLOOKUP(R56,'PREMIUM TABLES'!$G$214:$H$219,2,FALSE)</f>
        <v>0.11</v>
      </c>
      <c r="X56" s="230">
        <f>VLOOKUP(S56,'PREMIUM TABLES'!$F$199:$H$205,3,FALSE)</f>
        <v>0.04</v>
      </c>
      <c r="Y56" s="231">
        <f t="shared" si="3"/>
        <v>0.40499999999999997</v>
      </c>
      <c r="Z56" s="231" t="str" cm="1">
        <f t="array" ref="Z56">IF(AND(Y56&gt;0,Y56&lt;0.5),"C",IF(AND(Y56&gt;=0.5,Y56&lt;0.73),"B",IF(AND(Y56&gt;=0.73,Y56&lt;0.98),"A",NONE)))</f>
        <v>C</v>
      </c>
      <c r="AA56" s="231" t="str">
        <f>VLOOKUP(G56,'ALL (R)'!$N$5:$R$862,5,FALSE)</f>
        <v>R 5</v>
      </c>
      <c r="AB56" s="232">
        <f>VLOOKUP(AA56,FACTS!$B$2:$L$14,10,FALSE)</f>
        <v>46750.000000000007</v>
      </c>
      <c r="AC56" s="232">
        <f>VLOOKUP(AA56,FACTS!$B$2:$L$14,11,FALSE)</f>
        <v>52250.000000000007</v>
      </c>
      <c r="AD56" s="232">
        <f>VLOOKUP(AA56,FACTS!$B$2:$N$14,13,FALSE)</f>
        <v>5500</v>
      </c>
      <c r="AE56" s="232">
        <f t="shared" si="4"/>
        <v>2227.5</v>
      </c>
      <c r="AF56" s="232">
        <f t="shared" si="5"/>
        <v>48977.500000000007</v>
      </c>
      <c r="AG56" s="232">
        <f>AF56*FACTS!$T$2</f>
        <v>16162.575000000003</v>
      </c>
      <c r="AH56" s="232">
        <f>Table1[[#This Row],[UNIT (BUILDING) RATE (SEMI FINISHED)]]+4500</f>
        <v>53477.500000000007</v>
      </c>
      <c r="AI56" s="232">
        <f>Table1[[#This Row],[UNIT (BUILDING) RATE (SEMI FINISHED)]]+7500</f>
        <v>56477.500000000007</v>
      </c>
      <c r="AJ56" s="232">
        <f t="shared" si="6"/>
        <v>5485480.0000000009</v>
      </c>
      <c r="AK56" s="232">
        <f>Table1[[#This Row],[UNIT (BUILDING) RATE (BASIC FINISH)]]*Table1[[#This Row],[Unit Selling Area]]</f>
        <v>5989480.0000000009</v>
      </c>
      <c r="AL56" s="232">
        <f>Table1[[#This Row],[UNIT (BUILDING) RATE (FULLY FINISH)]]*Table1[[#This Row],[Unit Selling Area]]</f>
        <v>6325480.0000000009</v>
      </c>
      <c r="AM56" s="232">
        <f t="shared" si="7"/>
        <v>0</v>
      </c>
      <c r="AN56" s="232">
        <f>(AM56+AJ56)*FACTS!$S$2</f>
        <v>466265.8000000001</v>
      </c>
      <c r="AO56" s="101">
        <f>VLOOKUP(S56,FACTS!$A$17:$C$23,3,FALSE)</f>
        <v>1</v>
      </c>
      <c r="AP56" s="232">
        <f>VLOOKUP(AA56,FACTS!$B$2:$J$14,9,FALSE)</f>
        <v>220000.00000000003</v>
      </c>
      <c r="AQ56" s="232">
        <f>Table1[[#This Row],[PARKING VALUE]]*1</f>
        <v>220000.00000000003</v>
      </c>
      <c r="AR56" s="232">
        <f t="shared" si="0"/>
        <v>5705480.0000000009</v>
      </c>
      <c r="AS56" s="440">
        <f>Table1[[#This Row],[TOTAL CARS VALUE]]+Table1[[#This Row],[UNIT (BUILDING) VALUE BASIC FINISHED]]+Table1[[#This Row],[UNIT (GARDEN) VALUE]]</f>
        <v>6209480.0000000009</v>
      </c>
      <c r="AT56" s="232">
        <f>Table1[[#This Row],[TOTAL CARS VALUE]]+Table1[[#This Row],[UNIT (GARDEN) VALUE]]+Table1[[#This Row],[UNIT (BUILDING) VALUE FULLY FINISHED]]</f>
        <v>6545480.0000000009</v>
      </c>
      <c r="AU56" s="233">
        <f>VLOOKUP(I56,'C PHASES'!$I$108:$J$110,2,FALSE)</f>
        <v>45839</v>
      </c>
      <c r="AV56" s="233">
        <f>VLOOKUP(AA56,'C PHASES'!$I$113:$J$125,2,FALSE)</f>
        <v>45566</v>
      </c>
    </row>
    <row r="57" spans="1:48" ht="15" customHeight="1" x14ac:dyDescent="0.25">
      <c r="A57" s="235"/>
      <c r="B57" s="227" t="str">
        <f t="shared" si="1"/>
        <v>A</v>
      </c>
      <c r="C57" s="227" t="s">
        <v>20</v>
      </c>
      <c r="D57" s="227" t="s">
        <v>1147</v>
      </c>
      <c r="E57" s="228">
        <v>3</v>
      </c>
      <c r="F57" s="101">
        <v>1</v>
      </c>
      <c r="G57" s="87" t="str">
        <f t="shared" si="9"/>
        <v>A331</v>
      </c>
      <c r="H57" s="87" t="s">
        <v>1293</v>
      </c>
      <c r="I57" s="89" t="str">
        <f>VLOOKUP(C57,'PREMIUM TABLES'!$G$107:$H$149,2,FALSE)</f>
        <v>C1</v>
      </c>
      <c r="J57" s="87">
        <v>97.09</v>
      </c>
      <c r="K57" s="87">
        <v>106.42834764160798</v>
      </c>
      <c r="L57" s="87">
        <v>119</v>
      </c>
      <c r="O57" s="87" t="s">
        <v>187</v>
      </c>
      <c r="P57" s="87" t="s">
        <v>190</v>
      </c>
      <c r="Q57" s="87" t="s">
        <v>198</v>
      </c>
      <c r="R57" s="87" t="str">
        <f>VLOOKUP(E57,'PREMIUM TABLES'!$F$214:$G$219,2,FALSE)</f>
        <v>THIRD</v>
      </c>
      <c r="S57" s="87" t="str" cm="1">
        <f t="array" ref="S57">IF(AND(L57&gt;0,L57&lt;90),"A",IF(AND(L57&gt;90,L57&lt;123),"B",IF(AND(L57&gt;122,L57&lt;159),"C",IF(AND(L57&gt;159,L57&lt;185),"D",IF(AND(L57&gt;185,L57&lt;230),"E",IF(AND(L57&gt;230,L57&lt;350),"F",NONE))))))</f>
        <v>B</v>
      </c>
      <c r="T57" s="230">
        <f>VLOOKUP(O57,'PREMIUM TABLES'!$G$165:$H$172,2,FALSE)</f>
        <v>0.08</v>
      </c>
      <c r="U57" s="230">
        <f>VLOOKUP(P57,'PREMIUM TABLES'!$G$208:$H$209,2,FALSE)</f>
        <v>2.5000000000000001E-2</v>
      </c>
      <c r="V57" s="230">
        <f>VLOOKUP(Q57,'PREMIUM TABLES'!$G$175:$H$195,2,FALSE)</f>
        <v>0.15</v>
      </c>
      <c r="W57" s="230">
        <f>VLOOKUP(R57,'PREMIUM TABLES'!$G$214:$H$219,2,FALSE)</f>
        <v>0.15</v>
      </c>
      <c r="X57" s="230">
        <f>VLOOKUP(S57,'PREMIUM TABLES'!$F$199:$H$205,3,FALSE)</f>
        <v>0.04</v>
      </c>
      <c r="Y57" s="231">
        <f t="shared" si="3"/>
        <v>0.44500000000000001</v>
      </c>
      <c r="Z57" s="231" t="str" cm="1">
        <f t="array" ref="Z57">IF(AND(Y57&gt;0,Y57&lt;0.5),"C",IF(AND(Y57&gt;=0.5,Y57&lt;0.73),"B",IF(AND(Y57&gt;=0.73,Y57&lt;0.98),"A",NONE)))</f>
        <v>C</v>
      </c>
      <c r="AA57" s="231" t="str">
        <f>VLOOKUP(G57,'ALL (R)'!$N$5:$R$862,5,FALSE)</f>
        <v>R 9</v>
      </c>
      <c r="AB57" s="232">
        <f>VLOOKUP(AA57,FACTS!$B$2:$L$14,10,FALSE)</f>
        <v>53550</v>
      </c>
      <c r="AC57" s="232">
        <f>VLOOKUP(AA57,FACTS!$B$2:$L$14,11,FALSE)</f>
        <v>59850</v>
      </c>
      <c r="AD57" s="232">
        <f>VLOOKUP(AA57,FACTS!$B$2:$N$14,13,FALSE)</f>
        <v>6300</v>
      </c>
      <c r="AE57" s="232">
        <f t="shared" si="4"/>
        <v>2803.5</v>
      </c>
      <c r="AF57" s="232">
        <f t="shared" si="5"/>
        <v>56353.5</v>
      </c>
      <c r="AG57" s="232">
        <f>AF57*FACTS!$T$2</f>
        <v>18596.655000000002</v>
      </c>
      <c r="AH57" s="232">
        <f>Table1[[#This Row],[UNIT (BUILDING) RATE (SEMI FINISHED)]]+4500</f>
        <v>60853.5</v>
      </c>
      <c r="AI57" s="232">
        <f>Table1[[#This Row],[UNIT (BUILDING) RATE (SEMI FINISHED)]]+7500</f>
        <v>63853.5</v>
      </c>
      <c r="AJ57" s="232">
        <f t="shared" si="6"/>
        <v>6706066.5</v>
      </c>
      <c r="AK57" s="232">
        <f>Table1[[#This Row],[UNIT (BUILDING) RATE (BASIC FINISH)]]*Table1[[#This Row],[Unit Selling Area]]</f>
        <v>7241566.5</v>
      </c>
      <c r="AL57" s="232">
        <f>Table1[[#This Row],[UNIT (BUILDING) RATE (FULLY FINISH)]]*Table1[[#This Row],[Unit Selling Area]]</f>
        <v>7598566.5</v>
      </c>
      <c r="AM57" s="232">
        <f t="shared" si="7"/>
        <v>0</v>
      </c>
      <c r="AN57" s="232">
        <f>(AM57+AJ57)*FACTS!$S$2</f>
        <v>570015.65250000008</v>
      </c>
      <c r="AO57" s="101">
        <f>VLOOKUP(S57,FACTS!$A$17:$C$23,3,FALSE)</f>
        <v>1</v>
      </c>
      <c r="AP57" s="232">
        <f>VLOOKUP(AA57,FACTS!$B$2:$J$14,9,FALSE)</f>
        <v>252000</v>
      </c>
      <c r="AQ57" s="232">
        <f>Table1[[#This Row],[PARKING VALUE]]*1</f>
        <v>252000</v>
      </c>
      <c r="AR57" s="232">
        <f t="shared" si="0"/>
        <v>6958066.5</v>
      </c>
      <c r="AS57" s="440">
        <f>Table1[[#This Row],[TOTAL CARS VALUE]]+Table1[[#This Row],[UNIT (BUILDING) VALUE BASIC FINISHED]]+Table1[[#This Row],[UNIT (GARDEN) VALUE]]</f>
        <v>7493566.5</v>
      </c>
      <c r="AT57" s="232">
        <f>Table1[[#This Row],[TOTAL CARS VALUE]]+Table1[[#This Row],[UNIT (GARDEN) VALUE]]+Table1[[#This Row],[UNIT (BUILDING) VALUE FULLY FINISHED]]</f>
        <v>7850566.5</v>
      </c>
      <c r="AU57" s="233">
        <f>VLOOKUP(I57,'C PHASES'!$I$108:$J$110,2,FALSE)</f>
        <v>45839</v>
      </c>
      <c r="AV57" s="233">
        <f>VLOOKUP(AA57,'C PHASES'!$I$113:$J$125,2,FALSE)</f>
        <v>45931</v>
      </c>
    </row>
    <row r="58" spans="1:48" ht="15" customHeight="1" x14ac:dyDescent="0.25">
      <c r="A58" s="235"/>
      <c r="B58" s="227" t="str">
        <f t="shared" si="1"/>
        <v>A</v>
      </c>
      <c r="C58" s="227" t="s">
        <v>20</v>
      </c>
      <c r="D58" s="227" t="s">
        <v>1147</v>
      </c>
      <c r="E58" s="228">
        <v>3</v>
      </c>
      <c r="F58" s="101">
        <v>2</v>
      </c>
      <c r="G58" s="87" t="str">
        <f t="shared" si="9"/>
        <v>A332</v>
      </c>
      <c r="H58" s="87" t="s">
        <v>1293</v>
      </c>
      <c r="I58" s="89" t="str">
        <f>VLOOKUP(C58,'PREMIUM TABLES'!$G$107:$H$149,2,FALSE)</f>
        <v>C1</v>
      </c>
      <c r="J58" s="87">
        <v>97.09</v>
      </c>
      <c r="K58" s="87">
        <v>106.42834764160798</v>
      </c>
      <c r="L58" s="87">
        <v>119</v>
      </c>
      <c r="O58" s="87" t="s">
        <v>180</v>
      </c>
      <c r="P58" s="87" t="s">
        <v>190</v>
      </c>
      <c r="Q58" s="87" t="s">
        <v>216</v>
      </c>
      <c r="R58" s="87" t="str">
        <f>VLOOKUP(E58,'PREMIUM TABLES'!$F$214:$G$219,2,FALSE)</f>
        <v>THIRD</v>
      </c>
      <c r="S58" s="87" t="str" cm="1">
        <f t="array" ref="S58">IF(AND(L58&gt;0,L58&lt;90),"A",IF(AND(L58&gt;90,L58&lt;123),"B",IF(AND(L58&gt;122,L58&lt;159),"C",IF(AND(L58&gt;159,L58&lt;185),"D",IF(AND(L58&gt;185,L58&lt;230),"E",IF(AND(L58&gt;230,L58&lt;350),"F",NONE))))))</f>
        <v>B</v>
      </c>
      <c r="T58" s="230">
        <f>VLOOKUP(O58,'PREMIUM TABLES'!$G$165:$H$172,2,FALSE)</f>
        <v>0.13</v>
      </c>
      <c r="U58" s="230">
        <f>VLOOKUP(P58,'PREMIUM TABLES'!$G$208:$H$209,2,FALSE)</f>
        <v>2.5000000000000001E-2</v>
      </c>
      <c r="V58" s="230">
        <f>VLOOKUP(Q58,'PREMIUM TABLES'!$G$175:$H$195,2,FALSE)</f>
        <v>0.25</v>
      </c>
      <c r="W58" s="230">
        <f>VLOOKUP(R58,'PREMIUM TABLES'!$G$214:$H$219,2,FALSE)</f>
        <v>0.15</v>
      </c>
      <c r="X58" s="230">
        <f>VLOOKUP(S58,'PREMIUM TABLES'!$F$199:$H$205,3,FALSE)</f>
        <v>0.04</v>
      </c>
      <c r="Y58" s="231">
        <f t="shared" si="3"/>
        <v>0.59500000000000008</v>
      </c>
      <c r="Z58" s="231" t="str" cm="1">
        <f t="array" ref="Z58">IF(AND(Y58&gt;0,Y58&lt;0.5),"C",IF(AND(Y58&gt;=0.5,Y58&lt;0.73),"B",IF(AND(Y58&gt;=0.73,Y58&lt;0.98),"A",NONE)))</f>
        <v>B</v>
      </c>
      <c r="AA58" s="231" t="str">
        <f>VLOOKUP(G58,'ALL (R)'!$N$5:$R$862,5,FALSE)</f>
        <v>R 2</v>
      </c>
      <c r="AB58" s="232">
        <f>VLOOKUP(AA58,FACTS!$B$2:$L$14,10,FALSE)</f>
        <v>43562.499999999993</v>
      </c>
      <c r="AC58" s="232">
        <f>VLOOKUP(AA58,FACTS!$B$2:$L$14,11,FALSE)</f>
        <v>48687.499999999993</v>
      </c>
      <c r="AD58" s="232">
        <f>VLOOKUP(AA58,FACTS!$B$2:$N$14,13,FALSE)</f>
        <v>5125</v>
      </c>
      <c r="AE58" s="232">
        <f t="shared" si="4"/>
        <v>3049.3750000000005</v>
      </c>
      <c r="AF58" s="232">
        <f t="shared" si="5"/>
        <v>46611.874999999993</v>
      </c>
      <c r="AG58" s="232">
        <f>AF58*FACTS!$T$2</f>
        <v>15381.918749999999</v>
      </c>
      <c r="AH58" s="232">
        <f>Table1[[#This Row],[UNIT (BUILDING) RATE (SEMI FINISHED)]]+4500</f>
        <v>51111.874999999993</v>
      </c>
      <c r="AI58" s="232">
        <f>Table1[[#This Row],[UNIT (BUILDING) RATE (SEMI FINISHED)]]+7500</f>
        <v>54111.874999999993</v>
      </c>
      <c r="AJ58" s="232">
        <f t="shared" si="6"/>
        <v>5546813.1249999991</v>
      </c>
      <c r="AK58" s="232">
        <f>Table1[[#This Row],[UNIT (BUILDING) RATE (BASIC FINISH)]]*Table1[[#This Row],[Unit Selling Area]]</f>
        <v>6082313.1249999991</v>
      </c>
      <c r="AL58" s="232">
        <f>Table1[[#This Row],[UNIT (BUILDING) RATE (FULLY FINISH)]]*Table1[[#This Row],[Unit Selling Area]]</f>
        <v>6439313.1249999991</v>
      </c>
      <c r="AM58" s="232">
        <f t="shared" si="7"/>
        <v>0</v>
      </c>
      <c r="AN58" s="232">
        <f>(AM58+AJ58)*FACTS!$S$2</f>
        <v>471479.11562499998</v>
      </c>
      <c r="AO58" s="101">
        <f>VLOOKUP(S58,FACTS!$A$17:$C$23,3,FALSE)</f>
        <v>1</v>
      </c>
      <c r="AP58" s="232">
        <f>VLOOKUP(AA58,FACTS!$B$2:$J$14,9,FALSE)</f>
        <v>204999.99999999997</v>
      </c>
      <c r="AQ58" s="232">
        <f>Table1[[#This Row],[PARKING VALUE]]*1</f>
        <v>204999.99999999997</v>
      </c>
      <c r="AR58" s="232">
        <f t="shared" si="0"/>
        <v>5751813.1249999991</v>
      </c>
      <c r="AS58" s="440">
        <f>Table1[[#This Row],[TOTAL CARS VALUE]]+Table1[[#This Row],[UNIT (BUILDING) VALUE BASIC FINISHED]]+Table1[[#This Row],[UNIT (GARDEN) VALUE]]</f>
        <v>6287313.1249999991</v>
      </c>
      <c r="AT58" s="232">
        <f>Table1[[#This Row],[TOTAL CARS VALUE]]+Table1[[#This Row],[UNIT (GARDEN) VALUE]]+Table1[[#This Row],[UNIT (BUILDING) VALUE FULLY FINISHED]]</f>
        <v>6644313.1249999991</v>
      </c>
      <c r="AU58" s="233">
        <f>VLOOKUP(I58,'C PHASES'!$I$108:$J$110,2,FALSE)</f>
        <v>45839</v>
      </c>
      <c r="AV58" s="233">
        <f>VLOOKUP(AA58,'C PHASES'!$I$113:$J$125,2,FALSE)</f>
        <v>45292</v>
      </c>
    </row>
    <row r="59" spans="1:48" ht="15" customHeight="1" x14ac:dyDescent="0.25">
      <c r="A59" s="235"/>
      <c r="B59" s="227" t="str">
        <f t="shared" si="1"/>
        <v>A</v>
      </c>
      <c r="C59" s="227" t="s">
        <v>20</v>
      </c>
      <c r="D59" s="227" t="s">
        <v>1147</v>
      </c>
      <c r="E59" s="228">
        <v>3</v>
      </c>
      <c r="F59" s="101">
        <v>3</v>
      </c>
      <c r="G59" s="87" t="str">
        <f t="shared" si="9"/>
        <v>A333</v>
      </c>
      <c r="H59" s="87" t="s">
        <v>1293</v>
      </c>
      <c r="I59" s="89" t="str">
        <f>VLOOKUP(C59,'PREMIUM TABLES'!$G$107:$H$149,2,FALSE)</f>
        <v>C1</v>
      </c>
      <c r="J59" s="87">
        <v>89.05</v>
      </c>
      <c r="K59" s="87">
        <v>97.615041275983003</v>
      </c>
      <c r="L59" s="87">
        <v>110</v>
      </c>
      <c r="O59" s="87" t="s">
        <v>180</v>
      </c>
      <c r="P59" s="87" t="s">
        <v>190</v>
      </c>
      <c r="Q59" s="87" t="s">
        <v>215</v>
      </c>
      <c r="R59" s="87" t="str">
        <f>VLOOKUP(E59,'PREMIUM TABLES'!$F$214:$G$219,2,FALSE)</f>
        <v>THIRD</v>
      </c>
      <c r="S59" s="87" t="str" cm="1">
        <f t="array" ref="S59">IF(AND(L59&gt;0,L59&lt;90),"A",IF(AND(L59&gt;90,L59&lt;123),"B",IF(AND(L59&gt;122,L59&lt;159),"C",IF(AND(L59&gt;159,L59&lt;185),"D",IF(AND(L59&gt;185,L59&lt;230),"E",IF(AND(L59&gt;230,L59&lt;350),"F",NONE))))))</f>
        <v>B</v>
      </c>
      <c r="T59" s="230">
        <f>VLOOKUP(O59,'PREMIUM TABLES'!$G$165:$H$172,2,FALSE)</f>
        <v>0.13</v>
      </c>
      <c r="U59" s="230">
        <f>VLOOKUP(P59,'PREMIUM TABLES'!$G$208:$H$209,2,FALSE)</f>
        <v>2.5000000000000001E-2</v>
      </c>
      <c r="V59" s="230">
        <f>VLOOKUP(Q59,'PREMIUM TABLES'!$G$175:$H$195,2,FALSE)</f>
        <v>0.2</v>
      </c>
      <c r="W59" s="230">
        <f>VLOOKUP(R59,'PREMIUM TABLES'!$G$214:$H$219,2,FALSE)</f>
        <v>0.15</v>
      </c>
      <c r="X59" s="230">
        <f>VLOOKUP(S59,'PREMIUM TABLES'!$F$199:$H$205,3,FALSE)</f>
        <v>0.04</v>
      </c>
      <c r="Y59" s="231">
        <f t="shared" si="3"/>
        <v>0.54500000000000004</v>
      </c>
      <c r="Z59" s="231" t="str" cm="1">
        <f t="array" ref="Z59">IF(AND(Y59&gt;0,Y59&lt;0.5),"C",IF(AND(Y59&gt;=0.5,Y59&lt;0.73),"B",IF(AND(Y59&gt;=0.73,Y59&lt;0.98),"A",NONE)))</f>
        <v>B</v>
      </c>
      <c r="AA59" s="231" t="str">
        <f>VLOOKUP(G59,'ALL (R)'!$N$5:$R$862,5,FALSE)</f>
        <v>R 1</v>
      </c>
      <c r="AB59" s="232">
        <f>VLOOKUP(AA59,FACTS!$B$2:$L$14,10,FALSE)</f>
        <v>42500</v>
      </c>
      <c r="AC59" s="232">
        <f>VLOOKUP(AA59,FACTS!$B$2:$L$14,11,FALSE)</f>
        <v>47500</v>
      </c>
      <c r="AD59" s="232">
        <f>VLOOKUP(AA59,FACTS!$B$2:$N$14,13,FALSE)</f>
        <v>5000</v>
      </c>
      <c r="AE59" s="232">
        <f t="shared" si="4"/>
        <v>2725</v>
      </c>
      <c r="AF59" s="232">
        <f t="shared" si="5"/>
        <v>45225</v>
      </c>
      <c r="AG59" s="232">
        <f>AF59*FACTS!$T$2</f>
        <v>14924.25</v>
      </c>
      <c r="AH59" s="232">
        <f>Table1[[#This Row],[UNIT (BUILDING) RATE (SEMI FINISHED)]]+4500</f>
        <v>49725</v>
      </c>
      <c r="AI59" s="232">
        <f>Table1[[#This Row],[UNIT (BUILDING) RATE (SEMI FINISHED)]]+7500</f>
        <v>52725</v>
      </c>
      <c r="AJ59" s="232">
        <f t="shared" si="6"/>
        <v>4974750</v>
      </c>
      <c r="AK59" s="232">
        <f>Table1[[#This Row],[UNIT (BUILDING) RATE (BASIC FINISH)]]*Table1[[#This Row],[Unit Selling Area]]</f>
        <v>5469750</v>
      </c>
      <c r="AL59" s="232">
        <f>Table1[[#This Row],[UNIT (BUILDING) RATE (FULLY FINISH)]]*Table1[[#This Row],[Unit Selling Area]]</f>
        <v>5799750</v>
      </c>
      <c r="AM59" s="232">
        <f t="shared" si="7"/>
        <v>0</v>
      </c>
      <c r="AN59" s="232">
        <f>(AM59+AJ59)*FACTS!$S$2</f>
        <v>422853.75000000006</v>
      </c>
      <c r="AO59" s="101">
        <f>VLOOKUP(S59,FACTS!$A$17:$C$23,3,FALSE)</f>
        <v>1</v>
      </c>
      <c r="AP59" s="232">
        <f>VLOOKUP(AA59,FACTS!$B$2:$J$14,9,FALSE)</f>
        <v>200000</v>
      </c>
      <c r="AQ59" s="232">
        <f>Table1[[#This Row],[PARKING VALUE]]*1</f>
        <v>200000</v>
      </c>
      <c r="AR59" s="232">
        <f t="shared" si="0"/>
        <v>5174750</v>
      </c>
      <c r="AS59" s="440">
        <f>Table1[[#This Row],[TOTAL CARS VALUE]]+Table1[[#This Row],[UNIT (BUILDING) VALUE BASIC FINISHED]]+Table1[[#This Row],[UNIT (GARDEN) VALUE]]</f>
        <v>5669750</v>
      </c>
      <c r="AT59" s="232">
        <f>Table1[[#This Row],[TOTAL CARS VALUE]]+Table1[[#This Row],[UNIT (GARDEN) VALUE]]+Table1[[#This Row],[UNIT (BUILDING) VALUE FULLY FINISHED]]</f>
        <v>5999750</v>
      </c>
      <c r="AU59" s="233">
        <f>VLOOKUP(I59,'C PHASES'!$I$108:$J$110,2,FALSE)</f>
        <v>45839</v>
      </c>
      <c r="AV59" s="233">
        <f>VLOOKUP(AA59,'C PHASES'!$I$113:$J$125,2,FALSE)</f>
        <v>45170</v>
      </c>
    </row>
    <row r="60" spans="1:48" ht="15" customHeight="1" x14ac:dyDescent="0.25">
      <c r="A60" s="235"/>
      <c r="B60" s="227" t="str">
        <f t="shared" si="1"/>
        <v>A</v>
      </c>
      <c r="C60" s="227" t="s">
        <v>20</v>
      </c>
      <c r="D60" s="227" t="s">
        <v>1147</v>
      </c>
      <c r="E60" s="228">
        <v>3</v>
      </c>
      <c r="F60" s="101">
        <v>4</v>
      </c>
      <c r="G60" s="87" t="str">
        <f t="shared" si="9"/>
        <v>A334</v>
      </c>
      <c r="H60" s="87" t="s">
        <v>1293</v>
      </c>
      <c r="I60" s="89" t="str">
        <f>VLOOKUP(C60,'PREMIUM TABLES'!$G$107:$H$149,2,FALSE)</f>
        <v>C1</v>
      </c>
      <c r="J60" s="87">
        <v>89.05</v>
      </c>
      <c r="K60" s="87">
        <v>97.615041275983003</v>
      </c>
      <c r="L60" s="87">
        <v>110</v>
      </c>
      <c r="O60" s="87" t="s">
        <v>187</v>
      </c>
      <c r="P60" s="87" t="s">
        <v>190</v>
      </c>
      <c r="Q60" s="87" t="s">
        <v>198</v>
      </c>
      <c r="R60" s="87" t="str">
        <f>VLOOKUP(E60,'PREMIUM TABLES'!$F$214:$G$219,2,FALSE)</f>
        <v>THIRD</v>
      </c>
      <c r="S60" s="87" t="str" cm="1">
        <f t="array" ref="S60">IF(AND(L60&gt;0,L60&lt;90),"A",IF(AND(L60&gt;90,L60&lt;123),"B",IF(AND(L60&gt;122,L60&lt;159),"C",IF(AND(L60&gt;159,L60&lt;185),"D",IF(AND(L60&gt;185,L60&lt;230),"E",IF(AND(L60&gt;230,L60&lt;350),"F",NONE))))))</f>
        <v>B</v>
      </c>
      <c r="T60" s="230">
        <f>VLOOKUP(O60,'PREMIUM TABLES'!$G$165:$H$172,2,FALSE)</f>
        <v>0.08</v>
      </c>
      <c r="U60" s="230">
        <f>VLOOKUP(P60,'PREMIUM TABLES'!$G$208:$H$209,2,FALSE)</f>
        <v>2.5000000000000001E-2</v>
      </c>
      <c r="V60" s="230">
        <f>VLOOKUP(Q60,'PREMIUM TABLES'!$G$175:$H$195,2,FALSE)</f>
        <v>0.15</v>
      </c>
      <c r="W60" s="230">
        <f>VLOOKUP(R60,'PREMIUM TABLES'!$G$214:$H$219,2,FALSE)</f>
        <v>0.15</v>
      </c>
      <c r="X60" s="230">
        <f>VLOOKUP(S60,'PREMIUM TABLES'!$F$199:$H$205,3,FALSE)</f>
        <v>0.04</v>
      </c>
      <c r="Y60" s="231">
        <f t="shared" si="3"/>
        <v>0.44500000000000001</v>
      </c>
      <c r="Z60" s="231" t="str" cm="1">
        <f t="array" ref="Z60">IF(AND(Y60&gt;0,Y60&lt;0.5),"C",IF(AND(Y60&gt;=0.5,Y60&lt;0.73),"B",IF(AND(Y60&gt;=0.73,Y60&lt;0.98),"A",NONE)))</f>
        <v>C</v>
      </c>
      <c r="AA60" s="231" t="str">
        <f>VLOOKUP(G60,'ALL (R)'!$N$5:$R$862,5,FALSE)</f>
        <v>R 9</v>
      </c>
      <c r="AB60" s="232">
        <f>VLOOKUP(AA60,FACTS!$B$2:$L$14,10,FALSE)</f>
        <v>53550</v>
      </c>
      <c r="AC60" s="232">
        <f>VLOOKUP(AA60,FACTS!$B$2:$L$14,11,FALSE)</f>
        <v>59850</v>
      </c>
      <c r="AD60" s="232">
        <f>VLOOKUP(AA60,FACTS!$B$2:$N$14,13,FALSE)</f>
        <v>6300</v>
      </c>
      <c r="AE60" s="232">
        <f t="shared" si="4"/>
        <v>2803.5</v>
      </c>
      <c r="AF60" s="232">
        <f t="shared" si="5"/>
        <v>56353.5</v>
      </c>
      <c r="AG60" s="232">
        <f>AF60*FACTS!$T$2</f>
        <v>18596.655000000002</v>
      </c>
      <c r="AH60" s="232">
        <f>Table1[[#This Row],[UNIT (BUILDING) RATE (SEMI FINISHED)]]+4500</f>
        <v>60853.5</v>
      </c>
      <c r="AI60" s="232">
        <f>Table1[[#This Row],[UNIT (BUILDING) RATE (SEMI FINISHED)]]+7500</f>
        <v>63853.5</v>
      </c>
      <c r="AJ60" s="232">
        <f t="shared" si="6"/>
        <v>6198885</v>
      </c>
      <c r="AK60" s="232">
        <f>Table1[[#This Row],[UNIT (BUILDING) RATE (BASIC FINISH)]]*Table1[[#This Row],[Unit Selling Area]]</f>
        <v>6693885</v>
      </c>
      <c r="AL60" s="232">
        <f>Table1[[#This Row],[UNIT (BUILDING) RATE (FULLY FINISH)]]*Table1[[#This Row],[Unit Selling Area]]</f>
        <v>7023885</v>
      </c>
      <c r="AM60" s="232">
        <f t="shared" si="7"/>
        <v>0</v>
      </c>
      <c r="AN60" s="232">
        <f>(AM60+AJ60)*FACTS!$S$2</f>
        <v>526905.22500000009</v>
      </c>
      <c r="AO60" s="101">
        <f>VLOOKUP(S60,FACTS!$A$17:$C$23,3,FALSE)</f>
        <v>1</v>
      </c>
      <c r="AP60" s="232">
        <f>VLOOKUP(AA60,FACTS!$B$2:$J$14,9,FALSE)</f>
        <v>252000</v>
      </c>
      <c r="AQ60" s="232">
        <f>Table1[[#This Row],[PARKING VALUE]]*1</f>
        <v>252000</v>
      </c>
      <c r="AR60" s="232">
        <f t="shared" si="0"/>
        <v>6450885</v>
      </c>
      <c r="AS60" s="440">
        <f>Table1[[#This Row],[TOTAL CARS VALUE]]+Table1[[#This Row],[UNIT (BUILDING) VALUE BASIC FINISHED]]+Table1[[#This Row],[UNIT (GARDEN) VALUE]]</f>
        <v>6945885</v>
      </c>
      <c r="AT60" s="232">
        <f>Table1[[#This Row],[TOTAL CARS VALUE]]+Table1[[#This Row],[UNIT (GARDEN) VALUE]]+Table1[[#This Row],[UNIT (BUILDING) VALUE FULLY FINISHED]]</f>
        <v>7275885</v>
      </c>
      <c r="AU60" s="233">
        <f>VLOOKUP(I60,'C PHASES'!$I$108:$J$110,2,FALSE)</f>
        <v>45839</v>
      </c>
      <c r="AV60" s="233">
        <f>VLOOKUP(AA60,'C PHASES'!$I$113:$J$125,2,FALSE)</f>
        <v>45931</v>
      </c>
    </row>
    <row r="61" spans="1:48" ht="15" customHeight="1" x14ac:dyDescent="0.25">
      <c r="A61" s="235"/>
      <c r="B61" s="227" t="str">
        <f t="shared" si="1"/>
        <v>A</v>
      </c>
      <c r="C61" s="227" t="s">
        <v>20</v>
      </c>
      <c r="D61" s="227" t="s">
        <v>1147</v>
      </c>
      <c r="E61" s="228">
        <v>4</v>
      </c>
      <c r="F61" s="101">
        <v>1</v>
      </c>
      <c r="G61" s="87" t="str">
        <f t="shared" si="9"/>
        <v>A341</v>
      </c>
      <c r="H61" s="87" t="s">
        <v>1293</v>
      </c>
      <c r="I61" s="89" t="str">
        <f>VLOOKUP(C61,'PREMIUM TABLES'!$G$107:$H$149,2,FALSE)</f>
        <v>C1</v>
      </c>
      <c r="J61" s="87">
        <v>97.17</v>
      </c>
      <c r="K61" s="87">
        <v>106.51604223231071</v>
      </c>
      <c r="L61" s="87">
        <v>120</v>
      </c>
      <c r="O61" s="87" t="s">
        <v>187</v>
      </c>
      <c r="P61" s="87" t="s">
        <v>190</v>
      </c>
      <c r="Q61" s="87" t="s">
        <v>198</v>
      </c>
      <c r="R61" s="87" t="str">
        <f>VLOOKUP(E61,'PREMIUM TABLES'!$F$214:$G$219,2,FALSE)</f>
        <v>FORTH</v>
      </c>
      <c r="S61" s="87" t="str" cm="1">
        <f t="array" ref="S61">IF(AND(L61&gt;0,L61&lt;90),"A",IF(AND(L61&gt;90,L61&lt;123),"B",IF(AND(L61&gt;122,L61&lt;159),"C",IF(AND(L61&gt;159,L61&lt;185),"D",IF(AND(L61&gt;185,L61&lt;230),"E",IF(AND(L61&gt;230,L61&lt;350),"F",NONE))))))</f>
        <v>B</v>
      </c>
      <c r="T61" s="230">
        <f>VLOOKUP(O61,'PREMIUM TABLES'!$G$165:$H$172,2,FALSE)</f>
        <v>0.08</v>
      </c>
      <c r="U61" s="230">
        <f>VLOOKUP(P61,'PREMIUM TABLES'!$G$208:$H$209,2,FALSE)</f>
        <v>2.5000000000000001E-2</v>
      </c>
      <c r="V61" s="230">
        <f>VLOOKUP(Q61,'PREMIUM TABLES'!$G$175:$H$195,2,FALSE)</f>
        <v>0.15</v>
      </c>
      <c r="W61" s="230">
        <f>VLOOKUP(R61,'PREMIUM TABLES'!$G$214:$H$219,2,FALSE)</f>
        <v>0.06</v>
      </c>
      <c r="X61" s="230">
        <f>VLOOKUP(S61,'PREMIUM TABLES'!$F$199:$H$205,3,FALSE)</f>
        <v>0.04</v>
      </c>
      <c r="Y61" s="231">
        <f t="shared" si="3"/>
        <v>0.35499999999999998</v>
      </c>
      <c r="Z61" s="231" t="str" cm="1">
        <f t="array" ref="Z61">IF(AND(Y61&gt;0,Y61&lt;0.5),"C",IF(AND(Y61&gt;=0.5,Y61&lt;0.73),"B",IF(AND(Y61&gt;=0.73,Y61&lt;0.98),"A",NONE)))</f>
        <v>C</v>
      </c>
      <c r="AA61" s="231" t="str">
        <f>VLOOKUP(G61,'ALL (R)'!$N$5:$R$862,5,FALSE)</f>
        <v>R 1</v>
      </c>
      <c r="AB61" s="232">
        <f>VLOOKUP(AA61,FACTS!$B$2:$L$14,10,FALSE)</f>
        <v>42500</v>
      </c>
      <c r="AC61" s="232">
        <f>VLOOKUP(AA61,FACTS!$B$2:$L$14,11,FALSE)</f>
        <v>47500</v>
      </c>
      <c r="AD61" s="232">
        <f>VLOOKUP(AA61,FACTS!$B$2:$N$14,13,FALSE)</f>
        <v>5000</v>
      </c>
      <c r="AE61" s="232">
        <f t="shared" si="4"/>
        <v>1775</v>
      </c>
      <c r="AF61" s="232">
        <f t="shared" si="5"/>
        <v>44275</v>
      </c>
      <c r="AG61" s="232">
        <f>AF61*FACTS!$T$2</f>
        <v>14610.75</v>
      </c>
      <c r="AH61" s="232">
        <f>Table1[[#This Row],[UNIT (BUILDING) RATE (SEMI FINISHED)]]+4500</f>
        <v>48775</v>
      </c>
      <c r="AI61" s="232">
        <f>Table1[[#This Row],[UNIT (BUILDING) RATE (SEMI FINISHED)]]+7500</f>
        <v>51775</v>
      </c>
      <c r="AJ61" s="232">
        <f t="shared" si="6"/>
        <v>5313000</v>
      </c>
      <c r="AK61" s="232">
        <f>Table1[[#This Row],[UNIT (BUILDING) RATE (BASIC FINISH)]]*Table1[[#This Row],[Unit Selling Area]]</f>
        <v>5853000</v>
      </c>
      <c r="AL61" s="232">
        <f>Table1[[#This Row],[UNIT (BUILDING) RATE (FULLY FINISH)]]*Table1[[#This Row],[Unit Selling Area]]</f>
        <v>6213000</v>
      </c>
      <c r="AM61" s="232">
        <f t="shared" si="7"/>
        <v>0</v>
      </c>
      <c r="AN61" s="232">
        <f>(AM61+AJ61)*FACTS!$S$2</f>
        <v>451605.00000000006</v>
      </c>
      <c r="AO61" s="101">
        <f>VLOOKUP(S61,FACTS!$A$17:$C$23,3,FALSE)</f>
        <v>1</v>
      </c>
      <c r="AP61" s="232">
        <f>VLOOKUP(AA61,FACTS!$B$2:$J$14,9,FALSE)</f>
        <v>200000</v>
      </c>
      <c r="AQ61" s="232">
        <f>Table1[[#This Row],[PARKING VALUE]]*1</f>
        <v>200000</v>
      </c>
      <c r="AR61" s="232">
        <f t="shared" si="0"/>
        <v>5513000</v>
      </c>
      <c r="AS61" s="440">
        <f>Table1[[#This Row],[TOTAL CARS VALUE]]+Table1[[#This Row],[UNIT (BUILDING) VALUE BASIC FINISHED]]+Table1[[#This Row],[UNIT (GARDEN) VALUE]]</f>
        <v>6053000</v>
      </c>
      <c r="AT61" s="232">
        <f>Table1[[#This Row],[TOTAL CARS VALUE]]+Table1[[#This Row],[UNIT (GARDEN) VALUE]]+Table1[[#This Row],[UNIT (BUILDING) VALUE FULLY FINISHED]]</f>
        <v>6413000</v>
      </c>
      <c r="AU61" s="233">
        <f>VLOOKUP(I61,'C PHASES'!$I$108:$J$110,2,FALSE)</f>
        <v>45839</v>
      </c>
      <c r="AV61" s="233">
        <f>VLOOKUP(AA61,'C PHASES'!$I$113:$J$125,2,FALSE)</f>
        <v>45170</v>
      </c>
    </row>
    <row r="62" spans="1:48" ht="15" customHeight="1" x14ac:dyDescent="0.25">
      <c r="A62" s="235"/>
      <c r="B62" s="227" t="str">
        <f t="shared" si="1"/>
        <v>A</v>
      </c>
      <c r="C62" s="227" t="s">
        <v>20</v>
      </c>
      <c r="D62" s="227" t="s">
        <v>1147</v>
      </c>
      <c r="E62" s="228">
        <v>4</v>
      </c>
      <c r="F62" s="101">
        <v>2</v>
      </c>
      <c r="G62" s="87" t="str">
        <f t="shared" si="9"/>
        <v>A342</v>
      </c>
      <c r="H62" s="87" t="s">
        <v>1293</v>
      </c>
      <c r="I62" s="89" t="str">
        <f>VLOOKUP(C62,'PREMIUM TABLES'!$G$107:$H$149,2,FALSE)</f>
        <v>C1</v>
      </c>
      <c r="J62" s="87">
        <v>98.57</v>
      </c>
      <c r="K62" s="87">
        <v>108.05069756960859</v>
      </c>
      <c r="L62" s="87">
        <v>121</v>
      </c>
      <c r="O62" s="87" t="s">
        <v>180</v>
      </c>
      <c r="P62" s="87" t="s">
        <v>190</v>
      </c>
      <c r="Q62" s="87" t="s">
        <v>216</v>
      </c>
      <c r="R62" s="87" t="str">
        <f>VLOOKUP(E62,'PREMIUM TABLES'!$F$214:$G$219,2,FALSE)</f>
        <v>FORTH</v>
      </c>
      <c r="S62" s="87" t="str" cm="1">
        <f t="array" ref="S62">IF(AND(L62&gt;0,L62&lt;90),"A",IF(AND(L62&gt;90,L62&lt;123),"B",IF(AND(L62&gt;122,L62&lt;159),"C",IF(AND(L62&gt;159,L62&lt;185),"D",IF(AND(L62&gt;185,L62&lt;230),"E",IF(AND(L62&gt;230,L62&lt;350),"F",NONE))))))</f>
        <v>B</v>
      </c>
      <c r="T62" s="230">
        <f>VLOOKUP(O62,'PREMIUM TABLES'!$G$165:$H$172,2,FALSE)</f>
        <v>0.13</v>
      </c>
      <c r="U62" s="230">
        <f>VLOOKUP(P62,'PREMIUM TABLES'!$G$208:$H$209,2,FALSE)</f>
        <v>2.5000000000000001E-2</v>
      </c>
      <c r="V62" s="230">
        <f>VLOOKUP(Q62,'PREMIUM TABLES'!$G$175:$H$195,2,FALSE)</f>
        <v>0.25</v>
      </c>
      <c r="W62" s="230">
        <f>VLOOKUP(R62,'PREMIUM TABLES'!$G$214:$H$219,2,FALSE)</f>
        <v>0.06</v>
      </c>
      <c r="X62" s="230">
        <f>VLOOKUP(S62,'PREMIUM TABLES'!$F$199:$H$205,3,FALSE)</f>
        <v>0.04</v>
      </c>
      <c r="Y62" s="231">
        <f t="shared" si="3"/>
        <v>0.505</v>
      </c>
      <c r="Z62" s="231" t="str" cm="1">
        <f t="array" ref="Z62">IF(AND(Y62&gt;0,Y62&lt;0.5),"C",IF(AND(Y62&gt;=0.5,Y62&lt;0.73),"B",IF(AND(Y62&gt;=0.73,Y62&lt;0.98),"A",NONE)))</f>
        <v>B</v>
      </c>
      <c r="AA62" s="231" t="str">
        <f>VLOOKUP(G62,'ALL (R)'!$N$5:$R$862,5,FALSE)</f>
        <v>R 1</v>
      </c>
      <c r="AB62" s="232">
        <f>VLOOKUP(AA62,FACTS!$B$2:$L$14,10,FALSE)</f>
        <v>42500</v>
      </c>
      <c r="AC62" s="232">
        <f>VLOOKUP(AA62,FACTS!$B$2:$L$14,11,FALSE)</f>
        <v>47500</v>
      </c>
      <c r="AD62" s="232">
        <f>VLOOKUP(AA62,FACTS!$B$2:$N$14,13,FALSE)</f>
        <v>5000</v>
      </c>
      <c r="AE62" s="232">
        <f t="shared" si="4"/>
        <v>2525</v>
      </c>
      <c r="AF62" s="232">
        <f t="shared" si="5"/>
        <v>45025</v>
      </c>
      <c r="AG62" s="232">
        <f>AF62*FACTS!$T$2</f>
        <v>14858.25</v>
      </c>
      <c r="AH62" s="232">
        <f>Table1[[#This Row],[UNIT (BUILDING) RATE (SEMI FINISHED)]]+4500</f>
        <v>49525</v>
      </c>
      <c r="AI62" s="232">
        <f>Table1[[#This Row],[UNIT (BUILDING) RATE (SEMI FINISHED)]]+7500</f>
        <v>52525</v>
      </c>
      <c r="AJ62" s="232">
        <f t="shared" si="6"/>
        <v>5448025</v>
      </c>
      <c r="AK62" s="232">
        <f>Table1[[#This Row],[UNIT (BUILDING) RATE (BASIC FINISH)]]*Table1[[#This Row],[Unit Selling Area]]</f>
        <v>5992525</v>
      </c>
      <c r="AL62" s="232">
        <f>Table1[[#This Row],[UNIT (BUILDING) RATE (FULLY FINISH)]]*Table1[[#This Row],[Unit Selling Area]]</f>
        <v>6355525</v>
      </c>
      <c r="AM62" s="232">
        <f t="shared" si="7"/>
        <v>0</v>
      </c>
      <c r="AN62" s="232">
        <f>(AM62+AJ62)*FACTS!$S$2</f>
        <v>463082.12500000006</v>
      </c>
      <c r="AO62" s="101">
        <f>VLOOKUP(S62,FACTS!$A$17:$C$23,3,FALSE)</f>
        <v>1</v>
      </c>
      <c r="AP62" s="232">
        <f>VLOOKUP(AA62,FACTS!$B$2:$J$14,9,FALSE)</f>
        <v>200000</v>
      </c>
      <c r="AQ62" s="232">
        <f>Table1[[#This Row],[PARKING VALUE]]*1</f>
        <v>200000</v>
      </c>
      <c r="AR62" s="232">
        <f t="shared" si="0"/>
        <v>5648025</v>
      </c>
      <c r="AS62" s="440">
        <f>Table1[[#This Row],[TOTAL CARS VALUE]]+Table1[[#This Row],[UNIT (BUILDING) VALUE BASIC FINISHED]]+Table1[[#This Row],[UNIT (GARDEN) VALUE]]</f>
        <v>6192525</v>
      </c>
      <c r="AT62" s="232">
        <f>Table1[[#This Row],[TOTAL CARS VALUE]]+Table1[[#This Row],[UNIT (GARDEN) VALUE]]+Table1[[#This Row],[UNIT (BUILDING) VALUE FULLY FINISHED]]</f>
        <v>6555525</v>
      </c>
      <c r="AU62" s="233">
        <f>VLOOKUP(I62,'C PHASES'!$I$108:$J$110,2,FALSE)</f>
        <v>45839</v>
      </c>
      <c r="AV62" s="233">
        <f>VLOOKUP(AA62,'C PHASES'!$I$113:$J$125,2,FALSE)</f>
        <v>45170</v>
      </c>
    </row>
    <row r="63" spans="1:48" ht="15" customHeight="1" x14ac:dyDescent="0.25">
      <c r="A63" s="235"/>
      <c r="B63" s="227" t="str">
        <f t="shared" si="1"/>
        <v>A</v>
      </c>
      <c r="C63" s="227" t="s">
        <v>20</v>
      </c>
      <c r="D63" s="227" t="s">
        <v>1147</v>
      </c>
      <c r="E63" s="228">
        <v>4</v>
      </c>
      <c r="F63" s="101">
        <v>3</v>
      </c>
      <c r="G63" s="87" t="str">
        <f t="shared" si="9"/>
        <v>A343</v>
      </c>
      <c r="H63" s="87" t="s">
        <v>1293</v>
      </c>
      <c r="I63" s="89" t="str">
        <f>VLOOKUP(C63,'PREMIUM TABLES'!$G$107:$H$149,2,FALSE)</f>
        <v>C1</v>
      </c>
      <c r="J63" s="87">
        <v>90.52</v>
      </c>
      <c r="K63" s="87">
        <v>99.226429380145774</v>
      </c>
      <c r="L63" s="87">
        <v>111</v>
      </c>
      <c r="O63" s="87" t="s">
        <v>180</v>
      </c>
      <c r="P63" s="87" t="s">
        <v>190</v>
      </c>
      <c r="Q63" s="87" t="s">
        <v>215</v>
      </c>
      <c r="R63" s="87" t="str">
        <f>VLOOKUP(E63,'PREMIUM TABLES'!$F$214:$G$219,2,FALSE)</f>
        <v>FORTH</v>
      </c>
      <c r="S63" s="87" t="str" cm="1">
        <f t="array" ref="S63">IF(AND(L63&gt;0,L63&lt;90),"A",IF(AND(L63&gt;90,L63&lt;123),"B",IF(AND(L63&gt;122,L63&lt;159),"C",IF(AND(L63&gt;159,L63&lt;185),"D",IF(AND(L63&gt;185,L63&lt;230),"E",IF(AND(L63&gt;230,L63&lt;350),"F",NONE))))))</f>
        <v>B</v>
      </c>
      <c r="T63" s="230">
        <f>VLOOKUP(O63,'PREMIUM TABLES'!$G$165:$H$172,2,FALSE)</f>
        <v>0.13</v>
      </c>
      <c r="U63" s="230">
        <f>VLOOKUP(P63,'PREMIUM TABLES'!$G$208:$H$209,2,FALSE)</f>
        <v>2.5000000000000001E-2</v>
      </c>
      <c r="V63" s="230">
        <f>VLOOKUP(Q63,'PREMIUM TABLES'!$G$175:$H$195,2,FALSE)</f>
        <v>0.2</v>
      </c>
      <c r="W63" s="230">
        <f>VLOOKUP(R63,'PREMIUM TABLES'!$G$214:$H$219,2,FALSE)</f>
        <v>0.06</v>
      </c>
      <c r="X63" s="230">
        <f>VLOOKUP(S63,'PREMIUM TABLES'!$F$199:$H$205,3,FALSE)</f>
        <v>0.04</v>
      </c>
      <c r="Y63" s="231">
        <f t="shared" si="3"/>
        <v>0.45499999999999996</v>
      </c>
      <c r="Z63" s="231" t="str" cm="1">
        <f t="array" ref="Z63">IF(AND(Y63&gt;0,Y63&lt;0.5),"C",IF(AND(Y63&gt;=0.5,Y63&lt;0.73),"B",IF(AND(Y63&gt;=0.73,Y63&lt;0.98),"A",NONE)))</f>
        <v>C</v>
      </c>
      <c r="AA63" s="231" t="str">
        <f>VLOOKUP(G63,'ALL (R)'!$N$5:$R$862,5,FALSE)</f>
        <v>R 10</v>
      </c>
      <c r="AB63" s="232">
        <f>VLOOKUP(AA63,FACTS!$B$2:$L$14,10,FALSE)</f>
        <v>56100</v>
      </c>
      <c r="AC63" s="232">
        <f>VLOOKUP(AA63,FACTS!$B$2:$L$14,11,FALSE)</f>
        <v>62700</v>
      </c>
      <c r="AD63" s="232">
        <f>VLOOKUP(AA63,FACTS!$B$2:$N$14,13,FALSE)</f>
        <v>6600</v>
      </c>
      <c r="AE63" s="232">
        <f t="shared" si="4"/>
        <v>3002.9999999999995</v>
      </c>
      <c r="AF63" s="232">
        <f t="shared" si="5"/>
        <v>59103</v>
      </c>
      <c r="AG63" s="232">
        <f>AF63*FACTS!$T$2</f>
        <v>19503.990000000002</v>
      </c>
      <c r="AH63" s="232">
        <f>Table1[[#This Row],[UNIT (BUILDING) RATE (SEMI FINISHED)]]+4500</f>
        <v>63603</v>
      </c>
      <c r="AI63" s="232">
        <f>Table1[[#This Row],[UNIT (BUILDING) RATE (SEMI FINISHED)]]+7500</f>
        <v>66603</v>
      </c>
      <c r="AJ63" s="232">
        <f t="shared" si="6"/>
        <v>6560433</v>
      </c>
      <c r="AK63" s="232">
        <f>Table1[[#This Row],[UNIT (BUILDING) RATE (BASIC FINISH)]]*Table1[[#This Row],[Unit Selling Area]]</f>
        <v>7059933</v>
      </c>
      <c r="AL63" s="232">
        <f>Table1[[#This Row],[UNIT (BUILDING) RATE (FULLY FINISH)]]*Table1[[#This Row],[Unit Selling Area]]</f>
        <v>7392933</v>
      </c>
      <c r="AM63" s="232">
        <f t="shared" si="7"/>
        <v>0</v>
      </c>
      <c r="AN63" s="232">
        <f>(AM63+AJ63)*FACTS!$S$2</f>
        <v>557636.80500000005</v>
      </c>
      <c r="AO63" s="101">
        <f>VLOOKUP(S63,FACTS!$A$17:$C$23,3,FALSE)</f>
        <v>1</v>
      </c>
      <c r="AP63" s="232">
        <f>VLOOKUP(AA63,FACTS!$B$2:$J$14,9,FALSE)</f>
        <v>264000</v>
      </c>
      <c r="AQ63" s="232">
        <f>Table1[[#This Row],[PARKING VALUE]]*1</f>
        <v>264000</v>
      </c>
      <c r="AR63" s="232">
        <f t="shared" si="0"/>
        <v>6824433</v>
      </c>
      <c r="AS63" s="440">
        <f>Table1[[#This Row],[TOTAL CARS VALUE]]+Table1[[#This Row],[UNIT (BUILDING) VALUE BASIC FINISHED]]+Table1[[#This Row],[UNIT (GARDEN) VALUE]]</f>
        <v>7323933</v>
      </c>
      <c r="AT63" s="232">
        <f>Table1[[#This Row],[TOTAL CARS VALUE]]+Table1[[#This Row],[UNIT (GARDEN) VALUE]]+Table1[[#This Row],[UNIT (BUILDING) VALUE FULLY FINISHED]]</f>
        <v>7656933</v>
      </c>
      <c r="AU63" s="233">
        <f>VLOOKUP(I63,'C PHASES'!$I$108:$J$110,2,FALSE)</f>
        <v>45839</v>
      </c>
      <c r="AV63" s="233">
        <f>VLOOKUP(AA63,'C PHASES'!$I$113:$J$125,2,FALSE)</f>
        <v>46023</v>
      </c>
    </row>
    <row r="64" spans="1:48" ht="15" customHeight="1" x14ac:dyDescent="0.25">
      <c r="A64" s="235"/>
      <c r="B64" s="227" t="str">
        <f t="shared" si="1"/>
        <v>A</v>
      </c>
      <c r="C64" s="227" t="s">
        <v>20</v>
      </c>
      <c r="D64" s="227" t="s">
        <v>1147</v>
      </c>
      <c r="E64" s="228">
        <v>4</v>
      </c>
      <c r="F64" s="101">
        <v>4</v>
      </c>
      <c r="G64" s="87" t="str">
        <f t="shared" si="9"/>
        <v>A344</v>
      </c>
      <c r="H64" s="87" t="s">
        <v>1293</v>
      </c>
      <c r="I64" s="89" t="str">
        <f>VLOOKUP(C64,'PREMIUM TABLES'!$G$107:$H$149,2,FALSE)</f>
        <v>C1</v>
      </c>
      <c r="J64" s="87">
        <v>89.12</v>
      </c>
      <c r="K64" s="87">
        <v>97.691774042847911</v>
      </c>
      <c r="L64" s="87">
        <v>110</v>
      </c>
      <c r="O64" s="87" t="s">
        <v>187</v>
      </c>
      <c r="P64" s="87" t="s">
        <v>190</v>
      </c>
      <c r="Q64" s="87" t="s">
        <v>198</v>
      </c>
      <c r="R64" s="87" t="str">
        <f>VLOOKUP(E64,'PREMIUM TABLES'!$F$214:$G$219,2,FALSE)</f>
        <v>FORTH</v>
      </c>
      <c r="S64" s="87" t="str" cm="1">
        <f t="array" ref="S64">IF(AND(L64&gt;0,L64&lt;90),"A",IF(AND(L64&gt;90,L64&lt;123),"B",IF(AND(L64&gt;122,L64&lt;159),"C",IF(AND(L64&gt;159,L64&lt;185),"D",IF(AND(L64&gt;185,L64&lt;230),"E",IF(AND(L64&gt;230,L64&lt;350),"F",NONE))))))</f>
        <v>B</v>
      </c>
      <c r="T64" s="230">
        <f>VLOOKUP(O64,'PREMIUM TABLES'!$G$165:$H$172,2,FALSE)</f>
        <v>0.08</v>
      </c>
      <c r="U64" s="230">
        <f>VLOOKUP(P64,'PREMIUM TABLES'!$G$208:$H$209,2,FALSE)</f>
        <v>2.5000000000000001E-2</v>
      </c>
      <c r="V64" s="230">
        <f>VLOOKUP(Q64,'PREMIUM TABLES'!$G$175:$H$195,2,FALSE)</f>
        <v>0.15</v>
      </c>
      <c r="W64" s="230">
        <f>VLOOKUP(R64,'PREMIUM TABLES'!$G$214:$H$219,2,FALSE)</f>
        <v>0.06</v>
      </c>
      <c r="X64" s="230">
        <f>VLOOKUP(S64,'PREMIUM TABLES'!$F$199:$H$205,3,FALSE)</f>
        <v>0.04</v>
      </c>
      <c r="Y64" s="231">
        <f t="shared" si="3"/>
        <v>0.35499999999999998</v>
      </c>
      <c r="Z64" s="231" t="str" cm="1">
        <f t="array" ref="Z64">IF(AND(Y64&gt;0,Y64&lt;0.5),"C",IF(AND(Y64&gt;=0.5,Y64&lt;0.73),"B",IF(AND(Y64&gt;=0.73,Y64&lt;0.98),"A",NONE)))</f>
        <v>C</v>
      </c>
      <c r="AA64" s="231" t="str">
        <f>VLOOKUP(G64,'ALL (R)'!$N$5:$R$862,5,FALSE)</f>
        <v>R 1</v>
      </c>
      <c r="AB64" s="232">
        <f>VLOOKUP(AA64,FACTS!$B$2:$L$14,10,FALSE)</f>
        <v>42500</v>
      </c>
      <c r="AC64" s="232">
        <f>VLOOKUP(AA64,FACTS!$B$2:$L$14,11,FALSE)</f>
        <v>47500</v>
      </c>
      <c r="AD64" s="232">
        <f>VLOOKUP(AA64,FACTS!$B$2:$N$14,13,FALSE)</f>
        <v>5000</v>
      </c>
      <c r="AE64" s="232">
        <f t="shared" si="4"/>
        <v>1775</v>
      </c>
      <c r="AF64" s="232">
        <f t="shared" si="5"/>
        <v>44275</v>
      </c>
      <c r="AG64" s="232">
        <f>AF64*FACTS!$T$2</f>
        <v>14610.75</v>
      </c>
      <c r="AH64" s="232">
        <f>Table1[[#This Row],[UNIT (BUILDING) RATE (SEMI FINISHED)]]+4500</f>
        <v>48775</v>
      </c>
      <c r="AI64" s="232">
        <f>Table1[[#This Row],[UNIT (BUILDING) RATE (SEMI FINISHED)]]+7500</f>
        <v>51775</v>
      </c>
      <c r="AJ64" s="232">
        <f t="shared" si="6"/>
        <v>4870250</v>
      </c>
      <c r="AK64" s="232">
        <f>Table1[[#This Row],[UNIT (BUILDING) RATE (BASIC FINISH)]]*Table1[[#This Row],[Unit Selling Area]]</f>
        <v>5365250</v>
      </c>
      <c r="AL64" s="232">
        <f>Table1[[#This Row],[UNIT (BUILDING) RATE (FULLY FINISH)]]*Table1[[#This Row],[Unit Selling Area]]</f>
        <v>5695250</v>
      </c>
      <c r="AM64" s="232">
        <f t="shared" si="7"/>
        <v>0</v>
      </c>
      <c r="AN64" s="232">
        <f>(AM64+AJ64)*FACTS!$S$2</f>
        <v>413971.25000000006</v>
      </c>
      <c r="AO64" s="101">
        <f>VLOOKUP(S64,FACTS!$A$17:$C$23,3,FALSE)</f>
        <v>1</v>
      </c>
      <c r="AP64" s="232">
        <f>VLOOKUP(AA64,FACTS!$B$2:$J$14,9,FALSE)</f>
        <v>200000</v>
      </c>
      <c r="AQ64" s="232">
        <f>Table1[[#This Row],[PARKING VALUE]]*1</f>
        <v>200000</v>
      </c>
      <c r="AR64" s="232">
        <f t="shared" si="0"/>
        <v>5070250</v>
      </c>
      <c r="AS64" s="440">
        <f>Table1[[#This Row],[TOTAL CARS VALUE]]+Table1[[#This Row],[UNIT (BUILDING) VALUE BASIC FINISHED]]+Table1[[#This Row],[UNIT (GARDEN) VALUE]]</f>
        <v>5565250</v>
      </c>
      <c r="AT64" s="232">
        <f>Table1[[#This Row],[TOTAL CARS VALUE]]+Table1[[#This Row],[UNIT (GARDEN) VALUE]]+Table1[[#This Row],[UNIT (BUILDING) VALUE FULLY FINISHED]]</f>
        <v>5895250</v>
      </c>
      <c r="AU64" s="233">
        <f>VLOOKUP(I64,'C PHASES'!$I$108:$J$110,2,FALSE)</f>
        <v>45839</v>
      </c>
      <c r="AV64" s="233">
        <f>VLOOKUP(AA64,'C PHASES'!$I$113:$J$125,2,FALSE)</f>
        <v>45170</v>
      </c>
    </row>
    <row r="65" spans="1:48" ht="15" customHeight="1" x14ac:dyDescent="0.25">
      <c r="A65" s="235" t="s">
        <v>15</v>
      </c>
      <c r="B65" s="227" t="str">
        <f t="shared" si="1"/>
        <v>A</v>
      </c>
      <c r="C65" s="227" t="s">
        <v>21</v>
      </c>
      <c r="D65" s="227" t="s">
        <v>1148</v>
      </c>
      <c r="E65" s="228">
        <v>0</v>
      </c>
      <c r="F65" s="101">
        <v>1</v>
      </c>
      <c r="G65" s="87" t="str">
        <f>LEFT(C65,2)&amp;E65&amp;F65</f>
        <v>A401</v>
      </c>
      <c r="H65" s="87" t="s">
        <v>1296</v>
      </c>
      <c r="I65" s="89" t="str">
        <f>VLOOKUP(C65,'PREMIUM TABLES'!$G$107:$H$149,2,FALSE)</f>
        <v>C1</v>
      </c>
      <c r="J65" s="87">
        <v>63.79</v>
      </c>
      <c r="K65" s="87">
        <v>81.452738123463917</v>
      </c>
      <c r="L65" s="87">
        <v>78</v>
      </c>
      <c r="M65" s="87">
        <v>24.682200000000002</v>
      </c>
      <c r="O65" s="87" t="s">
        <v>187</v>
      </c>
      <c r="P65" s="87" t="s">
        <v>190</v>
      </c>
      <c r="Q65" s="229" t="s">
        <v>198</v>
      </c>
      <c r="R65" s="87" t="str">
        <f>VLOOKUP(E65,'PREMIUM TABLES'!$F$214:$G$219,2,FALSE)</f>
        <v>GROUND</v>
      </c>
      <c r="S65" s="87" t="str" cm="1">
        <f t="array" ref="S65">IF(AND(L65&gt;0,L65&lt;90),"A",IF(AND(L65&gt;90,L65&lt;123),"B",IF(AND(L65&gt;122,L65&lt;159),"C",IF(AND(L65&gt;159,L65&lt;185),"D",IF(AND(L65&gt;185,L65&lt;230),"E",IF(AND(L65&gt;230,L65&lt;350),"F",NONE))))))</f>
        <v>A</v>
      </c>
      <c r="T65" s="230">
        <f>VLOOKUP(O65,'PREMIUM TABLES'!$G$165:$H$172,2,FALSE)</f>
        <v>0.08</v>
      </c>
      <c r="U65" s="230">
        <f>VLOOKUP(P65,'PREMIUM TABLES'!$G$208:$H$209,2,FALSE)</f>
        <v>2.5000000000000001E-2</v>
      </c>
      <c r="V65" s="230">
        <f>VLOOKUP(Q65,'PREMIUM TABLES'!$G$175:$H$195,2,FALSE)</f>
        <v>0.15</v>
      </c>
      <c r="W65" s="230">
        <f>VLOOKUP(R65,'PREMIUM TABLES'!$G$214:$H$219,2,FALSE)</f>
        <v>0.05</v>
      </c>
      <c r="X65" s="230">
        <f>VLOOKUP(S65,'PREMIUM TABLES'!$F$199:$H$205,3,FALSE)</f>
        <v>0.05</v>
      </c>
      <c r="Y65" s="231">
        <f t="shared" si="3"/>
        <v>0.35499999999999998</v>
      </c>
      <c r="Z65" s="231" t="s">
        <v>732</v>
      </c>
      <c r="AA65" s="231" t="str">
        <f>VLOOKUP(G65,'ALL (R)'!$N$5:$R$862,5,FALSE)</f>
        <v>RH</v>
      </c>
      <c r="AB65" s="232">
        <f>VLOOKUP(AA65,FACTS!$B$2:$L$14,10,FALSE)</f>
        <v>76850</v>
      </c>
      <c r="AC65" s="232">
        <f>VLOOKUP(AA65,FACTS!$B$2:$L$14,11,FALSE)</f>
        <v>82950</v>
      </c>
      <c r="AD65" s="232">
        <f>VLOOKUP(AA65,FACTS!$B$2:$N$14,13,FALSE)</f>
        <v>6100</v>
      </c>
      <c r="AE65" s="232">
        <f t="shared" si="4"/>
        <v>2165.5</v>
      </c>
      <c r="AF65" s="232">
        <f t="shared" si="5"/>
        <v>79015.5</v>
      </c>
      <c r="AG65" s="232">
        <f>AF65*FACTS!$T$2</f>
        <v>26075.115000000002</v>
      </c>
      <c r="AH65" s="232">
        <f>Table1[[#This Row],[UNIT (BUILDING) RATE (SEMI FINISHED)]]+4500</f>
        <v>83515.5</v>
      </c>
      <c r="AI65" s="232">
        <f>Table1[[#This Row],[UNIT (BUILDING) RATE (SEMI FINISHED)]]+7500</f>
        <v>86515.5</v>
      </c>
      <c r="AJ65" s="232">
        <f t="shared" si="6"/>
        <v>6163209</v>
      </c>
      <c r="AK65" s="232">
        <f>Table1[[#This Row],[UNIT (BUILDING) RATE (BASIC FINISH)]]*Table1[[#This Row],[Unit Selling Area]]</f>
        <v>6514209</v>
      </c>
      <c r="AL65" s="232">
        <f>Table1[[#This Row],[UNIT (BUILDING) RATE (FULLY FINISH)]]*Table1[[#This Row],[Unit Selling Area]]</f>
        <v>6748209</v>
      </c>
      <c r="AM65" s="232">
        <f t="shared" si="7"/>
        <v>643591.20345300005</v>
      </c>
      <c r="AN65" s="232">
        <f>(AM65+AJ65)*FACTS!$S$2</f>
        <v>578578.01729350502</v>
      </c>
      <c r="AO65" s="101">
        <f>VLOOKUP(S65,FACTS!$A$17:$C$23,3,FALSE)</f>
        <v>1</v>
      </c>
      <c r="AP65" s="232">
        <f>VLOOKUP(AA65,FACTS!$B$2:$J$14,9,FALSE)</f>
        <v>244000</v>
      </c>
      <c r="AQ65" s="232">
        <f>Table1[[#This Row],[PARKING VALUE]]*1</f>
        <v>244000</v>
      </c>
      <c r="AR65" s="232">
        <f t="shared" si="0"/>
        <v>7050800.2034529997</v>
      </c>
      <c r="AS65" s="440">
        <f>Table1[[#This Row],[TOTAL CARS VALUE]]+Table1[[#This Row],[UNIT (BUILDING) VALUE BASIC FINISHED]]+Table1[[#This Row],[UNIT (GARDEN) VALUE]]</f>
        <v>7401800.2034529997</v>
      </c>
      <c r="AT65" s="232">
        <f>Table1[[#This Row],[TOTAL CARS VALUE]]+Table1[[#This Row],[UNIT (GARDEN) VALUE]]+Table1[[#This Row],[UNIT (BUILDING) VALUE FULLY FINISHED]]</f>
        <v>7635800.2034529997</v>
      </c>
      <c r="AU65" s="233">
        <f>VLOOKUP(I65,'C PHASES'!$I$108:$J$110,2,FALSE)</f>
        <v>45839</v>
      </c>
      <c r="AV65" s="233">
        <f>VLOOKUP(AA65,'C PHASES'!$I$113:$J$125,2,FALSE)</f>
        <v>45839</v>
      </c>
    </row>
    <row r="66" spans="1:48" ht="15" customHeight="1" x14ac:dyDescent="0.25">
      <c r="A66" s="235"/>
      <c r="B66" s="227" t="str">
        <f t="shared" si="1"/>
        <v>A</v>
      </c>
      <c r="C66" s="227" t="s">
        <v>21</v>
      </c>
      <c r="D66" s="227" t="s">
        <v>1148</v>
      </c>
      <c r="E66" s="228">
        <v>0</v>
      </c>
      <c r="F66" s="101">
        <v>2</v>
      </c>
      <c r="G66" s="87" t="str">
        <f t="shared" ref="G66:G92" si="10">LEFT(C66,2)&amp;E66&amp;F66</f>
        <v>A402</v>
      </c>
      <c r="H66" s="87" t="s">
        <v>1296</v>
      </c>
      <c r="I66" s="89" t="str">
        <f>VLOOKUP(C66,'PREMIUM TABLES'!$G$107:$H$149,2,FALSE)</f>
        <v>C1</v>
      </c>
      <c r="J66" s="87">
        <v>63.16</v>
      </c>
      <c r="K66" s="87">
        <v>80.648298163943892</v>
      </c>
      <c r="L66" s="87">
        <v>78</v>
      </c>
      <c r="M66" s="87">
        <v>37.717199999999998</v>
      </c>
      <c r="O66" s="87" t="s">
        <v>180</v>
      </c>
      <c r="P66" s="87" t="s">
        <v>190</v>
      </c>
      <c r="Q66" s="229" t="s">
        <v>200</v>
      </c>
      <c r="R66" s="87" t="str">
        <f>VLOOKUP(E66,'PREMIUM TABLES'!$F$214:$G$219,2,FALSE)</f>
        <v>GROUND</v>
      </c>
      <c r="S66" s="87" t="str" cm="1">
        <f t="array" ref="S66">IF(AND(L66&gt;0,L66&lt;90),"A",IF(AND(L66&gt;90,L66&lt;123),"B",IF(AND(L66&gt;122,L66&lt;159),"C",IF(AND(L66&gt;159,L66&lt;185),"D",IF(AND(L66&gt;185,L66&lt;230),"E",IF(AND(L66&gt;230,L66&lt;350),"F",NONE))))))</f>
        <v>A</v>
      </c>
      <c r="T66" s="230">
        <f>VLOOKUP(O66,'PREMIUM TABLES'!$G$165:$H$172,2,FALSE)</f>
        <v>0.13</v>
      </c>
      <c r="U66" s="230">
        <f>VLOOKUP(P66,'PREMIUM TABLES'!$G$208:$H$209,2,FALSE)</f>
        <v>2.5000000000000001E-2</v>
      </c>
      <c r="V66" s="230">
        <f>VLOOKUP(Q66,'PREMIUM TABLES'!$G$175:$H$195,2,FALSE)</f>
        <v>0.1</v>
      </c>
      <c r="W66" s="230">
        <f>VLOOKUP(R66,'PREMIUM TABLES'!$G$214:$H$219,2,FALSE)</f>
        <v>0.05</v>
      </c>
      <c r="X66" s="230">
        <f>VLOOKUP(S66,'PREMIUM TABLES'!$F$199:$H$205,3,FALSE)</f>
        <v>0.05</v>
      </c>
      <c r="Y66" s="231">
        <f t="shared" si="3"/>
        <v>0.35499999999999998</v>
      </c>
      <c r="Z66" s="231" t="s">
        <v>732</v>
      </c>
      <c r="AA66" s="231" t="str">
        <f>VLOOKUP(G66,'ALL (R)'!$N$5:$R$862,5,FALSE)</f>
        <v>RH</v>
      </c>
      <c r="AB66" s="232">
        <f>VLOOKUP(AA66,FACTS!$B$2:$L$14,10,FALSE)</f>
        <v>76850</v>
      </c>
      <c r="AC66" s="232">
        <f>VLOOKUP(AA66,FACTS!$B$2:$L$14,11,FALSE)</f>
        <v>82950</v>
      </c>
      <c r="AD66" s="232">
        <f>VLOOKUP(AA66,FACTS!$B$2:$N$14,13,FALSE)</f>
        <v>6100</v>
      </c>
      <c r="AE66" s="232">
        <f t="shared" si="4"/>
        <v>2165.5</v>
      </c>
      <c r="AF66" s="232">
        <f t="shared" si="5"/>
        <v>79015.5</v>
      </c>
      <c r="AG66" s="232">
        <f>AF66*FACTS!$T$2</f>
        <v>26075.115000000002</v>
      </c>
      <c r="AH66" s="232">
        <f>Table1[[#This Row],[UNIT (BUILDING) RATE (SEMI FINISHED)]]+4500</f>
        <v>83515.5</v>
      </c>
      <c r="AI66" s="232">
        <f>Table1[[#This Row],[UNIT (BUILDING) RATE (SEMI FINISHED)]]+7500</f>
        <v>86515.5</v>
      </c>
      <c r="AJ66" s="232">
        <f t="shared" si="6"/>
        <v>6163209</v>
      </c>
      <c r="AK66" s="232">
        <f>Table1[[#This Row],[UNIT (BUILDING) RATE (BASIC FINISH)]]*Table1[[#This Row],[Unit Selling Area]]</f>
        <v>6514209</v>
      </c>
      <c r="AL66" s="232">
        <f>Table1[[#This Row],[UNIT (BUILDING) RATE (FULLY FINISH)]]*Table1[[#This Row],[Unit Selling Area]]</f>
        <v>6748209</v>
      </c>
      <c r="AM66" s="232">
        <f t="shared" si="7"/>
        <v>983480.32747799996</v>
      </c>
      <c r="AN66" s="232">
        <f>(AM66+AJ66)*FACTS!$S$2</f>
        <v>607468.59283563006</v>
      </c>
      <c r="AO66" s="101">
        <f>VLOOKUP(S66,FACTS!$A$17:$C$23,3,FALSE)</f>
        <v>1</v>
      </c>
      <c r="AP66" s="232">
        <f>VLOOKUP(AA66,FACTS!$B$2:$J$14,9,FALSE)</f>
        <v>244000</v>
      </c>
      <c r="AQ66" s="232">
        <f>Table1[[#This Row],[PARKING VALUE]]*1</f>
        <v>244000</v>
      </c>
      <c r="AR66" s="232">
        <f t="shared" si="0"/>
        <v>7390689.327478</v>
      </c>
      <c r="AS66" s="440">
        <f>Table1[[#This Row],[TOTAL CARS VALUE]]+Table1[[#This Row],[UNIT (BUILDING) VALUE BASIC FINISHED]]+Table1[[#This Row],[UNIT (GARDEN) VALUE]]</f>
        <v>7741689.327478</v>
      </c>
      <c r="AT66" s="232">
        <f>Table1[[#This Row],[TOTAL CARS VALUE]]+Table1[[#This Row],[UNIT (GARDEN) VALUE]]+Table1[[#This Row],[UNIT (BUILDING) VALUE FULLY FINISHED]]</f>
        <v>7975689.327478</v>
      </c>
      <c r="AU66" s="233">
        <f>VLOOKUP(I66,'C PHASES'!$I$108:$J$110,2,FALSE)</f>
        <v>45839</v>
      </c>
      <c r="AV66" s="233">
        <f>VLOOKUP(AA66,'C PHASES'!$I$113:$J$125,2,FALSE)</f>
        <v>45839</v>
      </c>
    </row>
    <row r="67" spans="1:48" ht="15" customHeight="1" x14ac:dyDescent="0.25">
      <c r="A67" s="235"/>
      <c r="B67" s="227" t="str">
        <f t="shared" si="1"/>
        <v>A</v>
      </c>
      <c r="C67" s="227" t="s">
        <v>21</v>
      </c>
      <c r="D67" s="227" t="s">
        <v>1148</v>
      </c>
      <c r="E67" s="228">
        <v>0</v>
      </c>
      <c r="F67" s="101">
        <v>3</v>
      </c>
      <c r="G67" s="87" t="str">
        <f t="shared" si="10"/>
        <v>A403</v>
      </c>
      <c r="H67" s="87" t="s">
        <v>1296</v>
      </c>
      <c r="I67" s="89" t="str">
        <f>VLOOKUP(C67,'PREMIUM TABLES'!$G$107:$H$149,2,FALSE)</f>
        <v>C1</v>
      </c>
      <c r="J67" s="87">
        <v>51.02</v>
      </c>
      <c r="K67" s="87">
        <v>65.146867832875529</v>
      </c>
      <c r="L67" s="87">
        <v>63</v>
      </c>
      <c r="M67" s="87">
        <v>34.889099999999999</v>
      </c>
      <c r="O67" s="87" t="s">
        <v>180</v>
      </c>
      <c r="P67" s="87" t="s">
        <v>190</v>
      </c>
      <c r="Q67" s="229" t="s">
        <v>200</v>
      </c>
      <c r="R67" s="87" t="str">
        <f>VLOOKUP(E67,'PREMIUM TABLES'!$F$214:$G$219,2,FALSE)</f>
        <v>GROUND</v>
      </c>
      <c r="S67" s="87" t="str" cm="1">
        <f t="array" ref="S67">IF(AND(L67&gt;0,L67&lt;90),"A",IF(AND(L67&gt;90,L67&lt;123),"B",IF(AND(L67&gt;122,L67&lt;159),"C",IF(AND(L67&gt;159,L67&lt;185),"D",IF(AND(L67&gt;185,L67&lt;230),"E",IF(AND(L67&gt;230,L67&lt;350),"F",NONE))))))</f>
        <v>A</v>
      </c>
      <c r="T67" s="230">
        <f>VLOOKUP(O67,'PREMIUM TABLES'!$G$165:$H$172,2,FALSE)</f>
        <v>0.13</v>
      </c>
      <c r="U67" s="230">
        <f>VLOOKUP(P67,'PREMIUM TABLES'!$G$208:$H$209,2,FALSE)</f>
        <v>2.5000000000000001E-2</v>
      </c>
      <c r="V67" s="230">
        <f>VLOOKUP(Q67,'PREMIUM TABLES'!$G$175:$H$195,2,FALSE)</f>
        <v>0.1</v>
      </c>
      <c r="W67" s="230">
        <f>VLOOKUP(R67,'PREMIUM TABLES'!$G$214:$H$219,2,FALSE)</f>
        <v>0.05</v>
      </c>
      <c r="X67" s="230">
        <f>VLOOKUP(S67,'PREMIUM TABLES'!$F$199:$H$205,3,FALSE)</f>
        <v>0.05</v>
      </c>
      <c r="Y67" s="231">
        <f t="shared" si="3"/>
        <v>0.35499999999999998</v>
      </c>
      <c r="Z67" s="231" t="s">
        <v>732</v>
      </c>
      <c r="AA67" s="231" t="str">
        <f>VLOOKUP(G67,'ALL (R)'!$N$5:$R$862,5,FALSE)</f>
        <v>RH</v>
      </c>
      <c r="AB67" s="232">
        <f>VLOOKUP(AA67,FACTS!$B$2:$L$14,10,FALSE)</f>
        <v>76850</v>
      </c>
      <c r="AC67" s="232">
        <f>VLOOKUP(AA67,FACTS!$B$2:$L$14,11,FALSE)</f>
        <v>82950</v>
      </c>
      <c r="AD67" s="232">
        <f>VLOOKUP(AA67,FACTS!$B$2:$N$14,13,FALSE)</f>
        <v>6100</v>
      </c>
      <c r="AE67" s="232">
        <f t="shared" si="4"/>
        <v>2165.5</v>
      </c>
      <c r="AF67" s="232">
        <f t="shared" si="5"/>
        <v>79015.5</v>
      </c>
      <c r="AG67" s="232">
        <f>AF67*FACTS!$T$2</f>
        <v>26075.115000000002</v>
      </c>
      <c r="AH67" s="232">
        <f>Table1[[#This Row],[UNIT (BUILDING) RATE (SEMI FINISHED)]]+4500</f>
        <v>83515.5</v>
      </c>
      <c r="AI67" s="232">
        <f>Table1[[#This Row],[UNIT (BUILDING) RATE (SEMI FINISHED)]]+7500</f>
        <v>86515.5</v>
      </c>
      <c r="AJ67" s="232">
        <f t="shared" si="6"/>
        <v>4977976.5</v>
      </c>
      <c r="AK67" s="232">
        <f>Table1[[#This Row],[UNIT (BUILDING) RATE (BASIC FINISH)]]*Table1[[#This Row],[Unit Selling Area]]</f>
        <v>5261476.5</v>
      </c>
      <c r="AL67" s="232">
        <f>Table1[[#This Row],[UNIT (BUILDING) RATE (FULLY FINISH)]]*Table1[[#This Row],[Unit Selling Area]]</f>
        <v>5450476.5</v>
      </c>
      <c r="AM67" s="232">
        <f t="shared" si="7"/>
        <v>909737.29474650009</v>
      </c>
      <c r="AN67" s="232">
        <f>(AM67+AJ67)*FACTS!$S$2</f>
        <v>500455.67255345255</v>
      </c>
      <c r="AO67" s="101">
        <f>VLOOKUP(S67,FACTS!$A$17:$C$23,3,FALSE)</f>
        <v>1</v>
      </c>
      <c r="AP67" s="232">
        <f>VLOOKUP(AA67,FACTS!$B$2:$J$14,9,FALSE)</f>
        <v>244000</v>
      </c>
      <c r="AQ67" s="232">
        <f>Table1[[#This Row],[PARKING VALUE]]*1</f>
        <v>244000</v>
      </c>
      <c r="AR67" s="232">
        <f t="shared" si="0"/>
        <v>6131713.7947464995</v>
      </c>
      <c r="AS67" s="440">
        <f>Table1[[#This Row],[TOTAL CARS VALUE]]+Table1[[#This Row],[UNIT (BUILDING) VALUE BASIC FINISHED]]+Table1[[#This Row],[UNIT (GARDEN) VALUE]]</f>
        <v>6415213.7947465004</v>
      </c>
      <c r="AT67" s="232">
        <f>Table1[[#This Row],[TOTAL CARS VALUE]]+Table1[[#This Row],[UNIT (GARDEN) VALUE]]+Table1[[#This Row],[UNIT (BUILDING) VALUE FULLY FINISHED]]</f>
        <v>6604213.7947464995</v>
      </c>
      <c r="AU67" s="233">
        <f>VLOOKUP(I67,'C PHASES'!$I$108:$J$110,2,FALSE)</f>
        <v>45839</v>
      </c>
      <c r="AV67" s="233">
        <f>VLOOKUP(AA67,'C PHASES'!$I$113:$J$125,2,FALSE)</f>
        <v>45839</v>
      </c>
    </row>
    <row r="68" spans="1:48" ht="15" customHeight="1" x14ac:dyDescent="0.25">
      <c r="A68" s="235"/>
      <c r="B68" s="227" t="str">
        <f t="shared" si="1"/>
        <v>A</v>
      </c>
      <c r="C68" s="227" t="s">
        <v>21</v>
      </c>
      <c r="D68" s="227" t="s">
        <v>1148</v>
      </c>
      <c r="E68" s="228">
        <v>0</v>
      </c>
      <c r="F68" s="101">
        <v>4</v>
      </c>
      <c r="G68" s="87" t="str">
        <f t="shared" si="10"/>
        <v>A404</v>
      </c>
      <c r="H68" s="87" t="s">
        <v>1296</v>
      </c>
      <c r="I68" s="89" t="str">
        <f>VLOOKUP(C68,'PREMIUM TABLES'!$G$107:$H$149,2,FALSE)</f>
        <v>C1</v>
      </c>
      <c r="J68" s="87">
        <v>68.59</v>
      </c>
      <c r="K68" s="87">
        <v>87.581804481711714</v>
      </c>
      <c r="L68" s="87">
        <v>84</v>
      </c>
      <c r="M68" s="87">
        <v>35.785600000000002</v>
      </c>
      <c r="O68" s="87" t="s">
        <v>180</v>
      </c>
      <c r="P68" s="87" t="s">
        <v>226</v>
      </c>
      <c r="Q68" s="229" t="s">
        <v>200</v>
      </c>
      <c r="R68" s="87" t="str">
        <f>VLOOKUP(E68,'PREMIUM TABLES'!$F$214:$G$219,2,FALSE)</f>
        <v>GROUND</v>
      </c>
      <c r="S68" s="87" t="str" cm="1">
        <f t="array" ref="S68">IF(AND(L68&gt;0,L68&lt;90),"A",IF(AND(L68&gt;90,L68&lt;123),"B",IF(AND(L68&gt;122,L68&lt;159),"C",IF(AND(L68&gt;159,L68&lt;185),"D",IF(AND(L68&gt;185,L68&lt;230),"E",IF(AND(L68&gt;230,L68&lt;350),"F",NONE))))))</f>
        <v>A</v>
      </c>
      <c r="T68" s="230">
        <f>VLOOKUP(O68,'PREMIUM TABLES'!$G$165:$H$172,2,FALSE)</f>
        <v>0.13</v>
      </c>
      <c r="U68" s="230">
        <f>VLOOKUP(P68,'PREMIUM TABLES'!$G$208:$H$209,2,FALSE)</f>
        <v>0.05</v>
      </c>
      <c r="V68" s="230">
        <f>VLOOKUP(Q68,'PREMIUM TABLES'!$G$175:$H$195,2,FALSE)</f>
        <v>0.1</v>
      </c>
      <c r="W68" s="230">
        <f>VLOOKUP(R68,'PREMIUM TABLES'!$G$214:$H$219,2,FALSE)</f>
        <v>0.05</v>
      </c>
      <c r="X68" s="230">
        <f>VLOOKUP(S68,'PREMIUM TABLES'!$F$199:$H$205,3,FALSE)</f>
        <v>0.05</v>
      </c>
      <c r="Y68" s="231">
        <f t="shared" si="3"/>
        <v>0.38</v>
      </c>
      <c r="Z68" s="231" t="s">
        <v>732</v>
      </c>
      <c r="AA68" s="231" t="str">
        <f>VLOOKUP(G68,'ALL (R)'!$N$5:$R$862,5,FALSE)</f>
        <v>RH</v>
      </c>
      <c r="AB68" s="232">
        <f>VLOOKUP(AA68,FACTS!$B$2:$L$14,10,FALSE)</f>
        <v>76850</v>
      </c>
      <c r="AC68" s="232">
        <f>VLOOKUP(AA68,FACTS!$B$2:$L$14,11,FALSE)</f>
        <v>82950</v>
      </c>
      <c r="AD68" s="232">
        <f>VLOOKUP(AA68,FACTS!$B$2:$N$14,13,FALSE)</f>
        <v>6100</v>
      </c>
      <c r="AE68" s="232">
        <f t="shared" si="4"/>
        <v>2318</v>
      </c>
      <c r="AF68" s="232">
        <f t="shared" si="5"/>
        <v>79168</v>
      </c>
      <c r="AG68" s="232">
        <f>AF68*FACTS!$T$2</f>
        <v>26125.440000000002</v>
      </c>
      <c r="AH68" s="232">
        <f>Table1[[#This Row],[UNIT (BUILDING) RATE (SEMI FINISHED)]]+4500</f>
        <v>83668</v>
      </c>
      <c r="AI68" s="232">
        <f>Table1[[#This Row],[UNIT (BUILDING) RATE (SEMI FINISHED)]]+7500</f>
        <v>86668</v>
      </c>
      <c r="AJ68" s="232">
        <f t="shared" si="6"/>
        <v>6650112</v>
      </c>
      <c r="AK68" s="232">
        <f>Table1[[#This Row],[UNIT (BUILDING) RATE (BASIC FINISH)]]*Table1[[#This Row],[Unit Selling Area]]</f>
        <v>7028112</v>
      </c>
      <c r="AL68" s="232">
        <f>Table1[[#This Row],[UNIT (BUILDING) RATE (FULLY FINISH)]]*Table1[[#This Row],[Unit Selling Area]]</f>
        <v>7280112</v>
      </c>
      <c r="AM68" s="232">
        <f t="shared" si="7"/>
        <v>934914.54566400009</v>
      </c>
      <c r="AN68" s="232">
        <f>(AM68+AJ68)*FACTS!$S$2</f>
        <v>644727.25638144009</v>
      </c>
      <c r="AO68" s="101">
        <f>VLOOKUP(S68,FACTS!$A$17:$C$23,3,FALSE)</f>
        <v>1</v>
      </c>
      <c r="AP68" s="232">
        <f>VLOOKUP(AA68,FACTS!$B$2:$J$14,9,FALSE)</f>
        <v>244000</v>
      </c>
      <c r="AQ68" s="232">
        <f>Table1[[#This Row],[PARKING VALUE]]*1</f>
        <v>244000</v>
      </c>
      <c r="AR68" s="232">
        <f t="shared" si="0"/>
        <v>7829026.5456640003</v>
      </c>
      <c r="AS68" s="440">
        <f>Table1[[#This Row],[TOTAL CARS VALUE]]+Table1[[#This Row],[UNIT (BUILDING) VALUE BASIC FINISHED]]+Table1[[#This Row],[UNIT (GARDEN) VALUE]]</f>
        <v>8207026.5456640003</v>
      </c>
      <c r="AT68" s="232">
        <f>Table1[[#This Row],[TOTAL CARS VALUE]]+Table1[[#This Row],[UNIT (GARDEN) VALUE]]+Table1[[#This Row],[UNIT (BUILDING) VALUE FULLY FINISHED]]</f>
        <v>8459026.5456639994</v>
      </c>
      <c r="AU68" s="233">
        <f>VLOOKUP(I68,'C PHASES'!$I$108:$J$110,2,FALSE)</f>
        <v>45839</v>
      </c>
      <c r="AV68" s="233">
        <f>VLOOKUP(AA68,'C PHASES'!$I$113:$J$125,2,FALSE)</f>
        <v>45839</v>
      </c>
    </row>
    <row r="69" spans="1:48" ht="15" customHeight="1" x14ac:dyDescent="0.25">
      <c r="A69" s="235"/>
      <c r="B69" s="227" t="str">
        <f t="shared" si="1"/>
        <v>A</v>
      </c>
      <c r="C69" s="227" t="s">
        <v>21</v>
      </c>
      <c r="D69" s="227" t="s">
        <v>1148</v>
      </c>
      <c r="E69" s="228">
        <v>0</v>
      </c>
      <c r="F69" s="101">
        <v>5</v>
      </c>
      <c r="G69" s="87" t="str">
        <f t="shared" si="10"/>
        <v>A405</v>
      </c>
      <c r="H69" s="87" t="s">
        <v>1296</v>
      </c>
      <c r="I69" s="89" t="str">
        <f>VLOOKUP(C69,'PREMIUM TABLES'!$G$107:$H$149,2,FALSE)</f>
        <v>C1</v>
      </c>
      <c r="J69" s="87">
        <v>69.17</v>
      </c>
      <c r="K69" s="87">
        <v>88.322399999999988</v>
      </c>
      <c r="L69" s="87">
        <v>85</v>
      </c>
      <c r="M69" s="87">
        <v>24.142299999999999</v>
      </c>
      <c r="O69" s="87" t="s">
        <v>187</v>
      </c>
      <c r="P69" s="87" t="s">
        <v>226</v>
      </c>
      <c r="Q69" s="229" t="s">
        <v>195</v>
      </c>
      <c r="R69" s="87" t="str">
        <f>VLOOKUP(E69,'PREMIUM TABLES'!$F$214:$G$219,2,FALSE)</f>
        <v>GROUND</v>
      </c>
      <c r="S69" s="87" t="str" cm="1">
        <f t="array" ref="S69">IF(AND(L69&gt;0,L69&lt;90),"A",IF(AND(L69&gt;90,L69&lt;123),"B",IF(AND(L69&gt;122,L69&lt;159),"C",IF(AND(L69&gt;159,L69&lt;185),"D",IF(AND(L69&gt;185,L69&lt;230),"E",IF(AND(L69&gt;230,L69&lt;350),"F",NONE))))))</f>
        <v>A</v>
      </c>
      <c r="T69" s="230">
        <f>VLOOKUP(O69,'PREMIUM TABLES'!$G$165:$H$172,2,FALSE)</f>
        <v>0.08</v>
      </c>
      <c r="U69" s="230">
        <f>VLOOKUP(P69,'PREMIUM TABLES'!$G$208:$H$209,2,FALSE)</f>
        <v>0.05</v>
      </c>
      <c r="V69" s="230">
        <f>VLOOKUP(Q69,'PREMIUM TABLES'!$G$175:$H$195,2,FALSE)</f>
        <v>0.25</v>
      </c>
      <c r="W69" s="230">
        <f>VLOOKUP(R69,'PREMIUM TABLES'!$G$214:$H$219,2,FALSE)</f>
        <v>0.05</v>
      </c>
      <c r="X69" s="230">
        <f>VLOOKUP(S69,'PREMIUM TABLES'!$F$199:$H$205,3,FALSE)</f>
        <v>0.05</v>
      </c>
      <c r="Y69" s="231">
        <f t="shared" si="3"/>
        <v>0.48</v>
      </c>
      <c r="Z69" s="231" t="s">
        <v>732</v>
      </c>
      <c r="AA69" s="231" t="str">
        <f>VLOOKUP(G69,'ALL (R)'!$N$5:$R$862,5,FALSE)</f>
        <v>RH</v>
      </c>
      <c r="AB69" s="232">
        <f>VLOOKUP(AA69,FACTS!$B$2:$L$14,10,FALSE)</f>
        <v>76850</v>
      </c>
      <c r="AC69" s="232">
        <f>VLOOKUP(AA69,FACTS!$B$2:$L$14,11,FALSE)</f>
        <v>82950</v>
      </c>
      <c r="AD69" s="232">
        <f>VLOOKUP(AA69,FACTS!$B$2:$N$14,13,FALSE)</f>
        <v>6100</v>
      </c>
      <c r="AE69" s="232">
        <f t="shared" si="4"/>
        <v>2928</v>
      </c>
      <c r="AF69" s="232">
        <f t="shared" si="5"/>
        <v>79778</v>
      </c>
      <c r="AG69" s="232">
        <f>AF69*FACTS!$T$2</f>
        <v>26326.74</v>
      </c>
      <c r="AH69" s="232">
        <f>Table1[[#This Row],[UNIT (BUILDING) RATE (SEMI FINISHED)]]+4500</f>
        <v>84278</v>
      </c>
      <c r="AI69" s="232">
        <f>Table1[[#This Row],[UNIT (BUILDING) RATE (SEMI FINISHED)]]+7500</f>
        <v>87278</v>
      </c>
      <c r="AJ69" s="232">
        <f t="shared" si="6"/>
        <v>6781130</v>
      </c>
      <c r="AK69" s="232">
        <f>Table1[[#This Row],[UNIT (BUILDING) RATE (BASIC FINISH)]]*Table1[[#This Row],[Unit Selling Area]]</f>
        <v>7163630</v>
      </c>
      <c r="AL69" s="232">
        <f>Table1[[#This Row],[UNIT (BUILDING) RATE (FULLY FINISH)]]*Table1[[#This Row],[Unit Selling Area]]</f>
        <v>7418630</v>
      </c>
      <c r="AM69" s="232">
        <f t="shared" si="7"/>
        <v>635588.05510200001</v>
      </c>
      <c r="AN69" s="232">
        <f>(AM69+AJ69)*FACTS!$S$2</f>
        <v>630421.03468367003</v>
      </c>
      <c r="AO69" s="101">
        <f>VLOOKUP(S69,FACTS!$A$17:$C$23,3,FALSE)</f>
        <v>1</v>
      </c>
      <c r="AP69" s="232">
        <f>VLOOKUP(AA69,FACTS!$B$2:$J$14,9,FALSE)</f>
        <v>244000</v>
      </c>
      <c r="AQ69" s="232">
        <f>Table1[[#This Row],[PARKING VALUE]]*1</f>
        <v>244000</v>
      </c>
      <c r="AR69" s="232">
        <f t="shared" ref="AR69:AR132" si="11">AQ69+AM69+AJ69</f>
        <v>7660718.055102</v>
      </c>
      <c r="AS69" s="440">
        <f>Table1[[#This Row],[TOTAL CARS VALUE]]+Table1[[#This Row],[UNIT (BUILDING) VALUE BASIC FINISHED]]+Table1[[#This Row],[UNIT (GARDEN) VALUE]]</f>
        <v>8043218.055102</v>
      </c>
      <c r="AT69" s="232">
        <f>Table1[[#This Row],[TOTAL CARS VALUE]]+Table1[[#This Row],[UNIT (GARDEN) VALUE]]+Table1[[#This Row],[UNIT (BUILDING) VALUE FULLY FINISHED]]</f>
        <v>8298218.055102</v>
      </c>
      <c r="AU69" s="233">
        <f>VLOOKUP(I69,'C PHASES'!$I$108:$J$110,2,FALSE)</f>
        <v>45839</v>
      </c>
      <c r="AV69" s="233">
        <f>VLOOKUP(AA69,'C PHASES'!$I$113:$J$125,2,FALSE)</f>
        <v>45839</v>
      </c>
    </row>
    <row r="70" spans="1:48" ht="15" customHeight="1" x14ac:dyDescent="0.25">
      <c r="A70" s="235"/>
      <c r="B70" s="227" t="str">
        <f t="shared" ref="B70:B133" si="12">LEFT(C70,1)</f>
        <v>A</v>
      </c>
      <c r="C70" s="227" t="s">
        <v>21</v>
      </c>
      <c r="D70" s="227" t="s">
        <v>1148</v>
      </c>
      <c r="E70" s="228">
        <v>1</v>
      </c>
      <c r="F70" s="101">
        <v>1</v>
      </c>
      <c r="G70" s="87" t="str">
        <f t="shared" si="10"/>
        <v>A411</v>
      </c>
      <c r="H70" s="87" t="s">
        <v>1296</v>
      </c>
      <c r="I70" s="89" t="str">
        <f>VLOOKUP(C70,'PREMIUM TABLES'!$G$107:$H$149,2,FALSE)</f>
        <v>C1</v>
      </c>
      <c r="J70" s="87">
        <v>63.79</v>
      </c>
      <c r="K70" s="87">
        <v>81.452738123463917</v>
      </c>
      <c r="L70" s="87">
        <v>78</v>
      </c>
      <c r="O70" s="87" t="s">
        <v>187</v>
      </c>
      <c r="P70" s="87" t="s">
        <v>190</v>
      </c>
      <c r="Q70" s="229" t="s">
        <v>198</v>
      </c>
      <c r="R70" s="87" t="str">
        <f>VLOOKUP(E70,'PREMIUM TABLES'!$F$214:$G$219,2,FALSE)</f>
        <v>FIRST</v>
      </c>
      <c r="S70" s="87" t="str" cm="1">
        <f t="array" ref="S70">IF(AND(L70&gt;0,L70&lt;90),"A",IF(AND(L70&gt;90,L70&lt;123),"B",IF(AND(L70&gt;122,L70&lt;159),"C",IF(AND(L70&gt;159,L70&lt;185),"D",IF(AND(L70&gt;185,L70&lt;230),"E",IF(AND(L70&gt;230,L70&lt;350),"F",NONE))))))</f>
        <v>A</v>
      </c>
      <c r="T70" s="230">
        <f>VLOOKUP(O70,'PREMIUM TABLES'!$G$165:$H$172,2,FALSE)</f>
        <v>0.08</v>
      </c>
      <c r="U70" s="230">
        <f>VLOOKUP(P70,'PREMIUM TABLES'!$G$208:$H$209,2,FALSE)</f>
        <v>2.5000000000000001E-2</v>
      </c>
      <c r="V70" s="230">
        <f>VLOOKUP(Q70,'PREMIUM TABLES'!$G$175:$H$195,2,FALSE)</f>
        <v>0.15</v>
      </c>
      <c r="W70" s="230">
        <f>VLOOKUP(R70,'PREMIUM TABLES'!$G$214:$H$219,2,FALSE)</f>
        <v>7.0000000000000007E-2</v>
      </c>
      <c r="X70" s="230">
        <f>VLOOKUP(S70,'PREMIUM TABLES'!$F$199:$H$205,3,FALSE)</f>
        <v>0.05</v>
      </c>
      <c r="Y70" s="231">
        <f t="shared" ref="Y70:Y133" si="13">SUM(T70:X70)</f>
        <v>0.375</v>
      </c>
      <c r="Z70" s="231" t="s">
        <v>732</v>
      </c>
      <c r="AA70" s="231" t="str">
        <f>VLOOKUP(G70,'ALL (R)'!$N$5:$R$862,5,FALSE)</f>
        <v>RH</v>
      </c>
      <c r="AB70" s="232">
        <f>VLOOKUP(AA70,FACTS!$B$2:$L$14,10,FALSE)</f>
        <v>76850</v>
      </c>
      <c r="AC70" s="232">
        <f>VLOOKUP(AA70,FACTS!$B$2:$L$14,11,FALSE)</f>
        <v>82950</v>
      </c>
      <c r="AD70" s="232">
        <f>VLOOKUP(AA70,FACTS!$B$2:$N$14,13,FALSE)</f>
        <v>6100</v>
      </c>
      <c r="AE70" s="232">
        <f t="shared" ref="AE70:AE133" si="14">AD70*Y70</f>
        <v>2287.5</v>
      </c>
      <c r="AF70" s="232">
        <f t="shared" ref="AF70:AF133" si="15">AE70+AB70</f>
        <v>79137.5</v>
      </c>
      <c r="AG70" s="232">
        <f>AF70*FACTS!$T$2</f>
        <v>26115.375</v>
      </c>
      <c r="AH70" s="232">
        <f>Table1[[#This Row],[UNIT (BUILDING) RATE (SEMI FINISHED)]]+4500</f>
        <v>83637.5</v>
      </c>
      <c r="AI70" s="232">
        <f>Table1[[#This Row],[UNIT (BUILDING) RATE (SEMI FINISHED)]]+7500</f>
        <v>86637.5</v>
      </c>
      <c r="AJ70" s="232">
        <f t="shared" ref="AJ70:AJ133" si="16">AF70*L70</f>
        <v>6172725</v>
      </c>
      <c r="AK70" s="232">
        <f>Table1[[#This Row],[UNIT (BUILDING) RATE (BASIC FINISH)]]*Table1[[#This Row],[Unit Selling Area]]</f>
        <v>6523725</v>
      </c>
      <c r="AL70" s="232">
        <f>Table1[[#This Row],[UNIT (BUILDING) RATE (FULLY FINISH)]]*Table1[[#This Row],[Unit Selling Area]]</f>
        <v>6757725</v>
      </c>
      <c r="AM70" s="232">
        <f t="shared" ref="AM70:AM133" si="17">AG70*M70</f>
        <v>0</v>
      </c>
      <c r="AN70" s="232">
        <f>(AM70+AJ70)*FACTS!$S$2</f>
        <v>524681.625</v>
      </c>
      <c r="AO70" s="101">
        <f>VLOOKUP(S70,FACTS!$A$17:$C$23,3,FALSE)</f>
        <v>1</v>
      </c>
      <c r="AP70" s="232">
        <f>VLOOKUP(AA70,FACTS!$B$2:$J$14,9,FALSE)</f>
        <v>244000</v>
      </c>
      <c r="AQ70" s="232">
        <f>Table1[[#This Row],[PARKING VALUE]]*1</f>
        <v>244000</v>
      </c>
      <c r="AR70" s="232">
        <f t="shared" si="11"/>
        <v>6416725</v>
      </c>
      <c r="AS70" s="440">
        <f>Table1[[#This Row],[TOTAL CARS VALUE]]+Table1[[#This Row],[UNIT (BUILDING) VALUE BASIC FINISHED]]+Table1[[#This Row],[UNIT (GARDEN) VALUE]]</f>
        <v>6767725</v>
      </c>
      <c r="AT70" s="232">
        <f>Table1[[#This Row],[TOTAL CARS VALUE]]+Table1[[#This Row],[UNIT (GARDEN) VALUE]]+Table1[[#This Row],[UNIT (BUILDING) VALUE FULLY FINISHED]]</f>
        <v>7001725</v>
      </c>
      <c r="AU70" s="233">
        <f>VLOOKUP(I70,'C PHASES'!$I$108:$J$110,2,FALSE)</f>
        <v>45839</v>
      </c>
      <c r="AV70" s="233">
        <f>VLOOKUP(AA70,'C PHASES'!$I$113:$J$125,2,FALSE)</f>
        <v>45839</v>
      </c>
    </row>
    <row r="71" spans="1:48" ht="15" customHeight="1" x14ac:dyDescent="0.25">
      <c r="A71" s="235"/>
      <c r="B71" s="227" t="str">
        <f t="shared" si="12"/>
        <v>A</v>
      </c>
      <c r="C71" s="227" t="s">
        <v>21</v>
      </c>
      <c r="D71" s="227" t="s">
        <v>1148</v>
      </c>
      <c r="E71" s="228">
        <v>1</v>
      </c>
      <c r="F71" s="101">
        <v>2</v>
      </c>
      <c r="G71" s="87" t="str">
        <f t="shared" si="10"/>
        <v>A412</v>
      </c>
      <c r="H71" s="87" t="s">
        <v>1296</v>
      </c>
      <c r="I71" s="89" t="str">
        <f>VLOOKUP(C71,'PREMIUM TABLES'!$G$107:$H$149,2,FALSE)</f>
        <v>C1</v>
      </c>
      <c r="J71" s="87">
        <v>62.9</v>
      </c>
      <c r="K71" s="87">
        <v>80.316307069538809</v>
      </c>
      <c r="L71" s="87">
        <v>77</v>
      </c>
      <c r="O71" s="87" t="s">
        <v>180</v>
      </c>
      <c r="P71" s="87" t="s">
        <v>190</v>
      </c>
      <c r="Q71" s="229" t="s">
        <v>215</v>
      </c>
      <c r="R71" s="87" t="str">
        <f>VLOOKUP(E71,'PREMIUM TABLES'!$F$214:$G$219,2,FALSE)</f>
        <v>FIRST</v>
      </c>
      <c r="S71" s="87" t="str" cm="1">
        <f t="array" ref="S71">IF(AND(L71&gt;0,L71&lt;90),"A",IF(AND(L71&gt;90,L71&lt;123),"B",IF(AND(L71&gt;122,L71&lt;159),"C",IF(AND(L71&gt;159,L71&lt;185),"D",IF(AND(L71&gt;185,L71&lt;230),"E",IF(AND(L71&gt;230,L71&lt;350),"F",NONE))))))</f>
        <v>A</v>
      </c>
      <c r="T71" s="230">
        <f>VLOOKUP(O71,'PREMIUM TABLES'!$G$165:$H$172,2,FALSE)</f>
        <v>0.13</v>
      </c>
      <c r="U71" s="230">
        <f>VLOOKUP(P71,'PREMIUM TABLES'!$G$208:$H$209,2,FALSE)</f>
        <v>2.5000000000000001E-2</v>
      </c>
      <c r="V71" s="230">
        <f>VLOOKUP(Q71,'PREMIUM TABLES'!$G$175:$H$195,2,FALSE)</f>
        <v>0.2</v>
      </c>
      <c r="W71" s="230">
        <f>VLOOKUP(R71,'PREMIUM TABLES'!$G$214:$H$219,2,FALSE)</f>
        <v>7.0000000000000007E-2</v>
      </c>
      <c r="X71" s="230">
        <f>VLOOKUP(S71,'PREMIUM TABLES'!$F$199:$H$205,3,FALSE)</f>
        <v>0.05</v>
      </c>
      <c r="Y71" s="231">
        <f t="shared" si="13"/>
        <v>0.47499999999999998</v>
      </c>
      <c r="Z71" s="231" t="s">
        <v>732</v>
      </c>
      <c r="AA71" s="231" t="str">
        <f>VLOOKUP(G71,'ALL (R)'!$N$5:$R$862,5,FALSE)</f>
        <v>RH</v>
      </c>
      <c r="AB71" s="232">
        <f>VLOOKUP(AA71,FACTS!$B$2:$L$14,10,FALSE)</f>
        <v>76850</v>
      </c>
      <c r="AC71" s="232">
        <f>VLOOKUP(AA71,FACTS!$B$2:$L$14,11,FALSE)</f>
        <v>82950</v>
      </c>
      <c r="AD71" s="232">
        <f>VLOOKUP(AA71,FACTS!$B$2:$N$14,13,FALSE)</f>
        <v>6100</v>
      </c>
      <c r="AE71" s="232">
        <f t="shared" si="14"/>
        <v>2897.5</v>
      </c>
      <c r="AF71" s="232">
        <f t="shared" si="15"/>
        <v>79747.5</v>
      </c>
      <c r="AG71" s="232">
        <f>AF71*FACTS!$T$2</f>
        <v>26316.675000000003</v>
      </c>
      <c r="AH71" s="232">
        <f>Table1[[#This Row],[UNIT (BUILDING) RATE (SEMI FINISHED)]]+4500</f>
        <v>84247.5</v>
      </c>
      <c r="AI71" s="232">
        <f>Table1[[#This Row],[UNIT (BUILDING) RATE (SEMI FINISHED)]]+7500</f>
        <v>87247.5</v>
      </c>
      <c r="AJ71" s="232">
        <f t="shared" si="16"/>
        <v>6140557.5</v>
      </c>
      <c r="AK71" s="232">
        <f>Table1[[#This Row],[UNIT (BUILDING) RATE (BASIC FINISH)]]*Table1[[#This Row],[Unit Selling Area]]</f>
        <v>6487057.5</v>
      </c>
      <c r="AL71" s="232">
        <f>Table1[[#This Row],[UNIT (BUILDING) RATE (FULLY FINISH)]]*Table1[[#This Row],[Unit Selling Area]]</f>
        <v>6718057.5</v>
      </c>
      <c r="AM71" s="232">
        <f t="shared" si="17"/>
        <v>0</v>
      </c>
      <c r="AN71" s="232">
        <f>(AM71+AJ71)*FACTS!$S$2</f>
        <v>521947.38750000001</v>
      </c>
      <c r="AO71" s="101">
        <f>VLOOKUP(S71,FACTS!$A$17:$C$23,3,FALSE)</f>
        <v>1</v>
      </c>
      <c r="AP71" s="232">
        <f>VLOOKUP(AA71,FACTS!$B$2:$J$14,9,FALSE)</f>
        <v>244000</v>
      </c>
      <c r="AQ71" s="232">
        <f>Table1[[#This Row],[PARKING VALUE]]*1</f>
        <v>244000</v>
      </c>
      <c r="AR71" s="232">
        <f t="shared" si="11"/>
        <v>6384557.5</v>
      </c>
      <c r="AS71" s="440">
        <f>Table1[[#This Row],[TOTAL CARS VALUE]]+Table1[[#This Row],[UNIT (BUILDING) VALUE BASIC FINISHED]]+Table1[[#This Row],[UNIT (GARDEN) VALUE]]</f>
        <v>6731057.5</v>
      </c>
      <c r="AT71" s="232">
        <f>Table1[[#This Row],[TOTAL CARS VALUE]]+Table1[[#This Row],[UNIT (GARDEN) VALUE]]+Table1[[#This Row],[UNIT (BUILDING) VALUE FULLY FINISHED]]</f>
        <v>6962057.5</v>
      </c>
      <c r="AU71" s="233">
        <f>VLOOKUP(I71,'C PHASES'!$I$108:$J$110,2,FALSE)</f>
        <v>45839</v>
      </c>
      <c r="AV71" s="233">
        <f>VLOOKUP(AA71,'C PHASES'!$I$113:$J$125,2,FALSE)</f>
        <v>45839</v>
      </c>
    </row>
    <row r="72" spans="1:48" ht="15" customHeight="1" x14ac:dyDescent="0.25">
      <c r="A72" s="235"/>
      <c r="B72" s="227" t="str">
        <f t="shared" si="12"/>
        <v>A</v>
      </c>
      <c r="C72" s="227" t="s">
        <v>21</v>
      </c>
      <c r="D72" s="227" t="s">
        <v>1148</v>
      </c>
      <c r="E72" s="228">
        <v>1</v>
      </c>
      <c r="F72" s="101">
        <v>3</v>
      </c>
      <c r="G72" s="87" t="str">
        <f t="shared" si="10"/>
        <v>A413</v>
      </c>
      <c r="H72" s="87" t="s">
        <v>1296</v>
      </c>
      <c r="I72" s="89" t="str">
        <f>VLOOKUP(C72,'PREMIUM TABLES'!$G$107:$H$149,2,FALSE)</f>
        <v>C1</v>
      </c>
      <c r="J72" s="87">
        <v>51.02</v>
      </c>
      <c r="K72" s="87">
        <v>65.146867832875529</v>
      </c>
      <c r="L72" s="87">
        <v>63</v>
      </c>
      <c r="O72" s="87" t="s">
        <v>180</v>
      </c>
      <c r="P72" s="87" t="s">
        <v>190</v>
      </c>
      <c r="Q72" s="229" t="s">
        <v>215</v>
      </c>
      <c r="R72" s="87" t="str">
        <f>VLOOKUP(E72,'PREMIUM TABLES'!$F$214:$G$219,2,FALSE)</f>
        <v>FIRST</v>
      </c>
      <c r="S72" s="87" t="str" cm="1">
        <f t="array" ref="S72">IF(AND(L72&gt;0,L72&lt;90),"A",IF(AND(L72&gt;90,L72&lt;123),"B",IF(AND(L72&gt;122,L72&lt;159),"C",IF(AND(L72&gt;159,L72&lt;185),"D",IF(AND(L72&gt;185,L72&lt;230),"E",IF(AND(L72&gt;230,L72&lt;350),"F",NONE))))))</f>
        <v>A</v>
      </c>
      <c r="T72" s="230">
        <f>VLOOKUP(O72,'PREMIUM TABLES'!$G$165:$H$172,2,FALSE)</f>
        <v>0.13</v>
      </c>
      <c r="U72" s="230">
        <f>VLOOKUP(P72,'PREMIUM TABLES'!$G$208:$H$209,2,FALSE)</f>
        <v>2.5000000000000001E-2</v>
      </c>
      <c r="V72" s="230">
        <f>VLOOKUP(Q72,'PREMIUM TABLES'!$G$175:$H$195,2,FALSE)</f>
        <v>0.2</v>
      </c>
      <c r="W72" s="230">
        <f>VLOOKUP(R72,'PREMIUM TABLES'!$G$214:$H$219,2,FALSE)</f>
        <v>7.0000000000000007E-2</v>
      </c>
      <c r="X72" s="230">
        <f>VLOOKUP(S72,'PREMIUM TABLES'!$F$199:$H$205,3,FALSE)</f>
        <v>0.05</v>
      </c>
      <c r="Y72" s="231">
        <f t="shared" si="13"/>
        <v>0.47499999999999998</v>
      </c>
      <c r="Z72" s="231" t="s">
        <v>732</v>
      </c>
      <c r="AA72" s="231" t="str">
        <f>VLOOKUP(G72,'ALL (R)'!$N$5:$R$862,5,FALSE)</f>
        <v>RH</v>
      </c>
      <c r="AB72" s="232">
        <f>VLOOKUP(AA72,FACTS!$B$2:$L$14,10,FALSE)</f>
        <v>76850</v>
      </c>
      <c r="AC72" s="232">
        <f>VLOOKUP(AA72,FACTS!$B$2:$L$14,11,FALSE)</f>
        <v>82950</v>
      </c>
      <c r="AD72" s="232">
        <f>VLOOKUP(AA72,FACTS!$B$2:$N$14,13,FALSE)</f>
        <v>6100</v>
      </c>
      <c r="AE72" s="232">
        <f t="shared" si="14"/>
        <v>2897.5</v>
      </c>
      <c r="AF72" s="232">
        <f t="shared" si="15"/>
        <v>79747.5</v>
      </c>
      <c r="AG72" s="232">
        <f>AF72*FACTS!$T$2</f>
        <v>26316.675000000003</v>
      </c>
      <c r="AH72" s="232">
        <f>Table1[[#This Row],[UNIT (BUILDING) RATE (SEMI FINISHED)]]+4500</f>
        <v>84247.5</v>
      </c>
      <c r="AI72" s="232">
        <f>Table1[[#This Row],[UNIT (BUILDING) RATE (SEMI FINISHED)]]+7500</f>
        <v>87247.5</v>
      </c>
      <c r="AJ72" s="232">
        <f t="shared" si="16"/>
        <v>5024092.5</v>
      </c>
      <c r="AK72" s="232">
        <f>Table1[[#This Row],[UNIT (BUILDING) RATE (BASIC FINISH)]]*Table1[[#This Row],[Unit Selling Area]]</f>
        <v>5307592.5</v>
      </c>
      <c r="AL72" s="232">
        <f>Table1[[#This Row],[UNIT (BUILDING) RATE (FULLY FINISH)]]*Table1[[#This Row],[Unit Selling Area]]</f>
        <v>5496592.5</v>
      </c>
      <c r="AM72" s="232">
        <f t="shared" si="17"/>
        <v>0</v>
      </c>
      <c r="AN72" s="232">
        <f>(AM72+AJ72)*FACTS!$S$2</f>
        <v>427047.86250000005</v>
      </c>
      <c r="AO72" s="101">
        <f>VLOOKUP(S72,FACTS!$A$17:$C$23,3,FALSE)</f>
        <v>1</v>
      </c>
      <c r="AP72" s="232">
        <f>VLOOKUP(AA72,FACTS!$B$2:$J$14,9,FALSE)</f>
        <v>244000</v>
      </c>
      <c r="AQ72" s="232">
        <f>Table1[[#This Row],[PARKING VALUE]]*1</f>
        <v>244000</v>
      </c>
      <c r="AR72" s="232">
        <f t="shared" si="11"/>
        <v>5268092.5</v>
      </c>
      <c r="AS72" s="440">
        <f>Table1[[#This Row],[TOTAL CARS VALUE]]+Table1[[#This Row],[UNIT (BUILDING) VALUE BASIC FINISHED]]+Table1[[#This Row],[UNIT (GARDEN) VALUE]]</f>
        <v>5551592.5</v>
      </c>
      <c r="AT72" s="232">
        <f>Table1[[#This Row],[TOTAL CARS VALUE]]+Table1[[#This Row],[UNIT (GARDEN) VALUE]]+Table1[[#This Row],[UNIT (BUILDING) VALUE FULLY FINISHED]]</f>
        <v>5740592.5</v>
      </c>
      <c r="AU72" s="233">
        <f>VLOOKUP(I72,'C PHASES'!$I$108:$J$110,2,FALSE)</f>
        <v>45839</v>
      </c>
      <c r="AV72" s="233">
        <f>VLOOKUP(AA72,'C PHASES'!$I$113:$J$125,2,FALSE)</f>
        <v>45839</v>
      </c>
    </row>
    <row r="73" spans="1:48" ht="15" customHeight="1" x14ac:dyDescent="0.25">
      <c r="A73" s="235"/>
      <c r="B73" s="227" t="str">
        <f t="shared" si="12"/>
        <v>A</v>
      </c>
      <c r="C73" s="227" t="s">
        <v>21</v>
      </c>
      <c r="D73" s="227" t="s">
        <v>1148</v>
      </c>
      <c r="E73" s="228">
        <v>1</v>
      </c>
      <c r="F73" s="101">
        <v>4</v>
      </c>
      <c r="G73" s="87" t="str">
        <f t="shared" si="10"/>
        <v>A414</v>
      </c>
      <c r="H73" s="87" t="s">
        <v>1296</v>
      </c>
      <c r="I73" s="89" t="str">
        <f>VLOOKUP(C73,'PREMIUM TABLES'!$G$107:$H$149,2,FALSE)</f>
        <v>C1</v>
      </c>
      <c r="J73" s="87">
        <v>68.59</v>
      </c>
      <c r="K73" s="87">
        <v>87.581804481711714</v>
      </c>
      <c r="L73" s="87">
        <v>84</v>
      </c>
      <c r="O73" s="87" t="s">
        <v>180</v>
      </c>
      <c r="P73" s="87" t="s">
        <v>226</v>
      </c>
      <c r="Q73" s="229" t="s">
        <v>215</v>
      </c>
      <c r="R73" s="87" t="str">
        <f>VLOOKUP(E73,'PREMIUM TABLES'!$F$214:$G$219,2,FALSE)</f>
        <v>FIRST</v>
      </c>
      <c r="S73" s="87" t="str" cm="1">
        <f t="array" ref="S73">IF(AND(L73&gt;0,L73&lt;90),"A",IF(AND(L73&gt;90,L73&lt;123),"B",IF(AND(L73&gt;122,L73&lt;159),"C",IF(AND(L73&gt;159,L73&lt;185),"D",IF(AND(L73&gt;185,L73&lt;230),"E",IF(AND(L73&gt;230,L73&lt;350),"F",NONE))))))</f>
        <v>A</v>
      </c>
      <c r="T73" s="230">
        <f>VLOOKUP(O73,'PREMIUM TABLES'!$G$165:$H$172,2,FALSE)</f>
        <v>0.13</v>
      </c>
      <c r="U73" s="230">
        <f>VLOOKUP(P73,'PREMIUM TABLES'!$G$208:$H$209,2,FALSE)</f>
        <v>0.05</v>
      </c>
      <c r="V73" s="230">
        <f>VLOOKUP(Q73,'PREMIUM TABLES'!$G$175:$H$195,2,FALSE)</f>
        <v>0.2</v>
      </c>
      <c r="W73" s="230">
        <f>VLOOKUP(R73,'PREMIUM TABLES'!$G$214:$H$219,2,FALSE)</f>
        <v>7.0000000000000007E-2</v>
      </c>
      <c r="X73" s="230">
        <f>VLOOKUP(S73,'PREMIUM TABLES'!$F$199:$H$205,3,FALSE)</f>
        <v>0.05</v>
      </c>
      <c r="Y73" s="231">
        <f t="shared" si="13"/>
        <v>0.5</v>
      </c>
      <c r="Z73" s="231" t="s">
        <v>732</v>
      </c>
      <c r="AA73" s="231" t="str">
        <f>VLOOKUP(G73,'ALL (R)'!$N$5:$R$862,5,FALSE)</f>
        <v>RH</v>
      </c>
      <c r="AB73" s="232">
        <f>VLOOKUP(AA73,FACTS!$B$2:$L$14,10,FALSE)</f>
        <v>76850</v>
      </c>
      <c r="AC73" s="232">
        <f>VLOOKUP(AA73,FACTS!$B$2:$L$14,11,FALSE)</f>
        <v>82950</v>
      </c>
      <c r="AD73" s="232">
        <f>VLOOKUP(AA73,FACTS!$B$2:$N$14,13,FALSE)</f>
        <v>6100</v>
      </c>
      <c r="AE73" s="232">
        <f t="shared" si="14"/>
        <v>3050</v>
      </c>
      <c r="AF73" s="232">
        <f t="shared" si="15"/>
        <v>79900</v>
      </c>
      <c r="AG73" s="232">
        <f>AF73*FACTS!$T$2</f>
        <v>26367</v>
      </c>
      <c r="AH73" s="232">
        <f>Table1[[#This Row],[UNIT (BUILDING) RATE (SEMI FINISHED)]]+4500</f>
        <v>84400</v>
      </c>
      <c r="AI73" s="232">
        <f>Table1[[#This Row],[UNIT (BUILDING) RATE (SEMI FINISHED)]]+7500</f>
        <v>87400</v>
      </c>
      <c r="AJ73" s="232">
        <f t="shared" si="16"/>
        <v>6711600</v>
      </c>
      <c r="AK73" s="232">
        <f>Table1[[#This Row],[UNIT (BUILDING) RATE (BASIC FINISH)]]*Table1[[#This Row],[Unit Selling Area]]</f>
        <v>7089600</v>
      </c>
      <c r="AL73" s="232">
        <f>Table1[[#This Row],[UNIT (BUILDING) RATE (FULLY FINISH)]]*Table1[[#This Row],[Unit Selling Area]]</f>
        <v>7341600</v>
      </c>
      <c r="AM73" s="232">
        <f t="shared" si="17"/>
        <v>0</v>
      </c>
      <c r="AN73" s="232">
        <f>(AM73+AJ73)*FACTS!$S$2</f>
        <v>570486</v>
      </c>
      <c r="AO73" s="101">
        <f>VLOOKUP(S73,FACTS!$A$17:$C$23,3,FALSE)</f>
        <v>1</v>
      </c>
      <c r="AP73" s="232">
        <f>VLOOKUP(AA73,FACTS!$B$2:$J$14,9,FALSE)</f>
        <v>244000</v>
      </c>
      <c r="AQ73" s="232">
        <f>Table1[[#This Row],[PARKING VALUE]]*1</f>
        <v>244000</v>
      </c>
      <c r="AR73" s="232">
        <f t="shared" si="11"/>
        <v>6955600</v>
      </c>
      <c r="AS73" s="440">
        <f>Table1[[#This Row],[TOTAL CARS VALUE]]+Table1[[#This Row],[UNIT (BUILDING) VALUE BASIC FINISHED]]+Table1[[#This Row],[UNIT (GARDEN) VALUE]]</f>
        <v>7333600</v>
      </c>
      <c r="AT73" s="232">
        <f>Table1[[#This Row],[TOTAL CARS VALUE]]+Table1[[#This Row],[UNIT (GARDEN) VALUE]]+Table1[[#This Row],[UNIT (BUILDING) VALUE FULLY FINISHED]]</f>
        <v>7585600</v>
      </c>
      <c r="AU73" s="233">
        <f>VLOOKUP(I73,'C PHASES'!$I$108:$J$110,2,FALSE)</f>
        <v>45839</v>
      </c>
      <c r="AV73" s="233">
        <f>VLOOKUP(AA73,'C PHASES'!$I$113:$J$125,2,FALSE)</f>
        <v>45839</v>
      </c>
    </row>
    <row r="74" spans="1:48" ht="15" customHeight="1" x14ac:dyDescent="0.25">
      <c r="A74" s="235"/>
      <c r="B74" s="227" t="str">
        <f t="shared" si="12"/>
        <v>A</v>
      </c>
      <c r="C74" s="227" t="s">
        <v>21</v>
      </c>
      <c r="D74" s="227" t="s">
        <v>1148</v>
      </c>
      <c r="E74" s="228">
        <v>1</v>
      </c>
      <c r="F74" s="101">
        <v>5</v>
      </c>
      <c r="G74" s="87" t="str">
        <f t="shared" si="10"/>
        <v>A415</v>
      </c>
      <c r="H74" s="87" t="s">
        <v>1296</v>
      </c>
      <c r="I74" s="89" t="str">
        <f>VLOOKUP(C74,'PREMIUM TABLES'!$G$107:$H$149,2,FALSE)</f>
        <v>C1</v>
      </c>
      <c r="J74" s="87">
        <v>69.17</v>
      </c>
      <c r="K74" s="87">
        <v>88.322399999999988</v>
      </c>
      <c r="L74" s="87">
        <v>85</v>
      </c>
      <c r="O74" s="87" t="s">
        <v>187</v>
      </c>
      <c r="P74" s="87" t="s">
        <v>226</v>
      </c>
      <c r="Q74" s="229" t="s">
        <v>195</v>
      </c>
      <c r="R74" s="87" t="str">
        <f>VLOOKUP(E74,'PREMIUM TABLES'!$F$214:$G$219,2,FALSE)</f>
        <v>FIRST</v>
      </c>
      <c r="S74" s="87" t="str" cm="1">
        <f t="array" ref="S74">IF(AND(L74&gt;0,L74&lt;90),"A",IF(AND(L74&gt;90,L74&lt;123),"B",IF(AND(L74&gt;122,L74&lt;159),"C",IF(AND(L74&gt;159,L74&lt;185),"D",IF(AND(L74&gt;185,L74&lt;230),"E",IF(AND(L74&gt;230,L74&lt;350),"F",NONE))))))</f>
        <v>A</v>
      </c>
      <c r="T74" s="230">
        <f>VLOOKUP(O74,'PREMIUM TABLES'!$G$165:$H$172,2,FALSE)</f>
        <v>0.08</v>
      </c>
      <c r="U74" s="230">
        <f>VLOOKUP(P74,'PREMIUM TABLES'!$G$208:$H$209,2,FALSE)</f>
        <v>0.05</v>
      </c>
      <c r="V74" s="230">
        <f>VLOOKUP(Q74,'PREMIUM TABLES'!$G$175:$H$195,2,FALSE)</f>
        <v>0.25</v>
      </c>
      <c r="W74" s="230">
        <f>VLOOKUP(R74,'PREMIUM TABLES'!$G$214:$H$219,2,FALSE)</f>
        <v>7.0000000000000007E-2</v>
      </c>
      <c r="X74" s="230">
        <f>VLOOKUP(S74,'PREMIUM TABLES'!$F$199:$H$205,3,FALSE)</f>
        <v>0.05</v>
      </c>
      <c r="Y74" s="231">
        <f t="shared" si="13"/>
        <v>0.5</v>
      </c>
      <c r="Z74" s="231" t="s">
        <v>732</v>
      </c>
      <c r="AA74" s="231" t="str">
        <f>VLOOKUP(G74,'ALL (R)'!$N$5:$R$862,5,FALSE)</f>
        <v>RH</v>
      </c>
      <c r="AB74" s="232">
        <f>VLOOKUP(AA74,FACTS!$B$2:$L$14,10,FALSE)</f>
        <v>76850</v>
      </c>
      <c r="AC74" s="232">
        <f>VLOOKUP(AA74,FACTS!$B$2:$L$14,11,FALSE)</f>
        <v>82950</v>
      </c>
      <c r="AD74" s="232">
        <f>VLOOKUP(AA74,FACTS!$B$2:$N$14,13,FALSE)</f>
        <v>6100</v>
      </c>
      <c r="AE74" s="232">
        <f t="shared" si="14"/>
        <v>3050</v>
      </c>
      <c r="AF74" s="232">
        <f t="shared" si="15"/>
        <v>79900</v>
      </c>
      <c r="AG74" s="232">
        <f>AF74*FACTS!$T$2</f>
        <v>26367</v>
      </c>
      <c r="AH74" s="232">
        <f>Table1[[#This Row],[UNIT (BUILDING) RATE (SEMI FINISHED)]]+4500</f>
        <v>84400</v>
      </c>
      <c r="AI74" s="232">
        <f>Table1[[#This Row],[UNIT (BUILDING) RATE (SEMI FINISHED)]]+7500</f>
        <v>87400</v>
      </c>
      <c r="AJ74" s="232">
        <f t="shared" si="16"/>
        <v>6791500</v>
      </c>
      <c r="AK74" s="232">
        <f>Table1[[#This Row],[UNIT (BUILDING) RATE (BASIC FINISH)]]*Table1[[#This Row],[Unit Selling Area]]</f>
        <v>7174000</v>
      </c>
      <c r="AL74" s="232">
        <f>Table1[[#This Row],[UNIT (BUILDING) RATE (FULLY FINISH)]]*Table1[[#This Row],[Unit Selling Area]]</f>
        <v>7429000</v>
      </c>
      <c r="AM74" s="232">
        <f t="shared" si="17"/>
        <v>0</v>
      </c>
      <c r="AN74" s="232">
        <f>(AM74+AJ74)*FACTS!$S$2</f>
        <v>577277.5</v>
      </c>
      <c r="AO74" s="101">
        <f>VLOOKUP(S74,FACTS!$A$17:$C$23,3,FALSE)</f>
        <v>1</v>
      </c>
      <c r="AP74" s="232">
        <f>VLOOKUP(AA74,FACTS!$B$2:$J$14,9,FALSE)</f>
        <v>244000</v>
      </c>
      <c r="AQ74" s="232">
        <f>Table1[[#This Row],[PARKING VALUE]]*1</f>
        <v>244000</v>
      </c>
      <c r="AR74" s="232">
        <f t="shared" si="11"/>
        <v>7035500</v>
      </c>
      <c r="AS74" s="440">
        <f>Table1[[#This Row],[TOTAL CARS VALUE]]+Table1[[#This Row],[UNIT (BUILDING) VALUE BASIC FINISHED]]+Table1[[#This Row],[UNIT (GARDEN) VALUE]]</f>
        <v>7418000</v>
      </c>
      <c r="AT74" s="232">
        <f>Table1[[#This Row],[TOTAL CARS VALUE]]+Table1[[#This Row],[UNIT (GARDEN) VALUE]]+Table1[[#This Row],[UNIT (BUILDING) VALUE FULLY FINISHED]]</f>
        <v>7673000</v>
      </c>
      <c r="AU74" s="233">
        <f>VLOOKUP(I74,'C PHASES'!$I$108:$J$110,2,FALSE)</f>
        <v>45839</v>
      </c>
      <c r="AV74" s="233">
        <f>VLOOKUP(AA74,'C PHASES'!$I$113:$J$125,2,FALSE)</f>
        <v>45839</v>
      </c>
    </row>
    <row r="75" spans="1:48" ht="15" customHeight="1" x14ac:dyDescent="0.25">
      <c r="A75" s="235"/>
      <c r="B75" s="227" t="str">
        <f t="shared" si="12"/>
        <v>A</v>
      </c>
      <c r="C75" s="227" t="s">
        <v>21</v>
      </c>
      <c r="D75" s="227" t="s">
        <v>1148</v>
      </c>
      <c r="E75" s="228">
        <v>2</v>
      </c>
      <c r="F75" s="101">
        <v>1</v>
      </c>
      <c r="G75" s="87" t="str">
        <f t="shared" si="10"/>
        <v>A421</v>
      </c>
      <c r="H75" s="87" t="s">
        <v>1296</v>
      </c>
      <c r="I75" s="89" t="str">
        <f>VLOOKUP(C75,'PREMIUM TABLES'!$G$107:$H$149,2,FALSE)</f>
        <v>C1</v>
      </c>
      <c r="J75" s="87">
        <v>63.16</v>
      </c>
      <c r="K75" s="87">
        <v>80.648298163943892</v>
      </c>
      <c r="L75" s="87">
        <v>78</v>
      </c>
      <c r="O75" s="87" t="s">
        <v>187</v>
      </c>
      <c r="P75" s="87" t="s">
        <v>190</v>
      </c>
      <c r="Q75" s="229" t="s">
        <v>198</v>
      </c>
      <c r="R75" s="87" t="str">
        <f>VLOOKUP(E75,'PREMIUM TABLES'!$F$214:$G$219,2,FALSE)</f>
        <v>SECOND</v>
      </c>
      <c r="S75" s="87" t="str" cm="1">
        <f t="array" ref="S75">IF(AND(L75&gt;0,L75&lt;90),"A",IF(AND(L75&gt;90,L75&lt;123),"B",IF(AND(L75&gt;122,L75&lt;159),"C",IF(AND(L75&gt;159,L75&lt;185),"D",IF(AND(L75&gt;185,L75&lt;230),"E",IF(AND(L75&gt;230,L75&lt;350),"F",NONE))))))</f>
        <v>A</v>
      </c>
      <c r="T75" s="230">
        <f>VLOOKUP(O75,'PREMIUM TABLES'!$G$165:$H$172,2,FALSE)</f>
        <v>0.08</v>
      </c>
      <c r="U75" s="230">
        <f>VLOOKUP(P75,'PREMIUM TABLES'!$G$208:$H$209,2,FALSE)</f>
        <v>2.5000000000000001E-2</v>
      </c>
      <c r="V75" s="230">
        <f>VLOOKUP(Q75,'PREMIUM TABLES'!$G$175:$H$195,2,FALSE)</f>
        <v>0.15</v>
      </c>
      <c r="W75" s="230">
        <f>VLOOKUP(R75,'PREMIUM TABLES'!$G$214:$H$219,2,FALSE)</f>
        <v>0.11</v>
      </c>
      <c r="X75" s="230">
        <f>VLOOKUP(S75,'PREMIUM TABLES'!$F$199:$H$205,3,FALSE)</f>
        <v>0.05</v>
      </c>
      <c r="Y75" s="231">
        <f t="shared" si="13"/>
        <v>0.41499999999999998</v>
      </c>
      <c r="Z75" s="231" t="s">
        <v>732</v>
      </c>
      <c r="AA75" s="231" t="str">
        <f>VLOOKUP(G75,'ALL (R)'!$N$5:$R$862,5,FALSE)</f>
        <v>RH</v>
      </c>
      <c r="AB75" s="232">
        <f>VLOOKUP(AA75,FACTS!$B$2:$L$14,10,FALSE)</f>
        <v>76850</v>
      </c>
      <c r="AC75" s="232">
        <f>VLOOKUP(AA75,FACTS!$B$2:$L$14,11,FALSE)</f>
        <v>82950</v>
      </c>
      <c r="AD75" s="232">
        <f>VLOOKUP(AA75,FACTS!$B$2:$N$14,13,FALSE)</f>
        <v>6100</v>
      </c>
      <c r="AE75" s="232">
        <f t="shared" si="14"/>
        <v>2531.5</v>
      </c>
      <c r="AF75" s="232">
        <f t="shared" si="15"/>
        <v>79381.5</v>
      </c>
      <c r="AG75" s="232">
        <f>AF75*FACTS!$T$2</f>
        <v>26195.895</v>
      </c>
      <c r="AH75" s="232">
        <f>Table1[[#This Row],[UNIT (BUILDING) RATE (SEMI FINISHED)]]+4500</f>
        <v>83881.5</v>
      </c>
      <c r="AI75" s="232">
        <f>Table1[[#This Row],[UNIT (BUILDING) RATE (SEMI FINISHED)]]+7500</f>
        <v>86881.5</v>
      </c>
      <c r="AJ75" s="232">
        <f t="shared" si="16"/>
        <v>6191757</v>
      </c>
      <c r="AK75" s="232">
        <f>Table1[[#This Row],[UNIT (BUILDING) RATE (BASIC FINISH)]]*Table1[[#This Row],[Unit Selling Area]]</f>
        <v>6542757</v>
      </c>
      <c r="AL75" s="232">
        <f>Table1[[#This Row],[UNIT (BUILDING) RATE (FULLY FINISH)]]*Table1[[#This Row],[Unit Selling Area]]</f>
        <v>6776757</v>
      </c>
      <c r="AM75" s="232">
        <f t="shared" si="17"/>
        <v>0</v>
      </c>
      <c r="AN75" s="232">
        <f>(AM75+AJ75)*FACTS!$S$2</f>
        <v>526299.34500000009</v>
      </c>
      <c r="AO75" s="101">
        <f>VLOOKUP(S75,FACTS!$A$17:$C$23,3,FALSE)</f>
        <v>1</v>
      </c>
      <c r="AP75" s="232">
        <f>VLOOKUP(AA75,FACTS!$B$2:$J$14,9,FALSE)</f>
        <v>244000</v>
      </c>
      <c r="AQ75" s="232">
        <f>Table1[[#This Row],[PARKING VALUE]]*1</f>
        <v>244000</v>
      </c>
      <c r="AR75" s="232">
        <f t="shared" si="11"/>
        <v>6435757</v>
      </c>
      <c r="AS75" s="440">
        <f>Table1[[#This Row],[TOTAL CARS VALUE]]+Table1[[#This Row],[UNIT (BUILDING) VALUE BASIC FINISHED]]+Table1[[#This Row],[UNIT (GARDEN) VALUE]]</f>
        <v>6786757</v>
      </c>
      <c r="AT75" s="232">
        <f>Table1[[#This Row],[TOTAL CARS VALUE]]+Table1[[#This Row],[UNIT (GARDEN) VALUE]]+Table1[[#This Row],[UNIT (BUILDING) VALUE FULLY FINISHED]]</f>
        <v>7020757</v>
      </c>
      <c r="AU75" s="233">
        <f>VLOOKUP(I75,'C PHASES'!$I$108:$J$110,2,FALSE)</f>
        <v>45839</v>
      </c>
      <c r="AV75" s="233">
        <f>VLOOKUP(AA75,'C PHASES'!$I$113:$J$125,2,FALSE)</f>
        <v>45839</v>
      </c>
    </row>
    <row r="76" spans="1:48" ht="15" customHeight="1" x14ac:dyDescent="0.25">
      <c r="A76" s="235"/>
      <c r="B76" s="227" t="str">
        <f t="shared" si="12"/>
        <v>A</v>
      </c>
      <c r="C76" s="227" t="s">
        <v>21</v>
      </c>
      <c r="D76" s="227" t="s">
        <v>1148</v>
      </c>
      <c r="E76" s="228">
        <v>2</v>
      </c>
      <c r="F76" s="101">
        <v>2</v>
      </c>
      <c r="G76" s="87" t="str">
        <f t="shared" si="10"/>
        <v>A422</v>
      </c>
      <c r="H76" s="87" t="s">
        <v>1296</v>
      </c>
      <c r="I76" s="89" t="str">
        <f>VLOOKUP(C76,'PREMIUM TABLES'!$G$107:$H$149,2,FALSE)</f>
        <v>C1</v>
      </c>
      <c r="J76" s="87">
        <v>63.11</v>
      </c>
      <c r="K76" s="87">
        <v>80.584453722712155</v>
      </c>
      <c r="L76" s="87">
        <v>78</v>
      </c>
      <c r="O76" s="87" t="s">
        <v>180</v>
      </c>
      <c r="P76" s="87" t="s">
        <v>190</v>
      </c>
      <c r="Q76" s="229" t="s">
        <v>215</v>
      </c>
      <c r="R76" s="87" t="str">
        <f>VLOOKUP(E76,'PREMIUM TABLES'!$F$214:$G$219,2,FALSE)</f>
        <v>SECOND</v>
      </c>
      <c r="S76" s="87" t="str" cm="1">
        <f t="array" ref="S76">IF(AND(L76&gt;0,L76&lt;90),"A",IF(AND(L76&gt;90,L76&lt;123),"B",IF(AND(L76&gt;122,L76&lt;159),"C",IF(AND(L76&gt;159,L76&lt;185),"D",IF(AND(L76&gt;185,L76&lt;230),"E",IF(AND(L76&gt;230,L76&lt;350),"F",NONE))))))</f>
        <v>A</v>
      </c>
      <c r="T76" s="230">
        <f>VLOOKUP(O76,'PREMIUM TABLES'!$G$165:$H$172,2,FALSE)</f>
        <v>0.13</v>
      </c>
      <c r="U76" s="230">
        <f>VLOOKUP(P76,'PREMIUM TABLES'!$G$208:$H$209,2,FALSE)</f>
        <v>2.5000000000000001E-2</v>
      </c>
      <c r="V76" s="230">
        <f>VLOOKUP(Q76,'PREMIUM TABLES'!$G$175:$H$195,2,FALSE)</f>
        <v>0.2</v>
      </c>
      <c r="W76" s="230">
        <f>VLOOKUP(R76,'PREMIUM TABLES'!$G$214:$H$219,2,FALSE)</f>
        <v>0.11</v>
      </c>
      <c r="X76" s="230">
        <f>VLOOKUP(S76,'PREMIUM TABLES'!$F$199:$H$205,3,FALSE)</f>
        <v>0.05</v>
      </c>
      <c r="Y76" s="231">
        <f t="shared" si="13"/>
        <v>0.51500000000000001</v>
      </c>
      <c r="Z76" s="231" t="s">
        <v>732</v>
      </c>
      <c r="AA76" s="231" t="str">
        <f>VLOOKUP(G76,'ALL (R)'!$N$5:$R$862,5,FALSE)</f>
        <v>RH</v>
      </c>
      <c r="AB76" s="232">
        <f>VLOOKUP(AA76,FACTS!$B$2:$L$14,10,FALSE)</f>
        <v>76850</v>
      </c>
      <c r="AC76" s="232">
        <f>VLOOKUP(AA76,FACTS!$B$2:$L$14,11,FALSE)</f>
        <v>82950</v>
      </c>
      <c r="AD76" s="232">
        <f>VLOOKUP(AA76,FACTS!$B$2:$N$14,13,FALSE)</f>
        <v>6100</v>
      </c>
      <c r="AE76" s="232">
        <f t="shared" si="14"/>
        <v>3141.5</v>
      </c>
      <c r="AF76" s="232">
        <f t="shared" si="15"/>
        <v>79991.5</v>
      </c>
      <c r="AG76" s="232">
        <f>AF76*FACTS!$T$2</f>
        <v>26397.195</v>
      </c>
      <c r="AH76" s="232">
        <f>Table1[[#This Row],[UNIT (BUILDING) RATE (SEMI FINISHED)]]+4500</f>
        <v>84491.5</v>
      </c>
      <c r="AI76" s="232">
        <f>Table1[[#This Row],[UNIT (BUILDING) RATE (SEMI FINISHED)]]+7500</f>
        <v>87491.5</v>
      </c>
      <c r="AJ76" s="232">
        <f t="shared" si="16"/>
        <v>6239337</v>
      </c>
      <c r="AK76" s="232">
        <f>Table1[[#This Row],[UNIT (BUILDING) RATE (BASIC FINISH)]]*Table1[[#This Row],[Unit Selling Area]]</f>
        <v>6590337</v>
      </c>
      <c r="AL76" s="232">
        <f>Table1[[#This Row],[UNIT (BUILDING) RATE (FULLY FINISH)]]*Table1[[#This Row],[Unit Selling Area]]</f>
        <v>6824337</v>
      </c>
      <c r="AM76" s="232">
        <f t="shared" si="17"/>
        <v>0</v>
      </c>
      <c r="AN76" s="232">
        <f>(AM76+AJ76)*FACTS!$S$2</f>
        <v>530343.64500000002</v>
      </c>
      <c r="AO76" s="101">
        <f>VLOOKUP(S76,FACTS!$A$17:$C$23,3,FALSE)</f>
        <v>1</v>
      </c>
      <c r="AP76" s="232">
        <f>VLOOKUP(AA76,FACTS!$B$2:$J$14,9,FALSE)</f>
        <v>244000</v>
      </c>
      <c r="AQ76" s="232">
        <f>Table1[[#This Row],[PARKING VALUE]]*1</f>
        <v>244000</v>
      </c>
      <c r="AR76" s="232">
        <f t="shared" si="11"/>
        <v>6483337</v>
      </c>
      <c r="AS76" s="440">
        <f>Table1[[#This Row],[TOTAL CARS VALUE]]+Table1[[#This Row],[UNIT (BUILDING) VALUE BASIC FINISHED]]+Table1[[#This Row],[UNIT (GARDEN) VALUE]]</f>
        <v>6834337</v>
      </c>
      <c r="AT76" s="232">
        <f>Table1[[#This Row],[TOTAL CARS VALUE]]+Table1[[#This Row],[UNIT (GARDEN) VALUE]]+Table1[[#This Row],[UNIT (BUILDING) VALUE FULLY FINISHED]]</f>
        <v>7068337</v>
      </c>
      <c r="AU76" s="233">
        <f>VLOOKUP(I76,'C PHASES'!$I$108:$J$110,2,FALSE)</f>
        <v>45839</v>
      </c>
      <c r="AV76" s="233">
        <f>VLOOKUP(AA76,'C PHASES'!$I$113:$J$125,2,FALSE)</f>
        <v>45839</v>
      </c>
    </row>
    <row r="77" spans="1:48" ht="15" customHeight="1" x14ac:dyDescent="0.25">
      <c r="A77" s="235"/>
      <c r="B77" s="227" t="str">
        <f t="shared" si="12"/>
        <v>A</v>
      </c>
      <c r="C77" s="227" t="s">
        <v>21</v>
      </c>
      <c r="D77" s="227" t="s">
        <v>1148</v>
      </c>
      <c r="E77" s="228">
        <v>2</v>
      </c>
      <c r="F77" s="101">
        <v>3</v>
      </c>
      <c r="G77" s="87" t="str">
        <f t="shared" si="10"/>
        <v>A423</v>
      </c>
      <c r="H77" s="87" t="s">
        <v>1296</v>
      </c>
      <c r="I77" s="89" t="str">
        <f>VLOOKUP(C77,'PREMIUM TABLES'!$G$107:$H$149,2,FALSE)</f>
        <v>C1</v>
      </c>
      <c r="J77" s="87">
        <v>51.48</v>
      </c>
      <c r="K77" s="87">
        <v>65.734236692207588</v>
      </c>
      <c r="L77" s="87">
        <v>63</v>
      </c>
      <c r="O77" s="87" t="s">
        <v>180</v>
      </c>
      <c r="P77" s="87" t="s">
        <v>190</v>
      </c>
      <c r="Q77" s="229" t="s">
        <v>215</v>
      </c>
      <c r="R77" s="87" t="str">
        <f>VLOOKUP(E77,'PREMIUM TABLES'!$F$214:$G$219,2,FALSE)</f>
        <v>SECOND</v>
      </c>
      <c r="S77" s="87" t="str" cm="1">
        <f t="array" ref="S77">IF(AND(L77&gt;0,L77&lt;90),"A",IF(AND(L77&gt;90,L77&lt;123),"B",IF(AND(L77&gt;122,L77&lt;159),"C",IF(AND(L77&gt;159,L77&lt;185),"D",IF(AND(L77&gt;185,L77&lt;230),"E",IF(AND(L77&gt;230,L77&lt;350),"F",NONE))))))</f>
        <v>A</v>
      </c>
      <c r="T77" s="230">
        <f>VLOOKUP(O77,'PREMIUM TABLES'!$G$165:$H$172,2,FALSE)</f>
        <v>0.13</v>
      </c>
      <c r="U77" s="230">
        <f>VLOOKUP(P77,'PREMIUM TABLES'!$G$208:$H$209,2,FALSE)</f>
        <v>2.5000000000000001E-2</v>
      </c>
      <c r="V77" s="230">
        <f>VLOOKUP(Q77,'PREMIUM TABLES'!$G$175:$H$195,2,FALSE)</f>
        <v>0.2</v>
      </c>
      <c r="W77" s="230">
        <f>VLOOKUP(R77,'PREMIUM TABLES'!$G$214:$H$219,2,FALSE)</f>
        <v>0.11</v>
      </c>
      <c r="X77" s="230">
        <f>VLOOKUP(S77,'PREMIUM TABLES'!$F$199:$H$205,3,FALSE)</f>
        <v>0.05</v>
      </c>
      <c r="Y77" s="231">
        <f t="shared" si="13"/>
        <v>0.51500000000000001</v>
      </c>
      <c r="Z77" s="231" t="s">
        <v>732</v>
      </c>
      <c r="AA77" s="231" t="str">
        <f>VLOOKUP(G77,'ALL (R)'!$N$5:$R$862,5,FALSE)</f>
        <v>RH</v>
      </c>
      <c r="AB77" s="232">
        <f>VLOOKUP(AA77,FACTS!$B$2:$L$14,10,FALSE)</f>
        <v>76850</v>
      </c>
      <c r="AC77" s="232">
        <f>VLOOKUP(AA77,FACTS!$B$2:$L$14,11,FALSE)</f>
        <v>82950</v>
      </c>
      <c r="AD77" s="232">
        <f>VLOOKUP(AA77,FACTS!$B$2:$N$14,13,FALSE)</f>
        <v>6100</v>
      </c>
      <c r="AE77" s="232">
        <f t="shared" si="14"/>
        <v>3141.5</v>
      </c>
      <c r="AF77" s="232">
        <f t="shared" si="15"/>
        <v>79991.5</v>
      </c>
      <c r="AG77" s="232">
        <f>AF77*FACTS!$T$2</f>
        <v>26397.195</v>
      </c>
      <c r="AH77" s="232">
        <f>Table1[[#This Row],[UNIT (BUILDING) RATE (SEMI FINISHED)]]+4500</f>
        <v>84491.5</v>
      </c>
      <c r="AI77" s="232">
        <f>Table1[[#This Row],[UNIT (BUILDING) RATE (SEMI FINISHED)]]+7500</f>
        <v>87491.5</v>
      </c>
      <c r="AJ77" s="232">
        <f t="shared" si="16"/>
        <v>5039464.5</v>
      </c>
      <c r="AK77" s="232">
        <f>Table1[[#This Row],[UNIT (BUILDING) RATE (BASIC FINISH)]]*Table1[[#This Row],[Unit Selling Area]]</f>
        <v>5322964.5</v>
      </c>
      <c r="AL77" s="232">
        <f>Table1[[#This Row],[UNIT (BUILDING) RATE (FULLY FINISH)]]*Table1[[#This Row],[Unit Selling Area]]</f>
        <v>5511964.5</v>
      </c>
      <c r="AM77" s="232">
        <f t="shared" si="17"/>
        <v>0</v>
      </c>
      <c r="AN77" s="232">
        <f>(AM77+AJ77)*FACTS!$S$2</f>
        <v>428354.48250000004</v>
      </c>
      <c r="AO77" s="101">
        <f>VLOOKUP(S77,FACTS!$A$17:$C$23,3,FALSE)</f>
        <v>1</v>
      </c>
      <c r="AP77" s="232">
        <f>VLOOKUP(AA77,FACTS!$B$2:$J$14,9,FALSE)</f>
        <v>244000</v>
      </c>
      <c r="AQ77" s="232">
        <f>Table1[[#This Row],[PARKING VALUE]]*1</f>
        <v>244000</v>
      </c>
      <c r="AR77" s="232">
        <f t="shared" si="11"/>
        <v>5283464.5</v>
      </c>
      <c r="AS77" s="440">
        <f>Table1[[#This Row],[TOTAL CARS VALUE]]+Table1[[#This Row],[UNIT (BUILDING) VALUE BASIC FINISHED]]+Table1[[#This Row],[UNIT (GARDEN) VALUE]]</f>
        <v>5566964.5</v>
      </c>
      <c r="AT77" s="232">
        <f>Table1[[#This Row],[TOTAL CARS VALUE]]+Table1[[#This Row],[UNIT (GARDEN) VALUE]]+Table1[[#This Row],[UNIT (BUILDING) VALUE FULLY FINISHED]]</f>
        <v>5755964.5</v>
      </c>
      <c r="AU77" s="233">
        <f>VLOOKUP(I77,'C PHASES'!$I$108:$J$110,2,FALSE)</f>
        <v>45839</v>
      </c>
      <c r="AV77" s="233">
        <f>VLOOKUP(AA77,'C PHASES'!$I$113:$J$125,2,FALSE)</f>
        <v>45839</v>
      </c>
    </row>
    <row r="78" spans="1:48" ht="15" customHeight="1" x14ac:dyDescent="0.25">
      <c r="A78" s="235"/>
      <c r="B78" s="227" t="str">
        <f t="shared" si="12"/>
        <v>A</v>
      </c>
      <c r="C78" s="227" t="s">
        <v>21</v>
      </c>
      <c r="D78" s="227" t="s">
        <v>1148</v>
      </c>
      <c r="E78" s="228">
        <v>2</v>
      </c>
      <c r="F78" s="101">
        <v>4</v>
      </c>
      <c r="G78" s="87" t="str">
        <f t="shared" si="10"/>
        <v>A424</v>
      </c>
      <c r="H78" s="87" t="s">
        <v>1296</v>
      </c>
      <c r="I78" s="89" t="str">
        <f>VLOOKUP(C78,'PREMIUM TABLES'!$G$107:$H$149,2,FALSE)</f>
        <v>C1</v>
      </c>
      <c r="J78" s="87">
        <v>68.89</v>
      </c>
      <c r="K78" s="87">
        <v>87.964871129102207</v>
      </c>
      <c r="L78" s="87">
        <v>85</v>
      </c>
      <c r="O78" s="87" t="s">
        <v>180</v>
      </c>
      <c r="P78" s="87" t="s">
        <v>226</v>
      </c>
      <c r="Q78" s="229" t="s">
        <v>215</v>
      </c>
      <c r="R78" s="87" t="str">
        <f>VLOOKUP(E78,'PREMIUM TABLES'!$F$214:$G$219,2,FALSE)</f>
        <v>SECOND</v>
      </c>
      <c r="S78" s="87" t="str" cm="1">
        <f t="array" ref="S78">IF(AND(L78&gt;0,L78&lt;90),"A",IF(AND(L78&gt;90,L78&lt;123),"B",IF(AND(L78&gt;122,L78&lt;159),"C",IF(AND(L78&gt;159,L78&lt;185),"D",IF(AND(L78&gt;185,L78&lt;230),"E",IF(AND(L78&gt;230,L78&lt;350),"F",NONE))))))</f>
        <v>A</v>
      </c>
      <c r="T78" s="230">
        <f>VLOOKUP(O78,'PREMIUM TABLES'!$G$165:$H$172,2,FALSE)</f>
        <v>0.13</v>
      </c>
      <c r="U78" s="230">
        <f>VLOOKUP(P78,'PREMIUM TABLES'!$G$208:$H$209,2,FALSE)</f>
        <v>0.05</v>
      </c>
      <c r="V78" s="230">
        <f>VLOOKUP(Q78,'PREMIUM TABLES'!$G$175:$H$195,2,FALSE)</f>
        <v>0.2</v>
      </c>
      <c r="W78" s="230">
        <f>VLOOKUP(R78,'PREMIUM TABLES'!$G$214:$H$219,2,FALSE)</f>
        <v>0.11</v>
      </c>
      <c r="X78" s="230">
        <f>VLOOKUP(S78,'PREMIUM TABLES'!$F$199:$H$205,3,FALSE)</f>
        <v>0.05</v>
      </c>
      <c r="Y78" s="231">
        <f t="shared" si="13"/>
        <v>0.54</v>
      </c>
      <c r="Z78" s="231" t="s">
        <v>732</v>
      </c>
      <c r="AA78" s="231" t="str">
        <f>VLOOKUP(G78,'ALL (R)'!$N$5:$R$862,5,FALSE)</f>
        <v>RH</v>
      </c>
      <c r="AB78" s="232">
        <f>VLOOKUP(AA78,FACTS!$B$2:$L$14,10,FALSE)</f>
        <v>76850</v>
      </c>
      <c r="AC78" s="232">
        <f>VLOOKUP(AA78,FACTS!$B$2:$L$14,11,FALSE)</f>
        <v>82950</v>
      </c>
      <c r="AD78" s="232">
        <f>VLOOKUP(AA78,FACTS!$B$2:$N$14,13,FALSE)</f>
        <v>6100</v>
      </c>
      <c r="AE78" s="232">
        <f t="shared" si="14"/>
        <v>3294</v>
      </c>
      <c r="AF78" s="232">
        <f t="shared" si="15"/>
        <v>80144</v>
      </c>
      <c r="AG78" s="232">
        <f>AF78*FACTS!$T$2</f>
        <v>26447.52</v>
      </c>
      <c r="AH78" s="232">
        <f>Table1[[#This Row],[UNIT (BUILDING) RATE (SEMI FINISHED)]]+4500</f>
        <v>84644</v>
      </c>
      <c r="AI78" s="232">
        <f>Table1[[#This Row],[UNIT (BUILDING) RATE (SEMI FINISHED)]]+7500</f>
        <v>87644</v>
      </c>
      <c r="AJ78" s="232">
        <f t="shared" si="16"/>
        <v>6812240</v>
      </c>
      <c r="AK78" s="232">
        <f>Table1[[#This Row],[UNIT (BUILDING) RATE (BASIC FINISH)]]*Table1[[#This Row],[Unit Selling Area]]</f>
        <v>7194740</v>
      </c>
      <c r="AL78" s="232">
        <f>Table1[[#This Row],[UNIT (BUILDING) RATE (FULLY FINISH)]]*Table1[[#This Row],[Unit Selling Area]]</f>
        <v>7449740</v>
      </c>
      <c r="AM78" s="232">
        <f t="shared" si="17"/>
        <v>0</v>
      </c>
      <c r="AN78" s="232">
        <f>(AM78+AJ78)*FACTS!$S$2</f>
        <v>579040.4</v>
      </c>
      <c r="AO78" s="101">
        <f>VLOOKUP(S78,FACTS!$A$17:$C$23,3,FALSE)</f>
        <v>1</v>
      </c>
      <c r="AP78" s="232">
        <f>VLOOKUP(AA78,FACTS!$B$2:$J$14,9,FALSE)</f>
        <v>244000</v>
      </c>
      <c r="AQ78" s="232">
        <f>Table1[[#This Row],[PARKING VALUE]]*1</f>
        <v>244000</v>
      </c>
      <c r="AR78" s="232">
        <f t="shared" si="11"/>
        <v>7056240</v>
      </c>
      <c r="AS78" s="440">
        <f>Table1[[#This Row],[TOTAL CARS VALUE]]+Table1[[#This Row],[UNIT (BUILDING) VALUE BASIC FINISHED]]+Table1[[#This Row],[UNIT (GARDEN) VALUE]]</f>
        <v>7438740</v>
      </c>
      <c r="AT78" s="232">
        <f>Table1[[#This Row],[TOTAL CARS VALUE]]+Table1[[#This Row],[UNIT (GARDEN) VALUE]]+Table1[[#This Row],[UNIT (BUILDING) VALUE FULLY FINISHED]]</f>
        <v>7693740</v>
      </c>
      <c r="AU78" s="233">
        <f>VLOOKUP(I78,'C PHASES'!$I$108:$J$110,2,FALSE)</f>
        <v>45839</v>
      </c>
      <c r="AV78" s="233">
        <f>VLOOKUP(AA78,'C PHASES'!$I$113:$J$125,2,FALSE)</f>
        <v>45839</v>
      </c>
    </row>
    <row r="79" spans="1:48" ht="15" customHeight="1" x14ac:dyDescent="0.25">
      <c r="A79" s="235"/>
      <c r="B79" s="227" t="str">
        <f t="shared" si="12"/>
        <v>A</v>
      </c>
      <c r="C79" s="227" t="s">
        <v>21</v>
      </c>
      <c r="D79" s="227" t="s">
        <v>1148</v>
      </c>
      <c r="E79" s="228">
        <v>2</v>
      </c>
      <c r="F79" s="101">
        <v>5</v>
      </c>
      <c r="G79" s="87" t="str">
        <f t="shared" si="10"/>
        <v>A425</v>
      </c>
      <c r="H79" s="87" t="s">
        <v>1296</v>
      </c>
      <c r="I79" s="89" t="str">
        <f>VLOOKUP(C79,'PREMIUM TABLES'!$G$107:$H$149,2,FALSE)</f>
        <v>C1</v>
      </c>
      <c r="J79" s="87">
        <v>68.91</v>
      </c>
      <c r="K79" s="87">
        <v>87.990408905594904</v>
      </c>
      <c r="L79" s="87">
        <v>85</v>
      </c>
      <c r="O79" s="87" t="s">
        <v>187</v>
      </c>
      <c r="P79" s="87" t="s">
        <v>226</v>
      </c>
      <c r="Q79" s="229" t="s">
        <v>195</v>
      </c>
      <c r="R79" s="87" t="str">
        <f>VLOOKUP(E79,'PREMIUM TABLES'!$F$214:$G$219,2,FALSE)</f>
        <v>SECOND</v>
      </c>
      <c r="S79" s="87" t="str" cm="1">
        <f t="array" ref="S79">IF(AND(L79&gt;0,L79&lt;90),"A",IF(AND(L79&gt;90,L79&lt;123),"B",IF(AND(L79&gt;122,L79&lt;159),"C",IF(AND(L79&gt;159,L79&lt;185),"D",IF(AND(L79&gt;185,L79&lt;230),"E",IF(AND(L79&gt;230,L79&lt;350),"F",NONE))))))</f>
        <v>A</v>
      </c>
      <c r="T79" s="230">
        <f>VLOOKUP(O79,'PREMIUM TABLES'!$G$165:$H$172,2,FALSE)</f>
        <v>0.08</v>
      </c>
      <c r="U79" s="230">
        <f>VLOOKUP(P79,'PREMIUM TABLES'!$G$208:$H$209,2,FALSE)</f>
        <v>0.05</v>
      </c>
      <c r="V79" s="230">
        <f>VLOOKUP(Q79,'PREMIUM TABLES'!$G$175:$H$195,2,FALSE)</f>
        <v>0.25</v>
      </c>
      <c r="W79" s="230">
        <f>VLOOKUP(R79,'PREMIUM TABLES'!$G$214:$H$219,2,FALSE)</f>
        <v>0.11</v>
      </c>
      <c r="X79" s="230">
        <f>VLOOKUP(S79,'PREMIUM TABLES'!$F$199:$H$205,3,FALSE)</f>
        <v>0.05</v>
      </c>
      <c r="Y79" s="231">
        <f t="shared" si="13"/>
        <v>0.54</v>
      </c>
      <c r="Z79" s="231" t="s">
        <v>732</v>
      </c>
      <c r="AA79" s="231" t="str">
        <f>VLOOKUP(G79,'ALL (R)'!$N$5:$R$862,5,FALSE)</f>
        <v>RH</v>
      </c>
      <c r="AB79" s="232">
        <f>VLOOKUP(AA79,FACTS!$B$2:$L$14,10,FALSE)</f>
        <v>76850</v>
      </c>
      <c r="AC79" s="232">
        <f>VLOOKUP(AA79,FACTS!$B$2:$L$14,11,FALSE)</f>
        <v>82950</v>
      </c>
      <c r="AD79" s="232">
        <f>VLOOKUP(AA79,FACTS!$B$2:$N$14,13,FALSE)</f>
        <v>6100</v>
      </c>
      <c r="AE79" s="232">
        <f t="shared" si="14"/>
        <v>3294</v>
      </c>
      <c r="AF79" s="232">
        <f t="shared" si="15"/>
        <v>80144</v>
      </c>
      <c r="AG79" s="232">
        <f>AF79*FACTS!$T$2</f>
        <v>26447.52</v>
      </c>
      <c r="AH79" s="232">
        <f>Table1[[#This Row],[UNIT (BUILDING) RATE (SEMI FINISHED)]]+4500</f>
        <v>84644</v>
      </c>
      <c r="AI79" s="232">
        <f>Table1[[#This Row],[UNIT (BUILDING) RATE (SEMI FINISHED)]]+7500</f>
        <v>87644</v>
      </c>
      <c r="AJ79" s="232">
        <f t="shared" si="16"/>
        <v>6812240</v>
      </c>
      <c r="AK79" s="232">
        <f>Table1[[#This Row],[UNIT (BUILDING) RATE (BASIC FINISH)]]*Table1[[#This Row],[Unit Selling Area]]</f>
        <v>7194740</v>
      </c>
      <c r="AL79" s="232">
        <f>Table1[[#This Row],[UNIT (BUILDING) RATE (FULLY FINISH)]]*Table1[[#This Row],[Unit Selling Area]]</f>
        <v>7449740</v>
      </c>
      <c r="AM79" s="232">
        <f t="shared" si="17"/>
        <v>0</v>
      </c>
      <c r="AN79" s="232">
        <f>(AM79+AJ79)*FACTS!$S$2</f>
        <v>579040.4</v>
      </c>
      <c r="AO79" s="101">
        <f>VLOOKUP(S79,FACTS!$A$17:$C$23,3,FALSE)</f>
        <v>1</v>
      </c>
      <c r="AP79" s="232">
        <f>VLOOKUP(AA79,FACTS!$B$2:$J$14,9,FALSE)</f>
        <v>244000</v>
      </c>
      <c r="AQ79" s="232">
        <f>Table1[[#This Row],[PARKING VALUE]]*1</f>
        <v>244000</v>
      </c>
      <c r="AR79" s="232">
        <f t="shared" si="11"/>
        <v>7056240</v>
      </c>
      <c r="AS79" s="440">
        <f>Table1[[#This Row],[TOTAL CARS VALUE]]+Table1[[#This Row],[UNIT (BUILDING) VALUE BASIC FINISHED]]+Table1[[#This Row],[UNIT (GARDEN) VALUE]]</f>
        <v>7438740</v>
      </c>
      <c r="AT79" s="232">
        <f>Table1[[#This Row],[TOTAL CARS VALUE]]+Table1[[#This Row],[UNIT (GARDEN) VALUE]]+Table1[[#This Row],[UNIT (BUILDING) VALUE FULLY FINISHED]]</f>
        <v>7693740</v>
      </c>
      <c r="AU79" s="233">
        <f>VLOOKUP(I79,'C PHASES'!$I$108:$J$110,2,FALSE)</f>
        <v>45839</v>
      </c>
      <c r="AV79" s="233">
        <f>VLOOKUP(AA79,'C PHASES'!$I$113:$J$125,2,FALSE)</f>
        <v>45839</v>
      </c>
    </row>
    <row r="80" spans="1:48" ht="15" customHeight="1" x14ac:dyDescent="0.25">
      <c r="A80" s="235"/>
      <c r="B80" s="227" t="str">
        <f t="shared" si="12"/>
        <v>A</v>
      </c>
      <c r="C80" s="227" t="s">
        <v>21</v>
      </c>
      <c r="D80" s="227" t="s">
        <v>1148</v>
      </c>
      <c r="E80" s="228">
        <v>2</v>
      </c>
      <c r="F80" s="101">
        <v>6</v>
      </c>
      <c r="G80" s="87" t="str">
        <f t="shared" si="10"/>
        <v>A426</v>
      </c>
      <c r="H80" s="87" t="s">
        <v>1296</v>
      </c>
      <c r="I80" s="89" t="str">
        <f>VLOOKUP(C80,'PREMIUM TABLES'!$G$107:$H$149,2,FALSE)</f>
        <v>C1</v>
      </c>
      <c r="J80" s="87">
        <v>51.5</v>
      </c>
      <c r="K80" s="87">
        <v>65.7597744687003</v>
      </c>
      <c r="L80" s="87">
        <v>63</v>
      </c>
      <c r="O80" s="87" t="s">
        <v>187</v>
      </c>
      <c r="P80" s="87" t="s">
        <v>190</v>
      </c>
      <c r="Q80" s="229" t="s">
        <v>195</v>
      </c>
      <c r="R80" s="87" t="str">
        <f>VLOOKUP(E80,'PREMIUM TABLES'!$F$214:$G$219,2,FALSE)</f>
        <v>SECOND</v>
      </c>
      <c r="S80" s="87" t="str" cm="1">
        <f t="array" ref="S80">IF(AND(L80&gt;0,L80&lt;90),"A",IF(AND(L80&gt;90,L80&lt;123),"B",IF(AND(L80&gt;122,L80&lt;159),"C",IF(AND(L80&gt;159,L80&lt;185),"D",IF(AND(L80&gt;185,L80&lt;230),"E",IF(AND(L80&gt;230,L80&lt;350),"F",NONE))))))</f>
        <v>A</v>
      </c>
      <c r="T80" s="230">
        <f>VLOOKUP(O80,'PREMIUM TABLES'!$G$165:$H$172,2,FALSE)</f>
        <v>0.08</v>
      </c>
      <c r="U80" s="230">
        <f>VLOOKUP(P80,'PREMIUM TABLES'!$G$208:$H$209,2,FALSE)</f>
        <v>2.5000000000000001E-2</v>
      </c>
      <c r="V80" s="230">
        <f>VLOOKUP(Q80,'PREMIUM TABLES'!$G$175:$H$195,2,FALSE)</f>
        <v>0.25</v>
      </c>
      <c r="W80" s="230">
        <f>VLOOKUP(R80,'PREMIUM TABLES'!$G$214:$H$219,2,FALSE)</f>
        <v>0.11</v>
      </c>
      <c r="X80" s="230">
        <f>VLOOKUP(S80,'PREMIUM TABLES'!$F$199:$H$205,3,FALSE)</f>
        <v>0.05</v>
      </c>
      <c r="Y80" s="231">
        <f t="shared" si="13"/>
        <v>0.51500000000000001</v>
      </c>
      <c r="Z80" s="231" t="s">
        <v>732</v>
      </c>
      <c r="AA80" s="231" t="str">
        <f>VLOOKUP(G80,'ALL (R)'!$N$5:$R$862,5,FALSE)</f>
        <v>RH</v>
      </c>
      <c r="AB80" s="232">
        <f>VLOOKUP(AA80,FACTS!$B$2:$L$14,10,FALSE)</f>
        <v>76850</v>
      </c>
      <c r="AC80" s="232">
        <f>VLOOKUP(AA80,FACTS!$B$2:$L$14,11,FALSE)</f>
        <v>82950</v>
      </c>
      <c r="AD80" s="232">
        <f>VLOOKUP(AA80,FACTS!$B$2:$N$14,13,FALSE)</f>
        <v>6100</v>
      </c>
      <c r="AE80" s="232">
        <f t="shared" si="14"/>
        <v>3141.5</v>
      </c>
      <c r="AF80" s="232">
        <f t="shared" si="15"/>
        <v>79991.5</v>
      </c>
      <c r="AG80" s="232">
        <f>AF80*FACTS!$T$2</f>
        <v>26397.195</v>
      </c>
      <c r="AH80" s="232">
        <f>Table1[[#This Row],[UNIT (BUILDING) RATE (SEMI FINISHED)]]+4500</f>
        <v>84491.5</v>
      </c>
      <c r="AI80" s="232">
        <f>Table1[[#This Row],[UNIT (BUILDING) RATE (SEMI FINISHED)]]+7500</f>
        <v>87491.5</v>
      </c>
      <c r="AJ80" s="232">
        <f t="shared" si="16"/>
        <v>5039464.5</v>
      </c>
      <c r="AK80" s="232">
        <f>Table1[[#This Row],[UNIT (BUILDING) RATE (BASIC FINISH)]]*Table1[[#This Row],[Unit Selling Area]]</f>
        <v>5322964.5</v>
      </c>
      <c r="AL80" s="232">
        <f>Table1[[#This Row],[UNIT (BUILDING) RATE (FULLY FINISH)]]*Table1[[#This Row],[Unit Selling Area]]</f>
        <v>5511964.5</v>
      </c>
      <c r="AM80" s="232">
        <f t="shared" si="17"/>
        <v>0</v>
      </c>
      <c r="AN80" s="232">
        <f>(AM80+AJ80)*FACTS!$S$2</f>
        <v>428354.48250000004</v>
      </c>
      <c r="AO80" s="101">
        <f>VLOOKUP(S80,FACTS!$A$17:$C$23,3,FALSE)</f>
        <v>1</v>
      </c>
      <c r="AP80" s="232">
        <f>VLOOKUP(AA80,FACTS!$B$2:$J$14,9,FALSE)</f>
        <v>244000</v>
      </c>
      <c r="AQ80" s="232">
        <f>Table1[[#This Row],[PARKING VALUE]]*1</f>
        <v>244000</v>
      </c>
      <c r="AR80" s="232">
        <f t="shared" si="11"/>
        <v>5283464.5</v>
      </c>
      <c r="AS80" s="440">
        <f>Table1[[#This Row],[TOTAL CARS VALUE]]+Table1[[#This Row],[UNIT (BUILDING) VALUE BASIC FINISHED]]+Table1[[#This Row],[UNIT (GARDEN) VALUE]]</f>
        <v>5566964.5</v>
      </c>
      <c r="AT80" s="232">
        <f>Table1[[#This Row],[TOTAL CARS VALUE]]+Table1[[#This Row],[UNIT (GARDEN) VALUE]]+Table1[[#This Row],[UNIT (BUILDING) VALUE FULLY FINISHED]]</f>
        <v>5755964.5</v>
      </c>
      <c r="AU80" s="233">
        <f>VLOOKUP(I80,'C PHASES'!$I$108:$J$110,2,FALSE)</f>
        <v>45839</v>
      </c>
      <c r="AV80" s="233">
        <f>VLOOKUP(AA80,'C PHASES'!$I$113:$J$125,2,FALSE)</f>
        <v>45839</v>
      </c>
    </row>
    <row r="81" spans="1:48" ht="15" customHeight="1" x14ac:dyDescent="0.25">
      <c r="A81" s="235"/>
      <c r="B81" s="227" t="str">
        <f t="shared" si="12"/>
        <v>A</v>
      </c>
      <c r="C81" s="227" t="s">
        <v>21</v>
      </c>
      <c r="D81" s="227" t="s">
        <v>1148</v>
      </c>
      <c r="E81" s="228">
        <v>3</v>
      </c>
      <c r="F81" s="101">
        <v>1</v>
      </c>
      <c r="G81" s="87" t="str">
        <f t="shared" si="10"/>
        <v>A431</v>
      </c>
      <c r="H81" s="87" t="s">
        <v>1296</v>
      </c>
      <c r="I81" s="89" t="str">
        <f>VLOOKUP(C81,'PREMIUM TABLES'!$G$107:$H$149,2,FALSE)</f>
        <v>C1</v>
      </c>
      <c r="J81" s="87">
        <v>62.86</v>
      </c>
      <c r="K81" s="87">
        <v>80.265231516553413</v>
      </c>
      <c r="L81" s="87">
        <v>77</v>
      </c>
      <c r="O81" s="87" t="s">
        <v>187</v>
      </c>
      <c r="P81" s="87" t="s">
        <v>190</v>
      </c>
      <c r="Q81" s="229" t="s">
        <v>198</v>
      </c>
      <c r="R81" s="87" t="str">
        <f>VLOOKUP(E81,'PREMIUM TABLES'!$F$214:$G$219,2,FALSE)</f>
        <v>THIRD</v>
      </c>
      <c r="S81" s="87" t="str" cm="1">
        <f t="array" ref="S81">IF(AND(L81&gt;0,L81&lt;90),"A",IF(AND(L81&gt;90,L81&lt;123),"B",IF(AND(L81&gt;122,L81&lt;159),"C",IF(AND(L81&gt;159,L81&lt;185),"D",IF(AND(L81&gt;185,L81&lt;230),"E",IF(AND(L81&gt;230,L81&lt;350),"F",NONE))))))</f>
        <v>A</v>
      </c>
      <c r="T81" s="230">
        <f>VLOOKUP(O81,'PREMIUM TABLES'!$G$165:$H$172,2,FALSE)</f>
        <v>0.08</v>
      </c>
      <c r="U81" s="230">
        <f>VLOOKUP(P81,'PREMIUM TABLES'!$G$208:$H$209,2,FALSE)</f>
        <v>2.5000000000000001E-2</v>
      </c>
      <c r="V81" s="230">
        <f>VLOOKUP(Q81,'PREMIUM TABLES'!$G$175:$H$195,2,FALSE)</f>
        <v>0.15</v>
      </c>
      <c r="W81" s="230">
        <f>VLOOKUP(R81,'PREMIUM TABLES'!$G$214:$H$219,2,FALSE)</f>
        <v>0.15</v>
      </c>
      <c r="X81" s="230">
        <f>VLOOKUP(S81,'PREMIUM TABLES'!$F$199:$H$205,3,FALSE)</f>
        <v>0.05</v>
      </c>
      <c r="Y81" s="231">
        <f t="shared" si="13"/>
        <v>0.45500000000000002</v>
      </c>
      <c r="Z81" s="231" t="s">
        <v>732</v>
      </c>
      <c r="AA81" s="231" t="str">
        <f>VLOOKUP(G81,'ALL (R)'!$N$5:$R$862,5,FALSE)</f>
        <v>RH</v>
      </c>
      <c r="AB81" s="232">
        <f>VLOOKUP(AA81,FACTS!$B$2:$L$14,10,FALSE)</f>
        <v>76850</v>
      </c>
      <c r="AC81" s="232">
        <f>VLOOKUP(AA81,FACTS!$B$2:$L$14,11,FALSE)</f>
        <v>82950</v>
      </c>
      <c r="AD81" s="232">
        <f>VLOOKUP(AA81,FACTS!$B$2:$N$14,13,FALSE)</f>
        <v>6100</v>
      </c>
      <c r="AE81" s="232">
        <f t="shared" si="14"/>
        <v>2775.5</v>
      </c>
      <c r="AF81" s="232">
        <f t="shared" si="15"/>
        <v>79625.5</v>
      </c>
      <c r="AG81" s="232">
        <f>AF81*FACTS!$T$2</f>
        <v>26276.415000000001</v>
      </c>
      <c r="AH81" s="232">
        <f>Table1[[#This Row],[UNIT (BUILDING) RATE (SEMI FINISHED)]]+4500</f>
        <v>84125.5</v>
      </c>
      <c r="AI81" s="232">
        <f>Table1[[#This Row],[UNIT (BUILDING) RATE (SEMI FINISHED)]]+7500</f>
        <v>87125.5</v>
      </c>
      <c r="AJ81" s="232">
        <f t="shared" si="16"/>
        <v>6131163.5</v>
      </c>
      <c r="AK81" s="232">
        <f>Table1[[#This Row],[UNIT (BUILDING) RATE (BASIC FINISH)]]*Table1[[#This Row],[Unit Selling Area]]</f>
        <v>6477663.5</v>
      </c>
      <c r="AL81" s="232">
        <f>Table1[[#This Row],[UNIT (BUILDING) RATE (FULLY FINISH)]]*Table1[[#This Row],[Unit Selling Area]]</f>
        <v>6708663.5</v>
      </c>
      <c r="AM81" s="232">
        <f t="shared" si="17"/>
        <v>0</v>
      </c>
      <c r="AN81" s="232">
        <f>(AM81+AJ81)*FACTS!$S$2</f>
        <v>521148.89750000002</v>
      </c>
      <c r="AO81" s="101">
        <f>VLOOKUP(S81,FACTS!$A$17:$C$23,3,FALSE)</f>
        <v>1</v>
      </c>
      <c r="AP81" s="232">
        <f>VLOOKUP(AA81,FACTS!$B$2:$J$14,9,FALSE)</f>
        <v>244000</v>
      </c>
      <c r="AQ81" s="232">
        <f>Table1[[#This Row],[PARKING VALUE]]*1</f>
        <v>244000</v>
      </c>
      <c r="AR81" s="232">
        <f t="shared" si="11"/>
        <v>6375163.5</v>
      </c>
      <c r="AS81" s="440">
        <f>Table1[[#This Row],[TOTAL CARS VALUE]]+Table1[[#This Row],[UNIT (BUILDING) VALUE BASIC FINISHED]]+Table1[[#This Row],[UNIT (GARDEN) VALUE]]</f>
        <v>6721663.5</v>
      </c>
      <c r="AT81" s="232">
        <f>Table1[[#This Row],[TOTAL CARS VALUE]]+Table1[[#This Row],[UNIT (GARDEN) VALUE]]+Table1[[#This Row],[UNIT (BUILDING) VALUE FULLY FINISHED]]</f>
        <v>6952663.5</v>
      </c>
      <c r="AU81" s="233">
        <f>VLOOKUP(I81,'C PHASES'!$I$108:$J$110,2,FALSE)</f>
        <v>45839</v>
      </c>
      <c r="AV81" s="233">
        <f>VLOOKUP(AA81,'C PHASES'!$I$113:$J$125,2,FALSE)</f>
        <v>45839</v>
      </c>
    </row>
    <row r="82" spans="1:48" ht="15" customHeight="1" x14ac:dyDescent="0.25">
      <c r="A82" s="235"/>
      <c r="B82" s="227" t="str">
        <f t="shared" si="12"/>
        <v>A</v>
      </c>
      <c r="C82" s="227" t="s">
        <v>21</v>
      </c>
      <c r="D82" s="227" t="s">
        <v>1148</v>
      </c>
      <c r="E82" s="228">
        <v>3</v>
      </c>
      <c r="F82" s="101">
        <v>2</v>
      </c>
      <c r="G82" s="87" t="str">
        <f t="shared" si="10"/>
        <v>A432</v>
      </c>
      <c r="H82" s="87" t="s">
        <v>1296</v>
      </c>
      <c r="I82" s="89" t="str">
        <f>VLOOKUP(C82,'PREMIUM TABLES'!$G$107:$H$149,2,FALSE)</f>
        <v>C1</v>
      </c>
      <c r="J82" s="87">
        <v>62.84</v>
      </c>
      <c r="K82" s="87">
        <v>80.239693740060716</v>
      </c>
      <c r="L82" s="87">
        <v>77</v>
      </c>
      <c r="O82" s="87" t="s">
        <v>180</v>
      </c>
      <c r="P82" s="87" t="s">
        <v>190</v>
      </c>
      <c r="Q82" s="229" t="s">
        <v>215</v>
      </c>
      <c r="R82" s="87" t="str">
        <f>VLOOKUP(E82,'PREMIUM TABLES'!$F$214:$G$219,2,FALSE)</f>
        <v>THIRD</v>
      </c>
      <c r="S82" s="87" t="str" cm="1">
        <f t="array" ref="S82">IF(AND(L82&gt;0,L82&lt;90),"A",IF(AND(L82&gt;90,L82&lt;123),"B",IF(AND(L82&gt;122,L82&lt;159),"C",IF(AND(L82&gt;159,L82&lt;185),"D",IF(AND(L82&gt;185,L82&lt;230),"E",IF(AND(L82&gt;230,L82&lt;350),"F",NONE))))))</f>
        <v>A</v>
      </c>
      <c r="T82" s="230">
        <f>VLOOKUP(O82,'PREMIUM TABLES'!$G$165:$H$172,2,FALSE)</f>
        <v>0.13</v>
      </c>
      <c r="U82" s="230">
        <f>VLOOKUP(P82,'PREMIUM TABLES'!$G$208:$H$209,2,FALSE)</f>
        <v>2.5000000000000001E-2</v>
      </c>
      <c r="V82" s="230">
        <f>VLOOKUP(Q82,'PREMIUM TABLES'!$G$175:$H$195,2,FALSE)</f>
        <v>0.2</v>
      </c>
      <c r="W82" s="230">
        <f>VLOOKUP(R82,'PREMIUM TABLES'!$G$214:$H$219,2,FALSE)</f>
        <v>0.15</v>
      </c>
      <c r="X82" s="230">
        <f>VLOOKUP(S82,'PREMIUM TABLES'!$F$199:$H$205,3,FALSE)</f>
        <v>0.05</v>
      </c>
      <c r="Y82" s="231">
        <f t="shared" si="13"/>
        <v>0.55500000000000005</v>
      </c>
      <c r="Z82" s="231" t="s">
        <v>732</v>
      </c>
      <c r="AA82" s="231" t="str">
        <f>VLOOKUP(G82,'ALL (R)'!$N$5:$R$862,5,FALSE)</f>
        <v>RH</v>
      </c>
      <c r="AB82" s="232">
        <f>VLOOKUP(AA82,FACTS!$B$2:$L$14,10,FALSE)</f>
        <v>76850</v>
      </c>
      <c r="AC82" s="232">
        <f>VLOOKUP(AA82,FACTS!$B$2:$L$14,11,FALSE)</f>
        <v>82950</v>
      </c>
      <c r="AD82" s="232">
        <f>VLOOKUP(AA82,FACTS!$B$2:$N$14,13,FALSE)</f>
        <v>6100</v>
      </c>
      <c r="AE82" s="232">
        <f t="shared" si="14"/>
        <v>3385.5000000000005</v>
      </c>
      <c r="AF82" s="232">
        <f t="shared" si="15"/>
        <v>80235.5</v>
      </c>
      <c r="AG82" s="232">
        <f>AF82*FACTS!$T$2</f>
        <v>26477.715</v>
      </c>
      <c r="AH82" s="232">
        <f>Table1[[#This Row],[UNIT (BUILDING) RATE (SEMI FINISHED)]]+4500</f>
        <v>84735.5</v>
      </c>
      <c r="AI82" s="232">
        <f>Table1[[#This Row],[UNIT (BUILDING) RATE (SEMI FINISHED)]]+7500</f>
        <v>87735.5</v>
      </c>
      <c r="AJ82" s="232">
        <f t="shared" si="16"/>
        <v>6178133.5</v>
      </c>
      <c r="AK82" s="232">
        <f>Table1[[#This Row],[UNIT (BUILDING) RATE (BASIC FINISH)]]*Table1[[#This Row],[Unit Selling Area]]</f>
        <v>6524633.5</v>
      </c>
      <c r="AL82" s="232">
        <f>Table1[[#This Row],[UNIT (BUILDING) RATE (FULLY FINISH)]]*Table1[[#This Row],[Unit Selling Area]]</f>
        <v>6755633.5</v>
      </c>
      <c r="AM82" s="232">
        <f t="shared" si="17"/>
        <v>0</v>
      </c>
      <c r="AN82" s="232">
        <f>(AM82+AJ82)*FACTS!$S$2</f>
        <v>525141.34750000003</v>
      </c>
      <c r="AO82" s="101">
        <f>VLOOKUP(S82,FACTS!$A$17:$C$23,3,FALSE)</f>
        <v>1</v>
      </c>
      <c r="AP82" s="232">
        <f>VLOOKUP(AA82,FACTS!$B$2:$J$14,9,FALSE)</f>
        <v>244000</v>
      </c>
      <c r="AQ82" s="232">
        <f>Table1[[#This Row],[PARKING VALUE]]*1</f>
        <v>244000</v>
      </c>
      <c r="AR82" s="232">
        <f t="shared" si="11"/>
        <v>6422133.5</v>
      </c>
      <c r="AS82" s="440">
        <f>Table1[[#This Row],[TOTAL CARS VALUE]]+Table1[[#This Row],[UNIT (BUILDING) VALUE BASIC FINISHED]]+Table1[[#This Row],[UNIT (GARDEN) VALUE]]</f>
        <v>6768633.5</v>
      </c>
      <c r="AT82" s="232">
        <f>Table1[[#This Row],[TOTAL CARS VALUE]]+Table1[[#This Row],[UNIT (GARDEN) VALUE]]+Table1[[#This Row],[UNIT (BUILDING) VALUE FULLY FINISHED]]</f>
        <v>6999633.5</v>
      </c>
      <c r="AU82" s="233">
        <f>VLOOKUP(I82,'C PHASES'!$I$108:$J$110,2,FALSE)</f>
        <v>45839</v>
      </c>
      <c r="AV82" s="233">
        <f>VLOOKUP(AA82,'C PHASES'!$I$113:$J$125,2,FALSE)</f>
        <v>45839</v>
      </c>
    </row>
    <row r="83" spans="1:48" ht="15" customHeight="1" x14ac:dyDescent="0.25">
      <c r="A83" s="235"/>
      <c r="B83" s="227" t="str">
        <f t="shared" si="12"/>
        <v>A</v>
      </c>
      <c r="C83" s="227" t="s">
        <v>21</v>
      </c>
      <c r="D83" s="227" t="s">
        <v>1148</v>
      </c>
      <c r="E83" s="228">
        <v>3</v>
      </c>
      <c r="F83" s="101">
        <v>3</v>
      </c>
      <c r="G83" s="87" t="str">
        <f t="shared" si="10"/>
        <v>A433</v>
      </c>
      <c r="H83" s="87" t="s">
        <v>1296</v>
      </c>
      <c r="I83" s="89" t="str">
        <f>VLOOKUP(C83,'PREMIUM TABLES'!$G$107:$H$149,2,FALSE)</f>
        <v>C1</v>
      </c>
      <c r="J83" s="87">
        <v>50.89</v>
      </c>
      <c r="K83" s="87">
        <v>64.980872285672973</v>
      </c>
      <c r="L83" s="87">
        <v>63</v>
      </c>
      <c r="O83" s="87" t="s">
        <v>180</v>
      </c>
      <c r="P83" s="87" t="s">
        <v>190</v>
      </c>
      <c r="Q83" s="229" t="s">
        <v>215</v>
      </c>
      <c r="R83" s="87" t="str">
        <f>VLOOKUP(E83,'PREMIUM TABLES'!$F$214:$G$219,2,FALSE)</f>
        <v>THIRD</v>
      </c>
      <c r="S83" s="87" t="str" cm="1">
        <f t="array" ref="S83">IF(AND(L83&gt;0,L83&lt;90),"A",IF(AND(L83&gt;90,L83&lt;123),"B",IF(AND(L83&gt;122,L83&lt;159),"C",IF(AND(L83&gt;159,L83&lt;185),"D",IF(AND(L83&gt;185,L83&lt;230),"E",IF(AND(L83&gt;230,L83&lt;350),"F",NONE))))))</f>
        <v>A</v>
      </c>
      <c r="T83" s="230">
        <f>VLOOKUP(O83,'PREMIUM TABLES'!$G$165:$H$172,2,FALSE)</f>
        <v>0.13</v>
      </c>
      <c r="U83" s="230">
        <f>VLOOKUP(P83,'PREMIUM TABLES'!$G$208:$H$209,2,FALSE)</f>
        <v>2.5000000000000001E-2</v>
      </c>
      <c r="V83" s="230">
        <f>VLOOKUP(Q83,'PREMIUM TABLES'!$G$175:$H$195,2,FALSE)</f>
        <v>0.2</v>
      </c>
      <c r="W83" s="230">
        <f>VLOOKUP(R83,'PREMIUM TABLES'!$G$214:$H$219,2,FALSE)</f>
        <v>0.15</v>
      </c>
      <c r="X83" s="230">
        <f>VLOOKUP(S83,'PREMIUM TABLES'!$F$199:$H$205,3,FALSE)</f>
        <v>0.05</v>
      </c>
      <c r="Y83" s="231">
        <f t="shared" si="13"/>
        <v>0.55500000000000005</v>
      </c>
      <c r="Z83" s="231" t="s">
        <v>732</v>
      </c>
      <c r="AA83" s="231" t="str">
        <f>VLOOKUP(G83,'ALL (R)'!$N$5:$R$862,5,FALSE)</f>
        <v>RH</v>
      </c>
      <c r="AB83" s="232">
        <f>VLOOKUP(AA83,FACTS!$B$2:$L$14,10,FALSE)</f>
        <v>76850</v>
      </c>
      <c r="AC83" s="232">
        <f>VLOOKUP(AA83,FACTS!$B$2:$L$14,11,FALSE)</f>
        <v>82950</v>
      </c>
      <c r="AD83" s="232">
        <f>VLOOKUP(AA83,FACTS!$B$2:$N$14,13,FALSE)</f>
        <v>6100</v>
      </c>
      <c r="AE83" s="232">
        <f t="shared" si="14"/>
        <v>3385.5000000000005</v>
      </c>
      <c r="AF83" s="232">
        <f t="shared" si="15"/>
        <v>80235.5</v>
      </c>
      <c r="AG83" s="232">
        <f>AF83*FACTS!$T$2</f>
        <v>26477.715</v>
      </c>
      <c r="AH83" s="232">
        <f>Table1[[#This Row],[UNIT (BUILDING) RATE (SEMI FINISHED)]]+4500</f>
        <v>84735.5</v>
      </c>
      <c r="AI83" s="232">
        <f>Table1[[#This Row],[UNIT (BUILDING) RATE (SEMI FINISHED)]]+7500</f>
        <v>87735.5</v>
      </c>
      <c r="AJ83" s="232">
        <f t="shared" si="16"/>
        <v>5054836.5</v>
      </c>
      <c r="AK83" s="232">
        <f>Table1[[#This Row],[UNIT (BUILDING) RATE (BASIC FINISH)]]*Table1[[#This Row],[Unit Selling Area]]</f>
        <v>5338336.5</v>
      </c>
      <c r="AL83" s="232">
        <f>Table1[[#This Row],[UNIT (BUILDING) RATE (FULLY FINISH)]]*Table1[[#This Row],[Unit Selling Area]]</f>
        <v>5527336.5</v>
      </c>
      <c r="AM83" s="232">
        <f t="shared" si="17"/>
        <v>0</v>
      </c>
      <c r="AN83" s="232">
        <f>(AM83+AJ83)*FACTS!$S$2</f>
        <v>429661.10250000004</v>
      </c>
      <c r="AO83" s="101">
        <f>VLOOKUP(S83,FACTS!$A$17:$C$23,3,FALSE)</f>
        <v>1</v>
      </c>
      <c r="AP83" s="232">
        <f>VLOOKUP(AA83,FACTS!$B$2:$J$14,9,FALSE)</f>
        <v>244000</v>
      </c>
      <c r="AQ83" s="232">
        <f>Table1[[#This Row],[PARKING VALUE]]*1</f>
        <v>244000</v>
      </c>
      <c r="AR83" s="232">
        <f t="shared" si="11"/>
        <v>5298836.5</v>
      </c>
      <c r="AS83" s="440">
        <f>Table1[[#This Row],[TOTAL CARS VALUE]]+Table1[[#This Row],[UNIT (BUILDING) VALUE BASIC FINISHED]]+Table1[[#This Row],[UNIT (GARDEN) VALUE]]</f>
        <v>5582336.5</v>
      </c>
      <c r="AT83" s="232">
        <f>Table1[[#This Row],[TOTAL CARS VALUE]]+Table1[[#This Row],[UNIT (GARDEN) VALUE]]+Table1[[#This Row],[UNIT (BUILDING) VALUE FULLY FINISHED]]</f>
        <v>5771336.5</v>
      </c>
      <c r="AU83" s="233">
        <f>VLOOKUP(I83,'C PHASES'!$I$108:$J$110,2,FALSE)</f>
        <v>45839</v>
      </c>
      <c r="AV83" s="233">
        <f>VLOOKUP(AA83,'C PHASES'!$I$113:$J$125,2,FALSE)</f>
        <v>45839</v>
      </c>
    </row>
    <row r="84" spans="1:48" ht="15" customHeight="1" x14ac:dyDescent="0.25">
      <c r="A84" s="235"/>
      <c r="B84" s="227" t="str">
        <f t="shared" si="12"/>
        <v>A</v>
      </c>
      <c r="C84" s="227" t="s">
        <v>21</v>
      </c>
      <c r="D84" s="227" t="s">
        <v>1148</v>
      </c>
      <c r="E84" s="228">
        <v>3</v>
      </c>
      <c r="F84" s="101">
        <v>4</v>
      </c>
      <c r="G84" s="87" t="str">
        <f t="shared" si="10"/>
        <v>A434</v>
      </c>
      <c r="H84" s="87" t="s">
        <v>1296</v>
      </c>
      <c r="I84" s="89" t="str">
        <f>VLOOKUP(C84,'PREMIUM TABLES'!$G$107:$H$149,2,FALSE)</f>
        <v>C1</v>
      </c>
      <c r="J84" s="87">
        <v>68.599999999999994</v>
      </c>
      <c r="K84" s="87">
        <v>87.594573369958056</v>
      </c>
      <c r="L84" s="87">
        <v>84</v>
      </c>
      <c r="O84" s="87" t="s">
        <v>180</v>
      </c>
      <c r="P84" s="87" t="s">
        <v>226</v>
      </c>
      <c r="Q84" s="229" t="s">
        <v>215</v>
      </c>
      <c r="R84" s="87" t="str">
        <f>VLOOKUP(E84,'PREMIUM TABLES'!$F$214:$G$219,2,FALSE)</f>
        <v>THIRD</v>
      </c>
      <c r="S84" s="87" t="str" cm="1">
        <f t="array" ref="S84">IF(AND(L84&gt;0,L84&lt;90),"A",IF(AND(L84&gt;90,L84&lt;123),"B",IF(AND(L84&gt;122,L84&lt;159),"C",IF(AND(L84&gt;159,L84&lt;185),"D",IF(AND(L84&gt;185,L84&lt;230),"E",IF(AND(L84&gt;230,L84&lt;350),"F",NONE))))))</f>
        <v>A</v>
      </c>
      <c r="T84" s="230">
        <f>VLOOKUP(O84,'PREMIUM TABLES'!$G$165:$H$172,2,FALSE)</f>
        <v>0.13</v>
      </c>
      <c r="U84" s="230">
        <f>VLOOKUP(P84,'PREMIUM TABLES'!$G$208:$H$209,2,FALSE)</f>
        <v>0.05</v>
      </c>
      <c r="V84" s="230">
        <f>VLOOKUP(Q84,'PREMIUM TABLES'!$G$175:$H$195,2,FALSE)</f>
        <v>0.2</v>
      </c>
      <c r="W84" s="230">
        <f>VLOOKUP(R84,'PREMIUM TABLES'!$G$214:$H$219,2,FALSE)</f>
        <v>0.15</v>
      </c>
      <c r="X84" s="230">
        <f>VLOOKUP(S84,'PREMIUM TABLES'!$F$199:$H$205,3,FALSE)</f>
        <v>0.05</v>
      </c>
      <c r="Y84" s="231">
        <f t="shared" si="13"/>
        <v>0.58000000000000007</v>
      </c>
      <c r="Z84" s="231" t="s">
        <v>732</v>
      </c>
      <c r="AA84" s="231" t="str">
        <f>VLOOKUP(G84,'ALL (R)'!$N$5:$R$862,5,FALSE)</f>
        <v>RH</v>
      </c>
      <c r="AB84" s="232">
        <f>VLOOKUP(AA84,FACTS!$B$2:$L$14,10,FALSE)</f>
        <v>76850</v>
      </c>
      <c r="AC84" s="232">
        <f>VLOOKUP(AA84,FACTS!$B$2:$L$14,11,FALSE)</f>
        <v>82950</v>
      </c>
      <c r="AD84" s="232">
        <f>VLOOKUP(AA84,FACTS!$B$2:$N$14,13,FALSE)</f>
        <v>6100</v>
      </c>
      <c r="AE84" s="232">
        <f t="shared" si="14"/>
        <v>3538.0000000000005</v>
      </c>
      <c r="AF84" s="232">
        <f t="shared" si="15"/>
        <v>80388</v>
      </c>
      <c r="AG84" s="232">
        <f>AF84*FACTS!$T$2</f>
        <v>26528.04</v>
      </c>
      <c r="AH84" s="232">
        <f>Table1[[#This Row],[UNIT (BUILDING) RATE (SEMI FINISHED)]]+4500</f>
        <v>84888</v>
      </c>
      <c r="AI84" s="232">
        <f>Table1[[#This Row],[UNIT (BUILDING) RATE (SEMI FINISHED)]]+7500</f>
        <v>87888</v>
      </c>
      <c r="AJ84" s="232">
        <f t="shared" si="16"/>
        <v>6752592</v>
      </c>
      <c r="AK84" s="232">
        <f>Table1[[#This Row],[UNIT (BUILDING) RATE (BASIC FINISH)]]*Table1[[#This Row],[Unit Selling Area]]</f>
        <v>7130592</v>
      </c>
      <c r="AL84" s="232">
        <f>Table1[[#This Row],[UNIT (BUILDING) RATE (FULLY FINISH)]]*Table1[[#This Row],[Unit Selling Area]]</f>
        <v>7382592</v>
      </c>
      <c r="AM84" s="232">
        <f t="shared" si="17"/>
        <v>0</v>
      </c>
      <c r="AN84" s="232">
        <f>(AM84+AJ84)*FACTS!$S$2</f>
        <v>573970.32000000007</v>
      </c>
      <c r="AO84" s="101">
        <f>VLOOKUP(S84,FACTS!$A$17:$C$23,3,FALSE)</f>
        <v>1</v>
      </c>
      <c r="AP84" s="232">
        <f>VLOOKUP(AA84,FACTS!$B$2:$J$14,9,FALSE)</f>
        <v>244000</v>
      </c>
      <c r="AQ84" s="232">
        <f>Table1[[#This Row],[PARKING VALUE]]*1</f>
        <v>244000</v>
      </c>
      <c r="AR84" s="232">
        <f t="shared" si="11"/>
        <v>6996592</v>
      </c>
      <c r="AS84" s="440">
        <f>Table1[[#This Row],[TOTAL CARS VALUE]]+Table1[[#This Row],[UNIT (BUILDING) VALUE BASIC FINISHED]]+Table1[[#This Row],[UNIT (GARDEN) VALUE]]</f>
        <v>7374592</v>
      </c>
      <c r="AT84" s="232">
        <f>Table1[[#This Row],[TOTAL CARS VALUE]]+Table1[[#This Row],[UNIT (GARDEN) VALUE]]+Table1[[#This Row],[UNIT (BUILDING) VALUE FULLY FINISHED]]</f>
        <v>7626592</v>
      </c>
      <c r="AU84" s="233">
        <f>VLOOKUP(I84,'C PHASES'!$I$108:$J$110,2,FALSE)</f>
        <v>45839</v>
      </c>
      <c r="AV84" s="233">
        <f>VLOOKUP(AA84,'C PHASES'!$I$113:$J$125,2,FALSE)</f>
        <v>45839</v>
      </c>
    </row>
    <row r="85" spans="1:48" ht="15" customHeight="1" x14ac:dyDescent="0.25">
      <c r="A85" s="235"/>
      <c r="B85" s="227" t="str">
        <f t="shared" si="12"/>
        <v>A</v>
      </c>
      <c r="C85" s="227" t="s">
        <v>21</v>
      </c>
      <c r="D85" s="227" t="s">
        <v>1148</v>
      </c>
      <c r="E85" s="228">
        <v>3</v>
      </c>
      <c r="F85" s="101">
        <v>5</v>
      </c>
      <c r="G85" s="87" t="str">
        <f t="shared" si="10"/>
        <v>A435</v>
      </c>
      <c r="H85" s="87" t="s">
        <v>1296</v>
      </c>
      <c r="I85" s="89" t="str">
        <f>VLOOKUP(C85,'PREMIUM TABLES'!$G$107:$H$149,2,FALSE)</f>
        <v>C1</v>
      </c>
      <c r="J85" s="87">
        <v>68.62</v>
      </c>
      <c r="K85" s="87">
        <v>87.620111146450768</v>
      </c>
      <c r="L85" s="87">
        <v>84</v>
      </c>
      <c r="O85" s="87" t="s">
        <v>187</v>
      </c>
      <c r="P85" s="87" t="s">
        <v>226</v>
      </c>
      <c r="Q85" s="229" t="s">
        <v>195</v>
      </c>
      <c r="R85" s="87" t="str">
        <f>VLOOKUP(E85,'PREMIUM TABLES'!$F$214:$G$219,2,FALSE)</f>
        <v>THIRD</v>
      </c>
      <c r="S85" s="87" t="str" cm="1">
        <f t="array" ref="S85">IF(AND(L85&gt;0,L85&lt;90),"A",IF(AND(L85&gt;90,L85&lt;123),"B",IF(AND(L85&gt;122,L85&lt;159),"C",IF(AND(L85&gt;159,L85&lt;185),"D",IF(AND(L85&gt;185,L85&lt;230),"E",IF(AND(L85&gt;230,L85&lt;350),"F",NONE))))))</f>
        <v>A</v>
      </c>
      <c r="T85" s="230">
        <f>VLOOKUP(O85,'PREMIUM TABLES'!$G$165:$H$172,2,FALSE)</f>
        <v>0.08</v>
      </c>
      <c r="U85" s="230">
        <f>VLOOKUP(P85,'PREMIUM TABLES'!$G$208:$H$209,2,FALSE)</f>
        <v>0.05</v>
      </c>
      <c r="V85" s="230">
        <f>VLOOKUP(Q85,'PREMIUM TABLES'!$G$175:$H$195,2,FALSE)</f>
        <v>0.25</v>
      </c>
      <c r="W85" s="230">
        <f>VLOOKUP(R85,'PREMIUM TABLES'!$G$214:$H$219,2,FALSE)</f>
        <v>0.15</v>
      </c>
      <c r="X85" s="230">
        <f>VLOOKUP(S85,'PREMIUM TABLES'!$F$199:$H$205,3,FALSE)</f>
        <v>0.05</v>
      </c>
      <c r="Y85" s="231">
        <f t="shared" si="13"/>
        <v>0.58000000000000007</v>
      </c>
      <c r="Z85" s="231" t="s">
        <v>732</v>
      </c>
      <c r="AA85" s="231" t="str">
        <f>VLOOKUP(G85,'ALL (R)'!$N$5:$R$862,5,FALSE)</f>
        <v>RH</v>
      </c>
      <c r="AB85" s="232">
        <f>VLOOKUP(AA85,FACTS!$B$2:$L$14,10,FALSE)</f>
        <v>76850</v>
      </c>
      <c r="AC85" s="232">
        <f>VLOOKUP(AA85,FACTS!$B$2:$L$14,11,FALSE)</f>
        <v>82950</v>
      </c>
      <c r="AD85" s="232">
        <f>VLOOKUP(AA85,FACTS!$B$2:$N$14,13,FALSE)</f>
        <v>6100</v>
      </c>
      <c r="AE85" s="232">
        <f t="shared" si="14"/>
        <v>3538.0000000000005</v>
      </c>
      <c r="AF85" s="232">
        <f t="shared" si="15"/>
        <v>80388</v>
      </c>
      <c r="AG85" s="232">
        <f>AF85*FACTS!$T$2</f>
        <v>26528.04</v>
      </c>
      <c r="AH85" s="232">
        <f>Table1[[#This Row],[UNIT (BUILDING) RATE (SEMI FINISHED)]]+4500</f>
        <v>84888</v>
      </c>
      <c r="AI85" s="232">
        <f>Table1[[#This Row],[UNIT (BUILDING) RATE (SEMI FINISHED)]]+7500</f>
        <v>87888</v>
      </c>
      <c r="AJ85" s="232">
        <f t="shared" si="16"/>
        <v>6752592</v>
      </c>
      <c r="AK85" s="232">
        <f>Table1[[#This Row],[UNIT (BUILDING) RATE (BASIC FINISH)]]*Table1[[#This Row],[Unit Selling Area]]</f>
        <v>7130592</v>
      </c>
      <c r="AL85" s="232">
        <f>Table1[[#This Row],[UNIT (BUILDING) RATE (FULLY FINISH)]]*Table1[[#This Row],[Unit Selling Area]]</f>
        <v>7382592</v>
      </c>
      <c r="AM85" s="232">
        <f t="shared" si="17"/>
        <v>0</v>
      </c>
      <c r="AN85" s="232">
        <f>(AM85+AJ85)*FACTS!$S$2</f>
        <v>573970.32000000007</v>
      </c>
      <c r="AO85" s="101">
        <f>VLOOKUP(S85,FACTS!$A$17:$C$23,3,FALSE)</f>
        <v>1</v>
      </c>
      <c r="AP85" s="232">
        <f>VLOOKUP(AA85,FACTS!$B$2:$J$14,9,FALSE)</f>
        <v>244000</v>
      </c>
      <c r="AQ85" s="232">
        <f>Table1[[#This Row],[PARKING VALUE]]*1</f>
        <v>244000</v>
      </c>
      <c r="AR85" s="232">
        <f t="shared" si="11"/>
        <v>6996592</v>
      </c>
      <c r="AS85" s="440">
        <f>Table1[[#This Row],[TOTAL CARS VALUE]]+Table1[[#This Row],[UNIT (BUILDING) VALUE BASIC FINISHED]]+Table1[[#This Row],[UNIT (GARDEN) VALUE]]</f>
        <v>7374592</v>
      </c>
      <c r="AT85" s="232">
        <f>Table1[[#This Row],[TOTAL CARS VALUE]]+Table1[[#This Row],[UNIT (GARDEN) VALUE]]+Table1[[#This Row],[UNIT (BUILDING) VALUE FULLY FINISHED]]</f>
        <v>7626592</v>
      </c>
      <c r="AU85" s="233">
        <f>VLOOKUP(I85,'C PHASES'!$I$108:$J$110,2,FALSE)</f>
        <v>45839</v>
      </c>
      <c r="AV85" s="233">
        <f>VLOOKUP(AA85,'C PHASES'!$I$113:$J$125,2,FALSE)</f>
        <v>45839</v>
      </c>
    </row>
    <row r="86" spans="1:48" ht="15" customHeight="1" x14ac:dyDescent="0.25">
      <c r="A86" s="235"/>
      <c r="B86" s="227" t="str">
        <f t="shared" si="12"/>
        <v>A</v>
      </c>
      <c r="C86" s="227" t="s">
        <v>21</v>
      </c>
      <c r="D86" s="227" t="s">
        <v>1148</v>
      </c>
      <c r="E86" s="228">
        <v>3</v>
      </c>
      <c r="F86" s="101">
        <v>6</v>
      </c>
      <c r="G86" s="87" t="str">
        <f t="shared" si="10"/>
        <v>A436</v>
      </c>
      <c r="H86" s="87" t="s">
        <v>1296</v>
      </c>
      <c r="I86" s="89" t="str">
        <f>VLOOKUP(C86,'PREMIUM TABLES'!$G$107:$H$149,2,FALSE)</f>
        <v>C1</v>
      </c>
      <c r="J86" s="87">
        <v>50.89</v>
      </c>
      <c r="K86" s="87">
        <v>64.980872285672973</v>
      </c>
      <c r="L86" s="87">
        <v>63</v>
      </c>
      <c r="O86" s="87" t="s">
        <v>187</v>
      </c>
      <c r="P86" s="87" t="s">
        <v>190</v>
      </c>
      <c r="Q86" s="229" t="s">
        <v>195</v>
      </c>
      <c r="R86" s="87" t="str">
        <f>VLOOKUP(E86,'PREMIUM TABLES'!$F$214:$G$219,2,FALSE)</f>
        <v>THIRD</v>
      </c>
      <c r="S86" s="87" t="str" cm="1">
        <f t="array" ref="S86">IF(AND(L86&gt;0,L86&lt;90),"A",IF(AND(L86&gt;90,L86&lt;123),"B",IF(AND(L86&gt;122,L86&lt;159),"C",IF(AND(L86&gt;159,L86&lt;185),"D",IF(AND(L86&gt;185,L86&lt;230),"E",IF(AND(L86&gt;230,L86&lt;350),"F",NONE))))))</f>
        <v>A</v>
      </c>
      <c r="T86" s="230">
        <f>VLOOKUP(O86,'PREMIUM TABLES'!$G$165:$H$172,2,FALSE)</f>
        <v>0.08</v>
      </c>
      <c r="U86" s="230">
        <f>VLOOKUP(P86,'PREMIUM TABLES'!$G$208:$H$209,2,FALSE)</f>
        <v>2.5000000000000001E-2</v>
      </c>
      <c r="V86" s="230">
        <f>VLOOKUP(Q86,'PREMIUM TABLES'!$G$175:$H$195,2,FALSE)</f>
        <v>0.25</v>
      </c>
      <c r="W86" s="230">
        <f>VLOOKUP(R86,'PREMIUM TABLES'!$G$214:$H$219,2,FALSE)</f>
        <v>0.15</v>
      </c>
      <c r="X86" s="230">
        <f>VLOOKUP(S86,'PREMIUM TABLES'!$F$199:$H$205,3,FALSE)</f>
        <v>0.05</v>
      </c>
      <c r="Y86" s="231">
        <f t="shared" si="13"/>
        <v>0.55500000000000005</v>
      </c>
      <c r="Z86" s="231" t="s">
        <v>732</v>
      </c>
      <c r="AA86" s="231" t="str">
        <f>VLOOKUP(G86,'ALL (R)'!$N$5:$R$862,5,FALSE)</f>
        <v>RH</v>
      </c>
      <c r="AB86" s="232">
        <f>VLOOKUP(AA86,FACTS!$B$2:$L$14,10,FALSE)</f>
        <v>76850</v>
      </c>
      <c r="AC86" s="232">
        <f>VLOOKUP(AA86,FACTS!$B$2:$L$14,11,FALSE)</f>
        <v>82950</v>
      </c>
      <c r="AD86" s="232">
        <f>VLOOKUP(AA86,FACTS!$B$2:$N$14,13,FALSE)</f>
        <v>6100</v>
      </c>
      <c r="AE86" s="232">
        <f t="shared" si="14"/>
        <v>3385.5000000000005</v>
      </c>
      <c r="AF86" s="232">
        <f t="shared" si="15"/>
        <v>80235.5</v>
      </c>
      <c r="AG86" s="232">
        <f>AF86*FACTS!$T$2</f>
        <v>26477.715</v>
      </c>
      <c r="AH86" s="232">
        <f>Table1[[#This Row],[UNIT (BUILDING) RATE (SEMI FINISHED)]]+4500</f>
        <v>84735.5</v>
      </c>
      <c r="AI86" s="232">
        <f>Table1[[#This Row],[UNIT (BUILDING) RATE (SEMI FINISHED)]]+7500</f>
        <v>87735.5</v>
      </c>
      <c r="AJ86" s="232">
        <f t="shared" si="16"/>
        <v>5054836.5</v>
      </c>
      <c r="AK86" s="232">
        <f>Table1[[#This Row],[UNIT (BUILDING) RATE (BASIC FINISH)]]*Table1[[#This Row],[Unit Selling Area]]</f>
        <v>5338336.5</v>
      </c>
      <c r="AL86" s="232">
        <f>Table1[[#This Row],[UNIT (BUILDING) RATE (FULLY FINISH)]]*Table1[[#This Row],[Unit Selling Area]]</f>
        <v>5527336.5</v>
      </c>
      <c r="AM86" s="232">
        <f t="shared" si="17"/>
        <v>0</v>
      </c>
      <c r="AN86" s="232">
        <f>(AM86+AJ86)*FACTS!$S$2</f>
        <v>429661.10250000004</v>
      </c>
      <c r="AO86" s="101">
        <f>VLOOKUP(S86,FACTS!$A$17:$C$23,3,FALSE)</f>
        <v>1</v>
      </c>
      <c r="AP86" s="232">
        <f>VLOOKUP(AA86,FACTS!$B$2:$J$14,9,FALSE)</f>
        <v>244000</v>
      </c>
      <c r="AQ86" s="232">
        <f>Table1[[#This Row],[PARKING VALUE]]*1</f>
        <v>244000</v>
      </c>
      <c r="AR86" s="232">
        <f t="shared" si="11"/>
        <v>5298836.5</v>
      </c>
      <c r="AS86" s="440">
        <f>Table1[[#This Row],[TOTAL CARS VALUE]]+Table1[[#This Row],[UNIT (BUILDING) VALUE BASIC FINISHED]]+Table1[[#This Row],[UNIT (GARDEN) VALUE]]</f>
        <v>5582336.5</v>
      </c>
      <c r="AT86" s="232">
        <f>Table1[[#This Row],[TOTAL CARS VALUE]]+Table1[[#This Row],[UNIT (GARDEN) VALUE]]+Table1[[#This Row],[UNIT (BUILDING) VALUE FULLY FINISHED]]</f>
        <v>5771336.5</v>
      </c>
      <c r="AU86" s="233">
        <f>VLOOKUP(I86,'C PHASES'!$I$108:$J$110,2,FALSE)</f>
        <v>45839</v>
      </c>
      <c r="AV86" s="233">
        <f>VLOOKUP(AA86,'C PHASES'!$I$113:$J$125,2,FALSE)</f>
        <v>45839</v>
      </c>
    </row>
    <row r="87" spans="1:48" ht="15" customHeight="1" x14ac:dyDescent="0.25">
      <c r="A87" s="235"/>
      <c r="B87" s="227" t="str">
        <f t="shared" si="12"/>
        <v>A</v>
      </c>
      <c r="C87" s="227" t="s">
        <v>21</v>
      </c>
      <c r="D87" s="227" t="s">
        <v>1148</v>
      </c>
      <c r="E87" s="228">
        <v>4</v>
      </c>
      <c r="F87" s="101">
        <v>1</v>
      </c>
      <c r="G87" s="87" t="str">
        <f t="shared" si="10"/>
        <v>A441</v>
      </c>
      <c r="H87" s="87" t="s">
        <v>1296</v>
      </c>
      <c r="I87" s="89" t="str">
        <f>VLOOKUP(C87,'PREMIUM TABLES'!$G$107:$H$149,2,FALSE)</f>
        <v>C1</v>
      </c>
      <c r="J87" s="87">
        <v>62.97</v>
      </c>
      <c r="K87" s="87">
        <v>80.405689287263257</v>
      </c>
      <c r="L87" s="87">
        <v>77</v>
      </c>
      <c r="O87" s="87" t="s">
        <v>187</v>
      </c>
      <c r="P87" s="87" t="s">
        <v>190</v>
      </c>
      <c r="Q87" s="229" t="s">
        <v>198</v>
      </c>
      <c r="R87" s="87" t="str">
        <f>VLOOKUP(E87,'PREMIUM TABLES'!$F$214:$G$219,2,FALSE)</f>
        <v>FORTH</v>
      </c>
      <c r="S87" s="87" t="str" cm="1">
        <f t="array" ref="S87">IF(AND(L87&gt;0,L87&lt;90),"A",IF(AND(L87&gt;90,L87&lt;123),"B",IF(AND(L87&gt;122,L87&lt;159),"C",IF(AND(L87&gt;159,L87&lt;185),"D",IF(AND(L87&gt;185,L87&lt;230),"E",IF(AND(L87&gt;230,L87&lt;350),"F",NONE))))))</f>
        <v>A</v>
      </c>
      <c r="T87" s="230">
        <f>VLOOKUP(O87,'PREMIUM TABLES'!$G$165:$H$172,2,FALSE)</f>
        <v>0.08</v>
      </c>
      <c r="U87" s="230">
        <f>VLOOKUP(P87,'PREMIUM TABLES'!$G$208:$H$209,2,FALSE)</f>
        <v>2.5000000000000001E-2</v>
      </c>
      <c r="V87" s="230">
        <f>VLOOKUP(Q87,'PREMIUM TABLES'!$G$175:$H$195,2,FALSE)</f>
        <v>0.15</v>
      </c>
      <c r="W87" s="230">
        <f>VLOOKUP(R87,'PREMIUM TABLES'!$G$214:$H$219,2,FALSE)</f>
        <v>0.06</v>
      </c>
      <c r="X87" s="230">
        <f>VLOOKUP(S87,'PREMIUM TABLES'!$F$199:$H$205,3,FALSE)</f>
        <v>0.05</v>
      </c>
      <c r="Y87" s="231">
        <f t="shared" si="13"/>
        <v>0.36499999999999999</v>
      </c>
      <c r="Z87" s="231" t="s">
        <v>732</v>
      </c>
      <c r="AA87" s="231" t="str">
        <f>VLOOKUP(G87,'ALL (R)'!$N$5:$R$862,5,FALSE)</f>
        <v>RH</v>
      </c>
      <c r="AB87" s="232">
        <f>VLOOKUP(AA87,FACTS!$B$2:$L$14,10,FALSE)</f>
        <v>76850</v>
      </c>
      <c r="AC87" s="232">
        <f>VLOOKUP(AA87,FACTS!$B$2:$L$14,11,FALSE)</f>
        <v>82950</v>
      </c>
      <c r="AD87" s="232">
        <f>VLOOKUP(AA87,FACTS!$B$2:$N$14,13,FALSE)</f>
        <v>6100</v>
      </c>
      <c r="AE87" s="232">
        <f t="shared" si="14"/>
        <v>2226.5</v>
      </c>
      <c r="AF87" s="232">
        <f t="shared" si="15"/>
        <v>79076.5</v>
      </c>
      <c r="AG87" s="232">
        <f>AF87*FACTS!$T$2</f>
        <v>26095.245000000003</v>
      </c>
      <c r="AH87" s="232">
        <f>Table1[[#This Row],[UNIT (BUILDING) RATE (SEMI FINISHED)]]+4500</f>
        <v>83576.5</v>
      </c>
      <c r="AI87" s="232">
        <f>Table1[[#This Row],[UNIT (BUILDING) RATE (SEMI FINISHED)]]+7500</f>
        <v>86576.5</v>
      </c>
      <c r="AJ87" s="232">
        <f t="shared" si="16"/>
        <v>6088890.5</v>
      </c>
      <c r="AK87" s="232">
        <f>Table1[[#This Row],[UNIT (BUILDING) RATE (BASIC FINISH)]]*Table1[[#This Row],[Unit Selling Area]]</f>
        <v>6435390.5</v>
      </c>
      <c r="AL87" s="232">
        <f>Table1[[#This Row],[UNIT (BUILDING) RATE (FULLY FINISH)]]*Table1[[#This Row],[Unit Selling Area]]</f>
        <v>6666390.5</v>
      </c>
      <c r="AM87" s="232">
        <f t="shared" si="17"/>
        <v>0</v>
      </c>
      <c r="AN87" s="232">
        <f>(AM87+AJ87)*FACTS!$S$2</f>
        <v>517555.69250000006</v>
      </c>
      <c r="AO87" s="101">
        <f>VLOOKUP(S87,FACTS!$A$17:$C$23,3,FALSE)</f>
        <v>1</v>
      </c>
      <c r="AP87" s="232">
        <f>VLOOKUP(AA87,FACTS!$B$2:$J$14,9,FALSE)</f>
        <v>244000</v>
      </c>
      <c r="AQ87" s="232">
        <f>Table1[[#This Row],[PARKING VALUE]]*1</f>
        <v>244000</v>
      </c>
      <c r="AR87" s="232">
        <f t="shared" si="11"/>
        <v>6332890.5</v>
      </c>
      <c r="AS87" s="440">
        <f>Table1[[#This Row],[TOTAL CARS VALUE]]+Table1[[#This Row],[UNIT (BUILDING) VALUE BASIC FINISHED]]+Table1[[#This Row],[UNIT (GARDEN) VALUE]]</f>
        <v>6679390.5</v>
      </c>
      <c r="AT87" s="232">
        <f>Table1[[#This Row],[TOTAL CARS VALUE]]+Table1[[#This Row],[UNIT (GARDEN) VALUE]]+Table1[[#This Row],[UNIT (BUILDING) VALUE FULLY FINISHED]]</f>
        <v>6910390.5</v>
      </c>
      <c r="AU87" s="233">
        <f>VLOOKUP(I87,'C PHASES'!$I$108:$J$110,2,FALSE)</f>
        <v>45839</v>
      </c>
      <c r="AV87" s="233">
        <f>VLOOKUP(AA87,'C PHASES'!$I$113:$J$125,2,FALSE)</f>
        <v>45839</v>
      </c>
    </row>
    <row r="88" spans="1:48" ht="15" customHeight="1" x14ac:dyDescent="0.25">
      <c r="A88" s="235"/>
      <c r="B88" s="227" t="str">
        <f t="shared" si="12"/>
        <v>A</v>
      </c>
      <c r="C88" s="227" t="s">
        <v>21</v>
      </c>
      <c r="D88" s="227" t="s">
        <v>1148</v>
      </c>
      <c r="E88" s="228">
        <v>4</v>
      </c>
      <c r="F88" s="101">
        <v>2</v>
      </c>
      <c r="G88" s="87" t="str">
        <f t="shared" si="10"/>
        <v>A442</v>
      </c>
      <c r="H88" s="87" t="s">
        <v>1296</v>
      </c>
      <c r="I88" s="89" t="str">
        <f>VLOOKUP(C88,'PREMIUM TABLES'!$G$107:$H$149,2,FALSE)</f>
        <v>C1</v>
      </c>
      <c r="J88" s="87">
        <v>62.97</v>
      </c>
      <c r="K88" s="87">
        <v>80.405689287263257</v>
      </c>
      <c r="L88" s="87">
        <v>77</v>
      </c>
      <c r="O88" s="87" t="s">
        <v>180</v>
      </c>
      <c r="P88" s="87" t="s">
        <v>190</v>
      </c>
      <c r="Q88" s="229" t="s">
        <v>215</v>
      </c>
      <c r="R88" s="87" t="str">
        <f>VLOOKUP(E88,'PREMIUM TABLES'!$F$214:$G$219,2,FALSE)</f>
        <v>FORTH</v>
      </c>
      <c r="S88" s="87" t="str" cm="1">
        <f t="array" ref="S88">IF(AND(L88&gt;0,L88&lt;90),"A",IF(AND(L88&gt;90,L88&lt;123),"B",IF(AND(L88&gt;122,L88&lt;159),"C",IF(AND(L88&gt;159,L88&lt;185),"D",IF(AND(L88&gt;185,L88&lt;230),"E",IF(AND(L88&gt;230,L88&lt;350),"F",NONE))))))</f>
        <v>A</v>
      </c>
      <c r="T88" s="230">
        <f>VLOOKUP(O88,'PREMIUM TABLES'!$G$165:$H$172,2,FALSE)</f>
        <v>0.13</v>
      </c>
      <c r="U88" s="230">
        <f>VLOOKUP(P88,'PREMIUM TABLES'!$G$208:$H$209,2,FALSE)</f>
        <v>2.5000000000000001E-2</v>
      </c>
      <c r="V88" s="230">
        <f>VLOOKUP(Q88,'PREMIUM TABLES'!$G$175:$H$195,2,FALSE)</f>
        <v>0.2</v>
      </c>
      <c r="W88" s="230">
        <f>VLOOKUP(R88,'PREMIUM TABLES'!$G$214:$H$219,2,FALSE)</f>
        <v>0.06</v>
      </c>
      <c r="X88" s="230">
        <f>VLOOKUP(S88,'PREMIUM TABLES'!$F$199:$H$205,3,FALSE)</f>
        <v>0.05</v>
      </c>
      <c r="Y88" s="231">
        <f t="shared" si="13"/>
        <v>0.46499999999999997</v>
      </c>
      <c r="Z88" s="231" t="s">
        <v>732</v>
      </c>
      <c r="AA88" s="231" t="str">
        <f>VLOOKUP(G88,'ALL (R)'!$N$5:$R$862,5,FALSE)</f>
        <v>RH</v>
      </c>
      <c r="AB88" s="232">
        <f>VLOOKUP(AA88,FACTS!$B$2:$L$14,10,FALSE)</f>
        <v>76850</v>
      </c>
      <c r="AC88" s="232">
        <f>VLOOKUP(AA88,FACTS!$B$2:$L$14,11,FALSE)</f>
        <v>82950</v>
      </c>
      <c r="AD88" s="232">
        <f>VLOOKUP(AA88,FACTS!$B$2:$N$14,13,FALSE)</f>
        <v>6100</v>
      </c>
      <c r="AE88" s="232">
        <f t="shared" si="14"/>
        <v>2836.5</v>
      </c>
      <c r="AF88" s="232">
        <f t="shared" si="15"/>
        <v>79686.5</v>
      </c>
      <c r="AG88" s="232">
        <f>AF88*FACTS!$T$2</f>
        <v>26296.545000000002</v>
      </c>
      <c r="AH88" s="232">
        <f>Table1[[#This Row],[UNIT (BUILDING) RATE (SEMI FINISHED)]]+4500</f>
        <v>84186.5</v>
      </c>
      <c r="AI88" s="232">
        <f>Table1[[#This Row],[UNIT (BUILDING) RATE (SEMI FINISHED)]]+7500</f>
        <v>87186.5</v>
      </c>
      <c r="AJ88" s="232">
        <f t="shared" si="16"/>
        <v>6135860.5</v>
      </c>
      <c r="AK88" s="232">
        <f>Table1[[#This Row],[UNIT (BUILDING) RATE (BASIC FINISH)]]*Table1[[#This Row],[Unit Selling Area]]</f>
        <v>6482360.5</v>
      </c>
      <c r="AL88" s="232">
        <f>Table1[[#This Row],[UNIT (BUILDING) RATE (FULLY FINISH)]]*Table1[[#This Row],[Unit Selling Area]]</f>
        <v>6713360.5</v>
      </c>
      <c r="AM88" s="232">
        <f t="shared" si="17"/>
        <v>0</v>
      </c>
      <c r="AN88" s="232">
        <f>(AM88+AJ88)*FACTS!$S$2</f>
        <v>521548.14250000002</v>
      </c>
      <c r="AO88" s="101">
        <f>VLOOKUP(S88,FACTS!$A$17:$C$23,3,FALSE)</f>
        <v>1</v>
      </c>
      <c r="AP88" s="232">
        <f>VLOOKUP(AA88,FACTS!$B$2:$J$14,9,FALSE)</f>
        <v>244000</v>
      </c>
      <c r="AQ88" s="232">
        <f>Table1[[#This Row],[PARKING VALUE]]*1</f>
        <v>244000</v>
      </c>
      <c r="AR88" s="232">
        <f t="shared" si="11"/>
        <v>6379860.5</v>
      </c>
      <c r="AS88" s="440">
        <f>Table1[[#This Row],[TOTAL CARS VALUE]]+Table1[[#This Row],[UNIT (BUILDING) VALUE BASIC FINISHED]]+Table1[[#This Row],[UNIT (GARDEN) VALUE]]</f>
        <v>6726360.5</v>
      </c>
      <c r="AT88" s="232">
        <f>Table1[[#This Row],[TOTAL CARS VALUE]]+Table1[[#This Row],[UNIT (GARDEN) VALUE]]+Table1[[#This Row],[UNIT (BUILDING) VALUE FULLY FINISHED]]</f>
        <v>6957360.5</v>
      </c>
      <c r="AU88" s="233">
        <f>VLOOKUP(I88,'C PHASES'!$I$108:$J$110,2,FALSE)</f>
        <v>45839</v>
      </c>
      <c r="AV88" s="233">
        <f>VLOOKUP(AA88,'C PHASES'!$I$113:$J$125,2,FALSE)</f>
        <v>45839</v>
      </c>
    </row>
    <row r="89" spans="1:48" ht="15" customHeight="1" x14ac:dyDescent="0.25">
      <c r="A89" s="235"/>
      <c r="B89" s="227" t="str">
        <f t="shared" si="12"/>
        <v>A</v>
      </c>
      <c r="C89" s="227" t="s">
        <v>21</v>
      </c>
      <c r="D89" s="227" t="s">
        <v>1148</v>
      </c>
      <c r="E89" s="228">
        <v>4</v>
      </c>
      <c r="F89" s="101">
        <v>3</v>
      </c>
      <c r="G89" s="87" t="str">
        <f t="shared" si="10"/>
        <v>A443</v>
      </c>
      <c r="H89" s="87" t="s">
        <v>1296</v>
      </c>
      <c r="I89" s="89" t="str">
        <f>VLOOKUP(C89,'PREMIUM TABLES'!$G$107:$H$149,2,FALSE)</f>
        <v>C1</v>
      </c>
      <c r="J89" s="87">
        <v>51.5</v>
      </c>
      <c r="K89" s="87">
        <v>65.7597744687003</v>
      </c>
      <c r="L89" s="87">
        <v>63</v>
      </c>
      <c r="O89" s="87" t="s">
        <v>180</v>
      </c>
      <c r="P89" s="87" t="s">
        <v>190</v>
      </c>
      <c r="Q89" s="229" t="s">
        <v>215</v>
      </c>
      <c r="R89" s="87" t="str">
        <f>VLOOKUP(E89,'PREMIUM TABLES'!$F$214:$G$219,2,FALSE)</f>
        <v>FORTH</v>
      </c>
      <c r="S89" s="87" t="str" cm="1">
        <f t="array" ref="S89">IF(AND(L89&gt;0,L89&lt;90),"A",IF(AND(L89&gt;90,L89&lt;123),"B",IF(AND(L89&gt;122,L89&lt;159),"C",IF(AND(L89&gt;159,L89&lt;185),"D",IF(AND(L89&gt;185,L89&lt;230),"E",IF(AND(L89&gt;230,L89&lt;350),"F",NONE))))))</f>
        <v>A</v>
      </c>
      <c r="T89" s="230">
        <f>VLOOKUP(O89,'PREMIUM TABLES'!$G$165:$H$172,2,FALSE)</f>
        <v>0.13</v>
      </c>
      <c r="U89" s="230">
        <f>VLOOKUP(P89,'PREMIUM TABLES'!$G$208:$H$209,2,FALSE)</f>
        <v>2.5000000000000001E-2</v>
      </c>
      <c r="V89" s="230">
        <f>VLOOKUP(Q89,'PREMIUM TABLES'!$G$175:$H$195,2,FALSE)</f>
        <v>0.2</v>
      </c>
      <c r="W89" s="230">
        <f>VLOOKUP(R89,'PREMIUM TABLES'!$G$214:$H$219,2,FALSE)</f>
        <v>0.06</v>
      </c>
      <c r="X89" s="230">
        <f>VLOOKUP(S89,'PREMIUM TABLES'!$F$199:$H$205,3,FALSE)</f>
        <v>0.05</v>
      </c>
      <c r="Y89" s="231">
        <f t="shared" si="13"/>
        <v>0.46499999999999997</v>
      </c>
      <c r="Z89" s="231" t="s">
        <v>732</v>
      </c>
      <c r="AA89" s="231" t="str">
        <f>VLOOKUP(G89,'ALL (R)'!$N$5:$R$862,5,FALSE)</f>
        <v>RH</v>
      </c>
      <c r="AB89" s="232">
        <f>VLOOKUP(AA89,FACTS!$B$2:$L$14,10,FALSE)</f>
        <v>76850</v>
      </c>
      <c r="AC89" s="232">
        <f>VLOOKUP(AA89,FACTS!$B$2:$L$14,11,FALSE)</f>
        <v>82950</v>
      </c>
      <c r="AD89" s="232">
        <f>VLOOKUP(AA89,FACTS!$B$2:$N$14,13,FALSE)</f>
        <v>6100</v>
      </c>
      <c r="AE89" s="232">
        <f t="shared" si="14"/>
        <v>2836.5</v>
      </c>
      <c r="AF89" s="232">
        <f t="shared" si="15"/>
        <v>79686.5</v>
      </c>
      <c r="AG89" s="232">
        <f>AF89*FACTS!$T$2</f>
        <v>26296.545000000002</v>
      </c>
      <c r="AH89" s="232">
        <f>Table1[[#This Row],[UNIT (BUILDING) RATE (SEMI FINISHED)]]+4500</f>
        <v>84186.5</v>
      </c>
      <c r="AI89" s="232">
        <f>Table1[[#This Row],[UNIT (BUILDING) RATE (SEMI FINISHED)]]+7500</f>
        <v>87186.5</v>
      </c>
      <c r="AJ89" s="232">
        <f t="shared" si="16"/>
        <v>5020249.5</v>
      </c>
      <c r="AK89" s="232">
        <f>Table1[[#This Row],[UNIT (BUILDING) RATE (BASIC FINISH)]]*Table1[[#This Row],[Unit Selling Area]]</f>
        <v>5303749.5</v>
      </c>
      <c r="AL89" s="232">
        <f>Table1[[#This Row],[UNIT (BUILDING) RATE (FULLY FINISH)]]*Table1[[#This Row],[Unit Selling Area]]</f>
        <v>5492749.5</v>
      </c>
      <c r="AM89" s="232">
        <f t="shared" si="17"/>
        <v>0</v>
      </c>
      <c r="AN89" s="232">
        <f>(AM89+AJ89)*FACTS!$S$2</f>
        <v>426721.20750000002</v>
      </c>
      <c r="AO89" s="101">
        <f>VLOOKUP(S89,FACTS!$A$17:$C$23,3,FALSE)</f>
        <v>1</v>
      </c>
      <c r="AP89" s="232">
        <f>VLOOKUP(AA89,FACTS!$B$2:$J$14,9,FALSE)</f>
        <v>244000</v>
      </c>
      <c r="AQ89" s="232">
        <f>Table1[[#This Row],[PARKING VALUE]]*1</f>
        <v>244000</v>
      </c>
      <c r="AR89" s="232">
        <f t="shared" si="11"/>
        <v>5264249.5</v>
      </c>
      <c r="AS89" s="440">
        <f>Table1[[#This Row],[TOTAL CARS VALUE]]+Table1[[#This Row],[UNIT (BUILDING) VALUE BASIC FINISHED]]+Table1[[#This Row],[UNIT (GARDEN) VALUE]]</f>
        <v>5547749.5</v>
      </c>
      <c r="AT89" s="232">
        <f>Table1[[#This Row],[TOTAL CARS VALUE]]+Table1[[#This Row],[UNIT (GARDEN) VALUE]]+Table1[[#This Row],[UNIT (BUILDING) VALUE FULLY FINISHED]]</f>
        <v>5736749.5</v>
      </c>
      <c r="AU89" s="233">
        <f>VLOOKUP(I89,'C PHASES'!$I$108:$J$110,2,FALSE)</f>
        <v>45839</v>
      </c>
      <c r="AV89" s="233">
        <f>VLOOKUP(AA89,'C PHASES'!$I$113:$J$125,2,FALSE)</f>
        <v>45839</v>
      </c>
    </row>
    <row r="90" spans="1:48" ht="15" customHeight="1" x14ac:dyDescent="0.25">
      <c r="A90" s="235"/>
      <c r="B90" s="227" t="str">
        <f t="shared" si="12"/>
        <v>A</v>
      </c>
      <c r="C90" s="227" t="s">
        <v>21</v>
      </c>
      <c r="D90" s="227" t="s">
        <v>1148</v>
      </c>
      <c r="E90" s="228">
        <v>4</v>
      </c>
      <c r="F90" s="101">
        <v>4</v>
      </c>
      <c r="G90" s="87" t="str">
        <f t="shared" si="10"/>
        <v>A444</v>
      </c>
      <c r="H90" s="87" t="s">
        <v>1296</v>
      </c>
      <c r="I90" s="89" t="str">
        <f>VLOOKUP(C90,'PREMIUM TABLES'!$G$107:$H$149,2,FALSE)</f>
        <v>C1</v>
      </c>
      <c r="J90" s="87">
        <v>68.680000000000007</v>
      </c>
      <c r="K90" s="87">
        <v>87.696724475928875</v>
      </c>
      <c r="L90" s="87">
        <v>84</v>
      </c>
      <c r="O90" s="87" t="s">
        <v>180</v>
      </c>
      <c r="P90" s="87" t="s">
        <v>226</v>
      </c>
      <c r="Q90" s="229" t="s">
        <v>215</v>
      </c>
      <c r="R90" s="87" t="str">
        <f>VLOOKUP(E90,'PREMIUM TABLES'!$F$214:$G$219,2,FALSE)</f>
        <v>FORTH</v>
      </c>
      <c r="S90" s="87" t="str" cm="1">
        <f t="array" ref="S90">IF(AND(L90&gt;0,L90&lt;90),"A",IF(AND(L90&gt;90,L90&lt;123),"B",IF(AND(L90&gt;122,L90&lt;159),"C",IF(AND(L90&gt;159,L90&lt;185),"D",IF(AND(L90&gt;185,L90&lt;230),"E",IF(AND(L90&gt;230,L90&lt;350),"F",NONE))))))</f>
        <v>A</v>
      </c>
      <c r="T90" s="230">
        <f>VLOOKUP(O90,'PREMIUM TABLES'!$G$165:$H$172,2,FALSE)</f>
        <v>0.13</v>
      </c>
      <c r="U90" s="230">
        <f>VLOOKUP(P90,'PREMIUM TABLES'!$G$208:$H$209,2,FALSE)</f>
        <v>0.05</v>
      </c>
      <c r="V90" s="230">
        <f>VLOOKUP(Q90,'PREMIUM TABLES'!$G$175:$H$195,2,FALSE)</f>
        <v>0.2</v>
      </c>
      <c r="W90" s="230">
        <f>VLOOKUP(R90,'PREMIUM TABLES'!$G$214:$H$219,2,FALSE)</f>
        <v>0.06</v>
      </c>
      <c r="X90" s="230">
        <f>VLOOKUP(S90,'PREMIUM TABLES'!$F$199:$H$205,3,FALSE)</f>
        <v>0.05</v>
      </c>
      <c r="Y90" s="231">
        <f t="shared" si="13"/>
        <v>0.49</v>
      </c>
      <c r="Z90" s="231" t="s">
        <v>732</v>
      </c>
      <c r="AA90" s="231" t="str">
        <f>VLOOKUP(G90,'ALL (R)'!$N$5:$R$862,5,FALSE)</f>
        <v>RH</v>
      </c>
      <c r="AB90" s="232">
        <f>VLOOKUP(AA90,FACTS!$B$2:$L$14,10,FALSE)</f>
        <v>76850</v>
      </c>
      <c r="AC90" s="232">
        <f>VLOOKUP(AA90,FACTS!$B$2:$L$14,11,FALSE)</f>
        <v>82950</v>
      </c>
      <c r="AD90" s="232">
        <f>VLOOKUP(AA90,FACTS!$B$2:$N$14,13,FALSE)</f>
        <v>6100</v>
      </c>
      <c r="AE90" s="232">
        <f t="shared" si="14"/>
        <v>2989</v>
      </c>
      <c r="AF90" s="232">
        <f t="shared" si="15"/>
        <v>79839</v>
      </c>
      <c r="AG90" s="232">
        <f>AF90*FACTS!$T$2</f>
        <v>26346.870000000003</v>
      </c>
      <c r="AH90" s="232">
        <f>Table1[[#This Row],[UNIT (BUILDING) RATE (SEMI FINISHED)]]+4500</f>
        <v>84339</v>
      </c>
      <c r="AI90" s="232">
        <f>Table1[[#This Row],[UNIT (BUILDING) RATE (SEMI FINISHED)]]+7500</f>
        <v>87339</v>
      </c>
      <c r="AJ90" s="232">
        <f t="shared" si="16"/>
        <v>6706476</v>
      </c>
      <c r="AK90" s="232">
        <f>Table1[[#This Row],[UNIT (BUILDING) RATE (BASIC FINISH)]]*Table1[[#This Row],[Unit Selling Area]]</f>
        <v>7084476</v>
      </c>
      <c r="AL90" s="232">
        <f>Table1[[#This Row],[UNIT (BUILDING) RATE (FULLY FINISH)]]*Table1[[#This Row],[Unit Selling Area]]</f>
        <v>7336476</v>
      </c>
      <c r="AM90" s="232">
        <f t="shared" si="17"/>
        <v>0</v>
      </c>
      <c r="AN90" s="232">
        <f>(AM90+AJ90)*FACTS!$S$2</f>
        <v>570050.46000000008</v>
      </c>
      <c r="AO90" s="101">
        <f>VLOOKUP(S90,FACTS!$A$17:$C$23,3,FALSE)</f>
        <v>1</v>
      </c>
      <c r="AP90" s="232">
        <f>VLOOKUP(AA90,FACTS!$B$2:$J$14,9,FALSE)</f>
        <v>244000</v>
      </c>
      <c r="AQ90" s="232">
        <f>Table1[[#This Row],[PARKING VALUE]]*1</f>
        <v>244000</v>
      </c>
      <c r="AR90" s="232">
        <f t="shared" si="11"/>
        <v>6950476</v>
      </c>
      <c r="AS90" s="440">
        <f>Table1[[#This Row],[TOTAL CARS VALUE]]+Table1[[#This Row],[UNIT (BUILDING) VALUE BASIC FINISHED]]+Table1[[#This Row],[UNIT (GARDEN) VALUE]]</f>
        <v>7328476</v>
      </c>
      <c r="AT90" s="232">
        <f>Table1[[#This Row],[TOTAL CARS VALUE]]+Table1[[#This Row],[UNIT (GARDEN) VALUE]]+Table1[[#This Row],[UNIT (BUILDING) VALUE FULLY FINISHED]]</f>
        <v>7580476</v>
      </c>
      <c r="AU90" s="233">
        <f>VLOOKUP(I90,'C PHASES'!$I$108:$J$110,2,FALSE)</f>
        <v>45839</v>
      </c>
      <c r="AV90" s="233">
        <f>VLOOKUP(AA90,'C PHASES'!$I$113:$J$125,2,FALSE)</f>
        <v>45839</v>
      </c>
    </row>
    <row r="91" spans="1:48" ht="15" customHeight="1" x14ac:dyDescent="0.25">
      <c r="A91" s="235"/>
      <c r="B91" s="227" t="str">
        <f t="shared" si="12"/>
        <v>A</v>
      </c>
      <c r="C91" s="227" t="s">
        <v>21</v>
      </c>
      <c r="D91" s="227" t="s">
        <v>1148</v>
      </c>
      <c r="E91" s="228">
        <v>4</v>
      </c>
      <c r="F91" s="101">
        <v>5</v>
      </c>
      <c r="G91" s="87" t="str">
        <f t="shared" si="10"/>
        <v>A445</v>
      </c>
      <c r="H91" s="87" t="s">
        <v>1296</v>
      </c>
      <c r="I91" s="89" t="str">
        <f>VLOOKUP(C91,'PREMIUM TABLES'!$G$107:$H$149,2,FALSE)</f>
        <v>C1</v>
      </c>
      <c r="J91" s="87">
        <v>68.680000000000007</v>
      </c>
      <c r="K91" s="87">
        <v>87.696724475928875</v>
      </c>
      <c r="L91" s="87">
        <v>84</v>
      </c>
      <c r="O91" s="87" t="s">
        <v>187</v>
      </c>
      <c r="P91" s="87" t="s">
        <v>226</v>
      </c>
      <c r="Q91" s="229" t="s">
        <v>195</v>
      </c>
      <c r="R91" s="87" t="str">
        <f>VLOOKUP(E91,'PREMIUM TABLES'!$F$214:$G$219,2,FALSE)</f>
        <v>FORTH</v>
      </c>
      <c r="S91" s="87" t="str" cm="1">
        <f t="array" ref="S91">IF(AND(L91&gt;0,L91&lt;90),"A",IF(AND(L91&gt;90,L91&lt;123),"B",IF(AND(L91&gt;122,L91&lt;159),"C",IF(AND(L91&gt;159,L91&lt;185),"D",IF(AND(L91&gt;185,L91&lt;230),"E",IF(AND(L91&gt;230,L91&lt;350),"F",NONE))))))</f>
        <v>A</v>
      </c>
      <c r="T91" s="230">
        <f>VLOOKUP(O91,'PREMIUM TABLES'!$G$165:$H$172,2,FALSE)</f>
        <v>0.08</v>
      </c>
      <c r="U91" s="230">
        <f>VLOOKUP(P91,'PREMIUM TABLES'!$G$208:$H$209,2,FALSE)</f>
        <v>0.05</v>
      </c>
      <c r="V91" s="230">
        <f>VLOOKUP(Q91,'PREMIUM TABLES'!$G$175:$H$195,2,FALSE)</f>
        <v>0.25</v>
      </c>
      <c r="W91" s="230">
        <f>VLOOKUP(R91,'PREMIUM TABLES'!$G$214:$H$219,2,FALSE)</f>
        <v>0.06</v>
      </c>
      <c r="X91" s="230">
        <f>VLOOKUP(S91,'PREMIUM TABLES'!$F$199:$H$205,3,FALSE)</f>
        <v>0.05</v>
      </c>
      <c r="Y91" s="231">
        <f t="shared" si="13"/>
        <v>0.49</v>
      </c>
      <c r="Z91" s="231" t="s">
        <v>732</v>
      </c>
      <c r="AA91" s="231" t="str">
        <f>VLOOKUP(G91,'ALL (R)'!$N$5:$R$862,5,FALSE)</f>
        <v>RH</v>
      </c>
      <c r="AB91" s="232">
        <f>VLOOKUP(AA91,FACTS!$B$2:$L$14,10,FALSE)</f>
        <v>76850</v>
      </c>
      <c r="AC91" s="232">
        <f>VLOOKUP(AA91,FACTS!$B$2:$L$14,11,FALSE)</f>
        <v>82950</v>
      </c>
      <c r="AD91" s="232">
        <f>VLOOKUP(AA91,FACTS!$B$2:$N$14,13,FALSE)</f>
        <v>6100</v>
      </c>
      <c r="AE91" s="232">
        <f t="shared" si="14"/>
        <v>2989</v>
      </c>
      <c r="AF91" s="232">
        <f t="shared" si="15"/>
        <v>79839</v>
      </c>
      <c r="AG91" s="232">
        <f>AF91*FACTS!$T$2</f>
        <v>26346.870000000003</v>
      </c>
      <c r="AH91" s="232">
        <f>Table1[[#This Row],[UNIT (BUILDING) RATE (SEMI FINISHED)]]+4500</f>
        <v>84339</v>
      </c>
      <c r="AI91" s="232">
        <f>Table1[[#This Row],[UNIT (BUILDING) RATE (SEMI FINISHED)]]+7500</f>
        <v>87339</v>
      </c>
      <c r="AJ91" s="232">
        <f t="shared" si="16"/>
        <v>6706476</v>
      </c>
      <c r="AK91" s="232">
        <f>Table1[[#This Row],[UNIT (BUILDING) RATE (BASIC FINISH)]]*Table1[[#This Row],[Unit Selling Area]]</f>
        <v>7084476</v>
      </c>
      <c r="AL91" s="232">
        <f>Table1[[#This Row],[UNIT (BUILDING) RATE (FULLY FINISH)]]*Table1[[#This Row],[Unit Selling Area]]</f>
        <v>7336476</v>
      </c>
      <c r="AM91" s="232">
        <f t="shared" si="17"/>
        <v>0</v>
      </c>
      <c r="AN91" s="232">
        <f>(AM91+AJ91)*FACTS!$S$2</f>
        <v>570050.46000000008</v>
      </c>
      <c r="AO91" s="101">
        <f>VLOOKUP(S91,FACTS!$A$17:$C$23,3,FALSE)</f>
        <v>1</v>
      </c>
      <c r="AP91" s="232">
        <f>VLOOKUP(AA91,FACTS!$B$2:$J$14,9,FALSE)</f>
        <v>244000</v>
      </c>
      <c r="AQ91" s="232">
        <f>Table1[[#This Row],[PARKING VALUE]]*1</f>
        <v>244000</v>
      </c>
      <c r="AR91" s="232">
        <f t="shared" si="11"/>
        <v>6950476</v>
      </c>
      <c r="AS91" s="440">
        <f>Table1[[#This Row],[TOTAL CARS VALUE]]+Table1[[#This Row],[UNIT (BUILDING) VALUE BASIC FINISHED]]+Table1[[#This Row],[UNIT (GARDEN) VALUE]]</f>
        <v>7328476</v>
      </c>
      <c r="AT91" s="232">
        <f>Table1[[#This Row],[TOTAL CARS VALUE]]+Table1[[#This Row],[UNIT (GARDEN) VALUE]]+Table1[[#This Row],[UNIT (BUILDING) VALUE FULLY FINISHED]]</f>
        <v>7580476</v>
      </c>
      <c r="AU91" s="233">
        <f>VLOOKUP(I91,'C PHASES'!$I$108:$J$110,2,FALSE)</f>
        <v>45839</v>
      </c>
      <c r="AV91" s="233">
        <f>VLOOKUP(AA91,'C PHASES'!$I$113:$J$125,2,FALSE)</f>
        <v>45839</v>
      </c>
    </row>
    <row r="92" spans="1:48" ht="15" customHeight="1" x14ac:dyDescent="0.25">
      <c r="A92" s="235"/>
      <c r="B92" s="227" t="str">
        <f t="shared" si="12"/>
        <v>A</v>
      </c>
      <c r="C92" s="227" t="s">
        <v>21</v>
      </c>
      <c r="D92" s="227" t="s">
        <v>1148</v>
      </c>
      <c r="E92" s="228">
        <v>4</v>
      </c>
      <c r="F92" s="101">
        <v>6</v>
      </c>
      <c r="G92" s="87" t="str">
        <f t="shared" si="10"/>
        <v>A446</v>
      </c>
      <c r="H92" s="87" t="s">
        <v>1296</v>
      </c>
      <c r="I92" s="89" t="str">
        <f>VLOOKUP(C92,'PREMIUM TABLES'!$G$107:$H$149,2,FALSE)</f>
        <v>C1</v>
      </c>
      <c r="J92" s="87">
        <v>51.5</v>
      </c>
      <c r="K92" s="87">
        <v>65.7597744687003</v>
      </c>
      <c r="L92" s="87">
        <v>63</v>
      </c>
      <c r="O92" s="87" t="s">
        <v>187</v>
      </c>
      <c r="P92" s="87" t="s">
        <v>190</v>
      </c>
      <c r="Q92" s="229" t="s">
        <v>195</v>
      </c>
      <c r="R92" s="87" t="str">
        <f>VLOOKUP(E92,'PREMIUM TABLES'!$F$214:$G$219,2,FALSE)</f>
        <v>FORTH</v>
      </c>
      <c r="S92" s="87" t="str" cm="1">
        <f t="array" ref="S92">IF(AND(L92&gt;0,L92&lt;90),"A",IF(AND(L92&gt;90,L92&lt;123),"B",IF(AND(L92&gt;122,L92&lt;159),"C",IF(AND(L92&gt;159,L92&lt;185),"D",IF(AND(L92&gt;185,L92&lt;230),"E",IF(AND(L92&gt;230,L92&lt;350),"F",NONE))))))</f>
        <v>A</v>
      </c>
      <c r="T92" s="230">
        <f>VLOOKUP(O92,'PREMIUM TABLES'!$G$165:$H$172,2,FALSE)</f>
        <v>0.08</v>
      </c>
      <c r="U92" s="230">
        <f>VLOOKUP(P92,'PREMIUM TABLES'!$G$208:$H$209,2,FALSE)</f>
        <v>2.5000000000000001E-2</v>
      </c>
      <c r="V92" s="230">
        <f>VLOOKUP(Q92,'PREMIUM TABLES'!$G$175:$H$195,2,FALSE)</f>
        <v>0.25</v>
      </c>
      <c r="W92" s="230">
        <f>VLOOKUP(R92,'PREMIUM TABLES'!$G$214:$H$219,2,FALSE)</f>
        <v>0.06</v>
      </c>
      <c r="X92" s="230">
        <f>VLOOKUP(S92,'PREMIUM TABLES'!$F$199:$H$205,3,FALSE)</f>
        <v>0.05</v>
      </c>
      <c r="Y92" s="231">
        <f t="shared" si="13"/>
        <v>0.46499999999999997</v>
      </c>
      <c r="Z92" s="231" t="s">
        <v>732</v>
      </c>
      <c r="AA92" s="231" t="str">
        <f>VLOOKUP(G92,'ALL (R)'!$N$5:$R$862,5,FALSE)</f>
        <v>RH</v>
      </c>
      <c r="AB92" s="232">
        <f>VLOOKUP(AA92,FACTS!$B$2:$L$14,10,FALSE)</f>
        <v>76850</v>
      </c>
      <c r="AC92" s="232">
        <f>VLOOKUP(AA92,FACTS!$B$2:$L$14,11,FALSE)</f>
        <v>82950</v>
      </c>
      <c r="AD92" s="232">
        <f>VLOOKUP(AA92,FACTS!$B$2:$N$14,13,FALSE)</f>
        <v>6100</v>
      </c>
      <c r="AE92" s="232">
        <f t="shared" si="14"/>
        <v>2836.5</v>
      </c>
      <c r="AF92" s="232">
        <f t="shared" si="15"/>
        <v>79686.5</v>
      </c>
      <c r="AG92" s="232">
        <f>AF92*FACTS!$T$2</f>
        <v>26296.545000000002</v>
      </c>
      <c r="AH92" s="232">
        <f>Table1[[#This Row],[UNIT (BUILDING) RATE (SEMI FINISHED)]]+4500</f>
        <v>84186.5</v>
      </c>
      <c r="AI92" s="232">
        <f>Table1[[#This Row],[UNIT (BUILDING) RATE (SEMI FINISHED)]]+7500</f>
        <v>87186.5</v>
      </c>
      <c r="AJ92" s="232">
        <f t="shared" si="16"/>
        <v>5020249.5</v>
      </c>
      <c r="AK92" s="232">
        <f>Table1[[#This Row],[UNIT (BUILDING) RATE (BASIC FINISH)]]*Table1[[#This Row],[Unit Selling Area]]</f>
        <v>5303749.5</v>
      </c>
      <c r="AL92" s="232">
        <f>Table1[[#This Row],[UNIT (BUILDING) RATE (FULLY FINISH)]]*Table1[[#This Row],[Unit Selling Area]]</f>
        <v>5492749.5</v>
      </c>
      <c r="AM92" s="232">
        <f t="shared" si="17"/>
        <v>0</v>
      </c>
      <c r="AN92" s="232">
        <f>(AM92+AJ92)*FACTS!$S$2</f>
        <v>426721.20750000002</v>
      </c>
      <c r="AO92" s="101">
        <f>VLOOKUP(S92,FACTS!$A$17:$C$23,3,FALSE)</f>
        <v>1</v>
      </c>
      <c r="AP92" s="232">
        <f>VLOOKUP(AA92,FACTS!$B$2:$J$14,9,FALSE)</f>
        <v>244000</v>
      </c>
      <c r="AQ92" s="232">
        <f>Table1[[#This Row],[PARKING VALUE]]*1</f>
        <v>244000</v>
      </c>
      <c r="AR92" s="232">
        <f t="shared" si="11"/>
        <v>5264249.5</v>
      </c>
      <c r="AS92" s="440">
        <f>Table1[[#This Row],[TOTAL CARS VALUE]]+Table1[[#This Row],[UNIT (BUILDING) VALUE BASIC FINISHED]]+Table1[[#This Row],[UNIT (GARDEN) VALUE]]</f>
        <v>5547749.5</v>
      </c>
      <c r="AT92" s="232">
        <f>Table1[[#This Row],[TOTAL CARS VALUE]]+Table1[[#This Row],[UNIT (GARDEN) VALUE]]+Table1[[#This Row],[UNIT (BUILDING) VALUE FULLY FINISHED]]</f>
        <v>5736749.5</v>
      </c>
      <c r="AU92" s="233">
        <f>VLOOKUP(I92,'C PHASES'!$I$108:$J$110,2,FALSE)</f>
        <v>45839</v>
      </c>
      <c r="AV92" s="233">
        <f>VLOOKUP(AA92,'C PHASES'!$I$113:$J$125,2,FALSE)</f>
        <v>45839</v>
      </c>
    </row>
    <row r="93" spans="1:48" ht="15" customHeight="1" x14ac:dyDescent="0.25">
      <c r="A93" s="235" t="s">
        <v>24</v>
      </c>
      <c r="B93" s="227" t="str">
        <f t="shared" si="12"/>
        <v>A</v>
      </c>
      <c r="C93" s="227" t="s">
        <v>26</v>
      </c>
      <c r="D93" s="227" t="s">
        <v>1148</v>
      </c>
      <c r="E93" s="228">
        <v>0</v>
      </c>
      <c r="F93" s="101">
        <v>1</v>
      </c>
      <c r="G93" s="87" t="str">
        <f>LEFT(C93,2)&amp;E93&amp;F93</f>
        <v>A501</v>
      </c>
      <c r="H93" s="87" t="s">
        <v>1296</v>
      </c>
      <c r="I93" s="89" t="str">
        <f>VLOOKUP(C93,'PREMIUM TABLES'!$G$107:$H$149,2,FALSE)</f>
        <v>C1</v>
      </c>
      <c r="J93" s="87">
        <v>69.17</v>
      </c>
      <c r="K93" s="87">
        <v>88.322399999999988</v>
      </c>
      <c r="L93" s="87">
        <v>85</v>
      </c>
      <c r="M93" s="87">
        <v>24.4619</v>
      </c>
      <c r="O93" s="87" t="s">
        <v>184</v>
      </c>
      <c r="P93" s="87" t="s">
        <v>226</v>
      </c>
      <c r="Q93" s="229" t="s">
        <v>195</v>
      </c>
      <c r="R93" s="87" t="str">
        <f>VLOOKUP(E93,'PREMIUM TABLES'!$F$214:$G$219,2,FALSE)</f>
        <v>GROUND</v>
      </c>
      <c r="S93" s="87" t="str" cm="1">
        <f t="array" ref="S93">IF(AND(L93&gt;0,L93&lt;90),"A",IF(AND(L93&gt;90,L93&lt;123),"B",IF(AND(L93&gt;122,L93&lt;159),"C",IF(AND(L93&gt;159,L93&lt;185),"D",IF(AND(L93&gt;185,L93&lt;230),"E",IF(AND(L93&gt;230,L93&lt;350),"F",NONE))))))</f>
        <v>A</v>
      </c>
      <c r="T93" s="230">
        <f>VLOOKUP(O93,'PREMIUM TABLES'!$G$165:$H$172,2,FALSE)</f>
        <v>0.15</v>
      </c>
      <c r="U93" s="230">
        <f>VLOOKUP(P93,'PREMIUM TABLES'!$G$208:$H$209,2,FALSE)</f>
        <v>0.05</v>
      </c>
      <c r="V93" s="230">
        <f>VLOOKUP(Q93,'PREMIUM TABLES'!$G$175:$H$195,2,FALSE)</f>
        <v>0.25</v>
      </c>
      <c r="W93" s="230">
        <f>VLOOKUP(R93,'PREMIUM TABLES'!$G$214:$H$219,2,FALSE)</f>
        <v>0.05</v>
      </c>
      <c r="X93" s="230">
        <f>VLOOKUP(S93,'PREMIUM TABLES'!$F$199:$H$205,3,FALSE)</f>
        <v>0.05</v>
      </c>
      <c r="Y93" s="231">
        <f t="shared" si="13"/>
        <v>0.55000000000000004</v>
      </c>
      <c r="Z93" s="231" t="s">
        <v>732</v>
      </c>
      <c r="AA93" s="231" t="str">
        <f>VLOOKUP(G93,'ALL (R)'!$N$5:$R$862,5,FALSE)</f>
        <v>RH</v>
      </c>
      <c r="AB93" s="232">
        <f>VLOOKUP(AA93,FACTS!$B$2:$L$14,10,FALSE)</f>
        <v>76850</v>
      </c>
      <c r="AC93" s="232">
        <f>VLOOKUP(AA93,FACTS!$B$2:$L$14,11,FALSE)</f>
        <v>82950</v>
      </c>
      <c r="AD93" s="232">
        <f>VLOOKUP(AA93,FACTS!$B$2:$N$14,13,FALSE)</f>
        <v>6100</v>
      </c>
      <c r="AE93" s="232">
        <f t="shared" si="14"/>
        <v>3355.0000000000005</v>
      </c>
      <c r="AF93" s="232">
        <f t="shared" si="15"/>
        <v>80205</v>
      </c>
      <c r="AG93" s="232">
        <f>AF93*FACTS!$T$2</f>
        <v>26467.65</v>
      </c>
      <c r="AH93" s="232">
        <f>Table1[[#This Row],[UNIT (BUILDING) RATE (SEMI FINISHED)]]+4500</f>
        <v>84705</v>
      </c>
      <c r="AI93" s="232">
        <f>Table1[[#This Row],[UNIT (BUILDING) RATE (SEMI FINISHED)]]+7500</f>
        <v>87705</v>
      </c>
      <c r="AJ93" s="232">
        <f t="shared" si="16"/>
        <v>6817425</v>
      </c>
      <c r="AK93" s="232">
        <f>Table1[[#This Row],[UNIT (BUILDING) RATE (BASIC FINISH)]]*Table1[[#This Row],[Unit Selling Area]]</f>
        <v>7199925</v>
      </c>
      <c r="AL93" s="232">
        <f>Table1[[#This Row],[UNIT (BUILDING) RATE (FULLY FINISH)]]*Table1[[#This Row],[Unit Selling Area]]</f>
        <v>7454925</v>
      </c>
      <c r="AM93" s="232">
        <f t="shared" si="17"/>
        <v>647449.00753499998</v>
      </c>
      <c r="AN93" s="232">
        <f>(AM93+AJ93)*FACTS!$S$2</f>
        <v>634514.29064047511</v>
      </c>
      <c r="AO93" s="101">
        <f>VLOOKUP(S93,FACTS!$A$17:$C$23,3,FALSE)</f>
        <v>1</v>
      </c>
      <c r="AP93" s="232">
        <f>VLOOKUP(AA93,FACTS!$B$2:$J$14,9,FALSE)</f>
        <v>244000</v>
      </c>
      <c r="AQ93" s="232">
        <f>Table1[[#This Row],[PARKING VALUE]]*1</f>
        <v>244000</v>
      </c>
      <c r="AR93" s="232">
        <f t="shared" si="11"/>
        <v>7708874.0075350003</v>
      </c>
      <c r="AS93" s="440">
        <f>Table1[[#This Row],[TOTAL CARS VALUE]]+Table1[[#This Row],[UNIT (BUILDING) VALUE BASIC FINISHED]]+Table1[[#This Row],[UNIT (GARDEN) VALUE]]</f>
        <v>8091374.0075350003</v>
      </c>
      <c r="AT93" s="232">
        <f>Table1[[#This Row],[TOTAL CARS VALUE]]+Table1[[#This Row],[UNIT (GARDEN) VALUE]]+Table1[[#This Row],[UNIT (BUILDING) VALUE FULLY FINISHED]]</f>
        <v>8346374.0075350003</v>
      </c>
      <c r="AU93" s="233">
        <f>VLOOKUP(I93,'C PHASES'!$I$108:$J$110,2,FALSE)</f>
        <v>45839</v>
      </c>
      <c r="AV93" s="233">
        <f>VLOOKUP(AA93,'C PHASES'!$I$113:$J$125,2,FALSE)</f>
        <v>45839</v>
      </c>
    </row>
    <row r="94" spans="1:48" ht="15" customHeight="1" x14ac:dyDescent="0.25">
      <c r="A94" s="235"/>
      <c r="B94" s="227" t="str">
        <f t="shared" si="12"/>
        <v>A</v>
      </c>
      <c r="C94" s="227" t="s">
        <v>26</v>
      </c>
      <c r="D94" s="227" t="s">
        <v>1148</v>
      </c>
      <c r="E94" s="228">
        <v>0</v>
      </c>
      <c r="F94" s="101">
        <v>2</v>
      </c>
      <c r="G94" s="87" t="str">
        <f t="shared" ref="G94:G120" si="18">LEFT(C94,2)&amp;E94&amp;F94</f>
        <v>A502</v>
      </c>
      <c r="H94" s="87" t="s">
        <v>1296</v>
      </c>
      <c r="I94" s="89" t="str">
        <f>VLOOKUP(C94,'PREMIUM TABLES'!$G$107:$H$149,2,FALSE)</f>
        <v>C1</v>
      </c>
      <c r="J94" s="87">
        <v>68.59</v>
      </c>
      <c r="K94" s="87">
        <v>87.581804481711714</v>
      </c>
      <c r="L94" s="87">
        <v>84</v>
      </c>
      <c r="M94" s="87">
        <v>35.785600000000002</v>
      </c>
      <c r="O94" s="87" t="s">
        <v>185</v>
      </c>
      <c r="P94" s="87" t="s">
        <v>226</v>
      </c>
      <c r="Q94" s="229" t="s">
        <v>200</v>
      </c>
      <c r="R94" s="87" t="str">
        <f>VLOOKUP(E94,'PREMIUM TABLES'!$F$214:$G$219,2,FALSE)</f>
        <v>GROUND</v>
      </c>
      <c r="S94" s="87" t="str" cm="1">
        <f t="array" ref="S94">IF(AND(L94&gt;0,L94&lt;90),"A",IF(AND(L94&gt;90,L94&lt;123),"B",IF(AND(L94&gt;122,L94&lt;159),"C",IF(AND(L94&gt;159,L94&lt;185),"D",IF(AND(L94&gt;185,L94&lt;230),"E",IF(AND(L94&gt;230,L94&lt;350),"F",NONE))))))</f>
        <v>A</v>
      </c>
      <c r="T94" s="230">
        <f>VLOOKUP(O94,'PREMIUM TABLES'!$G$165:$H$172,2,FALSE)</f>
        <v>0.06</v>
      </c>
      <c r="U94" s="230">
        <f>VLOOKUP(P94,'PREMIUM TABLES'!$G$208:$H$209,2,FALSE)</f>
        <v>0.05</v>
      </c>
      <c r="V94" s="230">
        <f>VLOOKUP(Q94,'PREMIUM TABLES'!$G$175:$H$195,2,FALSE)</f>
        <v>0.1</v>
      </c>
      <c r="W94" s="230">
        <f>VLOOKUP(R94,'PREMIUM TABLES'!$G$214:$H$219,2,FALSE)</f>
        <v>0.05</v>
      </c>
      <c r="X94" s="230">
        <f>VLOOKUP(S94,'PREMIUM TABLES'!$F$199:$H$205,3,FALSE)</f>
        <v>0.05</v>
      </c>
      <c r="Y94" s="231">
        <f t="shared" si="13"/>
        <v>0.31</v>
      </c>
      <c r="Z94" s="231" t="s">
        <v>732</v>
      </c>
      <c r="AA94" s="231" t="str">
        <f>VLOOKUP(G94,'ALL (R)'!$N$5:$R$862,5,FALSE)</f>
        <v>RH</v>
      </c>
      <c r="AB94" s="232">
        <f>VLOOKUP(AA94,FACTS!$B$2:$L$14,10,FALSE)</f>
        <v>76850</v>
      </c>
      <c r="AC94" s="232">
        <f>VLOOKUP(AA94,FACTS!$B$2:$L$14,11,FALSE)</f>
        <v>82950</v>
      </c>
      <c r="AD94" s="232">
        <f>VLOOKUP(AA94,FACTS!$B$2:$N$14,13,FALSE)</f>
        <v>6100</v>
      </c>
      <c r="AE94" s="232">
        <f t="shared" si="14"/>
        <v>1891</v>
      </c>
      <c r="AF94" s="232">
        <f t="shared" si="15"/>
        <v>78741</v>
      </c>
      <c r="AG94" s="232">
        <f>AF94*FACTS!$T$2</f>
        <v>25984.530000000002</v>
      </c>
      <c r="AH94" s="232">
        <f>Table1[[#This Row],[UNIT (BUILDING) RATE (SEMI FINISHED)]]+4500</f>
        <v>83241</v>
      </c>
      <c r="AI94" s="232">
        <f>Table1[[#This Row],[UNIT (BUILDING) RATE (SEMI FINISHED)]]+7500</f>
        <v>86241</v>
      </c>
      <c r="AJ94" s="232">
        <f t="shared" si="16"/>
        <v>6614244</v>
      </c>
      <c r="AK94" s="232">
        <f>Table1[[#This Row],[UNIT (BUILDING) RATE (BASIC FINISH)]]*Table1[[#This Row],[Unit Selling Area]]</f>
        <v>6992244</v>
      </c>
      <c r="AL94" s="232">
        <f>Table1[[#This Row],[UNIT (BUILDING) RATE (FULLY FINISH)]]*Table1[[#This Row],[Unit Selling Area]]</f>
        <v>7244244</v>
      </c>
      <c r="AM94" s="232">
        <f t="shared" si="17"/>
        <v>929871.99676800019</v>
      </c>
      <c r="AN94" s="232">
        <f>(AM94+AJ94)*FACTS!$S$2</f>
        <v>641249.85972528008</v>
      </c>
      <c r="AO94" s="101">
        <f>VLOOKUP(S94,FACTS!$A$17:$C$23,3,FALSE)</f>
        <v>1</v>
      </c>
      <c r="AP94" s="232">
        <f>VLOOKUP(AA94,FACTS!$B$2:$J$14,9,FALSE)</f>
        <v>244000</v>
      </c>
      <c r="AQ94" s="232">
        <f>Table1[[#This Row],[PARKING VALUE]]*1</f>
        <v>244000</v>
      </c>
      <c r="AR94" s="232">
        <f t="shared" si="11"/>
        <v>7788115.9967679996</v>
      </c>
      <c r="AS94" s="440">
        <f>Table1[[#This Row],[TOTAL CARS VALUE]]+Table1[[#This Row],[UNIT (BUILDING) VALUE BASIC FINISHED]]+Table1[[#This Row],[UNIT (GARDEN) VALUE]]</f>
        <v>8166115.9967680005</v>
      </c>
      <c r="AT94" s="232">
        <f>Table1[[#This Row],[TOTAL CARS VALUE]]+Table1[[#This Row],[UNIT (GARDEN) VALUE]]+Table1[[#This Row],[UNIT (BUILDING) VALUE FULLY FINISHED]]</f>
        <v>8418115.9967679996</v>
      </c>
      <c r="AU94" s="233">
        <f>VLOOKUP(I94,'C PHASES'!$I$108:$J$110,2,FALSE)</f>
        <v>45839</v>
      </c>
      <c r="AV94" s="233">
        <f>VLOOKUP(AA94,'C PHASES'!$I$113:$J$125,2,FALSE)</f>
        <v>45839</v>
      </c>
    </row>
    <row r="95" spans="1:48" ht="15" customHeight="1" x14ac:dyDescent="0.25">
      <c r="A95" s="235"/>
      <c r="B95" s="227" t="str">
        <f t="shared" si="12"/>
        <v>A</v>
      </c>
      <c r="C95" s="227" t="s">
        <v>26</v>
      </c>
      <c r="D95" s="227" t="s">
        <v>1148</v>
      </c>
      <c r="E95" s="228">
        <v>0</v>
      </c>
      <c r="F95" s="101">
        <v>3</v>
      </c>
      <c r="G95" s="87" t="str">
        <f t="shared" si="18"/>
        <v>A503</v>
      </c>
      <c r="H95" s="87" t="s">
        <v>1296</v>
      </c>
      <c r="I95" s="89" t="str">
        <f>VLOOKUP(C95,'PREMIUM TABLES'!$G$107:$H$149,2,FALSE)</f>
        <v>C1</v>
      </c>
      <c r="J95" s="87">
        <v>51.02</v>
      </c>
      <c r="K95" s="87">
        <v>65.146867832875529</v>
      </c>
      <c r="L95" s="87">
        <v>63</v>
      </c>
      <c r="M95" s="87">
        <v>34.889099999999999</v>
      </c>
      <c r="O95" s="87" t="s">
        <v>185</v>
      </c>
      <c r="P95" s="87" t="s">
        <v>190</v>
      </c>
      <c r="Q95" s="229" t="s">
        <v>200</v>
      </c>
      <c r="R95" s="87" t="str">
        <f>VLOOKUP(E95,'PREMIUM TABLES'!$F$214:$G$219,2,FALSE)</f>
        <v>GROUND</v>
      </c>
      <c r="S95" s="87" t="str" cm="1">
        <f t="array" ref="S95">IF(AND(L95&gt;0,L95&lt;90),"A",IF(AND(L95&gt;90,L95&lt;123),"B",IF(AND(L95&gt;122,L95&lt;159),"C",IF(AND(L95&gt;159,L95&lt;185),"D",IF(AND(L95&gt;185,L95&lt;230),"E",IF(AND(L95&gt;230,L95&lt;350),"F",NONE))))))</f>
        <v>A</v>
      </c>
      <c r="T95" s="230">
        <f>VLOOKUP(O95,'PREMIUM TABLES'!$G$165:$H$172,2,FALSE)</f>
        <v>0.06</v>
      </c>
      <c r="U95" s="230">
        <f>VLOOKUP(P95,'PREMIUM TABLES'!$G$208:$H$209,2,FALSE)</f>
        <v>2.5000000000000001E-2</v>
      </c>
      <c r="V95" s="230">
        <f>VLOOKUP(Q95,'PREMIUM TABLES'!$G$175:$H$195,2,FALSE)</f>
        <v>0.1</v>
      </c>
      <c r="W95" s="230">
        <f>VLOOKUP(R95,'PREMIUM TABLES'!$G$214:$H$219,2,FALSE)</f>
        <v>0.05</v>
      </c>
      <c r="X95" s="230">
        <f>VLOOKUP(S95,'PREMIUM TABLES'!$F$199:$H$205,3,FALSE)</f>
        <v>0.05</v>
      </c>
      <c r="Y95" s="231">
        <f t="shared" si="13"/>
        <v>0.28499999999999998</v>
      </c>
      <c r="Z95" s="231" t="s">
        <v>732</v>
      </c>
      <c r="AA95" s="231" t="str">
        <f>VLOOKUP(G95,'ALL (R)'!$N$5:$R$862,5,FALSE)</f>
        <v>RH</v>
      </c>
      <c r="AB95" s="232">
        <f>VLOOKUP(AA95,FACTS!$B$2:$L$14,10,FALSE)</f>
        <v>76850</v>
      </c>
      <c r="AC95" s="232">
        <f>VLOOKUP(AA95,FACTS!$B$2:$L$14,11,FALSE)</f>
        <v>82950</v>
      </c>
      <c r="AD95" s="232">
        <f>VLOOKUP(AA95,FACTS!$B$2:$N$14,13,FALSE)</f>
        <v>6100</v>
      </c>
      <c r="AE95" s="232">
        <f t="shared" si="14"/>
        <v>1738.4999999999998</v>
      </c>
      <c r="AF95" s="232">
        <f t="shared" si="15"/>
        <v>78588.5</v>
      </c>
      <c r="AG95" s="232">
        <f>AF95*FACTS!$T$2</f>
        <v>25934.205000000002</v>
      </c>
      <c r="AH95" s="232">
        <f>Table1[[#This Row],[UNIT (BUILDING) RATE (SEMI FINISHED)]]+4500</f>
        <v>83088.5</v>
      </c>
      <c r="AI95" s="232">
        <f>Table1[[#This Row],[UNIT (BUILDING) RATE (SEMI FINISHED)]]+7500</f>
        <v>86088.5</v>
      </c>
      <c r="AJ95" s="232">
        <f t="shared" si="16"/>
        <v>4951075.5</v>
      </c>
      <c r="AK95" s="232">
        <f>Table1[[#This Row],[UNIT (BUILDING) RATE (BASIC FINISH)]]*Table1[[#This Row],[Unit Selling Area]]</f>
        <v>5234575.5</v>
      </c>
      <c r="AL95" s="232">
        <f>Table1[[#This Row],[UNIT (BUILDING) RATE (FULLY FINISH)]]*Table1[[#This Row],[Unit Selling Area]]</f>
        <v>5423575.5</v>
      </c>
      <c r="AM95" s="232">
        <f t="shared" si="17"/>
        <v>904821.07166550006</v>
      </c>
      <c r="AN95" s="232">
        <f>(AM95+AJ95)*FACTS!$S$2</f>
        <v>497751.20859156759</v>
      </c>
      <c r="AO95" s="101">
        <f>VLOOKUP(S95,FACTS!$A$17:$C$23,3,FALSE)</f>
        <v>1</v>
      </c>
      <c r="AP95" s="232">
        <f>VLOOKUP(AA95,FACTS!$B$2:$J$14,9,FALSE)</f>
        <v>244000</v>
      </c>
      <c r="AQ95" s="232">
        <f>Table1[[#This Row],[PARKING VALUE]]*1</f>
        <v>244000</v>
      </c>
      <c r="AR95" s="232">
        <f t="shared" si="11"/>
        <v>6099896.5716655003</v>
      </c>
      <c r="AS95" s="440">
        <f>Table1[[#This Row],[TOTAL CARS VALUE]]+Table1[[#This Row],[UNIT (BUILDING) VALUE BASIC FINISHED]]+Table1[[#This Row],[UNIT (GARDEN) VALUE]]</f>
        <v>6383396.5716655003</v>
      </c>
      <c r="AT95" s="232">
        <f>Table1[[#This Row],[TOTAL CARS VALUE]]+Table1[[#This Row],[UNIT (GARDEN) VALUE]]+Table1[[#This Row],[UNIT (BUILDING) VALUE FULLY FINISHED]]</f>
        <v>6572396.5716655003</v>
      </c>
      <c r="AU95" s="233">
        <f>VLOOKUP(I95,'C PHASES'!$I$108:$J$110,2,FALSE)</f>
        <v>45839</v>
      </c>
      <c r="AV95" s="233">
        <f>VLOOKUP(AA95,'C PHASES'!$I$113:$J$125,2,FALSE)</f>
        <v>45839</v>
      </c>
    </row>
    <row r="96" spans="1:48" ht="15" customHeight="1" x14ac:dyDescent="0.25">
      <c r="A96" s="235"/>
      <c r="B96" s="227" t="str">
        <f t="shared" si="12"/>
        <v>A</v>
      </c>
      <c r="C96" s="227" t="s">
        <v>26</v>
      </c>
      <c r="D96" s="227" t="s">
        <v>1148</v>
      </c>
      <c r="E96" s="228">
        <v>0</v>
      </c>
      <c r="F96" s="101">
        <v>4</v>
      </c>
      <c r="G96" s="87" t="str">
        <f t="shared" si="18"/>
        <v>A504</v>
      </c>
      <c r="H96" s="87" t="s">
        <v>1296</v>
      </c>
      <c r="I96" s="89" t="str">
        <f>VLOOKUP(C96,'PREMIUM TABLES'!$G$107:$H$149,2,FALSE)</f>
        <v>C1</v>
      </c>
      <c r="J96" s="87">
        <v>63.16</v>
      </c>
      <c r="K96" s="87">
        <v>80.648298163943892</v>
      </c>
      <c r="L96" s="87">
        <v>78</v>
      </c>
      <c r="M96" s="87">
        <v>37.717199999999998</v>
      </c>
      <c r="O96" s="87" t="s">
        <v>185</v>
      </c>
      <c r="P96" s="87" t="s">
        <v>190</v>
      </c>
      <c r="Q96" s="229" t="s">
        <v>200</v>
      </c>
      <c r="R96" s="87" t="str">
        <f>VLOOKUP(E96,'PREMIUM TABLES'!$F$214:$G$219,2,FALSE)</f>
        <v>GROUND</v>
      </c>
      <c r="S96" s="87" t="str" cm="1">
        <f t="array" ref="S96">IF(AND(L96&gt;0,L96&lt;90),"A",IF(AND(L96&gt;90,L96&lt;123),"B",IF(AND(L96&gt;122,L96&lt;159),"C",IF(AND(L96&gt;159,L96&lt;185),"D",IF(AND(L96&gt;185,L96&lt;230),"E",IF(AND(L96&gt;230,L96&lt;350),"F",NONE))))))</f>
        <v>A</v>
      </c>
      <c r="T96" s="230">
        <f>VLOOKUP(O96,'PREMIUM TABLES'!$G$165:$H$172,2,FALSE)</f>
        <v>0.06</v>
      </c>
      <c r="U96" s="230">
        <f>VLOOKUP(P96,'PREMIUM TABLES'!$G$208:$H$209,2,FALSE)</f>
        <v>2.5000000000000001E-2</v>
      </c>
      <c r="V96" s="230">
        <f>VLOOKUP(Q96,'PREMIUM TABLES'!$G$175:$H$195,2,FALSE)</f>
        <v>0.1</v>
      </c>
      <c r="W96" s="230">
        <f>VLOOKUP(R96,'PREMIUM TABLES'!$G$214:$H$219,2,FALSE)</f>
        <v>0.05</v>
      </c>
      <c r="X96" s="230">
        <f>VLOOKUP(S96,'PREMIUM TABLES'!$F$199:$H$205,3,FALSE)</f>
        <v>0.05</v>
      </c>
      <c r="Y96" s="231">
        <f t="shared" si="13"/>
        <v>0.28499999999999998</v>
      </c>
      <c r="Z96" s="231" t="s">
        <v>732</v>
      </c>
      <c r="AA96" s="231" t="str">
        <f>VLOOKUP(G96,'ALL (R)'!$N$5:$R$862,5,FALSE)</f>
        <v>RH</v>
      </c>
      <c r="AB96" s="232">
        <f>VLOOKUP(AA96,FACTS!$B$2:$L$14,10,FALSE)</f>
        <v>76850</v>
      </c>
      <c r="AC96" s="232">
        <f>VLOOKUP(AA96,FACTS!$B$2:$L$14,11,FALSE)</f>
        <v>82950</v>
      </c>
      <c r="AD96" s="232">
        <f>VLOOKUP(AA96,FACTS!$B$2:$N$14,13,FALSE)</f>
        <v>6100</v>
      </c>
      <c r="AE96" s="232">
        <f t="shared" si="14"/>
        <v>1738.4999999999998</v>
      </c>
      <c r="AF96" s="232">
        <f t="shared" si="15"/>
        <v>78588.5</v>
      </c>
      <c r="AG96" s="232">
        <f>AF96*FACTS!$T$2</f>
        <v>25934.205000000002</v>
      </c>
      <c r="AH96" s="232">
        <f>Table1[[#This Row],[UNIT (BUILDING) RATE (SEMI FINISHED)]]+4500</f>
        <v>83088.5</v>
      </c>
      <c r="AI96" s="232">
        <f>Table1[[#This Row],[UNIT (BUILDING) RATE (SEMI FINISHED)]]+7500</f>
        <v>86088.5</v>
      </c>
      <c r="AJ96" s="232">
        <f t="shared" si="16"/>
        <v>6129903</v>
      </c>
      <c r="AK96" s="232">
        <f>Table1[[#This Row],[UNIT (BUILDING) RATE (BASIC FINISH)]]*Table1[[#This Row],[Unit Selling Area]]</f>
        <v>6480903</v>
      </c>
      <c r="AL96" s="232">
        <f>Table1[[#This Row],[UNIT (BUILDING) RATE (FULLY FINISH)]]*Table1[[#This Row],[Unit Selling Area]]</f>
        <v>6714903</v>
      </c>
      <c r="AM96" s="232">
        <f t="shared" si="17"/>
        <v>978165.59682600002</v>
      </c>
      <c r="AN96" s="232">
        <f>(AM96+AJ96)*FACTS!$S$2</f>
        <v>604185.83073021006</v>
      </c>
      <c r="AO96" s="101">
        <f>VLOOKUP(S96,FACTS!$A$17:$C$23,3,FALSE)</f>
        <v>1</v>
      </c>
      <c r="AP96" s="232">
        <f>VLOOKUP(AA96,FACTS!$B$2:$J$14,9,FALSE)</f>
        <v>244000</v>
      </c>
      <c r="AQ96" s="232">
        <f>Table1[[#This Row],[PARKING VALUE]]*1</f>
        <v>244000</v>
      </c>
      <c r="AR96" s="232">
        <f t="shared" si="11"/>
        <v>7352068.5968260001</v>
      </c>
      <c r="AS96" s="440">
        <f>Table1[[#This Row],[TOTAL CARS VALUE]]+Table1[[#This Row],[UNIT (BUILDING) VALUE BASIC FINISHED]]+Table1[[#This Row],[UNIT (GARDEN) VALUE]]</f>
        <v>7703068.5968260001</v>
      </c>
      <c r="AT96" s="232">
        <f>Table1[[#This Row],[TOTAL CARS VALUE]]+Table1[[#This Row],[UNIT (GARDEN) VALUE]]+Table1[[#This Row],[UNIT (BUILDING) VALUE FULLY FINISHED]]</f>
        <v>7937068.5968260001</v>
      </c>
      <c r="AU96" s="233">
        <f>VLOOKUP(I96,'C PHASES'!$I$108:$J$110,2,FALSE)</f>
        <v>45839</v>
      </c>
      <c r="AV96" s="233">
        <f>VLOOKUP(AA96,'C PHASES'!$I$113:$J$125,2,FALSE)</f>
        <v>45839</v>
      </c>
    </row>
    <row r="97" spans="1:48" ht="15" customHeight="1" x14ac:dyDescent="0.25">
      <c r="A97" s="235"/>
      <c r="B97" s="227" t="str">
        <f t="shared" si="12"/>
        <v>A</v>
      </c>
      <c r="C97" s="227" t="s">
        <v>26</v>
      </c>
      <c r="D97" s="227" t="s">
        <v>1148</v>
      </c>
      <c r="E97" s="228">
        <v>0</v>
      </c>
      <c r="F97" s="101">
        <v>5</v>
      </c>
      <c r="G97" s="87" t="str">
        <f t="shared" si="18"/>
        <v>A505</v>
      </c>
      <c r="H97" s="87" t="s">
        <v>1296</v>
      </c>
      <c r="I97" s="89" t="str">
        <f>VLOOKUP(C97,'PREMIUM TABLES'!$G$107:$H$149,2,FALSE)</f>
        <v>C1</v>
      </c>
      <c r="J97" s="87">
        <v>63.79</v>
      </c>
      <c r="K97" s="87">
        <v>81.452738123463917</v>
      </c>
      <c r="L97" s="87">
        <v>78</v>
      </c>
      <c r="M97" s="87">
        <v>24.668800000000001</v>
      </c>
      <c r="O97" s="87" t="s">
        <v>184</v>
      </c>
      <c r="P97" s="87" t="s">
        <v>190</v>
      </c>
      <c r="Q97" s="229" t="s">
        <v>198</v>
      </c>
      <c r="R97" s="87" t="str">
        <f>VLOOKUP(E97,'PREMIUM TABLES'!$F$214:$G$219,2,FALSE)</f>
        <v>GROUND</v>
      </c>
      <c r="S97" s="87" t="str" cm="1">
        <f t="array" ref="S97">IF(AND(L97&gt;0,L97&lt;90),"A",IF(AND(L97&gt;90,L97&lt;123),"B",IF(AND(L97&gt;122,L97&lt;159),"C",IF(AND(L97&gt;159,L97&lt;185),"D",IF(AND(L97&gt;185,L97&lt;230),"E",IF(AND(L97&gt;230,L97&lt;350),"F",NONE))))))</f>
        <v>A</v>
      </c>
      <c r="T97" s="230">
        <f>VLOOKUP(O97,'PREMIUM TABLES'!$G$165:$H$172,2,FALSE)</f>
        <v>0.15</v>
      </c>
      <c r="U97" s="230">
        <f>VLOOKUP(P97,'PREMIUM TABLES'!$G$208:$H$209,2,FALSE)</f>
        <v>2.5000000000000001E-2</v>
      </c>
      <c r="V97" s="230">
        <f>VLOOKUP(Q97,'PREMIUM TABLES'!$G$175:$H$195,2,FALSE)</f>
        <v>0.15</v>
      </c>
      <c r="W97" s="230">
        <f>VLOOKUP(R97,'PREMIUM TABLES'!$G$214:$H$219,2,FALSE)</f>
        <v>0.05</v>
      </c>
      <c r="X97" s="230">
        <f>VLOOKUP(S97,'PREMIUM TABLES'!$F$199:$H$205,3,FALSE)</f>
        <v>0.05</v>
      </c>
      <c r="Y97" s="231">
        <f t="shared" si="13"/>
        <v>0.42499999999999993</v>
      </c>
      <c r="Z97" s="231" t="s">
        <v>732</v>
      </c>
      <c r="AA97" s="231" t="str">
        <f>VLOOKUP(G97,'ALL (R)'!$N$5:$R$862,5,FALSE)</f>
        <v>RH</v>
      </c>
      <c r="AB97" s="232">
        <f>VLOOKUP(AA97,FACTS!$B$2:$L$14,10,FALSE)</f>
        <v>76850</v>
      </c>
      <c r="AC97" s="232">
        <f>VLOOKUP(AA97,FACTS!$B$2:$L$14,11,FALSE)</f>
        <v>82950</v>
      </c>
      <c r="AD97" s="232">
        <f>VLOOKUP(AA97,FACTS!$B$2:$N$14,13,FALSE)</f>
        <v>6100</v>
      </c>
      <c r="AE97" s="232">
        <f t="shared" si="14"/>
        <v>2592.4999999999995</v>
      </c>
      <c r="AF97" s="232">
        <f t="shared" si="15"/>
        <v>79442.5</v>
      </c>
      <c r="AG97" s="232">
        <f>AF97*FACTS!$T$2</f>
        <v>26216.025000000001</v>
      </c>
      <c r="AH97" s="232">
        <f>Table1[[#This Row],[UNIT (BUILDING) RATE (SEMI FINISHED)]]+4500</f>
        <v>83942.5</v>
      </c>
      <c r="AI97" s="232">
        <f>Table1[[#This Row],[UNIT (BUILDING) RATE (SEMI FINISHED)]]+7500</f>
        <v>86942.5</v>
      </c>
      <c r="AJ97" s="232">
        <f t="shared" si="16"/>
        <v>6196515</v>
      </c>
      <c r="AK97" s="232">
        <f>Table1[[#This Row],[UNIT (BUILDING) RATE (BASIC FINISH)]]*Table1[[#This Row],[Unit Selling Area]]</f>
        <v>6547515</v>
      </c>
      <c r="AL97" s="232">
        <f>Table1[[#This Row],[UNIT (BUILDING) RATE (FULLY FINISH)]]*Table1[[#This Row],[Unit Selling Area]]</f>
        <v>6781515</v>
      </c>
      <c r="AM97" s="232">
        <f t="shared" si="17"/>
        <v>646717.8775200001</v>
      </c>
      <c r="AN97" s="232">
        <f>(AM97+AJ97)*FACTS!$S$2</f>
        <v>581674.79458920006</v>
      </c>
      <c r="AO97" s="101">
        <f>VLOOKUP(S97,FACTS!$A$17:$C$23,3,FALSE)</f>
        <v>1</v>
      </c>
      <c r="AP97" s="232">
        <f>VLOOKUP(AA97,FACTS!$B$2:$J$14,9,FALSE)</f>
        <v>244000</v>
      </c>
      <c r="AQ97" s="232">
        <f>Table1[[#This Row],[PARKING VALUE]]*1</f>
        <v>244000</v>
      </c>
      <c r="AR97" s="232">
        <f t="shared" si="11"/>
        <v>7087232.8775200006</v>
      </c>
      <c r="AS97" s="440">
        <f>Table1[[#This Row],[TOTAL CARS VALUE]]+Table1[[#This Row],[UNIT (BUILDING) VALUE BASIC FINISHED]]+Table1[[#This Row],[UNIT (GARDEN) VALUE]]</f>
        <v>7438232.8775200006</v>
      </c>
      <c r="AT97" s="232">
        <f>Table1[[#This Row],[TOTAL CARS VALUE]]+Table1[[#This Row],[UNIT (GARDEN) VALUE]]+Table1[[#This Row],[UNIT (BUILDING) VALUE FULLY FINISHED]]</f>
        <v>7672232.8775200006</v>
      </c>
      <c r="AU97" s="233">
        <f>VLOOKUP(I97,'C PHASES'!$I$108:$J$110,2,FALSE)</f>
        <v>45839</v>
      </c>
      <c r="AV97" s="233">
        <f>VLOOKUP(AA97,'C PHASES'!$I$113:$J$125,2,FALSE)</f>
        <v>45839</v>
      </c>
    </row>
    <row r="98" spans="1:48" ht="15" customHeight="1" x14ac:dyDescent="0.25">
      <c r="A98" s="235"/>
      <c r="B98" s="227" t="str">
        <f t="shared" si="12"/>
        <v>A</v>
      </c>
      <c r="C98" s="227" t="s">
        <v>26</v>
      </c>
      <c r="D98" s="227" t="s">
        <v>1148</v>
      </c>
      <c r="E98" s="228">
        <v>1</v>
      </c>
      <c r="F98" s="101">
        <v>1</v>
      </c>
      <c r="G98" s="87" t="str">
        <f t="shared" si="18"/>
        <v>A511</v>
      </c>
      <c r="H98" s="87" t="s">
        <v>1296</v>
      </c>
      <c r="I98" s="89" t="str">
        <f>VLOOKUP(C98,'PREMIUM TABLES'!$G$107:$H$149,2,FALSE)</f>
        <v>C1</v>
      </c>
      <c r="J98" s="87">
        <v>69.17</v>
      </c>
      <c r="K98" s="87">
        <v>88.322399999999988</v>
      </c>
      <c r="L98" s="87">
        <v>85</v>
      </c>
      <c r="O98" s="87" t="s">
        <v>184</v>
      </c>
      <c r="P98" s="87" t="s">
        <v>226</v>
      </c>
      <c r="Q98" s="229" t="s">
        <v>195</v>
      </c>
      <c r="R98" s="87" t="str">
        <f>VLOOKUP(E98,'PREMIUM TABLES'!$F$214:$G$219,2,FALSE)</f>
        <v>FIRST</v>
      </c>
      <c r="S98" s="87" t="str" cm="1">
        <f t="array" ref="S98">IF(AND(L98&gt;0,L98&lt;90),"A",IF(AND(L98&gt;90,L98&lt;123),"B",IF(AND(L98&gt;122,L98&lt;159),"C",IF(AND(L98&gt;159,L98&lt;185),"D",IF(AND(L98&gt;185,L98&lt;230),"E",IF(AND(L98&gt;230,L98&lt;350),"F",NONE))))))</f>
        <v>A</v>
      </c>
      <c r="T98" s="230">
        <f>VLOOKUP(O98,'PREMIUM TABLES'!$G$165:$H$172,2,FALSE)</f>
        <v>0.15</v>
      </c>
      <c r="U98" s="230">
        <f>VLOOKUP(P98,'PREMIUM TABLES'!$G$208:$H$209,2,FALSE)</f>
        <v>0.05</v>
      </c>
      <c r="V98" s="230">
        <f>VLOOKUP(Q98,'PREMIUM TABLES'!$G$175:$H$195,2,FALSE)</f>
        <v>0.25</v>
      </c>
      <c r="W98" s="230">
        <f>VLOOKUP(R98,'PREMIUM TABLES'!$G$214:$H$219,2,FALSE)</f>
        <v>7.0000000000000007E-2</v>
      </c>
      <c r="X98" s="230">
        <f>VLOOKUP(S98,'PREMIUM TABLES'!$F$199:$H$205,3,FALSE)</f>
        <v>0.05</v>
      </c>
      <c r="Y98" s="231">
        <f t="shared" si="13"/>
        <v>0.57000000000000006</v>
      </c>
      <c r="Z98" s="231" t="s">
        <v>732</v>
      </c>
      <c r="AA98" s="231" t="str">
        <f>VLOOKUP(G98,'ALL (R)'!$N$5:$R$862,5,FALSE)</f>
        <v>RH</v>
      </c>
      <c r="AB98" s="232">
        <f>VLOOKUP(AA98,FACTS!$B$2:$L$14,10,FALSE)</f>
        <v>76850</v>
      </c>
      <c r="AC98" s="232">
        <f>VLOOKUP(AA98,FACTS!$B$2:$L$14,11,FALSE)</f>
        <v>82950</v>
      </c>
      <c r="AD98" s="232">
        <f>VLOOKUP(AA98,FACTS!$B$2:$N$14,13,FALSE)</f>
        <v>6100</v>
      </c>
      <c r="AE98" s="232">
        <f t="shared" si="14"/>
        <v>3477.0000000000005</v>
      </c>
      <c r="AF98" s="232">
        <f t="shared" si="15"/>
        <v>80327</v>
      </c>
      <c r="AG98" s="232">
        <f>AF98*FACTS!$T$2</f>
        <v>26507.91</v>
      </c>
      <c r="AH98" s="232">
        <f>Table1[[#This Row],[UNIT (BUILDING) RATE (SEMI FINISHED)]]+4500</f>
        <v>84827</v>
      </c>
      <c r="AI98" s="232">
        <f>Table1[[#This Row],[UNIT (BUILDING) RATE (SEMI FINISHED)]]+7500</f>
        <v>87827</v>
      </c>
      <c r="AJ98" s="232">
        <f t="shared" si="16"/>
        <v>6827795</v>
      </c>
      <c r="AK98" s="232">
        <f>Table1[[#This Row],[UNIT (BUILDING) RATE (BASIC FINISH)]]*Table1[[#This Row],[Unit Selling Area]]</f>
        <v>7210295</v>
      </c>
      <c r="AL98" s="232">
        <f>Table1[[#This Row],[UNIT (BUILDING) RATE (FULLY FINISH)]]*Table1[[#This Row],[Unit Selling Area]]</f>
        <v>7465295</v>
      </c>
      <c r="AM98" s="232">
        <f t="shared" si="17"/>
        <v>0</v>
      </c>
      <c r="AN98" s="232">
        <f>(AM98+AJ98)*FACTS!$S$2</f>
        <v>580362.57500000007</v>
      </c>
      <c r="AO98" s="101">
        <f>VLOOKUP(S98,FACTS!$A$17:$C$23,3,FALSE)</f>
        <v>1</v>
      </c>
      <c r="AP98" s="232">
        <f>VLOOKUP(AA98,FACTS!$B$2:$J$14,9,FALSE)</f>
        <v>244000</v>
      </c>
      <c r="AQ98" s="232">
        <f>Table1[[#This Row],[PARKING VALUE]]*1</f>
        <v>244000</v>
      </c>
      <c r="AR98" s="232">
        <f t="shared" si="11"/>
        <v>7071795</v>
      </c>
      <c r="AS98" s="440">
        <f>Table1[[#This Row],[TOTAL CARS VALUE]]+Table1[[#This Row],[UNIT (BUILDING) VALUE BASIC FINISHED]]+Table1[[#This Row],[UNIT (GARDEN) VALUE]]</f>
        <v>7454295</v>
      </c>
      <c r="AT98" s="232">
        <f>Table1[[#This Row],[TOTAL CARS VALUE]]+Table1[[#This Row],[UNIT (GARDEN) VALUE]]+Table1[[#This Row],[UNIT (BUILDING) VALUE FULLY FINISHED]]</f>
        <v>7709295</v>
      </c>
      <c r="AU98" s="233">
        <f>VLOOKUP(I98,'C PHASES'!$I$108:$J$110,2,FALSE)</f>
        <v>45839</v>
      </c>
      <c r="AV98" s="233">
        <f>VLOOKUP(AA98,'C PHASES'!$I$113:$J$125,2,FALSE)</f>
        <v>45839</v>
      </c>
    </row>
    <row r="99" spans="1:48" ht="15" customHeight="1" x14ac:dyDescent="0.25">
      <c r="A99" s="235"/>
      <c r="B99" s="227" t="str">
        <f t="shared" si="12"/>
        <v>A</v>
      </c>
      <c r="C99" s="227" t="s">
        <v>26</v>
      </c>
      <c r="D99" s="227" t="s">
        <v>1148</v>
      </c>
      <c r="E99" s="228">
        <v>1</v>
      </c>
      <c r="F99" s="101">
        <v>2</v>
      </c>
      <c r="G99" s="87" t="str">
        <f t="shared" si="18"/>
        <v>A512</v>
      </c>
      <c r="H99" s="87" t="s">
        <v>1296</v>
      </c>
      <c r="I99" s="89" t="str">
        <f>VLOOKUP(C99,'PREMIUM TABLES'!$G$107:$H$149,2,FALSE)</f>
        <v>C1</v>
      </c>
      <c r="J99" s="87">
        <v>68.59</v>
      </c>
      <c r="K99" s="87">
        <v>87.581804481711714</v>
      </c>
      <c r="L99" s="87">
        <v>84</v>
      </c>
      <c r="O99" s="87" t="s">
        <v>185</v>
      </c>
      <c r="P99" s="87" t="s">
        <v>226</v>
      </c>
      <c r="Q99" s="229" t="s">
        <v>215</v>
      </c>
      <c r="R99" s="87" t="str">
        <f>VLOOKUP(E99,'PREMIUM TABLES'!$F$214:$G$219,2,FALSE)</f>
        <v>FIRST</v>
      </c>
      <c r="S99" s="87" t="str" cm="1">
        <f t="array" ref="S99">IF(AND(L99&gt;0,L99&lt;90),"A",IF(AND(L99&gt;90,L99&lt;123),"B",IF(AND(L99&gt;122,L99&lt;159),"C",IF(AND(L99&gt;159,L99&lt;185),"D",IF(AND(L99&gt;185,L99&lt;230),"E",IF(AND(L99&gt;230,L99&lt;350),"F",NONE))))))</f>
        <v>A</v>
      </c>
      <c r="T99" s="230">
        <f>VLOOKUP(O99,'PREMIUM TABLES'!$G$165:$H$172,2,FALSE)</f>
        <v>0.06</v>
      </c>
      <c r="U99" s="230">
        <f>VLOOKUP(P99,'PREMIUM TABLES'!$G$208:$H$209,2,FALSE)</f>
        <v>0.05</v>
      </c>
      <c r="V99" s="230">
        <f>VLOOKUP(Q99,'PREMIUM TABLES'!$G$175:$H$195,2,FALSE)</f>
        <v>0.2</v>
      </c>
      <c r="W99" s="230">
        <f>VLOOKUP(R99,'PREMIUM TABLES'!$G$214:$H$219,2,FALSE)</f>
        <v>7.0000000000000007E-2</v>
      </c>
      <c r="X99" s="230">
        <f>VLOOKUP(S99,'PREMIUM TABLES'!$F$199:$H$205,3,FALSE)</f>
        <v>0.05</v>
      </c>
      <c r="Y99" s="231">
        <f t="shared" si="13"/>
        <v>0.43</v>
      </c>
      <c r="Z99" s="231" t="s">
        <v>732</v>
      </c>
      <c r="AA99" s="231" t="str">
        <f>VLOOKUP(G99,'ALL (R)'!$N$5:$R$862,5,FALSE)</f>
        <v>RH</v>
      </c>
      <c r="AB99" s="232">
        <f>VLOOKUP(AA99,FACTS!$B$2:$L$14,10,FALSE)</f>
        <v>76850</v>
      </c>
      <c r="AC99" s="232">
        <f>VLOOKUP(AA99,FACTS!$B$2:$L$14,11,FALSE)</f>
        <v>82950</v>
      </c>
      <c r="AD99" s="232">
        <f>VLOOKUP(AA99,FACTS!$B$2:$N$14,13,FALSE)</f>
        <v>6100</v>
      </c>
      <c r="AE99" s="232">
        <f t="shared" si="14"/>
        <v>2623</v>
      </c>
      <c r="AF99" s="232">
        <f t="shared" si="15"/>
        <v>79473</v>
      </c>
      <c r="AG99" s="232">
        <f>AF99*FACTS!$T$2</f>
        <v>26226.09</v>
      </c>
      <c r="AH99" s="232">
        <f>Table1[[#This Row],[UNIT (BUILDING) RATE (SEMI FINISHED)]]+4500</f>
        <v>83973</v>
      </c>
      <c r="AI99" s="232">
        <f>Table1[[#This Row],[UNIT (BUILDING) RATE (SEMI FINISHED)]]+7500</f>
        <v>86973</v>
      </c>
      <c r="AJ99" s="232">
        <f t="shared" si="16"/>
        <v>6675732</v>
      </c>
      <c r="AK99" s="232">
        <f>Table1[[#This Row],[UNIT (BUILDING) RATE (BASIC FINISH)]]*Table1[[#This Row],[Unit Selling Area]]</f>
        <v>7053732</v>
      </c>
      <c r="AL99" s="232">
        <f>Table1[[#This Row],[UNIT (BUILDING) RATE (FULLY FINISH)]]*Table1[[#This Row],[Unit Selling Area]]</f>
        <v>7305732</v>
      </c>
      <c r="AM99" s="232">
        <f t="shared" si="17"/>
        <v>0</v>
      </c>
      <c r="AN99" s="232">
        <f>(AM99+AJ99)*FACTS!$S$2</f>
        <v>567437.22000000009</v>
      </c>
      <c r="AO99" s="101">
        <f>VLOOKUP(S99,FACTS!$A$17:$C$23,3,FALSE)</f>
        <v>1</v>
      </c>
      <c r="AP99" s="232">
        <f>VLOOKUP(AA99,FACTS!$B$2:$J$14,9,FALSE)</f>
        <v>244000</v>
      </c>
      <c r="AQ99" s="232">
        <f>Table1[[#This Row],[PARKING VALUE]]*1</f>
        <v>244000</v>
      </c>
      <c r="AR99" s="232">
        <f t="shared" si="11"/>
        <v>6919732</v>
      </c>
      <c r="AS99" s="440">
        <f>Table1[[#This Row],[TOTAL CARS VALUE]]+Table1[[#This Row],[UNIT (BUILDING) VALUE BASIC FINISHED]]+Table1[[#This Row],[UNIT (GARDEN) VALUE]]</f>
        <v>7297732</v>
      </c>
      <c r="AT99" s="232">
        <f>Table1[[#This Row],[TOTAL CARS VALUE]]+Table1[[#This Row],[UNIT (GARDEN) VALUE]]+Table1[[#This Row],[UNIT (BUILDING) VALUE FULLY FINISHED]]</f>
        <v>7549732</v>
      </c>
      <c r="AU99" s="233">
        <f>VLOOKUP(I99,'C PHASES'!$I$108:$J$110,2,FALSE)</f>
        <v>45839</v>
      </c>
      <c r="AV99" s="233">
        <f>VLOOKUP(AA99,'C PHASES'!$I$113:$J$125,2,FALSE)</f>
        <v>45839</v>
      </c>
    </row>
    <row r="100" spans="1:48" ht="15" customHeight="1" x14ac:dyDescent="0.25">
      <c r="A100" s="235"/>
      <c r="B100" s="227" t="str">
        <f t="shared" si="12"/>
        <v>A</v>
      </c>
      <c r="C100" s="227" t="s">
        <v>26</v>
      </c>
      <c r="D100" s="227" t="s">
        <v>1148</v>
      </c>
      <c r="E100" s="228">
        <v>1</v>
      </c>
      <c r="F100" s="101">
        <v>3</v>
      </c>
      <c r="G100" s="87" t="str">
        <f t="shared" si="18"/>
        <v>A513</v>
      </c>
      <c r="H100" s="87" t="s">
        <v>1296</v>
      </c>
      <c r="I100" s="89" t="str">
        <f>VLOOKUP(C100,'PREMIUM TABLES'!$G$107:$H$149,2,FALSE)</f>
        <v>C1</v>
      </c>
      <c r="J100" s="87">
        <v>51.02</v>
      </c>
      <c r="K100" s="87">
        <v>65.146867832875529</v>
      </c>
      <c r="L100" s="87">
        <v>63</v>
      </c>
      <c r="O100" s="87" t="s">
        <v>185</v>
      </c>
      <c r="P100" s="87" t="s">
        <v>190</v>
      </c>
      <c r="Q100" s="229" t="s">
        <v>215</v>
      </c>
      <c r="R100" s="87" t="str">
        <f>VLOOKUP(E100,'PREMIUM TABLES'!$F$214:$G$219,2,FALSE)</f>
        <v>FIRST</v>
      </c>
      <c r="S100" s="87" t="str" cm="1">
        <f t="array" ref="S100">IF(AND(L100&gt;0,L100&lt;90),"A",IF(AND(L100&gt;90,L100&lt;123),"B",IF(AND(L100&gt;122,L100&lt;159),"C",IF(AND(L100&gt;159,L100&lt;185),"D",IF(AND(L100&gt;185,L100&lt;230),"E",IF(AND(L100&gt;230,L100&lt;350),"F",NONE))))))</f>
        <v>A</v>
      </c>
      <c r="T100" s="230">
        <f>VLOOKUP(O100,'PREMIUM TABLES'!$G$165:$H$172,2,FALSE)</f>
        <v>0.06</v>
      </c>
      <c r="U100" s="230">
        <f>VLOOKUP(P100,'PREMIUM TABLES'!$G$208:$H$209,2,FALSE)</f>
        <v>2.5000000000000001E-2</v>
      </c>
      <c r="V100" s="230">
        <f>VLOOKUP(Q100,'PREMIUM TABLES'!$G$175:$H$195,2,FALSE)</f>
        <v>0.2</v>
      </c>
      <c r="W100" s="230">
        <f>VLOOKUP(R100,'PREMIUM TABLES'!$G$214:$H$219,2,FALSE)</f>
        <v>7.0000000000000007E-2</v>
      </c>
      <c r="X100" s="230">
        <f>VLOOKUP(S100,'PREMIUM TABLES'!$F$199:$H$205,3,FALSE)</f>
        <v>0.05</v>
      </c>
      <c r="Y100" s="231">
        <f t="shared" si="13"/>
        <v>0.40500000000000003</v>
      </c>
      <c r="Z100" s="231" t="s">
        <v>732</v>
      </c>
      <c r="AA100" s="231" t="str">
        <f>VLOOKUP(G100,'ALL (R)'!$N$5:$R$862,5,FALSE)</f>
        <v>RH</v>
      </c>
      <c r="AB100" s="232">
        <f>VLOOKUP(AA100,FACTS!$B$2:$L$14,10,FALSE)</f>
        <v>76850</v>
      </c>
      <c r="AC100" s="232">
        <f>VLOOKUP(AA100,FACTS!$B$2:$L$14,11,FALSE)</f>
        <v>82950</v>
      </c>
      <c r="AD100" s="232">
        <f>VLOOKUP(AA100,FACTS!$B$2:$N$14,13,FALSE)</f>
        <v>6100</v>
      </c>
      <c r="AE100" s="232">
        <f t="shared" si="14"/>
        <v>2470.5</v>
      </c>
      <c r="AF100" s="232">
        <f t="shared" si="15"/>
        <v>79320.5</v>
      </c>
      <c r="AG100" s="232">
        <f>AF100*FACTS!$T$2</f>
        <v>26175.764999999999</v>
      </c>
      <c r="AH100" s="232">
        <f>Table1[[#This Row],[UNIT (BUILDING) RATE (SEMI FINISHED)]]+4500</f>
        <v>83820.5</v>
      </c>
      <c r="AI100" s="232">
        <f>Table1[[#This Row],[UNIT (BUILDING) RATE (SEMI FINISHED)]]+7500</f>
        <v>86820.5</v>
      </c>
      <c r="AJ100" s="232">
        <f t="shared" si="16"/>
        <v>4997191.5</v>
      </c>
      <c r="AK100" s="232">
        <f>Table1[[#This Row],[UNIT (BUILDING) RATE (BASIC FINISH)]]*Table1[[#This Row],[Unit Selling Area]]</f>
        <v>5280691.5</v>
      </c>
      <c r="AL100" s="232">
        <f>Table1[[#This Row],[UNIT (BUILDING) RATE (FULLY FINISH)]]*Table1[[#This Row],[Unit Selling Area]]</f>
        <v>5469691.5</v>
      </c>
      <c r="AM100" s="232">
        <f t="shared" si="17"/>
        <v>0</v>
      </c>
      <c r="AN100" s="232">
        <f>(AM100+AJ100)*FACTS!$S$2</f>
        <v>424761.27750000003</v>
      </c>
      <c r="AO100" s="101">
        <f>VLOOKUP(S100,FACTS!$A$17:$C$23,3,FALSE)</f>
        <v>1</v>
      </c>
      <c r="AP100" s="232">
        <f>VLOOKUP(AA100,FACTS!$B$2:$J$14,9,FALSE)</f>
        <v>244000</v>
      </c>
      <c r="AQ100" s="232">
        <f>Table1[[#This Row],[PARKING VALUE]]*1</f>
        <v>244000</v>
      </c>
      <c r="AR100" s="232">
        <f t="shared" si="11"/>
        <v>5241191.5</v>
      </c>
      <c r="AS100" s="440">
        <f>Table1[[#This Row],[TOTAL CARS VALUE]]+Table1[[#This Row],[UNIT (BUILDING) VALUE BASIC FINISHED]]+Table1[[#This Row],[UNIT (GARDEN) VALUE]]</f>
        <v>5524691.5</v>
      </c>
      <c r="AT100" s="232">
        <f>Table1[[#This Row],[TOTAL CARS VALUE]]+Table1[[#This Row],[UNIT (GARDEN) VALUE]]+Table1[[#This Row],[UNIT (BUILDING) VALUE FULLY FINISHED]]</f>
        <v>5713691.5</v>
      </c>
      <c r="AU100" s="233">
        <f>VLOOKUP(I100,'C PHASES'!$I$108:$J$110,2,FALSE)</f>
        <v>45839</v>
      </c>
      <c r="AV100" s="233">
        <f>VLOOKUP(AA100,'C PHASES'!$I$113:$J$125,2,FALSE)</f>
        <v>45839</v>
      </c>
    </row>
    <row r="101" spans="1:48" ht="15" customHeight="1" x14ac:dyDescent="0.25">
      <c r="A101" s="235"/>
      <c r="B101" s="227" t="str">
        <f t="shared" si="12"/>
        <v>A</v>
      </c>
      <c r="C101" s="227" t="s">
        <v>26</v>
      </c>
      <c r="D101" s="227" t="s">
        <v>1148</v>
      </c>
      <c r="E101" s="228">
        <v>1</v>
      </c>
      <c r="F101" s="101">
        <v>4</v>
      </c>
      <c r="G101" s="87" t="str">
        <f t="shared" si="18"/>
        <v>A514</v>
      </c>
      <c r="H101" s="87" t="s">
        <v>1296</v>
      </c>
      <c r="I101" s="89" t="str">
        <f>VLOOKUP(C101,'PREMIUM TABLES'!$G$107:$H$149,2,FALSE)</f>
        <v>C1</v>
      </c>
      <c r="J101" s="87">
        <v>62.9</v>
      </c>
      <c r="K101" s="87">
        <v>80.316307069538809</v>
      </c>
      <c r="L101" s="87">
        <v>77</v>
      </c>
      <c r="O101" s="87" t="s">
        <v>185</v>
      </c>
      <c r="P101" s="87" t="s">
        <v>190</v>
      </c>
      <c r="Q101" s="229" t="s">
        <v>215</v>
      </c>
      <c r="R101" s="87" t="str">
        <f>VLOOKUP(E101,'PREMIUM TABLES'!$F$214:$G$219,2,FALSE)</f>
        <v>FIRST</v>
      </c>
      <c r="S101" s="87" t="str" cm="1">
        <f t="array" ref="S101">IF(AND(L101&gt;0,L101&lt;90),"A",IF(AND(L101&gt;90,L101&lt;123),"B",IF(AND(L101&gt;122,L101&lt;159),"C",IF(AND(L101&gt;159,L101&lt;185),"D",IF(AND(L101&gt;185,L101&lt;230),"E",IF(AND(L101&gt;230,L101&lt;350),"F",NONE))))))</f>
        <v>A</v>
      </c>
      <c r="T101" s="230">
        <f>VLOOKUP(O101,'PREMIUM TABLES'!$G$165:$H$172,2,FALSE)</f>
        <v>0.06</v>
      </c>
      <c r="U101" s="230">
        <f>VLOOKUP(P101,'PREMIUM TABLES'!$G$208:$H$209,2,FALSE)</f>
        <v>2.5000000000000001E-2</v>
      </c>
      <c r="V101" s="230">
        <f>VLOOKUP(Q101,'PREMIUM TABLES'!$G$175:$H$195,2,FALSE)</f>
        <v>0.2</v>
      </c>
      <c r="W101" s="230">
        <f>VLOOKUP(R101,'PREMIUM TABLES'!$G$214:$H$219,2,FALSE)</f>
        <v>7.0000000000000007E-2</v>
      </c>
      <c r="X101" s="230">
        <f>VLOOKUP(S101,'PREMIUM TABLES'!$F$199:$H$205,3,FALSE)</f>
        <v>0.05</v>
      </c>
      <c r="Y101" s="231">
        <f t="shared" si="13"/>
        <v>0.40500000000000003</v>
      </c>
      <c r="Z101" s="231" t="s">
        <v>732</v>
      </c>
      <c r="AA101" s="231" t="str">
        <f>VLOOKUP(G101,'ALL (R)'!$N$5:$R$862,5,FALSE)</f>
        <v>RH</v>
      </c>
      <c r="AB101" s="232">
        <f>VLOOKUP(AA101,FACTS!$B$2:$L$14,10,FALSE)</f>
        <v>76850</v>
      </c>
      <c r="AC101" s="232">
        <f>VLOOKUP(AA101,FACTS!$B$2:$L$14,11,FALSE)</f>
        <v>82950</v>
      </c>
      <c r="AD101" s="232">
        <f>VLOOKUP(AA101,FACTS!$B$2:$N$14,13,FALSE)</f>
        <v>6100</v>
      </c>
      <c r="AE101" s="232">
        <f t="shared" si="14"/>
        <v>2470.5</v>
      </c>
      <c r="AF101" s="232">
        <f t="shared" si="15"/>
        <v>79320.5</v>
      </c>
      <c r="AG101" s="232">
        <f>AF101*FACTS!$T$2</f>
        <v>26175.764999999999</v>
      </c>
      <c r="AH101" s="232">
        <f>Table1[[#This Row],[UNIT (BUILDING) RATE (SEMI FINISHED)]]+4500</f>
        <v>83820.5</v>
      </c>
      <c r="AI101" s="232">
        <f>Table1[[#This Row],[UNIT (BUILDING) RATE (SEMI FINISHED)]]+7500</f>
        <v>86820.5</v>
      </c>
      <c r="AJ101" s="232">
        <f t="shared" si="16"/>
        <v>6107678.5</v>
      </c>
      <c r="AK101" s="232">
        <f>Table1[[#This Row],[UNIT (BUILDING) RATE (BASIC FINISH)]]*Table1[[#This Row],[Unit Selling Area]]</f>
        <v>6454178.5</v>
      </c>
      <c r="AL101" s="232">
        <f>Table1[[#This Row],[UNIT (BUILDING) RATE (FULLY FINISH)]]*Table1[[#This Row],[Unit Selling Area]]</f>
        <v>6685178.5</v>
      </c>
      <c r="AM101" s="232">
        <f t="shared" si="17"/>
        <v>0</v>
      </c>
      <c r="AN101" s="232">
        <f>(AM101+AJ101)*FACTS!$S$2</f>
        <v>519152.67250000004</v>
      </c>
      <c r="AO101" s="101">
        <f>VLOOKUP(S101,FACTS!$A$17:$C$23,3,FALSE)</f>
        <v>1</v>
      </c>
      <c r="AP101" s="232">
        <f>VLOOKUP(AA101,FACTS!$B$2:$J$14,9,FALSE)</f>
        <v>244000</v>
      </c>
      <c r="AQ101" s="232">
        <f>Table1[[#This Row],[PARKING VALUE]]*1</f>
        <v>244000</v>
      </c>
      <c r="AR101" s="232">
        <f t="shared" si="11"/>
        <v>6351678.5</v>
      </c>
      <c r="AS101" s="440">
        <f>Table1[[#This Row],[TOTAL CARS VALUE]]+Table1[[#This Row],[UNIT (BUILDING) VALUE BASIC FINISHED]]+Table1[[#This Row],[UNIT (GARDEN) VALUE]]</f>
        <v>6698178.5</v>
      </c>
      <c r="AT101" s="232">
        <f>Table1[[#This Row],[TOTAL CARS VALUE]]+Table1[[#This Row],[UNIT (GARDEN) VALUE]]+Table1[[#This Row],[UNIT (BUILDING) VALUE FULLY FINISHED]]</f>
        <v>6929178.5</v>
      </c>
      <c r="AU101" s="233">
        <f>VLOOKUP(I101,'C PHASES'!$I$108:$J$110,2,FALSE)</f>
        <v>45839</v>
      </c>
      <c r="AV101" s="233">
        <f>VLOOKUP(AA101,'C PHASES'!$I$113:$J$125,2,FALSE)</f>
        <v>45839</v>
      </c>
    </row>
    <row r="102" spans="1:48" ht="15" customHeight="1" x14ac:dyDescent="0.25">
      <c r="A102" s="235"/>
      <c r="B102" s="227" t="str">
        <f t="shared" si="12"/>
        <v>A</v>
      </c>
      <c r="C102" s="227" t="s">
        <v>26</v>
      </c>
      <c r="D102" s="227" t="s">
        <v>1148</v>
      </c>
      <c r="E102" s="228">
        <v>1</v>
      </c>
      <c r="F102" s="101">
        <v>5</v>
      </c>
      <c r="G102" s="87" t="str">
        <f t="shared" si="18"/>
        <v>A515</v>
      </c>
      <c r="H102" s="87" t="s">
        <v>1296</v>
      </c>
      <c r="I102" s="89" t="str">
        <f>VLOOKUP(C102,'PREMIUM TABLES'!$G$107:$H$149,2,FALSE)</f>
        <v>C1</v>
      </c>
      <c r="J102" s="87">
        <v>63.79</v>
      </c>
      <c r="K102" s="87">
        <v>81.452738123463917</v>
      </c>
      <c r="L102" s="87">
        <v>78</v>
      </c>
      <c r="O102" s="87" t="s">
        <v>184</v>
      </c>
      <c r="P102" s="87" t="s">
        <v>190</v>
      </c>
      <c r="Q102" s="229" t="s">
        <v>198</v>
      </c>
      <c r="R102" s="87" t="str">
        <f>VLOOKUP(E102,'PREMIUM TABLES'!$F$214:$G$219,2,FALSE)</f>
        <v>FIRST</v>
      </c>
      <c r="S102" s="87" t="str" cm="1">
        <f t="array" ref="S102">IF(AND(L102&gt;0,L102&lt;90),"A",IF(AND(L102&gt;90,L102&lt;123),"B",IF(AND(L102&gt;122,L102&lt;159),"C",IF(AND(L102&gt;159,L102&lt;185),"D",IF(AND(L102&gt;185,L102&lt;230),"E",IF(AND(L102&gt;230,L102&lt;350),"F",NONE))))))</f>
        <v>A</v>
      </c>
      <c r="T102" s="230">
        <f>VLOOKUP(O102,'PREMIUM TABLES'!$G$165:$H$172,2,FALSE)</f>
        <v>0.15</v>
      </c>
      <c r="U102" s="230">
        <f>VLOOKUP(P102,'PREMIUM TABLES'!$G$208:$H$209,2,FALSE)</f>
        <v>2.5000000000000001E-2</v>
      </c>
      <c r="V102" s="230">
        <f>VLOOKUP(Q102,'PREMIUM TABLES'!$G$175:$H$195,2,FALSE)</f>
        <v>0.15</v>
      </c>
      <c r="W102" s="230">
        <f>VLOOKUP(R102,'PREMIUM TABLES'!$G$214:$H$219,2,FALSE)</f>
        <v>7.0000000000000007E-2</v>
      </c>
      <c r="X102" s="230">
        <f>VLOOKUP(S102,'PREMIUM TABLES'!$F$199:$H$205,3,FALSE)</f>
        <v>0.05</v>
      </c>
      <c r="Y102" s="231">
        <f t="shared" si="13"/>
        <v>0.44499999999999995</v>
      </c>
      <c r="Z102" s="231" t="s">
        <v>732</v>
      </c>
      <c r="AA102" s="231" t="str">
        <f>VLOOKUP(G102,'ALL (R)'!$N$5:$R$862,5,FALSE)</f>
        <v>RH</v>
      </c>
      <c r="AB102" s="232">
        <f>VLOOKUP(AA102,FACTS!$B$2:$L$14,10,FALSE)</f>
        <v>76850</v>
      </c>
      <c r="AC102" s="232">
        <f>VLOOKUP(AA102,FACTS!$B$2:$L$14,11,FALSE)</f>
        <v>82950</v>
      </c>
      <c r="AD102" s="232">
        <f>VLOOKUP(AA102,FACTS!$B$2:$N$14,13,FALSE)</f>
        <v>6100</v>
      </c>
      <c r="AE102" s="232">
        <f t="shared" si="14"/>
        <v>2714.4999999999995</v>
      </c>
      <c r="AF102" s="232">
        <f t="shared" si="15"/>
        <v>79564.5</v>
      </c>
      <c r="AG102" s="232">
        <f>AF102*FACTS!$T$2</f>
        <v>26256.285</v>
      </c>
      <c r="AH102" s="232">
        <f>Table1[[#This Row],[UNIT (BUILDING) RATE (SEMI FINISHED)]]+4500</f>
        <v>84064.5</v>
      </c>
      <c r="AI102" s="232">
        <f>Table1[[#This Row],[UNIT (BUILDING) RATE (SEMI FINISHED)]]+7500</f>
        <v>87064.5</v>
      </c>
      <c r="AJ102" s="232">
        <f t="shared" si="16"/>
        <v>6206031</v>
      </c>
      <c r="AK102" s="232">
        <f>Table1[[#This Row],[UNIT (BUILDING) RATE (BASIC FINISH)]]*Table1[[#This Row],[Unit Selling Area]]</f>
        <v>6557031</v>
      </c>
      <c r="AL102" s="232">
        <f>Table1[[#This Row],[UNIT (BUILDING) RATE (FULLY FINISH)]]*Table1[[#This Row],[Unit Selling Area]]</f>
        <v>6791031</v>
      </c>
      <c r="AM102" s="232">
        <f t="shared" si="17"/>
        <v>0</v>
      </c>
      <c r="AN102" s="232">
        <f>(AM102+AJ102)*FACTS!$S$2</f>
        <v>527512.63500000001</v>
      </c>
      <c r="AO102" s="101">
        <f>VLOOKUP(S102,FACTS!$A$17:$C$23,3,FALSE)</f>
        <v>1</v>
      </c>
      <c r="AP102" s="232">
        <f>VLOOKUP(AA102,FACTS!$B$2:$J$14,9,FALSE)</f>
        <v>244000</v>
      </c>
      <c r="AQ102" s="232">
        <f>Table1[[#This Row],[PARKING VALUE]]*1</f>
        <v>244000</v>
      </c>
      <c r="AR102" s="232">
        <f t="shared" si="11"/>
        <v>6450031</v>
      </c>
      <c r="AS102" s="440">
        <f>Table1[[#This Row],[TOTAL CARS VALUE]]+Table1[[#This Row],[UNIT (BUILDING) VALUE BASIC FINISHED]]+Table1[[#This Row],[UNIT (GARDEN) VALUE]]</f>
        <v>6801031</v>
      </c>
      <c r="AT102" s="232">
        <f>Table1[[#This Row],[TOTAL CARS VALUE]]+Table1[[#This Row],[UNIT (GARDEN) VALUE]]+Table1[[#This Row],[UNIT (BUILDING) VALUE FULLY FINISHED]]</f>
        <v>7035031</v>
      </c>
      <c r="AU102" s="233">
        <f>VLOOKUP(I102,'C PHASES'!$I$108:$J$110,2,FALSE)</f>
        <v>45839</v>
      </c>
      <c r="AV102" s="233">
        <f>VLOOKUP(AA102,'C PHASES'!$I$113:$J$125,2,FALSE)</f>
        <v>45839</v>
      </c>
    </row>
    <row r="103" spans="1:48" ht="15" customHeight="1" x14ac:dyDescent="0.25">
      <c r="A103" s="235"/>
      <c r="B103" s="227" t="str">
        <f t="shared" si="12"/>
        <v>A</v>
      </c>
      <c r="C103" s="227" t="s">
        <v>26</v>
      </c>
      <c r="D103" s="227" t="s">
        <v>1148</v>
      </c>
      <c r="E103" s="228">
        <v>2</v>
      </c>
      <c r="F103" s="101">
        <v>1</v>
      </c>
      <c r="G103" s="87" t="str">
        <f t="shared" si="18"/>
        <v>A521</v>
      </c>
      <c r="H103" s="87" t="s">
        <v>1296</v>
      </c>
      <c r="I103" s="89" t="str">
        <f>VLOOKUP(C103,'PREMIUM TABLES'!$G$107:$H$149,2,FALSE)</f>
        <v>C1</v>
      </c>
      <c r="J103" s="87">
        <v>68.91</v>
      </c>
      <c r="K103" s="87">
        <v>87.990408905594904</v>
      </c>
      <c r="L103" s="87">
        <v>85</v>
      </c>
      <c r="O103" s="87" t="s">
        <v>184</v>
      </c>
      <c r="P103" s="87" t="s">
        <v>226</v>
      </c>
      <c r="Q103" s="229" t="s">
        <v>195</v>
      </c>
      <c r="R103" s="87" t="str">
        <f>VLOOKUP(E103,'PREMIUM TABLES'!$F$214:$G$219,2,FALSE)</f>
        <v>SECOND</v>
      </c>
      <c r="S103" s="87" t="str" cm="1">
        <f t="array" ref="S103">IF(AND(L103&gt;0,L103&lt;90),"A",IF(AND(L103&gt;90,L103&lt;123),"B",IF(AND(L103&gt;122,L103&lt;159),"C",IF(AND(L103&gt;159,L103&lt;185),"D",IF(AND(L103&gt;185,L103&lt;230),"E",IF(AND(L103&gt;230,L103&lt;350),"F",NONE))))))</f>
        <v>A</v>
      </c>
      <c r="T103" s="230">
        <f>VLOOKUP(O103,'PREMIUM TABLES'!$G$165:$H$172,2,FALSE)</f>
        <v>0.15</v>
      </c>
      <c r="U103" s="230">
        <f>VLOOKUP(P103,'PREMIUM TABLES'!$G$208:$H$209,2,FALSE)</f>
        <v>0.05</v>
      </c>
      <c r="V103" s="230">
        <f>VLOOKUP(Q103,'PREMIUM TABLES'!$G$175:$H$195,2,FALSE)</f>
        <v>0.25</v>
      </c>
      <c r="W103" s="230">
        <f>VLOOKUP(R103,'PREMIUM TABLES'!$G$214:$H$219,2,FALSE)</f>
        <v>0.11</v>
      </c>
      <c r="X103" s="230">
        <f>VLOOKUP(S103,'PREMIUM TABLES'!$F$199:$H$205,3,FALSE)</f>
        <v>0.05</v>
      </c>
      <c r="Y103" s="231">
        <f t="shared" si="13"/>
        <v>0.6100000000000001</v>
      </c>
      <c r="Z103" s="231" t="s">
        <v>732</v>
      </c>
      <c r="AA103" s="231" t="str">
        <f>VLOOKUP(G103,'ALL (R)'!$N$5:$R$862,5,FALSE)</f>
        <v>RH</v>
      </c>
      <c r="AB103" s="232">
        <f>VLOOKUP(AA103,FACTS!$B$2:$L$14,10,FALSE)</f>
        <v>76850</v>
      </c>
      <c r="AC103" s="232">
        <f>VLOOKUP(AA103,FACTS!$B$2:$L$14,11,FALSE)</f>
        <v>82950</v>
      </c>
      <c r="AD103" s="232">
        <f>VLOOKUP(AA103,FACTS!$B$2:$N$14,13,FALSE)</f>
        <v>6100</v>
      </c>
      <c r="AE103" s="232">
        <f t="shared" si="14"/>
        <v>3721.0000000000005</v>
      </c>
      <c r="AF103" s="232">
        <f t="shared" si="15"/>
        <v>80571</v>
      </c>
      <c r="AG103" s="232">
        <f>AF103*FACTS!$T$2</f>
        <v>26588.43</v>
      </c>
      <c r="AH103" s="232">
        <f>Table1[[#This Row],[UNIT (BUILDING) RATE (SEMI FINISHED)]]+4500</f>
        <v>85071</v>
      </c>
      <c r="AI103" s="232">
        <f>Table1[[#This Row],[UNIT (BUILDING) RATE (SEMI FINISHED)]]+7500</f>
        <v>88071</v>
      </c>
      <c r="AJ103" s="232">
        <f t="shared" si="16"/>
        <v>6848535</v>
      </c>
      <c r="AK103" s="232">
        <f>Table1[[#This Row],[UNIT (BUILDING) RATE (BASIC FINISH)]]*Table1[[#This Row],[Unit Selling Area]]</f>
        <v>7231035</v>
      </c>
      <c r="AL103" s="232">
        <f>Table1[[#This Row],[UNIT (BUILDING) RATE (FULLY FINISH)]]*Table1[[#This Row],[Unit Selling Area]]</f>
        <v>7486035</v>
      </c>
      <c r="AM103" s="232">
        <f t="shared" si="17"/>
        <v>0</v>
      </c>
      <c r="AN103" s="232">
        <f>(AM103+AJ103)*FACTS!$S$2</f>
        <v>582125.47500000009</v>
      </c>
      <c r="AO103" s="101">
        <f>VLOOKUP(S103,FACTS!$A$17:$C$23,3,FALSE)</f>
        <v>1</v>
      </c>
      <c r="AP103" s="232">
        <f>VLOOKUP(AA103,FACTS!$B$2:$J$14,9,FALSE)</f>
        <v>244000</v>
      </c>
      <c r="AQ103" s="232">
        <f>Table1[[#This Row],[PARKING VALUE]]*1</f>
        <v>244000</v>
      </c>
      <c r="AR103" s="232">
        <f t="shared" si="11"/>
        <v>7092535</v>
      </c>
      <c r="AS103" s="440">
        <f>Table1[[#This Row],[TOTAL CARS VALUE]]+Table1[[#This Row],[UNIT (BUILDING) VALUE BASIC FINISHED]]+Table1[[#This Row],[UNIT (GARDEN) VALUE]]</f>
        <v>7475035</v>
      </c>
      <c r="AT103" s="232">
        <f>Table1[[#This Row],[TOTAL CARS VALUE]]+Table1[[#This Row],[UNIT (GARDEN) VALUE]]+Table1[[#This Row],[UNIT (BUILDING) VALUE FULLY FINISHED]]</f>
        <v>7730035</v>
      </c>
      <c r="AU103" s="233">
        <f>VLOOKUP(I103,'C PHASES'!$I$108:$J$110,2,FALSE)</f>
        <v>45839</v>
      </c>
      <c r="AV103" s="233">
        <f>VLOOKUP(AA103,'C PHASES'!$I$113:$J$125,2,FALSE)</f>
        <v>45839</v>
      </c>
    </row>
    <row r="104" spans="1:48" ht="15" customHeight="1" x14ac:dyDescent="0.25">
      <c r="A104" s="235"/>
      <c r="B104" s="227" t="str">
        <f t="shared" si="12"/>
        <v>A</v>
      </c>
      <c r="C104" s="227" t="s">
        <v>26</v>
      </c>
      <c r="D104" s="227" t="s">
        <v>1148</v>
      </c>
      <c r="E104" s="228">
        <v>2</v>
      </c>
      <c r="F104" s="101">
        <v>2</v>
      </c>
      <c r="G104" s="87" t="str">
        <f t="shared" si="18"/>
        <v>A522</v>
      </c>
      <c r="H104" s="87" t="s">
        <v>1296</v>
      </c>
      <c r="I104" s="89" t="str">
        <f>VLOOKUP(C104,'PREMIUM TABLES'!$G$107:$H$149,2,FALSE)</f>
        <v>C1</v>
      </c>
      <c r="J104" s="87">
        <v>68.89</v>
      </c>
      <c r="K104" s="87">
        <v>87.964871129102207</v>
      </c>
      <c r="L104" s="87">
        <v>85</v>
      </c>
      <c r="O104" s="87" t="s">
        <v>185</v>
      </c>
      <c r="P104" s="87" t="s">
        <v>226</v>
      </c>
      <c r="Q104" s="229" t="s">
        <v>215</v>
      </c>
      <c r="R104" s="87" t="str">
        <f>VLOOKUP(E104,'PREMIUM TABLES'!$F$214:$G$219,2,FALSE)</f>
        <v>SECOND</v>
      </c>
      <c r="S104" s="87" t="str" cm="1">
        <f t="array" ref="S104">IF(AND(L104&gt;0,L104&lt;90),"A",IF(AND(L104&gt;90,L104&lt;123),"B",IF(AND(L104&gt;122,L104&lt;159),"C",IF(AND(L104&gt;159,L104&lt;185),"D",IF(AND(L104&gt;185,L104&lt;230),"E",IF(AND(L104&gt;230,L104&lt;350),"F",NONE))))))</f>
        <v>A</v>
      </c>
      <c r="T104" s="230">
        <f>VLOOKUP(O104,'PREMIUM TABLES'!$G$165:$H$172,2,FALSE)</f>
        <v>0.06</v>
      </c>
      <c r="U104" s="230">
        <f>VLOOKUP(P104,'PREMIUM TABLES'!$G$208:$H$209,2,FALSE)</f>
        <v>0.05</v>
      </c>
      <c r="V104" s="230">
        <f>VLOOKUP(Q104,'PREMIUM TABLES'!$G$175:$H$195,2,FALSE)</f>
        <v>0.2</v>
      </c>
      <c r="W104" s="230">
        <f>VLOOKUP(R104,'PREMIUM TABLES'!$G$214:$H$219,2,FALSE)</f>
        <v>0.11</v>
      </c>
      <c r="X104" s="230">
        <f>VLOOKUP(S104,'PREMIUM TABLES'!$F$199:$H$205,3,FALSE)</f>
        <v>0.05</v>
      </c>
      <c r="Y104" s="231">
        <f t="shared" si="13"/>
        <v>0.47</v>
      </c>
      <c r="Z104" s="231" t="s">
        <v>732</v>
      </c>
      <c r="AA104" s="231" t="str">
        <f>VLOOKUP(G104,'ALL (R)'!$N$5:$R$862,5,FALSE)</f>
        <v>RH</v>
      </c>
      <c r="AB104" s="232">
        <f>VLOOKUP(AA104,FACTS!$B$2:$L$14,10,FALSE)</f>
        <v>76850</v>
      </c>
      <c r="AC104" s="232">
        <f>VLOOKUP(AA104,FACTS!$B$2:$L$14,11,FALSE)</f>
        <v>82950</v>
      </c>
      <c r="AD104" s="232">
        <f>VLOOKUP(AA104,FACTS!$B$2:$N$14,13,FALSE)</f>
        <v>6100</v>
      </c>
      <c r="AE104" s="232">
        <f t="shared" si="14"/>
        <v>2867</v>
      </c>
      <c r="AF104" s="232">
        <f t="shared" si="15"/>
        <v>79717</v>
      </c>
      <c r="AG104" s="232">
        <f>AF104*FACTS!$T$2</f>
        <v>26306.61</v>
      </c>
      <c r="AH104" s="232">
        <f>Table1[[#This Row],[UNIT (BUILDING) RATE (SEMI FINISHED)]]+4500</f>
        <v>84217</v>
      </c>
      <c r="AI104" s="232">
        <f>Table1[[#This Row],[UNIT (BUILDING) RATE (SEMI FINISHED)]]+7500</f>
        <v>87217</v>
      </c>
      <c r="AJ104" s="232">
        <f t="shared" si="16"/>
        <v>6775945</v>
      </c>
      <c r="AK104" s="232">
        <f>Table1[[#This Row],[UNIT (BUILDING) RATE (BASIC FINISH)]]*Table1[[#This Row],[Unit Selling Area]]</f>
        <v>7158445</v>
      </c>
      <c r="AL104" s="232">
        <f>Table1[[#This Row],[UNIT (BUILDING) RATE (FULLY FINISH)]]*Table1[[#This Row],[Unit Selling Area]]</f>
        <v>7413445</v>
      </c>
      <c r="AM104" s="232">
        <f t="shared" si="17"/>
        <v>0</v>
      </c>
      <c r="AN104" s="232">
        <f>(AM104+AJ104)*FACTS!$S$2</f>
        <v>575955.32500000007</v>
      </c>
      <c r="AO104" s="101">
        <f>VLOOKUP(S104,FACTS!$A$17:$C$23,3,FALSE)</f>
        <v>1</v>
      </c>
      <c r="AP104" s="232">
        <f>VLOOKUP(AA104,FACTS!$B$2:$J$14,9,FALSE)</f>
        <v>244000</v>
      </c>
      <c r="AQ104" s="232">
        <f>Table1[[#This Row],[PARKING VALUE]]*1</f>
        <v>244000</v>
      </c>
      <c r="AR104" s="232">
        <f t="shared" si="11"/>
        <v>7019945</v>
      </c>
      <c r="AS104" s="440">
        <f>Table1[[#This Row],[TOTAL CARS VALUE]]+Table1[[#This Row],[UNIT (BUILDING) VALUE BASIC FINISHED]]+Table1[[#This Row],[UNIT (GARDEN) VALUE]]</f>
        <v>7402445</v>
      </c>
      <c r="AT104" s="232">
        <f>Table1[[#This Row],[TOTAL CARS VALUE]]+Table1[[#This Row],[UNIT (GARDEN) VALUE]]+Table1[[#This Row],[UNIT (BUILDING) VALUE FULLY FINISHED]]</f>
        <v>7657445</v>
      </c>
      <c r="AU104" s="233">
        <f>VLOOKUP(I104,'C PHASES'!$I$108:$J$110,2,FALSE)</f>
        <v>45839</v>
      </c>
      <c r="AV104" s="233">
        <f>VLOOKUP(AA104,'C PHASES'!$I$113:$J$125,2,FALSE)</f>
        <v>45839</v>
      </c>
    </row>
    <row r="105" spans="1:48" ht="15" customHeight="1" x14ac:dyDescent="0.25">
      <c r="A105" s="235"/>
      <c r="B105" s="227" t="str">
        <f t="shared" si="12"/>
        <v>A</v>
      </c>
      <c r="C105" s="227" t="s">
        <v>26</v>
      </c>
      <c r="D105" s="227" t="s">
        <v>1148</v>
      </c>
      <c r="E105" s="228">
        <v>2</v>
      </c>
      <c r="F105" s="101">
        <v>3</v>
      </c>
      <c r="G105" s="87" t="str">
        <f t="shared" si="18"/>
        <v>A523</v>
      </c>
      <c r="H105" s="87" t="s">
        <v>1296</v>
      </c>
      <c r="I105" s="89" t="str">
        <f>VLOOKUP(C105,'PREMIUM TABLES'!$G$107:$H$149,2,FALSE)</f>
        <v>C1</v>
      </c>
      <c r="J105" s="87">
        <v>51.48</v>
      </c>
      <c r="K105" s="87">
        <v>65.734236692207588</v>
      </c>
      <c r="L105" s="87">
        <v>63</v>
      </c>
      <c r="O105" s="87" t="s">
        <v>185</v>
      </c>
      <c r="P105" s="87" t="s">
        <v>190</v>
      </c>
      <c r="Q105" s="229" t="s">
        <v>215</v>
      </c>
      <c r="R105" s="87" t="str">
        <f>VLOOKUP(E105,'PREMIUM TABLES'!$F$214:$G$219,2,FALSE)</f>
        <v>SECOND</v>
      </c>
      <c r="S105" s="87" t="str" cm="1">
        <f t="array" ref="S105">IF(AND(L105&gt;0,L105&lt;90),"A",IF(AND(L105&gt;90,L105&lt;123),"B",IF(AND(L105&gt;122,L105&lt;159),"C",IF(AND(L105&gt;159,L105&lt;185),"D",IF(AND(L105&gt;185,L105&lt;230),"E",IF(AND(L105&gt;230,L105&lt;350),"F",NONE))))))</f>
        <v>A</v>
      </c>
      <c r="T105" s="230">
        <f>VLOOKUP(O105,'PREMIUM TABLES'!$G$165:$H$172,2,FALSE)</f>
        <v>0.06</v>
      </c>
      <c r="U105" s="230">
        <f>VLOOKUP(P105,'PREMIUM TABLES'!$G$208:$H$209,2,FALSE)</f>
        <v>2.5000000000000001E-2</v>
      </c>
      <c r="V105" s="230">
        <f>VLOOKUP(Q105,'PREMIUM TABLES'!$G$175:$H$195,2,FALSE)</f>
        <v>0.2</v>
      </c>
      <c r="W105" s="230">
        <f>VLOOKUP(R105,'PREMIUM TABLES'!$G$214:$H$219,2,FALSE)</f>
        <v>0.11</v>
      </c>
      <c r="X105" s="230">
        <f>VLOOKUP(S105,'PREMIUM TABLES'!$F$199:$H$205,3,FALSE)</f>
        <v>0.05</v>
      </c>
      <c r="Y105" s="231">
        <f t="shared" si="13"/>
        <v>0.44500000000000001</v>
      </c>
      <c r="Z105" s="231" t="s">
        <v>732</v>
      </c>
      <c r="AA105" s="231" t="str">
        <f>VLOOKUP(G105,'ALL (R)'!$N$5:$R$862,5,FALSE)</f>
        <v>RH</v>
      </c>
      <c r="AB105" s="232">
        <f>VLOOKUP(AA105,FACTS!$B$2:$L$14,10,FALSE)</f>
        <v>76850</v>
      </c>
      <c r="AC105" s="232">
        <f>VLOOKUP(AA105,FACTS!$B$2:$L$14,11,FALSE)</f>
        <v>82950</v>
      </c>
      <c r="AD105" s="232">
        <f>VLOOKUP(AA105,FACTS!$B$2:$N$14,13,FALSE)</f>
        <v>6100</v>
      </c>
      <c r="AE105" s="232">
        <f t="shared" si="14"/>
        <v>2714.5</v>
      </c>
      <c r="AF105" s="232">
        <f t="shared" si="15"/>
        <v>79564.5</v>
      </c>
      <c r="AG105" s="232">
        <f>AF105*FACTS!$T$2</f>
        <v>26256.285</v>
      </c>
      <c r="AH105" s="232">
        <f>Table1[[#This Row],[UNIT (BUILDING) RATE (SEMI FINISHED)]]+4500</f>
        <v>84064.5</v>
      </c>
      <c r="AI105" s="232">
        <f>Table1[[#This Row],[UNIT (BUILDING) RATE (SEMI FINISHED)]]+7500</f>
        <v>87064.5</v>
      </c>
      <c r="AJ105" s="232">
        <f t="shared" si="16"/>
        <v>5012563.5</v>
      </c>
      <c r="AK105" s="232">
        <f>Table1[[#This Row],[UNIT (BUILDING) RATE (BASIC FINISH)]]*Table1[[#This Row],[Unit Selling Area]]</f>
        <v>5296063.5</v>
      </c>
      <c r="AL105" s="232">
        <f>Table1[[#This Row],[UNIT (BUILDING) RATE (FULLY FINISH)]]*Table1[[#This Row],[Unit Selling Area]]</f>
        <v>5485063.5</v>
      </c>
      <c r="AM105" s="232">
        <f t="shared" si="17"/>
        <v>0</v>
      </c>
      <c r="AN105" s="232">
        <f>(AM105+AJ105)*FACTS!$S$2</f>
        <v>426067.89750000002</v>
      </c>
      <c r="AO105" s="101">
        <f>VLOOKUP(S105,FACTS!$A$17:$C$23,3,FALSE)</f>
        <v>1</v>
      </c>
      <c r="AP105" s="232">
        <f>VLOOKUP(AA105,FACTS!$B$2:$J$14,9,FALSE)</f>
        <v>244000</v>
      </c>
      <c r="AQ105" s="232">
        <f>Table1[[#This Row],[PARKING VALUE]]*1</f>
        <v>244000</v>
      </c>
      <c r="AR105" s="232">
        <f t="shared" si="11"/>
        <v>5256563.5</v>
      </c>
      <c r="AS105" s="440">
        <f>Table1[[#This Row],[TOTAL CARS VALUE]]+Table1[[#This Row],[UNIT (BUILDING) VALUE BASIC FINISHED]]+Table1[[#This Row],[UNIT (GARDEN) VALUE]]</f>
        <v>5540063.5</v>
      </c>
      <c r="AT105" s="232">
        <f>Table1[[#This Row],[TOTAL CARS VALUE]]+Table1[[#This Row],[UNIT (GARDEN) VALUE]]+Table1[[#This Row],[UNIT (BUILDING) VALUE FULLY FINISHED]]</f>
        <v>5729063.5</v>
      </c>
      <c r="AU105" s="233">
        <f>VLOOKUP(I105,'C PHASES'!$I$108:$J$110,2,FALSE)</f>
        <v>45839</v>
      </c>
      <c r="AV105" s="233">
        <f>VLOOKUP(AA105,'C PHASES'!$I$113:$J$125,2,FALSE)</f>
        <v>45839</v>
      </c>
    </row>
    <row r="106" spans="1:48" ht="15" customHeight="1" x14ac:dyDescent="0.25">
      <c r="A106" s="235"/>
      <c r="B106" s="227" t="str">
        <f t="shared" si="12"/>
        <v>A</v>
      </c>
      <c r="C106" s="227" t="s">
        <v>26</v>
      </c>
      <c r="D106" s="227" t="s">
        <v>1148</v>
      </c>
      <c r="E106" s="228">
        <v>2</v>
      </c>
      <c r="F106" s="101">
        <v>4</v>
      </c>
      <c r="G106" s="87" t="str">
        <f t="shared" si="18"/>
        <v>A524</v>
      </c>
      <c r="H106" s="87" t="s">
        <v>1296</v>
      </c>
      <c r="I106" s="89" t="str">
        <f>VLOOKUP(C106,'PREMIUM TABLES'!$G$107:$H$149,2,FALSE)</f>
        <v>C1</v>
      </c>
      <c r="J106" s="87">
        <v>63.11</v>
      </c>
      <c r="K106" s="87">
        <v>80.584453722712155</v>
      </c>
      <c r="L106" s="87">
        <v>78</v>
      </c>
      <c r="O106" s="87" t="s">
        <v>185</v>
      </c>
      <c r="P106" s="87" t="s">
        <v>190</v>
      </c>
      <c r="Q106" s="229" t="s">
        <v>215</v>
      </c>
      <c r="R106" s="87" t="str">
        <f>VLOOKUP(E106,'PREMIUM TABLES'!$F$214:$G$219,2,FALSE)</f>
        <v>SECOND</v>
      </c>
      <c r="S106" s="87" t="str" cm="1">
        <f t="array" ref="S106">IF(AND(L106&gt;0,L106&lt;90),"A",IF(AND(L106&gt;90,L106&lt;123),"B",IF(AND(L106&gt;122,L106&lt;159),"C",IF(AND(L106&gt;159,L106&lt;185),"D",IF(AND(L106&gt;185,L106&lt;230),"E",IF(AND(L106&gt;230,L106&lt;350),"F",NONE))))))</f>
        <v>A</v>
      </c>
      <c r="T106" s="230">
        <f>VLOOKUP(O106,'PREMIUM TABLES'!$G$165:$H$172,2,FALSE)</f>
        <v>0.06</v>
      </c>
      <c r="U106" s="230">
        <f>VLOOKUP(P106,'PREMIUM TABLES'!$G$208:$H$209,2,FALSE)</f>
        <v>2.5000000000000001E-2</v>
      </c>
      <c r="V106" s="230">
        <f>VLOOKUP(Q106,'PREMIUM TABLES'!$G$175:$H$195,2,FALSE)</f>
        <v>0.2</v>
      </c>
      <c r="W106" s="230">
        <f>VLOOKUP(R106,'PREMIUM TABLES'!$G$214:$H$219,2,FALSE)</f>
        <v>0.11</v>
      </c>
      <c r="X106" s="230">
        <f>VLOOKUP(S106,'PREMIUM TABLES'!$F$199:$H$205,3,FALSE)</f>
        <v>0.05</v>
      </c>
      <c r="Y106" s="231">
        <f t="shared" si="13"/>
        <v>0.44500000000000001</v>
      </c>
      <c r="Z106" s="231" t="s">
        <v>732</v>
      </c>
      <c r="AA106" s="231" t="str">
        <f>VLOOKUP(G106,'ALL (R)'!$N$5:$R$862,5,FALSE)</f>
        <v>RH</v>
      </c>
      <c r="AB106" s="232">
        <f>VLOOKUP(AA106,FACTS!$B$2:$L$14,10,FALSE)</f>
        <v>76850</v>
      </c>
      <c r="AC106" s="232">
        <f>VLOOKUP(AA106,FACTS!$B$2:$L$14,11,FALSE)</f>
        <v>82950</v>
      </c>
      <c r="AD106" s="232">
        <f>VLOOKUP(AA106,FACTS!$B$2:$N$14,13,FALSE)</f>
        <v>6100</v>
      </c>
      <c r="AE106" s="232">
        <f t="shared" si="14"/>
        <v>2714.5</v>
      </c>
      <c r="AF106" s="232">
        <f t="shared" si="15"/>
        <v>79564.5</v>
      </c>
      <c r="AG106" s="232">
        <f>AF106*FACTS!$T$2</f>
        <v>26256.285</v>
      </c>
      <c r="AH106" s="232">
        <f>Table1[[#This Row],[UNIT (BUILDING) RATE (SEMI FINISHED)]]+4500</f>
        <v>84064.5</v>
      </c>
      <c r="AI106" s="232">
        <f>Table1[[#This Row],[UNIT (BUILDING) RATE (SEMI FINISHED)]]+7500</f>
        <v>87064.5</v>
      </c>
      <c r="AJ106" s="232">
        <f t="shared" si="16"/>
        <v>6206031</v>
      </c>
      <c r="AK106" s="232">
        <f>Table1[[#This Row],[UNIT (BUILDING) RATE (BASIC FINISH)]]*Table1[[#This Row],[Unit Selling Area]]</f>
        <v>6557031</v>
      </c>
      <c r="AL106" s="232">
        <f>Table1[[#This Row],[UNIT (BUILDING) RATE (FULLY FINISH)]]*Table1[[#This Row],[Unit Selling Area]]</f>
        <v>6791031</v>
      </c>
      <c r="AM106" s="232">
        <f t="shared" si="17"/>
        <v>0</v>
      </c>
      <c r="AN106" s="232">
        <f>(AM106+AJ106)*FACTS!$S$2</f>
        <v>527512.63500000001</v>
      </c>
      <c r="AO106" s="101">
        <f>VLOOKUP(S106,FACTS!$A$17:$C$23,3,FALSE)</f>
        <v>1</v>
      </c>
      <c r="AP106" s="232">
        <f>VLOOKUP(AA106,FACTS!$B$2:$J$14,9,FALSE)</f>
        <v>244000</v>
      </c>
      <c r="AQ106" s="232">
        <f>Table1[[#This Row],[PARKING VALUE]]*1</f>
        <v>244000</v>
      </c>
      <c r="AR106" s="232">
        <f t="shared" si="11"/>
        <v>6450031</v>
      </c>
      <c r="AS106" s="440">
        <f>Table1[[#This Row],[TOTAL CARS VALUE]]+Table1[[#This Row],[UNIT (BUILDING) VALUE BASIC FINISHED]]+Table1[[#This Row],[UNIT (GARDEN) VALUE]]</f>
        <v>6801031</v>
      </c>
      <c r="AT106" s="232">
        <f>Table1[[#This Row],[TOTAL CARS VALUE]]+Table1[[#This Row],[UNIT (GARDEN) VALUE]]+Table1[[#This Row],[UNIT (BUILDING) VALUE FULLY FINISHED]]</f>
        <v>7035031</v>
      </c>
      <c r="AU106" s="233">
        <f>VLOOKUP(I106,'C PHASES'!$I$108:$J$110,2,FALSE)</f>
        <v>45839</v>
      </c>
      <c r="AV106" s="233">
        <f>VLOOKUP(AA106,'C PHASES'!$I$113:$J$125,2,FALSE)</f>
        <v>45839</v>
      </c>
    </row>
    <row r="107" spans="1:48" ht="15" customHeight="1" x14ac:dyDescent="0.25">
      <c r="A107" s="235"/>
      <c r="B107" s="227" t="str">
        <f t="shared" si="12"/>
        <v>A</v>
      </c>
      <c r="C107" s="227" t="s">
        <v>26</v>
      </c>
      <c r="D107" s="227" t="s">
        <v>1148</v>
      </c>
      <c r="E107" s="228">
        <v>2</v>
      </c>
      <c r="F107" s="101">
        <v>5</v>
      </c>
      <c r="G107" s="87" t="str">
        <f t="shared" si="18"/>
        <v>A525</v>
      </c>
      <c r="H107" s="87" t="s">
        <v>1296</v>
      </c>
      <c r="I107" s="89" t="str">
        <f>VLOOKUP(C107,'PREMIUM TABLES'!$G$107:$H$149,2,FALSE)</f>
        <v>C1</v>
      </c>
      <c r="J107" s="87">
        <v>63.16</v>
      </c>
      <c r="K107" s="87">
        <v>80.648298163943892</v>
      </c>
      <c r="L107" s="87">
        <v>78</v>
      </c>
      <c r="O107" s="87" t="s">
        <v>184</v>
      </c>
      <c r="P107" s="87" t="s">
        <v>190</v>
      </c>
      <c r="Q107" s="229" t="s">
        <v>198</v>
      </c>
      <c r="R107" s="87" t="str">
        <f>VLOOKUP(E107,'PREMIUM TABLES'!$F$214:$G$219,2,FALSE)</f>
        <v>SECOND</v>
      </c>
      <c r="S107" s="87" t="str" cm="1">
        <f t="array" ref="S107">IF(AND(L107&gt;0,L107&lt;90),"A",IF(AND(L107&gt;90,L107&lt;123),"B",IF(AND(L107&gt;122,L107&lt;159),"C",IF(AND(L107&gt;159,L107&lt;185),"D",IF(AND(L107&gt;185,L107&lt;230),"E",IF(AND(L107&gt;230,L107&lt;350),"F",NONE))))))</f>
        <v>A</v>
      </c>
      <c r="T107" s="230">
        <f>VLOOKUP(O107,'PREMIUM TABLES'!$G$165:$H$172,2,FALSE)</f>
        <v>0.15</v>
      </c>
      <c r="U107" s="230">
        <f>VLOOKUP(P107,'PREMIUM TABLES'!$G$208:$H$209,2,FALSE)</f>
        <v>2.5000000000000001E-2</v>
      </c>
      <c r="V107" s="230">
        <f>VLOOKUP(Q107,'PREMIUM TABLES'!$G$175:$H$195,2,FALSE)</f>
        <v>0.15</v>
      </c>
      <c r="W107" s="230">
        <f>VLOOKUP(R107,'PREMIUM TABLES'!$G$214:$H$219,2,FALSE)</f>
        <v>0.11</v>
      </c>
      <c r="X107" s="230">
        <f>VLOOKUP(S107,'PREMIUM TABLES'!$F$199:$H$205,3,FALSE)</f>
        <v>0.05</v>
      </c>
      <c r="Y107" s="231">
        <f t="shared" si="13"/>
        <v>0.48499999999999993</v>
      </c>
      <c r="Z107" s="231" t="s">
        <v>732</v>
      </c>
      <c r="AA107" s="231" t="str">
        <f>VLOOKUP(G107,'ALL (R)'!$N$5:$R$862,5,FALSE)</f>
        <v>RH</v>
      </c>
      <c r="AB107" s="232">
        <f>VLOOKUP(AA107,FACTS!$B$2:$L$14,10,FALSE)</f>
        <v>76850</v>
      </c>
      <c r="AC107" s="232">
        <f>VLOOKUP(AA107,FACTS!$B$2:$L$14,11,FALSE)</f>
        <v>82950</v>
      </c>
      <c r="AD107" s="232">
        <f>VLOOKUP(AA107,FACTS!$B$2:$N$14,13,FALSE)</f>
        <v>6100</v>
      </c>
      <c r="AE107" s="232">
        <f t="shared" si="14"/>
        <v>2958.4999999999995</v>
      </c>
      <c r="AF107" s="232">
        <f t="shared" si="15"/>
        <v>79808.5</v>
      </c>
      <c r="AG107" s="232">
        <f>AF107*FACTS!$T$2</f>
        <v>26336.805</v>
      </c>
      <c r="AH107" s="232">
        <f>Table1[[#This Row],[UNIT (BUILDING) RATE (SEMI FINISHED)]]+4500</f>
        <v>84308.5</v>
      </c>
      <c r="AI107" s="232">
        <f>Table1[[#This Row],[UNIT (BUILDING) RATE (SEMI FINISHED)]]+7500</f>
        <v>87308.5</v>
      </c>
      <c r="AJ107" s="232">
        <f t="shared" si="16"/>
        <v>6225063</v>
      </c>
      <c r="AK107" s="232">
        <f>Table1[[#This Row],[UNIT (BUILDING) RATE (BASIC FINISH)]]*Table1[[#This Row],[Unit Selling Area]]</f>
        <v>6576063</v>
      </c>
      <c r="AL107" s="232">
        <f>Table1[[#This Row],[UNIT (BUILDING) RATE (FULLY FINISH)]]*Table1[[#This Row],[Unit Selling Area]]</f>
        <v>6810063</v>
      </c>
      <c r="AM107" s="232">
        <f t="shared" si="17"/>
        <v>0</v>
      </c>
      <c r="AN107" s="232">
        <f>(AM107+AJ107)*FACTS!$S$2</f>
        <v>529130.35499999998</v>
      </c>
      <c r="AO107" s="101">
        <f>VLOOKUP(S107,FACTS!$A$17:$C$23,3,FALSE)</f>
        <v>1</v>
      </c>
      <c r="AP107" s="232">
        <f>VLOOKUP(AA107,FACTS!$B$2:$J$14,9,FALSE)</f>
        <v>244000</v>
      </c>
      <c r="AQ107" s="232">
        <f>Table1[[#This Row],[PARKING VALUE]]*1</f>
        <v>244000</v>
      </c>
      <c r="AR107" s="232">
        <f t="shared" si="11"/>
        <v>6469063</v>
      </c>
      <c r="AS107" s="440">
        <f>Table1[[#This Row],[TOTAL CARS VALUE]]+Table1[[#This Row],[UNIT (BUILDING) VALUE BASIC FINISHED]]+Table1[[#This Row],[UNIT (GARDEN) VALUE]]</f>
        <v>6820063</v>
      </c>
      <c r="AT107" s="232">
        <f>Table1[[#This Row],[TOTAL CARS VALUE]]+Table1[[#This Row],[UNIT (GARDEN) VALUE]]+Table1[[#This Row],[UNIT (BUILDING) VALUE FULLY FINISHED]]</f>
        <v>7054063</v>
      </c>
      <c r="AU107" s="233">
        <f>VLOOKUP(I107,'C PHASES'!$I$108:$J$110,2,FALSE)</f>
        <v>45839</v>
      </c>
      <c r="AV107" s="233">
        <f>VLOOKUP(AA107,'C PHASES'!$I$113:$J$125,2,FALSE)</f>
        <v>45839</v>
      </c>
    </row>
    <row r="108" spans="1:48" ht="15" customHeight="1" x14ac:dyDescent="0.25">
      <c r="A108" s="235"/>
      <c r="B108" s="227" t="str">
        <f t="shared" si="12"/>
        <v>A</v>
      </c>
      <c r="C108" s="227" t="s">
        <v>26</v>
      </c>
      <c r="D108" s="227" t="s">
        <v>1148</v>
      </c>
      <c r="E108" s="228">
        <v>2</v>
      </c>
      <c r="F108" s="101">
        <v>6</v>
      </c>
      <c r="G108" s="87" t="str">
        <f t="shared" si="18"/>
        <v>A526</v>
      </c>
      <c r="H108" s="87" t="s">
        <v>1296</v>
      </c>
      <c r="I108" s="89" t="str">
        <f>VLOOKUP(C108,'PREMIUM TABLES'!$G$107:$H$149,2,FALSE)</f>
        <v>C1</v>
      </c>
      <c r="J108" s="87">
        <v>51.5</v>
      </c>
      <c r="K108" s="87">
        <v>65.7597744687003</v>
      </c>
      <c r="L108" s="87">
        <v>63</v>
      </c>
      <c r="O108" s="87" t="s">
        <v>184</v>
      </c>
      <c r="P108" s="87" t="s">
        <v>190</v>
      </c>
      <c r="Q108" s="229" t="s">
        <v>198</v>
      </c>
      <c r="R108" s="87" t="str">
        <f>VLOOKUP(E108,'PREMIUM TABLES'!$F$214:$G$219,2,FALSE)</f>
        <v>SECOND</v>
      </c>
      <c r="S108" s="87" t="str" cm="1">
        <f t="array" ref="S108">IF(AND(L108&gt;0,L108&lt;90),"A",IF(AND(L108&gt;90,L108&lt;123),"B",IF(AND(L108&gt;122,L108&lt;159),"C",IF(AND(L108&gt;159,L108&lt;185),"D",IF(AND(L108&gt;185,L108&lt;230),"E",IF(AND(L108&gt;230,L108&lt;350),"F",NONE))))))</f>
        <v>A</v>
      </c>
      <c r="T108" s="230">
        <f>VLOOKUP(O108,'PREMIUM TABLES'!$G$165:$H$172,2,FALSE)</f>
        <v>0.15</v>
      </c>
      <c r="U108" s="230">
        <f>VLOOKUP(P108,'PREMIUM TABLES'!$G$208:$H$209,2,FALSE)</f>
        <v>2.5000000000000001E-2</v>
      </c>
      <c r="V108" s="230">
        <f>VLOOKUP(Q108,'PREMIUM TABLES'!$G$175:$H$195,2,FALSE)</f>
        <v>0.15</v>
      </c>
      <c r="W108" s="230">
        <f>VLOOKUP(R108,'PREMIUM TABLES'!$G$214:$H$219,2,FALSE)</f>
        <v>0.11</v>
      </c>
      <c r="X108" s="230">
        <f>VLOOKUP(S108,'PREMIUM TABLES'!$F$199:$H$205,3,FALSE)</f>
        <v>0.05</v>
      </c>
      <c r="Y108" s="231">
        <f t="shared" si="13"/>
        <v>0.48499999999999993</v>
      </c>
      <c r="Z108" s="231" t="s">
        <v>732</v>
      </c>
      <c r="AA108" s="231" t="str">
        <f>VLOOKUP(G108,'ALL (R)'!$N$5:$R$862,5,FALSE)</f>
        <v>RH</v>
      </c>
      <c r="AB108" s="232">
        <f>VLOOKUP(AA108,FACTS!$B$2:$L$14,10,FALSE)</f>
        <v>76850</v>
      </c>
      <c r="AC108" s="232">
        <f>VLOOKUP(AA108,FACTS!$B$2:$L$14,11,FALSE)</f>
        <v>82950</v>
      </c>
      <c r="AD108" s="232">
        <f>VLOOKUP(AA108,FACTS!$B$2:$N$14,13,FALSE)</f>
        <v>6100</v>
      </c>
      <c r="AE108" s="232">
        <f t="shared" si="14"/>
        <v>2958.4999999999995</v>
      </c>
      <c r="AF108" s="232">
        <f t="shared" si="15"/>
        <v>79808.5</v>
      </c>
      <c r="AG108" s="232">
        <f>AF108*FACTS!$T$2</f>
        <v>26336.805</v>
      </c>
      <c r="AH108" s="232">
        <f>Table1[[#This Row],[UNIT (BUILDING) RATE (SEMI FINISHED)]]+4500</f>
        <v>84308.5</v>
      </c>
      <c r="AI108" s="232">
        <f>Table1[[#This Row],[UNIT (BUILDING) RATE (SEMI FINISHED)]]+7500</f>
        <v>87308.5</v>
      </c>
      <c r="AJ108" s="232">
        <f t="shared" si="16"/>
        <v>5027935.5</v>
      </c>
      <c r="AK108" s="232">
        <f>Table1[[#This Row],[UNIT (BUILDING) RATE (BASIC FINISH)]]*Table1[[#This Row],[Unit Selling Area]]</f>
        <v>5311435.5</v>
      </c>
      <c r="AL108" s="232">
        <f>Table1[[#This Row],[UNIT (BUILDING) RATE (FULLY FINISH)]]*Table1[[#This Row],[Unit Selling Area]]</f>
        <v>5500435.5</v>
      </c>
      <c r="AM108" s="232">
        <f t="shared" si="17"/>
        <v>0</v>
      </c>
      <c r="AN108" s="232">
        <f>(AM108+AJ108)*FACTS!$S$2</f>
        <v>427374.51750000002</v>
      </c>
      <c r="AO108" s="101">
        <f>VLOOKUP(S108,FACTS!$A$17:$C$23,3,FALSE)</f>
        <v>1</v>
      </c>
      <c r="AP108" s="232">
        <f>VLOOKUP(AA108,FACTS!$B$2:$J$14,9,FALSE)</f>
        <v>244000</v>
      </c>
      <c r="AQ108" s="232">
        <f>Table1[[#This Row],[PARKING VALUE]]*1</f>
        <v>244000</v>
      </c>
      <c r="AR108" s="232">
        <f t="shared" si="11"/>
        <v>5271935.5</v>
      </c>
      <c r="AS108" s="440">
        <f>Table1[[#This Row],[TOTAL CARS VALUE]]+Table1[[#This Row],[UNIT (BUILDING) VALUE BASIC FINISHED]]+Table1[[#This Row],[UNIT (GARDEN) VALUE]]</f>
        <v>5555435.5</v>
      </c>
      <c r="AT108" s="232">
        <f>Table1[[#This Row],[TOTAL CARS VALUE]]+Table1[[#This Row],[UNIT (GARDEN) VALUE]]+Table1[[#This Row],[UNIT (BUILDING) VALUE FULLY FINISHED]]</f>
        <v>5744435.5</v>
      </c>
      <c r="AU108" s="233">
        <f>VLOOKUP(I108,'C PHASES'!$I$108:$J$110,2,FALSE)</f>
        <v>45839</v>
      </c>
      <c r="AV108" s="233">
        <f>VLOOKUP(AA108,'C PHASES'!$I$113:$J$125,2,FALSE)</f>
        <v>45839</v>
      </c>
    </row>
    <row r="109" spans="1:48" ht="15" customHeight="1" x14ac:dyDescent="0.25">
      <c r="A109" s="235"/>
      <c r="B109" s="227" t="str">
        <f t="shared" si="12"/>
        <v>A</v>
      </c>
      <c r="C109" s="227" t="s">
        <v>26</v>
      </c>
      <c r="D109" s="227" t="s">
        <v>1148</v>
      </c>
      <c r="E109" s="228">
        <v>3</v>
      </c>
      <c r="F109" s="101">
        <v>1</v>
      </c>
      <c r="G109" s="87" t="str">
        <f t="shared" si="18"/>
        <v>A531</v>
      </c>
      <c r="H109" s="87" t="s">
        <v>1296</v>
      </c>
      <c r="I109" s="89" t="str">
        <f>VLOOKUP(C109,'PREMIUM TABLES'!$G$107:$H$149,2,FALSE)</f>
        <v>C1</v>
      </c>
      <c r="J109" s="87">
        <v>68.62</v>
      </c>
      <c r="K109" s="87">
        <v>87.620111146450768</v>
      </c>
      <c r="L109" s="87">
        <v>84</v>
      </c>
      <c r="O109" s="87" t="s">
        <v>184</v>
      </c>
      <c r="P109" s="87" t="s">
        <v>226</v>
      </c>
      <c r="Q109" s="229" t="s">
        <v>195</v>
      </c>
      <c r="R109" s="87" t="str">
        <f>VLOOKUP(E109,'PREMIUM TABLES'!$F$214:$G$219,2,FALSE)</f>
        <v>THIRD</v>
      </c>
      <c r="S109" s="87" t="str" cm="1">
        <f t="array" ref="S109">IF(AND(L109&gt;0,L109&lt;90),"A",IF(AND(L109&gt;90,L109&lt;123),"B",IF(AND(L109&gt;122,L109&lt;159),"C",IF(AND(L109&gt;159,L109&lt;185),"D",IF(AND(L109&gt;185,L109&lt;230),"E",IF(AND(L109&gt;230,L109&lt;350),"F",NONE))))))</f>
        <v>A</v>
      </c>
      <c r="T109" s="230">
        <f>VLOOKUP(O109,'PREMIUM TABLES'!$G$165:$H$172,2,FALSE)</f>
        <v>0.15</v>
      </c>
      <c r="U109" s="230">
        <f>VLOOKUP(P109,'PREMIUM TABLES'!$G$208:$H$209,2,FALSE)</f>
        <v>0.05</v>
      </c>
      <c r="V109" s="230">
        <f>VLOOKUP(Q109,'PREMIUM TABLES'!$G$175:$H$195,2,FALSE)</f>
        <v>0.25</v>
      </c>
      <c r="W109" s="230">
        <f>VLOOKUP(R109,'PREMIUM TABLES'!$G$214:$H$219,2,FALSE)</f>
        <v>0.15</v>
      </c>
      <c r="X109" s="230">
        <f>VLOOKUP(S109,'PREMIUM TABLES'!$F$199:$H$205,3,FALSE)</f>
        <v>0.05</v>
      </c>
      <c r="Y109" s="231">
        <f t="shared" si="13"/>
        <v>0.65</v>
      </c>
      <c r="Z109" s="231" t="s">
        <v>732</v>
      </c>
      <c r="AA109" s="231" t="str">
        <f>VLOOKUP(G109,'ALL (R)'!$N$5:$R$862,5,FALSE)</f>
        <v>RH</v>
      </c>
      <c r="AB109" s="232">
        <f>VLOOKUP(AA109,FACTS!$B$2:$L$14,10,FALSE)</f>
        <v>76850</v>
      </c>
      <c r="AC109" s="232">
        <f>VLOOKUP(AA109,FACTS!$B$2:$L$14,11,FALSE)</f>
        <v>82950</v>
      </c>
      <c r="AD109" s="232">
        <f>VLOOKUP(AA109,FACTS!$B$2:$N$14,13,FALSE)</f>
        <v>6100</v>
      </c>
      <c r="AE109" s="232">
        <f t="shared" si="14"/>
        <v>3965</v>
      </c>
      <c r="AF109" s="232">
        <f t="shared" si="15"/>
        <v>80815</v>
      </c>
      <c r="AG109" s="232">
        <f>AF109*FACTS!$T$2</f>
        <v>26668.95</v>
      </c>
      <c r="AH109" s="232">
        <f>Table1[[#This Row],[UNIT (BUILDING) RATE (SEMI FINISHED)]]+4500</f>
        <v>85315</v>
      </c>
      <c r="AI109" s="232">
        <f>Table1[[#This Row],[UNIT (BUILDING) RATE (SEMI FINISHED)]]+7500</f>
        <v>88315</v>
      </c>
      <c r="AJ109" s="232">
        <f t="shared" si="16"/>
        <v>6788460</v>
      </c>
      <c r="AK109" s="232">
        <f>Table1[[#This Row],[UNIT (BUILDING) RATE (BASIC FINISH)]]*Table1[[#This Row],[Unit Selling Area]]</f>
        <v>7166460</v>
      </c>
      <c r="AL109" s="232">
        <f>Table1[[#This Row],[UNIT (BUILDING) RATE (FULLY FINISH)]]*Table1[[#This Row],[Unit Selling Area]]</f>
        <v>7418460</v>
      </c>
      <c r="AM109" s="232">
        <f t="shared" si="17"/>
        <v>0</v>
      </c>
      <c r="AN109" s="232">
        <f>(AM109+AJ109)*FACTS!$S$2</f>
        <v>577019.10000000009</v>
      </c>
      <c r="AO109" s="101">
        <f>VLOOKUP(S109,FACTS!$A$17:$C$23,3,FALSE)</f>
        <v>1</v>
      </c>
      <c r="AP109" s="232">
        <f>VLOOKUP(AA109,FACTS!$B$2:$J$14,9,FALSE)</f>
        <v>244000</v>
      </c>
      <c r="AQ109" s="232">
        <f>Table1[[#This Row],[PARKING VALUE]]*1</f>
        <v>244000</v>
      </c>
      <c r="AR109" s="232">
        <f t="shared" si="11"/>
        <v>7032460</v>
      </c>
      <c r="AS109" s="440">
        <f>Table1[[#This Row],[TOTAL CARS VALUE]]+Table1[[#This Row],[UNIT (BUILDING) VALUE BASIC FINISHED]]+Table1[[#This Row],[UNIT (GARDEN) VALUE]]</f>
        <v>7410460</v>
      </c>
      <c r="AT109" s="232">
        <f>Table1[[#This Row],[TOTAL CARS VALUE]]+Table1[[#This Row],[UNIT (GARDEN) VALUE]]+Table1[[#This Row],[UNIT (BUILDING) VALUE FULLY FINISHED]]</f>
        <v>7662460</v>
      </c>
      <c r="AU109" s="233">
        <f>VLOOKUP(I109,'C PHASES'!$I$108:$J$110,2,FALSE)</f>
        <v>45839</v>
      </c>
      <c r="AV109" s="233">
        <f>VLOOKUP(AA109,'C PHASES'!$I$113:$J$125,2,FALSE)</f>
        <v>45839</v>
      </c>
    </row>
    <row r="110" spans="1:48" ht="15" customHeight="1" x14ac:dyDescent="0.25">
      <c r="A110" s="235"/>
      <c r="B110" s="227" t="str">
        <f t="shared" si="12"/>
        <v>A</v>
      </c>
      <c r="C110" s="227" t="s">
        <v>26</v>
      </c>
      <c r="D110" s="227" t="s">
        <v>1148</v>
      </c>
      <c r="E110" s="228">
        <v>3</v>
      </c>
      <c r="F110" s="101">
        <v>2</v>
      </c>
      <c r="G110" s="87" t="str">
        <f t="shared" si="18"/>
        <v>A532</v>
      </c>
      <c r="H110" s="87" t="s">
        <v>1296</v>
      </c>
      <c r="I110" s="89" t="str">
        <f>VLOOKUP(C110,'PREMIUM TABLES'!$G$107:$H$149,2,FALSE)</f>
        <v>C1</v>
      </c>
      <c r="J110" s="87">
        <v>68.599999999999994</v>
      </c>
      <c r="K110" s="87">
        <v>87.594573369958056</v>
      </c>
      <c r="L110" s="87">
        <v>84</v>
      </c>
      <c r="O110" s="87" t="s">
        <v>185</v>
      </c>
      <c r="P110" s="87" t="s">
        <v>226</v>
      </c>
      <c r="Q110" s="229" t="s">
        <v>215</v>
      </c>
      <c r="R110" s="87" t="str">
        <f>VLOOKUP(E110,'PREMIUM TABLES'!$F$214:$G$219,2,FALSE)</f>
        <v>THIRD</v>
      </c>
      <c r="S110" s="87" t="str" cm="1">
        <f t="array" ref="S110">IF(AND(L110&gt;0,L110&lt;90),"A",IF(AND(L110&gt;90,L110&lt;123),"B",IF(AND(L110&gt;122,L110&lt;159),"C",IF(AND(L110&gt;159,L110&lt;185),"D",IF(AND(L110&gt;185,L110&lt;230),"E",IF(AND(L110&gt;230,L110&lt;350),"F",NONE))))))</f>
        <v>A</v>
      </c>
      <c r="T110" s="230">
        <f>VLOOKUP(O110,'PREMIUM TABLES'!$G$165:$H$172,2,FALSE)</f>
        <v>0.06</v>
      </c>
      <c r="U110" s="230">
        <f>VLOOKUP(P110,'PREMIUM TABLES'!$G$208:$H$209,2,FALSE)</f>
        <v>0.05</v>
      </c>
      <c r="V110" s="230">
        <f>VLOOKUP(Q110,'PREMIUM TABLES'!$G$175:$H$195,2,FALSE)</f>
        <v>0.2</v>
      </c>
      <c r="W110" s="230">
        <f>VLOOKUP(R110,'PREMIUM TABLES'!$G$214:$H$219,2,FALSE)</f>
        <v>0.15</v>
      </c>
      <c r="X110" s="230">
        <f>VLOOKUP(S110,'PREMIUM TABLES'!$F$199:$H$205,3,FALSE)</f>
        <v>0.05</v>
      </c>
      <c r="Y110" s="231">
        <f t="shared" si="13"/>
        <v>0.51</v>
      </c>
      <c r="Z110" s="231" t="s">
        <v>732</v>
      </c>
      <c r="AA110" s="231" t="str">
        <f>VLOOKUP(G110,'ALL (R)'!$N$5:$R$862,5,FALSE)</f>
        <v>RH</v>
      </c>
      <c r="AB110" s="232">
        <f>VLOOKUP(AA110,FACTS!$B$2:$L$14,10,FALSE)</f>
        <v>76850</v>
      </c>
      <c r="AC110" s="232">
        <f>VLOOKUP(AA110,FACTS!$B$2:$L$14,11,FALSE)</f>
        <v>82950</v>
      </c>
      <c r="AD110" s="232">
        <f>VLOOKUP(AA110,FACTS!$B$2:$N$14,13,FALSE)</f>
        <v>6100</v>
      </c>
      <c r="AE110" s="232">
        <f t="shared" si="14"/>
        <v>3111</v>
      </c>
      <c r="AF110" s="232">
        <f t="shared" si="15"/>
        <v>79961</v>
      </c>
      <c r="AG110" s="232">
        <f>AF110*FACTS!$T$2</f>
        <v>26387.13</v>
      </c>
      <c r="AH110" s="232">
        <f>Table1[[#This Row],[UNIT (BUILDING) RATE (SEMI FINISHED)]]+4500</f>
        <v>84461</v>
      </c>
      <c r="AI110" s="232">
        <f>Table1[[#This Row],[UNIT (BUILDING) RATE (SEMI FINISHED)]]+7500</f>
        <v>87461</v>
      </c>
      <c r="AJ110" s="232">
        <f t="shared" si="16"/>
        <v>6716724</v>
      </c>
      <c r="AK110" s="232">
        <f>Table1[[#This Row],[UNIT (BUILDING) RATE (BASIC FINISH)]]*Table1[[#This Row],[Unit Selling Area]]</f>
        <v>7094724</v>
      </c>
      <c r="AL110" s="232">
        <f>Table1[[#This Row],[UNIT (BUILDING) RATE (FULLY FINISH)]]*Table1[[#This Row],[Unit Selling Area]]</f>
        <v>7346724</v>
      </c>
      <c r="AM110" s="232">
        <f t="shared" si="17"/>
        <v>0</v>
      </c>
      <c r="AN110" s="232">
        <f>(AM110+AJ110)*FACTS!$S$2</f>
        <v>570921.54</v>
      </c>
      <c r="AO110" s="101">
        <f>VLOOKUP(S110,FACTS!$A$17:$C$23,3,FALSE)</f>
        <v>1</v>
      </c>
      <c r="AP110" s="232">
        <f>VLOOKUP(AA110,FACTS!$B$2:$J$14,9,FALSE)</f>
        <v>244000</v>
      </c>
      <c r="AQ110" s="232">
        <f>Table1[[#This Row],[PARKING VALUE]]*1</f>
        <v>244000</v>
      </c>
      <c r="AR110" s="232">
        <f t="shared" si="11"/>
        <v>6960724</v>
      </c>
      <c r="AS110" s="440">
        <f>Table1[[#This Row],[TOTAL CARS VALUE]]+Table1[[#This Row],[UNIT (BUILDING) VALUE BASIC FINISHED]]+Table1[[#This Row],[UNIT (GARDEN) VALUE]]</f>
        <v>7338724</v>
      </c>
      <c r="AT110" s="232">
        <f>Table1[[#This Row],[TOTAL CARS VALUE]]+Table1[[#This Row],[UNIT (GARDEN) VALUE]]+Table1[[#This Row],[UNIT (BUILDING) VALUE FULLY FINISHED]]</f>
        <v>7590724</v>
      </c>
      <c r="AU110" s="233">
        <f>VLOOKUP(I110,'C PHASES'!$I$108:$J$110,2,FALSE)</f>
        <v>45839</v>
      </c>
      <c r="AV110" s="233">
        <f>VLOOKUP(AA110,'C PHASES'!$I$113:$J$125,2,FALSE)</f>
        <v>45839</v>
      </c>
    </row>
    <row r="111" spans="1:48" ht="15" customHeight="1" x14ac:dyDescent="0.25">
      <c r="A111" s="235"/>
      <c r="B111" s="227" t="str">
        <f t="shared" si="12"/>
        <v>A</v>
      </c>
      <c r="C111" s="227" t="s">
        <v>26</v>
      </c>
      <c r="D111" s="227" t="s">
        <v>1148</v>
      </c>
      <c r="E111" s="228">
        <v>3</v>
      </c>
      <c r="F111" s="101">
        <v>3</v>
      </c>
      <c r="G111" s="87" t="str">
        <f t="shared" si="18"/>
        <v>A533</v>
      </c>
      <c r="H111" s="87" t="s">
        <v>1296</v>
      </c>
      <c r="I111" s="89" t="str">
        <f>VLOOKUP(C111,'PREMIUM TABLES'!$G$107:$H$149,2,FALSE)</f>
        <v>C1</v>
      </c>
      <c r="J111" s="87">
        <v>50.89</v>
      </c>
      <c r="K111" s="87">
        <v>64.980872285672973</v>
      </c>
      <c r="L111" s="87">
        <v>63</v>
      </c>
      <c r="O111" s="87" t="s">
        <v>185</v>
      </c>
      <c r="P111" s="87" t="s">
        <v>190</v>
      </c>
      <c r="Q111" s="229" t="s">
        <v>215</v>
      </c>
      <c r="R111" s="87" t="str">
        <f>VLOOKUP(E111,'PREMIUM TABLES'!$F$214:$G$219,2,FALSE)</f>
        <v>THIRD</v>
      </c>
      <c r="S111" s="87" t="str" cm="1">
        <f t="array" ref="S111">IF(AND(L111&gt;0,L111&lt;90),"A",IF(AND(L111&gt;90,L111&lt;123),"B",IF(AND(L111&gt;122,L111&lt;159),"C",IF(AND(L111&gt;159,L111&lt;185),"D",IF(AND(L111&gt;185,L111&lt;230),"E",IF(AND(L111&gt;230,L111&lt;350),"F",NONE))))))</f>
        <v>A</v>
      </c>
      <c r="T111" s="230">
        <f>VLOOKUP(O111,'PREMIUM TABLES'!$G$165:$H$172,2,FALSE)</f>
        <v>0.06</v>
      </c>
      <c r="U111" s="230">
        <f>VLOOKUP(P111,'PREMIUM TABLES'!$G$208:$H$209,2,FALSE)</f>
        <v>2.5000000000000001E-2</v>
      </c>
      <c r="V111" s="230">
        <f>VLOOKUP(Q111,'PREMIUM TABLES'!$G$175:$H$195,2,FALSE)</f>
        <v>0.2</v>
      </c>
      <c r="W111" s="230">
        <f>VLOOKUP(R111,'PREMIUM TABLES'!$G$214:$H$219,2,FALSE)</f>
        <v>0.15</v>
      </c>
      <c r="X111" s="230">
        <f>VLOOKUP(S111,'PREMIUM TABLES'!$F$199:$H$205,3,FALSE)</f>
        <v>0.05</v>
      </c>
      <c r="Y111" s="231">
        <f t="shared" si="13"/>
        <v>0.48500000000000004</v>
      </c>
      <c r="Z111" s="231" t="s">
        <v>732</v>
      </c>
      <c r="AA111" s="231" t="str">
        <f>VLOOKUP(G111,'ALL (R)'!$N$5:$R$862,5,FALSE)</f>
        <v>RH</v>
      </c>
      <c r="AB111" s="232">
        <f>VLOOKUP(AA111,FACTS!$B$2:$L$14,10,FALSE)</f>
        <v>76850</v>
      </c>
      <c r="AC111" s="232">
        <f>VLOOKUP(AA111,FACTS!$B$2:$L$14,11,FALSE)</f>
        <v>82950</v>
      </c>
      <c r="AD111" s="232">
        <f>VLOOKUP(AA111,FACTS!$B$2:$N$14,13,FALSE)</f>
        <v>6100</v>
      </c>
      <c r="AE111" s="232">
        <f t="shared" si="14"/>
        <v>2958.5000000000005</v>
      </c>
      <c r="AF111" s="232">
        <f t="shared" si="15"/>
        <v>79808.5</v>
      </c>
      <c r="AG111" s="232">
        <f>AF111*FACTS!$T$2</f>
        <v>26336.805</v>
      </c>
      <c r="AH111" s="232">
        <f>Table1[[#This Row],[UNIT (BUILDING) RATE (SEMI FINISHED)]]+4500</f>
        <v>84308.5</v>
      </c>
      <c r="AI111" s="232">
        <f>Table1[[#This Row],[UNIT (BUILDING) RATE (SEMI FINISHED)]]+7500</f>
        <v>87308.5</v>
      </c>
      <c r="AJ111" s="232">
        <f t="shared" si="16"/>
        <v>5027935.5</v>
      </c>
      <c r="AK111" s="232">
        <f>Table1[[#This Row],[UNIT (BUILDING) RATE (BASIC FINISH)]]*Table1[[#This Row],[Unit Selling Area]]</f>
        <v>5311435.5</v>
      </c>
      <c r="AL111" s="232">
        <f>Table1[[#This Row],[UNIT (BUILDING) RATE (FULLY FINISH)]]*Table1[[#This Row],[Unit Selling Area]]</f>
        <v>5500435.5</v>
      </c>
      <c r="AM111" s="232">
        <f t="shared" si="17"/>
        <v>0</v>
      </c>
      <c r="AN111" s="232">
        <f>(AM111+AJ111)*FACTS!$S$2</f>
        <v>427374.51750000002</v>
      </c>
      <c r="AO111" s="101">
        <f>VLOOKUP(S111,FACTS!$A$17:$C$23,3,FALSE)</f>
        <v>1</v>
      </c>
      <c r="AP111" s="232">
        <f>VLOOKUP(AA111,FACTS!$B$2:$J$14,9,FALSE)</f>
        <v>244000</v>
      </c>
      <c r="AQ111" s="232">
        <f>Table1[[#This Row],[PARKING VALUE]]*1</f>
        <v>244000</v>
      </c>
      <c r="AR111" s="232">
        <f t="shared" si="11"/>
        <v>5271935.5</v>
      </c>
      <c r="AS111" s="440">
        <f>Table1[[#This Row],[TOTAL CARS VALUE]]+Table1[[#This Row],[UNIT (BUILDING) VALUE BASIC FINISHED]]+Table1[[#This Row],[UNIT (GARDEN) VALUE]]</f>
        <v>5555435.5</v>
      </c>
      <c r="AT111" s="232">
        <f>Table1[[#This Row],[TOTAL CARS VALUE]]+Table1[[#This Row],[UNIT (GARDEN) VALUE]]+Table1[[#This Row],[UNIT (BUILDING) VALUE FULLY FINISHED]]</f>
        <v>5744435.5</v>
      </c>
      <c r="AU111" s="233">
        <f>VLOOKUP(I111,'C PHASES'!$I$108:$J$110,2,FALSE)</f>
        <v>45839</v>
      </c>
      <c r="AV111" s="233">
        <f>VLOOKUP(AA111,'C PHASES'!$I$113:$J$125,2,FALSE)</f>
        <v>45839</v>
      </c>
    </row>
    <row r="112" spans="1:48" ht="15" customHeight="1" x14ac:dyDescent="0.25">
      <c r="A112" s="235"/>
      <c r="B112" s="227" t="str">
        <f t="shared" si="12"/>
        <v>A</v>
      </c>
      <c r="C112" s="227" t="s">
        <v>26</v>
      </c>
      <c r="D112" s="227" t="s">
        <v>1148</v>
      </c>
      <c r="E112" s="228">
        <v>3</v>
      </c>
      <c r="F112" s="101">
        <v>4</v>
      </c>
      <c r="G112" s="87" t="str">
        <f t="shared" si="18"/>
        <v>A534</v>
      </c>
      <c r="H112" s="87" t="s">
        <v>1296</v>
      </c>
      <c r="I112" s="89" t="str">
        <f>VLOOKUP(C112,'PREMIUM TABLES'!$G$107:$H$149,2,FALSE)</f>
        <v>C1</v>
      </c>
      <c r="J112" s="87">
        <v>62.84</v>
      </c>
      <c r="K112" s="87">
        <v>80.239693740060716</v>
      </c>
      <c r="L112" s="87">
        <v>77</v>
      </c>
      <c r="O112" s="87" t="s">
        <v>185</v>
      </c>
      <c r="P112" s="87" t="s">
        <v>190</v>
      </c>
      <c r="Q112" s="229" t="s">
        <v>215</v>
      </c>
      <c r="R112" s="87" t="str">
        <f>VLOOKUP(E112,'PREMIUM TABLES'!$F$214:$G$219,2,FALSE)</f>
        <v>THIRD</v>
      </c>
      <c r="S112" s="87" t="str" cm="1">
        <f t="array" ref="S112">IF(AND(L112&gt;0,L112&lt;90),"A",IF(AND(L112&gt;90,L112&lt;123),"B",IF(AND(L112&gt;122,L112&lt;159),"C",IF(AND(L112&gt;159,L112&lt;185),"D",IF(AND(L112&gt;185,L112&lt;230),"E",IF(AND(L112&gt;230,L112&lt;350),"F",NONE))))))</f>
        <v>A</v>
      </c>
      <c r="T112" s="230">
        <f>VLOOKUP(O112,'PREMIUM TABLES'!$G$165:$H$172,2,FALSE)</f>
        <v>0.06</v>
      </c>
      <c r="U112" s="230">
        <f>VLOOKUP(P112,'PREMIUM TABLES'!$G$208:$H$209,2,FALSE)</f>
        <v>2.5000000000000001E-2</v>
      </c>
      <c r="V112" s="230">
        <f>VLOOKUP(Q112,'PREMIUM TABLES'!$G$175:$H$195,2,FALSE)</f>
        <v>0.2</v>
      </c>
      <c r="W112" s="230">
        <f>VLOOKUP(R112,'PREMIUM TABLES'!$G$214:$H$219,2,FALSE)</f>
        <v>0.15</v>
      </c>
      <c r="X112" s="230">
        <f>VLOOKUP(S112,'PREMIUM TABLES'!$F$199:$H$205,3,FALSE)</f>
        <v>0.05</v>
      </c>
      <c r="Y112" s="231">
        <f t="shared" si="13"/>
        <v>0.48500000000000004</v>
      </c>
      <c r="Z112" s="231" t="s">
        <v>732</v>
      </c>
      <c r="AA112" s="231" t="str">
        <f>VLOOKUP(G112,'ALL (R)'!$N$5:$R$862,5,FALSE)</f>
        <v>RH</v>
      </c>
      <c r="AB112" s="232">
        <f>VLOOKUP(AA112,FACTS!$B$2:$L$14,10,FALSE)</f>
        <v>76850</v>
      </c>
      <c r="AC112" s="232">
        <f>VLOOKUP(AA112,FACTS!$B$2:$L$14,11,FALSE)</f>
        <v>82950</v>
      </c>
      <c r="AD112" s="232">
        <f>VLOOKUP(AA112,FACTS!$B$2:$N$14,13,FALSE)</f>
        <v>6100</v>
      </c>
      <c r="AE112" s="232">
        <f t="shared" si="14"/>
        <v>2958.5000000000005</v>
      </c>
      <c r="AF112" s="232">
        <f t="shared" si="15"/>
        <v>79808.5</v>
      </c>
      <c r="AG112" s="232">
        <f>AF112*FACTS!$T$2</f>
        <v>26336.805</v>
      </c>
      <c r="AH112" s="232">
        <f>Table1[[#This Row],[UNIT (BUILDING) RATE (SEMI FINISHED)]]+4500</f>
        <v>84308.5</v>
      </c>
      <c r="AI112" s="232">
        <f>Table1[[#This Row],[UNIT (BUILDING) RATE (SEMI FINISHED)]]+7500</f>
        <v>87308.5</v>
      </c>
      <c r="AJ112" s="232">
        <f t="shared" si="16"/>
        <v>6145254.5</v>
      </c>
      <c r="AK112" s="232">
        <f>Table1[[#This Row],[UNIT (BUILDING) RATE (BASIC FINISH)]]*Table1[[#This Row],[Unit Selling Area]]</f>
        <v>6491754.5</v>
      </c>
      <c r="AL112" s="232">
        <f>Table1[[#This Row],[UNIT (BUILDING) RATE (FULLY FINISH)]]*Table1[[#This Row],[Unit Selling Area]]</f>
        <v>6722754.5</v>
      </c>
      <c r="AM112" s="232">
        <f t="shared" si="17"/>
        <v>0</v>
      </c>
      <c r="AN112" s="232">
        <f>(AM112+AJ112)*FACTS!$S$2</f>
        <v>522346.63250000007</v>
      </c>
      <c r="AO112" s="101">
        <f>VLOOKUP(S112,FACTS!$A$17:$C$23,3,FALSE)</f>
        <v>1</v>
      </c>
      <c r="AP112" s="232">
        <f>VLOOKUP(AA112,FACTS!$B$2:$J$14,9,FALSE)</f>
        <v>244000</v>
      </c>
      <c r="AQ112" s="232">
        <f>Table1[[#This Row],[PARKING VALUE]]*1</f>
        <v>244000</v>
      </c>
      <c r="AR112" s="232">
        <f t="shared" si="11"/>
        <v>6389254.5</v>
      </c>
      <c r="AS112" s="440">
        <f>Table1[[#This Row],[TOTAL CARS VALUE]]+Table1[[#This Row],[UNIT (BUILDING) VALUE BASIC FINISHED]]+Table1[[#This Row],[UNIT (GARDEN) VALUE]]</f>
        <v>6735754.5</v>
      </c>
      <c r="AT112" s="232">
        <f>Table1[[#This Row],[TOTAL CARS VALUE]]+Table1[[#This Row],[UNIT (GARDEN) VALUE]]+Table1[[#This Row],[UNIT (BUILDING) VALUE FULLY FINISHED]]</f>
        <v>6966754.5</v>
      </c>
      <c r="AU112" s="233">
        <f>VLOOKUP(I112,'C PHASES'!$I$108:$J$110,2,FALSE)</f>
        <v>45839</v>
      </c>
      <c r="AV112" s="233">
        <f>VLOOKUP(AA112,'C PHASES'!$I$113:$J$125,2,FALSE)</f>
        <v>45839</v>
      </c>
    </row>
    <row r="113" spans="1:48" ht="15" customHeight="1" x14ac:dyDescent="0.25">
      <c r="A113" s="235"/>
      <c r="B113" s="227" t="str">
        <f t="shared" si="12"/>
        <v>A</v>
      </c>
      <c r="C113" s="227" t="s">
        <v>26</v>
      </c>
      <c r="D113" s="227" t="s">
        <v>1148</v>
      </c>
      <c r="E113" s="228">
        <v>3</v>
      </c>
      <c r="F113" s="101">
        <v>5</v>
      </c>
      <c r="G113" s="87" t="str">
        <f t="shared" si="18"/>
        <v>A535</v>
      </c>
      <c r="H113" s="87" t="s">
        <v>1296</v>
      </c>
      <c r="I113" s="89" t="str">
        <f>VLOOKUP(C113,'PREMIUM TABLES'!$G$107:$H$149,2,FALSE)</f>
        <v>C1</v>
      </c>
      <c r="J113" s="87">
        <v>62.86</v>
      </c>
      <c r="K113" s="87">
        <v>80.265231516553413</v>
      </c>
      <c r="L113" s="87">
        <v>77</v>
      </c>
      <c r="O113" s="87" t="s">
        <v>184</v>
      </c>
      <c r="P113" s="87" t="s">
        <v>190</v>
      </c>
      <c r="Q113" s="229" t="s">
        <v>198</v>
      </c>
      <c r="R113" s="87" t="str">
        <f>VLOOKUP(E113,'PREMIUM TABLES'!$F$214:$G$219,2,FALSE)</f>
        <v>THIRD</v>
      </c>
      <c r="S113" s="87" t="str" cm="1">
        <f t="array" ref="S113">IF(AND(L113&gt;0,L113&lt;90),"A",IF(AND(L113&gt;90,L113&lt;123),"B",IF(AND(L113&gt;122,L113&lt;159),"C",IF(AND(L113&gt;159,L113&lt;185),"D",IF(AND(L113&gt;185,L113&lt;230),"E",IF(AND(L113&gt;230,L113&lt;350),"F",NONE))))))</f>
        <v>A</v>
      </c>
      <c r="T113" s="230">
        <f>VLOOKUP(O113,'PREMIUM TABLES'!$G$165:$H$172,2,FALSE)</f>
        <v>0.15</v>
      </c>
      <c r="U113" s="230">
        <f>VLOOKUP(P113,'PREMIUM TABLES'!$G$208:$H$209,2,FALSE)</f>
        <v>2.5000000000000001E-2</v>
      </c>
      <c r="V113" s="230">
        <f>VLOOKUP(Q113,'PREMIUM TABLES'!$G$175:$H$195,2,FALSE)</f>
        <v>0.15</v>
      </c>
      <c r="W113" s="230">
        <f>VLOOKUP(R113,'PREMIUM TABLES'!$G$214:$H$219,2,FALSE)</f>
        <v>0.15</v>
      </c>
      <c r="X113" s="230">
        <f>VLOOKUP(S113,'PREMIUM TABLES'!$F$199:$H$205,3,FALSE)</f>
        <v>0.05</v>
      </c>
      <c r="Y113" s="231">
        <f t="shared" si="13"/>
        <v>0.52500000000000002</v>
      </c>
      <c r="Z113" s="231" t="s">
        <v>732</v>
      </c>
      <c r="AA113" s="231" t="str">
        <f>VLOOKUP(G113,'ALL (R)'!$N$5:$R$862,5,FALSE)</f>
        <v>RH</v>
      </c>
      <c r="AB113" s="232">
        <f>VLOOKUP(AA113,FACTS!$B$2:$L$14,10,FALSE)</f>
        <v>76850</v>
      </c>
      <c r="AC113" s="232">
        <f>VLOOKUP(AA113,FACTS!$B$2:$L$14,11,FALSE)</f>
        <v>82950</v>
      </c>
      <c r="AD113" s="232">
        <f>VLOOKUP(AA113,FACTS!$B$2:$N$14,13,FALSE)</f>
        <v>6100</v>
      </c>
      <c r="AE113" s="232">
        <f t="shared" si="14"/>
        <v>3202.5</v>
      </c>
      <c r="AF113" s="232">
        <f t="shared" si="15"/>
        <v>80052.5</v>
      </c>
      <c r="AG113" s="232">
        <f>AF113*FACTS!$T$2</f>
        <v>26417.325000000001</v>
      </c>
      <c r="AH113" s="232">
        <f>Table1[[#This Row],[UNIT (BUILDING) RATE (SEMI FINISHED)]]+4500</f>
        <v>84552.5</v>
      </c>
      <c r="AI113" s="232">
        <f>Table1[[#This Row],[UNIT (BUILDING) RATE (SEMI FINISHED)]]+7500</f>
        <v>87552.5</v>
      </c>
      <c r="AJ113" s="232">
        <f t="shared" si="16"/>
        <v>6164042.5</v>
      </c>
      <c r="AK113" s="232">
        <f>Table1[[#This Row],[UNIT (BUILDING) RATE (BASIC FINISH)]]*Table1[[#This Row],[Unit Selling Area]]</f>
        <v>6510542.5</v>
      </c>
      <c r="AL113" s="232">
        <f>Table1[[#This Row],[UNIT (BUILDING) RATE (FULLY FINISH)]]*Table1[[#This Row],[Unit Selling Area]]</f>
        <v>6741542.5</v>
      </c>
      <c r="AM113" s="232">
        <f t="shared" si="17"/>
        <v>0</v>
      </c>
      <c r="AN113" s="232">
        <f>(AM113+AJ113)*FACTS!$S$2</f>
        <v>523943.61250000005</v>
      </c>
      <c r="AO113" s="101">
        <f>VLOOKUP(S113,FACTS!$A$17:$C$23,3,FALSE)</f>
        <v>1</v>
      </c>
      <c r="AP113" s="232">
        <f>VLOOKUP(AA113,FACTS!$B$2:$J$14,9,FALSE)</f>
        <v>244000</v>
      </c>
      <c r="AQ113" s="232">
        <f>Table1[[#This Row],[PARKING VALUE]]*1</f>
        <v>244000</v>
      </c>
      <c r="AR113" s="232">
        <f t="shared" si="11"/>
        <v>6408042.5</v>
      </c>
      <c r="AS113" s="440">
        <f>Table1[[#This Row],[TOTAL CARS VALUE]]+Table1[[#This Row],[UNIT (BUILDING) VALUE BASIC FINISHED]]+Table1[[#This Row],[UNIT (GARDEN) VALUE]]</f>
        <v>6754542.5</v>
      </c>
      <c r="AT113" s="232">
        <f>Table1[[#This Row],[TOTAL CARS VALUE]]+Table1[[#This Row],[UNIT (GARDEN) VALUE]]+Table1[[#This Row],[UNIT (BUILDING) VALUE FULLY FINISHED]]</f>
        <v>6985542.5</v>
      </c>
      <c r="AU113" s="233">
        <f>VLOOKUP(I113,'C PHASES'!$I$108:$J$110,2,FALSE)</f>
        <v>45839</v>
      </c>
      <c r="AV113" s="233">
        <f>VLOOKUP(AA113,'C PHASES'!$I$113:$J$125,2,FALSE)</f>
        <v>45839</v>
      </c>
    </row>
    <row r="114" spans="1:48" ht="15" customHeight="1" x14ac:dyDescent="0.25">
      <c r="A114" s="235"/>
      <c r="B114" s="227" t="str">
        <f t="shared" si="12"/>
        <v>A</v>
      </c>
      <c r="C114" s="227" t="s">
        <v>26</v>
      </c>
      <c r="D114" s="227" t="s">
        <v>1148</v>
      </c>
      <c r="E114" s="228">
        <v>3</v>
      </c>
      <c r="F114" s="101">
        <v>6</v>
      </c>
      <c r="G114" s="87" t="str">
        <f t="shared" si="18"/>
        <v>A536</v>
      </c>
      <c r="H114" s="87" t="s">
        <v>1296</v>
      </c>
      <c r="I114" s="89" t="str">
        <f>VLOOKUP(C114,'PREMIUM TABLES'!$G$107:$H$149,2,FALSE)</f>
        <v>C1</v>
      </c>
      <c r="J114" s="87">
        <v>50.89</v>
      </c>
      <c r="K114" s="87">
        <v>64.980872285672973</v>
      </c>
      <c r="L114" s="87">
        <v>63</v>
      </c>
      <c r="O114" s="87" t="s">
        <v>184</v>
      </c>
      <c r="P114" s="87" t="s">
        <v>190</v>
      </c>
      <c r="Q114" s="229" t="s">
        <v>198</v>
      </c>
      <c r="R114" s="87" t="str">
        <f>VLOOKUP(E114,'PREMIUM TABLES'!$F$214:$G$219,2,FALSE)</f>
        <v>THIRD</v>
      </c>
      <c r="S114" s="87" t="str" cm="1">
        <f t="array" ref="S114">IF(AND(L114&gt;0,L114&lt;90),"A",IF(AND(L114&gt;90,L114&lt;123),"B",IF(AND(L114&gt;122,L114&lt;159),"C",IF(AND(L114&gt;159,L114&lt;185),"D",IF(AND(L114&gt;185,L114&lt;230),"E",IF(AND(L114&gt;230,L114&lt;350),"F",NONE))))))</f>
        <v>A</v>
      </c>
      <c r="T114" s="230">
        <f>VLOOKUP(O114,'PREMIUM TABLES'!$G$165:$H$172,2,FALSE)</f>
        <v>0.15</v>
      </c>
      <c r="U114" s="230">
        <f>VLOOKUP(P114,'PREMIUM TABLES'!$G$208:$H$209,2,FALSE)</f>
        <v>2.5000000000000001E-2</v>
      </c>
      <c r="V114" s="230">
        <f>VLOOKUP(Q114,'PREMIUM TABLES'!$G$175:$H$195,2,FALSE)</f>
        <v>0.15</v>
      </c>
      <c r="W114" s="230">
        <f>VLOOKUP(R114,'PREMIUM TABLES'!$G$214:$H$219,2,FALSE)</f>
        <v>0.15</v>
      </c>
      <c r="X114" s="230">
        <f>VLOOKUP(S114,'PREMIUM TABLES'!$F$199:$H$205,3,FALSE)</f>
        <v>0.05</v>
      </c>
      <c r="Y114" s="231">
        <f t="shared" si="13"/>
        <v>0.52500000000000002</v>
      </c>
      <c r="Z114" s="231" t="s">
        <v>732</v>
      </c>
      <c r="AA114" s="231" t="str">
        <f>VLOOKUP(G114,'ALL (R)'!$N$5:$R$862,5,FALSE)</f>
        <v>RH</v>
      </c>
      <c r="AB114" s="232">
        <f>VLOOKUP(AA114,FACTS!$B$2:$L$14,10,FALSE)</f>
        <v>76850</v>
      </c>
      <c r="AC114" s="232">
        <f>VLOOKUP(AA114,FACTS!$B$2:$L$14,11,FALSE)</f>
        <v>82950</v>
      </c>
      <c r="AD114" s="232">
        <f>VLOOKUP(AA114,FACTS!$B$2:$N$14,13,FALSE)</f>
        <v>6100</v>
      </c>
      <c r="AE114" s="232">
        <f t="shared" si="14"/>
        <v>3202.5</v>
      </c>
      <c r="AF114" s="232">
        <f t="shared" si="15"/>
        <v>80052.5</v>
      </c>
      <c r="AG114" s="232">
        <f>AF114*FACTS!$T$2</f>
        <v>26417.325000000001</v>
      </c>
      <c r="AH114" s="232">
        <f>Table1[[#This Row],[UNIT (BUILDING) RATE (SEMI FINISHED)]]+4500</f>
        <v>84552.5</v>
      </c>
      <c r="AI114" s="232">
        <f>Table1[[#This Row],[UNIT (BUILDING) RATE (SEMI FINISHED)]]+7500</f>
        <v>87552.5</v>
      </c>
      <c r="AJ114" s="232">
        <f t="shared" si="16"/>
        <v>5043307.5</v>
      </c>
      <c r="AK114" s="232">
        <f>Table1[[#This Row],[UNIT (BUILDING) RATE (BASIC FINISH)]]*Table1[[#This Row],[Unit Selling Area]]</f>
        <v>5326807.5</v>
      </c>
      <c r="AL114" s="232">
        <f>Table1[[#This Row],[UNIT (BUILDING) RATE (FULLY FINISH)]]*Table1[[#This Row],[Unit Selling Area]]</f>
        <v>5515807.5</v>
      </c>
      <c r="AM114" s="232">
        <f t="shared" si="17"/>
        <v>0</v>
      </c>
      <c r="AN114" s="232">
        <f>(AM114+AJ114)*FACTS!$S$2</f>
        <v>428681.13750000001</v>
      </c>
      <c r="AO114" s="101">
        <f>VLOOKUP(S114,FACTS!$A$17:$C$23,3,FALSE)</f>
        <v>1</v>
      </c>
      <c r="AP114" s="232">
        <f>VLOOKUP(AA114,FACTS!$B$2:$J$14,9,FALSE)</f>
        <v>244000</v>
      </c>
      <c r="AQ114" s="232">
        <f>Table1[[#This Row],[PARKING VALUE]]*1</f>
        <v>244000</v>
      </c>
      <c r="AR114" s="232">
        <f t="shared" si="11"/>
        <v>5287307.5</v>
      </c>
      <c r="AS114" s="440">
        <f>Table1[[#This Row],[TOTAL CARS VALUE]]+Table1[[#This Row],[UNIT (BUILDING) VALUE BASIC FINISHED]]+Table1[[#This Row],[UNIT (GARDEN) VALUE]]</f>
        <v>5570807.5</v>
      </c>
      <c r="AT114" s="232">
        <f>Table1[[#This Row],[TOTAL CARS VALUE]]+Table1[[#This Row],[UNIT (GARDEN) VALUE]]+Table1[[#This Row],[UNIT (BUILDING) VALUE FULLY FINISHED]]</f>
        <v>5759807.5</v>
      </c>
      <c r="AU114" s="233">
        <f>VLOOKUP(I114,'C PHASES'!$I$108:$J$110,2,FALSE)</f>
        <v>45839</v>
      </c>
      <c r="AV114" s="233">
        <f>VLOOKUP(AA114,'C PHASES'!$I$113:$J$125,2,FALSE)</f>
        <v>45839</v>
      </c>
    </row>
    <row r="115" spans="1:48" ht="15" customHeight="1" x14ac:dyDescent="0.25">
      <c r="A115" s="235"/>
      <c r="B115" s="227" t="str">
        <f t="shared" si="12"/>
        <v>A</v>
      </c>
      <c r="C115" s="227" t="s">
        <v>26</v>
      </c>
      <c r="D115" s="227" t="s">
        <v>1148</v>
      </c>
      <c r="E115" s="228">
        <v>4</v>
      </c>
      <c r="F115" s="101">
        <v>1</v>
      </c>
      <c r="G115" s="87" t="str">
        <f t="shared" si="18"/>
        <v>A541</v>
      </c>
      <c r="H115" s="87" t="s">
        <v>1296</v>
      </c>
      <c r="I115" s="89" t="str">
        <f>VLOOKUP(C115,'PREMIUM TABLES'!$G$107:$H$149,2,FALSE)</f>
        <v>C1</v>
      </c>
      <c r="J115" s="87">
        <v>68.680000000000007</v>
      </c>
      <c r="K115" s="87">
        <v>87.696724475928875</v>
      </c>
      <c r="L115" s="87">
        <v>84</v>
      </c>
      <c r="O115" s="87" t="s">
        <v>184</v>
      </c>
      <c r="P115" s="87" t="s">
        <v>226</v>
      </c>
      <c r="Q115" s="229" t="s">
        <v>195</v>
      </c>
      <c r="R115" s="87" t="str">
        <f>VLOOKUP(E115,'PREMIUM TABLES'!$F$214:$G$219,2,FALSE)</f>
        <v>FORTH</v>
      </c>
      <c r="S115" s="87" t="str" cm="1">
        <f t="array" ref="S115">IF(AND(L115&gt;0,L115&lt;90),"A",IF(AND(L115&gt;90,L115&lt;123),"B",IF(AND(L115&gt;122,L115&lt;159),"C",IF(AND(L115&gt;159,L115&lt;185),"D",IF(AND(L115&gt;185,L115&lt;230),"E",IF(AND(L115&gt;230,L115&lt;350),"F",NONE))))))</f>
        <v>A</v>
      </c>
      <c r="T115" s="230">
        <f>VLOOKUP(O115,'PREMIUM TABLES'!$G$165:$H$172,2,FALSE)</f>
        <v>0.15</v>
      </c>
      <c r="U115" s="230">
        <f>VLOOKUP(P115,'PREMIUM TABLES'!$G$208:$H$209,2,FALSE)</f>
        <v>0.05</v>
      </c>
      <c r="V115" s="230">
        <f>VLOOKUP(Q115,'PREMIUM TABLES'!$G$175:$H$195,2,FALSE)</f>
        <v>0.25</v>
      </c>
      <c r="W115" s="230">
        <f>VLOOKUP(R115,'PREMIUM TABLES'!$G$214:$H$219,2,FALSE)</f>
        <v>0.06</v>
      </c>
      <c r="X115" s="230">
        <f>VLOOKUP(S115,'PREMIUM TABLES'!$F$199:$H$205,3,FALSE)</f>
        <v>0.05</v>
      </c>
      <c r="Y115" s="231">
        <f t="shared" si="13"/>
        <v>0.56000000000000005</v>
      </c>
      <c r="Z115" s="231" t="s">
        <v>732</v>
      </c>
      <c r="AA115" s="231" t="str">
        <f>VLOOKUP(G115,'ALL (R)'!$N$5:$R$862,5,FALSE)</f>
        <v>RH</v>
      </c>
      <c r="AB115" s="232">
        <f>VLOOKUP(AA115,FACTS!$B$2:$L$14,10,FALSE)</f>
        <v>76850</v>
      </c>
      <c r="AC115" s="232">
        <f>VLOOKUP(AA115,FACTS!$B$2:$L$14,11,FALSE)</f>
        <v>82950</v>
      </c>
      <c r="AD115" s="232">
        <f>VLOOKUP(AA115,FACTS!$B$2:$N$14,13,FALSE)</f>
        <v>6100</v>
      </c>
      <c r="AE115" s="232">
        <f t="shared" si="14"/>
        <v>3416.0000000000005</v>
      </c>
      <c r="AF115" s="232">
        <f t="shared" si="15"/>
        <v>80266</v>
      </c>
      <c r="AG115" s="232">
        <f>AF115*FACTS!$T$2</f>
        <v>26487.780000000002</v>
      </c>
      <c r="AH115" s="232">
        <f>Table1[[#This Row],[UNIT (BUILDING) RATE (SEMI FINISHED)]]+4500</f>
        <v>84766</v>
      </c>
      <c r="AI115" s="232">
        <f>Table1[[#This Row],[UNIT (BUILDING) RATE (SEMI FINISHED)]]+7500</f>
        <v>87766</v>
      </c>
      <c r="AJ115" s="232">
        <f t="shared" si="16"/>
        <v>6742344</v>
      </c>
      <c r="AK115" s="232">
        <f>Table1[[#This Row],[UNIT (BUILDING) RATE (BASIC FINISH)]]*Table1[[#This Row],[Unit Selling Area]]</f>
        <v>7120344</v>
      </c>
      <c r="AL115" s="232">
        <f>Table1[[#This Row],[UNIT (BUILDING) RATE (FULLY FINISH)]]*Table1[[#This Row],[Unit Selling Area]]</f>
        <v>7372344</v>
      </c>
      <c r="AM115" s="232">
        <f t="shared" si="17"/>
        <v>0</v>
      </c>
      <c r="AN115" s="232">
        <f>(AM115+AJ115)*FACTS!$S$2</f>
        <v>573099.24</v>
      </c>
      <c r="AO115" s="101">
        <f>VLOOKUP(S115,FACTS!$A$17:$C$23,3,FALSE)</f>
        <v>1</v>
      </c>
      <c r="AP115" s="232">
        <f>VLOOKUP(AA115,FACTS!$B$2:$J$14,9,FALSE)</f>
        <v>244000</v>
      </c>
      <c r="AQ115" s="232">
        <f>Table1[[#This Row],[PARKING VALUE]]*1</f>
        <v>244000</v>
      </c>
      <c r="AR115" s="232">
        <f t="shared" si="11"/>
        <v>6986344</v>
      </c>
      <c r="AS115" s="440">
        <f>Table1[[#This Row],[TOTAL CARS VALUE]]+Table1[[#This Row],[UNIT (BUILDING) VALUE BASIC FINISHED]]+Table1[[#This Row],[UNIT (GARDEN) VALUE]]</f>
        <v>7364344</v>
      </c>
      <c r="AT115" s="232">
        <f>Table1[[#This Row],[TOTAL CARS VALUE]]+Table1[[#This Row],[UNIT (GARDEN) VALUE]]+Table1[[#This Row],[UNIT (BUILDING) VALUE FULLY FINISHED]]</f>
        <v>7616344</v>
      </c>
      <c r="AU115" s="233">
        <f>VLOOKUP(I115,'C PHASES'!$I$108:$J$110,2,FALSE)</f>
        <v>45839</v>
      </c>
      <c r="AV115" s="233">
        <f>VLOOKUP(AA115,'C PHASES'!$I$113:$J$125,2,FALSE)</f>
        <v>45839</v>
      </c>
    </row>
    <row r="116" spans="1:48" ht="15" customHeight="1" x14ac:dyDescent="0.25">
      <c r="A116" s="235"/>
      <c r="B116" s="227" t="str">
        <f t="shared" si="12"/>
        <v>A</v>
      </c>
      <c r="C116" s="227" t="s">
        <v>26</v>
      </c>
      <c r="D116" s="227" t="s">
        <v>1148</v>
      </c>
      <c r="E116" s="228">
        <v>4</v>
      </c>
      <c r="F116" s="101">
        <v>2</v>
      </c>
      <c r="G116" s="87" t="str">
        <f t="shared" si="18"/>
        <v>A542</v>
      </c>
      <c r="H116" s="87" t="s">
        <v>1296</v>
      </c>
      <c r="I116" s="89" t="str">
        <f>VLOOKUP(C116,'PREMIUM TABLES'!$G$107:$H$149,2,FALSE)</f>
        <v>C1</v>
      </c>
      <c r="J116" s="87">
        <v>68.680000000000007</v>
      </c>
      <c r="K116" s="87">
        <v>87.696724475928875</v>
      </c>
      <c r="L116" s="87">
        <v>84</v>
      </c>
      <c r="O116" s="87" t="s">
        <v>185</v>
      </c>
      <c r="P116" s="87" t="s">
        <v>226</v>
      </c>
      <c r="Q116" s="229" t="s">
        <v>215</v>
      </c>
      <c r="R116" s="87" t="str">
        <f>VLOOKUP(E116,'PREMIUM TABLES'!$F$214:$G$219,2,FALSE)</f>
        <v>FORTH</v>
      </c>
      <c r="S116" s="87" t="str" cm="1">
        <f t="array" ref="S116">IF(AND(L116&gt;0,L116&lt;90),"A",IF(AND(L116&gt;90,L116&lt;123),"B",IF(AND(L116&gt;122,L116&lt;159),"C",IF(AND(L116&gt;159,L116&lt;185),"D",IF(AND(L116&gt;185,L116&lt;230),"E",IF(AND(L116&gt;230,L116&lt;350),"F",NONE))))))</f>
        <v>A</v>
      </c>
      <c r="T116" s="230">
        <f>VLOOKUP(O116,'PREMIUM TABLES'!$G$165:$H$172,2,FALSE)</f>
        <v>0.06</v>
      </c>
      <c r="U116" s="230">
        <f>VLOOKUP(P116,'PREMIUM TABLES'!$G$208:$H$209,2,FALSE)</f>
        <v>0.05</v>
      </c>
      <c r="V116" s="230">
        <f>VLOOKUP(Q116,'PREMIUM TABLES'!$G$175:$H$195,2,FALSE)</f>
        <v>0.2</v>
      </c>
      <c r="W116" s="230">
        <f>VLOOKUP(R116,'PREMIUM TABLES'!$G$214:$H$219,2,FALSE)</f>
        <v>0.06</v>
      </c>
      <c r="X116" s="230">
        <f>VLOOKUP(S116,'PREMIUM TABLES'!$F$199:$H$205,3,FALSE)</f>
        <v>0.05</v>
      </c>
      <c r="Y116" s="231">
        <f t="shared" si="13"/>
        <v>0.42</v>
      </c>
      <c r="Z116" s="231" t="s">
        <v>732</v>
      </c>
      <c r="AA116" s="231" t="str">
        <f>VLOOKUP(G116,'ALL (R)'!$N$5:$R$862,5,FALSE)</f>
        <v>RH</v>
      </c>
      <c r="AB116" s="232">
        <f>VLOOKUP(AA116,FACTS!$B$2:$L$14,10,FALSE)</f>
        <v>76850</v>
      </c>
      <c r="AC116" s="232">
        <f>VLOOKUP(AA116,FACTS!$B$2:$L$14,11,FALSE)</f>
        <v>82950</v>
      </c>
      <c r="AD116" s="232">
        <f>VLOOKUP(AA116,FACTS!$B$2:$N$14,13,FALSE)</f>
        <v>6100</v>
      </c>
      <c r="AE116" s="232">
        <f t="shared" si="14"/>
        <v>2562</v>
      </c>
      <c r="AF116" s="232">
        <f t="shared" si="15"/>
        <v>79412</v>
      </c>
      <c r="AG116" s="232">
        <f>AF116*FACTS!$T$2</f>
        <v>26205.960000000003</v>
      </c>
      <c r="AH116" s="232">
        <f>Table1[[#This Row],[UNIT (BUILDING) RATE (SEMI FINISHED)]]+4500</f>
        <v>83912</v>
      </c>
      <c r="AI116" s="232">
        <f>Table1[[#This Row],[UNIT (BUILDING) RATE (SEMI FINISHED)]]+7500</f>
        <v>86912</v>
      </c>
      <c r="AJ116" s="232">
        <f t="shared" si="16"/>
        <v>6670608</v>
      </c>
      <c r="AK116" s="232">
        <f>Table1[[#This Row],[UNIT (BUILDING) RATE (BASIC FINISH)]]*Table1[[#This Row],[Unit Selling Area]]</f>
        <v>7048608</v>
      </c>
      <c r="AL116" s="232">
        <f>Table1[[#This Row],[UNIT (BUILDING) RATE (FULLY FINISH)]]*Table1[[#This Row],[Unit Selling Area]]</f>
        <v>7300608</v>
      </c>
      <c r="AM116" s="232">
        <f t="shared" si="17"/>
        <v>0</v>
      </c>
      <c r="AN116" s="232">
        <f>(AM116+AJ116)*FACTS!$S$2</f>
        <v>567001.68000000005</v>
      </c>
      <c r="AO116" s="101">
        <f>VLOOKUP(S116,FACTS!$A$17:$C$23,3,FALSE)</f>
        <v>1</v>
      </c>
      <c r="AP116" s="232">
        <f>VLOOKUP(AA116,FACTS!$B$2:$J$14,9,FALSE)</f>
        <v>244000</v>
      </c>
      <c r="AQ116" s="232">
        <f>Table1[[#This Row],[PARKING VALUE]]*1</f>
        <v>244000</v>
      </c>
      <c r="AR116" s="232">
        <f t="shared" si="11"/>
        <v>6914608</v>
      </c>
      <c r="AS116" s="440">
        <f>Table1[[#This Row],[TOTAL CARS VALUE]]+Table1[[#This Row],[UNIT (BUILDING) VALUE BASIC FINISHED]]+Table1[[#This Row],[UNIT (GARDEN) VALUE]]</f>
        <v>7292608</v>
      </c>
      <c r="AT116" s="232">
        <f>Table1[[#This Row],[TOTAL CARS VALUE]]+Table1[[#This Row],[UNIT (GARDEN) VALUE]]+Table1[[#This Row],[UNIT (BUILDING) VALUE FULLY FINISHED]]</f>
        <v>7544608</v>
      </c>
      <c r="AU116" s="233">
        <f>VLOOKUP(I116,'C PHASES'!$I$108:$J$110,2,FALSE)</f>
        <v>45839</v>
      </c>
      <c r="AV116" s="233">
        <f>VLOOKUP(AA116,'C PHASES'!$I$113:$J$125,2,FALSE)</f>
        <v>45839</v>
      </c>
    </row>
    <row r="117" spans="1:48" ht="15" customHeight="1" x14ac:dyDescent="0.25">
      <c r="A117" s="235"/>
      <c r="B117" s="227" t="str">
        <f t="shared" si="12"/>
        <v>A</v>
      </c>
      <c r="C117" s="227" t="s">
        <v>26</v>
      </c>
      <c r="D117" s="227" t="s">
        <v>1148</v>
      </c>
      <c r="E117" s="228">
        <v>4</v>
      </c>
      <c r="F117" s="101">
        <v>3</v>
      </c>
      <c r="G117" s="87" t="str">
        <f t="shared" si="18"/>
        <v>A543</v>
      </c>
      <c r="H117" s="87" t="s">
        <v>1296</v>
      </c>
      <c r="I117" s="89" t="str">
        <f>VLOOKUP(C117,'PREMIUM TABLES'!$G$107:$H$149,2,FALSE)</f>
        <v>C1</v>
      </c>
      <c r="J117" s="87">
        <v>51.5</v>
      </c>
      <c r="K117" s="87">
        <v>65.7597744687003</v>
      </c>
      <c r="L117" s="87">
        <v>63</v>
      </c>
      <c r="O117" s="87" t="s">
        <v>185</v>
      </c>
      <c r="P117" s="87" t="s">
        <v>190</v>
      </c>
      <c r="Q117" s="229" t="s">
        <v>215</v>
      </c>
      <c r="R117" s="87" t="str">
        <f>VLOOKUP(E117,'PREMIUM TABLES'!$F$214:$G$219,2,FALSE)</f>
        <v>FORTH</v>
      </c>
      <c r="S117" s="87" t="str" cm="1">
        <f t="array" ref="S117">IF(AND(L117&gt;0,L117&lt;90),"A",IF(AND(L117&gt;90,L117&lt;123),"B",IF(AND(L117&gt;122,L117&lt;159),"C",IF(AND(L117&gt;159,L117&lt;185),"D",IF(AND(L117&gt;185,L117&lt;230),"E",IF(AND(L117&gt;230,L117&lt;350),"F",NONE))))))</f>
        <v>A</v>
      </c>
      <c r="T117" s="230">
        <f>VLOOKUP(O117,'PREMIUM TABLES'!$G$165:$H$172,2,FALSE)</f>
        <v>0.06</v>
      </c>
      <c r="U117" s="230">
        <f>VLOOKUP(P117,'PREMIUM TABLES'!$G$208:$H$209,2,FALSE)</f>
        <v>2.5000000000000001E-2</v>
      </c>
      <c r="V117" s="230">
        <f>VLOOKUP(Q117,'PREMIUM TABLES'!$G$175:$H$195,2,FALSE)</f>
        <v>0.2</v>
      </c>
      <c r="W117" s="230">
        <f>VLOOKUP(R117,'PREMIUM TABLES'!$G$214:$H$219,2,FALSE)</f>
        <v>0.06</v>
      </c>
      <c r="X117" s="230">
        <f>VLOOKUP(S117,'PREMIUM TABLES'!$F$199:$H$205,3,FALSE)</f>
        <v>0.05</v>
      </c>
      <c r="Y117" s="231">
        <f t="shared" si="13"/>
        <v>0.39500000000000002</v>
      </c>
      <c r="Z117" s="231" t="s">
        <v>732</v>
      </c>
      <c r="AA117" s="231" t="str">
        <f>VLOOKUP(G117,'ALL (R)'!$N$5:$R$862,5,FALSE)</f>
        <v>RH</v>
      </c>
      <c r="AB117" s="232">
        <f>VLOOKUP(AA117,FACTS!$B$2:$L$14,10,FALSE)</f>
        <v>76850</v>
      </c>
      <c r="AC117" s="232">
        <f>VLOOKUP(AA117,FACTS!$B$2:$L$14,11,FALSE)</f>
        <v>82950</v>
      </c>
      <c r="AD117" s="232">
        <f>VLOOKUP(AA117,FACTS!$B$2:$N$14,13,FALSE)</f>
        <v>6100</v>
      </c>
      <c r="AE117" s="232">
        <f t="shared" si="14"/>
        <v>2409.5</v>
      </c>
      <c r="AF117" s="232">
        <f t="shared" si="15"/>
        <v>79259.5</v>
      </c>
      <c r="AG117" s="232">
        <f>AF117*FACTS!$T$2</f>
        <v>26155.635000000002</v>
      </c>
      <c r="AH117" s="232">
        <f>Table1[[#This Row],[UNIT (BUILDING) RATE (SEMI FINISHED)]]+4500</f>
        <v>83759.5</v>
      </c>
      <c r="AI117" s="232">
        <f>Table1[[#This Row],[UNIT (BUILDING) RATE (SEMI FINISHED)]]+7500</f>
        <v>86759.5</v>
      </c>
      <c r="AJ117" s="232">
        <f t="shared" si="16"/>
        <v>4993348.5</v>
      </c>
      <c r="AK117" s="232">
        <f>Table1[[#This Row],[UNIT (BUILDING) RATE (BASIC FINISH)]]*Table1[[#This Row],[Unit Selling Area]]</f>
        <v>5276848.5</v>
      </c>
      <c r="AL117" s="232">
        <f>Table1[[#This Row],[UNIT (BUILDING) RATE (FULLY FINISH)]]*Table1[[#This Row],[Unit Selling Area]]</f>
        <v>5465848.5</v>
      </c>
      <c r="AM117" s="232">
        <f t="shared" si="17"/>
        <v>0</v>
      </c>
      <c r="AN117" s="232">
        <f>(AM117+AJ117)*FACTS!$S$2</f>
        <v>424434.62250000006</v>
      </c>
      <c r="AO117" s="101">
        <f>VLOOKUP(S117,FACTS!$A$17:$C$23,3,FALSE)</f>
        <v>1</v>
      </c>
      <c r="AP117" s="232">
        <f>VLOOKUP(AA117,FACTS!$B$2:$J$14,9,FALSE)</f>
        <v>244000</v>
      </c>
      <c r="AQ117" s="232">
        <f>Table1[[#This Row],[PARKING VALUE]]*1</f>
        <v>244000</v>
      </c>
      <c r="AR117" s="232">
        <f t="shared" si="11"/>
        <v>5237348.5</v>
      </c>
      <c r="AS117" s="440">
        <f>Table1[[#This Row],[TOTAL CARS VALUE]]+Table1[[#This Row],[UNIT (BUILDING) VALUE BASIC FINISHED]]+Table1[[#This Row],[UNIT (GARDEN) VALUE]]</f>
        <v>5520848.5</v>
      </c>
      <c r="AT117" s="232">
        <f>Table1[[#This Row],[TOTAL CARS VALUE]]+Table1[[#This Row],[UNIT (GARDEN) VALUE]]+Table1[[#This Row],[UNIT (BUILDING) VALUE FULLY FINISHED]]</f>
        <v>5709848.5</v>
      </c>
      <c r="AU117" s="233">
        <f>VLOOKUP(I117,'C PHASES'!$I$108:$J$110,2,FALSE)</f>
        <v>45839</v>
      </c>
      <c r="AV117" s="233">
        <f>VLOOKUP(AA117,'C PHASES'!$I$113:$J$125,2,FALSE)</f>
        <v>45839</v>
      </c>
    </row>
    <row r="118" spans="1:48" ht="15" customHeight="1" x14ac:dyDescent="0.25">
      <c r="A118" s="235"/>
      <c r="B118" s="227" t="str">
        <f t="shared" si="12"/>
        <v>A</v>
      </c>
      <c r="C118" s="227" t="s">
        <v>26</v>
      </c>
      <c r="D118" s="227" t="s">
        <v>1148</v>
      </c>
      <c r="E118" s="228">
        <v>4</v>
      </c>
      <c r="F118" s="101">
        <v>4</v>
      </c>
      <c r="G118" s="87" t="str">
        <f t="shared" si="18"/>
        <v>A544</v>
      </c>
      <c r="H118" s="87" t="s">
        <v>1296</v>
      </c>
      <c r="I118" s="89" t="str">
        <f>VLOOKUP(C118,'PREMIUM TABLES'!$G$107:$H$149,2,FALSE)</f>
        <v>C1</v>
      </c>
      <c r="J118" s="87">
        <v>62.97</v>
      </c>
      <c r="K118" s="87">
        <v>80.405689287263257</v>
      </c>
      <c r="L118" s="87">
        <v>77</v>
      </c>
      <c r="O118" s="87" t="s">
        <v>185</v>
      </c>
      <c r="P118" s="87" t="s">
        <v>190</v>
      </c>
      <c r="Q118" s="229" t="s">
        <v>215</v>
      </c>
      <c r="R118" s="87" t="str">
        <f>VLOOKUP(E118,'PREMIUM TABLES'!$F$214:$G$219,2,FALSE)</f>
        <v>FORTH</v>
      </c>
      <c r="S118" s="87" t="str" cm="1">
        <f t="array" ref="S118">IF(AND(L118&gt;0,L118&lt;90),"A",IF(AND(L118&gt;90,L118&lt;123),"B",IF(AND(L118&gt;122,L118&lt;159),"C",IF(AND(L118&gt;159,L118&lt;185),"D",IF(AND(L118&gt;185,L118&lt;230),"E",IF(AND(L118&gt;230,L118&lt;350),"F",NONE))))))</f>
        <v>A</v>
      </c>
      <c r="T118" s="230">
        <f>VLOOKUP(O118,'PREMIUM TABLES'!$G$165:$H$172,2,FALSE)</f>
        <v>0.06</v>
      </c>
      <c r="U118" s="230">
        <f>VLOOKUP(P118,'PREMIUM TABLES'!$G$208:$H$209,2,FALSE)</f>
        <v>2.5000000000000001E-2</v>
      </c>
      <c r="V118" s="230">
        <f>VLOOKUP(Q118,'PREMIUM TABLES'!$G$175:$H$195,2,FALSE)</f>
        <v>0.2</v>
      </c>
      <c r="W118" s="230">
        <f>VLOOKUP(R118,'PREMIUM TABLES'!$G$214:$H$219,2,FALSE)</f>
        <v>0.06</v>
      </c>
      <c r="X118" s="230">
        <f>VLOOKUP(S118,'PREMIUM TABLES'!$F$199:$H$205,3,FALSE)</f>
        <v>0.05</v>
      </c>
      <c r="Y118" s="231">
        <f t="shared" si="13"/>
        <v>0.39500000000000002</v>
      </c>
      <c r="Z118" s="231" t="s">
        <v>732</v>
      </c>
      <c r="AA118" s="231" t="str">
        <f>VLOOKUP(G118,'ALL (R)'!$N$5:$R$862,5,FALSE)</f>
        <v>RH</v>
      </c>
      <c r="AB118" s="232">
        <f>VLOOKUP(AA118,FACTS!$B$2:$L$14,10,FALSE)</f>
        <v>76850</v>
      </c>
      <c r="AC118" s="232">
        <f>VLOOKUP(AA118,FACTS!$B$2:$L$14,11,FALSE)</f>
        <v>82950</v>
      </c>
      <c r="AD118" s="232">
        <f>VLOOKUP(AA118,FACTS!$B$2:$N$14,13,FALSE)</f>
        <v>6100</v>
      </c>
      <c r="AE118" s="232">
        <f t="shared" si="14"/>
        <v>2409.5</v>
      </c>
      <c r="AF118" s="232">
        <f t="shared" si="15"/>
        <v>79259.5</v>
      </c>
      <c r="AG118" s="232">
        <f>AF118*FACTS!$T$2</f>
        <v>26155.635000000002</v>
      </c>
      <c r="AH118" s="232">
        <f>Table1[[#This Row],[UNIT (BUILDING) RATE (SEMI FINISHED)]]+4500</f>
        <v>83759.5</v>
      </c>
      <c r="AI118" s="232">
        <f>Table1[[#This Row],[UNIT (BUILDING) RATE (SEMI FINISHED)]]+7500</f>
        <v>86759.5</v>
      </c>
      <c r="AJ118" s="232">
        <f t="shared" si="16"/>
        <v>6102981.5</v>
      </c>
      <c r="AK118" s="232">
        <f>Table1[[#This Row],[UNIT (BUILDING) RATE (BASIC FINISH)]]*Table1[[#This Row],[Unit Selling Area]]</f>
        <v>6449481.5</v>
      </c>
      <c r="AL118" s="232">
        <f>Table1[[#This Row],[UNIT (BUILDING) RATE (FULLY FINISH)]]*Table1[[#This Row],[Unit Selling Area]]</f>
        <v>6680481.5</v>
      </c>
      <c r="AM118" s="232">
        <f t="shared" si="17"/>
        <v>0</v>
      </c>
      <c r="AN118" s="232">
        <f>(AM118+AJ118)*FACTS!$S$2</f>
        <v>518753.42750000005</v>
      </c>
      <c r="AO118" s="101">
        <f>VLOOKUP(S118,FACTS!$A$17:$C$23,3,FALSE)</f>
        <v>1</v>
      </c>
      <c r="AP118" s="232">
        <f>VLOOKUP(AA118,FACTS!$B$2:$J$14,9,FALSE)</f>
        <v>244000</v>
      </c>
      <c r="AQ118" s="232">
        <f>Table1[[#This Row],[PARKING VALUE]]*1</f>
        <v>244000</v>
      </c>
      <c r="AR118" s="232">
        <f t="shared" si="11"/>
        <v>6346981.5</v>
      </c>
      <c r="AS118" s="440">
        <f>Table1[[#This Row],[TOTAL CARS VALUE]]+Table1[[#This Row],[UNIT (BUILDING) VALUE BASIC FINISHED]]+Table1[[#This Row],[UNIT (GARDEN) VALUE]]</f>
        <v>6693481.5</v>
      </c>
      <c r="AT118" s="232">
        <f>Table1[[#This Row],[TOTAL CARS VALUE]]+Table1[[#This Row],[UNIT (GARDEN) VALUE]]+Table1[[#This Row],[UNIT (BUILDING) VALUE FULLY FINISHED]]</f>
        <v>6924481.5</v>
      </c>
      <c r="AU118" s="233">
        <f>VLOOKUP(I118,'C PHASES'!$I$108:$J$110,2,FALSE)</f>
        <v>45839</v>
      </c>
      <c r="AV118" s="233">
        <f>VLOOKUP(AA118,'C PHASES'!$I$113:$J$125,2,FALSE)</f>
        <v>45839</v>
      </c>
    </row>
    <row r="119" spans="1:48" ht="15" customHeight="1" x14ac:dyDescent="0.25">
      <c r="A119" s="235"/>
      <c r="B119" s="227" t="str">
        <f t="shared" si="12"/>
        <v>A</v>
      </c>
      <c r="C119" s="227" t="s">
        <v>26</v>
      </c>
      <c r="D119" s="227" t="s">
        <v>1148</v>
      </c>
      <c r="E119" s="228">
        <v>4</v>
      </c>
      <c r="F119" s="101">
        <v>5</v>
      </c>
      <c r="G119" s="87" t="str">
        <f t="shared" si="18"/>
        <v>A545</v>
      </c>
      <c r="H119" s="87" t="s">
        <v>1296</v>
      </c>
      <c r="I119" s="89" t="str">
        <f>VLOOKUP(C119,'PREMIUM TABLES'!$G$107:$H$149,2,FALSE)</f>
        <v>C1</v>
      </c>
      <c r="J119" s="87">
        <v>62.97</v>
      </c>
      <c r="K119" s="87">
        <v>80.405689287263257</v>
      </c>
      <c r="L119" s="87">
        <v>77</v>
      </c>
      <c r="O119" s="87" t="s">
        <v>184</v>
      </c>
      <c r="P119" s="87" t="s">
        <v>190</v>
      </c>
      <c r="Q119" s="229" t="s">
        <v>198</v>
      </c>
      <c r="R119" s="87" t="str">
        <f>VLOOKUP(E119,'PREMIUM TABLES'!$F$214:$G$219,2,FALSE)</f>
        <v>FORTH</v>
      </c>
      <c r="S119" s="87" t="str" cm="1">
        <f t="array" ref="S119">IF(AND(L119&gt;0,L119&lt;90),"A",IF(AND(L119&gt;90,L119&lt;123),"B",IF(AND(L119&gt;122,L119&lt;159),"C",IF(AND(L119&gt;159,L119&lt;185),"D",IF(AND(L119&gt;185,L119&lt;230),"E",IF(AND(L119&gt;230,L119&lt;350),"F",NONE))))))</f>
        <v>A</v>
      </c>
      <c r="T119" s="230">
        <f>VLOOKUP(O119,'PREMIUM TABLES'!$G$165:$H$172,2,FALSE)</f>
        <v>0.15</v>
      </c>
      <c r="U119" s="230">
        <f>VLOOKUP(P119,'PREMIUM TABLES'!$G$208:$H$209,2,FALSE)</f>
        <v>2.5000000000000001E-2</v>
      </c>
      <c r="V119" s="230">
        <f>VLOOKUP(Q119,'PREMIUM TABLES'!$G$175:$H$195,2,FALSE)</f>
        <v>0.15</v>
      </c>
      <c r="W119" s="230">
        <f>VLOOKUP(R119,'PREMIUM TABLES'!$G$214:$H$219,2,FALSE)</f>
        <v>0.06</v>
      </c>
      <c r="X119" s="230">
        <f>VLOOKUP(S119,'PREMIUM TABLES'!$F$199:$H$205,3,FALSE)</f>
        <v>0.05</v>
      </c>
      <c r="Y119" s="231">
        <f t="shared" si="13"/>
        <v>0.43499999999999994</v>
      </c>
      <c r="Z119" s="231" t="s">
        <v>732</v>
      </c>
      <c r="AA119" s="231" t="str">
        <f>VLOOKUP(G119,'ALL (R)'!$N$5:$R$862,5,FALSE)</f>
        <v>RH</v>
      </c>
      <c r="AB119" s="232">
        <f>VLOOKUP(AA119,FACTS!$B$2:$L$14,10,FALSE)</f>
        <v>76850</v>
      </c>
      <c r="AC119" s="232">
        <f>VLOOKUP(AA119,FACTS!$B$2:$L$14,11,FALSE)</f>
        <v>82950</v>
      </c>
      <c r="AD119" s="232">
        <f>VLOOKUP(AA119,FACTS!$B$2:$N$14,13,FALSE)</f>
        <v>6100</v>
      </c>
      <c r="AE119" s="232">
        <f t="shared" si="14"/>
        <v>2653.4999999999995</v>
      </c>
      <c r="AF119" s="232">
        <f t="shared" si="15"/>
        <v>79503.5</v>
      </c>
      <c r="AG119" s="232">
        <f>AF119*FACTS!$T$2</f>
        <v>26236.155000000002</v>
      </c>
      <c r="AH119" s="232">
        <f>Table1[[#This Row],[UNIT (BUILDING) RATE (SEMI FINISHED)]]+4500</f>
        <v>84003.5</v>
      </c>
      <c r="AI119" s="232">
        <f>Table1[[#This Row],[UNIT (BUILDING) RATE (SEMI FINISHED)]]+7500</f>
        <v>87003.5</v>
      </c>
      <c r="AJ119" s="232">
        <f t="shared" si="16"/>
        <v>6121769.5</v>
      </c>
      <c r="AK119" s="232">
        <f>Table1[[#This Row],[UNIT (BUILDING) RATE (BASIC FINISH)]]*Table1[[#This Row],[Unit Selling Area]]</f>
        <v>6468269.5</v>
      </c>
      <c r="AL119" s="232">
        <f>Table1[[#This Row],[UNIT (BUILDING) RATE (FULLY FINISH)]]*Table1[[#This Row],[Unit Selling Area]]</f>
        <v>6699269.5</v>
      </c>
      <c r="AM119" s="232">
        <f t="shared" si="17"/>
        <v>0</v>
      </c>
      <c r="AN119" s="232">
        <f>(AM119+AJ119)*FACTS!$S$2</f>
        <v>520350.40750000003</v>
      </c>
      <c r="AO119" s="101">
        <f>VLOOKUP(S119,FACTS!$A$17:$C$23,3,FALSE)</f>
        <v>1</v>
      </c>
      <c r="AP119" s="232">
        <f>VLOOKUP(AA119,FACTS!$B$2:$J$14,9,FALSE)</f>
        <v>244000</v>
      </c>
      <c r="AQ119" s="232">
        <f>Table1[[#This Row],[PARKING VALUE]]*1</f>
        <v>244000</v>
      </c>
      <c r="AR119" s="232">
        <f t="shared" si="11"/>
        <v>6365769.5</v>
      </c>
      <c r="AS119" s="440">
        <f>Table1[[#This Row],[TOTAL CARS VALUE]]+Table1[[#This Row],[UNIT (BUILDING) VALUE BASIC FINISHED]]+Table1[[#This Row],[UNIT (GARDEN) VALUE]]</f>
        <v>6712269.5</v>
      </c>
      <c r="AT119" s="232">
        <f>Table1[[#This Row],[TOTAL CARS VALUE]]+Table1[[#This Row],[UNIT (GARDEN) VALUE]]+Table1[[#This Row],[UNIT (BUILDING) VALUE FULLY FINISHED]]</f>
        <v>6943269.5</v>
      </c>
      <c r="AU119" s="233">
        <f>VLOOKUP(I119,'C PHASES'!$I$108:$J$110,2,FALSE)</f>
        <v>45839</v>
      </c>
      <c r="AV119" s="233">
        <f>VLOOKUP(AA119,'C PHASES'!$I$113:$J$125,2,FALSE)</f>
        <v>45839</v>
      </c>
    </row>
    <row r="120" spans="1:48" ht="15" customHeight="1" x14ac:dyDescent="0.25">
      <c r="A120" s="235"/>
      <c r="B120" s="227" t="str">
        <f t="shared" si="12"/>
        <v>A</v>
      </c>
      <c r="C120" s="227" t="s">
        <v>26</v>
      </c>
      <c r="D120" s="227" t="s">
        <v>1148</v>
      </c>
      <c r="E120" s="228">
        <v>4</v>
      </c>
      <c r="F120" s="101">
        <v>6</v>
      </c>
      <c r="G120" s="87" t="str">
        <f t="shared" si="18"/>
        <v>A546</v>
      </c>
      <c r="H120" s="87" t="s">
        <v>1296</v>
      </c>
      <c r="I120" s="89" t="str">
        <f>VLOOKUP(C120,'PREMIUM TABLES'!$G$107:$H$149,2,FALSE)</f>
        <v>C1</v>
      </c>
      <c r="J120" s="87">
        <v>51.5</v>
      </c>
      <c r="K120" s="87">
        <v>65.7597744687003</v>
      </c>
      <c r="L120" s="87">
        <v>63</v>
      </c>
      <c r="O120" s="87" t="s">
        <v>184</v>
      </c>
      <c r="P120" s="87" t="s">
        <v>190</v>
      </c>
      <c r="Q120" s="229" t="s">
        <v>198</v>
      </c>
      <c r="R120" s="87" t="str">
        <f>VLOOKUP(E120,'PREMIUM TABLES'!$F$214:$G$219,2,FALSE)</f>
        <v>FORTH</v>
      </c>
      <c r="S120" s="87" t="str" cm="1">
        <f t="array" ref="S120">IF(AND(L120&gt;0,L120&lt;90),"A",IF(AND(L120&gt;90,L120&lt;123),"B",IF(AND(L120&gt;122,L120&lt;159),"C",IF(AND(L120&gt;159,L120&lt;185),"D",IF(AND(L120&gt;185,L120&lt;230),"E",IF(AND(L120&gt;230,L120&lt;350),"F",NONE))))))</f>
        <v>A</v>
      </c>
      <c r="T120" s="230">
        <f>VLOOKUP(O120,'PREMIUM TABLES'!$G$165:$H$172,2,FALSE)</f>
        <v>0.15</v>
      </c>
      <c r="U120" s="230">
        <f>VLOOKUP(P120,'PREMIUM TABLES'!$G$208:$H$209,2,FALSE)</f>
        <v>2.5000000000000001E-2</v>
      </c>
      <c r="V120" s="230">
        <f>VLOOKUP(Q120,'PREMIUM TABLES'!$G$175:$H$195,2,FALSE)</f>
        <v>0.15</v>
      </c>
      <c r="W120" s="230">
        <f>VLOOKUP(R120,'PREMIUM TABLES'!$G$214:$H$219,2,FALSE)</f>
        <v>0.06</v>
      </c>
      <c r="X120" s="230">
        <f>VLOOKUP(S120,'PREMIUM TABLES'!$F$199:$H$205,3,FALSE)</f>
        <v>0.05</v>
      </c>
      <c r="Y120" s="231">
        <f t="shared" si="13"/>
        <v>0.43499999999999994</v>
      </c>
      <c r="Z120" s="231" t="s">
        <v>732</v>
      </c>
      <c r="AA120" s="231" t="str">
        <f>VLOOKUP(G120,'ALL (R)'!$N$5:$R$862,5,FALSE)</f>
        <v>RH</v>
      </c>
      <c r="AB120" s="232">
        <f>VLOOKUP(AA120,FACTS!$B$2:$L$14,10,FALSE)</f>
        <v>76850</v>
      </c>
      <c r="AC120" s="232">
        <f>VLOOKUP(AA120,FACTS!$B$2:$L$14,11,FALSE)</f>
        <v>82950</v>
      </c>
      <c r="AD120" s="232">
        <f>VLOOKUP(AA120,FACTS!$B$2:$N$14,13,FALSE)</f>
        <v>6100</v>
      </c>
      <c r="AE120" s="232">
        <f t="shared" si="14"/>
        <v>2653.4999999999995</v>
      </c>
      <c r="AF120" s="232">
        <f t="shared" si="15"/>
        <v>79503.5</v>
      </c>
      <c r="AG120" s="232">
        <f>AF120*FACTS!$T$2</f>
        <v>26236.155000000002</v>
      </c>
      <c r="AH120" s="232">
        <f>Table1[[#This Row],[UNIT (BUILDING) RATE (SEMI FINISHED)]]+4500</f>
        <v>84003.5</v>
      </c>
      <c r="AI120" s="232">
        <f>Table1[[#This Row],[UNIT (BUILDING) RATE (SEMI FINISHED)]]+7500</f>
        <v>87003.5</v>
      </c>
      <c r="AJ120" s="232">
        <f t="shared" si="16"/>
        <v>5008720.5</v>
      </c>
      <c r="AK120" s="232">
        <f>Table1[[#This Row],[UNIT (BUILDING) RATE (BASIC FINISH)]]*Table1[[#This Row],[Unit Selling Area]]</f>
        <v>5292220.5</v>
      </c>
      <c r="AL120" s="232">
        <f>Table1[[#This Row],[UNIT (BUILDING) RATE (FULLY FINISH)]]*Table1[[#This Row],[Unit Selling Area]]</f>
        <v>5481220.5</v>
      </c>
      <c r="AM120" s="232">
        <f t="shared" si="17"/>
        <v>0</v>
      </c>
      <c r="AN120" s="232">
        <f>(AM120+AJ120)*FACTS!$S$2</f>
        <v>425741.24250000005</v>
      </c>
      <c r="AO120" s="101">
        <f>VLOOKUP(S120,FACTS!$A$17:$C$23,3,FALSE)</f>
        <v>1</v>
      </c>
      <c r="AP120" s="232">
        <f>VLOOKUP(AA120,FACTS!$B$2:$J$14,9,FALSE)</f>
        <v>244000</v>
      </c>
      <c r="AQ120" s="232">
        <f>Table1[[#This Row],[PARKING VALUE]]*1</f>
        <v>244000</v>
      </c>
      <c r="AR120" s="232">
        <f t="shared" si="11"/>
        <v>5252720.5</v>
      </c>
      <c r="AS120" s="440">
        <f>Table1[[#This Row],[TOTAL CARS VALUE]]+Table1[[#This Row],[UNIT (BUILDING) VALUE BASIC FINISHED]]+Table1[[#This Row],[UNIT (GARDEN) VALUE]]</f>
        <v>5536220.5</v>
      </c>
      <c r="AT120" s="232">
        <f>Table1[[#This Row],[TOTAL CARS VALUE]]+Table1[[#This Row],[UNIT (GARDEN) VALUE]]+Table1[[#This Row],[UNIT (BUILDING) VALUE FULLY FINISHED]]</f>
        <v>5725220.5</v>
      </c>
      <c r="AU120" s="233">
        <f>VLOOKUP(I120,'C PHASES'!$I$108:$J$110,2,FALSE)</f>
        <v>45839</v>
      </c>
      <c r="AV120" s="233">
        <f>VLOOKUP(AA120,'C PHASES'!$I$113:$J$125,2,FALSE)</f>
        <v>45839</v>
      </c>
    </row>
    <row r="121" spans="1:48" ht="15" customHeight="1" x14ac:dyDescent="0.25">
      <c r="A121" s="235" t="s">
        <v>24</v>
      </c>
      <c r="B121" s="227" t="str">
        <f t="shared" si="12"/>
        <v>A</v>
      </c>
      <c r="C121" s="227" t="s">
        <v>27</v>
      </c>
      <c r="D121" s="227" t="s">
        <v>1147</v>
      </c>
      <c r="E121" s="228">
        <v>0</v>
      </c>
      <c r="F121" s="101">
        <v>1</v>
      </c>
      <c r="G121" s="87" t="str">
        <f>LEFT(C121,2)&amp;E121&amp;F121</f>
        <v>A601</v>
      </c>
      <c r="H121" s="87" t="s">
        <v>1296</v>
      </c>
      <c r="I121" s="89" t="str">
        <f>VLOOKUP(C121,'PREMIUM TABLES'!$G$107:$H$149,2,FALSE)</f>
        <v>C1</v>
      </c>
      <c r="J121" s="87">
        <v>60.98</v>
      </c>
      <c r="K121" s="87">
        <v>66.845201763160503</v>
      </c>
      <c r="L121" s="87">
        <v>75</v>
      </c>
      <c r="M121" s="87">
        <v>23.818100000000001</v>
      </c>
      <c r="O121" s="87" t="s">
        <v>184</v>
      </c>
      <c r="P121" s="87" t="s">
        <v>190</v>
      </c>
      <c r="Q121" s="229" t="s">
        <v>198</v>
      </c>
      <c r="R121" s="87" t="str">
        <f>VLOOKUP(E121,'PREMIUM TABLES'!$F$214:$G$219,2,FALSE)</f>
        <v>GROUND</v>
      </c>
      <c r="S121" s="87" t="str" cm="1">
        <f t="array" ref="S121">IF(AND(L121&gt;0,L121&lt;90),"A",IF(AND(L121&gt;90,L121&lt;123),"B",IF(AND(L121&gt;122,L121&lt;159),"C",IF(AND(L121&gt;159,L121&lt;185),"D",IF(AND(L121&gt;185,L121&lt;230),"E",IF(AND(L121&gt;230,L121&lt;350),"F",NONE))))))</f>
        <v>A</v>
      </c>
      <c r="T121" s="230">
        <f>VLOOKUP(O121,'PREMIUM TABLES'!$G$165:$H$172,2,FALSE)</f>
        <v>0.15</v>
      </c>
      <c r="U121" s="230">
        <f>VLOOKUP(P121,'PREMIUM TABLES'!$G$208:$H$209,2,FALSE)</f>
        <v>2.5000000000000001E-2</v>
      </c>
      <c r="V121" s="230">
        <f>VLOOKUP(Q121,'PREMIUM TABLES'!$G$175:$H$195,2,FALSE)</f>
        <v>0.15</v>
      </c>
      <c r="W121" s="230">
        <f>VLOOKUP(R121,'PREMIUM TABLES'!$G$214:$H$219,2,FALSE)</f>
        <v>0.05</v>
      </c>
      <c r="X121" s="230">
        <f>VLOOKUP(S121,'PREMIUM TABLES'!$F$199:$H$205,3,FALSE)</f>
        <v>0.05</v>
      </c>
      <c r="Y121" s="231">
        <f t="shared" si="13"/>
        <v>0.42499999999999993</v>
      </c>
      <c r="Z121" s="231" t="str" cm="1">
        <f t="array" ref="Z121">IF(AND(Y121&gt;0,Y121&lt;0.5),"C",IF(AND(Y121&gt;=0.5,Y121&lt;0.73),"B",IF(AND(Y121&gt;=0.73,Y121&lt;0.98),"A",NONE)))</f>
        <v>C</v>
      </c>
      <c r="AA121" s="231" t="str">
        <f>VLOOKUP(G121,'ALL (R)'!$N$5:$R$862,5,FALSE)</f>
        <v>R 7</v>
      </c>
      <c r="AB121" s="232">
        <f>VLOOKUP(AA121,FACTS!$B$2:$L$14,10,FALSE)</f>
        <v>50150</v>
      </c>
      <c r="AC121" s="232">
        <f>VLOOKUP(AA121,FACTS!$B$2:$L$14,11,FALSE)</f>
        <v>56050</v>
      </c>
      <c r="AD121" s="232">
        <f>VLOOKUP(AA121,FACTS!$B$2:$N$14,13,FALSE)</f>
        <v>5900</v>
      </c>
      <c r="AE121" s="232">
        <f t="shared" si="14"/>
        <v>2507.4999999999995</v>
      </c>
      <c r="AF121" s="232">
        <f t="shared" si="15"/>
        <v>52657.5</v>
      </c>
      <c r="AG121" s="232">
        <f>AF121*FACTS!$T$2</f>
        <v>17376.975000000002</v>
      </c>
      <c r="AH121" s="232">
        <f>Table1[[#This Row],[UNIT (BUILDING) RATE (SEMI FINISHED)]]+4500</f>
        <v>57157.5</v>
      </c>
      <c r="AI121" s="232">
        <f>Table1[[#This Row],[UNIT (BUILDING) RATE (SEMI FINISHED)]]+7500</f>
        <v>60157.5</v>
      </c>
      <c r="AJ121" s="232">
        <f t="shared" si="16"/>
        <v>3949312.5</v>
      </c>
      <c r="AK121" s="232">
        <f>Table1[[#This Row],[UNIT (BUILDING) RATE (BASIC FINISH)]]*Table1[[#This Row],[Unit Selling Area]]</f>
        <v>4286812.5</v>
      </c>
      <c r="AL121" s="232">
        <f>Table1[[#This Row],[UNIT (BUILDING) RATE (FULLY FINISH)]]*Table1[[#This Row],[Unit Selling Area]]</f>
        <v>4511812.5</v>
      </c>
      <c r="AM121" s="232">
        <f t="shared" si="17"/>
        <v>413886.52824750007</v>
      </c>
      <c r="AN121" s="232">
        <f>(AM121+AJ121)*FACTS!$S$2</f>
        <v>370871.91740103753</v>
      </c>
      <c r="AO121" s="101">
        <f>VLOOKUP(S121,FACTS!$A$17:$C$23,3,FALSE)</f>
        <v>1</v>
      </c>
      <c r="AP121" s="232">
        <f>VLOOKUP(AA121,FACTS!$B$2:$J$14,9,FALSE)</f>
        <v>236000</v>
      </c>
      <c r="AQ121" s="232">
        <f>Table1[[#This Row],[PARKING VALUE]]*1</f>
        <v>236000</v>
      </c>
      <c r="AR121" s="232">
        <f t="shared" si="11"/>
        <v>4599199.0282474998</v>
      </c>
      <c r="AS121" s="440">
        <f>Table1[[#This Row],[TOTAL CARS VALUE]]+Table1[[#This Row],[UNIT (BUILDING) VALUE BASIC FINISHED]]+Table1[[#This Row],[UNIT (GARDEN) VALUE]]</f>
        <v>4936699.0282474998</v>
      </c>
      <c r="AT121" s="232">
        <f>Table1[[#This Row],[TOTAL CARS VALUE]]+Table1[[#This Row],[UNIT (GARDEN) VALUE]]+Table1[[#This Row],[UNIT (BUILDING) VALUE FULLY FINISHED]]</f>
        <v>5161699.0282474998</v>
      </c>
      <c r="AU121" s="233">
        <f>VLOOKUP(I121,'C PHASES'!$I$108:$J$110,2,FALSE)</f>
        <v>45839</v>
      </c>
      <c r="AV121" s="233">
        <f>VLOOKUP(AA121,'C PHASES'!$I$113:$J$125,2,FALSE)</f>
        <v>45748</v>
      </c>
    </row>
    <row r="122" spans="1:48" ht="15" customHeight="1" x14ac:dyDescent="0.25">
      <c r="A122" s="235"/>
      <c r="B122" s="227" t="str">
        <f t="shared" si="12"/>
        <v>A</v>
      </c>
      <c r="C122" s="227" t="s">
        <v>27</v>
      </c>
      <c r="D122" s="227" t="s">
        <v>1147</v>
      </c>
      <c r="E122" s="228">
        <v>0</v>
      </c>
      <c r="F122" s="101">
        <v>2</v>
      </c>
      <c r="G122" s="87" t="str">
        <f t="shared" ref="G122:G140" si="19">LEFT(C122,2)&amp;E122&amp;F122</f>
        <v>A602</v>
      </c>
      <c r="H122" s="87" t="s">
        <v>1293</v>
      </c>
      <c r="I122" s="89" t="str">
        <f>VLOOKUP(C122,'PREMIUM TABLES'!$G$107:$H$149,2,FALSE)</f>
        <v>C1</v>
      </c>
      <c r="J122" s="87">
        <v>89.96</v>
      </c>
      <c r="K122" s="87">
        <v>98.6125672452266</v>
      </c>
      <c r="L122" s="87">
        <v>111</v>
      </c>
      <c r="M122" s="87">
        <v>50.540100000000002</v>
      </c>
      <c r="O122" s="87" t="s">
        <v>185</v>
      </c>
      <c r="P122" s="87" t="s">
        <v>190</v>
      </c>
      <c r="Q122" s="229" t="s">
        <v>200</v>
      </c>
      <c r="R122" s="87" t="str">
        <f>VLOOKUP(E122,'PREMIUM TABLES'!$F$214:$G$219,2,FALSE)</f>
        <v>GROUND</v>
      </c>
      <c r="S122" s="87" t="str" cm="1">
        <f t="array" ref="S122">IF(AND(L122&gt;0,L122&lt;90),"A",IF(AND(L122&gt;90,L122&lt;123),"B",IF(AND(L122&gt;122,L122&lt;159),"C",IF(AND(L122&gt;159,L122&lt;185),"D",IF(AND(L122&gt;185,L122&lt;230),"E",IF(AND(L122&gt;230,L122&lt;350),"F",NONE))))))</f>
        <v>B</v>
      </c>
      <c r="T122" s="230">
        <f>VLOOKUP(O122,'PREMIUM TABLES'!$G$165:$H$172,2,FALSE)</f>
        <v>0.06</v>
      </c>
      <c r="U122" s="230">
        <f>VLOOKUP(P122,'PREMIUM TABLES'!$G$208:$H$209,2,FALSE)</f>
        <v>2.5000000000000001E-2</v>
      </c>
      <c r="V122" s="230">
        <f>VLOOKUP(Q122,'PREMIUM TABLES'!$G$175:$H$195,2,FALSE)</f>
        <v>0.1</v>
      </c>
      <c r="W122" s="230">
        <f>VLOOKUP(R122,'PREMIUM TABLES'!$G$214:$H$219,2,FALSE)</f>
        <v>0.05</v>
      </c>
      <c r="X122" s="230">
        <f>VLOOKUP(S122,'PREMIUM TABLES'!$F$199:$H$205,3,FALSE)</f>
        <v>0.04</v>
      </c>
      <c r="Y122" s="231">
        <f t="shared" si="13"/>
        <v>0.27499999999999997</v>
      </c>
      <c r="Z122" s="231" t="str" cm="1">
        <f t="array" ref="Z122">IF(AND(Y122&gt;0,Y122&lt;0.5),"C",IF(AND(Y122&gt;=0.5,Y122&lt;0.73),"B",IF(AND(Y122&gt;=0.73,Y122&lt;0.98),"A",NONE)))</f>
        <v>C</v>
      </c>
      <c r="AA122" s="231" t="str">
        <f>VLOOKUP(G122,'ALL (R)'!$N$5:$R$862,5,FALSE)</f>
        <v>R 1</v>
      </c>
      <c r="AB122" s="232">
        <f>VLOOKUP(AA122,FACTS!$B$2:$L$14,10,FALSE)</f>
        <v>42500</v>
      </c>
      <c r="AC122" s="232">
        <f>VLOOKUP(AA122,FACTS!$B$2:$L$14,11,FALSE)</f>
        <v>47500</v>
      </c>
      <c r="AD122" s="232">
        <f>VLOOKUP(AA122,FACTS!$B$2:$N$14,13,FALSE)</f>
        <v>5000</v>
      </c>
      <c r="AE122" s="232">
        <f t="shared" si="14"/>
        <v>1374.9999999999998</v>
      </c>
      <c r="AF122" s="232">
        <f t="shared" si="15"/>
        <v>43875</v>
      </c>
      <c r="AG122" s="232">
        <f>AF122*FACTS!$T$2</f>
        <v>14478.75</v>
      </c>
      <c r="AH122" s="232">
        <f>Table1[[#This Row],[UNIT (BUILDING) RATE (SEMI FINISHED)]]+4500</f>
        <v>48375</v>
      </c>
      <c r="AI122" s="232">
        <f>Table1[[#This Row],[UNIT (BUILDING) RATE (SEMI FINISHED)]]+7500</f>
        <v>51375</v>
      </c>
      <c r="AJ122" s="232">
        <f t="shared" si="16"/>
        <v>4870125</v>
      </c>
      <c r="AK122" s="232">
        <f>Table1[[#This Row],[UNIT (BUILDING) RATE (BASIC FINISH)]]*Table1[[#This Row],[Unit Selling Area]]</f>
        <v>5369625</v>
      </c>
      <c r="AL122" s="232">
        <f>Table1[[#This Row],[UNIT (BUILDING) RATE (FULLY FINISH)]]*Table1[[#This Row],[Unit Selling Area]]</f>
        <v>5702625</v>
      </c>
      <c r="AM122" s="232">
        <f t="shared" si="17"/>
        <v>731757.47287499998</v>
      </c>
      <c r="AN122" s="232">
        <f>(AM122+AJ122)*FACTS!$S$2</f>
        <v>476160.01019437501</v>
      </c>
      <c r="AO122" s="101">
        <f>VLOOKUP(S122,FACTS!$A$17:$C$23,3,FALSE)</f>
        <v>1</v>
      </c>
      <c r="AP122" s="232">
        <f>VLOOKUP(AA122,FACTS!$B$2:$J$14,9,FALSE)</f>
        <v>200000</v>
      </c>
      <c r="AQ122" s="232">
        <f>Table1[[#This Row],[PARKING VALUE]]*1</f>
        <v>200000</v>
      </c>
      <c r="AR122" s="232">
        <f t="shared" si="11"/>
        <v>5801882.472875</v>
      </c>
      <c r="AS122" s="440">
        <f>Table1[[#This Row],[TOTAL CARS VALUE]]+Table1[[#This Row],[UNIT (BUILDING) VALUE BASIC FINISHED]]+Table1[[#This Row],[UNIT (GARDEN) VALUE]]</f>
        <v>6301382.472875</v>
      </c>
      <c r="AT122" s="232">
        <f>Table1[[#This Row],[TOTAL CARS VALUE]]+Table1[[#This Row],[UNIT (GARDEN) VALUE]]+Table1[[#This Row],[UNIT (BUILDING) VALUE FULLY FINISHED]]</f>
        <v>6634382.472875</v>
      </c>
      <c r="AU122" s="233">
        <f>VLOOKUP(I122,'C PHASES'!$I$108:$J$110,2,FALSE)</f>
        <v>45839</v>
      </c>
      <c r="AV122" s="233">
        <f>VLOOKUP(AA122,'C PHASES'!$I$113:$J$125,2,FALSE)</f>
        <v>45170</v>
      </c>
    </row>
    <row r="123" spans="1:48" ht="15" customHeight="1" x14ac:dyDescent="0.25">
      <c r="A123" s="235"/>
      <c r="B123" s="227" t="str">
        <f t="shared" si="12"/>
        <v>A</v>
      </c>
      <c r="C123" s="227" t="s">
        <v>27</v>
      </c>
      <c r="D123" s="227" t="s">
        <v>1147</v>
      </c>
      <c r="E123" s="228">
        <v>0</v>
      </c>
      <c r="F123" s="101">
        <v>3</v>
      </c>
      <c r="G123" s="87" t="str">
        <f t="shared" si="19"/>
        <v>A603</v>
      </c>
      <c r="H123" s="87" t="s">
        <v>1293</v>
      </c>
      <c r="I123" s="89" t="str">
        <f>VLOOKUP(C123,'PREMIUM TABLES'!$G$107:$H$149,2,FALSE)</f>
        <v>C1</v>
      </c>
      <c r="J123" s="87">
        <v>97.98</v>
      </c>
      <c r="K123" s="87">
        <v>107.40394996317589</v>
      </c>
      <c r="L123" s="87">
        <v>121</v>
      </c>
      <c r="M123" s="87">
        <v>50.705300000000001</v>
      </c>
      <c r="O123" s="87" t="s">
        <v>185</v>
      </c>
      <c r="P123" s="87" t="s">
        <v>190</v>
      </c>
      <c r="Q123" s="229" t="s">
        <v>216</v>
      </c>
      <c r="R123" s="87" t="str">
        <f>VLOOKUP(E123,'PREMIUM TABLES'!$F$214:$G$219,2,FALSE)</f>
        <v>GROUND</v>
      </c>
      <c r="S123" s="87" t="str" cm="1">
        <f t="array" ref="S123">IF(AND(L123&gt;0,L123&lt;90),"A",IF(AND(L123&gt;90,L123&lt;123),"B",IF(AND(L123&gt;122,L123&lt;159),"C",IF(AND(L123&gt;159,L123&lt;185),"D",IF(AND(L123&gt;185,L123&lt;230),"E",IF(AND(L123&gt;230,L123&lt;350),"F",NONE))))))</f>
        <v>B</v>
      </c>
      <c r="T123" s="230">
        <f>VLOOKUP(O123,'PREMIUM TABLES'!$G$165:$H$172,2,FALSE)</f>
        <v>0.06</v>
      </c>
      <c r="U123" s="230">
        <f>VLOOKUP(P123,'PREMIUM TABLES'!$G$208:$H$209,2,FALSE)</f>
        <v>2.5000000000000001E-2</v>
      </c>
      <c r="V123" s="230">
        <f>VLOOKUP(Q123,'PREMIUM TABLES'!$G$175:$H$195,2,FALSE)</f>
        <v>0.25</v>
      </c>
      <c r="W123" s="230">
        <f>VLOOKUP(R123,'PREMIUM TABLES'!$G$214:$H$219,2,FALSE)</f>
        <v>0.05</v>
      </c>
      <c r="X123" s="230">
        <f>VLOOKUP(S123,'PREMIUM TABLES'!$F$199:$H$205,3,FALSE)</f>
        <v>0.04</v>
      </c>
      <c r="Y123" s="231">
        <f t="shared" si="13"/>
        <v>0.42499999999999993</v>
      </c>
      <c r="Z123" s="231" t="str" cm="1">
        <f t="array" ref="Z123">IF(AND(Y123&gt;0,Y123&lt;0.5),"C",IF(AND(Y123&gt;=0.5,Y123&lt;0.73),"B",IF(AND(Y123&gt;=0.73,Y123&lt;0.98),"A",NONE)))</f>
        <v>C</v>
      </c>
      <c r="AA123" s="231" t="str">
        <f>VLOOKUP(G123,'ALL (R)'!$N$5:$R$862,5,FALSE)</f>
        <v>R 7</v>
      </c>
      <c r="AB123" s="232">
        <f>VLOOKUP(AA123,FACTS!$B$2:$L$14,10,FALSE)</f>
        <v>50150</v>
      </c>
      <c r="AC123" s="232">
        <f>VLOOKUP(AA123,FACTS!$B$2:$L$14,11,FALSE)</f>
        <v>56050</v>
      </c>
      <c r="AD123" s="232">
        <f>VLOOKUP(AA123,FACTS!$B$2:$N$14,13,FALSE)</f>
        <v>5900</v>
      </c>
      <c r="AE123" s="232">
        <f t="shared" si="14"/>
        <v>2507.4999999999995</v>
      </c>
      <c r="AF123" s="232">
        <f t="shared" si="15"/>
        <v>52657.5</v>
      </c>
      <c r="AG123" s="232">
        <f>AF123*FACTS!$T$2</f>
        <v>17376.975000000002</v>
      </c>
      <c r="AH123" s="232">
        <f>Table1[[#This Row],[UNIT (BUILDING) RATE (SEMI FINISHED)]]+4500</f>
        <v>57157.5</v>
      </c>
      <c r="AI123" s="232">
        <f>Table1[[#This Row],[UNIT (BUILDING) RATE (SEMI FINISHED)]]+7500</f>
        <v>60157.5</v>
      </c>
      <c r="AJ123" s="232">
        <f t="shared" si="16"/>
        <v>6371557.5</v>
      </c>
      <c r="AK123" s="232">
        <f>Table1[[#This Row],[UNIT (BUILDING) RATE (BASIC FINISH)]]*Table1[[#This Row],[Unit Selling Area]]</f>
        <v>6916057.5</v>
      </c>
      <c r="AL123" s="232">
        <f>Table1[[#This Row],[UNIT (BUILDING) RATE (FULLY FINISH)]]*Table1[[#This Row],[Unit Selling Area]]</f>
        <v>7279057.5</v>
      </c>
      <c r="AM123" s="232">
        <f t="shared" si="17"/>
        <v>881104.73046750017</v>
      </c>
      <c r="AN123" s="232">
        <f>(AM123+AJ123)*FACTS!$S$2</f>
        <v>616476.28958973754</v>
      </c>
      <c r="AO123" s="101">
        <f>VLOOKUP(S123,FACTS!$A$17:$C$23,3,FALSE)</f>
        <v>1</v>
      </c>
      <c r="AP123" s="232">
        <f>VLOOKUP(AA123,FACTS!$B$2:$J$14,9,FALSE)</f>
        <v>236000</v>
      </c>
      <c r="AQ123" s="232">
        <f>Table1[[#This Row],[PARKING VALUE]]*1</f>
        <v>236000</v>
      </c>
      <c r="AR123" s="232">
        <f t="shared" si="11"/>
        <v>7488662.2304675002</v>
      </c>
      <c r="AS123" s="440">
        <f>Table1[[#This Row],[TOTAL CARS VALUE]]+Table1[[#This Row],[UNIT (BUILDING) VALUE BASIC FINISHED]]+Table1[[#This Row],[UNIT (GARDEN) VALUE]]</f>
        <v>8033162.2304675002</v>
      </c>
      <c r="AT123" s="232">
        <f>Table1[[#This Row],[TOTAL CARS VALUE]]+Table1[[#This Row],[UNIT (GARDEN) VALUE]]+Table1[[#This Row],[UNIT (BUILDING) VALUE FULLY FINISHED]]</f>
        <v>8396162.2304675002</v>
      </c>
      <c r="AU123" s="233">
        <f>VLOOKUP(I123,'C PHASES'!$I$108:$J$110,2,FALSE)</f>
        <v>45839</v>
      </c>
      <c r="AV123" s="233">
        <f>VLOOKUP(AA123,'C PHASES'!$I$113:$J$125,2,FALSE)</f>
        <v>45748</v>
      </c>
    </row>
    <row r="124" spans="1:48" ht="15" customHeight="1" x14ac:dyDescent="0.25">
      <c r="A124" s="235"/>
      <c r="B124" s="227" t="str">
        <f t="shared" si="12"/>
        <v>A</v>
      </c>
      <c r="C124" s="227" t="s">
        <v>27</v>
      </c>
      <c r="D124" s="227" t="s">
        <v>1147</v>
      </c>
      <c r="E124" s="228">
        <v>0</v>
      </c>
      <c r="F124" s="101">
        <v>4</v>
      </c>
      <c r="G124" s="87" t="str">
        <f t="shared" si="19"/>
        <v>A604</v>
      </c>
      <c r="H124" s="87" t="s">
        <v>1293</v>
      </c>
      <c r="I124" s="89" t="str">
        <f>VLOOKUP(C124,'PREMIUM TABLES'!$G$107:$H$149,2,FALSE)</f>
        <v>C1</v>
      </c>
      <c r="J124" s="87">
        <v>98.17</v>
      </c>
      <c r="K124" s="87">
        <v>107.61222461609489</v>
      </c>
      <c r="L124" s="87">
        <v>121</v>
      </c>
      <c r="M124" s="87">
        <v>31.597200000000001</v>
      </c>
      <c r="O124" s="87" t="s">
        <v>184</v>
      </c>
      <c r="P124" s="87" t="s">
        <v>190</v>
      </c>
      <c r="Q124" s="229" t="s">
        <v>198</v>
      </c>
      <c r="R124" s="87" t="str">
        <f>VLOOKUP(E124,'PREMIUM TABLES'!$F$214:$G$219,2,FALSE)</f>
        <v>GROUND</v>
      </c>
      <c r="S124" s="87" t="str" cm="1">
        <f t="array" ref="S124">IF(AND(L124&gt;0,L124&lt;90),"A",IF(AND(L124&gt;90,L124&lt;123),"B",IF(AND(L124&gt;122,L124&lt;159),"C",IF(AND(L124&gt;159,L124&lt;185),"D",IF(AND(L124&gt;185,L124&lt;230),"E",IF(AND(L124&gt;230,L124&lt;350),"F",NONE))))))</f>
        <v>B</v>
      </c>
      <c r="T124" s="230">
        <f>VLOOKUP(O124,'PREMIUM TABLES'!$G$165:$H$172,2,FALSE)</f>
        <v>0.15</v>
      </c>
      <c r="U124" s="230">
        <f>VLOOKUP(P124,'PREMIUM TABLES'!$G$208:$H$209,2,FALSE)</f>
        <v>2.5000000000000001E-2</v>
      </c>
      <c r="V124" s="230">
        <f>VLOOKUP(Q124,'PREMIUM TABLES'!$G$175:$H$195,2,FALSE)</f>
        <v>0.15</v>
      </c>
      <c r="W124" s="230">
        <f>VLOOKUP(R124,'PREMIUM TABLES'!$G$214:$H$219,2,FALSE)</f>
        <v>0.05</v>
      </c>
      <c r="X124" s="230">
        <f>VLOOKUP(S124,'PREMIUM TABLES'!$F$199:$H$205,3,FALSE)</f>
        <v>0.04</v>
      </c>
      <c r="Y124" s="231">
        <f t="shared" si="13"/>
        <v>0.41499999999999992</v>
      </c>
      <c r="Z124" s="231" t="str" cm="1">
        <f t="array" ref="Z124">IF(AND(Y124&gt;0,Y124&lt;0.5),"C",IF(AND(Y124&gt;=0.5,Y124&lt;0.73),"B",IF(AND(Y124&gt;=0.73,Y124&lt;0.98),"A",NONE)))</f>
        <v>C</v>
      </c>
      <c r="AA124" s="231" t="str">
        <f>VLOOKUP(G124,'ALL (R)'!$N$5:$R$862,5,FALSE)</f>
        <v>R 6</v>
      </c>
      <c r="AB124" s="232">
        <f>VLOOKUP(AA124,FACTS!$B$2:$L$14,10,FALSE)</f>
        <v>48450.000000000007</v>
      </c>
      <c r="AC124" s="232">
        <f>VLOOKUP(AA124,FACTS!$B$2:$L$14,11,FALSE)</f>
        <v>54150.000000000007</v>
      </c>
      <c r="AD124" s="232">
        <f>VLOOKUP(AA124,FACTS!$B$2:$N$14,13,FALSE)</f>
        <v>5700</v>
      </c>
      <c r="AE124" s="232">
        <f t="shared" si="14"/>
        <v>2365.4999999999995</v>
      </c>
      <c r="AF124" s="232">
        <f t="shared" si="15"/>
        <v>50815.500000000007</v>
      </c>
      <c r="AG124" s="232">
        <f>AF124*FACTS!$T$2</f>
        <v>16769.115000000002</v>
      </c>
      <c r="AH124" s="232">
        <f>Table1[[#This Row],[UNIT (BUILDING) RATE (SEMI FINISHED)]]+4500</f>
        <v>55315.500000000007</v>
      </c>
      <c r="AI124" s="232">
        <f>Table1[[#This Row],[UNIT (BUILDING) RATE (SEMI FINISHED)]]+7500</f>
        <v>58315.500000000007</v>
      </c>
      <c r="AJ124" s="232">
        <f t="shared" si="16"/>
        <v>6148675.5000000009</v>
      </c>
      <c r="AK124" s="232">
        <f>Table1[[#This Row],[UNIT (BUILDING) RATE (BASIC FINISH)]]*Table1[[#This Row],[Unit Selling Area]]</f>
        <v>6693175.5000000009</v>
      </c>
      <c r="AL124" s="232">
        <f>Table1[[#This Row],[UNIT (BUILDING) RATE (FULLY FINISH)]]*Table1[[#This Row],[Unit Selling Area]]</f>
        <v>7056175.5000000009</v>
      </c>
      <c r="AM124" s="232">
        <f t="shared" si="17"/>
        <v>529857.08047800011</v>
      </c>
      <c r="AN124" s="232">
        <f>(AM124+AJ124)*FACTS!$S$2</f>
        <v>567675.26934063016</v>
      </c>
      <c r="AO124" s="101">
        <f>VLOOKUP(S124,FACTS!$A$17:$C$23,3,FALSE)</f>
        <v>1</v>
      </c>
      <c r="AP124" s="232">
        <f>VLOOKUP(AA124,FACTS!$B$2:$J$14,9,FALSE)</f>
        <v>228000.00000000003</v>
      </c>
      <c r="AQ124" s="232">
        <f>Table1[[#This Row],[PARKING VALUE]]*1</f>
        <v>228000.00000000003</v>
      </c>
      <c r="AR124" s="232">
        <f t="shared" si="11"/>
        <v>6906532.5804780014</v>
      </c>
      <c r="AS124" s="440">
        <f>Table1[[#This Row],[TOTAL CARS VALUE]]+Table1[[#This Row],[UNIT (BUILDING) VALUE BASIC FINISHED]]+Table1[[#This Row],[UNIT (GARDEN) VALUE]]</f>
        <v>7451032.5804780014</v>
      </c>
      <c r="AT124" s="232">
        <f>Table1[[#This Row],[TOTAL CARS VALUE]]+Table1[[#This Row],[UNIT (GARDEN) VALUE]]+Table1[[#This Row],[UNIT (BUILDING) VALUE FULLY FINISHED]]</f>
        <v>7814032.5804780014</v>
      </c>
      <c r="AU124" s="233">
        <f>VLOOKUP(I124,'C PHASES'!$I$108:$J$110,2,FALSE)</f>
        <v>45839</v>
      </c>
      <c r="AV124" s="233">
        <f>VLOOKUP(AA124,'C PHASES'!$I$113:$J$125,2,FALSE)</f>
        <v>45658</v>
      </c>
    </row>
    <row r="125" spans="1:48" ht="15" customHeight="1" x14ac:dyDescent="0.25">
      <c r="A125" s="235"/>
      <c r="B125" s="227" t="str">
        <f t="shared" si="12"/>
        <v>A</v>
      </c>
      <c r="C125" s="227" t="s">
        <v>27</v>
      </c>
      <c r="D125" s="227" t="s">
        <v>1147</v>
      </c>
      <c r="E125" s="228">
        <v>1</v>
      </c>
      <c r="F125" s="101">
        <v>1</v>
      </c>
      <c r="G125" s="87" t="str">
        <f t="shared" si="19"/>
        <v>A611</v>
      </c>
      <c r="H125" s="87" t="s">
        <v>1296</v>
      </c>
      <c r="I125" s="89" t="str">
        <f>VLOOKUP(C125,'PREMIUM TABLES'!$G$107:$H$149,2,FALSE)</f>
        <v>C1</v>
      </c>
      <c r="J125" s="87">
        <v>61.82</v>
      </c>
      <c r="K125" s="87">
        <v>67.765994965539235</v>
      </c>
      <c r="L125" s="87">
        <v>76</v>
      </c>
      <c r="O125" s="87" t="s">
        <v>184</v>
      </c>
      <c r="P125" s="87" t="s">
        <v>190</v>
      </c>
      <c r="Q125" s="229" t="s">
        <v>198</v>
      </c>
      <c r="R125" s="87" t="str">
        <f>VLOOKUP(E125,'PREMIUM TABLES'!$F$214:$G$219,2,FALSE)</f>
        <v>FIRST</v>
      </c>
      <c r="S125" s="87" t="str" cm="1">
        <f t="array" ref="S125">IF(AND(L125&gt;0,L125&lt;90),"A",IF(AND(L125&gt;90,L125&lt;123),"B",IF(AND(L125&gt;122,L125&lt;159),"C",IF(AND(L125&gt;159,L125&lt;185),"D",IF(AND(L125&gt;185,L125&lt;230),"E",IF(AND(L125&gt;230,L125&lt;350),"F",NONE))))))</f>
        <v>A</v>
      </c>
      <c r="T125" s="230">
        <f>VLOOKUP(O125,'PREMIUM TABLES'!$G$165:$H$172,2,FALSE)</f>
        <v>0.15</v>
      </c>
      <c r="U125" s="230">
        <f>VLOOKUP(P125,'PREMIUM TABLES'!$G$208:$H$209,2,FALSE)</f>
        <v>2.5000000000000001E-2</v>
      </c>
      <c r="V125" s="230">
        <f>VLOOKUP(Q125,'PREMIUM TABLES'!$G$175:$H$195,2,FALSE)</f>
        <v>0.15</v>
      </c>
      <c r="W125" s="230">
        <f>VLOOKUP(R125,'PREMIUM TABLES'!$G$214:$H$219,2,FALSE)</f>
        <v>7.0000000000000007E-2</v>
      </c>
      <c r="X125" s="230">
        <f>VLOOKUP(S125,'PREMIUM TABLES'!$F$199:$H$205,3,FALSE)</f>
        <v>0.05</v>
      </c>
      <c r="Y125" s="231">
        <f t="shared" si="13"/>
        <v>0.44499999999999995</v>
      </c>
      <c r="Z125" s="231" t="str" cm="1">
        <f t="array" ref="Z125">IF(AND(Y125&gt;0,Y125&lt;0.5),"C",IF(AND(Y125&gt;=0.5,Y125&lt;0.73),"B",IF(AND(Y125&gt;=0.73,Y125&lt;0.98),"A",NONE)))</f>
        <v>C</v>
      </c>
      <c r="AA125" s="231" t="str">
        <f>VLOOKUP(G125,'ALL (R)'!$N$5:$R$862,5,FALSE)</f>
        <v>R 9</v>
      </c>
      <c r="AB125" s="232">
        <f>VLOOKUP(AA125,FACTS!$B$2:$L$14,10,FALSE)</f>
        <v>53550</v>
      </c>
      <c r="AC125" s="232">
        <f>VLOOKUP(AA125,FACTS!$B$2:$L$14,11,FALSE)</f>
        <v>59850</v>
      </c>
      <c r="AD125" s="232">
        <f>VLOOKUP(AA125,FACTS!$B$2:$N$14,13,FALSE)</f>
        <v>6300</v>
      </c>
      <c r="AE125" s="232">
        <f t="shared" si="14"/>
        <v>2803.4999999999995</v>
      </c>
      <c r="AF125" s="232">
        <f t="shared" si="15"/>
        <v>56353.5</v>
      </c>
      <c r="AG125" s="232">
        <f>AF125*FACTS!$T$2</f>
        <v>18596.655000000002</v>
      </c>
      <c r="AH125" s="232">
        <f>Table1[[#This Row],[UNIT (BUILDING) RATE (SEMI FINISHED)]]+4500</f>
        <v>60853.5</v>
      </c>
      <c r="AI125" s="232">
        <f>Table1[[#This Row],[UNIT (BUILDING) RATE (SEMI FINISHED)]]+7500</f>
        <v>63853.5</v>
      </c>
      <c r="AJ125" s="232">
        <f t="shared" si="16"/>
        <v>4282866</v>
      </c>
      <c r="AK125" s="232">
        <f>Table1[[#This Row],[UNIT (BUILDING) RATE (BASIC FINISH)]]*Table1[[#This Row],[Unit Selling Area]]</f>
        <v>4624866</v>
      </c>
      <c r="AL125" s="232">
        <f>Table1[[#This Row],[UNIT (BUILDING) RATE (FULLY FINISH)]]*Table1[[#This Row],[Unit Selling Area]]</f>
        <v>4852866</v>
      </c>
      <c r="AM125" s="232">
        <f t="shared" si="17"/>
        <v>0</v>
      </c>
      <c r="AN125" s="232">
        <f>(AM125+AJ125)*FACTS!$S$2</f>
        <v>364043.61000000004</v>
      </c>
      <c r="AO125" s="101">
        <f>VLOOKUP(S125,FACTS!$A$17:$C$23,3,FALSE)</f>
        <v>1</v>
      </c>
      <c r="AP125" s="232">
        <f>VLOOKUP(AA125,FACTS!$B$2:$J$14,9,FALSE)</f>
        <v>252000</v>
      </c>
      <c r="AQ125" s="232">
        <f>Table1[[#This Row],[PARKING VALUE]]*1</f>
        <v>252000</v>
      </c>
      <c r="AR125" s="232">
        <f t="shared" si="11"/>
        <v>4534866</v>
      </c>
      <c r="AS125" s="440">
        <f>Table1[[#This Row],[TOTAL CARS VALUE]]+Table1[[#This Row],[UNIT (BUILDING) VALUE BASIC FINISHED]]+Table1[[#This Row],[UNIT (GARDEN) VALUE]]</f>
        <v>4876866</v>
      </c>
      <c r="AT125" s="232">
        <f>Table1[[#This Row],[TOTAL CARS VALUE]]+Table1[[#This Row],[UNIT (GARDEN) VALUE]]+Table1[[#This Row],[UNIT (BUILDING) VALUE FULLY FINISHED]]</f>
        <v>5104866</v>
      </c>
      <c r="AU125" s="233">
        <f>VLOOKUP(I125,'C PHASES'!$I$108:$J$110,2,FALSE)</f>
        <v>45839</v>
      </c>
      <c r="AV125" s="233">
        <f>VLOOKUP(AA125,'C PHASES'!$I$113:$J$125,2,FALSE)</f>
        <v>45931</v>
      </c>
    </row>
    <row r="126" spans="1:48" ht="15" customHeight="1" x14ac:dyDescent="0.25">
      <c r="A126" s="235"/>
      <c r="B126" s="227" t="str">
        <f t="shared" si="12"/>
        <v>A</v>
      </c>
      <c r="C126" s="227" t="s">
        <v>27</v>
      </c>
      <c r="D126" s="227" t="s">
        <v>1147</v>
      </c>
      <c r="E126" s="228">
        <v>1</v>
      </c>
      <c r="F126" s="101">
        <v>2</v>
      </c>
      <c r="G126" s="87" t="str">
        <f t="shared" si="19"/>
        <v>A612</v>
      </c>
      <c r="H126" s="87" t="s">
        <v>1293</v>
      </c>
      <c r="I126" s="89" t="str">
        <f>VLOOKUP(C126,'PREMIUM TABLES'!$G$107:$H$149,2,FALSE)</f>
        <v>C1</v>
      </c>
      <c r="J126" s="87">
        <v>89.05</v>
      </c>
      <c r="K126" s="87">
        <v>97.615041275982989</v>
      </c>
      <c r="L126" s="87">
        <v>110</v>
      </c>
      <c r="O126" s="87" t="s">
        <v>185</v>
      </c>
      <c r="P126" s="87" t="s">
        <v>190</v>
      </c>
      <c r="Q126" s="229" t="s">
        <v>215</v>
      </c>
      <c r="R126" s="87" t="str">
        <f>VLOOKUP(E126,'PREMIUM TABLES'!$F$214:$G$219,2,FALSE)</f>
        <v>FIRST</v>
      </c>
      <c r="S126" s="87" t="str" cm="1">
        <f t="array" ref="S126">IF(AND(L126&gt;0,L126&lt;90),"A",IF(AND(L126&gt;90,L126&lt;123),"B",IF(AND(L126&gt;122,L126&lt;159),"C",IF(AND(L126&gt;159,L126&lt;185),"D",IF(AND(L126&gt;185,L126&lt;230),"E",IF(AND(L126&gt;230,L126&lt;350),"F",NONE))))))</f>
        <v>B</v>
      </c>
      <c r="T126" s="230">
        <f>VLOOKUP(O126,'PREMIUM TABLES'!$G$165:$H$172,2,FALSE)</f>
        <v>0.06</v>
      </c>
      <c r="U126" s="230">
        <f>VLOOKUP(P126,'PREMIUM TABLES'!$G$208:$H$209,2,FALSE)</f>
        <v>2.5000000000000001E-2</v>
      </c>
      <c r="V126" s="230">
        <f>VLOOKUP(Q126,'PREMIUM TABLES'!$G$175:$H$195,2,FALSE)</f>
        <v>0.2</v>
      </c>
      <c r="W126" s="230">
        <f>VLOOKUP(R126,'PREMIUM TABLES'!$G$214:$H$219,2,FALSE)</f>
        <v>7.0000000000000007E-2</v>
      </c>
      <c r="X126" s="230">
        <f>VLOOKUP(S126,'PREMIUM TABLES'!$F$199:$H$205,3,FALSE)</f>
        <v>0.04</v>
      </c>
      <c r="Y126" s="231">
        <f t="shared" si="13"/>
        <v>0.39500000000000002</v>
      </c>
      <c r="Z126" s="231" t="str" cm="1">
        <f t="array" ref="Z126">IF(AND(Y126&gt;0,Y126&lt;0.5),"C",IF(AND(Y126&gt;=0.5,Y126&lt;0.73),"B",IF(AND(Y126&gt;=0.73,Y126&lt;0.98),"A",NONE)))</f>
        <v>C</v>
      </c>
      <c r="AA126" s="231" t="str">
        <f>VLOOKUP(G126,'ALL (R)'!$N$5:$R$862,5,FALSE)</f>
        <v>R 5</v>
      </c>
      <c r="AB126" s="232">
        <f>VLOOKUP(AA126,FACTS!$B$2:$L$14,10,FALSE)</f>
        <v>46750.000000000007</v>
      </c>
      <c r="AC126" s="232">
        <f>VLOOKUP(AA126,FACTS!$B$2:$L$14,11,FALSE)</f>
        <v>52250.000000000007</v>
      </c>
      <c r="AD126" s="232">
        <f>VLOOKUP(AA126,FACTS!$B$2:$N$14,13,FALSE)</f>
        <v>5500</v>
      </c>
      <c r="AE126" s="232">
        <f t="shared" si="14"/>
        <v>2172.5</v>
      </c>
      <c r="AF126" s="232">
        <f t="shared" si="15"/>
        <v>48922.500000000007</v>
      </c>
      <c r="AG126" s="232">
        <f>AF126*FACTS!$T$2</f>
        <v>16144.425000000003</v>
      </c>
      <c r="AH126" s="232">
        <f>Table1[[#This Row],[UNIT (BUILDING) RATE (SEMI FINISHED)]]+4500</f>
        <v>53422.500000000007</v>
      </c>
      <c r="AI126" s="232">
        <f>Table1[[#This Row],[UNIT (BUILDING) RATE (SEMI FINISHED)]]+7500</f>
        <v>56422.500000000007</v>
      </c>
      <c r="AJ126" s="232">
        <f t="shared" si="16"/>
        <v>5381475.0000000009</v>
      </c>
      <c r="AK126" s="232">
        <f>Table1[[#This Row],[UNIT (BUILDING) RATE (BASIC FINISH)]]*Table1[[#This Row],[Unit Selling Area]]</f>
        <v>5876475.0000000009</v>
      </c>
      <c r="AL126" s="232">
        <f>Table1[[#This Row],[UNIT (BUILDING) RATE (FULLY FINISH)]]*Table1[[#This Row],[Unit Selling Area]]</f>
        <v>6206475.0000000009</v>
      </c>
      <c r="AM126" s="232">
        <f t="shared" si="17"/>
        <v>0</v>
      </c>
      <c r="AN126" s="232">
        <f>(AM126+AJ126)*FACTS!$S$2</f>
        <v>457425.37500000012</v>
      </c>
      <c r="AO126" s="101">
        <f>VLOOKUP(S126,FACTS!$A$17:$C$23,3,FALSE)</f>
        <v>1</v>
      </c>
      <c r="AP126" s="232">
        <f>VLOOKUP(AA126,FACTS!$B$2:$J$14,9,FALSE)</f>
        <v>220000.00000000003</v>
      </c>
      <c r="AQ126" s="232">
        <f>Table1[[#This Row],[PARKING VALUE]]*1</f>
        <v>220000.00000000003</v>
      </c>
      <c r="AR126" s="232">
        <f t="shared" si="11"/>
        <v>5601475.0000000009</v>
      </c>
      <c r="AS126" s="440">
        <f>Table1[[#This Row],[TOTAL CARS VALUE]]+Table1[[#This Row],[UNIT (BUILDING) VALUE BASIC FINISHED]]+Table1[[#This Row],[UNIT (GARDEN) VALUE]]</f>
        <v>6096475.0000000009</v>
      </c>
      <c r="AT126" s="232">
        <f>Table1[[#This Row],[TOTAL CARS VALUE]]+Table1[[#This Row],[UNIT (GARDEN) VALUE]]+Table1[[#This Row],[UNIT (BUILDING) VALUE FULLY FINISHED]]</f>
        <v>6426475.0000000009</v>
      </c>
      <c r="AU126" s="233">
        <f>VLOOKUP(I126,'C PHASES'!$I$108:$J$110,2,FALSE)</f>
        <v>45839</v>
      </c>
      <c r="AV126" s="233">
        <f>VLOOKUP(AA126,'C PHASES'!$I$113:$J$125,2,FALSE)</f>
        <v>45566</v>
      </c>
    </row>
    <row r="127" spans="1:48" ht="15" customHeight="1" x14ac:dyDescent="0.25">
      <c r="A127" s="235"/>
      <c r="B127" s="227" t="str">
        <f t="shared" si="12"/>
        <v>A</v>
      </c>
      <c r="C127" s="227" t="s">
        <v>27</v>
      </c>
      <c r="D127" s="227" t="s">
        <v>1147</v>
      </c>
      <c r="E127" s="228">
        <v>1</v>
      </c>
      <c r="F127" s="101">
        <v>3</v>
      </c>
      <c r="G127" s="87" t="str">
        <f t="shared" si="19"/>
        <v>A613</v>
      </c>
      <c r="H127" s="87" t="s">
        <v>1293</v>
      </c>
      <c r="I127" s="89" t="str">
        <f>VLOOKUP(C127,'PREMIUM TABLES'!$G$107:$H$149,2,FALSE)</f>
        <v>C1</v>
      </c>
      <c r="J127" s="87">
        <v>97.06</v>
      </c>
      <c r="K127" s="87">
        <v>106.39546217009443</v>
      </c>
      <c r="L127" s="87">
        <v>119</v>
      </c>
      <c r="O127" s="87" t="s">
        <v>185</v>
      </c>
      <c r="P127" s="87" t="s">
        <v>190</v>
      </c>
      <c r="Q127" s="229" t="s">
        <v>216</v>
      </c>
      <c r="R127" s="87" t="str">
        <f>VLOOKUP(E127,'PREMIUM TABLES'!$F$214:$G$219,2,FALSE)</f>
        <v>FIRST</v>
      </c>
      <c r="S127" s="87" t="str" cm="1">
        <f t="array" ref="S127">IF(AND(L127&gt;0,L127&lt;90),"A",IF(AND(L127&gt;90,L127&lt;123),"B",IF(AND(L127&gt;122,L127&lt;159),"C",IF(AND(L127&gt;159,L127&lt;185),"D",IF(AND(L127&gt;185,L127&lt;230),"E",IF(AND(L127&gt;230,L127&lt;350),"F",NONE))))))</f>
        <v>B</v>
      </c>
      <c r="T127" s="230">
        <f>VLOOKUP(O127,'PREMIUM TABLES'!$G$165:$H$172,2,FALSE)</f>
        <v>0.06</v>
      </c>
      <c r="U127" s="230">
        <f>VLOOKUP(P127,'PREMIUM TABLES'!$G$208:$H$209,2,FALSE)</f>
        <v>2.5000000000000001E-2</v>
      </c>
      <c r="V127" s="230">
        <f>VLOOKUP(Q127,'PREMIUM TABLES'!$G$175:$H$195,2,FALSE)</f>
        <v>0.25</v>
      </c>
      <c r="W127" s="230">
        <f>VLOOKUP(R127,'PREMIUM TABLES'!$G$214:$H$219,2,FALSE)</f>
        <v>7.0000000000000007E-2</v>
      </c>
      <c r="X127" s="230">
        <f>VLOOKUP(S127,'PREMIUM TABLES'!$F$199:$H$205,3,FALSE)</f>
        <v>0.04</v>
      </c>
      <c r="Y127" s="231">
        <f t="shared" si="13"/>
        <v>0.44499999999999995</v>
      </c>
      <c r="Z127" s="231" t="str" cm="1">
        <f t="array" ref="Z127">IF(AND(Y127&gt;0,Y127&lt;0.5),"C",IF(AND(Y127&gt;=0.5,Y127&lt;0.73),"B",IF(AND(Y127&gt;=0.73,Y127&lt;0.98),"A",NONE)))</f>
        <v>C</v>
      </c>
      <c r="AA127" s="231" t="str">
        <f>VLOOKUP(G127,'ALL (R)'!$N$5:$R$862,5,FALSE)</f>
        <v>R 9</v>
      </c>
      <c r="AB127" s="232">
        <f>VLOOKUP(AA127,FACTS!$B$2:$L$14,10,FALSE)</f>
        <v>53550</v>
      </c>
      <c r="AC127" s="232">
        <f>VLOOKUP(AA127,FACTS!$B$2:$L$14,11,FALSE)</f>
        <v>59850</v>
      </c>
      <c r="AD127" s="232">
        <f>VLOOKUP(AA127,FACTS!$B$2:$N$14,13,FALSE)</f>
        <v>6300</v>
      </c>
      <c r="AE127" s="232">
        <f t="shared" si="14"/>
        <v>2803.4999999999995</v>
      </c>
      <c r="AF127" s="232">
        <f t="shared" si="15"/>
        <v>56353.5</v>
      </c>
      <c r="AG127" s="232">
        <f>AF127*FACTS!$T$2</f>
        <v>18596.655000000002</v>
      </c>
      <c r="AH127" s="232">
        <f>Table1[[#This Row],[UNIT (BUILDING) RATE (SEMI FINISHED)]]+4500</f>
        <v>60853.5</v>
      </c>
      <c r="AI127" s="232">
        <f>Table1[[#This Row],[UNIT (BUILDING) RATE (SEMI FINISHED)]]+7500</f>
        <v>63853.5</v>
      </c>
      <c r="AJ127" s="232">
        <f t="shared" si="16"/>
        <v>6706066.5</v>
      </c>
      <c r="AK127" s="232">
        <f>Table1[[#This Row],[UNIT (BUILDING) RATE (BASIC FINISH)]]*Table1[[#This Row],[Unit Selling Area]]</f>
        <v>7241566.5</v>
      </c>
      <c r="AL127" s="232">
        <f>Table1[[#This Row],[UNIT (BUILDING) RATE (FULLY FINISH)]]*Table1[[#This Row],[Unit Selling Area]]</f>
        <v>7598566.5</v>
      </c>
      <c r="AM127" s="232">
        <f t="shared" si="17"/>
        <v>0</v>
      </c>
      <c r="AN127" s="232">
        <f>(AM127+AJ127)*FACTS!$S$2</f>
        <v>570015.65250000008</v>
      </c>
      <c r="AO127" s="101">
        <f>VLOOKUP(S127,FACTS!$A$17:$C$23,3,FALSE)</f>
        <v>1</v>
      </c>
      <c r="AP127" s="232">
        <f>VLOOKUP(AA127,FACTS!$B$2:$J$14,9,FALSE)</f>
        <v>252000</v>
      </c>
      <c r="AQ127" s="232">
        <f>Table1[[#This Row],[PARKING VALUE]]*1</f>
        <v>252000</v>
      </c>
      <c r="AR127" s="232">
        <f t="shared" si="11"/>
        <v>6958066.5</v>
      </c>
      <c r="AS127" s="440">
        <f>Table1[[#This Row],[TOTAL CARS VALUE]]+Table1[[#This Row],[UNIT (BUILDING) VALUE BASIC FINISHED]]+Table1[[#This Row],[UNIT (GARDEN) VALUE]]</f>
        <v>7493566.5</v>
      </c>
      <c r="AT127" s="232">
        <f>Table1[[#This Row],[TOTAL CARS VALUE]]+Table1[[#This Row],[UNIT (GARDEN) VALUE]]+Table1[[#This Row],[UNIT (BUILDING) VALUE FULLY FINISHED]]</f>
        <v>7850566.5</v>
      </c>
      <c r="AU127" s="233">
        <f>VLOOKUP(I127,'C PHASES'!$I$108:$J$110,2,FALSE)</f>
        <v>45839</v>
      </c>
      <c r="AV127" s="233">
        <f>VLOOKUP(AA127,'C PHASES'!$I$113:$J$125,2,FALSE)</f>
        <v>45931</v>
      </c>
    </row>
    <row r="128" spans="1:48" ht="15" customHeight="1" x14ac:dyDescent="0.25">
      <c r="A128" s="235"/>
      <c r="B128" s="227" t="str">
        <f t="shared" si="12"/>
        <v>A</v>
      </c>
      <c r="C128" s="227" t="s">
        <v>27</v>
      </c>
      <c r="D128" s="227" t="s">
        <v>1147</v>
      </c>
      <c r="E128" s="228">
        <v>1</v>
      </c>
      <c r="F128" s="101">
        <v>4</v>
      </c>
      <c r="G128" s="87" t="str">
        <f t="shared" si="19"/>
        <v>A614</v>
      </c>
      <c r="H128" s="87" t="s">
        <v>1293</v>
      </c>
      <c r="I128" s="89" t="str">
        <f>VLOOKUP(C128,'PREMIUM TABLES'!$G$107:$H$149,2,FALSE)</f>
        <v>C1</v>
      </c>
      <c r="J128" s="87">
        <v>97.09</v>
      </c>
      <c r="K128" s="87">
        <v>106.42834764160796</v>
      </c>
      <c r="L128" s="87">
        <v>119</v>
      </c>
      <c r="O128" s="87" t="s">
        <v>184</v>
      </c>
      <c r="P128" s="87" t="s">
        <v>190</v>
      </c>
      <c r="Q128" s="229" t="s">
        <v>198</v>
      </c>
      <c r="R128" s="87" t="str">
        <f>VLOOKUP(E128,'PREMIUM TABLES'!$F$214:$G$219,2,FALSE)</f>
        <v>FIRST</v>
      </c>
      <c r="S128" s="87" t="str" cm="1">
        <f t="array" ref="S128">IF(AND(L128&gt;0,L128&lt;90),"A",IF(AND(L128&gt;90,L128&lt;123),"B",IF(AND(L128&gt;122,L128&lt;159),"C",IF(AND(L128&gt;159,L128&lt;185),"D",IF(AND(L128&gt;185,L128&lt;230),"E",IF(AND(L128&gt;230,L128&lt;350),"F",NONE))))))</f>
        <v>B</v>
      </c>
      <c r="T128" s="230">
        <f>VLOOKUP(O128,'PREMIUM TABLES'!$G$165:$H$172,2,FALSE)</f>
        <v>0.15</v>
      </c>
      <c r="U128" s="230">
        <f>VLOOKUP(P128,'PREMIUM TABLES'!$G$208:$H$209,2,FALSE)</f>
        <v>2.5000000000000001E-2</v>
      </c>
      <c r="V128" s="230">
        <f>VLOOKUP(Q128,'PREMIUM TABLES'!$G$175:$H$195,2,FALSE)</f>
        <v>0.15</v>
      </c>
      <c r="W128" s="230">
        <f>VLOOKUP(R128,'PREMIUM TABLES'!$G$214:$H$219,2,FALSE)</f>
        <v>7.0000000000000007E-2</v>
      </c>
      <c r="X128" s="230">
        <f>VLOOKUP(S128,'PREMIUM TABLES'!$F$199:$H$205,3,FALSE)</f>
        <v>0.04</v>
      </c>
      <c r="Y128" s="231">
        <f t="shared" si="13"/>
        <v>0.43499999999999994</v>
      </c>
      <c r="Z128" s="231" t="str" cm="1">
        <f t="array" ref="Z128">IF(AND(Y128&gt;0,Y128&lt;0.5),"C",IF(AND(Y128&gt;=0.5,Y128&lt;0.73),"B",IF(AND(Y128&gt;=0.73,Y128&lt;0.98),"A",NONE)))</f>
        <v>C</v>
      </c>
      <c r="AA128" s="231" t="str">
        <f>VLOOKUP(G128,'ALL (R)'!$N$5:$R$862,5,FALSE)</f>
        <v>R 8</v>
      </c>
      <c r="AB128" s="232">
        <f>VLOOKUP(AA128,FACTS!$B$2:$L$14,10,FALSE)</f>
        <v>51850</v>
      </c>
      <c r="AC128" s="232">
        <f>VLOOKUP(AA128,FACTS!$B$2:$L$14,11,FALSE)</f>
        <v>57950</v>
      </c>
      <c r="AD128" s="232">
        <f>VLOOKUP(AA128,FACTS!$B$2:$N$14,13,FALSE)</f>
        <v>6100</v>
      </c>
      <c r="AE128" s="232">
        <f t="shared" si="14"/>
        <v>2653.4999999999995</v>
      </c>
      <c r="AF128" s="232">
        <f t="shared" si="15"/>
        <v>54503.5</v>
      </c>
      <c r="AG128" s="232">
        <f>AF128*FACTS!$T$2</f>
        <v>17986.155000000002</v>
      </c>
      <c r="AH128" s="232">
        <f>Table1[[#This Row],[UNIT (BUILDING) RATE (SEMI FINISHED)]]+4500</f>
        <v>59003.5</v>
      </c>
      <c r="AI128" s="232">
        <f>Table1[[#This Row],[UNIT (BUILDING) RATE (SEMI FINISHED)]]+7500</f>
        <v>62003.5</v>
      </c>
      <c r="AJ128" s="232">
        <f t="shared" si="16"/>
        <v>6485916.5</v>
      </c>
      <c r="AK128" s="232">
        <f>Table1[[#This Row],[UNIT (BUILDING) RATE (BASIC FINISH)]]*Table1[[#This Row],[Unit Selling Area]]</f>
        <v>7021416.5</v>
      </c>
      <c r="AL128" s="232">
        <f>Table1[[#This Row],[UNIT (BUILDING) RATE (FULLY FINISH)]]*Table1[[#This Row],[Unit Selling Area]]</f>
        <v>7378416.5</v>
      </c>
      <c r="AM128" s="232">
        <f t="shared" si="17"/>
        <v>0</v>
      </c>
      <c r="AN128" s="232">
        <f>(AM128+AJ128)*FACTS!$S$2</f>
        <v>551302.90250000008</v>
      </c>
      <c r="AO128" s="101">
        <f>VLOOKUP(S128,FACTS!$A$17:$C$23,3,FALSE)</f>
        <v>1</v>
      </c>
      <c r="AP128" s="232">
        <f>VLOOKUP(AA128,FACTS!$B$2:$J$14,9,FALSE)</f>
        <v>244000</v>
      </c>
      <c r="AQ128" s="232">
        <f>Table1[[#This Row],[PARKING VALUE]]*1</f>
        <v>244000</v>
      </c>
      <c r="AR128" s="232">
        <f t="shared" si="11"/>
        <v>6729916.5</v>
      </c>
      <c r="AS128" s="440">
        <f>Table1[[#This Row],[TOTAL CARS VALUE]]+Table1[[#This Row],[UNIT (BUILDING) VALUE BASIC FINISHED]]+Table1[[#This Row],[UNIT (GARDEN) VALUE]]</f>
        <v>7265416.5</v>
      </c>
      <c r="AT128" s="232">
        <f>Table1[[#This Row],[TOTAL CARS VALUE]]+Table1[[#This Row],[UNIT (GARDEN) VALUE]]+Table1[[#This Row],[UNIT (BUILDING) VALUE FULLY FINISHED]]</f>
        <v>7622416.5</v>
      </c>
      <c r="AU128" s="233">
        <f>VLOOKUP(I128,'C PHASES'!$I$108:$J$110,2,FALSE)</f>
        <v>45839</v>
      </c>
      <c r="AV128" s="233">
        <f>VLOOKUP(AA128,'C PHASES'!$I$113:$J$125,2,FALSE)</f>
        <v>45839</v>
      </c>
    </row>
    <row r="129" spans="1:48" ht="15" customHeight="1" x14ac:dyDescent="0.25">
      <c r="A129" s="235"/>
      <c r="B129" s="227" t="str">
        <f t="shared" si="12"/>
        <v>A</v>
      </c>
      <c r="C129" s="227" t="s">
        <v>27</v>
      </c>
      <c r="D129" s="227" t="s">
        <v>1147</v>
      </c>
      <c r="E129" s="228">
        <v>2</v>
      </c>
      <c r="F129" s="101">
        <v>1</v>
      </c>
      <c r="G129" s="87" t="str">
        <f t="shared" si="19"/>
        <v>A621</v>
      </c>
      <c r="H129" s="87" t="s">
        <v>1293</v>
      </c>
      <c r="I129" s="89" t="str">
        <f>VLOOKUP(C129,'PREMIUM TABLES'!$G$107:$H$149,2,FALSE)</f>
        <v>C1</v>
      </c>
      <c r="J129" s="87">
        <v>90.9</v>
      </c>
      <c r="K129" s="87">
        <v>99.642978685983763</v>
      </c>
      <c r="L129" s="87">
        <v>112</v>
      </c>
      <c r="O129" s="87" t="s">
        <v>184</v>
      </c>
      <c r="P129" s="87" t="s">
        <v>190</v>
      </c>
      <c r="Q129" s="229" t="s">
        <v>198</v>
      </c>
      <c r="R129" s="87" t="str">
        <f>VLOOKUP(E129,'PREMIUM TABLES'!$F$214:$G$219,2,FALSE)</f>
        <v>SECOND</v>
      </c>
      <c r="S129" s="87" t="str" cm="1">
        <f t="array" ref="S129">IF(AND(L129&gt;0,L129&lt;90),"A",IF(AND(L129&gt;90,L129&lt;123),"B",IF(AND(L129&gt;122,L129&lt;159),"C",IF(AND(L129&gt;159,L129&lt;185),"D",IF(AND(L129&gt;185,L129&lt;230),"E",IF(AND(L129&gt;230,L129&lt;350),"F",NONE))))))</f>
        <v>B</v>
      </c>
      <c r="T129" s="230">
        <f>VLOOKUP(O129,'PREMIUM TABLES'!$G$165:$H$172,2,FALSE)</f>
        <v>0.15</v>
      </c>
      <c r="U129" s="230">
        <f>VLOOKUP(P129,'PREMIUM TABLES'!$G$208:$H$209,2,FALSE)</f>
        <v>2.5000000000000001E-2</v>
      </c>
      <c r="V129" s="230">
        <f>VLOOKUP(Q129,'PREMIUM TABLES'!$G$175:$H$195,2,FALSE)</f>
        <v>0.15</v>
      </c>
      <c r="W129" s="230">
        <f>VLOOKUP(R129,'PREMIUM TABLES'!$G$214:$H$219,2,FALSE)</f>
        <v>0.11</v>
      </c>
      <c r="X129" s="230">
        <f>VLOOKUP(S129,'PREMIUM TABLES'!$F$199:$H$205,3,FALSE)</f>
        <v>0.04</v>
      </c>
      <c r="Y129" s="231">
        <f t="shared" si="13"/>
        <v>0.47499999999999992</v>
      </c>
      <c r="Z129" s="231" t="str" cm="1">
        <f t="array" ref="Z129">IF(AND(Y129&gt;0,Y129&lt;0.5),"C",IF(AND(Y129&gt;=0.5,Y129&lt;0.73),"B",IF(AND(Y129&gt;=0.73,Y129&lt;0.98),"A",NONE)))</f>
        <v>C</v>
      </c>
      <c r="AA129" s="231" t="str">
        <f>VLOOKUP(G129,'ALL (R)'!$N$5:$R$862,5,FALSE)</f>
        <v>R 12</v>
      </c>
      <c r="AB129" s="232">
        <f>VLOOKUP(AA129,FACTS!$B$2:$L$14,10,FALSE)</f>
        <v>61625</v>
      </c>
      <c r="AC129" s="232">
        <f>VLOOKUP(AA129,FACTS!$B$2:$L$14,11,FALSE)</f>
        <v>68875</v>
      </c>
      <c r="AD129" s="232">
        <f>VLOOKUP(AA129,FACTS!$B$2:$N$14,13,FALSE)</f>
        <v>7250</v>
      </c>
      <c r="AE129" s="232">
        <f t="shared" si="14"/>
        <v>3443.7499999999995</v>
      </c>
      <c r="AF129" s="232">
        <f t="shared" si="15"/>
        <v>65068.75</v>
      </c>
      <c r="AG129" s="232">
        <f>AF129*FACTS!$T$2</f>
        <v>21472.6875</v>
      </c>
      <c r="AH129" s="232">
        <f>Table1[[#This Row],[UNIT (BUILDING) RATE (SEMI FINISHED)]]+4500</f>
        <v>69568.75</v>
      </c>
      <c r="AI129" s="232">
        <f>Table1[[#This Row],[UNIT (BUILDING) RATE (SEMI FINISHED)]]+7500</f>
        <v>72568.75</v>
      </c>
      <c r="AJ129" s="232">
        <f t="shared" si="16"/>
        <v>7287700</v>
      </c>
      <c r="AK129" s="232">
        <f>Table1[[#This Row],[UNIT (BUILDING) RATE (BASIC FINISH)]]*Table1[[#This Row],[Unit Selling Area]]</f>
        <v>7791700</v>
      </c>
      <c r="AL129" s="232">
        <f>Table1[[#This Row],[UNIT (BUILDING) RATE (FULLY FINISH)]]*Table1[[#This Row],[Unit Selling Area]]</f>
        <v>8127700</v>
      </c>
      <c r="AM129" s="232">
        <f t="shared" si="17"/>
        <v>0</v>
      </c>
      <c r="AN129" s="232">
        <f>(AM129+AJ129)*FACTS!$S$2</f>
        <v>619454.5</v>
      </c>
      <c r="AO129" s="101">
        <f>VLOOKUP(S129,FACTS!$A$17:$C$23,3,FALSE)</f>
        <v>1</v>
      </c>
      <c r="AP129" s="232">
        <f>VLOOKUP(AA129,FACTS!$B$2:$J$14,9,FALSE)</f>
        <v>290000</v>
      </c>
      <c r="AQ129" s="232">
        <f>Table1[[#This Row],[PARKING VALUE]]*1</f>
        <v>290000</v>
      </c>
      <c r="AR129" s="232">
        <f t="shared" si="11"/>
        <v>7577700</v>
      </c>
      <c r="AS129" s="440">
        <f>Table1[[#This Row],[TOTAL CARS VALUE]]+Table1[[#This Row],[UNIT (BUILDING) VALUE BASIC FINISHED]]+Table1[[#This Row],[UNIT (GARDEN) VALUE]]</f>
        <v>8081700</v>
      </c>
      <c r="AT129" s="232">
        <f>Table1[[#This Row],[TOTAL CARS VALUE]]+Table1[[#This Row],[UNIT (GARDEN) VALUE]]+Table1[[#This Row],[UNIT (BUILDING) VALUE FULLY FINISHED]]</f>
        <v>8417700</v>
      </c>
      <c r="AU129" s="233">
        <f>VLOOKUP(I129,'C PHASES'!$I$108:$J$110,2,FALSE)</f>
        <v>45839</v>
      </c>
      <c r="AV129" s="233">
        <f>VLOOKUP(AA129,'C PHASES'!$I$113:$J$125,2,FALSE)</f>
        <v>46204</v>
      </c>
    </row>
    <row r="130" spans="1:48" ht="15" customHeight="1" x14ac:dyDescent="0.25">
      <c r="A130" s="235"/>
      <c r="B130" s="227" t="str">
        <f t="shared" si="12"/>
        <v>A</v>
      </c>
      <c r="C130" s="227" t="s">
        <v>27</v>
      </c>
      <c r="D130" s="227" t="s">
        <v>1147</v>
      </c>
      <c r="E130" s="228">
        <v>2</v>
      </c>
      <c r="F130" s="101">
        <v>2</v>
      </c>
      <c r="G130" s="87" t="str">
        <f t="shared" si="19"/>
        <v>A622</v>
      </c>
      <c r="H130" s="87" t="s">
        <v>1293</v>
      </c>
      <c r="I130" s="89" t="str">
        <f>VLOOKUP(C130,'PREMIUM TABLES'!$G$107:$H$149,2,FALSE)</f>
        <v>C1</v>
      </c>
      <c r="J130" s="87">
        <v>90.91</v>
      </c>
      <c r="K130" s="87">
        <v>99.653940509821595</v>
      </c>
      <c r="L130" s="87">
        <v>112</v>
      </c>
      <c r="O130" s="87" t="s">
        <v>185</v>
      </c>
      <c r="P130" s="87" t="s">
        <v>190</v>
      </c>
      <c r="Q130" s="229" t="s">
        <v>215</v>
      </c>
      <c r="R130" s="87" t="str">
        <f>VLOOKUP(E130,'PREMIUM TABLES'!$F$214:$G$219,2,FALSE)</f>
        <v>SECOND</v>
      </c>
      <c r="S130" s="87" t="str" cm="1">
        <f t="array" ref="S130">IF(AND(L130&gt;0,L130&lt;90),"A",IF(AND(L130&gt;90,L130&lt;123),"B",IF(AND(L130&gt;122,L130&lt;159),"C",IF(AND(L130&gt;159,L130&lt;185),"D",IF(AND(L130&gt;185,L130&lt;230),"E",IF(AND(L130&gt;230,L130&lt;350),"F",NONE))))))</f>
        <v>B</v>
      </c>
      <c r="T130" s="230">
        <f>VLOOKUP(O130,'PREMIUM TABLES'!$G$165:$H$172,2,FALSE)</f>
        <v>0.06</v>
      </c>
      <c r="U130" s="230">
        <f>VLOOKUP(P130,'PREMIUM TABLES'!$G$208:$H$209,2,FALSE)</f>
        <v>2.5000000000000001E-2</v>
      </c>
      <c r="V130" s="230">
        <f>VLOOKUP(Q130,'PREMIUM TABLES'!$G$175:$H$195,2,FALSE)</f>
        <v>0.2</v>
      </c>
      <c r="W130" s="230">
        <f>VLOOKUP(R130,'PREMIUM TABLES'!$G$214:$H$219,2,FALSE)</f>
        <v>0.11</v>
      </c>
      <c r="X130" s="230">
        <f>VLOOKUP(S130,'PREMIUM TABLES'!$F$199:$H$205,3,FALSE)</f>
        <v>0.04</v>
      </c>
      <c r="Y130" s="231">
        <f t="shared" si="13"/>
        <v>0.435</v>
      </c>
      <c r="Z130" s="231" t="str" cm="1">
        <f t="array" ref="Z130">IF(AND(Y130&gt;0,Y130&lt;0.5),"C",IF(AND(Y130&gt;=0.5,Y130&lt;0.73),"B",IF(AND(Y130&gt;=0.73,Y130&lt;0.98),"A",NONE)))</f>
        <v>C</v>
      </c>
      <c r="AA130" s="231" t="str">
        <f>VLOOKUP(G130,'ALL (R)'!$N$5:$R$862,5,FALSE)</f>
        <v>R 8</v>
      </c>
      <c r="AB130" s="232">
        <f>VLOOKUP(AA130,FACTS!$B$2:$L$14,10,FALSE)</f>
        <v>51850</v>
      </c>
      <c r="AC130" s="232">
        <f>VLOOKUP(AA130,FACTS!$B$2:$L$14,11,FALSE)</f>
        <v>57950</v>
      </c>
      <c r="AD130" s="232">
        <f>VLOOKUP(AA130,FACTS!$B$2:$N$14,13,FALSE)</f>
        <v>6100</v>
      </c>
      <c r="AE130" s="232">
        <f t="shared" si="14"/>
        <v>2653.5</v>
      </c>
      <c r="AF130" s="232">
        <f t="shared" si="15"/>
        <v>54503.5</v>
      </c>
      <c r="AG130" s="232">
        <f>AF130*FACTS!$T$2</f>
        <v>17986.155000000002</v>
      </c>
      <c r="AH130" s="232">
        <f>Table1[[#This Row],[UNIT (BUILDING) RATE (SEMI FINISHED)]]+4500</f>
        <v>59003.5</v>
      </c>
      <c r="AI130" s="232">
        <f>Table1[[#This Row],[UNIT (BUILDING) RATE (SEMI FINISHED)]]+7500</f>
        <v>62003.5</v>
      </c>
      <c r="AJ130" s="232">
        <f t="shared" si="16"/>
        <v>6104392</v>
      </c>
      <c r="AK130" s="232">
        <f>Table1[[#This Row],[UNIT (BUILDING) RATE (BASIC FINISH)]]*Table1[[#This Row],[Unit Selling Area]]</f>
        <v>6608392</v>
      </c>
      <c r="AL130" s="232">
        <f>Table1[[#This Row],[UNIT (BUILDING) RATE (FULLY FINISH)]]*Table1[[#This Row],[Unit Selling Area]]</f>
        <v>6944392</v>
      </c>
      <c r="AM130" s="232">
        <f t="shared" si="17"/>
        <v>0</v>
      </c>
      <c r="AN130" s="232">
        <f>(AM130+AJ130)*FACTS!$S$2</f>
        <v>518873.32000000007</v>
      </c>
      <c r="AO130" s="101">
        <f>VLOOKUP(S130,FACTS!$A$17:$C$23,3,FALSE)</f>
        <v>1</v>
      </c>
      <c r="AP130" s="232">
        <f>VLOOKUP(AA130,FACTS!$B$2:$J$14,9,FALSE)</f>
        <v>244000</v>
      </c>
      <c r="AQ130" s="232">
        <f>Table1[[#This Row],[PARKING VALUE]]*1</f>
        <v>244000</v>
      </c>
      <c r="AR130" s="232">
        <f t="shared" si="11"/>
        <v>6348392</v>
      </c>
      <c r="AS130" s="440">
        <f>Table1[[#This Row],[TOTAL CARS VALUE]]+Table1[[#This Row],[UNIT (BUILDING) VALUE BASIC FINISHED]]+Table1[[#This Row],[UNIT (GARDEN) VALUE]]</f>
        <v>6852392</v>
      </c>
      <c r="AT130" s="232">
        <f>Table1[[#This Row],[TOTAL CARS VALUE]]+Table1[[#This Row],[UNIT (GARDEN) VALUE]]+Table1[[#This Row],[UNIT (BUILDING) VALUE FULLY FINISHED]]</f>
        <v>7188392</v>
      </c>
      <c r="AU130" s="233">
        <f>VLOOKUP(I130,'C PHASES'!$I$108:$J$110,2,FALSE)</f>
        <v>45839</v>
      </c>
      <c r="AV130" s="233">
        <f>VLOOKUP(AA130,'C PHASES'!$I$113:$J$125,2,FALSE)</f>
        <v>45839</v>
      </c>
    </row>
    <row r="131" spans="1:48" ht="15" customHeight="1" x14ac:dyDescent="0.25">
      <c r="A131" s="235"/>
      <c r="B131" s="227" t="str">
        <f t="shared" si="12"/>
        <v>A</v>
      </c>
      <c r="C131" s="227" t="s">
        <v>27</v>
      </c>
      <c r="D131" s="227" t="s">
        <v>1147</v>
      </c>
      <c r="E131" s="228">
        <v>2</v>
      </c>
      <c r="F131" s="101">
        <v>3</v>
      </c>
      <c r="G131" s="87" t="str">
        <f t="shared" si="19"/>
        <v>A623</v>
      </c>
      <c r="H131" s="87" t="s">
        <v>1293</v>
      </c>
      <c r="I131" s="89" t="str">
        <f>VLOOKUP(C131,'PREMIUM TABLES'!$G$107:$H$149,2,FALSE)</f>
        <v>C1</v>
      </c>
      <c r="J131" s="87">
        <v>98.93</v>
      </c>
      <c r="K131" s="87">
        <v>108.44532322777088</v>
      </c>
      <c r="L131" s="87">
        <v>122</v>
      </c>
      <c r="O131" s="87" t="s">
        <v>185</v>
      </c>
      <c r="P131" s="87" t="s">
        <v>190</v>
      </c>
      <c r="Q131" s="229" t="s">
        <v>216</v>
      </c>
      <c r="R131" s="87" t="str">
        <f>VLOOKUP(E131,'PREMIUM TABLES'!$F$214:$G$219,2,FALSE)</f>
        <v>SECOND</v>
      </c>
      <c r="S131" s="87" t="str" cm="1">
        <f t="array" ref="S131">IF(AND(L131&gt;0,L131&lt;90),"A",IF(AND(L131&gt;90,L131&lt;123),"B",IF(AND(L131&gt;122,L131&lt;159),"C",IF(AND(L131&gt;159,L131&lt;185),"D",IF(AND(L131&gt;185,L131&lt;230),"E",IF(AND(L131&gt;230,L131&lt;350),"F",NONE))))))</f>
        <v>B</v>
      </c>
      <c r="T131" s="230">
        <f>VLOOKUP(O131,'PREMIUM TABLES'!$G$165:$H$172,2,FALSE)</f>
        <v>0.06</v>
      </c>
      <c r="U131" s="230">
        <f>VLOOKUP(P131,'PREMIUM TABLES'!$G$208:$H$209,2,FALSE)</f>
        <v>2.5000000000000001E-2</v>
      </c>
      <c r="V131" s="230">
        <f>VLOOKUP(Q131,'PREMIUM TABLES'!$G$175:$H$195,2,FALSE)</f>
        <v>0.25</v>
      </c>
      <c r="W131" s="230">
        <f>VLOOKUP(R131,'PREMIUM TABLES'!$G$214:$H$219,2,FALSE)</f>
        <v>0.11</v>
      </c>
      <c r="X131" s="230">
        <f>VLOOKUP(S131,'PREMIUM TABLES'!$F$199:$H$205,3,FALSE)</f>
        <v>0.04</v>
      </c>
      <c r="Y131" s="231">
        <f t="shared" si="13"/>
        <v>0.48499999999999993</v>
      </c>
      <c r="Z131" s="231" t="str" cm="1">
        <f t="array" ref="Z131">IF(AND(Y131&gt;0,Y131&lt;0.5),"C",IF(AND(Y131&gt;=0.5,Y131&lt;0.73),"B",IF(AND(Y131&gt;=0.73,Y131&lt;0.98),"A",NONE)))</f>
        <v>C</v>
      </c>
      <c r="AA131" s="231" t="str">
        <f>VLOOKUP(G131,'ALL (R)'!$N$5:$R$862,5,FALSE)</f>
        <v>R 12</v>
      </c>
      <c r="AB131" s="232">
        <f>VLOOKUP(AA131,FACTS!$B$2:$L$14,10,FALSE)</f>
        <v>61625</v>
      </c>
      <c r="AC131" s="232">
        <f>VLOOKUP(AA131,FACTS!$B$2:$L$14,11,FALSE)</f>
        <v>68875</v>
      </c>
      <c r="AD131" s="232">
        <f>VLOOKUP(AA131,FACTS!$B$2:$N$14,13,FALSE)</f>
        <v>7250</v>
      </c>
      <c r="AE131" s="232">
        <f t="shared" si="14"/>
        <v>3516.2499999999995</v>
      </c>
      <c r="AF131" s="232">
        <f t="shared" si="15"/>
        <v>65141.25</v>
      </c>
      <c r="AG131" s="232">
        <f>AF131*FACTS!$T$2</f>
        <v>21496.612499999999</v>
      </c>
      <c r="AH131" s="232">
        <f>Table1[[#This Row],[UNIT (BUILDING) RATE (SEMI FINISHED)]]+4500</f>
        <v>69641.25</v>
      </c>
      <c r="AI131" s="232">
        <f>Table1[[#This Row],[UNIT (BUILDING) RATE (SEMI FINISHED)]]+7500</f>
        <v>72641.25</v>
      </c>
      <c r="AJ131" s="232">
        <f t="shared" si="16"/>
        <v>7947232.5</v>
      </c>
      <c r="AK131" s="232">
        <f>Table1[[#This Row],[UNIT (BUILDING) RATE (BASIC FINISH)]]*Table1[[#This Row],[Unit Selling Area]]</f>
        <v>8496232.5</v>
      </c>
      <c r="AL131" s="232">
        <f>Table1[[#This Row],[UNIT (BUILDING) RATE (FULLY FINISH)]]*Table1[[#This Row],[Unit Selling Area]]</f>
        <v>8862232.5</v>
      </c>
      <c r="AM131" s="232">
        <f t="shared" si="17"/>
        <v>0</v>
      </c>
      <c r="AN131" s="232">
        <f>(AM131+AJ131)*FACTS!$S$2</f>
        <v>675514.76250000007</v>
      </c>
      <c r="AO131" s="101">
        <f>VLOOKUP(S131,FACTS!$A$17:$C$23,3,FALSE)</f>
        <v>1</v>
      </c>
      <c r="AP131" s="232">
        <f>VLOOKUP(AA131,FACTS!$B$2:$J$14,9,FALSE)</f>
        <v>290000</v>
      </c>
      <c r="AQ131" s="232">
        <f>Table1[[#This Row],[PARKING VALUE]]*1</f>
        <v>290000</v>
      </c>
      <c r="AR131" s="232">
        <f t="shared" si="11"/>
        <v>8237232.5</v>
      </c>
      <c r="AS131" s="440">
        <f>Table1[[#This Row],[TOTAL CARS VALUE]]+Table1[[#This Row],[UNIT (BUILDING) VALUE BASIC FINISHED]]+Table1[[#This Row],[UNIT (GARDEN) VALUE]]</f>
        <v>8786232.5</v>
      </c>
      <c r="AT131" s="232">
        <f>Table1[[#This Row],[TOTAL CARS VALUE]]+Table1[[#This Row],[UNIT (GARDEN) VALUE]]+Table1[[#This Row],[UNIT (BUILDING) VALUE FULLY FINISHED]]</f>
        <v>9152232.5</v>
      </c>
      <c r="AU131" s="233">
        <f>VLOOKUP(I131,'C PHASES'!$I$108:$J$110,2,FALSE)</f>
        <v>45839</v>
      </c>
      <c r="AV131" s="233">
        <f>VLOOKUP(AA131,'C PHASES'!$I$113:$J$125,2,FALSE)</f>
        <v>46204</v>
      </c>
    </row>
    <row r="132" spans="1:48" ht="15" customHeight="1" x14ac:dyDescent="0.25">
      <c r="A132" s="235"/>
      <c r="B132" s="227" t="str">
        <f t="shared" si="12"/>
        <v>A</v>
      </c>
      <c r="C132" s="227" t="s">
        <v>27</v>
      </c>
      <c r="D132" s="227" t="s">
        <v>1147</v>
      </c>
      <c r="E132" s="228">
        <v>2</v>
      </c>
      <c r="F132" s="101">
        <v>4</v>
      </c>
      <c r="G132" s="87" t="str">
        <f t="shared" si="19"/>
        <v>A624</v>
      </c>
      <c r="H132" s="87" t="s">
        <v>1293</v>
      </c>
      <c r="I132" s="89" t="str">
        <f>VLOOKUP(C132,'PREMIUM TABLES'!$G$107:$H$149,2,FALSE)</f>
        <v>C1</v>
      </c>
      <c r="J132" s="87">
        <v>98.95</v>
      </c>
      <c r="K132" s="87">
        <v>108.46724687544656</v>
      </c>
      <c r="L132" s="87">
        <v>122</v>
      </c>
      <c r="O132" s="87" t="s">
        <v>184</v>
      </c>
      <c r="P132" s="87" t="s">
        <v>190</v>
      </c>
      <c r="Q132" s="229" t="s">
        <v>198</v>
      </c>
      <c r="R132" s="87" t="str">
        <f>VLOOKUP(E132,'PREMIUM TABLES'!$F$214:$G$219,2,FALSE)</f>
        <v>SECOND</v>
      </c>
      <c r="S132" s="87" t="str" cm="1">
        <f t="array" ref="S132">IF(AND(L132&gt;0,L132&lt;90),"A",IF(AND(L132&gt;90,L132&lt;123),"B",IF(AND(L132&gt;122,L132&lt;159),"C",IF(AND(L132&gt;159,L132&lt;185),"D",IF(AND(L132&gt;185,L132&lt;230),"E",IF(AND(L132&gt;230,L132&lt;350),"F",NONE))))))</f>
        <v>B</v>
      </c>
      <c r="T132" s="230">
        <f>VLOOKUP(O132,'PREMIUM TABLES'!$G$165:$H$172,2,FALSE)</f>
        <v>0.15</v>
      </c>
      <c r="U132" s="230">
        <f>VLOOKUP(P132,'PREMIUM TABLES'!$G$208:$H$209,2,FALSE)</f>
        <v>2.5000000000000001E-2</v>
      </c>
      <c r="V132" s="230">
        <f>VLOOKUP(Q132,'PREMIUM TABLES'!$G$175:$H$195,2,FALSE)</f>
        <v>0.15</v>
      </c>
      <c r="W132" s="230">
        <f>VLOOKUP(R132,'PREMIUM TABLES'!$G$214:$H$219,2,FALSE)</f>
        <v>0.11</v>
      </c>
      <c r="X132" s="230">
        <f>VLOOKUP(S132,'PREMIUM TABLES'!$F$199:$H$205,3,FALSE)</f>
        <v>0.04</v>
      </c>
      <c r="Y132" s="231">
        <f t="shared" si="13"/>
        <v>0.47499999999999992</v>
      </c>
      <c r="Z132" s="231" t="str" cm="1">
        <f t="array" ref="Z132">IF(AND(Y132&gt;0,Y132&lt;0.5),"C",IF(AND(Y132&gt;=0.5,Y132&lt;0.73),"B",IF(AND(Y132&gt;=0.73,Y132&lt;0.98),"A",NONE)))</f>
        <v>C</v>
      </c>
      <c r="AA132" s="231" t="str">
        <f>VLOOKUP(G132,'ALL (R)'!$N$5:$R$862,5,FALSE)</f>
        <v>R 12</v>
      </c>
      <c r="AB132" s="232">
        <f>VLOOKUP(AA132,FACTS!$B$2:$L$14,10,FALSE)</f>
        <v>61625</v>
      </c>
      <c r="AC132" s="232">
        <f>VLOOKUP(AA132,FACTS!$B$2:$L$14,11,FALSE)</f>
        <v>68875</v>
      </c>
      <c r="AD132" s="232">
        <f>VLOOKUP(AA132,FACTS!$B$2:$N$14,13,FALSE)</f>
        <v>7250</v>
      </c>
      <c r="AE132" s="232">
        <f t="shared" si="14"/>
        <v>3443.7499999999995</v>
      </c>
      <c r="AF132" s="232">
        <f t="shared" si="15"/>
        <v>65068.75</v>
      </c>
      <c r="AG132" s="232">
        <f>AF132*FACTS!$T$2</f>
        <v>21472.6875</v>
      </c>
      <c r="AH132" s="232">
        <f>Table1[[#This Row],[UNIT (BUILDING) RATE (SEMI FINISHED)]]+4500</f>
        <v>69568.75</v>
      </c>
      <c r="AI132" s="232">
        <f>Table1[[#This Row],[UNIT (BUILDING) RATE (SEMI FINISHED)]]+7500</f>
        <v>72568.75</v>
      </c>
      <c r="AJ132" s="232">
        <f t="shared" si="16"/>
        <v>7938387.5</v>
      </c>
      <c r="AK132" s="232">
        <f>Table1[[#This Row],[UNIT (BUILDING) RATE (BASIC FINISH)]]*Table1[[#This Row],[Unit Selling Area]]</f>
        <v>8487387.5</v>
      </c>
      <c r="AL132" s="232">
        <f>Table1[[#This Row],[UNIT (BUILDING) RATE (FULLY FINISH)]]*Table1[[#This Row],[Unit Selling Area]]</f>
        <v>8853387.5</v>
      </c>
      <c r="AM132" s="232">
        <f t="shared" si="17"/>
        <v>0</v>
      </c>
      <c r="AN132" s="232">
        <f>(AM132+AJ132)*FACTS!$S$2</f>
        <v>674762.9375</v>
      </c>
      <c r="AO132" s="101">
        <f>VLOOKUP(S132,FACTS!$A$17:$C$23,3,FALSE)</f>
        <v>1</v>
      </c>
      <c r="AP132" s="232">
        <f>VLOOKUP(AA132,FACTS!$B$2:$J$14,9,FALSE)</f>
        <v>290000</v>
      </c>
      <c r="AQ132" s="232">
        <f>Table1[[#This Row],[PARKING VALUE]]*1</f>
        <v>290000</v>
      </c>
      <c r="AR132" s="232">
        <f t="shared" si="11"/>
        <v>8228387.5</v>
      </c>
      <c r="AS132" s="440">
        <f>Table1[[#This Row],[TOTAL CARS VALUE]]+Table1[[#This Row],[UNIT (BUILDING) VALUE BASIC FINISHED]]+Table1[[#This Row],[UNIT (GARDEN) VALUE]]</f>
        <v>8777387.5</v>
      </c>
      <c r="AT132" s="232">
        <f>Table1[[#This Row],[TOTAL CARS VALUE]]+Table1[[#This Row],[UNIT (GARDEN) VALUE]]+Table1[[#This Row],[UNIT (BUILDING) VALUE FULLY FINISHED]]</f>
        <v>9143387.5</v>
      </c>
      <c r="AU132" s="233">
        <f>VLOOKUP(I132,'C PHASES'!$I$108:$J$110,2,FALSE)</f>
        <v>45839</v>
      </c>
      <c r="AV132" s="233">
        <f>VLOOKUP(AA132,'C PHASES'!$I$113:$J$125,2,FALSE)</f>
        <v>46204</v>
      </c>
    </row>
    <row r="133" spans="1:48" ht="15" customHeight="1" x14ac:dyDescent="0.25">
      <c r="A133" s="235"/>
      <c r="B133" s="227" t="str">
        <f t="shared" si="12"/>
        <v>A</v>
      </c>
      <c r="C133" s="227" t="s">
        <v>27</v>
      </c>
      <c r="D133" s="227" t="s">
        <v>1147</v>
      </c>
      <c r="E133" s="228">
        <v>3</v>
      </c>
      <c r="F133" s="101">
        <v>1</v>
      </c>
      <c r="G133" s="87" t="str">
        <f t="shared" si="19"/>
        <v>A631</v>
      </c>
      <c r="H133" s="87" t="s">
        <v>1293</v>
      </c>
      <c r="I133" s="89" t="str">
        <f>VLOOKUP(C133,'PREMIUM TABLES'!$G$107:$H$149,2,FALSE)</f>
        <v>C1</v>
      </c>
      <c r="J133" s="87">
        <v>89.05</v>
      </c>
      <c r="K133" s="87">
        <v>97.615041275982989</v>
      </c>
      <c r="L133" s="87">
        <v>110</v>
      </c>
      <c r="O133" s="87" t="s">
        <v>184</v>
      </c>
      <c r="P133" s="87" t="s">
        <v>190</v>
      </c>
      <c r="Q133" s="229" t="s">
        <v>198</v>
      </c>
      <c r="R133" s="87" t="str">
        <f>VLOOKUP(E133,'PREMIUM TABLES'!$F$214:$G$219,2,FALSE)</f>
        <v>THIRD</v>
      </c>
      <c r="S133" s="87" t="str" cm="1">
        <f t="array" ref="S133">IF(AND(L133&gt;0,L133&lt;90),"A",IF(AND(L133&gt;90,L133&lt;123),"B",IF(AND(L133&gt;122,L133&lt;159),"C",IF(AND(L133&gt;159,L133&lt;185),"D",IF(AND(L133&gt;185,L133&lt;230),"E",IF(AND(L133&gt;230,L133&lt;350),"F",NONE))))))</f>
        <v>B</v>
      </c>
      <c r="T133" s="230">
        <f>VLOOKUP(O133,'PREMIUM TABLES'!$G$165:$H$172,2,FALSE)</f>
        <v>0.15</v>
      </c>
      <c r="U133" s="230">
        <f>VLOOKUP(P133,'PREMIUM TABLES'!$G$208:$H$209,2,FALSE)</f>
        <v>2.5000000000000001E-2</v>
      </c>
      <c r="V133" s="230">
        <f>VLOOKUP(Q133,'PREMIUM TABLES'!$G$175:$H$195,2,FALSE)</f>
        <v>0.15</v>
      </c>
      <c r="W133" s="230">
        <f>VLOOKUP(R133,'PREMIUM TABLES'!$G$214:$H$219,2,FALSE)</f>
        <v>0.15</v>
      </c>
      <c r="X133" s="230">
        <f>VLOOKUP(S133,'PREMIUM TABLES'!$F$199:$H$205,3,FALSE)</f>
        <v>0.04</v>
      </c>
      <c r="Y133" s="231">
        <f t="shared" si="13"/>
        <v>0.51500000000000001</v>
      </c>
      <c r="Z133" s="231" t="str" cm="1">
        <f t="array" ref="Z133">IF(AND(Y133&gt;0,Y133&lt;0.5),"C",IF(AND(Y133&gt;=0.5,Y133&lt;0.73),"B",IF(AND(Y133&gt;=0.73,Y133&lt;0.98),"A",NONE)))</f>
        <v>B</v>
      </c>
      <c r="AA133" s="231" t="str">
        <f>VLOOKUP(G133,'ALL (R)'!$N$5:$R$862,5,FALSE)</f>
        <v>R 1</v>
      </c>
      <c r="AB133" s="232">
        <f>VLOOKUP(AA133,FACTS!$B$2:$L$14,10,FALSE)</f>
        <v>42500</v>
      </c>
      <c r="AC133" s="232">
        <f>VLOOKUP(AA133,FACTS!$B$2:$L$14,11,FALSE)</f>
        <v>47500</v>
      </c>
      <c r="AD133" s="232">
        <f>VLOOKUP(AA133,FACTS!$B$2:$N$14,13,FALSE)</f>
        <v>5000</v>
      </c>
      <c r="AE133" s="232">
        <f t="shared" si="14"/>
        <v>2575</v>
      </c>
      <c r="AF133" s="232">
        <f t="shared" si="15"/>
        <v>45075</v>
      </c>
      <c r="AG133" s="232">
        <f>AF133*FACTS!$T$2</f>
        <v>14874.75</v>
      </c>
      <c r="AH133" s="232">
        <f>Table1[[#This Row],[UNIT (BUILDING) RATE (SEMI FINISHED)]]+4500</f>
        <v>49575</v>
      </c>
      <c r="AI133" s="232">
        <f>Table1[[#This Row],[UNIT (BUILDING) RATE (SEMI FINISHED)]]+7500</f>
        <v>52575</v>
      </c>
      <c r="AJ133" s="232">
        <f t="shared" si="16"/>
        <v>4958250</v>
      </c>
      <c r="AK133" s="232">
        <f>Table1[[#This Row],[UNIT (BUILDING) RATE (BASIC FINISH)]]*Table1[[#This Row],[Unit Selling Area]]</f>
        <v>5453250</v>
      </c>
      <c r="AL133" s="232">
        <f>Table1[[#This Row],[UNIT (BUILDING) RATE (FULLY FINISH)]]*Table1[[#This Row],[Unit Selling Area]]</f>
        <v>5783250</v>
      </c>
      <c r="AM133" s="232">
        <f t="shared" si="17"/>
        <v>0</v>
      </c>
      <c r="AN133" s="232">
        <f>(AM133+AJ133)*FACTS!$S$2</f>
        <v>421451.25000000006</v>
      </c>
      <c r="AO133" s="101">
        <f>VLOOKUP(S133,FACTS!$A$17:$C$23,3,FALSE)</f>
        <v>1</v>
      </c>
      <c r="AP133" s="232">
        <f>VLOOKUP(AA133,FACTS!$B$2:$J$14,9,FALSE)</f>
        <v>200000</v>
      </c>
      <c r="AQ133" s="232">
        <f>Table1[[#This Row],[PARKING VALUE]]*1</f>
        <v>200000</v>
      </c>
      <c r="AR133" s="232">
        <f t="shared" ref="AR133:AR196" si="20">AQ133+AM133+AJ133</f>
        <v>5158250</v>
      </c>
      <c r="AS133" s="440">
        <f>Table1[[#This Row],[TOTAL CARS VALUE]]+Table1[[#This Row],[UNIT (BUILDING) VALUE BASIC FINISHED]]+Table1[[#This Row],[UNIT (GARDEN) VALUE]]</f>
        <v>5653250</v>
      </c>
      <c r="AT133" s="232">
        <f>Table1[[#This Row],[TOTAL CARS VALUE]]+Table1[[#This Row],[UNIT (GARDEN) VALUE]]+Table1[[#This Row],[UNIT (BUILDING) VALUE FULLY FINISHED]]</f>
        <v>5983250</v>
      </c>
      <c r="AU133" s="233">
        <f>VLOOKUP(I133,'C PHASES'!$I$108:$J$110,2,FALSE)</f>
        <v>45839</v>
      </c>
      <c r="AV133" s="233">
        <f>VLOOKUP(AA133,'C PHASES'!$I$113:$J$125,2,FALSE)</f>
        <v>45170</v>
      </c>
    </row>
    <row r="134" spans="1:48" ht="15" customHeight="1" x14ac:dyDescent="0.25">
      <c r="A134" s="235"/>
      <c r="B134" s="227" t="str">
        <f t="shared" ref="B134:B197" si="21">LEFT(C134,1)</f>
        <v>A</v>
      </c>
      <c r="C134" s="227" t="s">
        <v>27</v>
      </c>
      <c r="D134" s="227" t="s">
        <v>1147</v>
      </c>
      <c r="E134" s="228">
        <v>3</v>
      </c>
      <c r="F134" s="101">
        <v>2</v>
      </c>
      <c r="G134" s="87" t="str">
        <f t="shared" si="19"/>
        <v>A632</v>
      </c>
      <c r="H134" s="87" t="s">
        <v>1293</v>
      </c>
      <c r="I134" s="89" t="str">
        <f>VLOOKUP(C134,'PREMIUM TABLES'!$G$107:$H$149,2,FALSE)</f>
        <v>C1</v>
      </c>
      <c r="J134" s="87">
        <v>89.05</v>
      </c>
      <c r="K134" s="87">
        <v>97.615041275982989</v>
      </c>
      <c r="L134" s="87">
        <v>110</v>
      </c>
      <c r="O134" s="87" t="s">
        <v>185</v>
      </c>
      <c r="P134" s="87" t="s">
        <v>190</v>
      </c>
      <c r="Q134" s="229" t="s">
        <v>215</v>
      </c>
      <c r="R134" s="87" t="str">
        <f>VLOOKUP(E134,'PREMIUM TABLES'!$F$214:$G$219,2,FALSE)</f>
        <v>THIRD</v>
      </c>
      <c r="S134" s="87" t="str" cm="1">
        <f t="array" ref="S134">IF(AND(L134&gt;0,L134&lt;90),"A",IF(AND(L134&gt;90,L134&lt;123),"B",IF(AND(L134&gt;122,L134&lt;159),"C",IF(AND(L134&gt;159,L134&lt;185),"D",IF(AND(L134&gt;185,L134&lt;230),"E",IF(AND(L134&gt;230,L134&lt;350),"F",NONE))))))</f>
        <v>B</v>
      </c>
      <c r="T134" s="230">
        <f>VLOOKUP(O134,'PREMIUM TABLES'!$G$165:$H$172,2,FALSE)</f>
        <v>0.06</v>
      </c>
      <c r="U134" s="230">
        <f>VLOOKUP(P134,'PREMIUM TABLES'!$G$208:$H$209,2,FALSE)</f>
        <v>2.5000000000000001E-2</v>
      </c>
      <c r="V134" s="230">
        <f>VLOOKUP(Q134,'PREMIUM TABLES'!$G$175:$H$195,2,FALSE)</f>
        <v>0.2</v>
      </c>
      <c r="W134" s="230">
        <f>VLOOKUP(R134,'PREMIUM TABLES'!$G$214:$H$219,2,FALSE)</f>
        <v>0.15</v>
      </c>
      <c r="X134" s="230">
        <f>VLOOKUP(S134,'PREMIUM TABLES'!$F$199:$H$205,3,FALSE)</f>
        <v>0.04</v>
      </c>
      <c r="Y134" s="231">
        <f t="shared" ref="Y134:Y197" si="22">SUM(T134:X134)</f>
        <v>0.47500000000000003</v>
      </c>
      <c r="Z134" s="231" t="str" cm="1">
        <f t="array" ref="Z134">IF(AND(Y134&gt;0,Y134&lt;0.5),"C",IF(AND(Y134&gt;=0.5,Y134&lt;0.73),"B",IF(AND(Y134&gt;=0.73,Y134&lt;0.98),"A",NONE)))</f>
        <v>C</v>
      </c>
      <c r="AA134" s="231" t="str">
        <f>VLOOKUP(G134,'ALL (R)'!$N$5:$R$862,5,FALSE)</f>
        <v>R 12</v>
      </c>
      <c r="AB134" s="232">
        <f>VLOOKUP(AA134,FACTS!$B$2:$L$14,10,FALSE)</f>
        <v>61625</v>
      </c>
      <c r="AC134" s="232">
        <f>VLOOKUP(AA134,FACTS!$B$2:$L$14,11,FALSE)</f>
        <v>68875</v>
      </c>
      <c r="AD134" s="232">
        <f>VLOOKUP(AA134,FACTS!$B$2:$N$14,13,FALSE)</f>
        <v>7250</v>
      </c>
      <c r="AE134" s="232">
        <f t="shared" ref="AE134:AE197" si="23">AD134*Y134</f>
        <v>3443.7500000000005</v>
      </c>
      <c r="AF134" s="232">
        <f t="shared" ref="AF134:AF197" si="24">AE134+AB134</f>
        <v>65068.75</v>
      </c>
      <c r="AG134" s="232">
        <f>AF134*FACTS!$T$2</f>
        <v>21472.6875</v>
      </c>
      <c r="AH134" s="232">
        <f>Table1[[#This Row],[UNIT (BUILDING) RATE (SEMI FINISHED)]]+4500</f>
        <v>69568.75</v>
      </c>
      <c r="AI134" s="232">
        <f>Table1[[#This Row],[UNIT (BUILDING) RATE (SEMI FINISHED)]]+7500</f>
        <v>72568.75</v>
      </c>
      <c r="AJ134" s="232">
        <f t="shared" ref="AJ134:AJ197" si="25">AF134*L134</f>
        <v>7157562.5</v>
      </c>
      <c r="AK134" s="232">
        <f>Table1[[#This Row],[UNIT (BUILDING) RATE (BASIC FINISH)]]*Table1[[#This Row],[Unit Selling Area]]</f>
        <v>7652562.5</v>
      </c>
      <c r="AL134" s="232">
        <f>Table1[[#This Row],[UNIT (BUILDING) RATE (FULLY FINISH)]]*Table1[[#This Row],[Unit Selling Area]]</f>
        <v>7982562.5</v>
      </c>
      <c r="AM134" s="232">
        <f t="shared" ref="AM134:AM197" si="26">AG134*M134</f>
        <v>0</v>
      </c>
      <c r="AN134" s="232">
        <f>(AM134+AJ134)*FACTS!$S$2</f>
        <v>608392.8125</v>
      </c>
      <c r="AO134" s="101">
        <f>VLOOKUP(S134,FACTS!$A$17:$C$23,3,FALSE)</f>
        <v>1</v>
      </c>
      <c r="AP134" s="232">
        <f>VLOOKUP(AA134,FACTS!$B$2:$J$14,9,FALSE)</f>
        <v>290000</v>
      </c>
      <c r="AQ134" s="232">
        <f>Table1[[#This Row],[PARKING VALUE]]*1</f>
        <v>290000</v>
      </c>
      <c r="AR134" s="232">
        <f t="shared" si="20"/>
        <v>7447562.5</v>
      </c>
      <c r="AS134" s="440">
        <f>Table1[[#This Row],[TOTAL CARS VALUE]]+Table1[[#This Row],[UNIT (BUILDING) VALUE BASIC FINISHED]]+Table1[[#This Row],[UNIT (GARDEN) VALUE]]</f>
        <v>7942562.5</v>
      </c>
      <c r="AT134" s="232">
        <f>Table1[[#This Row],[TOTAL CARS VALUE]]+Table1[[#This Row],[UNIT (GARDEN) VALUE]]+Table1[[#This Row],[UNIT (BUILDING) VALUE FULLY FINISHED]]</f>
        <v>8272562.5</v>
      </c>
      <c r="AU134" s="233">
        <f>VLOOKUP(I134,'C PHASES'!$I$108:$J$110,2,FALSE)</f>
        <v>45839</v>
      </c>
      <c r="AV134" s="233">
        <f>VLOOKUP(AA134,'C PHASES'!$I$113:$J$125,2,FALSE)</f>
        <v>46204</v>
      </c>
    </row>
    <row r="135" spans="1:48" ht="15" customHeight="1" x14ac:dyDescent="0.25">
      <c r="A135" s="235"/>
      <c r="B135" s="227" t="str">
        <f t="shared" si="21"/>
        <v>A</v>
      </c>
      <c r="C135" s="227" t="s">
        <v>27</v>
      </c>
      <c r="D135" s="227" t="s">
        <v>1147</v>
      </c>
      <c r="E135" s="228">
        <v>3</v>
      </c>
      <c r="F135" s="101">
        <v>3</v>
      </c>
      <c r="G135" s="87" t="str">
        <f t="shared" si="19"/>
        <v>A633</v>
      </c>
      <c r="H135" s="87" t="s">
        <v>1293</v>
      </c>
      <c r="I135" s="89" t="str">
        <f>VLOOKUP(C135,'PREMIUM TABLES'!$G$107:$H$149,2,FALSE)</f>
        <v>C1</v>
      </c>
      <c r="J135" s="87">
        <v>97.09</v>
      </c>
      <c r="K135" s="87">
        <v>106.42834764160796</v>
      </c>
      <c r="L135" s="87">
        <v>119</v>
      </c>
      <c r="O135" s="87" t="s">
        <v>185</v>
      </c>
      <c r="P135" s="87" t="s">
        <v>190</v>
      </c>
      <c r="Q135" s="229" t="s">
        <v>216</v>
      </c>
      <c r="R135" s="87" t="str">
        <f>VLOOKUP(E135,'PREMIUM TABLES'!$F$214:$G$219,2,FALSE)</f>
        <v>THIRD</v>
      </c>
      <c r="S135" s="87" t="str" cm="1">
        <f t="array" ref="S135">IF(AND(L135&gt;0,L135&lt;90),"A",IF(AND(L135&gt;90,L135&lt;123),"B",IF(AND(L135&gt;122,L135&lt;159),"C",IF(AND(L135&gt;159,L135&lt;185),"D",IF(AND(L135&gt;185,L135&lt;230),"E",IF(AND(L135&gt;230,L135&lt;350),"F",NONE))))))</f>
        <v>B</v>
      </c>
      <c r="T135" s="230">
        <f>VLOOKUP(O135,'PREMIUM TABLES'!$G$165:$H$172,2,FALSE)</f>
        <v>0.06</v>
      </c>
      <c r="U135" s="230">
        <f>VLOOKUP(P135,'PREMIUM TABLES'!$G$208:$H$209,2,FALSE)</f>
        <v>2.5000000000000001E-2</v>
      </c>
      <c r="V135" s="230">
        <f>VLOOKUP(Q135,'PREMIUM TABLES'!$G$175:$H$195,2,FALSE)</f>
        <v>0.25</v>
      </c>
      <c r="W135" s="230">
        <f>VLOOKUP(R135,'PREMIUM TABLES'!$G$214:$H$219,2,FALSE)</f>
        <v>0.15</v>
      </c>
      <c r="X135" s="230">
        <f>VLOOKUP(S135,'PREMIUM TABLES'!$F$199:$H$205,3,FALSE)</f>
        <v>0.04</v>
      </c>
      <c r="Y135" s="231">
        <f t="shared" si="22"/>
        <v>0.52500000000000002</v>
      </c>
      <c r="Z135" s="231" t="str" cm="1">
        <f t="array" ref="Z135">IF(AND(Y135&gt;0,Y135&lt;0.5),"C",IF(AND(Y135&gt;=0.5,Y135&lt;0.73),"B",IF(AND(Y135&gt;=0.73,Y135&lt;0.98),"A",NONE)))</f>
        <v>B</v>
      </c>
      <c r="AA135" s="231" t="str">
        <f>VLOOKUP(G135,'ALL (R)'!$N$5:$R$862,5,FALSE)</f>
        <v>R 1</v>
      </c>
      <c r="AB135" s="232">
        <f>VLOOKUP(AA135,FACTS!$B$2:$L$14,10,FALSE)</f>
        <v>42500</v>
      </c>
      <c r="AC135" s="232">
        <f>VLOOKUP(AA135,FACTS!$B$2:$L$14,11,FALSE)</f>
        <v>47500</v>
      </c>
      <c r="AD135" s="232">
        <f>VLOOKUP(AA135,FACTS!$B$2:$N$14,13,FALSE)</f>
        <v>5000</v>
      </c>
      <c r="AE135" s="232">
        <f t="shared" si="23"/>
        <v>2625</v>
      </c>
      <c r="AF135" s="232">
        <f t="shared" si="24"/>
        <v>45125</v>
      </c>
      <c r="AG135" s="232">
        <f>AF135*FACTS!$T$2</f>
        <v>14891.25</v>
      </c>
      <c r="AH135" s="232">
        <f>Table1[[#This Row],[UNIT (BUILDING) RATE (SEMI FINISHED)]]+4500</f>
        <v>49625</v>
      </c>
      <c r="AI135" s="232">
        <f>Table1[[#This Row],[UNIT (BUILDING) RATE (SEMI FINISHED)]]+7500</f>
        <v>52625</v>
      </c>
      <c r="AJ135" s="232">
        <f t="shared" si="25"/>
        <v>5369875</v>
      </c>
      <c r="AK135" s="232">
        <f>Table1[[#This Row],[UNIT (BUILDING) RATE (BASIC FINISH)]]*Table1[[#This Row],[Unit Selling Area]]</f>
        <v>5905375</v>
      </c>
      <c r="AL135" s="232">
        <f>Table1[[#This Row],[UNIT (BUILDING) RATE (FULLY FINISH)]]*Table1[[#This Row],[Unit Selling Area]]</f>
        <v>6262375</v>
      </c>
      <c r="AM135" s="232">
        <f t="shared" si="26"/>
        <v>0</v>
      </c>
      <c r="AN135" s="232">
        <f>(AM135+AJ135)*FACTS!$S$2</f>
        <v>456439.37500000006</v>
      </c>
      <c r="AO135" s="101">
        <f>VLOOKUP(S135,FACTS!$A$17:$C$23,3,FALSE)</f>
        <v>1</v>
      </c>
      <c r="AP135" s="232">
        <f>VLOOKUP(AA135,FACTS!$B$2:$J$14,9,FALSE)</f>
        <v>200000</v>
      </c>
      <c r="AQ135" s="232">
        <f>Table1[[#This Row],[PARKING VALUE]]*1</f>
        <v>200000</v>
      </c>
      <c r="AR135" s="232">
        <f t="shared" si="20"/>
        <v>5569875</v>
      </c>
      <c r="AS135" s="440">
        <f>Table1[[#This Row],[TOTAL CARS VALUE]]+Table1[[#This Row],[UNIT (BUILDING) VALUE BASIC FINISHED]]+Table1[[#This Row],[UNIT (GARDEN) VALUE]]</f>
        <v>6105375</v>
      </c>
      <c r="AT135" s="232">
        <f>Table1[[#This Row],[TOTAL CARS VALUE]]+Table1[[#This Row],[UNIT (GARDEN) VALUE]]+Table1[[#This Row],[UNIT (BUILDING) VALUE FULLY FINISHED]]</f>
        <v>6462375</v>
      </c>
      <c r="AU135" s="233">
        <f>VLOOKUP(I135,'C PHASES'!$I$108:$J$110,2,FALSE)</f>
        <v>45839</v>
      </c>
      <c r="AV135" s="233">
        <f>VLOOKUP(AA135,'C PHASES'!$I$113:$J$125,2,FALSE)</f>
        <v>45170</v>
      </c>
    </row>
    <row r="136" spans="1:48" ht="15" customHeight="1" x14ac:dyDescent="0.25">
      <c r="A136" s="235"/>
      <c r="B136" s="227" t="str">
        <f t="shared" si="21"/>
        <v>A</v>
      </c>
      <c r="C136" s="227" t="s">
        <v>27</v>
      </c>
      <c r="D136" s="227" t="s">
        <v>1147</v>
      </c>
      <c r="E136" s="228">
        <v>3</v>
      </c>
      <c r="F136" s="101">
        <v>4</v>
      </c>
      <c r="G136" s="87" t="str">
        <f t="shared" si="19"/>
        <v>A634</v>
      </c>
      <c r="H136" s="87" t="s">
        <v>1293</v>
      </c>
      <c r="I136" s="89" t="str">
        <f>VLOOKUP(C136,'PREMIUM TABLES'!$G$107:$H$149,2,FALSE)</f>
        <v>C1</v>
      </c>
      <c r="J136" s="87">
        <v>97.09</v>
      </c>
      <c r="K136" s="87">
        <v>106.42834764160796</v>
      </c>
      <c r="L136" s="87">
        <v>119</v>
      </c>
      <c r="O136" s="87" t="s">
        <v>184</v>
      </c>
      <c r="P136" s="87" t="s">
        <v>190</v>
      </c>
      <c r="Q136" s="229" t="s">
        <v>198</v>
      </c>
      <c r="R136" s="87" t="str">
        <f>VLOOKUP(E136,'PREMIUM TABLES'!$F$214:$G$219,2,FALSE)</f>
        <v>THIRD</v>
      </c>
      <c r="S136" s="87" t="str" cm="1">
        <f t="array" ref="S136">IF(AND(L136&gt;0,L136&lt;90),"A",IF(AND(L136&gt;90,L136&lt;123),"B",IF(AND(L136&gt;122,L136&lt;159),"C",IF(AND(L136&gt;159,L136&lt;185),"D",IF(AND(L136&gt;185,L136&lt;230),"E",IF(AND(L136&gt;230,L136&lt;350),"F",NONE))))))</f>
        <v>B</v>
      </c>
      <c r="T136" s="230">
        <f>VLOOKUP(O136,'PREMIUM TABLES'!$G$165:$H$172,2,FALSE)</f>
        <v>0.15</v>
      </c>
      <c r="U136" s="230">
        <f>VLOOKUP(P136,'PREMIUM TABLES'!$G$208:$H$209,2,FALSE)</f>
        <v>2.5000000000000001E-2</v>
      </c>
      <c r="V136" s="230">
        <f>VLOOKUP(Q136,'PREMIUM TABLES'!$G$175:$H$195,2,FALSE)</f>
        <v>0.15</v>
      </c>
      <c r="W136" s="230">
        <f>VLOOKUP(R136,'PREMIUM TABLES'!$G$214:$H$219,2,FALSE)</f>
        <v>0.15</v>
      </c>
      <c r="X136" s="230">
        <f>VLOOKUP(S136,'PREMIUM TABLES'!$F$199:$H$205,3,FALSE)</f>
        <v>0.04</v>
      </c>
      <c r="Y136" s="231">
        <f t="shared" si="22"/>
        <v>0.51500000000000001</v>
      </c>
      <c r="Z136" s="231" t="str" cm="1">
        <f t="array" ref="Z136">IF(AND(Y136&gt;0,Y136&lt;0.5),"C",IF(AND(Y136&gt;=0.5,Y136&lt;0.73),"B",IF(AND(Y136&gt;=0.73,Y136&lt;0.98),"A",NONE)))</f>
        <v>B</v>
      </c>
      <c r="AA136" s="231" t="str">
        <f>VLOOKUP(G136,'ALL (R)'!$N$5:$R$862,5,FALSE)</f>
        <v>R 1</v>
      </c>
      <c r="AB136" s="232">
        <f>VLOOKUP(AA136,FACTS!$B$2:$L$14,10,FALSE)</f>
        <v>42500</v>
      </c>
      <c r="AC136" s="232">
        <f>VLOOKUP(AA136,FACTS!$B$2:$L$14,11,FALSE)</f>
        <v>47500</v>
      </c>
      <c r="AD136" s="232">
        <f>VLOOKUP(AA136,FACTS!$B$2:$N$14,13,FALSE)</f>
        <v>5000</v>
      </c>
      <c r="AE136" s="232">
        <f t="shared" si="23"/>
        <v>2575</v>
      </c>
      <c r="AF136" s="232">
        <f t="shared" si="24"/>
        <v>45075</v>
      </c>
      <c r="AG136" s="232">
        <f>AF136*FACTS!$T$2</f>
        <v>14874.75</v>
      </c>
      <c r="AH136" s="232">
        <f>Table1[[#This Row],[UNIT (BUILDING) RATE (SEMI FINISHED)]]+4500</f>
        <v>49575</v>
      </c>
      <c r="AI136" s="232">
        <f>Table1[[#This Row],[UNIT (BUILDING) RATE (SEMI FINISHED)]]+7500</f>
        <v>52575</v>
      </c>
      <c r="AJ136" s="232">
        <f t="shared" si="25"/>
        <v>5363925</v>
      </c>
      <c r="AK136" s="232">
        <f>Table1[[#This Row],[UNIT (BUILDING) RATE (BASIC FINISH)]]*Table1[[#This Row],[Unit Selling Area]]</f>
        <v>5899425</v>
      </c>
      <c r="AL136" s="232">
        <f>Table1[[#This Row],[UNIT (BUILDING) RATE (FULLY FINISH)]]*Table1[[#This Row],[Unit Selling Area]]</f>
        <v>6256425</v>
      </c>
      <c r="AM136" s="232">
        <f t="shared" si="26"/>
        <v>0</v>
      </c>
      <c r="AN136" s="232">
        <f>(AM136+AJ136)*FACTS!$S$2</f>
        <v>455933.62500000006</v>
      </c>
      <c r="AO136" s="101">
        <f>VLOOKUP(S136,FACTS!$A$17:$C$23,3,FALSE)</f>
        <v>1</v>
      </c>
      <c r="AP136" s="232">
        <f>VLOOKUP(AA136,FACTS!$B$2:$J$14,9,FALSE)</f>
        <v>200000</v>
      </c>
      <c r="AQ136" s="232">
        <f>Table1[[#This Row],[PARKING VALUE]]*1</f>
        <v>200000</v>
      </c>
      <c r="AR136" s="232">
        <f t="shared" si="20"/>
        <v>5563925</v>
      </c>
      <c r="AS136" s="440">
        <f>Table1[[#This Row],[TOTAL CARS VALUE]]+Table1[[#This Row],[UNIT (BUILDING) VALUE BASIC FINISHED]]+Table1[[#This Row],[UNIT (GARDEN) VALUE]]</f>
        <v>6099425</v>
      </c>
      <c r="AT136" s="232">
        <f>Table1[[#This Row],[TOTAL CARS VALUE]]+Table1[[#This Row],[UNIT (GARDEN) VALUE]]+Table1[[#This Row],[UNIT (BUILDING) VALUE FULLY FINISHED]]</f>
        <v>6456425</v>
      </c>
      <c r="AU136" s="233">
        <f>VLOOKUP(I136,'C PHASES'!$I$108:$J$110,2,FALSE)</f>
        <v>45839</v>
      </c>
      <c r="AV136" s="233">
        <f>VLOOKUP(AA136,'C PHASES'!$I$113:$J$125,2,FALSE)</f>
        <v>45170</v>
      </c>
    </row>
    <row r="137" spans="1:48" ht="15" customHeight="1" x14ac:dyDescent="0.25">
      <c r="A137" s="235"/>
      <c r="B137" s="227" t="str">
        <f t="shared" si="21"/>
        <v>A</v>
      </c>
      <c r="C137" s="227" t="s">
        <v>27</v>
      </c>
      <c r="D137" s="227" t="s">
        <v>1147</v>
      </c>
      <c r="E137" s="228">
        <v>4</v>
      </c>
      <c r="F137" s="101">
        <v>1</v>
      </c>
      <c r="G137" s="87" t="str">
        <f t="shared" si="19"/>
        <v>A641</v>
      </c>
      <c r="H137" s="87" t="s">
        <v>1293</v>
      </c>
      <c r="I137" s="89" t="str">
        <f>VLOOKUP(C137,'PREMIUM TABLES'!$G$107:$H$149,2,FALSE)</f>
        <v>C1</v>
      </c>
      <c r="J137" s="87">
        <v>89.12</v>
      </c>
      <c r="K137" s="87">
        <v>97.691774042847882</v>
      </c>
      <c r="L137" s="87">
        <v>110</v>
      </c>
      <c r="O137" s="87" t="s">
        <v>184</v>
      </c>
      <c r="P137" s="87" t="s">
        <v>190</v>
      </c>
      <c r="Q137" s="229" t="s">
        <v>198</v>
      </c>
      <c r="R137" s="87" t="str">
        <f>VLOOKUP(E137,'PREMIUM TABLES'!$F$214:$G$219,2,FALSE)</f>
        <v>FORTH</v>
      </c>
      <c r="S137" s="87" t="str" cm="1">
        <f t="array" ref="S137">IF(AND(L137&gt;0,L137&lt;90),"A",IF(AND(L137&gt;90,L137&lt;123),"B",IF(AND(L137&gt;122,L137&lt;159),"C",IF(AND(L137&gt;159,L137&lt;185),"D",IF(AND(L137&gt;185,L137&lt;230),"E",IF(AND(L137&gt;230,L137&lt;350),"F",NONE))))))</f>
        <v>B</v>
      </c>
      <c r="T137" s="230">
        <f>VLOOKUP(O137,'PREMIUM TABLES'!$G$165:$H$172,2,FALSE)</f>
        <v>0.15</v>
      </c>
      <c r="U137" s="230">
        <f>VLOOKUP(P137,'PREMIUM TABLES'!$G$208:$H$209,2,FALSE)</f>
        <v>2.5000000000000001E-2</v>
      </c>
      <c r="V137" s="230">
        <f>VLOOKUP(Q137,'PREMIUM TABLES'!$G$175:$H$195,2,FALSE)</f>
        <v>0.15</v>
      </c>
      <c r="W137" s="230">
        <f>VLOOKUP(R137,'PREMIUM TABLES'!$G$214:$H$219,2,FALSE)</f>
        <v>0.06</v>
      </c>
      <c r="X137" s="230">
        <f>VLOOKUP(S137,'PREMIUM TABLES'!$F$199:$H$205,3,FALSE)</f>
        <v>0.04</v>
      </c>
      <c r="Y137" s="231">
        <f t="shared" si="22"/>
        <v>0.42499999999999993</v>
      </c>
      <c r="Z137" s="231" t="str" cm="1">
        <f t="array" ref="Z137">IF(AND(Y137&gt;0,Y137&lt;0.5),"C",IF(AND(Y137&gt;=0.5,Y137&lt;0.73),"B",IF(AND(Y137&gt;=0.73,Y137&lt;0.98),"A",NONE)))</f>
        <v>C</v>
      </c>
      <c r="AA137" s="231" t="str">
        <f>VLOOKUP(G137,'ALL (R)'!$N$5:$R$862,5,FALSE)</f>
        <v>R 7</v>
      </c>
      <c r="AB137" s="232">
        <f>VLOOKUP(AA137,FACTS!$B$2:$L$14,10,FALSE)</f>
        <v>50150</v>
      </c>
      <c r="AC137" s="232">
        <f>VLOOKUP(AA137,FACTS!$B$2:$L$14,11,FALSE)</f>
        <v>56050</v>
      </c>
      <c r="AD137" s="232">
        <f>VLOOKUP(AA137,FACTS!$B$2:$N$14,13,FALSE)</f>
        <v>5900</v>
      </c>
      <c r="AE137" s="232">
        <f t="shared" si="23"/>
        <v>2507.4999999999995</v>
      </c>
      <c r="AF137" s="232">
        <f t="shared" si="24"/>
        <v>52657.5</v>
      </c>
      <c r="AG137" s="232">
        <f>AF137*FACTS!$T$2</f>
        <v>17376.975000000002</v>
      </c>
      <c r="AH137" s="232">
        <f>Table1[[#This Row],[UNIT (BUILDING) RATE (SEMI FINISHED)]]+4500</f>
        <v>57157.5</v>
      </c>
      <c r="AI137" s="232">
        <f>Table1[[#This Row],[UNIT (BUILDING) RATE (SEMI FINISHED)]]+7500</f>
        <v>60157.5</v>
      </c>
      <c r="AJ137" s="232">
        <f t="shared" si="25"/>
        <v>5792325</v>
      </c>
      <c r="AK137" s="232">
        <f>Table1[[#This Row],[UNIT (BUILDING) RATE (BASIC FINISH)]]*Table1[[#This Row],[Unit Selling Area]]</f>
        <v>6287325</v>
      </c>
      <c r="AL137" s="232">
        <f>Table1[[#This Row],[UNIT (BUILDING) RATE (FULLY FINISH)]]*Table1[[#This Row],[Unit Selling Area]]</f>
        <v>6617325</v>
      </c>
      <c r="AM137" s="232">
        <f t="shared" si="26"/>
        <v>0</v>
      </c>
      <c r="AN137" s="232">
        <f>(AM137+AJ137)*FACTS!$S$2</f>
        <v>492347.62500000006</v>
      </c>
      <c r="AO137" s="101">
        <f>VLOOKUP(S137,FACTS!$A$17:$C$23,3,FALSE)</f>
        <v>1</v>
      </c>
      <c r="AP137" s="232">
        <f>VLOOKUP(AA137,FACTS!$B$2:$J$14,9,FALSE)</f>
        <v>236000</v>
      </c>
      <c r="AQ137" s="232">
        <f>Table1[[#This Row],[PARKING VALUE]]*1</f>
        <v>236000</v>
      </c>
      <c r="AR137" s="232">
        <f t="shared" si="20"/>
        <v>6028325</v>
      </c>
      <c r="AS137" s="440">
        <f>Table1[[#This Row],[TOTAL CARS VALUE]]+Table1[[#This Row],[UNIT (BUILDING) VALUE BASIC FINISHED]]+Table1[[#This Row],[UNIT (GARDEN) VALUE]]</f>
        <v>6523325</v>
      </c>
      <c r="AT137" s="232">
        <f>Table1[[#This Row],[TOTAL CARS VALUE]]+Table1[[#This Row],[UNIT (GARDEN) VALUE]]+Table1[[#This Row],[UNIT (BUILDING) VALUE FULLY FINISHED]]</f>
        <v>6853325</v>
      </c>
      <c r="AU137" s="233">
        <f>VLOOKUP(I137,'C PHASES'!$I$108:$J$110,2,FALSE)</f>
        <v>45839</v>
      </c>
      <c r="AV137" s="233">
        <f>VLOOKUP(AA137,'C PHASES'!$I$113:$J$125,2,FALSE)</f>
        <v>45748</v>
      </c>
    </row>
    <row r="138" spans="1:48" ht="15" customHeight="1" x14ac:dyDescent="0.25">
      <c r="A138" s="235"/>
      <c r="B138" s="227" t="str">
        <f t="shared" si="21"/>
        <v>A</v>
      </c>
      <c r="C138" s="227" t="s">
        <v>27</v>
      </c>
      <c r="D138" s="227" t="s">
        <v>1147</v>
      </c>
      <c r="E138" s="228">
        <v>4</v>
      </c>
      <c r="F138" s="101">
        <v>2</v>
      </c>
      <c r="G138" s="87" t="str">
        <f t="shared" si="19"/>
        <v>A642</v>
      </c>
      <c r="H138" s="87" t="s">
        <v>1293</v>
      </c>
      <c r="I138" s="89" t="str">
        <f>VLOOKUP(C138,'PREMIUM TABLES'!$G$107:$H$149,2,FALSE)</f>
        <v>C1</v>
      </c>
      <c r="J138" s="87">
        <v>90.52</v>
      </c>
      <c r="K138" s="87">
        <v>99.22642938014576</v>
      </c>
      <c r="L138" s="87">
        <v>111</v>
      </c>
      <c r="O138" s="87" t="s">
        <v>185</v>
      </c>
      <c r="P138" s="87" t="s">
        <v>190</v>
      </c>
      <c r="Q138" s="229" t="s">
        <v>215</v>
      </c>
      <c r="R138" s="87" t="str">
        <f>VLOOKUP(E138,'PREMIUM TABLES'!$F$214:$G$219,2,FALSE)</f>
        <v>FORTH</v>
      </c>
      <c r="S138" s="87" t="str" cm="1">
        <f t="array" ref="S138">IF(AND(L138&gt;0,L138&lt;90),"A",IF(AND(L138&gt;90,L138&lt;123),"B",IF(AND(L138&gt;122,L138&lt;159),"C",IF(AND(L138&gt;159,L138&lt;185),"D",IF(AND(L138&gt;185,L138&lt;230),"E",IF(AND(L138&gt;230,L138&lt;350),"F",NONE))))))</f>
        <v>B</v>
      </c>
      <c r="T138" s="230">
        <f>VLOOKUP(O138,'PREMIUM TABLES'!$G$165:$H$172,2,FALSE)</f>
        <v>0.06</v>
      </c>
      <c r="U138" s="230">
        <f>VLOOKUP(P138,'PREMIUM TABLES'!$G$208:$H$209,2,FALSE)</f>
        <v>2.5000000000000001E-2</v>
      </c>
      <c r="V138" s="230">
        <f>VLOOKUP(Q138,'PREMIUM TABLES'!$G$175:$H$195,2,FALSE)</f>
        <v>0.2</v>
      </c>
      <c r="W138" s="230">
        <f>VLOOKUP(R138,'PREMIUM TABLES'!$G$214:$H$219,2,FALSE)</f>
        <v>0.06</v>
      </c>
      <c r="X138" s="230">
        <f>VLOOKUP(S138,'PREMIUM TABLES'!$F$199:$H$205,3,FALSE)</f>
        <v>0.04</v>
      </c>
      <c r="Y138" s="231">
        <f t="shared" si="22"/>
        <v>0.38500000000000001</v>
      </c>
      <c r="Z138" s="231" t="str" cm="1">
        <f t="array" ref="Z138">IF(AND(Y138&gt;0,Y138&lt;0.5),"C",IF(AND(Y138&gt;=0.5,Y138&lt;0.73),"B",IF(AND(Y138&gt;=0.73,Y138&lt;0.98),"A",NONE)))</f>
        <v>C</v>
      </c>
      <c r="AA138" s="231" t="str">
        <f>VLOOKUP(G138,'ALL (R)'!$N$5:$R$862,5,FALSE)</f>
        <v>R 3</v>
      </c>
      <c r="AB138" s="232">
        <f>VLOOKUP(AA138,FACTS!$B$2:$L$14,10,FALSE)</f>
        <v>44625</v>
      </c>
      <c r="AC138" s="232">
        <f>VLOOKUP(AA138,FACTS!$B$2:$L$14,11,FALSE)</f>
        <v>49875</v>
      </c>
      <c r="AD138" s="232">
        <f>VLOOKUP(AA138,FACTS!$B$2:$N$14,13,FALSE)</f>
        <v>5250</v>
      </c>
      <c r="AE138" s="232">
        <f t="shared" si="23"/>
        <v>2021.25</v>
      </c>
      <c r="AF138" s="232">
        <f t="shared" si="24"/>
        <v>46646.25</v>
      </c>
      <c r="AG138" s="232">
        <f>AF138*FACTS!$T$2</f>
        <v>15393.262500000001</v>
      </c>
      <c r="AH138" s="232">
        <f>Table1[[#This Row],[UNIT (BUILDING) RATE (SEMI FINISHED)]]+4500</f>
        <v>51146.25</v>
      </c>
      <c r="AI138" s="232">
        <f>Table1[[#This Row],[UNIT (BUILDING) RATE (SEMI FINISHED)]]+7500</f>
        <v>54146.25</v>
      </c>
      <c r="AJ138" s="232">
        <f t="shared" si="25"/>
        <v>5177733.75</v>
      </c>
      <c r="AK138" s="232">
        <f>Table1[[#This Row],[UNIT (BUILDING) RATE (BASIC FINISH)]]*Table1[[#This Row],[Unit Selling Area]]</f>
        <v>5677233.75</v>
      </c>
      <c r="AL138" s="232">
        <f>Table1[[#This Row],[UNIT (BUILDING) RATE (FULLY FINISH)]]*Table1[[#This Row],[Unit Selling Area]]</f>
        <v>6010233.75</v>
      </c>
      <c r="AM138" s="232">
        <f t="shared" si="26"/>
        <v>0</v>
      </c>
      <c r="AN138" s="232">
        <f>(AM138+AJ138)*FACTS!$S$2</f>
        <v>440107.36875000002</v>
      </c>
      <c r="AO138" s="101">
        <f>VLOOKUP(S138,FACTS!$A$17:$C$23,3,FALSE)</f>
        <v>1</v>
      </c>
      <c r="AP138" s="232">
        <f>VLOOKUP(AA138,FACTS!$B$2:$J$14,9,FALSE)</f>
        <v>210000</v>
      </c>
      <c r="AQ138" s="232">
        <f>Table1[[#This Row],[PARKING VALUE]]*1</f>
        <v>210000</v>
      </c>
      <c r="AR138" s="232">
        <f t="shared" si="20"/>
        <v>5387733.75</v>
      </c>
      <c r="AS138" s="440">
        <f>Table1[[#This Row],[TOTAL CARS VALUE]]+Table1[[#This Row],[UNIT (BUILDING) VALUE BASIC FINISHED]]+Table1[[#This Row],[UNIT (GARDEN) VALUE]]</f>
        <v>5887233.75</v>
      </c>
      <c r="AT138" s="232">
        <f>Table1[[#This Row],[TOTAL CARS VALUE]]+Table1[[#This Row],[UNIT (GARDEN) VALUE]]+Table1[[#This Row],[UNIT (BUILDING) VALUE FULLY FINISHED]]</f>
        <v>6220233.75</v>
      </c>
      <c r="AU138" s="233">
        <f>VLOOKUP(I138,'C PHASES'!$I$108:$J$110,2,FALSE)</f>
        <v>45839</v>
      </c>
      <c r="AV138" s="233">
        <f>VLOOKUP(AA138,'C PHASES'!$I$113:$J$125,2,FALSE)</f>
        <v>45383</v>
      </c>
    </row>
    <row r="139" spans="1:48" ht="15" customHeight="1" x14ac:dyDescent="0.25">
      <c r="A139" s="235"/>
      <c r="B139" s="227" t="str">
        <f t="shared" si="21"/>
        <v>A</v>
      </c>
      <c r="C139" s="227" t="s">
        <v>27</v>
      </c>
      <c r="D139" s="227" t="s">
        <v>1147</v>
      </c>
      <c r="E139" s="228">
        <v>4</v>
      </c>
      <c r="F139" s="101">
        <v>3</v>
      </c>
      <c r="G139" s="87" t="str">
        <f t="shared" si="19"/>
        <v>A643</v>
      </c>
      <c r="H139" s="87" t="s">
        <v>1293</v>
      </c>
      <c r="I139" s="89" t="str">
        <f>VLOOKUP(C139,'PREMIUM TABLES'!$G$107:$H$149,2,FALSE)</f>
        <v>C1</v>
      </c>
      <c r="J139" s="87">
        <v>98.57</v>
      </c>
      <c r="K139" s="87">
        <v>108.05069756960856</v>
      </c>
      <c r="L139" s="87">
        <v>121</v>
      </c>
      <c r="O139" s="87" t="s">
        <v>185</v>
      </c>
      <c r="P139" s="87" t="s">
        <v>190</v>
      </c>
      <c r="Q139" s="229" t="s">
        <v>216</v>
      </c>
      <c r="R139" s="87" t="str">
        <f>VLOOKUP(E139,'PREMIUM TABLES'!$F$214:$G$219,2,FALSE)</f>
        <v>FORTH</v>
      </c>
      <c r="S139" s="87" t="str" cm="1">
        <f t="array" ref="S139">IF(AND(L139&gt;0,L139&lt;90),"A",IF(AND(L139&gt;90,L139&lt;123),"B",IF(AND(L139&gt;122,L139&lt;159),"C",IF(AND(L139&gt;159,L139&lt;185),"D",IF(AND(L139&gt;185,L139&lt;230),"E",IF(AND(L139&gt;230,L139&lt;350),"F",NONE))))))</f>
        <v>B</v>
      </c>
      <c r="T139" s="230">
        <f>VLOOKUP(O139,'PREMIUM TABLES'!$G$165:$H$172,2,FALSE)</f>
        <v>0.06</v>
      </c>
      <c r="U139" s="230">
        <f>VLOOKUP(P139,'PREMIUM TABLES'!$G$208:$H$209,2,FALSE)</f>
        <v>2.5000000000000001E-2</v>
      </c>
      <c r="V139" s="230">
        <f>VLOOKUP(Q139,'PREMIUM TABLES'!$G$175:$H$195,2,FALSE)</f>
        <v>0.25</v>
      </c>
      <c r="W139" s="230">
        <f>VLOOKUP(R139,'PREMIUM TABLES'!$G$214:$H$219,2,FALSE)</f>
        <v>0.06</v>
      </c>
      <c r="X139" s="230">
        <f>VLOOKUP(S139,'PREMIUM TABLES'!$F$199:$H$205,3,FALSE)</f>
        <v>0.04</v>
      </c>
      <c r="Y139" s="231">
        <f t="shared" si="22"/>
        <v>0.43499999999999994</v>
      </c>
      <c r="Z139" s="231" t="str" cm="1">
        <f t="array" ref="Z139">IF(AND(Y139&gt;0,Y139&lt;0.5),"C",IF(AND(Y139&gt;=0.5,Y139&lt;0.73),"B",IF(AND(Y139&gt;=0.73,Y139&lt;0.98),"A",NONE)))</f>
        <v>C</v>
      </c>
      <c r="AA139" s="231" t="str">
        <f>VLOOKUP(G139,'ALL (R)'!$N$5:$R$862,5,FALSE)</f>
        <v>R 8</v>
      </c>
      <c r="AB139" s="232">
        <f>VLOOKUP(AA139,FACTS!$B$2:$L$14,10,FALSE)</f>
        <v>51850</v>
      </c>
      <c r="AC139" s="232">
        <f>VLOOKUP(AA139,FACTS!$B$2:$L$14,11,FALSE)</f>
        <v>57950</v>
      </c>
      <c r="AD139" s="232">
        <f>VLOOKUP(AA139,FACTS!$B$2:$N$14,13,FALSE)</f>
        <v>6100</v>
      </c>
      <c r="AE139" s="232">
        <f t="shared" si="23"/>
        <v>2653.4999999999995</v>
      </c>
      <c r="AF139" s="232">
        <f t="shared" si="24"/>
        <v>54503.5</v>
      </c>
      <c r="AG139" s="232">
        <f>AF139*FACTS!$T$2</f>
        <v>17986.155000000002</v>
      </c>
      <c r="AH139" s="232">
        <f>Table1[[#This Row],[UNIT (BUILDING) RATE (SEMI FINISHED)]]+4500</f>
        <v>59003.5</v>
      </c>
      <c r="AI139" s="232">
        <f>Table1[[#This Row],[UNIT (BUILDING) RATE (SEMI FINISHED)]]+7500</f>
        <v>62003.5</v>
      </c>
      <c r="AJ139" s="232">
        <f t="shared" si="25"/>
        <v>6594923.5</v>
      </c>
      <c r="AK139" s="232">
        <f>Table1[[#This Row],[UNIT (BUILDING) RATE (BASIC FINISH)]]*Table1[[#This Row],[Unit Selling Area]]</f>
        <v>7139423.5</v>
      </c>
      <c r="AL139" s="232">
        <f>Table1[[#This Row],[UNIT (BUILDING) RATE (FULLY FINISH)]]*Table1[[#This Row],[Unit Selling Area]]</f>
        <v>7502423.5</v>
      </c>
      <c r="AM139" s="232">
        <f t="shared" si="26"/>
        <v>0</v>
      </c>
      <c r="AN139" s="232">
        <f>(AM139+AJ139)*FACTS!$S$2</f>
        <v>560568.49750000006</v>
      </c>
      <c r="AO139" s="101">
        <f>VLOOKUP(S139,FACTS!$A$17:$C$23,3,FALSE)</f>
        <v>1</v>
      </c>
      <c r="AP139" s="232">
        <f>VLOOKUP(AA139,FACTS!$B$2:$J$14,9,FALSE)</f>
        <v>244000</v>
      </c>
      <c r="AQ139" s="232">
        <f>Table1[[#This Row],[PARKING VALUE]]*1</f>
        <v>244000</v>
      </c>
      <c r="AR139" s="232">
        <f t="shared" si="20"/>
        <v>6838923.5</v>
      </c>
      <c r="AS139" s="440">
        <f>Table1[[#This Row],[TOTAL CARS VALUE]]+Table1[[#This Row],[UNIT (BUILDING) VALUE BASIC FINISHED]]+Table1[[#This Row],[UNIT (GARDEN) VALUE]]</f>
        <v>7383423.5</v>
      </c>
      <c r="AT139" s="232">
        <f>Table1[[#This Row],[TOTAL CARS VALUE]]+Table1[[#This Row],[UNIT (GARDEN) VALUE]]+Table1[[#This Row],[UNIT (BUILDING) VALUE FULLY FINISHED]]</f>
        <v>7746423.5</v>
      </c>
      <c r="AU139" s="233">
        <f>VLOOKUP(I139,'C PHASES'!$I$108:$J$110,2,FALSE)</f>
        <v>45839</v>
      </c>
      <c r="AV139" s="233">
        <f>VLOOKUP(AA139,'C PHASES'!$I$113:$J$125,2,FALSE)</f>
        <v>45839</v>
      </c>
    </row>
    <row r="140" spans="1:48" ht="15" customHeight="1" x14ac:dyDescent="0.25">
      <c r="A140" s="235"/>
      <c r="B140" s="227" t="str">
        <f t="shared" si="21"/>
        <v>A</v>
      </c>
      <c r="C140" s="227" t="s">
        <v>27</v>
      </c>
      <c r="D140" s="227" t="s">
        <v>1147</v>
      </c>
      <c r="E140" s="228">
        <v>4</v>
      </c>
      <c r="F140" s="101">
        <v>4</v>
      </c>
      <c r="G140" s="87" t="str">
        <f t="shared" si="19"/>
        <v>A644</v>
      </c>
      <c r="H140" s="87" t="s">
        <v>1293</v>
      </c>
      <c r="I140" s="89" t="str">
        <f>VLOOKUP(C140,'PREMIUM TABLES'!$G$107:$H$149,2,FALSE)</f>
        <v>C1</v>
      </c>
      <c r="J140" s="87">
        <v>97.17</v>
      </c>
      <c r="K140" s="87">
        <v>106.5160422323107</v>
      </c>
      <c r="L140" s="87">
        <v>120</v>
      </c>
      <c r="O140" s="87" t="s">
        <v>184</v>
      </c>
      <c r="P140" s="87" t="s">
        <v>190</v>
      </c>
      <c r="Q140" s="229" t="s">
        <v>198</v>
      </c>
      <c r="R140" s="87" t="str">
        <f>VLOOKUP(E140,'PREMIUM TABLES'!$F$214:$G$219,2,FALSE)</f>
        <v>FORTH</v>
      </c>
      <c r="S140" s="87" t="str" cm="1">
        <f t="array" ref="S140">IF(AND(L140&gt;0,L140&lt;90),"A",IF(AND(L140&gt;90,L140&lt;123),"B",IF(AND(L140&gt;122,L140&lt;159),"C",IF(AND(L140&gt;159,L140&lt;185),"D",IF(AND(L140&gt;185,L140&lt;230),"E",IF(AND(L140&gt;230,L140&lt;350),"F",NONE))))))</f>
        <v>B</v>
      </c>
      <c r="T140" s="230">
        <f>VLOOKUP(O140,'PREMIUM TABLES'!$G$165:$H$172,2,FALSE)</f>
        <v>0.15</v>
      </c>
      <c r="U140" s="230">
        <f>VLOOKUP(P140,'PREMIUM TABLES'!$G$208:$H$209,2,FALSE)</f>
        <v>2.5000000000000001E-2</v>
      </c>
      <c r="V140" s="230">
        <f>VLOOKUP(Q140,'PREMIUM TABLES'!$G$175:$H$195,2,FALSE)</f>
        <v>0.15</v>
      </c>
      <c r="W140" s="230">
        <f>VLOOKUP(R140,'PREMIUM TABLES'!$G$214:$H$219,2,FALSE)</f>
        <v>0.06</v>
      </c>
      <c r="X140" s="230">
        <f>VLOOKUP(S140,'PREMIUM TABLES'!$F$199:$H$205,3,FALSE)</f>
        <v>0.04</v>
      </c>
      <c r="Y140" s="231">
        <f t="shared" si="22"/>
        <v>0.42499999999999993</v>
      </c>
      <c r="Z140" s="231" t="str" cm="1">
        <f t="array" ref="Z140">IF(AND(Y140&gt;0,Y140&lt;0.5),"C",IF(AND(Y140&gt;=0.5,Y140&lt;0.73),"B",IF(AND(Y140&gt;=0.73,Y140&lt;0.98),"A",NONE)))</f>
        <v>C</v>
      </c>
      <c r="AA140" s="231" t="str">
        <f>VLOOKUP(G140,'ALL (R)'!$N$5:$R$862,5,FALSE)</f>
        <v>R 7</v>
      </c>
      <c r="AB140" s="232">
        <f>VLOOKUP(AA140,FACTS!$B$2:$L$14,10,FALSE)</f>
        <v>50150</v>
      </c>
      <c r="AC140" s="232">
        <f>VLOOKUP(AA140,FACTS!$B$2:$L$14,11,FALSE)</f>
        <v>56050</v>
      </c>
      <c r="AD140" s="232">
        <f>VLOOKUP(AA140,FACTS!$B$2:$N$14,13,FALSE)</f>
        <v>5900</v>
      </c>
      <c r="AE140" s="232">
        <f t="shared" si="23"/>
        <v>2507.4999999999995</v>
      </c>
      <c r="AF140" s="232">
        <f t="shared" si="24"/>
        <v>52657.5</v>
      </c>
      <c r="AG140" s="232">
        <f>AF140*FACTS!$T$2</f>
        <v>17376.975000000002</v>
      </c>
      <c r="AH140" s="232">
        <f>Table1[[#This Row],[UNIT (BUILDING) RATE (SEMI FINISHED)]]+4500</f>
        <v>57157.5</v>
      </c>
      <c r="AI140" s="232">
        <f>Table1[[#This Row],[UNIT (BUILDING) RATE (SEMI FINISHED)]]+7500</f>
        <v>60157.5</v>
      </c>
      <c r="AJ140" s="232">
        <f t="shared" si="25"/>
        <v>6318900</v>
      </c>
      <c r="AK140" s="232">
        <f>Table1[[#This Row],[UNIT (BUILDING) RATE (BASIC FINISH)]]*Table1[[#This Row],[Unit Selling Area]]</f>
        <v>6858900</v>
      </c>
      <c r="AL140" s="232">
        <f>Table1[[#This Row],[UNIT (BUILDING) RATE (FULLY FINISH)]]*Table1[[#This Row],[Unit Selling Area]]</f>
        <v>7218900</v>
      </c>
      <c r="AM140" s="232">
        <f t="shared" si="26"/>
        <v>0</v>
      </c>
      <c r="AN140" s="232">
        <f>(AM140+AJ140)*FACTS!$S$2</f>
        <v>537106.5</v>
      </c>
      <c r="AO140" s="101">
        <f>VLOOKUP(S140,FACTS!$A$17:$C$23,3,FALSE)</f>
        <v>1</v>
      </c>
      <c r="AP140" s="232">
        <f>VLOOKUP(AA140,FACTS!$B$2:$J$14,9,FALSE)</f>
        <v>236000</v>
      </c>
      <c r="AQ140" s="232">
        <f>Table1[[#This Row],[PARKING VALUE]]*1</f>
        <v>236000</v>
      </c>
      <c r="AR140" s="232">
        <f t="shared" si="20"/>
        <v>6554900</v>
      </c>
      <c r="AS140" s="440">
        <f>Table1[[#This Row],[TOTAL CARS VALUE]]+Table1[[#This Row],[UNIT (BUILDING) VALUE BASIC FINISHED]]+Table1[[#This Row],[UNIT (GARDEN) VALUE]]</f>
        <v>7094900</v>
      </c>
      <c r="AT140" s="232">
        <f>Table1[[#This Row],[TOTAL CARS VALUE]]+Table1[[#This Row],[UNIT (GARDEN) VALUE]]+Table1[[#This Row],[UNIT (BUILDING) VALUE FULLY FINISHED]]</f>
        <v>7454900</v>
      </c>
      <c r="AU140" s="233">
        <f>VLOOKUP(I140,'C PHASES'!$I$108:$J$110,2,FALSE)</f>
        <v>45839</v>
      </c>
      <c r="AV140" s="233">
        <f>VLOOKUP(AA140,'C PHASES'!$I$113:$J$125,2,FALSE)</f>
        <v>45748</v>
      </c>
    </row>
    <row r="141" spans="1:48" ht="15" customHeight="1" x14ac:dyDescent="0.25">
      <c r="A141" s="235" t="s">
        <v>24</v>
      </c>
      <c r="B141" s="227" t="str">
        <f t="shared" si="21"/>
        <v>A</v>
      </c>
      <c r="C141" s="227" t="s">
        <v>28</v>
      </c>
      <c r="D141" s="227" t="s">
        <v>1147</v>
      </c>
      <c r="E141" s="228">
        <v>0</v>
      </c>
      <c r="F141" s="101">
        <v>1</v>
      </c>
      <c r="G141" s="87" t="str">
        <f>LEFT(C141,2)&amp;E141&amp;F141</f>
        <v>A701</v>
      </c>
      <c r="H141" s="87" t="s">
        <v>1293</v>
      </c>
      <c r="I141" s="89" t="str">
        <f>VLOOKUP(C141,'PREMIUM TABLES'!$G$107:$H$149,2,FALSE)</f>
        <v>C1</v>
      </c>
      <c r="J141" s="87">
        <v>98.17</v>
      </c>
      <c r="K141" s="87">
        <v>107.61045029101562</v>
      </c>
      <c r="L141" s="87">
        <v>121</v>
      </c>
      <c r="M141" s="87">
        <v>31.597899999999999</v>
      </c>
      <c r="O141" s="87" t="s">
        <v>184</v>
      </c>
      <c r="P141" s="87" t="s">
        <v>190</v>
      </c>
      <c r="Q141" s="229" t="s">
        <v>198</v>
      </c>
      <c r="R141" s="87" t="str">
        <f>VLOOKUP(E141,'PREMIUM TABLES'!$F$214:$G$219,2,FALSE)</f>
        <v>GROUND</v>
      </c>
      <c r="S141" s="87" t="str" cm="1">
        <f t="array" ref="S141">IF(AND(L141&gt;0,L141&lt;90),"A",IF(AND(L141&gt;90,L141&lt;123),"B",IF(AND(L141&gt;122,L141&lt;159),"C",IF(AND(L141&gt;159,L141&lt;185),"D",IF(AND(L141&gt;185,L141&lt;230),"E",IF(AND(L141&gt;230,L141&lt;350),"F",NONE))))))</f>
        <v>B</v>
      </c>
      <c r="T141" s="230">
        <f>VLOOKUP(O141,'PREMIUM TABLES'!$G$165:$H$172,2,FALSE)</f>
        <v>0.15</v>
      </c>
      <c r="U141" s="230">
        <f>VLOOKUP(P141,'PREMIUM TABLES'!$G$208:$H$209,2,FALSE)</f>
        <v>2.5000000000000001E-2</v>
      </c>
      <c r="V141" s="230">
        <f>VLOOKUP(Q141,'PREMIUM TABLES'!$G$175:$H$195,2,FALSE)</f>
        <v>0.15</v>
      </c>
      <c r="W141" s="230">
        <f>VLOOKUP(R141,'PREMIUM TABLES'!$G$214:$H$219,2,FALSE)</f>
        <v>0.05</v>
      </c>
      <c r="X141" s="230">
        <f>VLOOKUP(S141,'PREMIUM TABLES'!$F$199:$H$205,3,FALSE)</f>
        <v>0.04</v>
      </c>
      <c r="Y141" s="231">
        <f t="shared" si="22"/>
        <v>0.41499999999999992</v>
      </c>
      <c r="Z141" s="231" t="str" cm="1">
        <f t="array" ref="Z141">IF(AND(Y141&gt;0,Y141&lt;0.5),"C",IF(AND(Y141&gt;=0.5,Y141&lt;0.73),"B",IF(AND(Y141&gt;=0.73,Y141&lt;0.98),"A",NONE)))</f>
        <v>C</v>
      </c>
      <c r="AA141" s="231" t="str">
        <f>VLOOKUP(G141,'ALL (R)'!$N$5:$R$862,5,FALSE)</f>
        <v>R 6</v>
      </c>
      <c r="AB141" s="232">
        <f>VLOOKUP(AA141,FACTS!$B$2:$L$14,10,FALSE)</f>
        <v>48450.000000000007</v>
      </c>
      <c r="AC141" s="232">
        <f>VLOOKUP(AA141,FACTS!$B$2:$L$14,11,FALSE)</f>
        <v>54150.000000000007</v>
      </c>
      <c r="AD141" s="232">
        <f>VLOOKUP(AA141,FACTS!$B$2:$N$14,13,FALSE)</f>
        <v>5700</v>
      </c>
      <c r="AE141" s="232">
        <f t="shared" si="23"/>
        <v>2365.4999999999995</v>
      </c>
      <c r="AF141" s="232">
        <f t="shared" si="24"/>
        <v>50815.500000000007</v>
      </c>
      <c r="AG141" s="232">
        <f>AF141*FACTS!$T$2</f>
        <v>16769.115000000002</v>
      </c>
      <c r="AH141" s="232">
        <f>Table1[[#This Row],[UNIT (BUILDING) RATE (SEMI FINISHED)]]+4500</f>
        <v>55315.500000000007</v>
      </c>
      <c r="AI141" s="232">
        <f>Table1[[#This Row],[UNIT (BUILDING) RATE (SEMI FINISHED)]]+7500</f>
        <v>58315.500000000007</v>
      </c>
      <c r="AJ141" s="232">
        <f t="shared" si="25"/>
        <v>6148675.5000000009</v>
      </c>
      <c r="AK141" s="232">
        <f>Table1[[#This Row],[UNIT (BUILDING) RATE (BASIC FINISH)]]*Table1[[#This Row],[Unit Selling Area]]</f>
        <v>6693175.5000000009</v>
      </c>
      <c r="AL141" s="232">
        <f>Table1[[#This Row],[UNIT (BUILDING) RATE (FULLY FINISH)]]*Table1[[#This Row],[Unit Selling Area]]</f>
        <v>7056175.5000000009</v>
      </c>
      <c r="AM141" s="232">
        <f t="shared" si="26"/>
        <v>529868.81885849999</v>
      </c>
      <c r="AN141" s="232">
        <f>(AM141+AJ141)*FACTS!$S$2</f>
        <v>567676.2671029726</v>
      </c>
      <c r="AO141" s="101">
        <f>VLOOKUP(S141,FACTS!$A$17:$C$23,3,FALSE)</f>
        <v>1</v>
      </c>
      <c r="AP141" s="232">
        <f>VLOOKUP(AA141,FACTS!$B$2:$J$14,9,FALSE)</f>
        <v>228000.00000000003</v>
      </c>
      <c r="AQ141" s="232">
        <f>Table1[[#This Row],[PARKING VALUE]]*1</f>
        <v>228000.00000000003</v>
      </c>
      <c r="AR141" s="232">
        <f t="shared" si="20"/>
        <v>6906544.3188585006</v>
      </c>
      <c r="AS141" s="440">
        <f>Table1[[#This Row],[TOTAL CARS VALUE]]+Table1[[#This Row],[UNIT (BUILDING) VALUE BASIC FINISHED]]+Table1[[#This Row],[UNIT (GARDEN) VALUE]]</f>
        <v>7451044.3188585006</v>
      </c>
      <c r="AT141" s="232">
        <f>Table1[[#This Row],[TOTAL CARS VALUE]]+Table1[[#This Row],[UNIT (GARDEN) VALUE]]+Table1[[#This Row],[UNIT (BUILDING) VALUE FULLY FINISHED]]</f>
        <v>7814044.3188585006</v>
      </c>
      <c r="AU141" s="233">
        <f>VLOOKUP(I141,'C PHASES'!$I$108:$J$110,2,FALSE)</f>
        <v>45839</v>
      </c>
      <c r="AV141" s="233">
        <f>VLOOKUP(AA141,'C PHASES'!$I$113:$J$125,2,FALSE)</f>
        <v>45658</v>
      </c>
    </row>
    <row r="142" spans="1:48" ht="15" customHeight="1" x14ac:dyDescent="0.25">
      <c r="A142" s="235"/>
      <c r="B142" s="227" t="str">
        <f t="shared" si="21"/>
        <v>A</v>
      </c>
      <c r="C142" s="227" t="s">
        <v>28</v>
      </c>
      <c r="D142" s="227" t="s">
        <v>1147</v>
      </c>
      <c r="E142" s="228">
        <v>0</v>
      </c>
      <c r="F142" s="101">
        <v>2</v>
      </c>
      <c r="G142" s="87" t="str">
        <f t="shared" ref="G142:G160" si="27">LEFT(C142,2)&amp;E142&amp;F142</f>
        <v>A702</v>
      </c>
      <c r="H142" s="87" t="s">
        <v>1293</v>
      </c>
      <c r="I142" s="89" t="str">
        <f>VLOOKUP(C142,'PREMIUM TABLES'!$G$107:$H$149,2,FALSE)</f>
        <v>C1</v>
      </c>
      <c r="J142" s="87">
        <v>97.98</v>
      </c>
      <c r="K142" s="87">
        <v>107.40217907215759</v>
      </c>
      <c r="L142" s="87">
        <v>121</v>
      </c>
      <c r="M142" s="87">
        <v>50.705300000000001</v>
      </c>
      <c r="O142" s="87" t="s">
        <v>185</v>
      </c>
      <c r="P142" s="87" t="s">
        <v>190</v>
      </c>
      <c r="Q142" s="229" t="s">
        <v>214</v>
      </c>
      <c r="R142" s="87" t="str">
        <f>VLOOKUP(E142,'PREMIUM TABLES'!$F$214:$G$219,2,FALSE)</f>
        <v>GROUND</v>
      </c>
      <c r="S142" s="87" t="str" cm="1">
        <f t="array" ref="S142">IF(AND(L142&gt;0,L142&lt;90),"A",IF(AND(L142&gt;90,L142&lt;123),"B",IF(AND(L142&gt;122,L142&lt;159),"C",IF(AND(L142&gt;159,L142&lt;185),"D",IF(AND(L142&gt;185,L142&lt;230),"E",IF(AND(L142&gt;230,L142&lt;350),"F",NONE))))))</f>
        <v>B</v>
      </c>
      <c r="T142" s="230">
        <f>VLOOKUP(O142,'PREMIUM TABLES'!$G$165:$H$172,2,FALSE)</f>
        <v>0.06</v>
      </c>
      <c r="U142" s="230">
        <f>VLOOKUP(P142,'PREMIUM TABLES'!$G$208:$H$209,2,FALSE)</f>
        <v>2.5000000000000001E-2</v>
      </c>
      <c r="V142" s="230">
        <f>VLOOKUP(Q142,'PREMIUM TABLES'!$G$175:$H$195,2,FALSE)</f>
        <v>0.4</v>
      </c>
      <c r="W142" s="230">
        <f>VLOOKUP(R142,'PREMIUM TABLES'!$G$214:$H$219,2,FALSE)</f>
        <v>0.05</v>
      </c>
      <c r="X142" s="230">
        <f>VLOOKUP(S142,'PREMIUM TABLES'!$F$199:$H$205,3,FALSE)</f>
        <v>0.04</v>
      </c>
      <c r="Y142" s="231">
        <f t="shared" si="22"/>
        <v>0.57500000000000007</v>
      </c>
      <c r="Z142" s="231" t="str" cm="1">
        <f t="array" ref="Z142">IF(AND(Y142&gt;0,Y142&lt;0.5),"C",IF(AND(Y142&gt;=0.5,Y142&lt;0.73),"B",IF(AND(Y142&gt;=0.73,Y142&lt;0.98),"A",NONE)))</f>
        <v>B</v>
      </c>
      <c r="AA142" s="231" t="str">
        <f>VLOOKUP(G142,'ALL (R)'!$N$5:$R$862,5,FALSE)</f>
        <v>R 1</v>
      </c>
      <c r="AB142" s="232">
        <f>VLOOKUP(AA142,FACTS!$B$2:$L$14,10,FALSE)</f>
        <v>42500</v>
      </c>
      <c r="AC142" s="232">
        <f>VLOOKUP(AA142,FACTS!$B$2:$L$14,11,FALSE)</f>
        <v>47500</v>
      </c>
      <c r="AD142" s="232">
        <f>VLOOKUP(AA142,FACTS!$B$2:$N$14,13,FALSE)</f>
        <v>5000</v>
      </c>
      <c r="AE142" s="232">
        <f t="shared" si="23"/>
        <v>2875.0000000000005</v>
      </c>
      <c r="AF142" s="232">
        <f t="shared" si="24"/>
        <v>45375</v>
      </c>
      <c r="AG142" s="232">
        <f>AF142*FACTS!$T$2</f>
        <v>14973.75</v>
      </c>
      <c r="AH142" s="232">
        <f>Table1[[#This Row],[UNIT (BUILDING) RATE (SEMI FINISHED)]]+4500</f>
        <v>49875</v>
      </c>
      <c r="AI142" s="232">
        <f>Table1[[#This Row],[UNIT (BUILDING) RATE (SEMI FINISHED)]]+7500</f>
        <v>52875</v>
      </c>
      <c r="AJ142" s="232">
        <f t="shared" si="25"/>
        <v>5490375</v>
      </c>
      <c r="AK142" s="232">
        <f>Table1[[#This Row],[UNIT (BUILDING) RATE (BASIC FINISH)]]*Table1[[#This Row],[Unit Selling Area]]</f>
        <v>6034875</v>
      </c>
      <c r="AL142" s="232">
        <f>Table1[[#This Row],[UNIT (BUILDING) RATE (FULLY FINISH)]]*Table1[[#This Row],[Unit Selling Area]]</f>
        <v>6397875</v>
      </c>
      <c r="AM142" s="232">
        <f t="shared" si="26"/>
        <v>759248.48587500001</v>
      </c>
      <c r="AN142" s="232">
        <f>(AM142+AJ142)*FACTS!$S$2</f>
        <v>531217.99629937508</v>
      </c>
      <c r="AO142" s="101">
        <f>VLOOKUP(S142,FACTS!$A$17:$C$23,3,FALSE)</f>
        <v>1</v>
      </c>
      <c r="AP142" s="232">
        <f>VLOOKUP(AA142,FACTS!$B$2:$J$14,9,FALSE)</f>
        <v>200000</v>
      </c>
      <c r="AQ142" s="232">
        <f>Table1[[#This Row],[PARKING VALUE]]*1</f>
        <v>200000</v>
      </c>
      <c r="AR142" s="232">
        <f t="shared" si="20"/>
        <v>6449623.4858750002</v>
      </c>
      <c r="AS142" s="440">
        <f>Table1[[#This Row],[TOTAL CARS VALUE]]+Table1[[#This Row],[UNIT (BUILDING) VALUE BASIC FINISHED]]+Table1[[#This Row],[UNIT (GARDEN) VALUE]]</f>
        <v>6994123.4858750002</v>
      </c>
      <c r="AT142" s="232">
        <f>Table1[[#This Row],[TOTAL CARS VALUE]]+Table1[[#This Row],[UNIT (GARDEN) VALUE]]+Table1[[#This Row],[UNIT (BUILDING) VALUE FULLY FINISHED]]</f>
        <v>7357123.4858750002</v>
      </c>
      <c r="AU142" s="233">
        <f>VLOOKUP(I142,'C PHASES'!$I$108:$J$110,2,FALSE)</f>
        <v>45839</v>
      </c>
      <c r="AV142" s="233">
        <f>VLOOKUP(AA142,'C PHASES'!$I$113:$J$125,2,FALSE)</f>
        <v>45170</v>
      </c>
    </row>
    <row r="143" spans="1:48" ht="15" customHeight="1" x14ac:dyDescent="0.25">
      <c r="A143" s="235"/>
      <c r="B143" s="227" t="str">
        <f t="shared" si="21"/>
        <v>A</v>
      </c>
      <c r="C143" s="227" t="s">
        <v>28</v>
      </c>
      <c r="D143" s="227" t="s">
        <v>1147</v>
      </c>
      <c r="E143" s="228">
        <v>0</v>
      </c>
      <c r="F143" s="101">
        <v>3</v>
      </c>
      <c r="G143" s="87" t="str">
        <f t="shared" si="27"/>
        <v>A703</v>
      </c>
      <c r="H143" s="87" t="s">
        <v>1293</v>
      </c>
      <c r="I143" s="89" t="str">
        <f>VLOOKUP(C143,'PREMIUM TABLES'!$G$107:$H$149,2,FALSE)</f>
        <v>C1</v>
      </c>
      <c r="J143" s="87">
        <v>89.96</v>
      </c>
      <c r="K143" s="87">
        <v>98.610941307729092</v>
      </c>
      <c r="L143" s="87">
        <v>111</v>
      </c>
      <c r="M143" s="87">
        <v>50.503900000000002</v>
      </c>
      <c r="O143" s="87" t="s">
        <v>185</v>
      </c>
      <c r="P143" s="87" t="s">
        <v>190</v>
      </c>
      <c r="Q143" s="229" t="s">
        <v>214</v>
      </c>
      <c r="R143" s="87" t="str">
        <f>VLOOKUP(E143,'PREMIUM TABLES'!$F$214:$G$219,2,FALSE)</f>
        <v>GROUND</v>
      </c>
      <c r="S143" s="87" t="str" cm="1">
        <f t="array" ref="S143">IF(AND(L143&gt;0,L143&lt;90),"A",IF(AND(L143&gt;90,L143&lt;123),"B",IF(AND(L143&gt;122,L143&lt;159),"C",IF(AND(L143&gt;159,L143&lt;185),"D",IF(AND(L143&gt;185,L143&lt;230),"E",IF(AND(L143&gt;230,L143&lt;350),"F",NONE))))))</f>
        <v>B</v>
      </c>
      <c r="T143" s="230">
        <f>VLOOKUP(O143,'PREMIUM TABLES'!$G$165:$H$172,2,FALSE)</f>
        <v>0.06</v>
      </c>
      <c r="U143" s="230">
        <f>VLOOKUP(P143,'PREMIUM TABLES'!$G$208:$H$209,2,FALSE)</f>
        <v>2.5000000000000001E-2</v>
      </c>
      <c r="V143" s="230">
        <f>VLOOKUP(Q143,'PREMIUM TABLES'!$G$175:$H$195,2,FALSE)</f>
        <v>0.4</v>
      </c>
      <c r="W143" s="230">
        <f>VLOOKUP(R143,'PREMIUM TABLES'!$G$214:$H$219,2,FALSE)</f>
        <v>0.05</v>
      </c>
      <c r="X143" s="230">
        <f>VLOOKUP(S143,'PREMIUM TABLES'!$F$199:$H$205,3,FALSE)</f>
        <v>0.04</v>
      </c>
      <c r="Y143" s="231">
        <f t="shared" si="22"/>
        <v>0.57500000000000007</v>
      </c>
      <c r="Z143" s="231" t="str" cm="1">
        <f t="array" ref="Z143">IF(AND(Y143&gt;0,Y143&lt;0.5),"C",IF(AND(Y143&gt;=0.5,Y143&lt;0.73),"B",IF(AND(Y143&gt;=0.73,Y143&lt;0.98),"A",NONE)))</f>
        <v>B</v>
      </c>
      <c r="AA143" s="231" t="str">
        <f>VLOOKUP(G143,'ALL (R)'!$N$5:$R$862,5,FALSE)</f>
        <v>R 1</v>
      </c>
      <c r="AB143" s="232">
        <f>VLOOKUP(AA143,FACTS!$B$2:$L$14,10,FALSE)</f>
        <v>42500</v>
      </c>
      <c r="AC143" s="232">
        <f>VLOOKUP(AA143,FACTS!$B$2:$L$14,11,FALSE)</f>
        <v>47500</v>
      </c>
      <c r="AD143" s="232">
        <f>VLOOKUP(AA143,FACTS!$B$2:$N$14,13,FALSE)</f>
        <v>5000</v>
      </c>
      <c r="AE143" s="232">
        <f t="shared" si="23"/>
        <v>2875.0000000000005</v>
      </c>
      <c r="AF143" s="232">
        <f t="shared" si="24"/>
        <v>45375</v>
      </c>
      <c r="AG143" s="232">
        <f>AF143*FACTS!$T$2</f>
        <v>14973.75</v>
      </c>
      <c r="AH143" s="232">
        <f>Table1[[#This Row],[UNIT (BUILDING) RATE (SEMI FINISHED)]]+4500</f>
        <v>49875</v>
      </c>
      <c r="AI143" s="232">
        <f>Table1[[#This Row],[UNIT (BUILDING) RATE (SEMI FINISHED)]]+7500</f>
        <v>52875</v>
      </c>
      <c r="AJ143" s="232">
        <f t="shared" si="25"/>
        <v>5036625</v>
      </c>
      <c r="AK143" s="232">
        <f>Table1[[#This Row],[UNIT (BUILDING) RATE (BASIC FINISH)]]*Table1[[#This Row],[Unit Selling Area]]</f>
        <v>5536125</v>
      </c>
      <c r="AL143" s="232">
        <f>Table1[[#This Row],[UNIT (BUILDING) RATE (FULLY FINISH)]]*Table1[[#This Row],[Unit Selling Area]]</f>
        <v>5869125</v>
      </c>
      <c r="AM143" s="232">
        <f t="shared" si="26"/>
        <v>756232.77262499998</v>
      </c>
      <c r="AN143" s="232">
        <f>(AM143+AJ143)*FACTS!$S$2</f>
        <v>492392.91067312506</v>
      </c>
      <c r="AO143" s="101">
        <f>VLOOKUP(S143,FACTS!$A$17:$C$23,3,FALSE)</f>
        <v>1</v>
      </c>
      <c r="AP143" s="232">
        <f>VLOOKUP(AA143,FACTS!$B$2:$J$14,9,FALSE)</f>
        <v>200000</v>
      </c>
      <c r="AQ143" s="232">
        <f>Table1[[#This Row],[PARKING VALUE]]*1</f>
        <v>200000</v>
      </c>
      <c r="AR143" s="232">
        <f t="shared" si="20"/>
        <v>5992857.7726250002</v>
      </c>
      <c r="AS143" s="440">
        <f>Table1[[#This Row],[TOTAL CARS VALUE]]+Table1[[#This Row],[UNIT (BUILDING) VALUE BASIC FINISHED]]+Table1[[#This Row],[UNIT (GARDEN) VALUE]]</f>
        <v>6492357.7726250002</v>
      </c>
      <c r="AT143" s="232">
        <f>Table1[[#This Row],[TOTAL CARS VALUE]]+Table1[[#This Row],[UNIT (GARDEN) VALUE]]+Table1[[#This Row],[UNIT (BUILDING) VALUE FULLY FINISHED]]</f>
        <v>6825357.7726250002</v>
      </c>
      <c r="AU143" s="233">
        <f>VLOOKUP(I143,'C PHASES'!$I$108:$J$110,2,FALSE)</f>
        <v>45839</v>
      </c>
      <c r="AV143" s="233">
        <f>VLOOKUP(AA143,'C PHASES'!$I$113:$J$125,2,FALSE)</f>
        <v>45170</v>
      </c>
    </row>
    <row r="144" spans="1:48" ht="15" customHeight="1" x14ac:dyDescent="0.25">
      <c r="A144" s="235"/>
      <c r="B144" s="227" t="str">
        <f t="shared" si="21"/>
        <v>A</v>
      </c>
      <c r="C144" s="227" t="s">
        <v>28</v>
      </c>
      <c r="D144" s="227" t="s">
        <v>1147</v>
      </c>
      <c r="E144" s="228">
        <v>0</v>
      </c>
      <c r="F144" s="101">
        <v>4</v>
      </c>
      <c r="G144" s="87" t="str">
        <f t="shared" si="27"/>
        <v>A704</v>
      </c>
      <c r="H144" s="87" t="s">
        <v>1296</v>
      </c>
      <c r="I144" s="89" t="str">
        <f>VLOOKUP(C144,'PREMIUM TABLES'!$G$107:$H$149,2,FALSE)</f>
        <v>C1</v>
      </c>
      <c r="J144" s="87">
        <v>60.98</v>
      </c>
      <c r="K144" s="87">
        <v>66.844099610330375</v>
      </c>
      <c r="L144" s="87">
        <v>75</v>
      </c>
      <c r="M144" s="87">
        <v>23.799600000000002</v>
      </c>
      <c r="O144" s="87" t="s">
        <v>184</v>
      </c>
      <c r="P144" s="87" t="s">
        <v>190</v>
      </c>
      <c r="Q144" s="229" t="s">
        <v>198</v>
      </c>
      <c r="R144" s="87" t="str">
        <f>VLOOKUP(E144,'PREMIUM TABLES'!$F$214:$G$219,2,FALSE)</f>
        <v>GROUND</v>
      </c>
      <c r="S144" s="87" t="str" cm="1">
        <f t="array" ref="S144">IF(AND(L144&gt;0,L144&lt;90),"A",IF(AND(L144&gt;90,L144&lt;123),"B",IF(AND(L144&gt;122,L144&lt;159),"C",IF(AND(L144&gt;159,L144&lt;185),"D",IF(AND(L144&gt;185,L144&lt;230),"E",IF(AND(L144&gt;230,L144&lt;350),"F",NONE))))))</f>
        <v>A</v>
      </c>
      <c r="T144" s="230">
        <f>VLOOKUP(O144,'PREMIUM TABLES'!$G$165:$H$172,2,FALSE)</f>
        <v>0.15</v>
      </c>
      <c r="U144" s="230">
        <f>VLOOKUP(P144,'PREMIUM TABLES'!$G$208:$H$209,2,FALSE)</f>
        <v>2.5000000000000001E-2</v>
      </c>
      <c r="V144" s="230">
        <f>VLOOKUP(Q144,'PREMIUM TABLES'!$G$175:$H$195,2,FALSE)</f>
        <v>0.15</v>
      </c>
      <c r="W144" s="230">
        <f>VLOOKUP(R144,'PREMIUM TABLES'!$G$214:$H$219,2,FALSE)</f>
        <v>0.05</v>
      </c>
      <c r="X144" s="230">
        <f>VLOOKUP(S144,'PREMIUM TABLES'!$F$199:$H$205,3,FALSE)</f>
        <v>0.05</v>
      </c>
      <c r="Y144" s="231">
        <f t="shared" si="22"/>
        <v>0.42499999999999993</v>
      </c>
      <c r="Z144" s="231" t="str" cm="1">
        <f t="array" ref="Z144">IF(AND(Y144&gt;0,Y144&lt;0.5),"C",IF(AND(Y144&gt;=0.5,Y144&lt;0.73),"B",IF(AND(Y144&gt;=0.73,Y144&lt;0.98),"A",NONE)))</f>
        <v>C</v>
      </c>
      <c r="AA144" s="231" t="str">
        <f>VLOOKUP(G144,'ALL (R)'!$N$5:$R$862,5,FALSE)</f>
        <v>R 8</v>
      </c>
      <c r="AB144" s="232">
        <f>VLOOKUP(AA144,FACTS!$B$2:$L$14,10,FALSE)</f>
        <v>51850</v>
      </c>
      <c r="AC144" s="232">
        <f>VLOOKUP(AA144,FACTS!$B$2:$L$14,11,FALSE)</f>
        <v>57950</v>
      </c>
      <c r="AD144" s="232">
        <f>VLOOKUP(AA144,FACTS!$B$2:$N$14,13,FALSE)</f>
        <v>6100</v>
      </c>
      <c r="AE144" s="232">
        <f t="shared" si="23"/>
        <v>2592.4999999999995</v>
      </c>
      <c r="AF144" s="232">
        <f t="shared" si="24"/>
        <v>54442.5</v>
      </c>
      <c r="AG144" s="232">
        <f>AF144*FACTS!$T$2</f>
        <v>17966.025000000001</v>
      </c>
      <c r="AH144" s="232">
        <f>Table1[[#This Row],[UNIT (BUILDING) RATE (SEMI FINISHED)]]+4500</f>
        <v>58942.5</v>
      </c>
      <c r="AI144" s="232">
        <f>Table1[[#This Row],[UNIT (BUILDING) RATE (SEMI FINISHED)]]+7500</f>
        <v>61942.5</v>
      </c>
      <c r="AJ144" s="232">
        <f t="shared" si="25"/>
        <v>4083187.5</v>
      </c>
      <c r="AK144" s="232">
        <f>Table1[[#This Row],[UNIT (BUILDING) RATE (BASIC FINISH)]]*Table1[[#This Row],[Unit Selling Area]]</f>
        <v>4420687.5</v>
      </c>
      <c r="AL144" s="232">
        <f>Table1[[#This Row],[UNIT (BUILDING) RATE (FULLY FINISH)]]*Table1[[#This Row],[Unit Selling Area]]</f>
        <v>4645687.5</v>
      </c>
      <c r="AM144" s="232">
        <f t="shared" si="26"/>
        <v>427584.20859000005</v>
      </c>
      <c r="AN144" s="232">
        <f>(AM144+AJ144)*FACTS!$S$2</f>
        <v>383415.59523015004</v>
      </c>
      <c r="AO144" s="101">
        <f>VLOOKUP(S144,FACTS!$A$17:$C$23,3,FALSE)</f>
        <v>1</v>
      </c>
      <c r="AP144" s="232">
        <f>VLOOKUP(AA144,FACTS!$B$2:$J$14,9,FALSE)</f>
        <v>244000</v>
      </c>
      <c r="AQ144" s="232">
        <f>Table1[[#This Row],[PARKING VALUE]]*1</f>
        <v>244000</v>
      </c>
      <c r="AR144" s="232">
        <f t="shared" si="20"/>
        <v>4754771.7085899999</v>
      </c>
      <c r="AS144" s="440">
        <f>Table1[[#This Row],[TOTAL CARS VALUE]]+Table1[[#This Row],[UNIT (BUILDING) VALUE BASIC FINISHED]]+Table1[[#This Row],[UNIT (GARDEN) VALUE]]</f>
        <v>5092271.7085899999</v>
      </c>
      <c r="AT144" s="232">
        <f>Table1[[#This Row],[TOTAL CARS VALUE]]+Table1[[#This Row],[UNIT (GARDEN) VALUE]]+Table1[[#This Row],[UNIT (BUILDING) VALUE FULLY FINISHED]]</f>
        <v>5317271.7085899999</v>
      </c>
      <c r="AU144" s="233">
        <f>VLOOKUP(I144,'C PHASES'!$I$108:$J$110,2,FALSE)</f>
        <v>45839</v>
      </c>
      <c r="AV144" s="233">
        <f>VLOOKUP(AA144,'C PHASES'!$I$113:$J$125,2,FALSE)</f>
        <v>45839</v>
      </c>
    </row>
    <row r="145" spans="1:48" ht="15" customHeight="1" x14ac:dyDescent="0.25">
      <c r="A145" s="235"/>
      <c r="B145" s="227" t="str">
        <f t="shared" si="21"/>
        <v>A</v>
      </c>
      <c r="C145" s="227" t="s">
        <v>28</v>
      </c>
      <c r="D145" s="227" t="s">
        <v>1147</v>
      </c>
      <c r="E145" s="228">
        <v>1</v>
      </c>
      <c r="F145" s="101">
        <v>1</v>
      </c>
      <c r="G145" s="87" t="str">
        <f t="shared" si="27"/>
        <v>A711</v>
      </c>
      <c r="H145" s="87" t="s">
        <v>1293</v>
      </c>
      <c r="I145" s="89" t="str">
        <f>VLOOKUP(C145,'PREMIUM TABLES'!$G$107:$H$149,2,FALSE)</f>
        <v>C1</v>
      </c>
      <c r="J145" s="87">
        <v>97.09</v>
      </c>
      <c r="K145" s="87">
        <v>106.42659283645419</v>
      </c>
      <c r="L145" s="87">
        <v>119</v>
      </c>
      <c r="O145" s="87" t="s">
        <v>184</v>
      </c>
      <c r="P145" s="87" t="s">
        <v>190</v>
      </c>
      <c r="Q145" s="229" t="s">
        <v>198</v>
      </c>
      <c r="R145" s="87" t="str">
        <f>VLOOKUP(E145,'PREMIUM TABLES'!$F$214:$G$219,2,FALSE)</f>
        <v>FIRST</v>
      </c>
      <c r="S145" s="87" t="str" cm="1">
        <f t="array" ref="S145">IF(AND(L145&gt;0,L145&lt;90),"A",IF(AND(L145&gt;90,L145&lt;123),"B",IF(AND(L145&gt;122,L145&lt;159),"C",IF(AND(L145&gt;159,L145&lt;185),"D",IF(AND(L145&gt;185,L145&lt;230),"E",IF(AND(L145&gt;230,L145&lt;350),"F",NONE))))))</f>
        <v>B</v>
      </c>
      <c r="T145" s="230">
        <f>VLOOKUP(O145,'PREMIUM TABLES'!$G$165:$H$172,2,FALSE)</f>
        <v>0.15</v>
      </c>
      <c r="U145" s="230">
        <f>VLOOKUP(P145,'PREMIUM TABLES'!$G$208:$H$209,2,FALSE)</f>
        <v>2.5000000000000001E-2</v>
      </c>
      <c r="V145" s="230">
        <f>VLOOKUP(Q145,'PREMIUM TABLES'!$G$175:$H$195,2,FALSE)</f>
        <v>0.15</v>
      </c>
      <c r="W145" s="230">
        <f>VLOOKUP(R145,'PREMIUM TABLES'!$G$214:$H$219,2,FALSE)</f>
        <v>7.0000000000000007E-2</v>
      </c>
      <c r="X145" s="230">
        <f>VLOOKUP(S145,'PREMIUM TABLES'!$F$199:$H$205,3,FALSE)</f>
        <v>0.04</v>
      </c>
      <c r="Y145" s="231">
        <f t="shared" si="22"/>
        <v>0.43499999999999994</v>
      </c>
      <c r="Z145" s="231" t="str" cm="1">
        <f t="array" ref="Z145">IF(AND(Y145&gt;0,Y145&lt;0.5),"C",IF(AND(Y145&gt;=0.5,Y145&lt;0.73),"B",IF(AND(Y145&gt;=0.73,Y145&lt;0.98),"A",NONE)))</f>
        <v>C</v>
      </c>
      <c r="AA145" s="231" t="str">
        <f>VLOOKUP(G145,'ALL (R)'!$N$5:$R$862,5,FALSE)</f>
        <v>R 8</v>
      </c>
      <c r="AB145" s="232">
        <f>VLOOKUP(AA145,FACTS!$B$2:$L$14,10,FALSE)</f>
        <v>51850</v>
      </c>
      <c r="AC145" s="232">
        <f>VLOOKUP(AA145,FACTS!$B$2:$L$14,11,FALSE)</f>
        <v>57950</v>
      </c>
      <c r="AD145" s="232">
        <f>VLOOKUP(AA145,FACTS!$B$2:$N$14,13,FALSE)</f>
        <v>6100</v>
      </c>
      <c r="AE145" s="232">
        <f t="shared" si="23"/>
        <v>2653.4999999999995</v>
      </c>
      <c r="AF145" s="232">
        <f t="shared" si="24"/>
        <v>54503.5</v>
      </c>
      <c r="AG145" s="232">
        <f>AF145*FACTS!$T$2</f>
        <v>17986.155000000002</v>
      </c>
      <c r="AH145" s="232">
        <f>Table1[[#This Row],[UNIT (BUILDING) RATE (SEMI FINISHED)]]+4500</f>
        <v>59003.5</v>
      </c>
      <c r="AI145" s="232">
        <f>Table1[[#This Row],[UNIT (BUILDING) RATE (SEMI FINISHED)]]+7500</f>
        <v>62003.5</v>
      </c>
      <c r="AJ145" s="232">
        <f t="shared" si="25"/>
        <v>6485916.5</v>
      </c>
      <c r="AK145" s="232">
        <f>Table1[[#This Row],[UNIT (BUILDING) RATE (BASIC FINISH)]]*Table1[[#This Row],[Unit Selling Area]]</f>
        <v>7021416.5</v>
      </c>
      <c r="AL145" s="232">
        <f>Table1[[#This Row],[UNIT (BUILDING) RATE (FULLY FINISH)]]*Table1[[#This Row],[Unit Selling Area]]</f>
        <v>7378416.5</v>
      </c>
      <c r="AM145" s="232">
        <f t="shared" si="26"/>
        <v>0</v>
      </c>
      <c r="AN145" s="232">
        <f>(AM145+AJ145)*FACTS!$S$2</f>
        <v>551302.90250000008</v>
      </c>
      <c r="AO145" s="101">
        <f>VLOOKUP(S145,FACTS!$A$17:$C$23,3,FALSE)</f>
        <v>1</v>
      </c>
      <c r="AP145" s="232">
        <f>VLOOKUP(AA145,FACTS!$B$2:$J$14,9,FALSE)</f>
        <v>244000</v>
      </c>
      <c r="AQ145" s="232">
        <f>Table1[[#This Row],[PARKING VALUE]]*1</f>
        <v>244000</v>
      </c>
      <c r="AR145" s="232">
        <f t="shared" si="20"/>
        <v>6729916.5</v>
      </c>
      <c r="AS145" s="440">
        <f>Table1[[#This Row],[TOTAL CARS VALUE]]+Table1[[#This Row],[UNIT (BUILDING) VALUE BASIC FINISHED]]+Table1[[#This Row],[UNIT (GARDEN) VALUE]]</f>
        <v>7265416.5</v>
      </c>
      <c r="AT145" s="232">
        <f>Table1[[#This Row],[TOTAL CARS VALUE]]+Table1[[#This Row],[UNIT (GARDEN) VALUE]]+Table1[[#This Row],[UNIT (BUILDING) VALUE FULLY FINISHED]]</f>
        <v>7622416.5</v>
      </c>
      <c r="AU145" s="233">
        <f>VLOOKUP(I145,'C PHASES'!$I$108:$J$110,2,FALSE)</f>
        <v>45839</v>
      </c>
      <c r="AV145" s="233">
        <f>VLOOKUP(AA145,'C PHASES'!$I$113:$J$125,2,FALSE)</f>
        <v>45839</v>
      </c>
    </row>
    <row r="146" spans="1:48" ht="15" customHeight="1" x14ac:dyDescent="0.25">
      <c r="A146" s="235"/>
      <c r="B146" s="227" t="str">
        <f t="shared" si="21"/>
        <v>A</v>
      </c>
      <c r="C146" s="227" t="s">
        <v>28</v>
      </c>
      <c r="D146" s="227" t="s">
        <v>1147</v>
      </c>
      <c r="E146" s="228">
        <v>1</v>
      </c>
      <c r="F146" s="101">
        <v>2</v>
      </c>
      <c r="G146" s="87" t="str">
        <f t="shared" si="27"/>
        <v>A712</v>
      </c>
      <c r="H146" s="87" t="s">
        <v>1293</v>
      </c>
      <c r="I146" s="89" t="str">
        <f>VLOOKUP(C146,'PREMIUM TABLES'!$G$107:$H$149,2,FALSE)</f>
        <v>C1</v>
      </c>
      <c r="J146" s="87">
        <v>97.06</v>
      </c>
      <c r="K146" s="87">
        <v>106.39370790716082</v>
      </c>
      <c r="L146" s="87">
        <v>119</v>
      </c>
      <c r="O146" s="87" t="s">
        <v>185</v>
      </c>
      <c r="P146" s="87" t="s">
        <v>190</v>
      </c>
      <c r="Q146" s="229" t="s">
        <v>214</v>
      </c>
      <c r="R146" s="87" t="str">
        <f>VLOOKUP(E146,'PREMIUM TABLES'!$F$214:$G$219,2,FALSE)</f>
        <v>FIRST</v>
      </c>
      <c r="S146" s="87" t="str" cm="1">
        <f t="array" ref="S146">IF(AND(L146&gt;0,L146&lt;90),"A",IF(AND(L146&gt;90,L146&lt;123),"B",IF(AND(L146&gt;122,L146&lt;159),"C",IF(AND(L146&gt;159,L146&lt;185),"D",IF(AND(L146&gt;185,L146&lt;230),"E",IF(AND(L146&gt;230,L146&lt;350),"F",NONE))))))</f>
        <v>B</v>
      </c>
      <c r="T146" s="230">
        <f>VLOOKUP(O146,'PREMIUM TABLES'!$G$165:$H$172,2,FALSE)</f>
        <v>0.06</v>
      </c>
      <c r="U146" s="230">
        <f>VLOOKUP(P146,'PREMIUM TABLES'!$G$208:$H$209,2,FALSE)</f>
        <v>2.5000000000000001E-2</v>
      </c>
      <c r="V146" s="230">
        <f>VLOOKUP(Q146,'PREMIUM TABLES'!$G$175:$H$195,2,FALSE)</f>
        <v>0.4</v>
      </c>
      <c r="W146" s="230">
        <f>VLOOKUP(R146,'PREMIUM TABLES'!$G$214:$H$219,2,FALSE)</f>
        <v>7.0000000000000007E-2</v>
      </c>
      <c r="X146" s="230">
        <f>VLOOKUP(S146,'PREMIUM TABLES'!$F$199:$H$205,3,FALSE)</f>
        <v>0.04</v>
      </c>
      <c r="Y146" s="231">
        <f t="shared" si="22"/>
        <v>0.59499999999999997</v>
      </c>
      <c r="Z146" s="231" t="str" cm="1">
        <f t="array" ref="Z146">IF(AND(Y146&gt;0,Y146&lt;0.5),"C",IF(AND(Y146&gt;=0.5,Y146&lt;0.73),"B",IF(AND(Y146&gt;=0.73,Y146&lt;0.98),"A",NONE)))</f>
        <v>B</v>
      </c>
      <c r="AA146" s="231" t="str">
        <f>VLOOKUP(G146,'ALL (R)'!$N$5:$R$862,5,FALSE)</f>
        <v>R 2</v>
      </c>
      <c r="AB146" s="232">
        <f>VLOOKUP(AA146,FACTS!$B$2:$L$14,10,FALSE)</f>
        <v>43562.499999999993</v>
      </c>
      <c r="AC146" s="232">
        <f>VLOOKUP(AA146,FACTS!$B$2:$L$14,11,FALSE)</f>
        <v>48687.499999999993</v>
      </c>
      <c r="AD146" s="232">
        <f>VLOOKUP(AA146,FACTS!$B$2:$N$14,13,FALSE)</f>
        <v>5125</v>
      </c>
      <c r="AE146" s="232">
        <f t="shared" si="23"/>
        <v>3049.375</v>
      </c>
      <c r="AF146" s="232">
        <f t="shared" si="24"/>
        <v>46611.874999999993</v>
      </c>
      <c r="AG146" s="232">
        <f>AF146*FACTS!$T$2</f>
        <v>15381.918749999999</v>
      </c>
      <c r="AH146" s="232">
        <f>Table1[[#This Row],[UNIT (BUILDING) RATE (SEMI FINISHED)]]+4500</f>
        <v>51111.874999999993</v>
      </c>
      <c r="AI146" s="232">
        <f>Table1[[#This Row],[UNIT (BUILDING) RATE (SEMI FINISHED)]]+7500</f>
        <v>54111.874999999993</v>
      </c>
      <c r="AJ146" s="232">
        <f t="shared" si="25"/>
        <v>5546813.1249999991</v>
      </c>
      <c r="AK146" s="232">
        <f>Table1[[#This Row],[UNIT (BUILDING) RATE (BASIC FINISH)]]*Table1[[#This Row],[Unit Selling Area]]</f>
        <v>6082313.1249999991</v>
      </c>
      <c r="AL146" s="232">
        <f>Table1[[#This Row],[UNIT (BUILDING) RATE (FULLY FINISH)]]*Table1[[#This Row],[Unit Selling Area]]</f>
        <v>6439313.1249999991</v>
      </c>
      <c r="AM146" s="232">
        <f t="shared" si="26"/>
        <v>0</v>
      </c>
      <c r="AN146" s="232">
        <f>(AM146+AJ146)*FACTS!$S$2</f>
        <v>471479.11562499998</v>
      </c>
      <c r="AO146" s="101">
        <f>VLOOKUP(S146,FACTS!$A$17:$C$23,3,FALSE)</f>
        <v>1</v>
      </c>
      <c r="AP146" s="232">
        <f>VLOOKUP(AA146,FACTS!$B$2:$J$14,9,FALSE)</f>
        <v>204999.99999999997</v>
      </c>
      <c r="AQ146" s="232">
        <f>Table1[[#This Row],[PARKING VALUE]]*1</f>
        <v>204999.99999999997</v>
      </c>
      <c r="AR146" s="232">
        <f t="shared" si="20"/>
        <v>5751813.1249999991</v>
      </c>
      <c r="AS146" s="440">
        <f>Table1[[#This Row],[TOTAL CARS VALUE]]+Table1[[#This Row],[UNIT (BUILDING) VALUE BASIC FINISHED]]+Table1[[#This Row],[UNIT (GARDEN) VALUE]]</f>
        <v>6287313.1249999991</v>
      </c>
      <c r="AT146" s="232">
        <f>Table1[[#This Row],[TOTAL CARS VALUE]]+Table1[[#This Row],[UNIT (GARDEN) VALUE]]+Table1[[#This Row],[UNIT (BUILDING) VALUE FULLY FINISHED]]</f>
        <v>6644313.1249999991</v>
      </c>
      <c r="AU146" s="233">
        <f>VLOOKUP(I146,'C PHASES'!$I$108:$J$110,2,FALSE)</f>
        <v>45839</v>
      </c>
      <c r="AV146" s="233">
        <f>VLOOKUP(AA146,'C PHASES'!$I$113:$J$125,2,FALSE)</f>
        <v>45292</v>
      </c>
    </row>
    <row r="147" spans="1:48" ht="15" customHeight="1" x14ac:dyDescent="0.25">
      <c r="A147" s="235"/>
      <c r="B147" s="227" t="str">
        <f t="shared" si="21"/>
        <v>A</v>
      </c>
      <c r="C147" s="227" t="s">
        <v>28</v>
      </c>
      <c r="D147" s="227" t="s">
        <v>1147</v>
      </c>
      <c r="E147" s="228">
        <v>1</v>
      </c>
      <c r="F147" s="101">
        <v>3</v>
      </c>
      <c r="G147" s="87" t="str">
        <f t="shared" si="27"/>
        <v>A713</v>
      </c>
      <c r="H147" s="87" t="s">
        <v>1293</v>
      </c>
      <c r="I147" s="89" t="str">
        <f>VLOOKUP(C147,'PREMIUM TABLES'!$G$107:$H$149,2,FALSE)</f>
        <v>C1</v>
      </c>
      <c r="J147" s="87">
        <v>89.05</v>
      </c>
      <c r="K147" s="87">
        <v>97.613431785830102</v>
      </c>
      <c r="L147" s="87">
        <v>110</v>
      </c>
      <c r="O147" s="87" t="s">
        <v>185</v>
      </c>
      <c r="P147" s="87" t="s">
        <v>190</v>
      </c>
      <c r="Q147" s="229" t="s">
        <v>214</v>
      </c>
      <c r="R147" s="87" t="str">
        <f>VLOOKUP(E147,'PREMIUM TABLES'!$F$214:$G$219,2,FALSE)</f>
        <v>FIRST</v>
      </c>
      <c r="S147" s="87" t="str" cm="1">
        <f t="array" ref="S147">IF(AND(L147&gt;0,L147&lt;90),"A",IF(AND(L147&gt;90,L147&lt;123),"B",IF(AND(L147&gt;122,L147&lt;159),"C",IF(AND(L147&gt;159,L147&lt;185),"D",IF(AND(L147&gt;185,L147&lt;230),"E",IF(AND(L147&gt;230,L147&lt;350),"F",NONE))))))</f>
        <v>B</v>
      </c>
      <c r="T147" s="230">
        <f>VLOOKUP(O147,'PREMIUM TABLES'!$G$165:$H$172,2,FALSE)</f>
        <v>0.06</v>
      </c>
      <c r="U147" s="230">
        <f>VLOOKUP(P147,'PREMIUM TABLES'!$G$208:$H$209,2,FALSE)</f>
        <v>2.5000000000000001E-2</v>
      </c>
      <c r="V147" s="230">
        <f>VLOOKUP(Q147,'PREMIUM TABLES'!$G$175:$H$195,2,FALSE)</f>
        <v>0.4</v>
      </c>
      <c r="W147" s="230">
        <f>VLOOKUP(R147,'PREMIUM TABLES'!$G$214:$H$219,2,FALSE)</f>
        <v>7.0000000000000007E-2</v>
      </c>
      <c r="X147" s="230">
        <f>VLOOKUP(S147,'PREMIUM TABLES'!$F$199:$H$205,3,FALSE)</f>
        <v>0.04</v>
      </c>
      <c r="Y147" s="231">
        <f t="shared" si="22"/>
        <v>0.59499999999999997</v>
      </c>
      <c r="Z147" s="231" t="str" cm="1">
        <f t="array" ref="Z147">IF(AND(Y147&gt;0,Y147&lt;0.5),"C",IF(AND(Y147&gt;=0.5,Y147&lt;0.73),"B",IF(AND(Y147&gt;=0.73,Y147&lt;0.98),"A",NONE)))</f>
        <v>B</v>
      </c>
      <c r="AA147" s="231" t="str">
        <f>VLOOKUP(G147,'ALL (R)'!$N$5:$R$862,5,FALSE)</f>
        <v>R 2</v>
      </c>
      <c r="AB147" s="232">
        <f>VLOOKUP(AA147,FACTS!$B$2:$L$14,10,FALSE)</f>
        <v>43562.499999999993</v>
      </c>
      <c r="AC147" s="232">
        <f>VLOOKUP(AA147,FACTS!$B$2:$L$14,11,FALSE)</f>
        <v>48687.499999999993</v>
      </c>
      <c r="AD147" s="232">
        <f>VLOOKUP(AA147,FACTS!$B$2:$N$14,13,FALSE)</f>
        <v>5125</v>
      </c>
      <c r="AE147" s="232">
        <f t="shared" si="23"/>
        <v>3049.375</v>
      </c>
      <c r="AF147" s="232">
        <f t="shared" si="24"/>
        <v>46611.874999999993</v>
      </c>
      <c r="AG147" s="232">
        <f>AF147*FACTS!$T$2</f>
        <v>15381.918749999999</v>
      </c>
      <c r="AH147" s="232">
        <f>Table1[[#This Row],[UNIT (BUILDING) RATE (SEMI FINISHED)]]+4500</f>
        <v>51111.874999999993</v>
      </c>
      <c r="AI147" s="232">
        <f>Table1[[#This Row],[UNIT (BUILDING) RATE (SEMI FINISHED)]]+7500</f>
        <v>54111.874999999993</v>
      </c>
      <c r="AJ147" s="232">
        <f t="shared" si="25"/>
        <v>5127306.2499999991</v>
      </c>
      <c r="AK147" s="232">
        <f>Table1[[#This Row],[UNIT (BUILDING) RATE (BASIC FINISH)]]*Table1[[#This Row],[Unit Selling Area]]</f>
        <v>5622306.2499999991</v>
      </c>
      <c r="AL147" s="232">
        <f>Table1[[#This Row],[UNIT (BUILDING) RATE (FULLY FINISH)]]*Table1[[#This Row],[Unit Selling Area]]</f>
        <v>5952306.2499999991</v>
      </c>
      <c r="AM147" s="232">
        <f t="shared" si="26"/>
        <v>0</v>
      </c>
      <c r="AN147" s="232">
        <f>(AM147+AJ147)*FACTS!$S$2</f>
        <v>435821.03124999994</v>
      </c>
      <c r="AO147" s="101">
        <f>VLOOKUP(S147,FACTS!$A$17:$C$23,3,FALSE)</f>
        <v>1</v>
      </c>
      <c r="AP147" s="232">
        <f>VLOOKUP(AA147,FACTS!$B$2:$J$14,9,FALSE)</f>
        <v>204999.99999999997</v>
      </c>
      <c r="AQ147" s="232">
        <f>Table1[[#This Row],[PARKING VALUE]]*1</f>
        <v>204999.99999999997</v>
      </c>
      <c r="AR147" s="232">
        <f t="shared" si="20"/>
        <v>5332306.2499999991</v>
      </c>
      <c r="AS147" s="440">
        <f>Table1[[#This Row],[TOTAL CARS VALUE]]+Table1[[#This Row],[UNIT (BUILDING) VALUE BASIC FINISHED]]+Table1[[#This Row],[UNIT (GARDEN) VALUE]]</f>
        <v>5827306.2499999991</v>
      </c>
      <c r="AT147" s="232">
        <f>Table1[[#This Row],[TOTAL CARS VALUE]]+Table1[[#This Row],[UNIT (GARDEN) VALUE]]+Table1[[#This Row],[UNIT (BUILDING) VALUE FULLY FINISHED]]</f>
        <v>6157306.2499999991</v>
      </c>
      <c r="AU147" s="233">
        <f>VLOOKUP(I147,'C PHASES'!$I$108:$J$110,2,FALSE)</f>
        <v>45839</v>
      </c>
      <c r="AV147" s="233">
        <f>VLOOKUP(AA147,'C PHASES'!$I$113:$J$125,2,FALSE)</f>
        <v>45292</v>
      </c>
    </row>
    <row r="148" spans="1:48" ht="15" customHeight="1" x14ac:dyDescent="0.25">
      <c r="A148" s="235"/>
      <c r="B148" s="227" t="str">
        <f t="shared" si="21"/>
        <v>A</v>
      </c>
      <c r="C148" s="227" t="s">
        <v>28</v>
      </c>
      <c r="D148" s="227" t="s">
        <v>1147</v>
      </c>
      <c r="E148" s="228">
        <v>1</v>
      </c>
      <c r="F148" s="101">
        <v>4</v>
      </c>
      <c r="G148" s="87" t="str">
        <f t="shared" si="27"/>
        <v>A714</v>
      </c>
      <c r="H148" s="87" t="s">
        <v>1296</v>
      </c>
      <c r="I148" s="89" t="str">
        <f>VLOOKUP(C148,'PREMIUM TABLES'!$G$107:$H$149,2,FALSE)</f>
        <v>C1</v>
      </c>
      <c r="J148" s="87">
        <v>61.82</v>
      </c>
      <c r="K148" s="87">
        <v>67.764877630544831</v>
      </c>
      <c r="L148" s="87">
        <v>76</v>
      </c>
      <c r="O148" s="87" t="s">
        <v>184</v>
      </c>
      <c r="P148" s="87" t="s">
        <v>190</v>
      </c>
      <c r="Q148" s="229" t="s">
        <v>198</v>
      </c>
      <c r="R148" s="87" t="str">
        <f>VLOOKUP(E148,'PREMIUM TABLES'!$F$214:$G$219,2,FALSE)</f>
        <v>FIRST</v>
      </c>
      <c r="S148" s="87" t="str" cm="1">
        <f t="array" ref="S148">IF(AND(L148&gt;0,L148&lt;90),"A",IF(AND(L148&gt;90,L148&lt;123),"B",IF(AND(L148&gt;122,L148&lt;159),"C",IF(AND(L148&gt;159,L148&lt;185),"D",IF(AND(L148&gt;185,L148&lt;230),"E",IF(AND(L148&gt;230,L148&lt;350),"F",NONE))))))</f>
        <v>A</v>
      </c>
      <c r="T148" s="230">
        <f>VLOOKUP(O148,'PREMIUM TABLES'!$G$165:$H$172,2,FALSE)</f>
        <v>0.15</v>
      </c>
      <c r="U148" s="230">
        <f>VLOOKUP(P148,'PREMIUM TABLES'!$G$208:$H$209,2,FALSE)</f>
        <v>2.5000000000000001E-2</v>
      </c>
      <c r="V148" s="230">
        <f>VLOOKUP(Q148,'PREMIUM TABLES'!$G$175:$H$195,2,FALSE)</f>
        <v>0.15</v>
      </c>
      <c r="W148" s="230">
        <f>VLOOKUP(R148,'PREMIUM TABLES'!$G$214:$H$219,2,FALSE)</f>
        <v>7.0000000000000007E-2</v>
      </c>
      <c r="X148" s="230">
        <f>VLOOKUP(S148,'PREMIUM TABLES'!$F$199:$H$205,3,FALSE)</f>
        <v>0.05</v>
      </c>
      <c r="Y148" s="231">
        <f t="shared" si="22"/>
        <v>0.44499999999999995</v>
      </c>
      <c r="Z148" s="231" t="str" cm="1">
        <f t="array" ref="Z148">IF(AND(Y148&gt;0,Y148&lt;0.5),"C",IF(AND(Y148&gt;=0.5,Y148&lt;0.73),"B",IF(AND(Y148&gt;=0.73,Y148&lt;0.98),"A",NONE)))</f>
        <v>C</v>
      </c>
      <c r="AA148" s="231" t="str">
        <f>VLOOKUP(G148,'ALL (R)'!$N$5:$R$862,5,FALSE)</f>
        <v>R 9</v>
      </c>
      <c r="AB148" s="232">
        <f>VLOOKUP(AA148,FACTS!$B$2:$L$14,10,FALSE)</f>
        <v>53550</v>
      </c>
      <c r="AC148" s="232">
        <f>VLOOKUP(AA148,FACTS!$B$2:$L$14,11,FALSE)</f>
        <v>59850</v>
      </c>
      <c r="AD148" s="232">
        <f>VLOOKUP(AA148,FACTS!$B$2:$N$14,13,FALSE)</f>
        <v>6300</v>
      </c>
      <c r="AE148" s="232">
        <f t="shared" si="23"/>
        <v>2803.4999999999995</v>
      </c>
      <c r="AF148" s="232">
        <f t="shared" si="24"/>
        <v>56353.5</v>
      </c>
      <c r="AG148" s="232">
        <f>AF148*FACTS!$T$2</f>
        <v>18596.655000000002</v>
      </c>
      <c r="AH148" s="232">
        <f>Table1[[#This Row],[UNIT (BUILDING) RATE (SEMI FINISHED)]]+4500</f>
        <v>60853.5</v>
      </c>
      <c r="AI148" s="232">
        <f>Table1[[#This Row],[UNIT (BUILDING) RATE (SEMI FINISHED)]]+7500</f>
        <v>63853.5</v>
      </c>
      <c r="AJ148" s="232">
        <f t="shared" si="25"/>
        <v>4282866</v>
      </c>
      <c r="AK148" s="232">
        <f>Table1[[#This Row],[UNIT (BUILDING) RATE (BASIC FINISH)]]*Table1[[#This Row],[Unit Selling Area]]</f>
        <v>4624866</v>
      </c>
      <c r="AL148" s="232">
        <f>Table1[[#This Row],[UNIT (BUILDING) RATE (FULLY FINISH)]]*Table1[[#This Row],[Unit Selling Area]]</f>
        <v>4852866</v>
      </c>
      <c r="AM148" s="232">
        <f t="shared" si="26"/>
        <v>0</v>
      </c>
      <c r="AN148" s="232">
        <f>(AM148+AJ148)*FACTS!$S$2</f>
        <v>364043.61000000004</v>
      </c>
      <c r="AO148" s="101">
        <f>VLOOKUP(S148,FACTS!$A$17:$C$23,3,FALSE)</f>
        <v>1</v>
      </c>
      <c r="AP148" s="232">
        <f>VLOOKUP(AA148,FACTS!$B$2:$J$14,9,FALSE)</f>
        <v>252000</v>
      </c>
      <c r="AQ148" s="232">
        <f>Table1[[#This Row],[PARKING VALUE]]*1</f>
        <v>252000</v>
      </c>
      <c r="AR148" s="232">
        <f t="shared" si="20"/>
        <v>4534866</v>
      </c>
      <c r="AS148" s="440">
        <f>Table1[[#This Row],[TOTAL CARS VALUE]]+Table1[[#This Row],[UNIT (BUILDING) VALUE BASIC FINISHED]]+Table1[[#This Row],[UNIT (GARDEN) VALUE]]</f>
        <v>4876866</v>
      </c>
      <c r="AT148" s="232">
        <f>Table1[[#This Row],[TOTAL CARS VALUE]]+Table1[[#This Row],[UNIT (GARDEN) VALUE]]+Table1[[#This Row],[UNIT (BUILDING) VALUE FULLY FINISHED]]</f>
        <v>5104866</v>
      </c>
      <c r="AU148" s="233">
        <f>VLOOKUP(I148,'C PHASES'!$I$108:$J$110,2,FALSE)</f>
        <v>45839</v>
      </c>
      <c r="AV148" s="233">
        <f>VLOOKUP(AA148,'C PHASES'!$I$113:$J$125,2,FALSE)</f>
        <v>45931</v>
      </c>
    </row>
    <row r="149" spans="1:48" ht="15" customHeight="1" x14ac:dyDescent="0.25">
      <c r="A149" s="235"/>
      <c r="B149" s="227" t="str">
        <f t="shared" si="21"/>
        <v>A</v>
      </c>
      <c r="C149" s="227" t="s">
        <v>28</v>
      </c>
      <c r="D149" s="227" t="s">
        <v>1147</v>
      </c>
      <c r="E149" s="228">
        <v>2</v>
      </c>
      <c r="F149" s="101">
        <v>1</v>
      </c>
      <c r="G149" s="87" t="str">
        <f t="shared" si="27"/>
        <v>A721</v>
      </c>
      <c r="H149" s="87" t="s">
        <v>1293</v>
      </c>
      <c r="I149" s="89" t="str">
        <f>VLOOKUP(C149,'PREMIUM TABLES'!$G$107:$H$149,2,FALSE)</f>
        <v>C1</v>
      </c>
      <c r="J149" s="87">
        <v>98.95</v>
      </c>
      <c r="K149" s="87">
        <v>108.46545845264333</v>
      </c>
      <c r="L149" s="87">
        <v>122</v>
      </c>
      <c r="O149" s="87" t="s">
        <v>184</v>
      </c>
      <c r="P149" s="87" t="s">
        <v>190</v>
      </c>
      <c r="Q149" s="229" t="s">
        <v>198</v>
      </c>
      <c r="R149" s="87" t="str">
        <f>VLOOKUP(E149,'PREMIUM TABLES'!$F$214:$G$219,2,FALSE)</f>
        <v>SECOND</v>
      </c>
      <c r="S149" s="87" t="str" cm="1">
        <f t="array" ref="S149">IF(AND(L149&gt;0,L149&lt;90),"A",IF(AND(L149&gt;90,L149&lt;123),"B",IF(AND(L149&gt;122,L149&lt;159),"C",IF(AND(L149&gt;159,L149&lt;185),"D",IF(AND(L149&gt;185,L149&lt;230),"E",IF(AND(L149&gt;230,L149&lt;350),"F",NONE))))))</f>
        <v>B</v>
      </c>
      <c r="T149" s="230">
        <f>VLOOKUP(O149,'PREMIUM TABLES'!$G$165:$H$172,2,FALSE)</f>
        <v>0.15</v>
      </c>
      <c r="U149" s="230">
        <f>VLOOKUP(P149,'PREMIUM TABLES'!$G$208:$H$209,2,FALSE)</f>
        <v>2.5000000000000001E-2</v>
      </c>
      <c r="V149" s="230">
        <f>VLOOKUP(Q149,'PREMIUM TABLES'!$G$175:$H$195,2,FALSE)</f>
        <v>0.15</v>
      </c>
      <c r="W149" s="230">
        <f>VLOOKUP(R149,'PREMIUM TABLES'!$G$214:$H$219,2,FALSE)</f>
        <v>0.11</v>
      </c>
      <c r="X149" s="230">
        <f>VLOOKUP(S149,'PREMIUM TABLES'!$F$199:$H$205,3,FALSE)</f>
        <v>0.04</v>
      </c>
      <c r="Y149" s="231">
        <f t="shared" si="22"/>
        <v>0.47499999999999992</v>
      </c>
      <c r="Z149" s="231" t="str" cm="1">
        <f t="array" ref="Z149">IF(AND(Y149&gt;0,Y149&lt;0.5),"C",IF(AND(Y149&gt;=0.5,Y149&lt;0.73),"B",IF(AND(Y149&gt;=0.73,Y149&lt;0.98),"A",NONE)))</f>
        <v>C</v>
      </c>
      <c r="AA149" s="231" t="str">
        <f>VLOOKUP(G149,'ALL (R)'!$N$5:$R$862,5,FALSE)</f>
        <v>R 12</v>
      </c>
      <c r="AB149" s="232">
        <f>VLOOKUP(AA149,FACTS!$B$2:$L$14,10,FALSE)</f>
        <v>61625</v>
      </c>
      <c r="AC149" s="232">
        <f>VLOOKUP(AA149,FACTS!$B$2:$L$14,11,FALSE)</f>
        <v>68875</v>
      </c>
      <c r="AD149" s="232">
        <f>VLOOKUP(AA149,FACTS!$B$2:$N$14,13,FALSE)</f>
        <v>7250</v>
      </c>
      <c r="AE149" s="232">
        <f t="shared" si="23"/>
        <v>3443.7499999999995</v>
      </c>
      <c r="AF149" s="232">
        <f t="shared" si="24"/>
        <v>65068.75</v>
      </c>
      <c r="AG149" s="232">
        <f>AF149*FACTS!$T$2</f>
        <v>21472.6875</v>
      </c>
      <c r="AH149" s="232">
        <f>Table1[[#This Row],[UNIT (BUILDING) RATE (SEMI FINISHED)]]+4500</f>
        <v>69568.75</v>
      </c>
      <c r="AI149" s="232">
        <f>Table1[[#This Row],[UNIT (BUILDING) RATE (SEMI FINISHED)]]+7500</f>
        <v>72568.75</v>
      </c>
      <c r="AJ149" s="232">
        <f t="shared" si="25"/>
        <v>7938387.5</v>
      </c>
      <c r="AK149" s="232">
        <f>Table1[[#This Row],[UNIT (BUILDING) RATE (BASIC FINISH)]]*Table1[[#This Row],[Unit Selling Area]]</f>
        <v>8487387.5</v>
      </c>
      <c r="AL149" s="232">
        <f>Table1[[#This Row],[UNIT (BUILDING) RATE (FULLY FINISH)]]*Table1[[#This Row],[Unit Selling Area]]</f>
        <v>8853387.5</v>
      </c>
      <c r="AM149" s="232">
        <f t="shared" si="26"/>
        <v>0</v>
      </c>
      <c r="AN149" s="232">
        <f>(AM149+AJ149)*FACTS!$S$2</f>
        <v>674762.9375</v>
      </c>
      <c r="AO149" s="101">
        <f>VLOOKUP(S149,FACTS!$A$17:$C$23,3,FALSE)</f>
        <v>1</v>
      </c>
      <c r="AP149" s="232">
        <f>VLOOKUP(AA149,FACTS!$B$2:$J$14,9,FALSE)</f>
        <v>290000</v>
      </c>
      <c r="AQ149" s="232">
        <f>Table1[[#This Row],[PARKING VALUE]]*1</f>
        <v>290000</v>
      </c>
      <c r="AR149" s="232">
        <f t="shared" si="20"/>
        <v>8228387.5</v>
      </c>
      <c r="AS149" s="440">
        <f>Table1[[#This Row],[TOTAL CARS VALUE]]+Table1[[#This Row],[UNIT (BUILDING) VALUE BASIC FINISHED]]+Table1[[#This Row],[UNIT (GARDEN) VALUE]]</f>
        <v>8777387.5</v>
      </c>
      <c r="AT149" s="232">
        <f>Table1[[#This Row],[TOTAL CARS VALUE]]+Table1[[#This Row],[UNIT (GARDEN) VALUE]]+Table1[[#This Row],[UNIT (BUILDING) VALUE FULLY FINISHED]]</f>
        <v>9143387.5</v>
      </c>
      <c r="AU149" s="233">
        <f>VLOOKUP(I149,'C PHASES'!$I$108:$J$110,2,FALSE)</f>
        <v>45839</v>
      </c>
      <c r="AV149" s="233">
        <f>VLOOKUP(AA149,'C PHASES'!$I$113:$J$125,2,FALSE)</f>
        <v>46204</v>
      </c>
    </row>
    <row r="150" spans="1:48" ht="15" customHeight="1" x14ac:dyDescent="0.25">
      <c r="A150" s="235"/>
      <c r="B150" s="227" t="str">
        <f t="shared" si="21"/>
        <v>A</v>
      </c>
      <c r="C150" s="227" t="s">
        <v>28</v>
      </c>
      <c r="D150" s="227" t="s">
        <v>1147</v>
      </c>
      <c r="E150" s="228">
        <v>2</v>
      </c>
      <c r="F150" s="101">
        <v>2</v>
      </c>
      <c r="G150" s="87" t="str">
        <f t="shared" si="27"/>
        <v>A722</v>
      </c>
      <c r="H150" s="87" t="s">
        <v>1293</v>
      </c>
      <c r="I150" s="89" t="str">
        <f>VLOOKUP(C150,'PREMIUM TABLES'!$G$107:$H$149,2,FALSE)</f>
        <v>C1</v>
      </c>
      <c r="J150" s="87">
        <v>98.95</v>
      </c>
      <c r="K150" s="87">
        <v>108.46545845264333</v>
      </c>
      <c r="L150" s="87">
        <v>122</v>
      </c>
      <c r="O150" s="87" t="s">
        <v>185</v>
      </c>
      <c r="P150" s="87" t="s">
        <v>190</v>
      </c>
      <c r="Q150" s="229" t="s">
        <v>214</v>
      </c>
      <c r="R150" s="87" t="str">
        <f>VLOOKUP(E150,'PREMIUM TABLES'!$F$214:$G$219,2,FALSE)</f>
        <v>SECOND</v>
      </c>
      <c r="S150" s="87" t="str" cm="1">
        <f t="array" ref="S150">IF(AND(L150&gt;0,L150&lt;90),"A",IF(AND(L150&gt;90,L150&lt;123),"B",IF(AND(L150&gt;122,L150&lt;159),"C",IF(AND(L150&gt;159,L150&lt;185),"D",IF(AND(L150&gt;185,L150&lt;230),"E",IF(AND(L150&gt;230,L150&lt;350),"F",NONE))))))</f>
        <v>B</v>
      </c>
      <c r="T150" s="230">
        <f>VLOOKUP(O150,'PREMIUM TABLES'!$G$165:$H$172,2,FALSE)</f>
        <v>0.06</v>
      </c>
      <c r="U150" s="230">
        <f>VLOOKUP(P150,'PREMIUM TABLES'!$G$208:$H$209,2,FALSE)</f>
        <v>2.5000000000000001E-2</v>
      </c>
      <c r="V150" s="230">
        <f>VLOOKUP(Q150,'PREMIUM TABLES'!$G$175:$H$195,2,FALSE)</f>
        <v>0.4</v>
      </c>
      <c r="W150" s="230">
        <f>VLOOKUP(R150,'PREMIUM TABLES'!$G$214:$H$219,2,FALSE)</f>
        <v>0.11</v>
      </c>
      <c r="X150" s="230">
        <f>VLOOKUP(S150,'PREMIUM TABLES'!$F$199:$H$205,3,FALSE)</f>
        <v>0.04</v>
      </c>
      <c r="Y150" s="231">
        <f t="shared" si="22"/>
        <v>0.63500000000000001</v>
      </c>
      <c r="Z150" s="231" t="str" cm="1">
        <f t="array" ref="Z150">IF(AND(Y150&gt;0,Y150&lt;0.5),"C",IF(AND(Y150&gt;=0.5,Y150&lt;0.73),"B",IF(AND(Y150&gt;=0.73,Y150&lt;0.98),"A",NONE)))</f>
        <v>B</v>
      </c>
      <c r="AA150" s="231" t="str">
        <f>VLOOKUP(G150,'ALL (R)'!$N$5:$R$862,5,FALSE)</f>
        <v>R 4</v>
      </c>
      <c r="AB150" s="232">
        <f>VLOOKUP(AA150,FACTS!$B$2:$L$14,10,FALSE)</f>
        <v>45687.5</v>
      </c>
      <c r="AC150" s="232">
        <f>VLOOKUP(AA150,FACTS!$B$2:$L$14,11,FALSE)</f>
        <v>51062.5</v>
      </c>
      <c r="AD150" s="232">
        <f>VLOOKUP(AA150,FACTS!$B$2:$N$14,13,FALSE)</f>
        <v>5375</v>
      </c>
      <c r="AE150" s="232">
        <f t="shared" si="23"/>
        <v>3413.125</v>
      </c>
      <c r="AF150" s="232">
        <f t="shared" si="24"/>
        <v>49100.625</v>
      </c>
      <c r="AG150" s="232">
        <f>AF150*FACTS!$T$2</f>
        <v>16203.206250000001</v>
      </c>
      <c r="AH150" s="232">
        <f>Table1[[#This Row],[UNIT (BUILDING) RATE (SEMI FINISHED)]]+4500</f>
        <v>53600.625</v>
      </c>
      <c r="AI150" s="232">
        <f>Table1[[#This Row],[UNIT (BUILDING) RATE (SEMI FINISHED)]]+7500</f>
        <v>56600.625</v>
      </c>
      <c r="AJ150" s="232">
        <f t="shared" si="25"/>
        <v>5990276.25</v>
      </c>
      <c r="AK150" s="232">
        <f>Table1[[#This Row],[UNIT (BUILDING) RATE (BASIC FINISH)]]*Table1[[#This Row],[Unit Selling Area]]</f>
        <v>6539276.25</v>
      </c>
      <c r="AL150" s="232">
        <f>Table1[[#This Row],[UNIT (BUILDING) RATE (FULLY FINISH)]]*Table1[[#This Row],[Unit Selling Area]]</f>
        <v>6905276.25</v>
      </c>
      <c r="AM150" s="232">
        <f t="shared" si="26"/>
        <v>0</v>
      </c>
      <c r="AN150" s="232">
        <f>(AM150+AJ150)*FACTS!$S$2</f>
        <v>509173.48125000001</v>
      </c>
      <c r="AO150" s="101">
        <f>VLOOKUP(S150,FACTS!$A$17:$C$23,3,FALSE)</f>
        <v>1</v>
      </c>
      <c r="AP150" s="232">
        <f>VLOOKUP(AA150,FACTS!$B$2:$J$14,9,FALSE)</f>
        <v>215000</v>
      </c>
      <c r="AQ150" s="232">
        <f>Table1[[#This Row],[PARKING VALUE]]*1</f>
        <v>215000</v>
      </c>
      <c r="AR150" s="232">
        <f t="shared" si="20"/>
        <v>6205276.25</v>
      </c>
      <c r="AS150" s="440">
        <f>Table1[[#This Row],[TOTAL CARS VALUE]]+Table1[[#This Row],[UNIT (BUILDING) VALUE BASIC FINISHED]]+Table1[[#This Row],[UNIT (GARDEN) VALUE]]</f>
        <v>6754276.25</v>
      </c>
      <c r="AT150" s="232">
        <f>Table1[[#This Row],[TOTAL CARS VALUE]]+Table1[[#This Row],[UNIT (GARDEN) VALUE]]+Table1[[#This Row],[UNIT (BUILDING) VALUE FULLY FINISHED]]</f>
        <v>7120276.25</v>
      </c>
      <c r="AU150" s="233">
        <f>VLOOKUP(I150,'C PHASES'!$I$108:$J$110,2,FALSE)</f>
        <v>45839</v>
      </c>
      <c r="AV150" s="233">
        <f>VLOOKUP(AA150,'C PHASES'!$I$113:$J$125,2,FALSE)</f>
        <v>45474</v>
      </c>
    </row>
    <row r="151" spans="1:48" ht="15" customHeight="1" x14ac:dyDescent="0.25">
      <c r="A151" s="235"/>
      <c r="B151" s="227" t="str">
        <f t="shared" si="21"/>
        <v>A</v>
      </c>
      <c r="C151" s="227" t="s">
        <v>28</v>
      </c>
      <c r="D151" s="227" t="s">
        <v>1147</v>
      </c>
      <c r="E151" s="228">
        <v>2</v>
      </c>
      <c r="F151" s="101">
        <v>3</v>
      </c>
      <c r="G151" s="87" t="str">
        <f t="shared" si="27"/>
        <v>A723</v>
      </c>
      <c r="H151" s="87" t="s">
        <v>1293</v>
      </c>
      <c r="I151" s="89" t="str">
        <f>VLOOKUP(C151,'PREMIUM TABLES'!$G$107:$H$149,2,FALSE)</f>
        <v>C1</v>
      </c>
      <c r="J151" s="87">
        <v>90.91</v>
      </c>
      <c r="K151" s="87">
        <v>99.652297402019258</v>
      </c>
      <c r="L151" s="87">
        <v>112</v>
      </c>
      <c r="O151" s="87" t="s">
        <v>185</v>
      </c>
      <c r="P151" s="87" t="s">
        <v>190</v>
      </c>
      <c r="Q151" s="229" t="s">
        <v>214</v>
      </c>
      <c r="R151" s="87" t="str">
        <f>VLOOKUP(E151,'PREMIUM TABLES'!$F$214:$G$219,2,FALSE)</f>
        <v>SECOND</v>
      </c>
      <c r="S151" s="87" t="str" cm="1">
        <f t="array" ref="S151">IF(AND(L151&gt;0,L151&lt;90),"A",IF(AND(L151&gt;90,L151&lt;123),"B",IF(AND(L151&gt;122,L151&lt;159),"C",IF(AND(L151&gt;159,L151&lt;185),"D",IF(AND(L151&gt;185,L151&lt;230),"E",IF(AND(L151&gt;230,L151&lt;350),"F",NONE))))))</f>
        <v>B</v>
      </c>
      <c r="T151" s="230">
        <f>VLOOKUP(O151,'PREMIUM TABLES'!$G$165:$H$172,2,FALSE)</f>
        <v>0.06</v>
      </c>
      <c r="U151" s="230">
        <f>VLOOKUP(P151,'PREMIUM TABLES'!$G$208:$H$209,2,FALSE)</f>
        <v>2.5000000000000001E-2</v>
      </c>
      <c r="V151" s="230">
        <f>VLOOKUP(Q151,'PREMIUM TABLES'!$G$175:$H$195,2,FALSE)</f>
        <v>0.4</v>
      </c>
      <c r="W151" s="230">
        <f>VLOOKUP(R151,'PREMIUM TABLES'!$G$214:$H$219,2,FALSE)</f>
        <v>0.11</v>
      </c>
      <c r="X151" s="230">
        <f>VLOOKUP(S151,'PREMIUM TABLES'!$F$199:$H$205,3,FALSE)</f>
        <v>0.04</v>
      </c>
      <c r="Y151" s="231">
        <f t="shared" si="22"/>
        <v>0.63500000000000001</v>
      </c>
      <c r="Z151" s="231" t="str" cm="1">
        <f t="array" ref="Z151">IF(AND(Y151&gt;0,Y151&lt;0.5),"C",IF(AND(Y151&gt;=0.5,Y151&lt;0.73),"B",IF(AND(Y151&gt;=0.73,Y151&lt;0.98),"A",NONE)))</f>
        <v>B</v>
      </c>
      <c r="AA151" s="231" t="str">
        <f>VLOOKUP(G151,'ALL (R)'!$N$5:$R$862,5,FALSE)</f>
        <v>R 4</v>
      </c>
      <c r="AB151" s="232">
        <f>VLOOKUP(AA151,FACTS!$B$2:$L$14,10,FALSE)</f>
        <v>45687.5</v>
      </c>
      <c r="AC151" s="232">
        <f>VLOOKUP(AA151,FACTS!$B$2:$L$14,11,FALSE)</f>
        <v>51062.5</v>
      </c>
      <c r="AD151" s="232">
        <f>VLOOKUP(AA151,FACTS!$B$2:$N$14,13,FALSE)</f>
        <v>5375</v>
      </c>
      <c r="AE151" s="232">
        <f t="shared" si="23"/>
        <v>3413.125</v>
      </c>
      <c r="AF151" s="232">
        <f t="shared" si="24"/>
        <v>49100.625</v>
      </c>
      <c r="AG151" s="232">
        <f>AF151*FACTS!$T$2</f>
        <v>16203.206250000001</v>
      </c>
      <c r="AH151" s="232">
        <f>Table1[[#This Row],[UNIT (BUILDING) RATE (SEMI FINISHED)]]+4500</f>
        <v>53600.625</v>
      </c>
      <c r="AI151" s="232">
        <f>Table1[[#This Row],[UNIT (BUILDING) RATE (SEMI FINISHED)]]+7500</f>
        <v>56600.625</v>
      </c>
      <c r="AJ151" s="232">
        <f t="shared" si="25"/>
        <v>5499270</v>
      </c>
      <c r="AK151" s="232">
        <f>Table1[[#This Row],[UNIT (BUILDING) RATE (BASIC FINISH)]]*Table1[[#This Row],[Unit Selling Area]]</f>
        <v>6003270</v>
      </c>
      <c r="AL151" s="232">
        <f>Table1[[#This Row],[UNIT (BUILDING) RATE (FULLY FINISH)]]*Table1[[#This Row],[Unit Selling Area]]</f>
        <v>6339270</v>
      </c>
      <c r="AM151" s="232">
        <f t="shared" si="26"/>
        <v>0</v>
      </c>
      <c r="AN151" s="232">
        <f>(AM151+AJ151)*FACTS!$S$2</f>
        <v>467437.95</v>
      </c>
      <c r="AO151" s="101">
        <f>VLOOKUP(S151,FACTS!$A$17:$C$23,3,FALSE)</f>
        <v>1</v>
      </c>
      <c r="AP151" s="232">
        <f>VLOOKUP(AA151,FACTS!$B$2:$J$14,9,FALSE)</f>
        <v>215000</v>
      </c>
      <c r="AQ151" s="232">
        <f>Table1[[#This Row],[PARKING VALUE]]*1</f>
        <v>215000</v>
      </c>
      <c r="AR151" s="232">
        <f t="shared" si="20"/>
        <v>5714270</v>
      </c>
      <c r="AS151" s="440">
        <f>Table1[[#This Row],[TOTAL CARS VALUE]]+Table1[[#This Row],[UNIT (BUILDING) VALUE BASIC FINISHED]]+Table1[[#This Row],[UNIT (GARDEN) VALUE]]</f>
        <v>6218270</v>
      </c>
      <c r="AT151" s="232">
        <f>Table1[[#This Row],[TOTAL CARS VALUE]]+Table1[[#This Row],[UNIT (GARDEN) VALUE]]+Table1[[#This Row],[UNIT (BUILDING) VALUE FULLY FINISHED]]</f>
        <v>6554270</v>
      </c>
      <c r="AU151" s="233">
        <f>VLOOKUP(I151,'C PHASES'!$I$108:$J$110,2,FALSE)</f>
        <v>45839</v>
      </c>
      <c r="AV151" s="233">
        <f>VLOOKUP(AA151,'C PHASES'!$I$113:$J$125,2,FALSE)</f>
        <v>45474</v>
      </c>
    </row>
    <row r="152" spans="1:48" ht="15" customHeight="1" x14ac:dyDescent="0.25">
      <c r="A152" s="235"/>
      <c r="B152" s="227" t="str">
        <f t="shared" si="21"/>
        <v>A</v>
      </c>
      <c r="C152" s="227" t="s">
        <v>28</v>
      </c>
      <c r="D152" s="227" t="s">
        <v>1147</v>
      </c>
      <c r="E152" s="228">
        <v>2</v>
      </c>
      <c r="F152" s="101">
        <v>4</v>
      </c>
      <c r="G152" s="87" t="str">
        <f t="shared" si="27"/>
        <v>A724</v>
      </c>
      <c r="H152" s="87" t="s">
        <v>1293</v>
      </c>
      <c r="I152" s="89" t="str">
        <f>VLOOKUP(C152,'PREMIUM TABLES'!$G$107:$H$149,2,FALSE)</f>
        <v>C1</v>
      </c>
      <c r="J152" s="87">
        <v>90.91</v>
      </c>
      <c r="K152" s="87">
        <v>99.652297402019258</v>
      </c>
      <c r="L152" s="87">
        <v>112</v>
      </c>
      <c r="O152" s="87" t="s">
        <v>184</v>
      </c>
      <c r="P152" s="87" t="s">
        <v>190</v>
      </c>
      <c r="Q152" s="229" t="s">
        <v>198</v>
      </c>
      <c r="R152" s="87" t="str">
        <f>VLOOKUP(E152,'PREMIUM TABLES'!$F$214:$G$219,2,FALSE)</f>
        <v>SECOND</v>
      </c>
      <c r="S152" s="87" t="str" cm="1">
        <f t="array" ref="S152">IF(AND(L152&gt;0,L152&lt;90),"A",IF(AND(L152&gt;90,L152&lt;123),"B",IF(AND(L152&gt;122,L152&lt;159),"C",IF(AND(L152&gt;159,L152&lt;185),"D",IF(AND(L152&gt;185,L152&lt;230),"E",IF(AND(L152&gt;230,L152&lt;350),"F",NONE))))))</f>
        <v>B</v>
      </c>
      <c r="T152" s="230">
        <f>VLOOKUP(O152,'PREMIUM TABLES'!$G$165:$H$172,2,FALSE)</f>
        <v>0.15</v>
      </c>
      <c r="U152" s="230">
        <f>VLOOKUP(P152,'PREMIUM TABLES'!$G$208:$H$209,2,FALSE)</f>
        <v>2.5000000000000001E-2</v>
      </c>
      <c r="V152" s="230">
        <f>VLOOKUP(Q152,'PREMIUM TABLES'!$G$175:$H$195,2,FALSE)</f>
        <v>0.15</v>
      </c>
      <c r="W152" s="230">
        <f>VLOOKUP(R152,'PREMIUM TABLES'!$G$214:$H$219,2,FALSE)</f>
        <v>0.11</v>
      </c>
      <c r="X152" s="230">
        <f>VLOOKUP(S152,'PREMIUM TABLES'!$F$199:$H$205,3,FALSE)</f>
        <v>0.04</v>
      </c>
      <c r="Y152" s="231">
        <f t="shared" si="22"/>
        <v>0.47499999999999992</v>
      </c>
      <c r="Z152" s="231" t="str" cm="1">
        <f t="array" ref="Z152">IF(AND(Y152&gt;0,Y152&lt;0.5),"C",IF(AND(Y152&gt;=0.5,Y152&lt;0.73),"B",IF(AND(Y152&gt;=0.73,Y152&lt;0.98),"A",NONE)))</f>
        <v>C</v>
      </c>
      <c r="AA152" s="231" t="str">
        <f>VLOOKUP(G152,'ALL (R)'!$N$5:$R$862,5,FALSE)</f>
        <v>R 12</v>
      </c>
      <c r="AB152" s="232">
        <f>VLOOKUP(AA152,FACTS!$B$2:$L$14,10,FALSE)</f>
        <v>61625</v>
      </c>
      <c r="AC152" s="232">
        <f>VLOOKUP(AA152,FACTS!$B$2:$L$14,11,FALSE)</f>
        <v>68875</v>
      </c>
      <c r="AD152" s="232">
        <f>VLOOKUP(AA152,FACTS!$B$2:$N$14,13,FALSE)</f>
        <v>7250</v>
      </c>
      <c r="AE152" s="232">
        <f t="shared" si="23"/>
        <v>3443.7499999999995</v>
      </c>
      <c r="AF152" s="232">
        <f t="shared" si="24"/>
        <v>65068.75</v>
      </c>
      <c r="AG152" s="232">
        <f>AF152*FACTS!$T$2</f>
        <v>21472.6875</v>
      </c>
      <c r="AH152" s="232">
        <f>Table1[[#This Row],[UNIT (BUILDING) RATE (SEMI FINISHED)]]+4500</f>
        <v>69568.75</v>
      </c>
      <c r="AI152" s="232">
        <f>Table1[[#This Row],[UNIT (BUILDING) RATE (SEMI FINISHED)]]+7500</f>
        <v>72568.75</v>
      </c>
      <c r="AJ152" s="232">
        <f t="shared" si="25"/>
        <v>7287700</v>
      </c>
      <c r="AK152" s="232">
        <f>Table1[[#This Row],[UNIT (BUILDING) RATE (BASIC FINISH)]]*Table1[[#This Row],[Unit Selling Area]]</f>
        <v>7791700</v>
      </c>
      <c r="AL152" s="232">
        <f>Table1[[#This Row],[UNIT (BUILDING) RATE (FULLY FINISH)]]*Table1[[#This Row],[Unit Selling Area]]</f>
        <v>8127700</v>
      </c>
      <c r="AM152" s="232">
        <f t="shared" si="26"/>
        <v>0</v>
      </c>
      <c r="AN152" s="232">
        <f>(AM152+AJ152)*FACTS!$S$2</f>
        <v>619454.5</v>
      </c>
      <c r="AO152" s="101">
        <f>VLOOKUP(S152,FACTS!$A$17:$C$23,3,FALSE)</f>
        <v>1</v>
      </c>
      <c r="AP152" s="232">
        <f>VLOOKUP(AA152,FACTS!$B$2:$J$14,9,FALSE)</f>
        <v>290000</v>
      </c>
      <c r="AQ152" s="232">
        <f>Table1[[#This Row],[PARKING VALUE]]*1</f>
        <v>290000</v>
      </c>
      <c r="AR152" s="232">
        <f t="shared" si="20"/>
        <v>7577700</v>
      </c>
      <c r="AS152" s="440">
        <f>Table1[[#This Row],[TOTAL CARS VALUE]]+Table1[[#This Row],[UNIT (BUILDING) VALUE BASIC FINISHED]]+Table1[[#This Row],[UNIT (GARDEN) VALUE]]</f>
        <v>8081700</v>
      </c>
      <c r="AT152" s="232">
        <f>Table1[[#This Row],[TOTAL CARS VALUE]]+Table1[[#This Row],[UNIT (GARDEN) VALUE]]+Table1[[#This Row],[UNIT (BUILDING) VALUE FULLY FINISHED]]</f>
        <v>8417700</v>
      </c>
      <c r="AU152" s="233">
        <f>VLOOKUP(I152,'C PHASES'!$I$108:$J$110,2,FALSE)</f>
        <v>45839</v>
      </c>
      <c r="AV152" s="233">
        <f>VLOOKUP(AA152,'C PHASES'!$I$113:$J$125,2,FALSE)</f>
        <v>46204</v>
      </c>
    </row>
    <row r="153" spans="1:48" ht="15" customHeight="1" x14ac:dyDescent="0.25">
      <c r="A153" s="235"/>
      <c r="B153" s="227" t="str">
        <f t="shared" si="21"/>
        <v>A</v>
      </c>
      <c r="C153" s="227" t="s">
        <v>28</v>
      </c>
      <c r="D153" s="227" t="s">
        <v>1147</v>
      </c>
      <c r="E153" s="228">
        <v>3</v>
      </c>
      <c r="F153" s="101">
        <v>1</v>
      </c>
      <c r="G153" s="87" t="str">
        <f t="shared" si="27"/>
        <v>A731</v>
      </c>
      <c r="H153" s="87" t="s">
        <v>1293</v>
      </c>
      <c r="I153" s="89" t="str">
        <f>VLOOKUP(C153,'PREMIUM TABLES'!$G$107:$H$149,2,FALSE)</f>
        <v>C1</v>
      </c>
      <c r="J153" s="87">
        <v>97.09</v>
      </c>
      <c r="K153" s="87">
        <v>106.42659283645419</v>
      </c>
      <c r="L153" s="87">
        <v>119</v>
      </c>
      <c r="O153" s="87" t="s">
        <v>184</v>
      </c>
      <c r="P153" s="87" t="s">
        <v>190</v>
      </c>
      <c r="Q153" s="229" t="s">
        <v>198</v>
      </c>
      <c r="R153" s="87" t="str">
        <f>VLOOKUP(E153,'PREMIUM TABLES'!$F$214:$G$219,2,FALSE)</f>
        <v>THIRD</v>
      </c>
      <c r="S153" s="87" t="str" cm="1">
        <f t="array" ref="S153">IF(AND(L153&gt;0,L153&lt;90),"A",IF(AND(L153&gt;90,L153&lt;123),"B",IF(AND(L153&gt;122,L153&lt;159),"C",IF(AND(L153&gt;159,L153&lt;185),"D",IF(AND(L153&gt;185,L153&lt;230),"E",IF(AND(L153&gt;230,L153&lt;350),"F",NONE))))))</f>
        <v>B</v>
      </c>
      <c r="T153" s="230">
        <f>VLOOKUP(O153,'PREMIUM TABLES'!$G$165:$H$172,2,FALSE)</f>
        <v>0.15</v>
      </c>
      <c r="U153" s="230">
        <f>VLOOKUP(P153,'PREMIUM TABLES'!$G$208:$H$209,2,FALSE)</f>
        <v>2.5000000000000001E-2</v>
      </c>
      <c r="V153" s="230">
        <f>VLOOKUP(Q153,'PREMIUM TABLES'!$G$175:$H$195,2,FALSE)</f>
        <v>0.15</v>
      </c>
      <c r="W153" s="230">
        <f>VLOOKUP(R153,'PREMIUM TABLES'!$G$214:$H$219,2,FALSE)</f>
        <v>0.15</v>
      </c>
      <c r="X153" s="230">
        <f>VLOOKUP(S153,'PREMIUM TABLES'!$F$199:$H$205,3,FALSE)</f>
        <v>0.04</v>
      </c>
      <c r="Y153" s="231">
        <f t="shared" si="22"/>
        <v>0.51500000000000001</v>
      </c>
      <c r="Z153" s="231" t="str" cm="1">
        <f t="array" ref="Z153">IF(AND(Y153&gt;0,Y153&lt;0.5),"C",IF(AND(Y153&gt;=0.5,Y153&lt;0.73),"B",IF(AND(Y153&gt;=0.73,Y153&lt;0.98),"A",NONE)))</f>
        <v>B</v>
      </c>
      <c r="AA153" s="231" t="str">
        <f>VLOOKUP(G153,'ALL (R)'!$N$5:$R$862,5,FALSE)</f>
        <v>R 1</v>
      </c>
      <c r="AB153" s="232">
        <f>VLOOKUP(AA153,FACTS!$B$2:$L$14,10,FALSE)</f>
        <v>42500</v>
      </c>
      <c r="AC153" s="232">
        <f>VLOOKUP(AA153,FACTS!$B$2:$L$14,11,FALSE)</f>
        <v>47500</v>
      </c>
      <c r="AD153" s="232">
        <f>VLOOKUP(AA153,FACTS!$B$2:$N$14,13,FALSE)</f>
        <v>5000</v>
      </c>
      <c r="AE153" s="232">
        <f t="shared" si="23"/>
        <v>2575</v>
      </c>
      <c r="AF153" s="232">
        <f t="shared" si="24"/>
        <v>45075</v>
      </c>
      <c r="AG153" s="232">
        <f>AF153*FACTS!$T$2</f>
        <v>14874.75</v>
      </c>
      <c r="AH153" s="232">
        <f>Table1[[#This Row],[UNIT (BUILDING) RATE (SEMI FINISHED)]]+4500</f>
        <v>49575</v>
      </c>
      <c r="AI153" s="232">
        <f>Table1[[#This Row],[UNIT (BUILDING) RATE (SEMI FINISHED)]]+7500</f>
        <v>52575</v>
      </c>
      <c r="AJ153" s="232">
        <f t="shared" si="25"/>
        <v>5363925</v>
      </c>
      <c r="AK153" s="232">
        <f>Table1[[#This Row],[UNIT (BUILDING) RATE (BASIC FINISH)]]*Table1[[#This Row],[Unit Selling Area]]</f>
        <v>5899425</v>
      </c>
      <c r="AL153" s="232">
        <f>Table1[[#This Row],[UNIT (BUILDING) RATE (FULLY FINISH)]]*Table1[[#This Row],[Unit Selling Area]]</f>
        <v>6256425</v>
      </c>
      <c r="AM153" s="232">
        <f t="shared" si="26"/>
        <v>0</v>
      </c>
      <c r="AN153" s="232">
        <f>(AM153+AJ153)*FACTS!$S$2</f>
        <v>455933.62500000006</v>
      </c>
      <c r="AO153" s="101">
        <f>VLOOKUP(S153,FACTS!$A$17:$C$23,3,FALSE)</f>
        <v>1</v>
      </c>
      <c r="AP153" s="232">
        <f>VLOOKUP(AA153,FACTS!$B$2:$J$14,9,FALSE)</f>
        <v>200000</v>
      </c>
      <c r="AQ153" s="232">
        <f>Table1[[#This Row],[PARKING VALUE]]*1</f>
        <v>200000</v>
      </c>
      <c r="AR153" s="232">
        <f t="shared" si="20"/>
        <v>5563925</v>
      </c>
      <c r="AS153" s="440">
        <f>Table1[[#This Row],[TOTAL CARS VALUE]]+Table1[[#This Row],[UNIT (BUILDING) VALUE BASIC FINISHED]]+Table1[[#This Row],[UNIT (GARDEN) VALUE]]</f>
        <v>6099425</v>
      </c>
      <c r="AT153" s="232">
        <f>Table1[[#This Row],[TOTAL CARS VALUE]]+Table1[[#This Row],[UNIT (GARDEN) VALUE]]+Table1[[#This Row],[UNIT (BUILDING) VALUE FULLY FINISHED]]</f>
        <v>6456425</v>
      </c>
      <c r="AU153" s="233">
        <f>VLOOKUP(I153,'C PHASES'!$I$108:$J$110,2,FALSE)</f>
        <v>45839</v>
      </c>
      <c r="AV153" s="233">
        <f>VLOOKUP(AA153,'C PHASES'!$I$113:$J$125,2,FALSE)</f>
        <v>45170</v>
      </c>
    </row>
    <row r="154" spans="1:48" ht="15" customHeight="1" x14ac:dyDescent="0.25">
      <c r="A154" s="235"/>
      <c r="B154" s="227" t="str">
        <f t="shared" si="21"/>
        <v>A</v>
      </c>
      <c r="C154" s="227" t="s">
        <v>28</v>
      </c>
      <c r="D154" s="227" t="s">
        <v>1147</v>
      </c>
      <c r="E154" s="228">
        <v>3</v>
      </c>
      <c r="F154" s="101">
        <v>2</v>
      </c>
      <c r="G154" s="87" t="str">
        <f t="shared" si="27"/>
        <v>A732</v>
      </c>
      <c r="H154" s="87" t="s">
        <v>1293</v>
      </c>
      <c r="I154" s="89" t="str">
        <f>VLOOKUP(C154,'PREMIUM TABLES'!$G$107:$H$149,2,FALSE)</f>
        <v>C1</v>
      </c>
      <c r="J154" s="87">
        <v>97.09</v>
      </c>
      <c r="K154" s="87">
        <v>106.42659283645419</v>
      </c>
      <c r="L154" s="87">
        <v>119</v>
      </c>
      <c r="O154" s="87" t="s">
        <v>185</v>
      </c>
      <c r="P154" s="87" t="s">
        <v>190</v>
      </c>
      <c r="Q154" s="229" t="s">
        <v>214</v>
      </c>
      <c r="R154" s="87" t="str">
        <f>VLOOKUP(E154,'PREMIUM TABLES'!$F$214:$G$219,2,FALSE)</f>
        <v>THIRD</v>
      </c>
      <c r="S154" s="87" t="str" cm="1">
        <f t="array" ref="S154">IF(AND(L154&gt;0,L154&lt;90),"A",IF(AND(L154&gt;90,L154&lt;123),"B",IF(AND(L154&gt;122,L154&lt;159),"C",IF(AND(L154&gt;159,L154&lt;185),"D",IF(AND(L154&gt;185,L154&lt;230),"E",IF(AND(L154&gt;230,L154&lt;350),"F",NONE))))))</f>
        <v>B</v>
      </c>
      <c r="T154" s="230">
        <f>VLOOKUP(O154,'PREMIUM TABLES'!$G$165:$H$172,2,FALSE)</f>
        <v>0.06</v>
      </c>
      <c r="U154" s="230">
        <f>VLOOKUP(P154,'PREMIUM TABLES'!$G$208:$H$209,2,FALSE)</f>
        <v>2.5000000000000001E-2</v>
      </c>
      <c r="V154" s="230">
        <f>VLOOKUP(Q154,'PREMIUM TABLES'!$G$175:$H$195,2,FALSE)</f>
        <v>0.4</v>
      </c>
      <c r="W154" s="230">
        <f>VLOOKUP(R154,'PREMIUM TABLES'!$G$214:$H$219,2,FALSE)</f>
        <v>0.15</v>
      </c>
      <c r="X154" s="230">
        <f>VLOOKUP(S154,'PREMIUM TABLES'!$F$199:$H$205,3,FALSE)</f>
        <v>0.04</v>
      </c>
      <c r="Y154" s="231">
        <f t="shared" si="22"/>
        <v>0.67500000000000004</v>
      </c>
      <c r="Z154" s="231" t="str" cm="1">
        <f t="array" ref="Z154">IF(AND(Y154&gt;0,Y154&lt;0.5),"C",IF(AND(Y154&gt;=0.5,Y154&lt;0.73),"B",IF(AND(Y154&gt;=0.73,Y154&lt;0.98),"A",NONE)))</f>
        <v>B</v>
      </c>
      <c r="AA154" s="231" t="str">
        <f>VLOOKUP(G154,'ALL (R)'!$N$5:$R$862,5,FALSE)</f>
        <v>R 6</v>
      </c>
      <c r="AB154" s="232">
        <f>VLOOKUP(AA154,FACTS!$B$2:$L$14,10,FALSE)</f>
        <v>48450.000000000007</v>
      </c>
      <c r="AC154" s="232">
        <f>VLOOKUP(AA154,FACTS!$B$2:$L$14,11,FALSE)</f>
        <v>54150.000000000007</v>
      </c>
      <c r="AD154" s="232">
        <f>VLOOKUP(AA154,FACTS!$B$2:$N$14,13,FALSE)</f>
        <v>5700</v>
      </c>
      <c r="AE154" s="232">
        <f t="shared" si="23"/>
        <v>3847.5000000000005</v>
      </c>
      <c r="AF154" s="232">
        <f t="shared" si="24"/>
        <v>52297.500000000007</v>
      </c>
      <c r="AG154" s="232">
        <f>AF154*FACTS!$T$2</f>
        <v>17258.175000000003</v>
      </c>
      <c r="AH154" s="232">
        <f>Table1[[#This Row],[UNIT (BUILDING) RATE (SEMI FINISHED)]]+4500</f>
        <v>56797.500000000007</v>
      </c>
      <c r="AI154" s="232">
        <f>Table1[[#This Row],[UNIT (BUILDING) RATE (SEMI FINISHED)]]+7500</f>
        <v>59797.500000000007</v>
      </c>
      <c r="AJ154" s="232">
        <f t="shared" si="25"/>
        <v>6223402.5000000009</v>
      </c>
      <c r="AK154" s="232">
        <f>Table1[[#This Row],[UNIT (BUILDING) RATE (BASIC FINISH)]]*Table1[[#This Row],[Unit Selling Area]]</f>
        <v>6758902.5000000009</v>
      </c>
      <c r="AL154" s="232">
        <f>Table1[[#This Row],[UNIT (BUILDING) RATE (FULLY FINISH)]]*Table1[[#This Row],[Unit Selling Area]]</f>
        <v>7115902.5000000009</v>
      </c>
      <c r="AM154" s="232">
        <f t="shared" si="26"/>
        <v>0</v>
      </c>
      <c r="AN154" s="232">
        <f>(AM154+AJ154)*FACTS!$S$2</f>
        <v>528989.21250000014</v>
      </c>
      <c r="AO154" s="101">
        <f>VLOOKUP(S154,FACTS!$A$17:$C$23,3,FALSE)</f>
        <v>1</v>
      </c>
      <c r="AP154" s="232">
        <f>VLOOKUP(AA154,FACTS!$B$2:$J$14,9,FALSE)</f>
        <v>228000.00000000003</v>
      </c>
      <c r="AQ154" s="232">
        <f>Table1[[#This Row],[PARKING VALUE]]*1</f>
        <v>228000.00000000003</v>
      </c>
      <c r="AR154" s="232">
        <f t="shared" si="20"/>
        <v>6451402.5000000009</v>
      </c>
      <c r="AS154" s="440">
        <f>Table1[[#This Row],[TOTAL CARS VALUE]]+Table1[[#This Row],[UNIT (BUILDING) VALUE BASIC FINISHED]]+Table1[[#This Row],[UNIT (GARDEN) VALUE]]</f>
        <v>6986902.5000000009</v>
      </c>
      <c r="AT154" s="232">
        <f>Table1[[#This Row],[TOTAL CARS VALUE]]+Table1[[#This Row],[UNIT (GARDEN) VALUE]]+Table1[[#This Row],[UNIT (BUILDING) VALUE FULLY FINISHED]]</f>
        <v>7343902.5000000009</v>
      </c>
      <c r="AU154" s="233">
        <f>VLOOKUP(I154,'C PHASES'!$I$108:$J$110,2,FALSE)</f>
        <v>45839</v>
      </c>
      <c r="AV154" s="233">
        <f>VLOOKUP(AA154,'C PHASES'!$I$113:$J$125,2,FALSE)</f>
        <v>45658</v>
      </c>
    </row>
    <row r="155" spans="1:48" ht="15" customHeight="1" x14ac:dyDescent="0.25">
      <c r="A155" s="235"/>
      <c r="B155" s="227" t="str">
        <f t="shared" si="21"/>
        <v>A</v>
      </c>
      <c r="C155" s="227" t="s">
        <v>28</v>
      </c>
      <c r="D155" s="227" t="s">
        <v>1147</v>
      </c>
      <c r="E155" s="228">
        <v>3</v>
      </c>
      <c r="F155" s="101">
        <v>3</v>
      </c>
      <c r="G155" s="87" t="str">
        <f t="shared" si="27"/>
        <v>A733</v>
      </c>
      <c r="H155" s="87" t="s">
        <v>1293</v>
      </c>
      <c r="I155" s="89" t="str">
        <f>VLOOKUP(C155,'PREMIUM TABLES'!$G$107:$H$149,2,FALSE)</f>
        <v>C1</v>
      </c>
      <c r="J155" s="87">
        <v>89.05</v>
      </c>
      <c r="K155" s="87">
        <v>97.613431785830102</v>
      </c>
      <c r="L155" s="87">
        <v>110</v>
      </c>
      <c r="O155" s="87" t="s">
        <v>185</v>
      </c>
      <c r="P155" s="87" t="s">
        <v>190</v>
      </c>
      <c r="Q155" s="229" t="s">
        <v>214</v>
      </c>
      <c r="R155" s="87" t="str">
        <f>VLOOKUP(E155,'PREMIUM TABLES'!$F$214:$G$219,2,FALSE)</f>
        <v>THIRD</v>
      </c>
      <c r="S155" s="87" t="str" cm="1">
        <f t="array" ref="S155">IF(AND(L155&gt;0,L155&lt;90),"A",IF(AND(L155&gt;90,L155&lt;123),"B",IF(AND(L155&gt;122,L155&lt;159),"C",IF(AND(L155&gt;159,L155&lt;185),"D",IF(AND(L155&gt;185,L155&lt;230),"E",IF(AND(L155&gt;230,L155&lt;350),"F",NONE))))))</f>
        <v>B</v>
      </c>
      <c r="T155" s="230">
        <f>VLOOKUP(O155,'PREMIUM TABLES'!$G$165:$H$172,2,FALSE)</f>
        <v>0.06</v>
      </c>
      <c r="U155" s="230">
        <f>VLOOKUP(P155,'PREMIUM TABLES'!$G$208:$H$209,2,FALSE)</f>
        <v>2.5000000000000001E-2</v>
      </c>
      <c r="V155" s="230">
        <f>VLOOKUP(Q155,'PREMIUM TABLES'!$G$175:$H$195,2,FALSE)</f>
        <v>0.4</v>
      </c>
      <c r="W155" s="230">
        <f>VLOOKUP(R155,'PREMIUM TABLES'!$G$214:$H$219,2,FALSE)</f>
        <v>0.15</v>
      </c>
      <c r="X155" s="230">
        <f>VLOOKUP(S155,'PREMIUM TABLES'!$F$199:$H$205,3,FALSE)</f>
        <v>0.04</v>
      </c>
      <c r="Y155" s="231">
        <f t="shared" si="22"/>
        <v>0.67500000000000004</v>
      </c>
      <c r="Z155" s="231" t="str" cm="1">
        <f t="array" ref="Z155">IF(AND(Y155&gt;0,Y155&lt;0.5),"C",IF(AND(Y155&gt;=0.5,Y155&lt;0.73),"B",IF(AND(Y155&gt;=0.73,Y155&lt;0.98),"A",NONE)))</f>
        <v>B</v>
      </c>
      <c r="AA155" s="231" t="str">
        <f>VLOOKUP(G155,'ALL (R)'!$N$5:$R$862,5,FALSE)</f>
        <v>R 6</v>
      </c>
      <c r="AB155" s="232">
        <f>VLOOKUP(AA155,FACTS!$B$2:$L$14,10,FALSE)</f>
        <v>48450.000000000007</v>
      </c>
      <c r="AC155" s="232">
        <f>VLOOKUP(AA155,FACTS!$B$2:$L$14,11,FALSE)</f>
        <v>54150.000000000007</v>
      </c>
      <c r="AD155" s="232">
        <f>VLOOKUP(AA155,FACTS!$B$2:$N$14,13,FALSE)</f>
        <v>5700</v>
      </c>
      <c r="AE155" s="232">
        <f t="shared" si="23"/>
        <v>3847.5000000000005</v>
      </c>
      <c r="AF155" s="232">
        <f t="shared" si="24"/>
        <v>52297.500000000007</v>
      </c>
      <c r="AG155" s="232">
        <f>AF155*FACTS!$T$2</f>
        <v>17258.175000000003</v>
      </c>
      <c r="AH155" s="232">
        <f>Table1[[#This Row],[UNIT (BUILDING) RATE (SEMI FINISHED)]]+4500</f>
        <v>56797.500000000007</v>
      </c>
      <c r="AI155" s="232">
        <f>Table1[[#This Row],[UNIT (BUILDING) RATE (SEMI FINISHED)]]+7500</f>
        <v>59797.500000000007</v>
      </c>
      <c r="AJ155" s="232">
        <f t="shared" si="25"/>
        <v>5752725.0000000009</v>
      </c>
      <c r="AK155" s="232">
        <f>Table1[[#This Row],[UNIT (BUILDING) RATE (BASIC FINISH)]]*Table1[[#This Row],[Unit Selling Area]]</f>
        <v>6247725.0000000009</v>
      </c>
      <c r="AL155" s="232">
        <f>Table1[[#This Row],[UNIT (BUILDING) RATE (FULLY FINISH)]]*Table1[[#This Row],[Unit Selling Area]]</f>
        <v>6577725.0000000009</v>
      </c>
      <c r="AM155" s="232">
        <f t="shared" si="26"/>
        <v>0</v>
      </c>
      <c r="AN155" s="232">
        <f>(AM155+AJ155)*FACTS!$S$2</f>
        <v>488981.62500000012</v>
      </c>
      <c r="AO155" s="101">
        <f>VLOOKUP(S155,FACTS!$A$17:$C$23,3,FALSE)</f>
        <v>1</v>
      </c>
      <c r="AP155" s="232">
        <f>VLOOKUP(AA155,FACTS!$B$2:$J$14,9,FALSE)</f>
        <v>228000.00000000003</v>
      </c>
      <c r="AQ155" s="232">
        <f>Table1[[#This Row],[PARKING VALUE]]*1</f>
        <v>228000.00000000003</v>
      </c>
      <c r="AR155" s="232">
        <f t="shared" si="20"/>
        <v>5980725.0000000009</v>
      </c>
      <c r="AS155" s="440">
        <f>Table1[[#This Row],[TOTAL CARS VALUE]]+Table1[[#This Row],[UNIT (BUILDING) VALUE BASIC FINISHED]]+Table1[[#This Row],[UNIT (GARDEN) VALUE]]</f>
        <v>6475725.0000000009</v>
      </c>
      <c r="AT155" s="232">
        <f>Table1[[#This Row],[TOTAL CARS VALUE]]+Table1[[#This Row],[UNIT (GARDEN) VALUE]]+Table1[[#This Row],[UNIT (BUILDING) VALUE FULLY FINISHED]]</f>
        <v>6805725.0000000009</v>
      </c>
      <c r="AU155" s="233">
        <f>VLOOKUP(I155,'C PHASES'!$I$108:$J$110,2,FALSE)</f>
        <v>45839</v>
      </c>
      <c r="AV155" s="233">
        <f>VLOOKUP(AA155,'C PHASES'!$I$113:$J$125,2,FALSE)</f>
        <v>45658</v>
      </c>
    </row>
    <row r="156" spans="1:48" ht="15" customHeight="1" x14ac:dyDescent="0.25">
      <c r="A156" s="235"/>
      <c r="B156" s="227" t="str">
        <f t="shared" si="21"/>
        <v>A</v>
      </c>
      <c r="C156" s="227" t="s">
        <v>28</v>
      </c>
      <c r="D156" s="227" t="s">
        <v>1147</v>
      </c>
      <c r="E156" s="228">
        <v>3</v>
      </c>
      <c r="F156" s="101">
        <v>4</v>
      </c>
      <c r="G156" s="87" t="str">
        <f t="shared" si="27"/>
        <v>A734</v>
      </c>
      <c r="H156" s="87" t="s">
        <v>1293</v>
      </c>
      <c r="I156" s="89" t="str">
        <f>VLOOKUP(C156,'PREMIUM TABLES'!$G$107:$H$149,2,FALSE)</f>
        <v>C1</v>
      </c>
      <c r="J156" s="87">
        <v>89.05</v>
      </c>
      <c r="K156" s="87">
        <v>97.613431785830102</v>
      </c>
      <c r="L156" s="87">
        <v>110</v>
      </c>
      <c r="O156" s="87" t="s">
        <v>184</v>
      </c>
      <c r="P156" s="87" t="s">
        <v>190</v>
      </c>
      <c r="Q156" s="229" t="s">
        <v>198</v>
      </c>
      <c r="R156" s="87" t="str">
        <f>VLOOKUP(E156,'PREMIUM TABLES'!$F$214:$G$219,2,FALSE)</f>
        <v>THIRD</v>
      </c>
      <c r="S156" s="87" t="str" cm="1">
        <f t="array" ref="S156">IF(AND(L156&gt;0,L156&lt;90),"A",IF(AND(L156&gt;90,L156&lt;123),"B",IF(AND(L156&gt;122,L156&lt;159),"C",IF(AND(L156&gt;159,L156&lt;185),"D",IF(AND(L156&gt;185,L156&lt;230),"E",IF(AND(L156&gt;230,L156&lt;350),"F",NONE))))))</f>
        <v>B</v>
      </c>
      <c r="T156" s="230">
        <f>VLOOKUP(O156,'PREMIUM TABLES'!$G$165:$H$172,2,FALSE)</f>
        <v>0.15</v>
      </c>
      <c r="U156" s="230">
        <f>VLOOKUP(P156,'PREMIUM TABLES'!$G$208:$H$209,2,FALSE)</f>
        <v>2.5000000000000001E-2</v>
      </c>
      <c r="V156" s="230">
        <f>VLOOKUP(Q156,'PREMIUM TABLES'!$G$175:$H$195,2,FALSE)</f>
        <v>0.15</v>
      </c>
      <c r="W156" s="230">
        <f>VLOOKUP(R156,'PREMIUM TABLES'!$G$214:$H$219,2,FALSE)</f>
        <v>0.15</v>
      </c>
      <c r="X156" s="230">
        <f>VLOOKUP(S156,'PREMIUM TABLES'!$F$199:$H$205,3,FALSE)</f>
        <v>0.04</v>
      </c>
      <c r="Y156" s="231">
        <f t="shared" si="22"/>
        <v>0.51500000000000001</v>
      </c>
      <c r="Z156" s="231" t="str" cm="1">
        <f t="array" ref="Z156">IF(AND(Y156&gt;0,Y156&lt;0.5),"C",IF(AND(Y156&gt;=0.5,Y156&lt;0.73),"B",IF(AND(Y156&gt;=0.73,Y156&lt;0.98),"A",NONE)))</f>
        <v>B</v>
      </c>
      <c r="AA156" s="231" t="str">
        <f>VLOOKUP(G156,'ALL (R)'!$N$5:$R$862,5,FALSE)</f>
        <v>R 1</v>
      </c>
      <c r="AB156" s="232">
        <f>VLOOKUP(AA156,FACTS!$B$2:$L$14,10,FALSE)</f>
        <v>42500</v>
      </c>
      <c r="AC156" s="232">
        <f>VLOOKUP(AA156,FACTS!$B$2:$L$14,11,FALSE)</f>
        <v>47500</v>
      </c>
      <c r="AD156" s="232">
        <f>VLOOKUP(AA156,FACTS!$B$2:$N$14,13,FALSE)</f>
        <v>5000</v>
      </c>
      <c r="AE156" s="232">
        <f t="shared" si="23"/>
        <v>2575</v>
      </c>
      <c r="AF156" s="232">
        <f t="shared" si="24"/>
        <v>45075</v>
      </c>
      <c r="AG156" s="232">
        <f>AF156*FACTS!$T$2</f>
        <v>14874.75</v>
      </c>
      <c r="AH156" s="232">
        <f>Table1[[#This Row],[UNIT (BUILDING) RATE (SEMI FINISHED)]]+4500</f>
        <v>49575</v>
      </c>
      <c r="AI156" s="232">
        <f>Table1[[#This Row],[UNIT (BUILDING) RATE (SEMI FINISHED)]]+7500</f>
        <v>52575</v>
      </c>
      <c r="AJ156" s="232">
        <f t="shared" si="25"/>
        <v>4958250</v>
      </c>
      <c r="AK156" s="232">
        <f>Table1[[#This Row],[UNIT (BUILDING) RATE (BASIC FINISH)]]*Table1[[#This Row],[Unit Selling Area]]</f>
        <v>5453250</v>
      </c>
      <c r="AL156" s="232">
        <f>Table1[[#This Row],[UNIT (BUILDING) RATE (FULLY FINISH)]]*Table1[[#This Row],[Unit Selling Area]]</f>
        <v>5783250</v>
      </c>
      <c r="AM156" s="232">
        <f t="shared" si="26"/>
        <v>0</v>
      </c>
      <c r="AN156" s="232">
        <f>(AM156+AJ156)*FACTS!$S$2</f>
        <v>421451.25000000006</v>
      </c>
      <c r="AO156" s="101">
        <f>VLOOKUP(S156,FACTS!$A$17:$C$23,3,FALSE)</f>
        <v>1</v>
      </c>
      <c r="AP156" s="232">
        <f>VLOOKUP(AA156,FACTS!$B$2:$J$14,9,FALSE)</f>
        <v>200000</v>
      </c>
      <c r="AQ156" s="232">
        <f>Table1[[#This Row],[PARKING VALUE]]*1</f>
        <v>200000</v>
      </c>
      <c r="AR156" s="232">
        <f t="shared" si="20"/>
        <v>5158250</v>
      </c>
      <c r="AS156" s="440">
        <f>Table1[[#This Row],[TOTAL CARS VALUE]]+Table1[[#This Row],[UNIT (BUILDING) VALUE BASIC FINISHED]]+Table1[[#This Row],[UNIT (GARDEN) VALUE]]</f>
        <v>5653250</v>
      </c>
      <c r="AT156" s="232">
        <f>Table1[[#This Row],[TOTAL CARS VALUE]]+Table1[[#This Row],[UNIT (GARDEN) VALUE]]+Table1[[#This Row],[UNIT (BUILDING) VALUE FULLY FINISHED]]</f>
        <v>5983250</v>
      </c>
      <c r="AU156" s="233">
        <f>VLOOKUP(I156,'C PHASES'!$I$108:$J$110,2,FALSE)</f>
        <v>45839</v>
      </c>
      <c r="AV156" s="233">
        <f>VLOOKUP(AA156,'C PHASES'!$I$113:$J$125,2,FALSE)</f>
        <v>45170</v>
      </c>
    </row>
    <row r="157" spans="1:48" ht="15" customHeight="1" x14ac:dyDescent="0.25">
      <c r="A157" s="235"/>
      <c r="B157" s="227" t="str">
        <f t="shared" si="21"/>
        <v>A</v>
      </c>
      <c r="C157" s="227" t="s">
        <v>28</v>
      </c>
      <c r="D157" s="227" t="s">
        <v>1147</v>
      </c>
      <c r="E157" s="228">
        <v>4</v>
      </c>
      <c r="F157" s="101">
        <v>1</v>
      </c>
      <c r="G157" s="87" t="str">
        <f t="shared" si="27"/>
        <v>A741</v>
      </c>
      <c r="H157" s="87" t="s">
        <v>1293</v>
      </c>
      <c r="I157" s="89" t="str">
        <f>VLOOKUP(C157,'PREMIUM TABLES'!$G$107:$H$149,2,FALSE)</f>
        <v>C1</v>
      </c>
      <c r="J157" s="87">
        <v>97.17</v>
      </c>
      <c r="K157" s="87">
        <v>106.51428598123651</v>
      </c>
      <c r="L157" s="87">
        <v>120</v>
      </c>
      <c r="O157" s="87" t="s">
        <v>184</v>
      </c>
      <c r="P157" s="87" t="s">
        <v>190</v>
      </c>
      <c r="Q157" s="229" t="s">
        <v>198</v>
      </c>
      <c r="R157" s="87" t="str">
        <f>VLOOKUP(E157,'PREMIUM TABLES'!$F$214:$G$219,2,FALSE)</f>
        <v>FORTH</v>
      </c>
      <c r="S157" s="87" t="str" cm="1">
        <f t="array" ref="S157">IF(AND(L157&gt;0,L157&lt;90),"A",IF(AND(L157&gt;90,L157&lt;123),"B",IF(AND(L157&gt;122,L157&lt;159),"C",IF(AND(L157&gt;159,L157&lt;185),"D",IF(AND(L157&gt;185,L157&lt;230),"E",IF(AND(L157&gt;230,L157&lt;350),"F",NONE))))))</f>
        <v>B</v>
      </c>
      <c r="T157" s="230">
        <f>VLOOKUP(O157,'PREMIUM TABLES'!$G$165:$H$172,2,FALSE)</f>
        <v>0.15</v>
      </c>
      <c r="U157" s="230">
        <f>VLOOKUP(P157,'PREMIUM TABLES'!$G$208:$H$209,2,FALSE)</f>
        <v>2.5000000000000001E-2</v>
      </c>
      <c r="V157" s="230">
        <f>VLOOKUP(Q157,'PREMIUM TABLES'!$G$175:$H$195,2,FALSE)</f>
        <v>0.15</v>
      </c>
      <c r="W157" s="230">
        <f>VLOOKUP(R157,'PREMIUM TABLES'!$G$214:$H$219,2,FALSE)</f>
        <v>0.06</v>
      </c>
      <c r="X157" s="230">
        <f>VLOOKUP(S157,'PREMIUM TABLES'!$F$199:$H$205,3,FALSE)</f>
        <v>0.04</v>
      </c>
      <c r="Y157" s="231">
        <f t="shared" si="22"/>
        <v>0.42499999999999993</v>
      </c>
      <c r="Z157" s="231" t="str" cm="1">
        <f t="array" ref="Z157">IF(AND(Y157&gt;0,Y157&lt;0.5),"C",IF(AND(Y157&gt;=0.5,Y157&lt;0.73),"B",IF(AND(Y157&gt;=0.73,Y157&lt;0.98),"A",NONE)))</f>
        <v>C</v>
      </c>
      <c r="AA157" s="231" t="str">
        <f>VLOOKUP(G157,'ALL (R)'!$N$5:$R$862,5,FALSE)</f>
        <v>R 7</v>
      </c>
      <c r="AB157" s="232">
        <f>VLOOKUP(AA157,FACTS!$B$2:$L$14,10,FALSE)</f>
        <v>50150</v>
      </c>
      <c r="AC157" s="232">
        <f>VLOOKUP(AA157,FACTS!$B$2:$L$14,11,FALSE)</f>
        <v>56050</v>
      </c>
      <c r="AD157" s="232">
        <f>VLOOKUP(AA157,FACTS!$B$2:$N$14,13,FALSE)</f>
        <v>5900</v>
      </c>
      <c r="AE157" s="232">
        <f t="shared" si="23"/>
        <v>2507.4999999999995</v>
      </c>
      <c r="AF157" s="232">
        <f t="shared" si="24"/>
        <v>52657.5</v>
      </c>
      <c r="AG157" s="232">
        <f>AF157*FACTS!$T$2</f>
        <v>17376.975000000002</v>
      </c>
      <c r="AH157" s="232">
        <f>Table1[[#This Row],[UNIT (BUILDING) RATE (SEMI FINISHED)]]+4500</f>
        <v>57157.5</v>
      </c>
      <c r="AI157" s="232">
        <f>Table1[[#This Row],[UNIT (BUILDING) RATE (SEMI FINISHED)]]+7500</f>
        <v>60157.5</v>
      </c>
      <c r="AJ157" s="232">
        <f t="shared" si="25"/>
        <v>6318900</v>
      </c>
      <c r="AK157" s="232">
        <f>Table1[[#This Row],[UNIT (BUILDING) RATE (BASIC FINISH)]]*Table1[[#This Row],[Unit Selling Area]]</f>
        <v>6858900</v>
      </c>
      <c r="AL157" s="232">
        <f>Table1[[#This Row],[UNIT (BUILDING) RATE (FULLY FINISH)]]*Table1[[#This Row],[Unit Selling Area]]</f>
        <v>7218900</v>
      </c>
      <c r="AM157" s="232">
        <f t="shared" si="26"/>
        <v>0</v>
      </c>
      <c r="AN157" s="232">
        <f>(AM157+AJ157)*FACTS!$S$2</f>
        <v>537106.5</v>
      </c>
      <c r="AO157" s="101">
        <f>VLOOKUP(S157,FACTS!$A$17:$C$23,3,FALSE)</f>
        <v>1</v>
      </c>
      <c r="AP157" s="232">
        <f>VLOOKUP(AA157,FACTS!$B$2:$J$14,9,FALSE)</f>
        <v>236000</v>
      </c>
      <c r="AQ157" s="232">
        <f>Table1[[#This Row],[PARKING VALUE]]*1</f>
        <v>236000</v>
      </c>
      <c r="AR157" s="232">
        <f t="shared" si="20"/>
        <v>6554900</v>
      </c>
      <c r="AS157" s="440">
        <f>Table1[[#This Row],[TOTAL CARS VALUE]]+Table1[[#This Row],[UNIT (BUILDING) VALUE BASIC FINISHED]]+Table1[[#This Row],[UNIT (GARDEN) VALUE]]</f>
        <v>7094900</v>
      </c>
      <c r="AT157" s="232">
        <f>Table1[[#This Row],[TOTAL CARS VALUE]]+Table1[[#This Row],[UNIT (GARDEN) VALUE]]+Table1[[#This Row],[UNIT (BUILDING) VALUE FULLY FINISHED]]</f>
        <v>7454900</v>
      </c>
      <c r="AU157" s="233">
        <f>VLOOKUP(I157,'C PHASES'!$I$108:$J$110,2,FALSE)</f>
        <v>45839</v>
      </c>
      <c r="AV157" s="233">
        <f>VLOOKUP(AA157,'C PHASES'!$I$113:$J$125,2,FALSE)</f>
        <v>45748</v>
      </c>
    </row>
    <row r="158" spans="1:48" ht="15" customHeight="1" x14ac:dyDescent="0.25">
      <c r="A158" s="235"/>
      <c r="B158" s="227" t="str">
        <f t="shared" si="21"/>
        <v>A</v>
      </c>
      <c r="C158" s="227" t="s">
        <v>28</v>
      </c>
      <c r="D158" s="227" t="s">
        <v>1147</v>
      </c>
      <c r="E158" s="228">
        <v>4</v>
      </c>
      <c r="F158" s="101">
        <v>2</v>
      </c>
      <c r="G158" s="87" t="str">
        <f t="shared" si="27"/>
        <v>A742</v>
      </c>
      <c r="H158" s="87" t="s">
        <v>1293</v>
      </c>
      <c r="I158" s="89" t="str">
        <f>VLOOKUP(C158,'PREMIUM TABLES'!$G$107:$H$149,2,FALSE)</f>
        <v>C1</v>
      </c>
      <c r="J158" s="87">
        <v>98.57</v>
      </c>
      <c r="K158" s="87">
        <v>108.04891601492726</v>
      </c>
      <c r="L158" s="87">
        <v>121</v>
      </c>
      <c r="O158" s="87" t="s">
        <v>185</v>
      </c>
      <c r="P158" s="87" t="s">
        <v>190</v>
      </c>
      <c r="Q158" s="229" t="s">
        <v>214</v>
      </c>
      <c r="R158" s="87" t="str">
        <f>VLOOKUP(E158,'PREMIUM TABLES'!$F$214:$G$219,2,FALSE)</f>
        <v>FORTH</v>
      </c>
      <c r="S158" s="87" t="str" cm="1">
        <f t="array" ref="S158">IF(AND(L158&gt;0,L158&lt;90),"A",IF(AND(L158&gt;90,L158&lt;123),"B",IF(AND(L158&gt;122,L158&lt;159),"C",IF(AND(L158&gt;159,L158&lt;185),"D",IF(AND(L158&gt;185,L158&lt;230),"E",IF(AND(L158&gt;230,L158&lt;350),"F",NONE))))))</f>
        <v>B</v>
      </c>
      <c r="T158" s="230">
        <f>VLOOKUP(O158,'PREMIUM TABLES'!$G$165:$H$172,2,FALSE)</f>
        <v>0.06</v>
      </c>
      <c r="U158" s="230">
        <f>VLOOKUP(P158,'PREMIUM TABLES'!$G$208:$H$209,2,FALSE)</f>
        <v>2.5000000000000001E-2</v>
      </c>
      <c r="V158" s="230">
        <f>VLOOKUP(Q158,'PREMIUM TABLES'!$G$175:$H$195,2,FALSE)</f>
        <v>0.4</v>
      </c>
      <c r="W158" s="230">
        <f>VLOOKUP(R158,'PREMIUM TABLES'!$G$214:$H$219,2,FALSE)</f>
        <v>0.06</v>
      </c>
      <c r="X158" s="230">
        <f>VLOOKUP(S158,'PREMIUM TABLES'!$F$199:$H$205,3,FALSE)</f>
        <v>0.04</v>
      </c>
      <c r="Y158" s="231">
        <f t="shared" si="22"/>
        <v>0.58499999999999996</v>
      </c>
      <c r="Z158" s="231" t="str" cm="1">
        <f t="array" ref="Z158">IF(AND(Y158&gt;0,Y158&lt;0.5),"C",IF(AND(Y158&gt;=0.5,Y158&lt;0.73),"B",IF(AND(Y158&gt;=0.73,Y158&lt;0.98),"A",NONE)))</f>
        <v>B</v>
      </c>
      <c r="AA158" s="231" t="str">
        <f>VLOOKUP(G158,'ALL (R)'!$N$5:$R$862,5,FALSE)</f>
        <v>R 1</v>
      </c>
      <c r="AB158" s="232">
        <f>VLOOKUP(AA158,FACTS!$B$2:$L$14,10,FALSE)</f>
        <v>42500</v>
      </c>
      <c r="AC158" s="232">
        <f>VLOOKUP(AA158,FACTS!$B$2:$L$14,11,FALSE)</f>
        <v>47500</v>
      </c>
      <c r="AD158" s="232">
        <f>VLOOKUP(AA158,FACTS!$B$2:$N$14,13,FALSE)</f>
        <v>5000</v>
      </c>
      <c r="AE158" s="232">
        <f t="shared" si="23"/>
        <v>2925</v>
      </c>
      <c r="AF158" s="232">
        <f t="shared" si="24"/>
        <v>45425</v>
      </c>
      <c r="AG158" s="232">
        <f>AF158*FACTS!$T$2</f>
        <v>14990.25</v>
      </c>
      <c r="AH158" s="232">
        <f>Table1[[#This Row],[UNIT (BUILDING) RATE (SEMI FINISHED)]]+4500</f>
        <v>49925</v>
      </c>
      <c r="AI158" s="232">
        <f>Table1[[#This Row],[UNIT (BUILDING) RATE (SEMI FINISHED)]]+7500</f>
        <v>52925</v>
      </c>
      <c r="AJ158" s="232">
        <f t="shared" si="25"/>
        <v>5496425</v>
      </c>
      <c r="AK158" s="232">
        <f>Table1[[#This Row],[UNIT (BUILDING) RATE (BASIC FINISH)]]*Table1[[#This Row],[Unit Selling Area]]</f>
        <v>6040925</v>
      </c>
      <c r="AL158" s="232">
        <f>Table1[[#This Row],[UNIT (BUILDING) RATE (FULLY FINISH)]]*Table1[[#This Row],[Unit Selling Area]]</f>
        <v>6403925</v>
      </c>
      <c r="AM158" s="232">
        <f t="shared" si="26"/>
        <v>0</v>
      </c>
      <c r="AN158" s="232">
        <f>(AM158+AJ158)*FACTS!$S$2</f>
        <v>467196.12500000006</v>
      </c>
      <c r="AO158" s="101">
        <f>VLOOKUP(S158,FACTS!$A$17:$C$23,3,FALSE)</f>
        <v>1</v>
      </c>
      <c r="AP158" s="232">
        <f>VLOOKUP(AA158,FACTS!$B$2:$J$14,9,FALSE)</f>
        <v>200000</v>
      </c>
      <c r="AQ158" s="232">
        <f>Table1[[#This Row],[PARKING VALUE]]*1</f>
        <v>200000</v>
      </c>
      <c r="AR158" s="232">
        <f t="shared" si="20"/>
        <v>5696425</v>
      </c>
      <c r="AS158" s="440">
        <f>Table1[[#This Row],[TOTAL CARS VALUE]]+Table1[[#This Row],[UNIT (BUILDING) VALUE BASIC FINISHED]]+Table1[[#This Row],[UNIT (GARDEN) VALUE]]</f>
        <v>6240925</v>
      </c>
      <c r="AT158" s="232">
        <f>Table1[[#This Row],[TOTAL CARS VALUE]]+Table1[[#This Row],[UNIT (GARDEN) VALUE]]+Table1[[#This Row],[UNIT (BUILDING) VALUE FULLY FINISHED]]</f>
        <v>6603925</v>
      </c>
      <c r="AU158" s="233">
        <f>VLOOKUP(I158,'C PHASES'!$I$108:$J$110,2,FALSE)</f>
        <v>45839</v>
      </c>
      <c r="AV158" s="233">
        <f>VLOOKUP(AA158,'C PHASES'!$I$113:$J$125,2,FALSE)</f>
        <v>45170</v>
      </c>
    </row>
    <row r="159" spans="1:48" ht="15" customHeight="1" x14ac:dyDescent="0.25">
      <c r="A159" s="235"/>
      <c r="B159" s="227" t="str">
        <f t="shared" si="21"/>
        <v>A</v>
      </c>
      <c r="C159" s="227" t="s">
        <v>28</v>
      </c>
      <c r="D159" s="227" t="s">
        <v>1147</v>
      </c>
      <c r="E159" s="228">
        <v>4</v>
      </c>
      <c r="F159" s="101">
        <v>3</v>
      </c>
      <c r="G159" s="87" t="str">
        <f t="shared" si="27"/>
        <v>A743</v>
      </c>
      <c r="H159" s="87" t="s">
        <v>1293</v>
      </c>
      <c r="I159" s="89" t="str">
        <f>VLOOKUP(C159,'PREMIUM TABLES'!$G$107:$H$149,2,FALSE)</f>
        <v>C1</v>
      </c>
      <c r="J159" s="87">
        <v>90.52</v>
      </c>
      <c r="K159" s="87">
        <v>99.224793321205397</v>
      </c>
      <c r="L159" s="87">
        <v>111</v>
      </c>
      <c r="O159" s="87" t="s">
        <v>185</v>
      </c>
      <c r="P159" s="87" t="s">
        <v>190</v>
      </c>
      <c r="Q159" s="229" t="s">
        <v>214</v>
      </c>
      <c r="R159" s="87" t="str">
        <f>VLOOKUP(E159,'PREMIUM TABLES'!$F$214:$G$219,2,FALSE)</f>
        <v>FORTH</v>
      </c>
      <c r="S159" s="87" t="str" cm="1">
        <f t="array" ref="S159">IF(AND(L159&gt;0,L159&lt;90),"A",IF(AND(L159&gt;90,L159&lt;123),"B",IF(AND(L159&gt;122,L159&lt;159),"C",IF(AND(L159&gt;159,L159&lt;185),"D",IF(AND(L159&gt;185,L159&lt;230),"E",IF(AND(L159&gt;230,L159&lt;350),"F",NONE))))))</f>
        <v>B</v>
      </c>
      <c r="T159" s="230">
        <f>VLOOKUP(O159,'PREMIUM TABLES'!$G$165:$H$172,2,FALSE)</f>
        <v>0.06</v>
      </c>
      <c r="U159" s="230">
        <f>VLOOKUP(P159,'PREMIUM TABLES'!$G$208:$H$209,2,FALSE)</f>
        <v>2.5000000000000001E-2</v>
      </c>
      <c r="V159" s="230">
        <f>VLOOKUP(Q159,'PREMIUM TABLES'!$G$175:$H$195,2,FALSE)</f>
        <v>0.4</v>
      </c>
      <c r="W159" s="230">
        <f>VLOOKUP(R159,'PREMIUM TABLES'!$G$214:$H$219,2,FALSE)</f>
        <v>0.06</v>
      </c>
      <c r="X159" s="230">
        <f>VLOOKUP(S159,'PREMIUM TABLES'!$F$199:$H$205,3,FALSE)</f>
        <v>0.04</v>
      </c>
      <c r="Y159" s="231">
        <f t="shared" si="22"/>
        <v>0.58499999999999996</v>
      </c>
      <c r="Z159" s="231" t="str" cm="1">
        <f t="array" ref="Z159">IF(AND(Y159&gt;0,Y159&lt;0.5),"C",IF(AND(Y159&gt;=0.5,Y159&lt;0.73),"B",IF(AND(Y159&gt;=0.73,Y159&lt;0.98),"A",NONE)))</f>
        <v>B</v>
      </c>
      <c r="AA159" s="231" t="str">
        <f>VLOOKUP(G159,'ALL (R)'!$N$5:$R$862,5,FALSE)</f>
        <v>R 1</v>
      </c>
      <c r="AB159" s="232">
        <f>VLOOKUP(AA159,FACTS!$B$2:$L$14,10,FALSE)</f>
        <v>42500</v>
      </c>
      <c r="AC159" s="232">
        <f>VLOOKUP(AA159,FACTS!$B$2:$L$14,11,FALSE)</f>
        <v>47500</v>
      </c>
      <c r="AD159" s="232">
        <f>VLOOKUP(AA159,FACTS!$B$2:$N$14,13,FALSE)</f>
        <v>5000</v>
      </c>
      <c r="AE159" s="232">
        <f t="shared" si="23"/>
        <v>2925</v>
      </c>
      <c r="AF159" s="232">
        <f t="shared" si="24"/>
        <v>45425</v>
      </c>
      <c r="AG159" s="232">
        <f>AF159*FACTS!$T$2</f>
        <v>14990.25</v>
      </c>
      <c r="AH159" s="232">
        <f>Table1[[#This Row],[UNIT (BUILDING) RATE (SEMI FINISHED)]]+4500</f>
        <v>49925</v>
      </c>
      <c r="AI159" s="232">
        <f>Table1[[#This Row],[UNIT (BUILDING) RATE (SEMI FINISHED)]]+7500</f>
        <v>52925</v>
      </c>
      <c r="AJ159" s="232">
        <f t="shared" si="25"/>
        <v>5042175</v>
      </c>
      <c r="AK159" s="232">
        <f>Table1[[#This Row],[UNIT (BUILDING) RATE (BASIC FINISH)]]*Table1[[#This Row],[Unit Selling Area]]</f>
        <v>5541675</v>
      </c>
      <c r="AL159" s="232">
        <f>Table1[[#This Row],[UNIT (BUILDING) RATE (FULLY FINISH)]]*Table1[[#This Row],[Unit Selling Area]]</f>
        <v>5874675</v>
      </c>
      <c r="AM159" s="232">
        <f t="shared" si="26"/>
        <v>0</v>
      </c>
      <c r="AN159" s="232">
        <f>(AM159+AJ159)*FACTS!$S$2</f>
        <v>428584.87500000006</v>
      </c>
      <c r="AO159" s="101">
        <f>VLOOKUP(S159,FACTS!$A$17:$C$23,3,FALSE)</f>
        <v>1</v>
      </c>
      <c r="AP159" s="232">
        <f>VLOOKUP(AA159,FACTS!$B$2:$J$14,9,FALSE)</f>
        <v>200000</v>
      </c>
      <c r="AQ159" s="232">
        <f>Table1[[#This Row],[PARKING VALUE]]*1</f>
        <v>200000</v>
      </c>
      <c r="AR159" s="232">
        <f t="shared" si="20"/>
        <v>5242175</v>
      </c>
      <c r="AS159" s="440">
        <f>Table1[[#This Row],[TOTAL CARS VALUE]]+Table1[[#This Row],[UNIT (BUILDING) VALUE BASIC FINISHED]]+Table1[[#This Row],[UNIT (GARDEN) VALUE]]</f>
        <v>5741675</v>
      </c>
      <c r="AT159" s="232">
        <f>Table1[[#This Row],[TOTAL CARS VALUE]]+Table1[[#This Row],[UNIT (GARDEN) VALUE]]+Table1[[#This Row],[UNIT (BUILDING) VALUE FULLY FINISHED]]</f>
        <v>6074675</v>
      </c>
      <c r="AU159" s="233">
        <f>VLOOKUP(I159,'C PHASES'!$I$108:$J$110,2,FALSE)</f>
        <v>45839</v>
      </c>
      <c r="AV159" s="233">
        <f>VLOOKUP(AA159,'C PHASES'!$I$113:$J$125,2,FALSE)</f>
        <v>45170</v>
      </c>
    </row>
    <row r="160" spans="1:48" ht="15" customHeight="1" x14ac:dyDescent="0.25">
      <c r="A160" s="235"/>
      <c r="B160" s="227" t="str">
        <f t="shared" si="21"/>
        <v>A</v>
      </c>
      <c r="C160" s="227" t="s">
        <v>28</v>
      </c>
      <c r="D160" s="227" t="s">
        <v>1147</v>
      </c>
      <c r="E160" s="228">
        <v>4</v>
      </c>
      <c r="F160" s="101">
        <v>4</v>
      </c>
      <c r="G160" s="87" t="str">
        <f t="shared" si="27"/>
        <v>A744</v>
      </c>
      <c r="H160" s="87" t="s">
        <v>1293</v>
      </c>
      <c r="I160" s="89" t="str">
        <f>VLOOKUP(C160,'PREMIUM TABLES'!$G$107:$H$149,2,FALSE)</f>
        <v>C1</v>
      </c>
      <c r="J160" s="87">
        <v>89.12</v>
      </c>
      <c r="K160" s="87">
        <v>97.69016328751465</v>
      </c>
      <c r="L160" s="87">
        <v>110</v>
      </c>
      <c r="O160" s="87" t="s">
        <v>184</v>
      </c>
      <c r="P160" s="87" t="s">
        <v>190</v>
      </c>
      <c r="Q160" s="229" t="s">
        <v>198</v>
      </c>
      <c r="R160" s="87" t="str">
        <f>VLOOKUP(E160,'PREMIUM TABLES'!$F$214:$G$219,2,FALSE)</f>
        <v>FORTH</v>
      </c>
      <c r="S160" s="87" t="str" cm="1">
        <f t="array" ref="S160">IF(AND(L160&gt;0,L160&lt;90),"A",IF(AND(L160&gt;90,L160&lt;123),"B",IF(AND(L160&gt;122,L160&lt;159),"C",IF(AND(L160&gt;159,L160&lt;185),"D",IF(AND(L160&gt;185,L160&lt;230),"E",IF(AND(L160&gt;230,L160&lt;350),"F",NONE))))))</f>
        <v>B</v>
      </c>
      <c r="T160" s="230">
        <f>VLOOKUP(O160,'PREMIUM TABLES'!$G$165:$H$172,2,FALSE)</f>
        <v>0.15</v>
      </c>
      <c r="U160" s="230">
        <f>VLOOKUP(P160,'PREMIUM TABLES'!$G$208:$H$209,2,FALSE)</f>
        <v>2.5000000000000001E-2</v>
      </c>
      <c r="V160" s="230">
        <f>VLOOKUP(Q160,'PREMIUM TABLES'!$G$175:$H$195,2,FALSE)</f>
        <v>0.15</v>
      </c>
      <c r="W160" s="230">
        <f>VLOOKUP(R160,'PREMIUM TABLES'!$G$214:$H$219,2,FALSE)</f>
        <v>0.06</v>
      </c>
      <c r="X160" s="230">
        <f>VLOOKUP(S160,'PREMIUM TABLES'!$F$199:$H$205,3,FALSE)</f>
        <v>0.04</v>
      </c>
      <c r="Y160" s="231">
        <f t="shared" si="22"/>
        <v>0.42499999999999993</v>
      </c>
      <c r="Z160" s="231" t="str" cm="1">
        <f t="array" ref="Z160">IF(AND(Y160&gt;0,Y160&lt;0.5),"C",IF(AND(Y160&gt;=0.5,Y160&lt;0.73),"B",IF(AND(Y160&gt;=0.73,Y160&lt;0.98),"A",NONE)))</f>
        <v>C</v>
      </c>
      <c r="AA160" s="231" t="str">
        <f>VLOOKUP(G160,'ALL (R)'!$N$5:$R$862,5,FALSE)</f>
        <v>R 8</v>
      </c>
      <c r="AB160" s="232">
        <f>VLOOKUP(AA160,FACTS!$B$2:$L$14,10,FALSE)</f>
        <v>51850</v>
      </c>
      <c r="AC160" s="232">
        <f>VLOOKUP(AA160,FACTS!$B$2:$L$14,11,FALSE)</f>
        <v>57950</v>
      </c>
      <c r="AD160" s="232">
        <f>VLOOKUP(AA160,FACTS!$B$2:$N$14,13,FALSE)</f>
        <v>6100</v>
      </c>
      <c r="AE160" s="232">
        <f t="shared" si="23"/>
        <v>2592.4999999999995</v>
      </c>
      <c r="AF160" s="232">
        <f t="shared" si="24"/>
        <v>54442.5</v>
      </c>
      <c r="AG160" s="232">
        <f>AF160*FACTS!$T$2</f>
        <v>17966.025000000001</v>
      </c>
      <c r="AH160" s="232">
        <f>Table1[[#This Row],[UNIT (BUILDING) RATE (SEMI FINISHED)]]+4500</f>
        <v>58942.5</v>
      </c>
      <c r="AI160" s="232">
        <f>Table1[[#This Row],[UNIT (BUILDING) RATE (SEMI FINISHED)]]+7500</f>
        <v>61942.5</v>
      </c>
      <c r="AJ160" s="232">
        <f t="shared" si="25"/>
        <v>5988675</v>
      </c>
      <c r="AK160" s="232">
        <f>Table1[[#This Row],[UNIT (BUILDING) RATE (BASIC FINISH)]]*Table1[[#This Row],[Unit Selling Area]]</f>
        <v>6483675</v>
      </c>
      <c r="AL160" s="232">
        <f>Table1[[#This Row],[UNIT (BUILDING) RATE (FULLY FINISH)]]*Table1[[#This Row],[Unit Selling Area]]</f>
        <v>6813675</v>
      </c>
      <c r="AM160" s="232">
        <f t="shared" si="26"/>
        <v>0</v>
      </c>
      <c r="AN160" s="232">
        <f>(AM160+AJ160)*FACTS!$S$2</f>
        <v>509037.37500000006</v>
      </c>
      <c r="AO160" s="101">
        <f>VLOOKUP(S160,FACTS!$A$17:$C$23,3,FALSE)</f>
        <v>1</v>
      </c>
      <c r="AP160" s="232">
        <f>VLOOKUP(AA160,FACTS!$B$2:$J$14,9,FALSE)</f>
        <v>244000</v>
      </c>
      <c r="AQ160" s="232">
        <f>Table1[[#This Row],[PARKING VALUE]]*1</f>
        <v>244000</v>
      </c>
      <c r="AR160" s="232">
        <f t="shared" si="20"/>
        <v>6232675</v>
      </c>
      <c r="AS160" s="440">
        <f>Table1[[#This Row],[TOTAL CARS VALUE]]+Table1[[#This Row],[UNIT (BUILDING) VALUE BASIC FINISHED]]+Table1[[#This Row],[UNIT (GARDEN) VALUE]]</f>
        <v>6727675</v>
      </c>
      <c r="AT160" s="232">
        <f>Table1[[#This Row],[TOTAL CARS VALUE]]+Table1[[#This Row],[UNIT (GARDEN) VALUE]]+Table1[[#This Row],[UNIT (BUILDING) VALUE FULLY FINISHED]]</f>
        <v>7057675</v>
      </c>
      <c r="AU160" s="233">
        <f>VLOOKUP(I160,'C PHASES'!$I$108:$J$110,2,FALSE)</f>
        <v>45839</v>
      </c>
      <c r="AV160" s="233">
        <f>VLOOKUP(AA160,'C PHASES'!$I$113:$J$125,2,FALSE)</f>
        <v>45839</v>
      </c>
    </row>
    <row r="161" spans="1:48" ht="15" customHeight="1" x14ac:dyDescent="0.25">
      <c r="A161" s="235" t="s">
        <v>24</v>
      </c>
      <c r="B161" s="227" t="str">
        <f t="shared" si="21"/>
        <v>A</v>
      </c>
      <c r="C161" s="227" t="s">
        <v>29</v>
      </c>
      <c r="D161" s="227" t="s">
        <v>1147</v>
      </c>
      <c r="E161" s="228">
        <v>0</v>
      </c>
      <c r="F161" s="101">
        <v>1</v>
      </c>
      <c r="G161" s="87" t="str">
        <f>LEFT(C161,2)&amp;E161&amp;F161</f>
        <v>A801</v>
      </c>
      <c r="H161" s="87" t="s">
        <v>1296</v>
      </c>
      <c r="I161" s="89" t="str">
        <f>VLOOKUP(C161,'PREMIUM TABLES'!$G$107:$H$149,2,FALSE)</f>
        <v>C1</v>
      </c>
      <c r="J161" s="87">
        <v>60.98</v>
      </c>
      <c r="K161" s="87">
        <v>66.556564006124674</v>
      </c>
      <c r="L161" s="87">
        <v>75</v>
      </c>
      <c r="M161" s="87">
        <v>23.800799999999999</v>
      </c>
      <c r="O161" s="87" t="s">
        <v>184</v>
      </c>
      <c r="P161" s="87" t="s">
        <v>190</v>
      </c>
      <c r="Q161" s="229" t="s">
        <v>198</v>
      </c>
      <c r="R161" s="87" t="str">
        <f>VLOOKUP(E161,'PREMIUM TABLES'!$F$214:$G$219,2,FALSE)</f>
        <v>GROUND</v>
      </c>
      <c r="S161" s="87" t="str" cm="1">
        <f t="array" ref="S161">IF(AND(L161&gt;0,L161&lt;90),"A",IF(AND(L161&gt;90,L161&lt;123),"B",IF(AND(L161&gt;122,L161&lt;159),"C",IF(AND(L161&gt;159,L161&lt;185),"D",IF(AND(L161&gt;185,L161&lt;230),"E",IF(AND(L161&gt;230,L161&lt;350),"F",NONE))))))</f>
        <v>A</v>
      </c>
      <c r="T161" s="230">
        <f>VLOOKUP(O161,'PREMIUM TABLES'!$G$165:$H$172,2,FALSE)</f>
        <v>0.15</v>
      </c>
      <c r="U161" s="230">
        <f>VLOOKUP(P161,'PREMIUM TABLES'!$G$208:$H$209,2,FALSE)</f>
        <v>2.5000000000000001E-2</v>
      </c>
      <c r="V161" s="230">
        <f>VLOOKUP(Q161,'PREMIUM TABLES'!$G$175:$H$195,2,FALSE)</f>
        <v>0.15</v>
      </c>
      <c r="W161" s="230">
        <f>VLOOKUP(R161,'PREMIUM TABLES'!$G$214:$H$219,2,FALSE)</f>
        <v>0.05</v>
      </c>
      <c r="X161" s="230">
        <f>VLOOKUP(S161,'PREMIUM TABLES'!$F$199:$H$205,3,FALSE)</f>
        <v>0.05</v>
      </c>
      <c r="Y161" s="231">
        <f t="shared" si="22"/>
        <v>0.42499999999999993</v>
      </c>
      <c r="Z161" s="231" t="str" cm="1">
        <f t="array" ref="Z161">IF(AND(Y161&gt;0,Y161&lt;0.5),"C",IF(AND(Y161&gt;=0.5,Y161&lt;0.73),"B",IF(AND(Y161&gt;=0.73,Y161&lt;0.98),"A",NONE)))</f>
        <v>C</v>
      </c>
      <c r="AA161" s="231" t="str">
        <f>VLOOKUP(G161,'ALL (R)'!$N$5:$R$862,5,FALSE)</f>
        <v>R 8</v>
      </c>
      <c r="AB161" s="232">
        <f>VLOOKUP(AA161,FACTS!$B$2:$L$14,10,FALSE)</f>
        <v>51850</v>
      </c>
      <c r="AC161" s="232">
        <f>VLOOKUP(AA161,FACTS!$B$2:$L$14,11,FALSE)</f>
        <v>57950</v>
      </c>
      <c r="AD161" s="232">
        <f>VLOOKUP(AA161,FACTS!$B$2:$N$14,13,FALSE)</f>
        <v>6100</v>
      </c>
      <c r="AE161" s="232">
        <f t="shared" si="23"/>
        <v>2592.4999999999995</v>
      </c>
      <c r="AF161" s="232">
        <f t="shared" si="24"/>
        <v>54442.5</v>
      </c>
      <c r="AG161" s="232">
        <f>AF161*FACTS!$T$2</f>
        <v>17966.025000000001</v>
      </c>
      <c r="AH161" s="232">
        <f>Table1[[#This Row],[UNIT (BUILDING) RATE (SEMI FINISHED)]]+4500</f>
        <v>58942.5</v>
      </c>
      <c r="AI161" s="232">
        <f>Table1[[#This Row],[UNIT (BUILDING) RATE (SEMI FINISHED)]]+7500</f>
        <v>61942.5</v>
      </c>
      <c r="AJ161" s="232">
        <f t="shared" si="25"/>
        <v>4083187.5</v>
      </c>
      <c r="AK161" s="232">
        <f>Table1[[#This Row],[UNIT (BUILDING) RATE (BASIC FINISH)]]*Table1[[#This Row],[Unit Selling Area]]</f>
        <v>4420687.5</v>
      </c>
      <c r="AL161" s="232">
        <f>Table1[[#This Row],[UNIT (BUILDING) RATE (FULLY FINISH)]]*Table1[[#This Row],[Unit Selling Area]]</f>
        <v>4645687.5</v>
      </c>
      <c r="AM161" s="232">
        <f t="shared" si="26"/>
        <v>427605.76782000001</v>
      </c>
      <c r="AN161" s="232">
        <f>(AM161+AJ161)*FACTS!$S$2</f>
        <v>383417.42776470003</v>
      </c>
      <c r="AO161" s="101">
        <f>VLOOKUP(S161,FACTS!$A$17:$C$23,3,FALSE)</f>
        <v>1</v>
      </c>
      <c r="AP161" s="232">
        <f>VLOOKUP(AA161,FACTS!$B$2:$J$14,9,FALSE)</f>
        <v>244000</v>
      </c>
      <c r="AQ161" s="232">
        <f>Table1[[#This Row],[PARKING VALUE]]*1</f>
        <v>244000</v>
      </c>
      <c r="AR161" s="232">
        <f t="shared" si="20"/>
        <v>4754793.2678199997</v>
      </c>
      <c r="AS161" s="440">
        <f>Table1[[#This Row],[TOTAL CARS VALUE]]+Table1[[#This Row],[UNIT (BUILDING) VALUE BASIC FINISHED]]+Table1[[#This Row],[UNIT (GARDEN) VALUE]]</f>
        <v>5092293.2678199997</v>
      </c>
      <c r="AT161" s="232">
        <f>Table1[[#This Row],[TOTAL CARS VALUE]]+Table1[[#This Row],[UNIT (GARDEN) VALUE]]+Table1[[#This Row],[UNIT (BUILDING) VALUE FULLY FINISHED]]</f>
        <v>5317293.2678199997</v>
      </c>
      <c r="AU161" s="233">
        <f>VLOOKUP(I161,'C PHASES'!$I$108:$J$110,2,FALSE)</f>
        <v>45839</v>
      </c>
      <c r="AV161" s="233">
        <f>VLOOKUP(AA161,'C PHASES'!$I$113:$J$125,2,FALSE)</f>
        <v>45839</v>
      </c>
    </row>
    <row r="162" spans="1:48" ht="15" customHeight="1" x14ac:dyDescent="0.25">
      <c r="A162" s="235"/>
      <c r="B162" s="227" t="str">
        <f t="shared" si="21"/>
        <v>A</v>
      </c>
      <c r="C162" s="227" t="s">
        <v>29</v>
      </c>
      <c r="D162" s="227" t="s">
        <v>1147</v>
      </c>
      <c r="E162" s="228">
        <v>0</v>
      </c>
      <c r="F162" s="101">
        <v>2</v>
      </c>
      <c r="G162" s="87" t="str">
        <f t="shared" ref="G162:G180" si="28">LEFT(C162,2)&amp;E162&amp;F162</f>
        <v>A802</v>
      </c>
      <c r="H162" s="87" t="s">
        <v>1293</v>
      </c>
      <c r="I162" s="89" t="str">
        <f>VLOOKUP(C162,'PREMIUM TABLES'!$G$107:$H$149,2,FALSE)</f>
        <v>C1</v>
      </c>
      <c r="J162" s="87">
        <v>89.96</v>
      </c>
      <c r="K162" s="87">
        <v>98.186757920481725</v>
      </c>
      <c r="L162" s="87">
        <v>111</v>
      </c>
      <c r="M162" s="87">
        <v>50.507800000000003</v>
      </c>
      <c r="O162" s="87" t="s">
        <v>185</v>
      </c>
      <c r="P162" s="87" t="s">
        <v>190</v>
      </c>
      <c r="Q162" s="229" t="s">
        <v>214</v>
      </c>
      <c r="R162" s="87" t="str">
        <f>VLOOKUP(E162,'PREMIUM TABLES'!$F$214:$G$219,2,FALSE)</f>
        <v>GROUND</v>
      </c>
      <c r="S162" s="87" t="str" cm="1">
        <f t="array" ref="S162">IF(AND(L162&gt;0,L162&lt;90),"A",IF(AND(L162&gt;90,L162&lt;123),"B",IF(AND(L162&gt;122,L162&lt;159),"C",IF(AND(L162&gt;159,L162&lt;185),"D",IF(AND(L162&gt;185,L162&lt;230),"E",IF(AND(L162&gt;230,L162&lt;350),"F",NONE))))))</f>
        <v>B</v>
      </c>
      <c r="T162" s="230">
        <f>VLOOKUP(O162,'PREMIUM TABLES'!$G$165:$H$172,2,FALSE)</f>
        <v>0.06</v>
      </c>
      <c r="U162" s="230">
        <f>VLOOKUP(P162,'PREMIUM TABLES'!$G$208:$H$209,2,FALSE)</f>
        <v>2.5000000000000001E-2</v>
      </c>
      <c r="V162" s="230">
        <f>VLOOKUP(Q162,'PREMIUM TABLES'!$G$175:$H$195,2,FALSE)</f>
        <v>0.4</v>
      </c>
      <c r="W162" s="230">
        <f>VLOOKUP(R162,'PREMIUM TABLES'!$G$214:$H$219,2,FALSE)</f>
        <v>0.05</v>
      </c>
      <c r="X162" s="230">
        <f>VLOOKUP(S162,'PREMIUM TABLES'!$F$199:$H$205,3,FALSE)</f>
        <v>0.04</v>
      </c>
      <c r="Y162" s="231">
        <f t="shared" si="22"/>
        <v>0.57500000000000007</v>
      </c>
      <c r="Z162" s="231" t="str" cm="1">
        <f t="array" ref="Z162">IF(AND(Y162&gt;0,Y162&lt;0.5),"C",IF(AND(Y162&gt;=0.5,Y162&lt;0.73),"B",IF(AND(Y162&gt;=0.73,Y162&lt;0.98),"A",NONE)))</f>
        <v>B</v>
      </c>
      <c r="AA162" s="231" t="str">
        <f>VLOOKUP(G162,'ALL (R)'!$N$5:$R$862,5,FALSE)</f>
        <v>R 1</v>
      </c>
      <c r="AB162" s="232">
        <f>VLOOKUP(AA162,FACTS!$B$2:$L$14,10,FALSE)</f>
        <v>42500</v>
      </c>
      <c r="AC162" s="232">
        <f>VLOOKUP(AA162,FACTS!$B$2:$L$14,11,FALSE)</f>
        <v>47500</v>
      </c>
      <c r="AD162" s="232">
        <f>VLOOKUP(AA162,FACTS!$B$2:$N$14,13,FALSE)</f>
        <v>5000</v>
      </c>
      <c r="AE162" s="232">
        <f t="shared" si="23"/>
        <v>2875.0000000000005</v>
      </c>
      <c r="AF162" s="232">
        <f t="shared" si="24"/>
        <v>45375</v>
      </c>
      <c r="AG162" s="232">
        <f>AF162*FACTS!$T$2</f>
        <v>14973.75</v>
      </c>
      <c r="AH162" s="232">
        <f>Table1[[#This Row],[UNIT (BUILDING) RATE (SEMI FINISHED)]]+4500</f>
        <v>49875</v>
      </c>
      <c r="AI162" s="232">
        <f>Table1[[#This Row],[UNIT (BUILDING) RATE (SEMI FINISHED)]]+7500</f>
        <v>52875</v>
      </c>
      <c r="AJ162" s="232">
        <f t="shared" si="25"/>
        <v>5036625</v>
      </c>
      <c r="AK162" s="232">
        <f>Table1[[#This Row],[UNIT (BUILDING) RATE (BASIC FINISH)]]*Table1[[#This Row],[Unit Selling Area]]</f>
        <v>5536125</v>
      </c>
      <c r="AL162" s="232">
        <f>Table1[[#This Row],[UNIT (BUILDING) RATE (FULLY FINISH)]]*Table1[[#This Row],[Unit Selling Area]]</f>
        <v>5869125</v>
      </c>
      <c r="AM162" s="232">
        <f t="shared" si="26"/>
        <v>756291.17025000008</v>
      </c>
      <c r="AN162" s="232">
        <f>(AM162+AJ162)*FACTS!$S$2</f>
        <v>492397.87447125005</v>
      </c>
      <c r="AO162" s="101">
        <f>VLOOKUP(S162,FACTS!$A$17:$C$23,3,FALSE)</f>
        <v>1</v>
      </c>
      <c r="AP162" s="232">
        <f>VLOOKUP(AA162,FACTS!$B$2:$J$14,9,FALSE)</f>
        <v>200000</v>
      </c>
      <c r="AQ162" s="232">
        <f>Table1[[#This Row],[PARKING VALUE]]*1</f>
        <v>200000</v>
      </c>
      <c r="AR162" s="232">
        <f t="shared" si="20"/>
        <v>5992916.1702500004</v>
      </c>
      <c r="AS162" s="440">
        <f>Table1[[#This Row],[TOTAL CARS VALUE]]+Table1[[#This Row],[UNIT (BUILDING) VALUE BASIC FINISHED]]+Table1[[#This Row],[UNIT (GARDEN) VALUE]]</f>
        <v>6492416.1702500004</v>
      </c>
      <c r="AT162" s="232">
        <f>Table1[[#This Row],[TOTAL CARS VALUE]]+Table1[[#This Row],[UNIT (GARDEN) VALUE]]+Table1[[#This Row],[UNIT (BUILDING) VALUE FULLY FINISHED]]</f>
        <v>6825416.1702500004</v>
      </c>
      <c r="AU162" s="233">
        <f>VLOOKUP(I162,'C PHASES'!$I$108:$J$110,2,FALSE)</f>
        <v>45839</v>
      </c>
      <c r="AV162" s="233">
        <f>VLOOKUP(AA162,'C PHASES'!$I$113:$J$125,2,FALSE)</f>
        <v>45170</v>
      </c>
    </row>
    <row r="163" spans="1:48" ht="15" customHeight="1" x14ac:dyDescent="0.25">
      <c r="A163" s="235"/>
      <c r="B163" s="227" t="str">
        <f t="shared" si="21"/>
        <v>A</v>
      </c>
      <c r="C163" s="227" t="s">
        <v>29</v>
      </c>
      <c r="D163" s="227" t="s">
        <v>1147</v>
      </c>
      <c r="E163" s="228">
        <v>0</v>
      </c>
      <c r="F163" s="101">
        <v>3</v>
      </c>
      <c r="G163" s="87" t="str">
        <f t="shared" si="28"/>
        <v>A803</v>
      </c>
      <c r="H163" s="87" t="s">
        <v>1293</v>
      </c>
      <c r="I163" s="89" t="str">
        <f>VLOOKUP(C163,'PREMIUM TABLES'!$G$107:$H$149,2,FALSE)</f>
        <v>C1</v>
      </c>
      <c r="J163" s="87">
        <v>110.14</v>
      </c>
      <c r="K163" s="87">
        <v>120.21220005960269</v>
      </c>
      <c r="L163" s="87">
        <v>135</v>
      </c>
      <c r="M163" s="87">
        <v>59.482100000000003</v>
      </c>
      <c r="O163" s="87" t="s">
        <v>185</v>
      </c>
      <c r="P163" s="87" t="s">
        <v>226</v>
      </c>
      <c r="Q163" s="229" t="s">
        <v>214</v>
      </c>
      <c r="R163" s="87" t="str">
        <f>VLOOKUP(E163,'PREMIUM TABLES'!$F$214:$G$219,2,FALSE)</f>
        <v>GROUND</v>
      </c>
      <c r="S163" s="87" t="str" cm="1">
        <f t="array" ref="S163">IF(AND(L163&gt;0,L163&lt;90),"A",IF(AND(L163&gt;90,L163&lt;123),"B",IF(AND(L163&gt;122,L163&lt;159),"C",IF(AND(L163&gt;159,L163&lt;185),"D",IF(AND(L163&gt;185,L163&lt;230),"E",IF(AND(L163&gt;230,L163&lt;350),"F",NONE))))))</f>
        <v>C</v>
      </c>
      <c r="T163" s="230">
        <f>VLOOKUP(O163,'PREMIUM TABLES'!$G$165:$H$172,2,FALSE)</f>
        <v>0.06</v>
      </c>
      <c r="U163" s="230">
        <f>VLOOKUP(P163,'PREMIUM TABLES'!$G$208:$H$209,2,FALSE)</f>
        <v>0.05</v>
      </c>
      <c r="V163" s="230">
        <f>VLOOKUP(Q163,'PREMIUM TABLES'!$G$175:$H$195,2,FALSE)</f>
        <v>0.4</v>
      </c>
      <c r="W163" s="230">
        <f>VLOOKUP(R163,'PREMIUM TABLES'!$G$214:$H$219,2,FALSE)</f>
        <v>0.05</v>
      </c>
      <c r="X163" s="230">
        <f>VLOOKUP(S163,'PREMIUM TABLES'!$F$199:$H$205,3,FALSE)</f>
        <v>3.5000000000000003E-2</v>
      </c>
      <c r="Y163" s="231">
        <f t="shared" si="22"/>
        <v>0.59500000000000008</v>
      </c>
      <c r="Z163" s="231" t="str" cm="1">
        <f t="array" ref="Z163">IF(AND(Y163&gt;0,Y163&lt;0.5),"C",IF(AND(Y163&gt;=0.5,Y163&lt;0.73),"B",IF(AND(Y163&gt;=0.73,Y163&lt;0.98),"A",NONE)))</f>
        <v>B</v>
      </c>
      <c r="AA163" s="231" t="str">
        <f>VLOOKUP(G163,'ALL (R)'!$N$5:$R$862,5,FALSE)</f>
        <v>R 2</v>
      </c>
      <c r="AB163" s="232">
        <f>VLOOKUP(AA163,FACTS!$B$2:$L$14,10,FALSE)</f>
        <v>43562.499999999993</v>
      </c>
      <c r="AC163" s="232">
        <f>VLOOKUP(AA163,FACTS!$B$2:$L$14,11,FALSE)</f>
        <v>48687.499999999993</v>
      </c>
      <c r="AD163" s="232">
        <f>VLOOKUP(AA163,FACTS!$B$2:$N$14,13,FALSE)</f>
        <v>5125</v>
      </c>
      <c r="AE163" s="232">
        <f t="shared" si="23"/>
        <v>3049.3750000000005</v>
      </c>
      <c r="AF163" s="232">
        <f t="shared" si="24"/>
        <v>46611.874999999993</v>
      </c>
      <c r="AG163" s="232">
        <f>AF163*FACTS!$T$2</f>
        <v>15381.918749999999</v>
      </c>
      <c r="AH163" s="232">
        <f>Table1[[#This Row],[UNIT (BUILDING) RATE (SEMI FINISHED)]]+4500</f>
        <v>51111.874999999993</v>
      </c>
      <c r="AI163" s="232">
        <f>Table1[[#This Row],[UNIT (BUILDING) RATE (SEMI FINISHED)]]+7500</f>
        <v>54111.874999999993</v>
      </c>
      <c r="AJ163" s="232">
        <f t="shared" si="25"/>
        <v>6292603.1249999991</v>
      </c>
      <c r="AK163" s="232">
        <f>Table1[[#This Row],[UNIT (BUILDING) RATE (BASIC FINISH)]]*Table1[[#This Row],[Unit Selling Area]]</f>
        <v>6900103.1249999991</v>
      </c>
      <c r="AL163" s="232">
        <f>Table1[[#This Row],[UNIT (BUILDING) RATE (FULLY FINISH)]]*Table1[[#This Row],[Unit Selling Area]]</f>
        <v>7305103.1249999991</v>
      </c>
      <c r="AM163" s="232">
        <f t="shared" si="26"/>
        <v>914948.82927937503</v>
      </c>
      <c r="AN163" s="232">
        <f>(AM163+AJ163)*FACTS!$S$2</f>
        <v>612641.91611374682</v>
      </c>
      <c r="AO163" s="101">
        <f>VLOOKUP(S163,FACTS!$A$17:$C$23,3,FALSE)</f>
        <v>2</v>
      </c>
      <c r="AP163" s="232">
        <f>VLOOKUP(AA163,FACTS!$B$2:$J$14,9,FALSE)</f>
        <v>204999.99999999997</v>
      </c>
      <c r="AQ163" s="232">
        <f>Table1[[#This Row],[PARKING VALUE]]*1</f>
        <v>204999.99999999997</v>
      </c>
      <c r="AR163" s="232">
        <f t="shared" si="20"/>
        <v>7412551.9542793743</v>
      </c>
      <c r="AS163" s="440">
        <f>Table1[[#This Row],[TOTAL CARS VALUE]]+Table1[[#This Row],[UNIT (BUILDING) VALUE BASIC FINISHED]]+Table1[[#This Row],[UNIT (GARDEN) VALUE]]</f>
        <v>8020051.9542793743</v>
      </c>
      <c r="AT163" s="232">
        <f>Table1[[#This Row],[TOTAL CARS VALUE]]+Table1[[#This Row],[UNIT (GARDEN) VALUE]]+Table1[[#This Row],[UNIT (BUILDING) VALUE FULLY FINISHED]]</f>
        <v>8425051.9542793743</v>
      </c>
      <c r="AU163" s="233">
        <f>VLOOKUP(I163,'C PHASES'!$I$108:$J$110,2,FALSE)</f>
        <v>45839</v>
      </c>
      <c r="AV163" s="233">
        <f>VLOOKUP(AA163,'C PHASES'!$I$113:$J$125,2,FALSE)</f>
        <v>45292</v>
      </c>
    </row>
    <row r="164" spans="1:48" ht="15" customHeight="1" x14ac:dyDescent="0.25">
      <c r="A164" s="235"/>
      <c r="B164" s="227" t="str">
        <f t="shared" si="21"/>
        <v>A</v>
      </c>
      <c r="C164" s="227" t="s">
        <v>29</v>
      </c>
      <c r="D164" s="227" t="s">
        <v>1147</v>
      </c>
      <c r="E164" s="228">
        <v>0</v>
      </c>
      <c r="F164" s="101">
        <v>4</v>
      </c>
      <c r="G164" s="87" t="str">
        <f t="shared" si="28"/>
        <v>A804</v>
      </c>
      <c r="H164" s="87" t="s">
        <v>1293</v>
      </c>
      <c r="I164" s="89" t="str">
        <f>VLOOKUP(C164,'PREMIUM TABLES'!$G$107:$H$149,2,FALSE)</f>
        <v>C1</v>
      </c>
      <c r="J164" s="87">
        <v>110.32</v>
      </c>
      <c r="K164" s="87">
        <v>120.40866089136887</v>
      </c>
      <c r="L164" s="87">
        <v>136</v>
      </c>
      <c r="M164" s="87">
        <v>50.038899999999998</v>
      </c>
      <c r="O164" s="87" t="s">
        <v>184</v>
      </c>
      <c r="P164" s="87" t="s">
        <v>226</v>
      </c>
      <c r="Q164" s="229" t="s">
        <v>198</v>
      </c>
      <c r="R164" s="87" t="str">
        <f>VLOOKUP(E164,'PREMIUM TABLES'!$F$214:$G$219,2,FALSE)</f>
        <v>GROUND</v>
      </c>
      <c r="S164" s="87" t="str" cm="1">
        <f t="array" ref="S164">IF(AND(L164&gt;0,L164&lt;90),"A",IF(AND(L164&gt;90,L164&lt;123),"B",IF(AND(L164&gt;122,L164&lt;159),"C",IF(AND(L164&gt;159,L164&lt;185),"D",IF(AND(L164&gt;185,L164&lt;230),"E",IF(AND(L164&gt;230,L164&lt;350),"F",NONE))))))</f>
        <v>C</v>
      </c>
      <c r="T164" s="230">
        <f>VLOOKUP(O164,'PREMIUM TABLES'!$G$165:$H$172,2,FALSE)</f>
        <v>0.15</v>
      </c>
      <c r="U164" s="230">
        <f>VLOOKUP(P164,'PREMIUM TABLES'!$G$208:$H$209,2,FALSE)</f>
        <v>0.05</v>
      </c>
      <c r="V164" s="230">
        <f>VLOOKUP(Q164,'PREMIUM TABLES'!$G$175:$H$195,2,FALSE)</f>
        <v>0.15</v>
      </c>
      <c r="W164" s="230">
        <f>VLOOKUP(R164,'PREMIUM TABLES'!$G$214:$H$219,2,FALSE)</f>
        <v>0.05</v>
      </c>
      <c r="X164" s="230">
        <f>VLOOKUP(S164,'PREMIUM TABLES'!$F$199:$H$205,3,FALSE)</f>
        <v>3.5000000000000003E-2</v>
      </c>
      <c r="Y164" s="231">
        <f t="shared" si="22"/>
        <v>0.43499999999999994</v>
      </c>
      <c r="Z164" s="231" t="str" cm="1">
        <f t="array" ref="Z164">IF(AND(Y164&gt;0,Y164&lt;0.5),"C",IF(AND(Y164&gt;=0.5,Y164&lt;0.73),"B",IF(AND(Y164&gt;=0.73,Y164&lt;0.98),"A",NONE)))</f>
        <v>C</v>
      </c>
      <c r="AA164" s="231" t="str">
        <f>VLOOKUP(G164,'ALL (R)'!$N$5:$R$862,5,FALSE)</f>
        <v>R 8</v>
      </c>
      <c r="AB164" s="232">
        <f>VLOOKUP(AA164,FACTS!$B$2:$L$14,10,FALSE)</f>
        <v>51850</v>
      </c>
      <c r="AC164" s="232">
        <f>VLOOKUP(AA164,FACTS!$B$2:$L$14,11,FALSE)</f>
        <v>57950</v>
      </c>
      <c r="AD164" s="232">
        <f>VLOOKUP(AA164,FACTS!$B$2:$N$14,13,FALSE)</f>
        <v>6100</v>
      </c>
      <c r="AE164" s="232">
        <f t="shared" si="23"/>
        <v>2653.4999999999995</v>
      </c>
      <c r="AF164" s="232">
        <f t="shared" si="24"/>
        <v>54503.5</v>
      </c>
      <c r="AG164" s="232">
        <f>AF164*FACTS!$T$2</f>
        <v>17986.155000000002</v>
      </c>
      <c r="AH164" s="232">
        <f>Table1[[#This Row],[UNIT (BUILDING) RATE (SEMI FINISHED)]]+4500</f>
        <v>59003.5</v>
      </c>
      <c r="AI164" s="232">
        <f>Table1[[#This Row],[UNIT (BUILDING) RATE (SEMI FINISHED)]]+7500</f>
        <v>62003.5</v>
      </c>
      <c r="AJ164" s="232">
        <f t="shared" si="25"/>
        <v>7412476</v>
      </c>
      <c r="AK164" s="232">
        <f>Table1[[#This Row],[UNIT (BUILDING) RATE (BASIC FINISH)]]*Table1[[#This Row],[Unit Selling Area]]</f>
        <v>8024476</v>
      </c>
      <c r="AL164" s="232">
        <f>Table1[[#This Row],[UNIT (BUILDING) RATE (FULLY FINISH)]]*Table1[[#This Row],[Unit Selling Area]]</f>
        <v>8432476</v>
      </c>
      <c r="AM164" s="232">
        <f t="shared" si="26"/>
        <v>900007.41142950009</v>
      </c>
      <c r="AN164" s="232">
        <f>(AM164+AJ164)*FACTS!$S$2</f>
        <v>706561.08997150755</v>
      </c>
      <c r="AO164" s="101">
        <f>VLOOKUP(S164,FACTS!$A$17:$C$23,3,FALSE)</f>
        <v>2</v>
      </c>
      <c r="AP164" s="232">
        <f>VLOOKUP(AA164,FACTS!$B$2:$J$14,9,FALSE)</f>
        <v>244000</v>
      </c>
      <c r="AQ164" s="232">
        <f>Table1[[#This Row],[PARKING VALUE]]*1</f>
        <v>244000</v>
      </c>
      <c r="AR164" s="232">
        <f t="shared" si="20"/>
        <v>8556483.4114295002</v>
      </c>
      <c r="AS164" s="440">
        <f>Table1[[#This Row],[TOTAL CARS VALUE]]+Table1[[#This Row],[UNIT (BUILDING) VALUE BASIC FINISHED]]+Table1[[#This Row],[UNIT (GARDEN) VALUE]]</f>
        <v>9168483.4114295002</v>
      </c>
      <c r="AT164" s="232">
        <f>Table1[[#This Row],[TOTAL CARS VALUE]]+Table1[[#This Row],[UNIT (GARDEN) VALUE]]+Table1[[#This Row],[UNIT (BUILDING) VALUE FULLY FINISHED]]</f>
        <v>9576483.4114295002</v>
      </c>
      <c r="AU164" s="233">
        <f>VLOOKUP(I164,'C PHASES'!$I$108:$J$110,2,FALSE)</f>
        <v>45839</v>
      </c>
      <c r="AV164" s="233">
        <f>VLOOKUP(AA164,'C PHASES'!$I$113:$J$125,2,FALSE)</f>
        <v>45839</v>
      </c>
    </row>
    <row r="165" spans="1:48" ht="15" customHeight="1" x14ac:dyDescent="0.25">
      <c r="A165" s="235"/>
      <c r="B165" s="227" t="str">
        <f t="shared" si="21"/>
        <v>A</v>
      </c>
      <c r="C165" s="227" t="s">
        <v>29</v>
      </c>
      <c r="D165" s="227" t="s">
        <v>1147</v>
      </c>
      <c r="E165" s="228">
        <v>1</v>
      </c>
      <c r="F165" s="101">
        <v>1</v>
      </c>
      <c r="G165" s="87" t="str">
        <f t="shared" si="28"/>
        <v>A811</v>
      </c>
      <c r="H165" s="87" t="s">
        <v>1296</v>
      </c>
      <c r="I165" s="89" t="str">
        <f>VLOOKUP(C165,'PREMIUM TABLES'!$G$107:$H$149,2,FALSE)</f>
        <v>C1</v>
      </c>
      <c r="J165" s="87">
        <v>61.82</v>
      </c>
      <c r="K165" s="87">
        <v>67.473381221033577</v>
      </c>
      <c r="L165" s="87">
        <v>76</v>
      </c>
      <c r="O165" s="87" t="s">
        <v>184</v>
      </c>
      <c r="P165" s="87" t="s">
        <v>190</v>
      </c>
      <c r="Q165" s="229" t="s">
        <v>198</v>
      </c>
      <c r="R165" s="87" t="str">
        <f>VLOOKUP(E165,'PREMIUM TABLES'!$F$214:$G$219,2,FALSE)</f>
        <v>FIRST</v>
      </c>
      <c r="S165" s="87" t="str" cm="1">
        <f t="array" ref="S165">IF(AND(L165&gt;0,L165&lt;90),"A",IF(AND(L165&gt;90,L165&lt;123),"B",IF(AND(L165&gt;122,L165&lt;159),"C",IF(AND(L165&gt;159,L165&lt;185),"D",IF(AND(L165&gt;185,L165&lt;230),"E",IF(AND(L165&gt;230,L165&lt;350),"F",NONE))))))</f>
        <v>A</v>
      </c>
      <c r="T165" s="230">
        <f>VLOOKUP(O165,'PREMIUM TABLES'!$G$165:$H$172,2,FALSE)</f>
        <v>0.15</v>
      </c>
      <c r="U165" s="230">
        <f>VLOOKUP(P165,'PREMIUM TABLES'!$G$208:$H$209,2,FALSE)</f>
        <v>2.5000000000000001E-2</v>
      </c>
      <c r="V165" s="230">
        <f>VLOOKUP(Q165,'PREMIUM TABLES'!$G$175:$H$195,2,FALSE)</f>
        <v>0.15</v>
      </c>
      <c r="W165" s="230">
        <f>VLOOKUP(R165,'PREMIUM TABLES'!$G$214:$H$219,2,FALSE)</f>
        <v>7.0000000000000007E-2</v>
      </c>
      <c r="X165" s="230">
        <f>VLOOKUP(S165,'PREMIUM TABLES'!$F$199:$H$205,3,FALSE)</f>
        <v>0.05</v>
      </c>
      <c r="Y165" s="231">
        <f t="shared" si="22"/>
        <v>0.44499999999999995</v>
      </c>
      <c r="Z165" s="231" t="str" cm="1">
        <f t="array" ref="Z165">IF(AND(Y165&gt;0,Y165&lt;0.5),"C",IF(AND(Y165&gt;=0.5,Y165&lt;0.73),"B",IF(AND(Y165&gt;=0.73,Y165&lt;0.98),"A",NONE)))</f>
        <v>C</v>
      </c>
      <c r="AA165" s="231" t="str">
        <f>VLOOKUP(G165,'ALL (R)'!$N$5:$R$862,5,FALSE)</f>
        <v>R 9</v>
      </c>
      <c r="AB165" s="232">
        <f>VLOOKUP(AA165,FACTS!$B$2:$L$14,10,FALSE)</f>
        <v>53550</v>
      </c>
      <c r="AC165" s="232">
        <f>VLOOKUP(AA165,FACTS!$B$2:$L$14,11,FALSE)</f>
        <v>59850</v>
      </c>
      <c r="AD165" s="232">
        <f>VLOOKUP(AA165,FACTS!$B$2:$N$14,13,FALSE)</f>
        <v>6300</v>
      </c>
      <c r="AE165" s="232">
        <f t="shared" si="23"/>
        <v>2803.4999999999995</v>
      </c>
      <c r="AF165" s="232">
        <f t="shared" si="24"/>
        <v>56353.5</v>
      </c>
      <c r="AG165" s="232">
        <f>AF165*FACTS!$T$2</f>
        <v>18596.655000000002</v>
      </c>
      <c r="AH165" s="232">
        <f>Table1[[#This Row],[UNIT (BUILDING) RATE (SEMI FINISHED)]]+4500</f>
        <v>60853.5</v>
      </c>
      <c r="AI165" s="232">
        <f>Table1[[#This Row],[UNIT (BUILDING) RATE (SEMI FINISHED)]]+7500</f>
        <v>63853.5</v>
      </c>
      <c r="AJ165" s="232">
        <f t="shared" si="25"/>
        <v>4282866</v>
      </c>
      <c r="AK165" s="232">
        <f>Table1[[#This Row],[UNIT (BUILDING) RATE (BASIC FINISH)]]*Table1[[#This Row],[Unit Selling Area]]</f>
        <v>4624866</v>
      </c>
      <c r="AL165" s="232">
        <f>Table1[[#This Row],[UNIT (BUILDING) RATE (FULLY FINISH)]]*Table1[[#This Row],[Unit Selling Area]]</f>
        <v>4852866</v>
      </c>
      <c r="AM165" s="232">
        <f t="shared" si="26"/>
        <v>0</v>
      </c>
      <c r="AN165" s="232">
        <f>(AM165+AJ165)*FACTS!$S$2</f>
        <v>364043.61000000004</v>
      </c>
      <c r="AO165" s="101">
        <f>VLOOKUP(S165,FACTS!$A$17:$C$23,3,FALSE)</f>
        <v>1</v>
      </c>
      <c r="AP165" s="232">
        <f>VLOOKUP(AA165,FACTS!$B$2:$J$14,9,FALSE)</f>
        <v>252000</v>
      </c>
      <c r="AQ165" s="232">
        <f>Table1[[#This Row],[PARKING VALUE]]*1</f>
        <v>252000</v>
      </c>
      <c r="AR165" s="232">
        <f t="shared" si="20"/>
        <v>4534866</v>
      </c>
      <c r="AS165" s="440">
        <f>Table1[[#This Row],[TOTAL CARS VALUE]]+Table1[[#This Row],[UNIT (BUILDING) VALUE BASIC FINISHED]]+Table1[[#This Row],[UNIT (GARDEN) VALUE]]</f>
        <v>4876866</v>
      </c>
      <c r="AT165" s="232">
        <f>Table1[[#This Row],[TOTAL CARS VALUE]]+Table1[[#This Row],[UNIT (GARDEN) VALUE]]+Table1[[#This Row],[UNIT (BUILDING) VALUE FULLY FINISHED]]</f>
        <v>5104866</v>
      </c>
      <c r="AU165" s="233">
        <f>VLOOKUP(I165,'C PHASES'!$I$108:$J$110,2,FALSE)</f>
        <v>45839</v>
      </c>
      <c r="AV165" s="233">
        <f>VLOOKUP(AA165,'C PHASES'!$I$113:$J$125,2,FALSE)</f>
        <v>45931</v>
      </c>
    </row>
    <row r="166" spans="1:48" ht="15" customHeight="1" x14ac:dyDescent="0.25">
      <c r="A166" s="235"/>
      <c r="B166" s="227" t="str">
        <f t="shared" si="21"/>
        <v>A</v>
      </c>
      <c r="C166" s="227" t="s">
        <v>29</v>
      </c>
      <c r="D166" s="227" t="s">
        <v>1147</v>
      </c>
      <c r="E166" s="228">
        <v>1</v>
      </c>
      <c r="F166" s="101">
        <v>2</v>
      </c>
      <c r="G166" s="87" t="str">
        <f t="shared" si="28"/>
        <v>A812</v>
      </c>
      <c r="H166" s="87" t="s">
        <v>1293</v>
      </c>
      <c r="I166" s="89" t="str">
        <f>VLOOKUP(C166,'PREMIUM TABLES'!$G$107:$H$149,2,FALSE)</f>
        <v>C1</v>
      </c>
      <c r="J166" s="87">
        <v>89.05</v>
      </c>
      <c r="K166" s="87">
        <v>97.193539270997093</v>
      </c>
      <c r="L166" s="87">
        <v>110</v>
      </c>
      <c r="O166" s="87" t="s">
        <v>185</v>
      </c>
      <c r="P166" s="87" t="s">
        <v>190</v>
      </c>
      <c r="Q166" s="229" t="s">
        <v>214</v>
      </c>
      <c r="R166" s="87" t="str">
        <f>VLOOKUP(E166,'PREMIUM TABLES'!$F$214:$G$219,2,FALSE)</f>
        <v>FIRST</v>
      </c>
      <c r="S166" s="87" t="str" cm="1">
        <f t="array" ref="S166">IF(AND(L166&gt;0,L166&lt;90),"A",IF(AND(L166&gt;90,L166&lt;123),"B",IF(AND(L166&gt;122,L166&lt;159),"C",IF(AND(L166&gt;159,L166&lt;185),"D",IF(AND(L166&gt;185,L166&lt;230),"E",IF(AND(L166&gt;230,L166&lt;350),"F",NONE))))))</f>
        <v>B</v>
      </c>
      <c r="T166" s="230">
        <f>VLOOKUP(O166,'PREMIUM TABLES'!$G$165:$H$172,2,FALSE)</f>
        <v>0.06</v>
      </c>
      <c r="U166" s="230">
        <f>VLOOKUP(P166,'PREMIUM TABLES'!$G$208:$H$209,2,FALSE)</f>
        <v>2.5000000000000001E-2</v>
      </c>
      <c r="V166" s="230">
        <f>VLOOKUP(Q166,'PREMIUM TABLES'!$G$175:$H$195,2,FALSE)</f>
        <v>0.4</v>
      </c>
      <c r="W166" s="230">
        <f>VLOOKUP(R166,'PREMIUM TABLES'!$G$214:$H$219,2,FALSE)</f>
        <v>7.0000000000000007E-2</v>
      </c>
      <c r="X166" s="230">
        <f>VLOOKUP(S166,'PREMIUM TABLES'!$F$199:$H$205,3,FALSE)</f>
        <v>0.04</v>
      </c>
      <c r="Y166" s="231">
        <f t="shared" si="22"/>
        <v>0.59499999999999997</v>
      </c>
      <c r="Z166" s="231" t="str" cm="1">
        <f t="array" ref="Z166">IF(AND(Y166&gt;0,Y166&lt;0.5),"C",IF(AND(Y166&gt;=0.5,Y166&lt;0.73),"B",IF(AND(Y166&gt;=0.73,Y166&lt;0.98),"A",NONE)))</f>
        <v>B</v>
      </c>
      <c r="AA166" s="231" t="str">
        <f>VLOOKUP(G166,'ALL (R)'!$N$5:$R$862,5,FALSE)</f>
        <v>R 2</v>
      </c>
      <c r="AB166" s="232">
        <f>VLOOKUP(AA166,FACTS!$B$2:$L$14,10,FALSE)</f>
        <v>43562.499999999993</v>
      </c>
      <c r="AC166" s="232">
        <f>VLOOKUP(AA166,FACTS!$B$2:$L$14,11,FALSE)</f>
        <v>48687.499999999993</v>
      </c>
      <c r="AD166" s="232">
        <f>VLOOKUP(AA166,FACTS!$B$2:$N$14,13,FALSE)</f>
        <v>5125</v>
      </c>
      <c r="AE166" s="232">
        <f t="shared" si="23"/>
        <v>3049.375</v>
      </c>
      <c r="AF166" s="232">
        <f t="shared" si="24"/>
        <v>46611.874999999993</v>
      </c>
      <c r="AG166" s="232">
        <f>AF166*FACTS!$T$2</f>
        <v>15381.918749999999</v>
      </c>
      <c r="AH166" s="232">
        <f>Table1[[#This Row],[UNIT (BUILDING) RATE (SEMI FINISHED)]]+4500</f>
        <v>51111.874999999993</v>
      </c>
      <c r="AI166" s="232">
        <f>Table1[[#This Row],[UNIT (BUILDING) RATE (SEMI FINISHED)]]+7500</f>
        <v>54111.874999999993</v>
      </c>
      <c r="AJ166" s="232">
        <f t="shared" si="25"/>
        <v>5127306.2499999991</v>
      </c>
      <c r="AK166" s="232">
        <f>Table1[[#This Row],[UNIT (BUILDING) RATE (BASIC FINISH)]]*Table1[[#This Row],[Unit Selling Area]]</f>
        <v>5622306.2499999991</v>
      </c>
      <c r="AL166" s="232">
        <f>Table1[[#This Row],[UNIT (BUILDING) RATE (FULLY FINISH)]]*Table1[[#This Row],[Unit Selling Area]]</f>
        <v>5952306.2499999991</v>
      </c>
      <c r="AM166" s="232">
        <f t="shared" si="26"/>
        <v>0</v>
      </c>
      <c r="AN166" s="232">
        <f>(AM166+AJ166)*FACTS!$S$2</f>
        <v>435821.03124999994</v>
      </c>
      <c r="AO166" s="101">
        <f>VLOOKUP(S166,FACTS!$A$17:$C$23,3,FALSE)</f>
        <v>1</v>
      </c>
      <c r="AP166" s="232">
        <f>VLOOKUP(AA166,FACTS!$B$2:$J$14,9,FALSE)</f>
        <v>204999.99999999997</v>
      </c>
      <c r="AQ166" s="232">
        <f>Table1[[#This Row],[PARKING VALUE]]*1</f>
        <v>204999.99999999997</v>
      </c>
      <c r="AR166" s="232">
        <f t="shared" si="20"/>
        <v>5332306.2499999991</v>
      </c>
      <c r="AS166" s="440">
        <f>Table1[[#This Row],[TOTAL CARS VALUE]]+Table1[[#This Row],[UNIT (BUILDING) VALUE BASIC FINISHED]]+Table1[[#This Row],[UNIT (GARDEN) VALUE]]</f>
        <v>5827306.2499999991</v>
      </c>
      <c r="AT166" s="232">
        <f>Table1[[#This Row],[TOTAL CARS VALUE]]+Table1[[#This Row],[UNIT (GARDEN) VALUE]]+Table1[[#This Row],[UNIT (BUILDING) VALUE FULLY FINISHED]]</f>
        <v>6157306.2499999991</v>
      </c>
      <c r="AU166" s="233">
        <f>VLOOKUP(I166,'C PHASES'!$I$108:$J$110,2,FALSE)</f>
        <v>45839</v>
      </c>
      <c r="AV166" s="233">
        <f>VLOOKUP(AA166,'C PHASES'!$I$113:$J$125,2,FALSE)</f>
        <v>45292</v>
      </c>
    </row>
    <row r="167" spans="1:48" ht="15" customHeight="1" x14ac:dyDescent="0.25">
      <c r="A167" s="235"/>
      <c r="B167" s="227" t="str">
        <f t="shared" si="21"/>
        <v>A</v>
      </c>
      <c r="C167" s="227" t="s">
        <v>29</v>
      </c>
      <c r="D167" s="227" t="s">
        <v>1147</v>
      </c>
      <c r="E167" s="228">
        <v>1</v>
      </c>
      <c r="F167" s="101">
        <v>3</v>
      </c>
      <c r="G167" s="87" t="str">
        <f t="shared" si="28"/>
        <v>A813</v>
      </c>
      <c r="H167" s="87" t="s">
        <v>1293</v>
      </c>
      <c r="I167" s="89" t="str">
        <f>VLOOKUP(C167,'PREMIUM TABLES'!$G$107:$H$149,2,FALSE)</f>
        <v>C1</v>
      </c>
      <c r="J167" s="87">
        <v>110.14</v>
      </c>
      <c r="K167" s="87">
        <v>120.21220005960269</v>
      </c>
      <c r="L167" s="87">
        <v>135</v>
      </c>
      <c r="O167" s="87" t="s">
        <v>185</v>
      </c>
      <c r="P167" s="87" t="s">
        <v>226</v>
      </c>
      <c r="Q167" s="229" t="s">
        <v>214</v>
      </c>
      <c r="R167" s="87" t="str">
        <f>VLOOKUP(E167,'PREMIUM TABLES'!$F$214:$G$219,2,FALSE)</f>
        <v>FIRST</v>
      </c>
      <c r="S167" s="87" t="str" cm="1">
        <f t="array" ref="S167">IF(AND(L167&gt;0,L167&lt;90),"A",IF(AND(L167&gt;90,L167&lt;123),"B",IF(AND(L167&gt;122,L167&lt;159),"C",IF(AND(L167&gt;159,L167&lt;185),"D",IF(AND(L167&gt;185,L167&lt;230),"E",IF(AND(L167&gt;230,L167&lt;350),"F",NONE))))))</f>
        <v>C</v>
      </c>
      <c r="T167" s="230">
        <f>VLOOKUP(O167,'PREMIUM TABLES'!$G$165:$H$172,2,FALSE)</f>
        <v>0.06</v>
      </c>
      <c r="U167" s="230">
        <f>VLOOKUP(P167,'PREMIUM TABLES'!$G$208:$H$209,2,FALSE)</f>
        <v>0.05</v>
      </c>
      <c r="V167" s="230">
        <f>VLOOKUP(Q167,'PREMIUM TABLES'!$G$175:$H$195,2,FALSE)</f>
        <v>0.4</v>
      </c>
      <c r="W167" s="230">
        <f>VLOOKUP(R167,'PREMIUM TABLES'!$G$214:$H$219,2,FALSE)</f>
        <v>7.0000000000000007E-2</v>
      </c>
      <c r="X167" s="230">
        <f>VLOOKUP(S167,'PREMIUM TABLES'!$F$199:$H$205,3,FALSE)</f>
        <v>3.5000000000000003E-2</v>
      </c>
      <c r="Y167" s="231">
        <f t="shared" si="22"/>
        <v>0.6150000000000001</v>
      </c>
      <c r="Z167" s="231" t="str" cm="1">
        <f t="array" ref="Z167">IF(AND(Y167&gt;0,Y167&lt;0.5),"C",IF(AND(Y167&gt;=0.5,Y167&lt;0.73),"B",IF(AND(Y167&gt;=0.73,Y167&lt;0.98),"A",NONE)))</f>
        <v>B</v>
      </c>
      <c r="AA167" s="231" t="str">
        <f>VLOOKUP(G167,'ALL (R)'!$N$5:$R$862,5,FALSE)</f>
        <v>R 3</v>
      </c>
      <c r="AB167" s="232">
        <f>VLOOKUP(AA167,FACTS!$B$2:$L$14,10,FALSE)</f>
        <v>44625</v>
      </c>
      <c r="AC167" s="232">
        <f>VLOOKUP(AA167,FACTS!$B$2:$L$14,11,FALSE)</f>
        <v>49875</v>
      </c>
      <c r="AD167" s="232">
        <f>VLOOKUP(AA167,FACTS!$B$2:$N$14,13,FALSE)</f>
        <v>5250</v>
      </c>
      <c r="AE167" s="232">
        <f t="shared" si="23"/>
        <v>3228.7500000000005</v>
      </c>
      <c r="AF167" s="232">
        <f t="shared" si="24"/>
        <v>47853.75</v>
      </c>
      <c r="AG167" s="232">
        <f>AF167*FACTS!$T$2</f>
        <v>15791.737500000001</v>
      </c>
      <c r="AH167" s="232">
        <f>Table1[[#This Row],[UNIT (BUILDING) RATE (SEMI FINISHED)]]+4500</f>
        <v>52353.75</v>
      </c>
      <c r="AI167" s="232">
        <f>Table1[[#This Row],[UNIT (BUILDING) RATE (SEMI FINISHED)]]+7500</f>
        <v>55353.75</v>
      </c>
      <c r="AJ167" s="232">
        <f t="shared" si="25"/>
        <v>6460256.25</v>
      </c>
      <c r="AK167" s="232">
        <f>Table1[[#This Row],[UNIT (BUILDING) RATE (BASIC FINISH)]]*Table1[[#This Row],[Unit Selling Area]]</f>
        <v>7067756.25</v>
      </c>
      <c r="AL167" s="232">
        <f>Table1[[#This Row],[UNIT (BUILDING) RATE (FULLY FINISH)]]*Table1[[#This Row],[Unit Selling Area]]</f>
        <v>7472756.25</v>
      </c>
      <c r="AM167" s="232">
        <f t="shared" si="26"/>
        <v>0</v>
      </c>
      <c r="AN167" s="232">
        <f>(AM167+AJ167)*FACTS!$S$2</f>
        <v>549121.78125</v>
      </c>
      <c r="AO167" s="101">
        <f>VLOOKUP(S167,FACTS!$A$17:$C$23,3,FALSE)</f>
        <v>2</v>
      </c>
      <c r="AP167" s="232">
        <f>VLOOKUP(AA167,FACTS!$B$2:$J$14,9,FALSE)</f>
        <v>210000</v>
      </c>
      <c r="AQ167" s="232">
        <f>Table1[[#This Row],[PARKING VALUE]]*1</f>
        <v>210000</v>
      </c>
      <c r="AR167" s="232">
        <f t="shared" si="20"/>
        <v>6670256.25</v>
      </c>
      <c r="AS167" s="440">
        <f>Table1[[#This Row],[TOTAL CARS VALUE]]+Table1[[#This Row],[UNIT (BUILDING) VALUE BASIC FINISHED]]+Table1[[#This Row],[UNIT (GARDEN) VALUE]]</f>
        <v>7277756.25</v>
      </c>
      <c r="AT167" s="232">
        <f>Table1[[#This Row],[TOTAL CARS VALUE]]+Table1[[#This Row],[UNIT (GARDEN) VALUE]]+Table1[[#This Row],[UNIT (BUILDING) VALUE FULLY FINISHED]]</f>
        <v>7682756.25</v>
      </c>
      <c r="AU167" s="233">
        <f>VLOOKUP(I167,'C PHASES'!$I$108:$J$110,2,FALSE)</f>
        <v>45839</v>
      </c>
      <c r="AV167" s="233">
        <f>VLOOKUP(AA167,'C PHASES'!$I$113:$J$125,2,FALSE)</f>
        <v>45383</v>
      </c>
    </row>
    <row r="168" spans="1:48" ht="15" customHeight="1" x14ac:dyDescent="0.25">
      <c r="A168" s="235"/>
      <c r="B168" s="227" t="str">
        <f t="shared" si="21"/>
        <v>A</v>
      </c>
      <c r="C168" s="227" t="s">
        <v>29</v>
      </c>
      <c r="D168" s="227" t="s">
        <v>1147</v>
      </c>
      <c r="E168" s="228">
        <v>1</v>
      </c>
      <c r="F168" s="101">
        <v>4</v>
      </c>
      <c r="G168" s="87" t="str">
        <f t="shared" si="28"/>
        <v>A814</v>
      </c>
      <c r="H168" s="87" t="s">
        <v>1293</v>
      </c>
      <c r="I168" s="89" t="str">
        <f>VLOOKUP(C168,'PREMIUM TABLES'!$G$107:$H$149,2,FALSE)</f>
        <v>C1</v>
      </c>
      <c r="J168" s="87">
        <v>110.61</v>
      </c>
      <c r="K168" s="87">
        <v>120.72518112032553</v>
      </c>
      <c r="L168" s="87">
        <v>136</v>
      </c>
      <c r="O168" s="87" t="s">
        <v>184</v>
      </c>
      <c r="P168" s="87" t="s">
        <v>226</v>
      </c>
      <c r="Q168" s="229" t="s">
        <v>198</v>
      </c>
      <c r="R168" s="87" t="str">
        <f>VLOOKUP(E168,'PREMIUM TABLES'!$F$214:$G$219,2,FALSE)</f>
        <v>FIRST</v>
      </c>
      <c r="S168" s="87" t="str" cm="1">
        <f t="array" ref="S168">IF(AND(L168&gt;0,L168&lt;90),"A",IF(AND(L168&gt;90,L168&lt;123),"B",IF(AND(L168&gt;122,L168&lt;159),"C",IF(AND(L168&gt;159,L168&lt;185),"D",IF(AND(L168&gt;185,L168&lt;230),"E",IF(AND(L168&gt;230,L168&lt;350),"F",NONE))))))</f>
        <v>C</v>
      </c>
      <c r="T168" s="230">
        <f>VLOOKUP(O168,'PREMIUM TABLES'!$G$165:$H$172,2,FALSE)</f>
        <v>0.15</v>
      </c>
      <c r="U168" s="230">
        <f>VLOOKUP(P168,'PREMIUM TABLES'!$G$208:$H$209,2,FALSE)</f>
        <v>0.05</v>
      </c>
      <c r="V168" s="230">
        <f>VLOOKUP(Q168,'PREMIUM TABLES'!$G$175:$H$195,2,FALSE)</f>
        <v>0.15</v>
      </c>
      <c r="W168" s="230">
        <f>VLOOKUP(R168,'PREMIUM TABLES'!$G$214:$H$219,2,FALSE)</f>
        <v>7.0000000000000007E-2</v>
      </c>
      <c r="X168" s="230">
        <f>VLOOKUP(S168,'PREMIUM TABLES'!$F$199:$H$205,3,FALSE)</f>
        <v>3.5000000000000003E-2</v>
      </c>
      <c r="Y168" s="231">
        <f t="shared" si="22"/>
        <v>0.45499999999999996</v>
      </c>
      <c r="Z168" s="231" t="str" cm="1">
        <f t="array" ref="Z168">IF(AND(Y168&gt;0,Y168&lt;0.5),"C",IF(AND(Y168&gt;=0.5,Y168&lt;0.73),"B",IF(AND(Y168&gt;=0.73,Y168&lt;0.98),"A",NONE)))</f>
        <v>C</v>
      </c>
      <c r="AA168" s="231" t="str">
        <f>VLOOKUP(G168,'ALL (R)'!$N$5:$R$862,5,FALSE)</f>
        <v>R 10</v>
      </c>
      <c r="AB168" s="232">
        <f>VLOOKUP(AA168,FACTS!$B$2:$L$14,10,FALSE)</f>
        <v>56100</v>
      </c>
      <c r="AC168" s="232">
        <f>VLOOKUP(AA168,FACTS!$B$2:$L$14,11,FALSE)</f>
        <v>62700</v>
      </c>
      <c r="AD168" s="232">
        <f>VLOOKUP(AA168,FACTS!$B$2:$N$14,13,FALSE)</f>
        <v>6600</v>
      </c>
      <c r="AE168" s="232">
        <f t="shared" si="23"/>
        <v>3002.9999999999995</v>
      </c>
      <c r="AF168" s="232">
        <f t="shared" si="24"/>
        <v>59103</v>
      </c>
      <c r="AG168" s="232">
        <f>AF168*FACTS!$T$2</f>
        <v>19503.990000000002</v>
      </c>
      <c r="AH168" s="232">
        <f>Table1[[#This Row],[UNIT (BUILDING) RATE (SEMI FINISHED)]]+4500</f>
        <v>63603</v>
      </c>
      <c r="AI168" s="232">
        <f>Table1[[#This Row],[UNIT (BUILDING) RATE (SEMI FINISHED)]]+7500</f>
        <v>66603</v>
      </c>
      <c r="AJ168" s="232">
        <f t="shared" si="25"/>
        <v>8038008</v>
      </c>
      <c r="AK168" s="232">
        <f>Table1[[#This Row],[UNIT (BUILDING) RATE (BASIC FINISH)]]*Table1[[#This Row],[Unit Selling Area]]</f>
        <v>8650008</v>
      </c>
      <c r="AL168" s="232">
        <f>Table1[[#This Row],[UNIT (BUILDING) RATE (FULLY FINISH)]]*Table1[[#This Row],[Unit Selling Area]]</f>
        <v>9058008</v>
      </c>
      <c r="AM168" s="232">
        <f t="shared" si="26"/>
        <v>0</v>
      </c>
      <c r="AN168" s="232">
        <f>(AM168+AJ168)*FACTS!$S$2</f>
        <v>683230.68</v>
      </c>
      <c r="AO168" s="101">
        <f>VLOOKUP(S168,FACTS!$A$17:$C$23,3,FALSE)</f>
        <v>2</v>
      </c>
      <c r="AP168" s="232">
        <f>VLOOKUP(AA168,FACTS!$B$2:$J$14,9,FALSE)</f>
        <v>264000</v>
      </c>
      <c r="AQ168" s="232">
        <f>Table1[[#This Row],[PARKING VALUE]]*1</f>
        <v>264000</v>
      </c>
      <c r="AR168" s="232">
        <f t="shared" si="20"/>
        <v>8302008</v>
      </c>
      <c r="AS168" s="440">
        <f>Table1[[#This Row],[TOTAL CARS VALUE]]+Table1[[#This Row],[UNIT (BUILDING) VALUE BASIC FINISHED]]+Table1[[#This Row],[UNIT (GARDEN) VALUE]]</f>
        <v>8914008</v>
      </c>
      <c r="AT168" s="232">
        <f>Table1[[#This Row],[TOTAL CARS VALUE]]+Table1[[#This Row],[UNIT (GARDEN) VALUE]]+Table1[[#This Row],[UNIT (BUILDING) VALUE FULLY FINISHED]]</f>
        <v>9322008</v>
      </c>
      <c r="AU168" s="233">
        <f>VLOOKUP(I168,'C PHASES'!$I$108:$J$110,2,FALSE)</f>
        <v>45839</v>
      </c>
      <c r="AV168" s="233">
        <f>VLOOKUP(AA168,'C PHASES'!$I$113:$J$125,2,FALSE)</f>
        <v>46023</v>
      </c>
    </row>
    <row r="169" spans="1:48" ht="15" customHeight="1" x14ac:dyDescent="0.25">
      <c r="A169" s="235"/>
      <c r="B169" s="227" t="str">
        <f t="shared" si="21"/>
        <v>A</v>
      </c>
      <c r="C169" s="227" t="s">
        <v>29</v>
      </c>
      <c r="D169" s="227" t="s">
        <v>1147</v>
      </c>
      <c r="E169" s="228">
        <v>2</v>
      </c>
      <c r="F169" s="101">
        <v>1</v>
      </c>
      <c r="G169" s="87" t="str">
        <f t="shared" si="28"/>
        <v>A821</v>
      </c>
      <c r="H169" s="87" t="s">
        <v>1293</v>
      </c>
      <c r="I169" s="89" t="str">
        <f>VLOOKUP(C169,'PREMIUM TABLES'!$G$107:$H$149,2,FALSE)</f>
        <v>C1</v>
      </c>
      <c r="J169" s="87">
        <v>90.91</v>
      </c>
      <c r="K169" s="87">
        <v>99.223634532581073</v>
      </c>
      <c r="L169" s="87">
        <v>112</v>
      </c>
      <c r="O169" s="87" t="s">
        <v>184</v>
      </c>
      <c r="P169" s="87" t="s">
        <v>190</v>
      </c>
      <c r="Q169" s="229" t="s">
        <v>198</v>
      </c>
      <c r="R169" s="87" t="str">
        <f>VLOOKUP(E169,'PREMIUM TABLES'!$F$214:$G$219,2,FALSE)</f>
        <v>SECOND</v>
      </c>
      <c r="S169" s="87" t="str" cm="1">
        <f t="array" ref="S169">IF(AND(L169&gt;0,L169&lt;90),"A",IF(AND(L169&gt;90,L169&lt;123),"B",IF(AND(L169&gt;122,L169&lt;159),"C",IF(AND(L169&gt;159,L169&lt;185),"D",IF(AND(L169&gt;185,L169&lt;230),"E",IF(AND(L169&gt;230,L169&lt;350),"F",NONE))))))</f>
        <v>B</v>
      </c>
      <c r="T169" s="230">
        <f>VLOOKUP(O169,'PREMIUM TABLES'!$G$165:$H$172,2,FALSE)</f>
        <v>0.15</v>
      </c>
      <c r="U169" s="230">
        <f>VLOOKUP(P169,'PREMIUM TABLES'!$G$208:$H$209,2,FALSE)</f>
        <v>2.5000000000000001E-2</v>
      </c>
      <c r="V169" s="230">
        <f>VLOOKUP(Q169,'PREMIUM TABLES'!$G$175:$H$195,2,FALSE)</f>
        <v>0.15</v>
      </c>
      <c r="W169" s="230">
        <f>VLOOKUP(R169,'PREMIUM TABLES'!$G$214:$H$219,2,FALSE)</f>
        <v>0.11</v>
      </c>
      <c r="X169" s="230">
        <f>VLOOKUP(S169,'PREMIUM TABLES'!$F$199:$H$205,3,FALSE)</f>
        <v>0.04</v>
      </c>
      <c r="Y169" s="231">
        <f t="shared" si="22"/>
        <v>0.47499999999999992</v>
      </c>
      <c r="Z169" s="231" t="str" cm="1">
        <f t="array" ref="Z169">IF(AND(Y169&gt;0,Y169&lt;0.5),"C",IF(AND(Y169&gt;=0.5,Y169&lt;0.73),"B",IF(AND(Y169&gt;=0.73,Y169&lt;0.98),"A",NONE)))</f>
        <v>C</v>
      </c>
      <c r="AA169" s="231" t="str">
        <f>VLOOKUP(G169,'ALL (R)'!$N$5:$R$862,5,FALSE)</f>
        <v>R 12</v>
      </c>
      <c r="AB169" s="232">
        <f>VLOOKUP(AA169,FACTS!$B$2:$L$14,10,FALSE)</f>
        <v>61625</v>
      </c>
      <c r="AC169" s="232">
        <f>VLOOKUP(AA169,FACTS!$B$2:$L$14,11,FALSE)</f>
        <v>68875</v>
      </c>
      <c r="AD169" s="232">
        <f>VLOOKUP(AA169,FACTS!$B$2:$N$14,13,FALSE)</f>
        <v>7250</v>
      </c>
      <c r="AE169" s="232">
        <f t="shared" si="23"/>
        <v>3443.7499999999995</v>
      </c>
      <c r="AF169" s="232">
        <f t="shared" si="24"/>
        <v>65068.75</v>
      </c>
      <c r="AG169" s="232">
        <f>AF169*FACTS!$T$2</f>
        <v>21472.6875</v>
      </c>
      <c r="AH169" s="232">
        <f>Table1[[#This Row],[UNIT (BUILDING) RATE (SEMI FINISHED)]]+4500</f>
        <v>69568.75</v>
      </c>
      <c r="AI169" s="232">
        <f>Table1[[#This Row],[UNIT (BUILDING) RATE (SEMI FINISHED)]]+7500</f>
        <v>72568.75</v>
      </c>
      <c r="AJ169" s="232">
        <f t="shared" si="25"/>
        <v>7287700</v>
      </c>
      <c r="AK169" s="232">
        <f>Table1[[#This Row],[UNIT (BUILDING) RATE (BASIC FINISH)]]*Table1[[#This Row],[Unit Selling Area]]</f>
        <v>7791700</v>
      </c>
      <c r="AL169" s="232">
        <f>Table1[[#This Row],[UNIT (BUILDING) RATE (FULLY FINISH)]]*Table1[[#This Row],[Unit Selling Area]]</f>
        <v>8127700</v>
      </c>
      <c r="AM169" s="232">
        <f t="shared" si="26"/>
        <v>0</v>
      </c>
      <c r="AN169" s="232">
        <f>(AM169+AJ169)*FACTS!$S$2</f>
        <v>619454.5</v>
      </c>
      <c r="AO169" s="101">
        <f>VLOOKUP(S169,FACTS!$A$17:$C$23,3,FALSE)</f>
        <v>1</v>
      </c>
      <c r="AP169" s="232">
        <f>VLOOKUP(AA169,FACTS!$B$2:$J$14,9,FALSE)</f>
        <v>290000</v>
      </c>
      <c r="AQ169" s="232">
        <f>Table1[[#This Row],[PARKING VALUE]]*1</f>
        <v>290000</v>
      </c>
      <c r="AR169" s="232">
        <f t="shared" si="20"/>
        <v>7577700</v>
      </c>
      <c r="AS169" s="440">
        <f>Table1[[#This Row],[TOTAL CARS VALUE]]+Table1[[#This Row],[UNIT (BUILDING) VALUE BASIC FINISHED]]+Table1[[#This Row],[UNIT (GARDEN) VALUE]]</f>
        <v>8081700</v>
      </c>
      <c r="AT169" s="232">
        <f>Table1[[#This Row],[TOTAL CARS VALUE]]+Table1[[#This Row],[UNIT (GARDEN) VALUE]]+Table1[[#This Row],[UNIT (BUILDING) VALUE FULLY FINISHED]]</f>
        <v>8417700</v>
      </c>
      <c r="AU169" s="233">
        <f>VLOOKUP(I169,'C PHASES'!$I$108:$J$110,2,FALSE)</f>
        <v>45839</v>
      </c>
      <c r="AV169" s="233">
        <f>VLOOKUP(AA169,'C PHASES'!$I$113:$J$125,2,FALSE)</f>
        <v>46204</v>
      </c>
    </row>
    <row r="170" spans="1:48" ht="15" customHeight="1" x14ac:dyDescent="0.25">
      <c r="A170" s="235"/>
      <c r="B170" s="227" t="str">
        <f t="shared" si="21"/>
        <v>A</v>
      </c>
      <c r="C170" s="227" t="s">
        <v>29</v>
      </c>
      <c r="D170" s="227" t="s">
        <v>1147</v>
      </c>
      <c r="E170" s="228">
        <v>2</v>
      </c>
      <c r="F170" s="101">
        <v>2</v>
      </c>
      <c r="G170" s="87" t="str">
        <f t="shared" si="28"/>
        <v>A822</v>
      </c>
      <c r="H170" s="87" t="s">
        <v>1293</v>
      </c>
      <c r="I170" s="89" t="str">
        <f>VLOOKUP(C170,'PREMIUM TABLES'!$G$107:$H$149,2,FALSE)</f>
        <v>C1</v>
      </c>
      <c r="J170" s="87">
        <v>90.91</v>
      </c>
      <c r="K170" s="87">
        <v>99.223634532581073</v>
      </c>
      <c r="L170" s="87">
        <v>112</v>
      </c>
      <c r="O170" s="87" t="s">
        <v>185</v>
      </c>
      <c r="P170" s="87" t="s">
        <v>190</v>
      </c>
      <c r="Q170" s="229" t="s">
        <v>214</v>
      </c>
      <c r="R170" s="87" t="str">
        <f>VLOOKUP(E170,'PREMIUM TABLES'!$F$214:$G$219,2,FALSE)</f>
        <v>SECOND</v>
      </c>
      <c r="S170" s="87" t="str" cm="1">
        <f t="array" ref="S170">IF(AND(L170&gt;0,L170&lt;90),"A",IF(AND(L170&gt;90,L170&lt;123),"B",IF(AND(L170&gt;122,L170&lt;159),"C",IF(AND(L170&gt;159,L170&lt;185),"D",IF(AND(L170&gt;185,L170&lt;230),"E",IF(AND(L170&gt;230,L170&lt;350),"F",NONE))))))</f>
        <v>B</v>
      </c>
      <c r="T170" s="230">
        <f>VLOOKUP(O170,'PREMIUM TABLES'!$G$165:$H$172,2,FALSE)</f>
        <v>0.06</v>
      </c>
      <c r="U170" s="230">
        <f>VLOOKUP(P170,'PREMIUM TABLES'!$G$208:$H$209,2,FALSE)</f>
        <v>2.5000000000000001E-2</v>
      </c>
      <c r="V170" s="230">
        <f>VLOOKUP(Q170,'PREMIUM TABLES'!$G$175:$H$195,2,FALSE)</f>
        <v>0.4</v>
      </c>
      <c r="W170" s="230">
        <f>VLOOKUP(R170,'PREMIUM TABLES'!$G$214:$H$219,2,FALSE)</f>
        <v>0.11</v>
      </c>
      <c r="X170" s="230">
        <f>VLOOKUP(S170,'PREMIUM TABLES'!$F$199:$H$205,3,FALSE)</f>
        <v>0.04</v>
      </c>
      <c r="Y170" s="231">
        <f t="shared" si="22"/>
        <v>0.63500000000000001</v>
      </c>
      <c r="Z170" s="231" t="str" cm="1">
        <f t="array" ref="Z170">IF(AND(Y170&gt;0,Y170&lt;0.5),"C",IF(AND(Y170&gt;=0.5,Y170&lt;0.73),"B",IF(AND(Y170&gt;=0.73,Y170&lt;0.98),"A",NONE)))</f>
        <v>B</v>
      </c>
      <c r="AA170" s="231" t="str">
        <f>VLOOKUP(G170,'ALL (R)'!$N$5:$R$862,5,FALSE)</f>
        <v>R 4</v>
      </c>
      <c r="AB170" s="232">
        <f>VLOOKUP(AA170,FACTS!$B$2:$L$14,10,FALSE)</f>
        <v>45687.5</v>
      </c>
      <c r="AC170" s="232">
        <f>VLOOKUP(AA170,FACTS!$B$2:$L$14,11,FALSE)</f>
        <v>51062.5</v>
      </c>
      <c r="AD170" s="232">
        <f>VLOOKUP(AA170,FACTS!$B$2:$N$14,13,FALSE)</f>
        <v>5375</v>
      </c>
      <c r="AE170" s="232">
        <f t="shared" si="23"/>
        <v>3413.125</v>
      </c>
      <c r="AF170" s="232">
        <f t="shared" si="24"/>
        <v>49100.625</v>
      </c>
      <c r="AG170" s="232">
        <f>AF170*FACTS!$T$2</f>
        <v>16203.206250000001</v>
      </c>
      <c r="AH170" s="232">
        <f>Table1[[#This Row],[UNIT (BUILDING) RATE (SEMI FINISHED)]]+4500</f>
        <v>53600.625</v>
      </c>
      <c r="AI170" s="232">
        <f>Table1[[#This Row],[UNIT (BUILDING) RATE (SEMI FINISHED)]]+7500</f>
        <v>56600.625</v>
      </c>
      <c r="AJ170" s="232">
        <f t="shared" si="25"/>
        <v>5499270</v>
      </c>
      <c r="AK170" s="232">
        <f>Table1[[#This Row],[UNIT (BUILDING) RATE (BASIC FINISH)]]*Table1[[#This Row],[Unit Selling Area]]</f>
        <v>6003270</v>
      </c>
      <c r="AL170" s="232">
        <f>Table1[[#This Row],[UNIT (BUILDING) RATE (FULLY FINISH)]]*Table1[[#This Row],[Unit Selling Area]]</f>
        <v>6339270</v>
      </c>
      <c r="AM170" s="232">
        <f t="shared" si="26"/>
        <v>0</v>
      </c>
      <c r="AN170" s="232">
        <f>(AM170+AJ170)*FACTS!$S$2</f>
        <v>467437.95</v>
      </c>
      <c r="AO170" s="101">
        <f>VLOOKUP(S170,FACTS!$A$17:$C$23,3,FALSE)</f>
        <v>1</v>
      </c>
      <c r="AP170" s="232">
        <f>VLOOKUP(AA170,FACTS!$B$2:$J$14,9,FALSE)</f>
        <v>215000</v>
      </c>
      <c r="AQ170" s="232">
        <f>Table1[[#This Row],[PARKING VALUE]]*1</f>
        <v>215000</v>
      </c>
      <c r="AR170" s="232">
        <f t="shared" si="20"/>
        <v>5714270</v>
      </c>
      <c r="AS170" s="440">
        <f>Table1[[#This Row],[TOTAL CARS VALUE]]+Table1[[#This Row],[UNIT (BUILDING) VALUE BASIC FINISHED]]+Table1[[#This Row],[UNIT (GARDEN) VALUE]]</f>
        <v>6218270</v>
      </c>
      <c r="AT170" s="232">
        <f>Table1[[#This Row],[TOTAL CARS VALUE]]+Table1[[#This Row],[UNIT (GARDEN) VALUE]]+Table1[[#This Row],[UNIT (BUILDING) VALUE FULLY FINISHED]]</f>
        <v>6554270</v>
      </c>
      <c r="AU170" s="233">
        <f>VLOOKUP(I170,'C PHASES'!$I$108:$J$110,2,FALSE)</f>
        <v>45839</v>
      </c>
      <c r="AV170" s="233">
        <f>VLOOKUP(AA170,'C PHASES'!$I$113:$J$125,2,FALSE)</f>
        <v>45474</v>
      </c>
    </row>
    <row r="171" spans="1:48" ht="15" customHeight="1" x14ac:dyDescent="0.25">
      <c r="A171" s="235"/>
      <c r="B171" s="227" t="str">
        <f t="shared" si="21"/>
        <v>A</v>
      </c>
      <c r="C171" s="227" t="s">
        <v>29</v>
      </c>
      <c r="D171" s="227" t="s">
        <v>1147</v>
      </c>
      <c r="E171" s="228">
        <v>2</v>
      </c>
      <c r="F171" s="101">
        <v>3</v>
      </c>
      <c r="G171" s="87" t="str">
        <f t="shared" si="28"/>
        <v>A823</v>
      </c>
      <c r="H171" s="87" t="s">
        <v>1293</v>
      </c>
      <c r="I171" s="89" t="str">
        <f>VLOOKUP(C171,'PREMIUM TABLES'!$G$107:$H$149,2,FALSE)</f>
        <v>C1</v>
      </c>
      <c r="J171" s="87">
        <v>112.2</v>
      </c>
      <c r="K171" s="87">
        <v>122.46058513426023</v>
      </c>
      <c r="L171" s="87">
        <v>138</v>
      </c>
      <c r="O171" s="87" t="s">
        <v>185</v>
      </c>
      <c r="P171" s="87" t="s">
        <v>226</v>
      </c>
      <c r="Q171" s="229" t="s">
        <v>214</v>
      </c>
      <c r="R171" s="87" t="str">
        <f>VLOOKUP(E171,'PREMIUM TABLES'!$F$214:$G$219,2,FALSE)</f>
        <v>SECOND</v>
      </c>
      <c r="S171" s="87" t="str" cm="1">
        <f t="array" ref="S171">IF(AND(L171&gt;0,L171&lt;90),"A",IF(AND(L171&gt;90,L171&lt;123),"B",IF(AND(L171&gt;122,L171&lt;159),"C",IF(AND(L171&gt;159,L171&lt;185),"D",IF(AND(L171&gt;185,L171&lt;230),"E",IF(AND(L171&gt;230,L171&lt;350),"F",NONE))))))</f>
        <v>C</v>
      </c>
      <c r="T171" s="230">
        <f>VLOOKUP(O171,'PREMIUM TABLES'!$G$165:$H$172,2,FALSE)</f>
        <v>0.06</v>
      </c>
      <c r="U171" s="230">
        <f>VLOOKUP(P171,'PREMIUM TABLES'!$G$208:$H$209,2,FALSE)</f>
        <v>0.05</v>
      </c>
      <c r="V171" s="230">
        <f>VLOOKUP(Q171,'PREMIUM TABLES'!$G$175:$H$195,2,FALSE)</f>
        <v>0.4</v>
      </c>
      <c r="W171" s="230">
        <f>VLOOKUP(R171,'PREMIUM TABLES'!$G$214:$H$219,2,FALSE)</f>
        <v>0.11</v>
      </c>
      <c r="X171" s="230">
        <f>VLOOKUP(S171,'PREMIUM TABLES'!$F$199:$H$205,3,FALSE)</f>
        <v>3.5000000000000003E-2</v>
      </c>
      <c r="Y171" s="231">
        <f t="shared" si="22"/>
        <v>0.65500000000000003</v>
      </c>
      <c r="Z171" s="231" t="str" cm="1">
        <f t="array" ref="Z171">IF(AND(Y171&gt;0,Y171&lt;0.5),"C",IF(AND(Y171&gt;=0.5,Y171&lt;0.73),"B",IF(AND(Y171&gt;=0.73,Y171&lt;0.98),"A",NONE)))</f>
        <v>B</v>
      </c>
      <c r="AA171" s="231" t="str">
        <f>VLOOKUP(G171,'ALL (R)'!$N$5:$R$862,5,FALSE)</f>
        <v>R 5</v>
      </c>
      <c r="AB171" s="232">
        <f>VLOOKUP(AA171,FACTS!$B$2:$L$14,10,FALSE)</f>
        <v>46750.000000000007</v>
      </c>
      <c r="AC171" s="232">
        <f>VLOOKUP(AA171,FACTS!$B$2:$L$14,11,FALSE)</f>
        <v>52250.000000000007</v>
      </c>
      <c r="AD171" s="232">
        <f>VLOOKUP(AA171,FACTS!$B$2:$N$14,13,FALSE)</f>
        <v>5500</v>
      </c>
      <c r="AE171" s="232">
        <f t="shared" si="23"/>
        <v>3602.5</v>
      </c>
      <c r="AF171" s="232">
        <f t="shared" si="24"/>
        <v>50352.500000000007</v>
      </c>
      <c r="AG171" s="232">
        <f>AF171*FACTS!$T$2</f>
        <v>16616.325000000004</v>
      </c>
      <c r="AH171" s="232">
        <f>Table1[[#This Row],[UNIT (BUILDING) RATE (SEMI FINISHED)]]+4500</f>
        <v>54852.500000000007</v>
      </c>
      <c r="AI171" s="232">
        <f>Table1[[#This Row],[UNIT (BUILDING) RATE (SEMI FINISHED)]]+7500</f>
        <v>57852.500000000007</v>
      </c>
      <c r="AJ171" s="232">
        <f t="shared" si="25"/>
        <v>6948645.0000000009</v>
      </c>
      <c r="AK171" s="232">
        <f>Table1[[#This Row],[UNIT (BUILDING) RATE (BASIC FINISH)]]*Table1[[#This Row],[Unit Selling Area]]</f>
        <v>7569645.0000000009</v>
      </c>
      <c r="AL171" s="232">
        <f>Table1[[#This Row],[UNIT (BUILDING) RATE (FULLY FINISH)]]*Table1[[#This Row],[Unit Selling Area]]</f>
        <v>7983645.0000000009</v>
      </c>
      <c r="AM171" s="232">
        <f t="shared" si="26"/>
        <v>0</v>
      </c>
      <c r="AN171" s="232">
        <f>(AM171+AJ171)*FACTS!$S$2</f>
        <v>590634.82500000007</v>
      </c>
      <c r="AO171" s="101">
        <f>VLOOKUP(S171,FACTS!$A$17:$C$23,3,FALSE)</f>
        <v>2</v>
      </c>
      <c r="AP171" s="232">
        <f>VLOOKUP(AA171,FACTS!$B$2:$J$14,9,FALSE)</f>
        <v>220000.00000000003</v>
      </c>
      <c r="AQ171" s="232">
        <f>Table1[[#This Row],[PARKING VALUE]]*1</f>
        <v>220000.00000000003</v>
      </c>
      <c r="AR171" s="232">
        <f t="shared" si="20"/>
        <v>7168645.0000000009</v>
      </c>
      <c r="AS171" s="440">
        <f>Table1[[#This Row],[TOTAL CARS VALUE]]+Table1[[#This Row],[UNIT (BUILDING) VALUE BASIC FINISHED]]+Table1[[#This Row],[UNIT (GARDEN) VALUE]]</f>
        <v>7789645.0000000009</v>
      </c>
      <c r="AT171" s="232">
        <f>Table1[[#This Row],[TOTAL CARS VALUE]]+Table1[[#This Row],[UNIT (GARDEN) VALUE]]+Table1[[#This Row],[UNIT (BUILDING) VALUE FULLY FINISHED]]</f>
        <v>8203645.0000000009</v>
      </c>
      <c r="AU171" s="233">
        <f>VLOOKUP(I171,'C PHASES'!$I$108:$J$110,2,FALSE)</f>
        <v>45839</v>
      </c>
      <c r="AV171" s="233">
        <f>VLOOKUP(AA171,'C PHASES'!$I$113:$J$125,2,FALSE)</f>
        <v>45566</v>
      </c>
    </row>
    <row r="172" spans="1:48" ht="15" customHeight="1" x14ac:dyDescent="0.25">
      <c r="A172" s="235"/>
      <c r="B172" s="227" t="str">
        <f t="shared" si="21"/>
        <v>A</v>
      </c>
      <c r="C172" s="227" t="s">
        <v>29</v>
      </c>
      <c r="D172" s="227" t="s">
        <v>1147</v>
      </c>
      <c r="E172" s="228">
        <v>2</v>
      </c>
      <c r="F172" s="101">
        <v>4</v>
      </c>
      <c r="G172" s="87" t="str">
        <f t="shared" si="28"/>
        <v>A824</v>
      </c>
      <c r="H172" s="87" t="s">
        <v>1293</v>
      </c>
      <c r="I172" s="89" t="str">
        <f>VLOOKUP(C172,'PREMIUM TABLES'!$G$107:$H$149,2,FALSE)</f>
        <v>C1</v>
      </c>
      <c r="J172" s="87">
        <v>112.2</v>
      </c>
      <c r="K172" s="87">
        <v>122.46058513426023</v>
      </c>
      <c r="L172" s="87">
        <v>138</v>
      </c>
      <c r="O172" s="87" t="s">
        <v>184</v>
      </c>
      <c r="P172" s="87" t="s">
        <v>226</v>
      </c>
      <c r="Q172" s="229" t="s">
        <v>198</v>
      </c>
      <c r="R172" s="87" t="str">
        <f>VLOOKUP(E172,'PREMIUM TABLES'!$F$214:$G$219,2,FALSE)</f>
        <v>SECOND</v>
      </c>
      <c r="S172" s="87" t="str" cm="1">
        <f t="array" ref="S172">IF(AND(L172&gt;0,L172&lt;90),"A",IF(AND(L172&gt;90,L172&lt;123),"B",IF(AND(L172&gt;122,L172&lt;159),"C",IF(AND(L172&gt;159,L172&lt;185),"D",IF(AND(L172&gt;185,L172&lt;230),"E",IF(AND(L172&gt;230,L172&lt;350),"F",NONE))))))</f>
        <v>C</v>
      </c>
      <c r="T172" s="230">
        <f>VLOOKUP(O172,'PREMIUM TABLES'!$G$165:$H$172,2,FALSE)</f>
        <v>0.15</v>
      </c>
      <c r="U172" s="230">
        <f>VLOOKUP(P172,'PREMIUM TABLES'!$G$208:$H$209,2,FALSE)</f>
        <v>0.05</v>
      </c>
      <c r="V172" s="230">
        <f>VLOOKUP(Q172,'PREMIUM TABLES'!$G$175:$H$195,2,FALSE)</f>
        <v>0.15</v>
      </c>
      <c r="W172" s="230">
        <f>VLOOKUP(R172,'PREMIUM TABLES'!$G$214:$H$219,2,FALSE)</f>
        <v>0.11</v>
      </c>
      <c r="X172" s="230">
        <f>VLOOKUP(S172,'PREMIUM TABLES'!$F$199:$H$205,3,FALSE)</f>
        <v>3.5000000000000003E-2</v>
      </c>
      <c r="Y172" s="231">
        <f t="shared" si="22"/>
        <v>0.495</v>
      </c>
      <c r="Z172" s="231" t="str" cm="1">
        <f t="array" ref="Z172">IF(AND(Y172&gt;0,Y172&lt;0.5),"C",IF(AND(Y172&gt;=0.5,Y172&lt;0.73),"B",IF(AND(Y172&gt;=0.73,Y172&lt;0.98),"A",NONE)))</f>
        <v>C</v>
      </c>
      <c r="AA172" s="231" t="str">
        <f>VLOOKUP(G172,'ALL (R)'!$N$5:$R$862,5,FALSE)</f>
        <v>R 12</v>
      </c>
      <c r="AB172" s="232">
        <f>VLOOKUP(AA172,FACTS!$B$2:$L$14,10,FALSE)</f>
        <v>61625</v>
      </c>
      <c r="AC172" s="232">
        <f>VLOOKUP(AA172,FACTS!$B$2:$L$14,11,FALSE)</f>
        <v>68875</v>
      </c>
      <c r="AD172" s="232">
        <f>VLOOKUP(AA172,FACTS!$B$2:$N$14,13,FALSE)</f>
        <v>7250</v>
      </c>
      <c r="AE172" s="232">
        <f t="shared" si="23"/>
        <v>3588.75</v>
      </c>
      <c r="AF172" s="232">
        <f t="shared" si="24"/>
        <v>65213.75</v>
      </c>
      <c r="AG172" s="232">
        <f>AF172*FACTS!$T$2</f>
        <v>21520.537500000002</v>
      </c>
      <c r="AH172" s="232">
        <f>Table1[[#This Row],[UNIT (BUILDING) RATE (SEMI FINISHED)]]+4500</f>
        <v>69713.75</v>
      </c>
      <c r="AI172" s="232">
        <f>Table1[[#This Row],[UNIT (BUILDING) RATE (SEMI FINISHED)]]+7500</f>
        <v>72713.75</v>
      </c>
      <c r="AJ172" s="232">
        <f t="shared" si="25"/>
        <v>8999497.5</v>
      </c>
      <c r="AK172" s="232">
        <f>Table1[[#This Row],[UNIT (BUILDING) RATE (BASIC FINISH)]]*Table1[[#This Row],[Unit Selling Area]]</f>
        <v>9620497.5</v>
      </c>
      <c r="AL172" s="232">
        <f>Table1[[#This Row],[UNIT (BUILDING) RATE (FULLY FINISH)]]*Table1[[#This Row],[Unit Selling Area]]</f>
        <v>10034497.5</v>
      </c>
      <c r="AM172" s="232">
        <f t="shared" si="26"/>
        <v>0</v>
      </c>
      <c r="AN172" s="232">
        <f>(AM172+AJ172)*FACTS!$S$2</f>
        <v>764957.28750000009</v>
      </c>
      <c r="AO172" s="101">
        <f>VLOOKUP(S172,FACTS!$A$17:$C$23,3,FALSE)</f>
        <v>2</v>
      </c>
      <c r="AP172" s="232">
        <f>VLOOKUP(AA172,FACTS!$B$2:$J$14,9,FALSE)</f>
        <v>290000</v>
      </c>
      <c r="AQ172" s="232">
        <f>Table1[[#This Row],[PARKING VALUE]]*1</f>
        <v>290000</v>
      </c>
      <c r="AR172" s="232">
        <f t="shared" si="20"/>
        <v>9289497.5</v>
      </c>
      <c r="AS172" s="440">
        <f>Table1[[#This Row],[TOTAL CARS VALUE]]+Table1[[#This Row],[UNIT (BUILDING) VALUE BASIC FINISHED]]+Table1[[#This Row],[UNIT (GARDEN) VALUE]]</f>
        <v>9910497.5</v>
      </c>
      <c r="AT172" s="232">
        <f>Table1[[#This Row],[TOTAL CARS VALUE]]+Table1[[#This Row],[UNIT (GARDEN) VALUE]]+Table1[[#This Row],[UNIT (BUILDING) VALUE FULLY FINISHED]]</f>
        <v>10324497.5</v>
      </c>
      <c r="AU172" s="233">
        <f>VLOOKUP(I172,'C PHASES'!$I$108:$J$110,2,FALSE)</f>
        <v>45839</v>
      </c>
      <c r="AV172" s="233">
        <f>VLOOKUP(AA172,'C PHASES'!$I$113:$J$125,2,FALSE)</f>
        <v>46204</v>
      </c>
    </row>
    <row r="173" spans="1:48" ht="15" customHeight="1" x14ac:dyDescent="0.25">
      <c r="A173" s="235"/>
      <c r="B173" s="227" t="str">
        <f t="shared" si="21"/>
        <v>A</v>
      </c>
      <c r="C173" s="227" t="s">
        <v>29</v>
      </c>
      <c r="D173" s="227" t="s">
        <v>1147</v>
      </c>
      <c r="E173" s="228">
        <v>3</v>
      </c>
      <c r="F173" s="101">
        <v>1</v>
      </c>
      <c r="G173" s="87" t="str">
        <f t="shared" si="28"/>
        <v>A831</v>
      </c>
      <c r="H173" s="87" t="s">
        <v>1293</v>
      </c>
      <c r="I173" s="89" t="str">
        <f>VLOOKUP(C173,'PREMIUM TABLES'!$G$107:$H$149,2,FALSE)</f>
        <v>C1</v>
      </c>
      <c r="J173" s="87">
        <v>89.05</v>
      </c>
      <c r="K173" s="87">
        <v>97.193539270997093</v>
      </c>
      <c r="L173" s="87">
        <v>110</v>
      </c>
      <c r="O173" s="87" t="s">
        <v>184</v>
      </c>
      <c r="P173" s="87" t="s">
        <v>190</v>
      </c>
      <c r="Q173" s="229" t="s">
        <v>198</v>
      </c>
      <c r="R173" s="87" t="str">
        <f>VLOOKUP(E173,'PREMIUM TABLES'!$F$214:$G$219,2,FALSE)</f>
        <v>THIRD</v>
      </c>
      <c r="S173" s="87" t="str" cm="1">
        <f t="array" ref="S173">IF(AND(L173&gt;0,L173&lt;90),"A",IF(AND(L173&gt;90,L173&lt;123),"B",IF(AND(L173&gt;122,L173&lt;159),"C",IF(AND(L173&gt;159,L173&lt;185),"D",IF(AND(L173&gt;185,L173&lt;230),"E",IF(AND(L173&gt;230,L173&lt;350),"F",NONE))))))</f>
        <v>B</v>
      </c>
      <c r="T173" s="230">
        <f>VLOOKUP(O173,'PREMIUM TABLES'!$G$165:$H$172,2,FALSE)</f>
        <v>0.15</v>
      </c>
      <c r="U173" s="230">
        <f>VLOOKUP(P173,'PREMIUM TABLES'!$G$208:$H$209,2,FALSE)</f>
        <v>2.5000000000000001E-2</v>
      </c>
      <c r="V173" s="230">
        <f>VLOOKUP(Q173,'PREMIUM TABLES'!$G$175:$H$195,2,FALSE)</f>
        <v>0.15</v>
      </c>
      <c r="W173" s="230">
        <f>VLOOKUP(R173,'PREMIUM TABLES'!$G$214:$H$219,2,FALSE)</f>
        <v>0.15</v>
      </c>
      <c r="X173" s="230">
        <f>VLOOKUP(S173,'PREMIUM TABLES'!$F$199:$H$205,3,FALSE)</f>
        <v>0.04</v>
      </c>
      <c r="Y173" s="231">
        <f t="shared" si="22"/>
        <v>0.51500000000000001</v>
      </c>
      <c r="Z173" s="231" t="str" cm="1">
        <f t="array" ref="Z173">IF(AND(Y173&gt;0,Y173&lt;0.5),"C",IF(AND(Y173&gt;=0.5,Y173&lt;0.73),"B",IF(AND(Y173&gt;=0.73,Y173&lt;0.98),"A",NONE)))</f>
        <v>B</v>
      </c>
      <c r="AA173" s="231" t="str">
        <f>VLOOKUP(G173,'ALL (R)'!$N$5:$R$862,5,FALSE)</f>
        <v>R 1</v>
      </c>
      <c r="AB173" s="232">
        <f>VLOOKUP(AA173,FACTS!$B$2:$L$14,10,FALSE)</f>
        <v>42500</v>
      </c>
      <c r="AC173" s="232">
        <f>VLOOKUP(AA173,FACTS!$B$2:$L$14,11,FALSE)</f>
        <v>47500</v>
      </c>
      <c r="AD173" s="232">
        <f>VLOOKUP(AA173,FACTS!$B$2:$N$14,13,FALSE)</f>
        <v>5000</v>
      </c>
      <c r="AE173" s="232">
        <f t="shared" si="23"/>
        <v>2575</v>
      </c>
      <c r="AF173" s="232">
        <f t="shared" si="24"/>
        <v>45075</v>
      </c>
      <c r="AG173" s="232">
        <f>AF173*FACTS!$T$2</f>
        <v>14874.75</v>
      </c>
      <c r="AH173" s="232">
        <f>Table1[[#This Row],[UNIT (BUILDING) RATE (SEMI FINISHED)]]+4500</f>
        <v>49575</v>
      </c>
      <c r="AI173" s="232">
        <f>Table1[[#This Row],[UNIT (BUILDING) RATE (SEMI FINISHED)]]+7500</f>
        <v>52575</v>
      </c>
      <c r="AJ173" s="232">
        <f t="shared" si="25"/>
        <v>4958250</v>
      </c>
      <c r="AK173" s="232">
        <f>Table1[[#This Row],[UNIT (BUILDING) RATE (BASIC FINISH)]]*Table1[[#This Row],[Unit Selling Area]]</f>
        <v>5453250</v>
      </c>
      <c r="AL173" s="232">
        <f>Table1[[#This Row],[UNIT (BUILDING) RATE (FULLY FINISH)]]*Table1[[#This Row],[Unit Selling Area]]</f>
        <v>5783250</v>
      </c>
      <c r="AM173" s="232">
        <f t="shared" si="26"/>
        <v>0</v>
      </c>
      <c r="AN173" s="232">
        <f>(AM173+AJ173)*FACTS!$S$2</f>
        <v>421451.25000000006</v>
      </c>
      <c r="AO173" s="101">
        <f>VLOOKUP(S173,FACTS!$A$17:$C$23,3,FALSE)</f>
        <v>1</v>
      </c>
      <c r="AP173" s="232">
        <f>VLOOKUP(AA173,FACTS!$B$2:$J$14,9,FALSE)</f>
        <v>200000</v>
      </c>
      <c r="AQ173" s="232">
        <f>Table1[[#This Row],[PARKING VALUE]]*1</f>
        <v>200000</v>
      </c>
      <c r="AR173" s="232">
        <f t="shared" si="20"/>
        <v>5158250</v>
      </c>
      <c r="AS173" s="440">
        <f>Table1[[#This Row],[TOTAL CARS VALUE]]+Table1[[#This Row],[UNIT (BUILDING) VALUE BASIC FINISHED]]+Table1[[#This Row],[UNIT (GARDEN) VALUE]]</f>
        <v>5653250</v>
      </c>
      <c r="AT173" s="232">
        <f>Table1[[#This Row],[TOTAL CARS VALUE]]+Table1[[#This Row],[UNIT (GARDEN) VALUE]]+Table1[[#This Row],[UNIT (BUILDING) VALUE FULLY FINISHED]]</f>
        <v>5983250</v>
      </c>
      <c r="AU173" s="233">
        <f>VLOOKUP(I173,'C PHASES'!$I$108:$J$110,2,FALSE)</f>
        <v>45839</v>
      </c>
      <c r="AV173" s="233">
        <f>VLOOKUP(AA173,'C PHASES'!$I$113:$J$125,2,FALSE)</f>
        <v>45170</v>
      </c>
    </row>
    <row r="174" spans="1:48" ht="15" customHeight="1" x14ac:dyDescent="0.25">
      <c r="A174" s="235"/>
      <c r="B174" s="227" t="str">
        <f t="shared" si="21"/>
        <v>A</v>
      </c>
      <c r="C174" s="227" t="s">
        <v>29</v>
      </c>
      <c r="D174" s="227" t="s">
        <v>1147</v>
      </c>
      <c r="E174" s="228">
        <v>3</v>
      </c>
      <c r="F174" s="101">
        <v>2</v>
      </c>
      <c r="G174" s="87" t="str">
        <f t="shared" si="28"/>
        <v>A832</v>
      </c>
      <c r="H174" s="87" t="s">
        <v>1293</v>
      </c>
      <c r="I174" s="89" t="str">
        <f>VLOOKUP(C174,'PREMIUM TABLES'!$G$107:$H$149,2,FALSE)</f>
        <v>C1</v>
      </c>
      <c r="J174" s="87">
        <v>89.05</v>
      </c>
      <c r="K174" s="87">
        <v>97.193539270997093</v>
      </c>
      <c r="L174" s="87">
        <v>110</v>
      </c>
      <c r="O174" s="87" t="s">
        <v>185</v>
      </c>
      <c r="P174" s="87" t="s">
        <v>190</v>
      </c>
      <c r="Q174" s="229" t="s">
        <v>214</v>
      </c>
      <c r="R174" s="87" t="str">
        <f>VLOOKUP(E174,'PREMIUM TABLES'!$F$214:$G$219,2,FALSE)</f>
        <v>THIRD</v>
      </c>
      <c r="S174" s="87" t="str" cm="1">
        <f t="array" ref="S174">IF(AND(L174&gt;0,L174&lt;90),"A",IF(AND(L174&gt;90,L174&lt;123),"B",IF(AND(L174&gt;122,L174&lt;159),"C",IF(AND(L174&gt;159,L174&lt;185),"D",IF(AND(L174&gt;185,L174&lt;230),"E",IF(AND(L174&gt;230,L174&lt;350),"F",NONE))))))</f>
        <v>B</v>
      </c>
      <c r="T174" s="230">
        <f>VLOOKUP(O174,'PREMIUM TABLES'!$G$165:$H$172,2,FALSE)</f>
        <v>0.06</v>
      </c>
      <c r="U174" s="230">
        <f>VLOOKUP(P174,'PREMIUM TABLES'!$G$208:$H$209,2,FALSE)</f>
        <v>2.5000000000000001E-2</v>
      </c>
      <c r="V174" s="230">
        <f>VLOOKUP(Q174,'PREMIUM TABLES'!$G$175:$H$195,2,FALSE)</f>
        <v>0.4</v>
      </c>
      <c r="W174" s="230">
        <f>VLOOKUP(R174,'PREMIUM TABLES'!$G$214:$H$219,2,FALSE)</f>
        <v>0.15</v>
      </c>
      <c r="X174" s="230">
        <f>VLOOKUP(S174,'PREMIUM TABLES'!$F$199:$H$205,3,FALSE)</f>
        <v>0.04</v>
      </c>
      <c r="Y174" s="231">
        <f t="shared" si="22"/>
        <v>0.67500000000000004</v>
      </c>
      <c r="Z174" s="231" t="str" cm="1">
        <f t="array" ref="Z174">IF(AND(Y174&gt;0,Y174&lt;0.5),"C",IF(AND(Y174&gt;=0.5,Y174&lt;0.73),"B",IF(AND(Y174&gt;=0.73,Y174&lt;0.98),"A",NONE)))</f>
        <v>B</v>
      </c>
      <c r="AA174" s="231" t="str">
        <f>VLOOKUP(G174,'ALL (R)'!$N$5:$R$862,5,FALSE)</f>
        <v>R 6</v>
      </c>
      <c r="AB174" s="232">
        <f>VLOOKUP(AA174,FACTS!$B$2:$L$14,10,FALSE)</f>
        <v>48450.000000000007</v>
      </c>
      <c r="AC174" s="232">
        <f>VLOOKUP(AA174,FACTS!$B$2:$L$14,11,FALSE)</f>
        <v>54150.000000000007</v>
      </c>
      <c r="AD174" s="232">
        <f>VLOOKUP(AA174,FACTS!$B$2:$N$14,13,FALSE)</f>
        <v>5700</v>
      </c>
      <c r="AE174" s="232">
        <f t="shared" si="23"/>
        <v>3847.5000000000005</v>
      </c>
      <c r="AF174" s="232">
        <f t="shared" si="24"/>
        <v>52297.500000000007</v>
      </c>
      <c r="AG174" s="232">
        <f>AF174*FACTS!$T$2</f>
        <v>17258.175000000003</v>
      </c>
      <c r="AH174" s="232">
        <f>Table1[[#This Row],[UNIT (BUILDING) RATE (SEMI FINISHED)]]+4500</f>
        <v>56797.500000000007</v>
      </c>
      <c r="AI174" s="232">
        <f>Table1[[#This Row],[UNIT (BUILDING) RATE (SEMI FINISHED)]]+7500</f>
        <v>59797.500000000007</v>
      </c>
      <c r="AJ174" s="232">
        <f t="shared" si="25"/>
        <v>5752725.0000000009</v>
      </c>
      <c r="AK174" s="232">
        <f>Table1[[#This Row],[UNIT (BUILDING) RATE (BASIC FINISH)]]*Table1[[#This Row],[Unit Selling Area]]</f>
        <v>6247725.0000000009</v>
      </c>
      <c r="AL174" s="232">
        <f>Table1[[#This Row],[UNIT (BUILDING) RATE (FULLY FINISH)]]*Table1[[#This Row],[Unit Selling Area]]</f>
        <v>6577725.0000000009</v>
      </c>
      <c r="AM174" s="232">
        <f t="shared" si="26"/>
        <v>0</v>
      </c>
      <c r="AN174" s="232">
        <f>(AM174+AJ174)*FACTS!$S$2</f>
        <v>488981.62500000012</v>
      </c>
      <c r="AO174" s="101">
        <f>VLOOKUP(S174,FACTS!$A$17:$C$23,3,FALSE)</f>
        <v>1</v>
      </c>
      <c r="AP174" s="232">
        <f>VLOOKUP(AA174,FACTS!$B$2:$J$14,9,FALSE)</f>
        <v>228000.00000000003</v>
      </c>
      <c r="AQ174" s="232">
        <f>Table1[[#This Row],[PARKING VALUE]]*1</f>
        <v>228000.00000000003</v>
      </c>
      <c r="AR174" s="232">
        <f t="shared" si="20"/>
        <v>5980725.0000000009</v>
      </c>
      <c r="AS174" s="440">
        <f>Table1[[#This Row],[TOTAL CARS VALUE]]+Table1[[#This Row],[UNIT (BUILDING) VALUE BASIC FINISHED]]+Table1[[#This Row],[UNIT (GARDEN) VALUE]]</f>
        <v>6475725.0000000009</v>
      </c>
      <c r="AT174" s="232">
        <f>Table1[[#This Row],[TOTAL CARS VALUE]]+Table1[[#This Row],[UNIT (GARDEN) VALUE]]+Table1[[#This Row],[UNIT (BUILDING) VALUE FULLY FINISHED]]</f>
        <v>6805725.0000000009</v>
      </c>
      <c r="AU174" s="233">
        <f>VLOOKUP(I174,'C PHASES'!$I$108:$J$110,2,FALSE)</f>
        <v>45839</v>
      </c>
      <c r="AV174" s="233">
        <f>VLOOKUP(AA174,'C PHASES'!$I$113:$J$125,2,FALSE)</f>
        <v>45658</v>
      </c>
    </row>
    <row r="175" spans="1:48" ht="15" customHeight="1" x14ac:dyDescent="0.25">
      <c r="A175" s="235"/>
      <c r="B175" s="227" t="str">
        <f t="shared" si="21"/>
        <v>A</v>
      </c>
      <c r="C175" s="227" t="s">
        <v>29</v>
      </c>
      <c r="D175" s="227" t="s">
        <v>1147</v>
      </c>
      <c r="E175" s="228">
        <v>3</v>
      </c>
      <c r="F175" s="101">
        <v>3</v>
      </c>
      <c r="G175" s="87" t="str">
        <f t="shared" si="28"/>
        <v>A833</v>
      </c>
      <c r="H175" s="87" t="s">
        <v>1293</v>
      </c>
      <c r="I175" s="89" t="str">
        <f>VLOOKUP(C175,'PREMIUM TABLES'!$G$107:$H$149,2,FALSE)</f>
        <v>C1</v>
      </c>
      <c r="J175" s="87">
        <v>110.14</v>
      </c>
      <c r="K175" s="87">
        <v>120.21220005960269</v>
      </c>
      <c r="L175" s="87">
        <v>135</v>
      </c>
      <c r="O175" s="87" t="s">
        <v>185</v>
      </c>
      <c r="P175" s="87" t="s">
        <v>226</v>
      </c>
      <c r="Q175" s="229" t="s">
        <v>214</v>
      </c>
      <c r="R175" s="87" t="str">
        <f>VLOOKUP(E175,'PREMIUM TABLES'!$F$214:$G$219,2,FALSE)</f>
        <v>THIRD</v>
      </c>
      <c r="S175" s="87" t="str" cm="1">
        <f t="array" ref="S175">IF(AND(L175&gt;0,L175&lt;90),"A",IF(AND(L175&gt;90,L175&lt;123),"B",IF(AND(L175&gt;122,L175&lt;159),"C",IF(AND(L175&gt;159,L175&lt;185),"D",IF(AND(L175&gt;185,L175&lt;230),"E",IF(AND(L175&gt;230,L175&lt;350),"F",NONE))))))</f>
        <v>C</v>
      </c>
      <c r="T175" s="230">
        <f>VLOOKUP(O175,'PREMIUM TABLES'!$G$165:$H$172,2,FALSE)</f>
        <v>0.06</v>
      </c>
      <c r="U175" s="230">
        <f>VLOOKUP(P175,'PREMIUM TABLES'!$G$208:$H$209,2,FALSE)</f>
        <v>0.05</v>
      </c>
      <c r="V175" s="230">
        <f>VLOOKUP(Q175,'PREMIUM TABLES'!$G$175:$H$195,2,FALSE)</f>
        <v>0.4</v>
      </c>
      <c r="W175" s="230">
        <f>VLOOKUP(R175,'PREMIUM TABLES'!$G$214:$H$219,2,FALSE)</f>
        <v>0.15</v>
      </c>
      <c r="X175" s="230">
        <f>VLOOKUP(S175,'PREMIUM TABLES'!$F$199:$H$205,3,FALSE)</f>
        <v>3.5000000000000003E-2</v>
      </c>
      <c r="Y175" s="231">
        <f t="shared" si="22"/>
        <v>0.69500000000000006</v>
      </c>
      <c r="Z175" s="231" t="str" cm="1">
        <f t="array" ref="Z175">IF(AND(Y175&gt;0,Y175&lt;0.5),"C",IF(AND(Y175&gt;=0.5,Y175&lt;0.73),"B",IF(AND(Y175&gt;=0.73,Y175&lt;0.98),"A",NONE)))</f>
        <v>B</v>
      </c>
      <c r="AA175" s="231" t="str">
        <f>VLOOKUP(G175,'ALL (R)'!$N$5:$R$862,5,FALSE)</f>
        <v>R 8</v>
      </c>
      <c r="AB175" s="232">
        <f>VLOOKUP(AA175,FACTS!$B$2:$L$14,10,FALSE)</f>
        <v>51850</v>
      </c>
      <c r="AC175" s="232">
        <f>VLOOKUP(AA175,FACTS!$B$2:$L$14,11,FALSE)</f>
        <v>57950</v>
      </c>
      <c r="AD175" s="232">
        <f>VLOOKUP(AA175,FACTS!$B$2:$N$14,13,FALSE)</f>
        <v>6100</v>
      </c>
      <c r="AE175" s="232">
        <f t="shared" si="23"/>
        <v>4239.5</v>
      </c>
      <c r="AF175" s="232">
        <f t="shared" si="24"/>
        <v>56089.5</v>
      </c>
      <c r="AG175" s="232">
        <f>AF175*FACTS!$T$2</f>
        <v>18509.535</v>
      </c>
      <c r="AH175" s="232">
        <f>Table1[[#This Row],[UNIT (BUILDING) RATE (SEMI FINISHED)]]+4500</f>
        <v>60589.5</v>
      </c>
      <c r="AI175" s="232">
        <f>Table1[[#This Row],[UNIT (BUILDING) RATE (SEMI FINISHED)]]+7500</f>
        <v>63589.5</v>
      </c>
      <c r="AJ175" s="232">
        <f t="shared" si="25"/>
        <v>7572082.5</v>
      </c>
      <c r="AK175" s="232">
        <f>Table1[[#This Row],[UNIT (BUILDING) RATE (BASIC FINISH)]]*Table1[[#This Row],[Unit Selling Area]]</f>
        <v>8179582.5</v>
      </c>
      <c r="AL175" s="232">
        <f>Table1[[#This Row],[UNIT (BUILDING) RATE (FULLY FINISH)]]*Table1[[#This Row],[Unit Selling Area]]</f>
        <v>8584582.5</v>
      </c>
      <c r="AM175" s="232">
        <f t="shared" si="26"/>
        <v>0</v>
      </c>
      <c r="AN175" s="232">
        <f>(AM175+AJ175)*FACTS!$S$2</f>
        <v>643627.01250000007</v>
      </c>
      <c r="AO175" s="101">
        <f>VLOOKUP(S175,FACTS!$A$17:$C$23,3,FALSE)</f>
        <v>2</v>
      </c>
      <c r="AP175" s="232">
        <f>VLOOKUP(AA175,FACTS!$B$2:$J$14,9,FALSE)</f>
        <v>244000</v>
      </c>
      <c r="AQ175" s="232">
        <f>Table1[[#This Row],[PARKING VALUE]]*1</f>
        <v>244000</v>
      </c>
      <c r="AR175" s="232">
        <f t="shared" si="20"/>
        <v>7816082.5</v>
      </c>
      <c r="AS175" s="440">
        <f>Table1[[#This Row],[TOTAL CARS VALUE]]+Table1[[#This Row],[UNIT (BUILDING) VALUE BASIC FINISHED]]+Table1[[#This Row],[UNIT (GARDEN) VALUE]]</f>
        <v>8423582.5</v>
      </c>
      <c r="AT175" s="232">
        <f>Table1[[#This Row],[TOTAL CARS VALUE]]+Table1[[#This Row],[UNIT (GARDEN) VALUE]]+Table1[[#This Row],[UNIT (BUILDING) VALUE FULLY FINISHED]]</f>
        <v>8828582.5</v>
      </c>
      <c r="AU175" s="233">
        <f>VLOOKUP(I175,'C PHASES'!$I$108:$J$110,2,FALSE)</f>
        <v>45839</v>
      </c>
      <c r="AV175" s="233">
        <f>VLOOKUP(AA175,'C PHASES'!$I$113:$J$125,2,FALSE)</f>
        <v>45839</v>
      </c>
    </row>
    <row r="176" spans="1:48" ht="15" customHeight="1" x14ac:dyDescent="0.25">
      <c r="A176" s="235"/>
      <c r="B176" s="227" t="str">
        <f t="shared" si="21"/>
        <v>A</v>
      </c>
      <c r="C176" s="227" t="s">
        <v>29</v>
      </c>
      <c r="D176" s="227" t="s">
        <v>1147</v>
      </c>
      <c r="E176" s="228">
        <v>3</v>
      </c>
      <c r="F176" s="101">
        <v>4</v>
      </c>
      <c r="G176" s="87" t="str">
        <f t="shared" si="28"/>
        <v>A834</v>
      </c>
      <c r="H176" s="87" t="s">
        <v>1293</v>
      </c>
      <c r="I176" s="89" t="str">
        <f>VLOOKUP(C176,'PREMIUM TABLES'!$G$107:$H$149,2,FALSE)</f>
        <v>C1</v>
      </c>
      <c r="J176" s="87">
        <v>110.14</v>
      </c>
      <c r="K176" s="87">
        <v>120.21220005960269</v>
      </c>
      <c r="L176" s="87">
        <v>135</v>
      </c>
      <c r="O176" s="87" t="s">
        <v>184</v>
      </c>
      <c r="P176" s="87" t="s">
        <v>226</v>
      </c>
      <c r="Q176" s="229" t="s">
        <v>198</v>
      </c>
      <c r="R176" s="87" t="str">
        <f>VLOOKUP(E176,'PREMIUM TABLES'!$F$214:$G$219,2,FALSE)</f>
        <v>THIRD</v>
      </c>
      <c r="S176" s="87" t="str" cm="1">
        <f t="array" ref="S176">IF(AND(L176&gt;0,L176&lt;90),"A",IF(AND(L176&gt;90,L176&lt;123),"B",IF(AND(L176&gt;122,L176&lt;159),"C",IF(AND(L176&gt;159,L176&lt;185),"D",IF(AND(L176&gt;185,L176&lt;230),"E",IF(AND(L176&gt;230,L176&lt;350),"F",NONE))))))</f>
        <v>C</v>
      </c>
      <c r="T176" s="230">
        <f>VLOOKUP(O176,'PREMIUM TABLES'!$G$165:$H$172,2,FALSE)</f>
        <v>0.15</v>
      </c>
      <c r="U176" s="230">
        <f>VLOOKUP(P176,'PREMIUM TABLES'!$G$208:$H$209,2,FALSE)</f>
        <v>0.05</v>
      </c>
      <c r="V176" s="230">
        <f>VLOOKUP(Q176,'PREMIUM TABLES'!$G$175:$H$195,2,FALSE)</f>
        <v>0.15</v>
      </c>
      <c r="W176" s="230">
        <f>VLOOKUP(R176,'PREMIUM TABLES'!$G$214:$H$219,2,FALSE)</f>
        <v>0.15</v>
      </c>
      <c r="X176" s="230">
        <f>VLOOKUP(S176,'PREMIUM TABLES'!$F$199:$H$205,3,FALSE)</f>
        <v>3.5000000000000003E-2</v>
      </c>
      <c r="Y176" s="231">
        <f t="shared" si="22"/>
        <v>0.53500000000000003</v>
      </c>
      <c r="Z176" s="231" t="str" cm="1">
        <f t="array" ref="Z176">IF(AND(Y176&gt;0,Y176&lt;0.5),"C",IF(AND(Y176&gt;=0.5,Y176&lt;0.73),"B",IF(AND(Y176&gt;=0.73,Y176&lt;0.98),"A",NONE)))</f>
        <v>B</v>
      </c>
      <c r="AA176" s="231" t="str">
        <f>VLOOKUP(G176,'ALL (R)'!$N$5:$R$862,5,FALSE)</f>
        <v>R 1</v>
      </c>
      <c r="AB176" s="232">
        <f>VLOOKUP(AA176,FACTS!$B$2:$L$14,10,FALSE)</f>
        <v>42500</v>
      </c>
      <c r="AC176" s="232">
        <f>VLOOKUP(AA176,FACTS!$B$2:$L$14,11,FALSE)</f>
        <v>47500</v>
      </c>
      <c r="AD176" s="232">
        <f>VLOOKUP(AA176,FACTS!$B$2:$N$14,13,FALSE)</f>
        <v>5000</v>
      </c>
      <c r="AE176" s="232">
        <f t="shared" si="23"/>
        <v>2675</v>
      </c>
      <c r="AF176" s="232">
        <f t="shared" si="24"/>
        <v>45175</v>
      </c>
      <c r="AG176" s="232">
        <f>AF176*FACTS!$T$2</f>
        <v>14907.75</v>
      </c>
      <c r="AH176" s="232">
        <f>Table1[[#This Row],[UNIT (BUILDING) RATE (SEMI FINISHED)]]+4500</f>
        <v>49675</v>
      </c>
      <c r="AI176" s="232">
        <f>Table1[[#This Row],[UNIT (BUILDING) RATE (SEMI FINISHED)]]+7500</f>
        <v>52675</v>
      </c>
      <c r="AJ176" s="232">
        <f t="shared" si="25"/>
        <v>6098625</v>
      </c>
      <c r="AK176" s="232">
        <f>Table1[[#This Row],[UNIT (BUILDING) RATE (BASIC FINISH)]]*Table1[[#This Row],[Unit Selling Area]]</f>
        <v>6706125</v>
      </c>
      <c r="AL176" s="232">
        <f>Table1[[#This Row],[UNIT (BUILDING) RATE (FULLY FINISH)]]*Table1[[#This Row],[Unit Selling Area]]</f>
        <v>7111125</v>
      </c>
      <c r="AM176" s="232">
        <f t="shared" si="26"/>
        <v>0</v>
      </c>
      <c r="AN176" s="232">
        <f>(AM176+AJ176)*FACTS!$S$2</f>
        <v>518383.12500000006</v>
      </c>
      <c r="AO176" s="101">
        <f>VLOOKUP(S176,FACTS!$A$17:$C$23,3,FALSE)</f>
        <v>2</v>
      </c>
      <c r="AP176" s="232">
        <f>VLOOKUP(AA176,FACTS!$B$2:$J$14,9,FALSE)</f>
        <v>200000</v>
      </c>
      <c r="AQ176" s="232">
        <f>Table1[[#This Row],[PARKING VALUE]]*1</f>
        <v>200000</v>
      </c>
      <c r="AR176" s="232">
        <f t="shared" si="20"/>
        <v>6298625</v>
      </c>
      <c r="AS176" s="440">
        <f>Table1[[#This Row],[TOTAL CARS VALUE]]+Table1[[#This Row],[UNIT (BUILDING) VALUE BASIC FINISHED]]+Table1[[#This Row],[UNIT (GARDEN) VALUE]]</f>
        <v>6906125</v>
      </c>
      <c r="AT176" s="232">
        <f>Table1[[#This Row],[TOTAL CARS VALUE]]+Table1[[#This Row],[UNIT (GARDEN) VALUE]]+Table1[[#This Row],[UNIT (BUILDING) VALUE FULLY FINISHED]]</f>
        <v>7311125</v>
      </c>
      <c r="AU176" s="233">
        <f>VLOOKUP(I176,'C PHASES'!$I$108:$J$110,2,FALSE)</f>
        <v>45839</v>
      </c>
      <c r="AV176" s="233">
        <f>VLOOKUP(AA176,'C PHASES'!$I$113:$J$125,2,FALSE)</f>
        <v>45170</v>
      </c>
    </row>
    <row r="177" spans="1:48" ht="15" customHeight="1" x14ac:dyDescent="0.25">
      <c r="A177" s="235"/>
      <c r="B177" s="227" t="str">
        <f t="shared" si="21"/>
        <v>A</v>
      </c>
      <c r="C177" s="227" t="s">
        <v>29</v>
      </c>
      <c r="D177" s="227" t="s">
        <v>1147</v>
      </c>
      <c r="E177" s="228">
        <v>4</v>
      </c>
      <c r="F177" s="101">
        <v>1</v>
      </c>
      <c r="G177" s="87" t="str">
        <f t="shared" si="28"/>
        <v>A841</v>
      </c>
      <c r="H177" s="87" t="s">
        <v>1293</v>
      </c>
      <c r="I177" s="89" t="str">
        <f>VLOOKUP(C177,'PREMIUM TABLES'!$G$107:$H$149,2,FALSE)</f>
        <v>C1</v>
      </c>
      <c r="J177" s="87">
        <v>89.12</v>
      </c>
      <c r="K177" s="87">
        <v>97.269940705572836</v>
      </c>
      <c r="L177" s="87">
        <v>110</v>
      </c>
      <c r="O177" s="87" t="s">
        <v>184</v>
      </c>
      <c r="P177" s="87" t="s">
        <v>190</v>
      </c>
      <c r="Q177" s="229" t="s">
        <v>198</v>
      </c>
      <c r="R177" s="87" t="str">
        <f>VLOOKUP(E177,'PREMIUM TABLES'!$F$214:$G$219,2,FALSE)</f>
        <v>FORTH</v>
      </c>
      <c r="S177" s="87" t="str" cm="1">
        <f t="array" ref="S177">IF(AND(L177&gt;0,L177&lt;90),"A",IF(AND(L177&gt;90,L177&lt;123),"B",IF(AND(L177&gt;122,L177&lt;159),"C",IF(AND(L177&gt;159,L177&lt;185),"D",IF(AND(L177&gt;185,L177&lt;230),"E",IF(AND(L177&gt;230,L177&lt;350),"F",NONE))))))</f>
        <v>B</v>
      </c>
      <c r="T177" s="230">
        <f>VLOOKUP(O177,'PREMIUM TABLES'!$G$165:$H$172,2,FALSE)</f>
        <v>0.15</v>
      </c>
      <c r="U177" s="230">
        <f>VLOOKUP(P177,'PREMIUM TABLES'!$G$208:$H$209,2,FALSE)</f>
        <v>2.5000000000000001E-2</v>
      </c>
      <c r="V177" s="230">
        <f>VLOOKUP(Q177,'PREMIUM TABLES'!$G$175:$H$195,2,FALSE)</f>
        <v>0.15</v>
      </c>
      <c r="W177" s="230">
        <f>VLOOKUP(R177,'PREMIUM TABLES'!$G$214:$H$219,2,FALSE)</f>
        <v>0.06</v>
      </c>
      <c r="X177" s="230">
        <f>VLOOKUP(S177,'PREMIUM TABLES'!$F$199:$H$205,3,FALSE)</f>
        <v>0.04</v>
      </c>
      <c r="Y177" s="231">
        <f t="shared" si="22"/>
        <v>0.42499999999999993</v>
      </c>
      <c r="Z177" s="231" t="str" cm="1">
        <f t="array" ref="Z177">IF(AND(Y177&gt;0,Y177&lt;0.5),"C",IF(AND(Y177&gt;=0.5,Y177&lt;0.73),"B",IF(AND(Y177&gt;=0.73,Y177&lt;0.98),"A",NONE)))</f>
        <v>C</v>
      </c>
      <c r="AA177" s="231" t="str">
        <f>VLOOKUP(G177,'ALL (R)'!$N$5:$R$862,5,FALSE)</f>
        <v>R 7</v>
      </c>
      <c r="AB177" s="232">
        <f>VLOOKUP(AA177,FACTS!$B$2:$L$14,10,FALSE)</f>
        <v>50150</v>
      </c>
      <c r="AC177" s="232">
        <f>VLOOKUP(AA177,FACTS!$B$2:$L$14,11,FALSE)</f>
        <v>56050</v>
      </c>
      <c r="AD177" s="232">
        <f>VLOOKUP(AA177,FACTS!$B$2:$N$14,13,FALSE)</f>
        <v>5900</v>
      </c>
      <c r="AE177" s="232">
        <f t="shared" si="23"/>
        <v>2507.4999999999995</v>
      </c>
      <c r="AF177" s="232">
        <f t="shared" si="24"/>
        <v>52657.5</v>
      </c>
      <c r="AG177" s="232">
        <f>AF177*FACTS!$T$2</f>
        <v>17376.975000000002</v>
      </c>
      <c r="AH177" s="232">
        <f>Table1[[#This Row],[UNIT (BUILDING) RATE (SEMI FINISHED)]]+4500</f>
        <v>57157.5</v>
      </c>
      <c r="AI177" s="232">
        <f>Table1[[#This Row],[UNIT (BUILDING) RATE (SEMI FINISHED)]]+7500</f>
        <v>60157.5</v>
      </c>
      <c r="AJ177" s="232">
        <f t="shared" si="25"/>
        <v>5792325</v>
      </c>
      <c r="AK177" s="232">
        <f>Table1[[#This Row],[UNIT (BUILDING) RATE (BASIC FINISH)]]*Table1[[#This Row],[Unit Selling Area]]</f>
        <v>6287325</v>
      </c>
      <c r="AL177" s="232">
        <f>Table1[[#This Row],[UNIT (BUILDING) RATE (FULLY FINISH)]]*Table1[[#This Row],[Unit Selling Area]]</f>
        <v>6617325</v>
      </c>
      <c r="AM177" s="232">
        <f t="shared" si="26"/>
        <v>0</v>
      </c>
      <c r="AN177" s="232">
        <f>(AM177+AJ177)*FACTS!$S$2</f>
        <v>492347.62500000006</v>
      </c>
      <c r="AO177" s="101">
        <f>VLOOKUP(S177,FACTS!$A$17:$C$23,3,FALSE)</f>
        <v>1</v>
      </c>
      <c r="AP177" s="232">
        <f>VLOOKUP(AA177,FACTS!$B$2:$J$14,9,FALSE)</f>
        <v>236000</v>
      </c>
      <c r="AQ177" s="232">
        <f>Table1[[#This Row],[PARKING VALUE]]*1</f>
        <v>236000</v>
      </c>
      <c r="AR177" s="232">
        <f t="shared" si="20"/>
        <v>6028325</v>
      </c>
      <c r="AS177" s="440">
        <f>Table1[[#This Row],[TOTAL CARS VALUE]]+Table1[[#This Row],[UNIT (BUILDING) VALUE BASIC FINISHED]]+Table1[[#This Row],[UNIT (GARDEN) VALUE]]</f>
        <v>6523325</v>
      </c>
      <c r="AT177" s="232">
        <f>Table1[[#This Row],[TOTAL CARS VALUE]]+Table1[[#This Row],[UNIT (GARDEN) VALUE]]+Table1[[#This Row],[UNIT (BUILDING) VALUE FULLY FINISHED]]</f>
        <v>6853325</v>
      </c>
      <c r="AU177" s="233">
        <f>VLOOKUP(I177,'C PHASES'!$I$108:$J$110,2,FALSE)</f>
        <v>45839</v>
      </c>
      <c r="AV177" s="233">
        <f>VLOOKUP(AA177,'C PHASES'!$I$113:$J$125,2,FALSE)</f>
        <v>45748</v>
      </c>
    </row>
    <row r="178" spans="1:48" ht="15" customHeight="1" x14ac:dyDescent="0.25">
      <c r="A178" s="235"/>
      <c r="B178" s="227" t="str">
        <f t="shared" si="21"/>
        <v>A</v>
      </c>
      <c r="C178" s="227" t="s">
        <v>29</v>
      </c>
      <c r="D178" s="227" t="s">
        <v>1147</v>
      </c>
      <c r="E178" s="228">
        <v>4</v>
      </c>
      <c r="F178" s="101">
        <v>2</v>
      </c>
      <c r="G178" s="87" t="str">
        <f t="shared" si="28"/>
        <v>A842</v>
      </c>
      <c r="H178" s="87" t="s">
        <v>1293</v>
      </c>
      <c r="I178" s="89" t="str">
        <f>VLOOKUP(C178,'PREMIUM TABLES'!$G$107:$H$149,2,FALSE)</f>
        <v>C1</v>
      </c>
      <c r="J178" s="87">
        <v>89.12</v>
      </c>
      <c r="K178" s="87">
        <v>97.269940705572836</v>
      </c>
      <c r="L178" s="87">
        <v>110</v>
      </c>
      <c r="O178" s="87" t="s">
        <v>185</v>
      </c>
      <c r="P178" s="87" t="s">
        <v>190</v>
      </c>
      <c r="Q178" s="229" t="s">
        <v>214</v>
      </c>
      <c r="R178" s="87" t="str">
        <f>VLOOKUP(E178,'PREMIUM TABLES'!$F$214:$G$219,2,FALSE)</f>
        <v>FORTH</v>
      </c>
      <c r="S178" s="87" t="str" cm="1">
        <f t="array" ref="S178">IF(AND(L178&gt;0,L178&lt;90),"A",IF(AND(L178&gt;90,L178&lt;123),"B",IF(AND(L178&gt;122,L178&lt;159),"C",IF(AND(L178&gt;159,L178&lt;185),"D",IF(AND(L178&gt;185,L178&lt;230),"E",IF(AND(L178&gt;230,L178&lt;350),"F",NONE))))))</f>
        <v>B</v>
      </c>
      <c r="T178" s="230">
        <f>VLOOKUP(O178,'PREMIUM TABLES'!$G$165:$H$172,2,FALSE)</f>
        <v>0.06</v>
      </c>
      <c r="U178" s="230">
        <f>VLOOKUP(P178,'PREMIUM TABLES'!$G$208:$H$209,2,FALSE)</f>
        <v>2.5000000000000001E-2</v>
      </c>
      <c r="V178" s="230">
        <f>VLOOKUP(Q178,'PREMIUM TABLES'!$G$175:$H$195,2,FALSE)</f>
        <v>0.4</v>
      </c>
      <c r="W178" s="230">
        <f>VLOOKUP(R178,'PREMIUM TABLES'!$G$214:$H$219,2,FALSE)</f>
        <v>0.06</v>
      </c>
      <c r="X178" s="230">
        <f>VLOOKUP(S178,'PREMIUM TABLES'!$F$199:$H$205,3,FALSE)</f>
        <v>0.04</v>
      </c>
      <c r="Y178" s="231">
        <f t="shared" si="22"/>
        <v>0.58499999999999996</v>
      </c>
      <c r="Z178" s="231" t="str" cm="1">
        <f t="array" ref="Z178">IF(AND(Y178&gt;0,Y178&lt;0.5),"C",IF(AND(Y178&gt;=0.5,Y178&lt;0.73),"B",IF(AND(Y178&gt;=0.73,Y178&lt;0.98),"A",NONE)))</f>
        <v>B</v>
      </c>
      <c r="AA178" s="231" t="str">
        <f>VLOOKUP(G178,'ALL (R)'!$N$5:$R$862,5,FALSE)</f>
        <v>R 1</v>
      </c>
      <c r="AB178" s="232">
        <f>VLOOKUP(AA178,FACTS!$B$2:$L$14,10,FALSE)</f>
        <v>42500</v>
      </c>
      <c r="AC178" s="232">
        <f>VLOOKUP(AA178,FACTS!$B$2:$L$14,11,FALSE)</f>
        <v>47500</v>
      </c>
      <c r="AD178" s="232">
        <f>VLOOKUP(AA178,FACTS!$B$2:$N$14,13,FALSE)</f>
        <v>5000</v>
      </c>
      <c r="AE178" s="232">
        <f t="shared" si="23"/>
        <v>2925</v>
      </c>
      <c r="AF178" s="232">
        <f t="shared" si="24"/>
        <v>45425</v>
      </c>
      <c r="AG178" s="232">
        <f>AF178*FACTS!$T$2</f>
        <v>14990.25</v>
      </c>
      <c r="AH178" s="232">
        <f>Table1[[#This Row],[UNIT (BUILDING) RATE (SEMI FINISHED)]]+4500</f>
        <v>49925</v>
      </c>
      <c r="AI178" s="232">
        <f>Table1[[#This Row],[UNIT (BUILDING) RATE (SEMI FINISHED)]]+7500</f>
        <v>52925</v>
      </c>
      <c r="AJ178" s="232">
        <f t="shared" si="25"/>
        <v>4996750</v>
      </c>
      <c r="AK178" s="232">
        <f>Table1[[#This Row],[UNIT (BUILDING) RATE (BASIC FINISH)]]*Table1[[#This Row],[Unit Selling Area]]</f>
        <v>5491750</v>
      </c>
      <c r="AL178" s="232">
        <f>Table1[[#This Row],[UNIT (BUILDING) RATE (FULLY FINISH)]]*Table1[[#This Row],[Unit Selling Area]]</f>
        <v>5821750</v>
      </c>
      <c r="AM178" s="232">
        <f t="shared" si="26"/>
        <v>0</v>
      </c>
      <c r="AN178" s="232">
        <f>(AM178+AJ178)*FACTS!$S$2</f>
        <v>424723.75000000006</v>
      </c>
      <c r="AO178" s="101">
        <f>VLOOKUP(S178,FACTS!$A$17:$C$23,3,FALSE)</f>
        <v>1</v>
      </c>
      <c r="AP178" s="232">
        <f>VLOOKUP(AA178,FACTS!$B$2:$J$14,9,FALSE)</f>
        <v>200000</v>
      </c>
      <c r="AQ178" s="232">
        <f>Table1[[#This Row],[PARKING VALUE]]*1</f>
        <v>200000</v>
      </c>
      <c r="AR178" s="232">
        <f t="shared" si="20"/>
        <v>5196750</v>
      </c>
      <c r="AS178" s="440">
        <f>Table1[[#This Row],[TOTAL CARS VALUE]]+Table1[[#This Row],[UNIT (BUILDING) VALUE BASIC FINISHED]]+Table1[[#This Row],[UNIT (GARDEN) VALUE]]</f>
        <v>5691750</v>
      </c>
      <c r="AT178" s="232">
        <f>Table1[[#This Row],[TOTAL CARS VALUE]]+Table1[[#This Row],[UNIT (GARDEN) VALUE]]+Table1[[#This Row],[UNIT (BUILDING) VALUE FULLY FINISHED]]</f>
        <v>6021750</v>
      </c>
      <c r="AU178" s="233">
        <f>VLOOKUP(I178,'C PHASES'!$I$108:$J$110,2,FALSE)</f>
        <v>45839</v>
      </c>
      <c r="AV178" s="233">
        <f>VLOOKUP(AA178,'C PHASES'!$I$113:$J$125,2,FALSE)</f>
        <v>45170</v>
      </c>
    </row>
    <row r="179" spans="1:48" ht="15" customHeight="1" x14ac:dyDescent="0.25">
      <c r="A179" s="235"/>
      <c r="B179" s="227" t="str">
        <f t="shared" si="21"/>
        <v>A</v>
      </c>
      <c r="C179" s="227" t="s">
        <v>29</v>
      </c>
      <c r="D179" s="227" t="s">
        <v>1147</v>
      </c>
      <c r="E179" s="228">
        <v>4</v>
      </c>
      <c r="F179" s="101">
        <v>3</v>
      </c>
      <c r="G179" s="87" t="str">
        <f t="shared" si="28"/>
        <v>A843</v>
      </c>
      <c r="H179" s="87" t="s">
        <v>1293</v>
      </c>
      <c r="I179" s="89" t="str">
        <f>VLOOKUP(C179,'PREMIUM TABLES'!$G$107:$H$149,2,FALSE)</f>
        <v>C1</v>
      </c>
      <c r="J179" s="87">
        <v>110.18</v>
      </c>
      <c r="K179" s="87">
        <v>120.25585802221741</v>
      </c>
      <c r="L179" s="87">
        <v>136</v>
      </c>
      <c r="O179" s="87" t="s">
        <v>185</v>
      </c>
      <c r="P179" s="87" t="s">
        <v>226</v>
      </c>
      <c r="Q179" s="229" t="s">
        <v>214</v>
      </c>
      <c r="R179" s="87" t="str">
        <f>VLOOKUP(E179,'PREMIUM TABLES'!$F$214:$G$219,2,FALSE)</f>
        <v>FORTH</v>
      </c>
      <c r="S179" s="87" t="str" cm="1">
        <f t="array" ref="S179">IF(AND(L179&gt;0,L179&lt;90),"A",IF(AND(L179&gt;90,L179&lt;123),"B",IF(AND(L179&gt;122,L179&lt;159),"C",IF(AND(L179&gt;159,L179&lt;185),"D",IF(AND(L179&gt;185,L179&lt;230),"E",IF(AND(L179&gt;230,L179&lt;350),"F",NONE))))))</f>
        <v>C</v>
      </c>
      <c r="T179" s="230">
        <f>VLOOKUP(O179,'PREMIUM TABLES'!$G$165:$H$172,2,FALSE)</f>
        <v>0.06</v>
      </c>
      <c r="U179" s="230">
        <f>VLOOKUP(P179,'PREMIUM TABLES'!$G$208:$H$209,2,FALSE)</f>
        <v>0.05</v>
      </c>
      <c r="V179" s="230">
        <f>VLOOKUP(Q179,'PREMIUM TABLES'!$G$175:$H$195,2,FALSE)</f>
        <v>0.4</v>
      </c>
      <c r="W179" s="230">
        <f>VLOOKUP(R179,'PREMIUM TABLES'!$G$214:$H$219,2,FALSE)</f>
        <v>0.06</v>
      </c>
      <c r="X179" s="230">
        <f>VLOOKUP(S179,'PREMIUM TABLES'!$F$199:$H$205,3,FALSE)</f>
        <v>3.5000000000000003E-2</v>
      </c>
      <c r="Y179" s="231">
        <f t="shared" si="22"/>
        <v>0.60500000000000009</v>
      </c>
      <c r="Z179" s="231" t="str" cm="1">
        <f t="array" ref="Z179">IF(AND(Y179&gt;0,Y179&lt;0.5),"C",IF(AND(Y179&gt;=0.5,Y179&lt;0.73),"B",IF(AND(Y179&gt;=0.73,Y179&lt;0.98),"A",NONE)))</f>
        <v>B</v>
      </c>
      <c r="AA179" s="231" t="str">
        <f>VLOOKUP(G179,'ALL (R)'!$N$5:$R$862,5,FALSE)</f>
        <v>R 2</v>
      </c>
      <c r="AB179" s="232">
        <f>VLOOKUP(AA179,FACTS!$B$2:$L$14,10,FALSE)</f>
        <v>43562.499999999993</v>
      </c>
      <c r="AC179" s="232">
        <f>VLOOKUP(AA179,FACTS!$B$2:$L$14,11,FALSE)</f>
        <v>48687.499999999993</v>
      </c>
      <c r="AD179" s="232">
        <f>VLOOKUP(AA179,FACTS!$B$2:$N$14,13,FALSE)</f>
        <v>5125</v>
      </c>
      <c r="AE179" s="232">
        <f t="shared" si="23"/>
        <v>3100.6250000000005</v>
      </c>
      <c r="AF179" s="232">
        <f t="shared" si="24"/>
        <v>46663.124999999993</v>
      </c>
      <c r="AG179" s="232">
        <f>AF179*FACTS!$T$2</f>
        <v>15398.831249999997</v>
      </c>
      <c r="AH179" s="232">
        <f>Table1[[#This Row],[UNIT (BUILDING) RATE (SEMI FINISHED)]]+4500</f>
        <v>51163.124999999993</v>
      </c>
      <c r="AI179" s="232">
        <f>Table1[[#This Row],[UNIT (BUILDING) RATE (SEMI FINISHED)]]+7500</f>
        <v>54163.124999999993</v>
      </c>
      <c r="AJ179" s="232">
        <f t="shared" si="25"/>
        <v>6346184.9999999991</v>
      </c>
      <c r="AK179" s="232">
        <f>Table1[[#This Row],[UNIT (BUILDING) RATE (BASIC FINISH)]]*Table1[[#This Row],[Unit Selling Area]]</f>
        <v>6958184.9999999991</v>
      </c>
      <c r="AL179" s="232">
        <f>Table1[[#This Row],[UNIT (BUILDING) RATE (FULLY FINISH)]]*Table1[[#This Row],[Unit Selling Area]]</f>
        <v>7366184.9999999991</v>
      </c>
      <c r="AM179" s="232">
        <f t="shared" si="26"/>
        <v>0</v>
      </c>
      <c r="AN179" s="232">
        <f>(AM179+AJ179)*FACTS!$S$2</f>
        <v>539425.72499999998</v>
      </c>
      <c r="AO179" s="101">
        <f>VLOOKUP(S179,FACTS!$A$17:$C$23,3,FALSE)</f>
        <v>2</v>
      </c>
      <c r="AP179" s="232">
        <f>VLOOKUP(AA179,FACTS!$B$2:$J$14,9,FALSE)</f>
        <v>204999.99999999997</v>
      </c>
      <c r="AQ179" s="232">
        <f>Table1[[#This Row],[PARKING VALUE]]*1</f>
        <v>204999.99999999997</v>
      </c>
      <c r="AR179" s="232">
        <f t="shared" si="20"/>
        <v>6551184.9999999991</v>
      </c>
      <c r="AS179" s="440">
        <f>Table1[[#This Row],[TOTAL CARS VALUE]]+Table1[[#This Row],[UNIT (BUILDING) VALUE BASIC FINISHED]]+Table1[[#This Row],[UNIT (GARDEN) VALUE]]</f>
        <v>7163184.9999999991</v>
      </c>
      <c r="AT179" s="232">
        <f>Table1[[#This Row],[TOTAL CARS VALUE]]+Table1[[#This Row],[UNIT (GARDEN) VALUE]]+Table1[[#This Row],[UNIT (BUILDING) VALUE FULLY FINISHED]]</f>
        <v>7571184.9999999991</v>
      </c>
      <c r="AU179" s="233">
        <f>VLOOKUP(I179,'C PHASES'!$I$108:$J$110,2,FALSE)</f>
        <v>45839</v>
      </c>
      <c r="AV179" s="233">
        <f>VLOOKUP(AA179,'C PHASES'!$I$113:$J$125,2,FALSE)</f>
        <v>45292</v>
      </c>
    </row>
    <row r="180" spans="1:48" ht="15" customHeight="1" x14ac:dyDescent="0.25">
      <c r="A180" s="235"/>
      <c r="B180" s="227" t="str">
        <f t="shared" si="21"/>
        <v>A</v>
      </c>
      <c r="C180" s="227" t="s">
        <v>29</v>
      </c>
      <c r="D180" s="227" t="s">
        <v>1147</v>
      </c>
      <c r="E180" s="228">
        <v>4</v>
      </c>
      <c r="F180" s="101">
        <v>4</v>
      </c>
      <c r="G180" s="87" t="str">
        <f t="shared" si="28"/>
        <v>A844</v>
      </c>
      <c r="H180" s="87" t="s">
        <v>1293</v>
      </c>
      <c r="I180" s="89" t="str">
        <f>VLOOKUP(C180,'PREMIUM TABLES'!$G$107:$H$149,2,FALSE)</f>
        <v>C1</v>
      </c>
      <c r="J180" s="87">
        <v>110.18</v>
      </c>
      <c r="K180" s="87">
        <v>120.25585802221741</v>
      </c>
      <c r="L180" s="87">
        <v>136</v>
      </c>
      <c r="O180" s="87" t="s">
        <v>184</v>
      </c>
      <c r="P180" s="87" t="s">
        <v>226</v>
      </c>
      <c r="Q180" s="229" t="s">
        <v>198</v>
      </c>
      <c r="R180" s="87" t="str">
        <f>VLOOKUP(E180,'PREMIUM TABLES'!$F$214:$G$219,2,FALSE)</f>
        <v>FORTH</v>
      </c>
      <c r="S180" s="87" t="str" cm="1">
        <f t="array" ref="S180">IF(AND(L180&gt;0,L180&lt;90),"A",IF(AND(L180&gt;90,L180&lt;123),"B",IF(AND(L180&gt;122,L180&lt;159),"C",IF(AND(L180&gt;159,L180&lt;185),"D",IF(AND(L180&gt;185,L180&lt;230),"E",IF(AND(L180&gt;230,L180&lt;350),"F",NONE))))))</f>
        <v>C</v>
      </c>
      <c r="T180" s="230">
        <f>VLOOKUP(O180,'PREMIUM TABLES'!$G$165:$H$172,2,FALSE)</f>
        <v>0.15</v>
      </c>
      <c r="U180" s="230">
        <f>VLOOKUP(P180,'PREMIUM TABLES'!$G$208:$H$209,2,FALSE)</f>
        <v>0.05</v>
      </c>
      <c r="V180" s="230">
        <f>VLOOKUP(Q180,'PREMIUM TABLES'!$G$175:$H$195,2,FALSE)</f>
        <v>0.15</v>
      </c>
      <c r="W180" s="230">
        <f>VLOOKUP(R180,'PREMIUM TABLES'!$G$214:$H$219,2,FALSE)</f>
        <v>0.06</v>
      </c>
      <c r="X180" s="230">
        <f>VLOOKUP(S180,'PREMIUM TABLES'!$F$199:$H$205,3,FALSE)</f>
        <v>3.5000000000000003E-2</v>
      </c>
      <c r="Y180" s="231">
        <f t="shared" si="22"/>
        <v>0.44499999999999995</v>
      </c>
      <c r="Z180" s="231" t="str" cm="1">
        <f t="array" ref="Z180">IF(AND(Y180&gt;0,Y180&lt;0.5),"C",IF(AND(Y180&gt;=0.5,Y180&lt;0.73),"B",IF(AND(Y180&gt;=0.73,Y180&lt;0.98),"A",NONE)))</f>
        <v>C</v>
      </c>
      <c r="AA180" s="231" t="str">
        <f>VLOOKUP(G180,'ALL (R)'!$N$5:$R$862,5,FALSE)</f>
        <v>R 9</v>
      </c>
      <c r="AB180" s="232">
        <f>VLOOKUP(AA180,FACTS!$B$2:$L$14,10,FALSE)</f>
        <v>53550</v>
      </c>
      <c r="AC180" s="232">
        <f>VLOOKUP(AA180,FACTS!$B$2:$L$14,11,FALSE)</f>
        <v>59850</v>
      </c>
      <c r="AD180" s="232">
        <f>VLOOKUP(AA180,FACTS!$B$2:$N$14,13,FALSE)</f>
        <v>6300</v>
      </c>
      <c r="AE180" s="232">
        <f t="shared" si="23"/>
        <v>2803.4999999999995</v>
      </c>
      <c r="AF180" s="232">
        <f t="shared" si="24"/>
        <v>56353.5</v>
      </c>
      <c r="AG180" s="232">
        <f>AF180*FACTS!$T$2</f>
        <v>18596.655000000002</v>
      </c>
      <c r="AH180" s="232">
        <f>Table1[[#This Row],[UNIT (BUILDING) RATE (SEMI FINISHED)]]+4500</f>
        <v>60853.5</v>
      </c>
      <c r="AI180" s="232">
        <f>Table1[[#This Row],[UNIT (BUILDING) RATE (SEMI FINISHED)]]+7500</f>
        <v>63853.5</v>
      </c>
      <c r="AJ180" s="232">
        <f t="shared" si="25"/>
        <v>7664076</v>
      </c>
      <c r="AK180" s="232">
        <f>Table1[[#This Row],[UNIT (BUILDING) RATE (BASIC FINISH)]]*Table1[[#This Row],[Unit Selling Area]]</f>
        <v>8276076</v>
      </c>
      <c r="AL180" s="232">
        <f>Table1[[#This Row],[UNIT (BUILDING) RATE (FULLY FINISH)]]*Table1[[#This Row],[Unit Selling Area]]</f>
        <v>8684076</v>
      </c>
      <c r="AM180" s="232">
        <f t="shared" si="26"/>
        <v>0</v>
      </c>
      <c r="AN180" s="232">
        <f>(AM180+AJ180)*FACTS!$S$2</f>
        <v>651446.46000000008</v>
      </c>
      <c r="AO180" s="101">
        <f>VLOOKUP(S180,FACTS!$A$17:$C$23,3,FALSE)</f>
        <v>2</v>
      </c>
      <c r="AP180" s="232">
        <f>VLOOKUP(AA180,FACTS!$B$2:$J$14,9,FALSE)</f>
        <v>252000</v>
      </c>
      <c r="AQ180" s="232">
        <f>Table1[[#This Row],[PARKING VALUE]]*1</f>
        <v>252000</v>
      </c>
      <c r="AR180" s="232">
        <f t="shared" si="20"/>
        <v>7916076</v>
      </c>
      <c r="AS180" s="440">
        <f>Table1[[#This Row],[TOTAL CARS VALUE]]+Table1[[#This Row],[UNIT (BUILDING) VALUE BASIC FINISHED]]+Table1[[#This Row],[UNIT (GARDEN) VALUE]]</f>
        <v>8528076</v>
      </c>
      <c r="AT180" s="232">
        <f>Table1[[#This Row],[TOTAL CARS VALUE]]+Table1[[#This Row],[UNIT (GARDEN) VALUE]]+Table1[[#This Row],[UNIT (BUILDING) VALUE FULLY FINISHED]]</f>
        <v>8936076</v>
      </c>
      <c r="AU180" s="233">
        <f>VLOOKUP(I180,'C PHASES'!$I$108:$J$110,2,FALSE)</f>
        <v>45839</v>
      </c>
      <c r="AV180" s="233">
        <f>VLOOKUP(AA180,'C PHASES'!$I$113:$J$125,2,FALSE)</f>
        <v>45931</v>
      </c>
    </row>
    <row r="181" spans="1:48" ht="15" customHeight="1" x14ac:dyDescent="0.25">
      <c r="A181" s="235" t="s">
        <v>31</v>
      </c>
      <c r="B181" s="227" t="str">
        <f t="shared" si="21"/>
        <v>B</v>
      </c>
      <c r="C181" s="227" t="s">
        <v>42</v>
      </c>
      <c r="D181" s="227" t="s">
        <v>1147</v>
      </c>
      <c r="E181" s="228">
        <v>0</v>
      </c>
      <c r="F181" s="101">
        <v>1</v>
      </c>
      <c r="G181" s="87" t="str">
        <f>LEFT(C181,2)&amp;E181&amp;F181</f>
        <v>B101</v>
      </c>
      <c r="H181" s="87" t="s">
        <v>1293</v>
      </c>
      <c r="I181" s="89" t="str">
        <f>VLOOKUP(C181,'PREMIUM TABLES'!$G$107:$H$149,2,FALSE)</f>
        <v>C1</v>
      </c>
      <c r="J181" s="87">
        <v>94.92</v>
      </c>
      <c r="K181" s="87">
        <v>105.12823941945527</v>
      </c>
      <c r="L181" s="87">
        <v>116</v>
      </c>
      <c r="M181" s="87">
        <v>62.601799999999997</v>
      </c>
      <c r="O181" s="87" t="s">
        <v>185</v>
      </c>
      <c r="P181" s="87" t="s">
        <v>190</v>
      </c>
      <c r="Q181" s="229" t="s">
        <v>198</v>
      </c>
      <c r="R181" s="87" t="str">
        <f>VLOOKUP(E181,'PREMIUM TABLES'!$F$214:$G$219,2,FALSE)</f>
        <v>GROUND</v>
      </c>
      <c r="S181" s="87" t="str" cm="1">
        <f t="array" ref="S181">IF(AND(L181&gt;0,L181&lt;90),"A",IF(AND(L181&gt;90,L181&lt;123),"B",IF(AND(L181&gt;122,L181&lt;159),"C",IF(AND(L181&gt;159,L181&lt;185),"D",IF(AND(L181&gt;185,L181&lt;230),"E",IF(AND(L181&gt;230,L181&lt;350),"F",NONE))))))</f>
        <v>B</v>
      </c>
      <c r="T181" s="230">
        <f>VLOOKUP(O181,'PREMIUM TABLES'!$G$165:$H$172,2,FALSE)</f>
        <v>0.06</v>
      </c>
      <c r="U181" s="230">
        <f>VLOOKUP(P181,'PREMIUM TABLES'!$G$208:$H$209,2,FALSE)</f>
        <v>2.5000000000000001E-2</v>
      </c>
      <c r="V181" s="230">
        <f>VLOOKUP(Q181,'PREMIUM TABLES'!$G$175:$H$195,2,FALSE)</f>
        <v>0.15</v>
      </c>
      <c r="W181" s="230">
        <f>VLOOKUP(R181,'PREMIUM TABLES'!$G$214:$H$219,2,FALSE)</f>
        <v>0.05</v>
      </c>
      <c r="X181" s="230">
        <f>VLOOKUP(S181,'PREMIUM TABLES'!$F$199:$H$205,3,FALSE)</f>
        <v>0.04</v>
      </c>
      <c r="Y181" s="231">
        <f t="shared" si="22"/>
        <v>0.32499999999999996</v>
      </c>
      <c r="Z181" s="231" t="str" cm="1">
        <f t="array" ref="Z181">IF(AND(Y181&gt;0,Y181&lt;0.5),"C",IF(AND(Y181&gt;=0.5,Y181&lt;0.73),"B",IF(AND(Y181&gt;=0.73,Y181&lt;0.98),"A",NONE)))</f>
        <v>C</v>
      </c>
      <c r="AA181" s="231" t="str">
        <f>VLOOKUP(G181,'ALL (R)'!$N$5:$R$862,5,FALSE)</f>
        <v>R 1</v>
      </c>
      <c r="AB181" s="232">
        <f>VLOOKUP(AA181,FACTS!$B$2:$L$14,10,FALSE)</f>
        <v>42500</v>
      </c>
      <c r="AC181" s="232">
        <f>VLOOKUP(AA181,FACTS!$B$2:$L$14,11,FALSE)</f>
        <v>47500</v>
      </c>
      <c r="AD181" s="232">
        <f>VLOOKUP(AA181,FACTS!$B$2:$N$14,13,FALSE)</f>
        <v>5000</v>
      </c>
      <c r="AE181" s="232">
        <f t="shared" si="23"/>
        <v>1624.9999999999998</v>
      </c>
      <c r="AF181" s="232">
        <f t="shared" si="24"/>
        <v>44125</v>
      </c>
      <c r="AG181" s="232">
        <f>AF181*FACTS!$T$2</f>
        <v>14561.25</v>
      </c>
      <c r="AH181" s="232">
        <f>Table1[[#This Row],[UNIT (BUILDING) RATE (SEMI FINISHED)]]+4500</f>
        <v>48625</v>
      </c>
      <c r="AI181" s="232">
        <f>Table1[[#This Row],[UNIT (BUILDING) RATE (SEMI FINISHED)]]+7500</f>
        <v>51625</v>
      </c>
      <c r="AJ181" s="232">
        <f t="shared" si="25"/>
        <v>5118500</v>
      </c>
      <c r="AK181" s="232">
        <f>Table1[[#This Row],[UNIT (BUILDING) RATE (BASIC FINISH)]]*Table1[[#This Row],[Unit Selling Area]]</f>
        <v>5640500</v>
      </c>
      <c r="AL181" s="232">
        <f>Table1[[#This Row],[UNIT (BUILDING) RATE (FULLY FINISH)]]*Table1[[#This Row],[Unit Selling Area]]</f>
        <v>5988500</v>
      </c>
      <c r="AM181" s="232">
        <f t="shared" si="26"/>
        <v>911560.46025</v>
      </c>
      <c r="AN181" s="232">
        <f>(AM181+AJ181)*FACTS!$S$2</f>
        <v>512555.13912125002</v>
      </c>
      <c r="AO181" s="101">
        <f>VLOOKUP(S181,FACTS!$A$17:$C$23,3,FALSE)</f>
        <v>1</v>
      </c>
      <c r="AP181" s="232">
        <f>VLOOKUP(AA181,FACTS!$B$2:$J$14,9,FALSE)</f>
        <v>200000</v>
      </c>
      <c r="AQ181" s="232">
        <f>Table1[[#This Row],[PARKING VALUE]]*1</f>
        <v>200000</v>
      </c>
      <c r="AR181" s="232">
        <f t="shared" si="20"/>
        <v>6230060.4602499995</v>
      </c>
      <c r="AS181" s="440">
        <f>Table1[[#This Row],[TOTAL CARS VALUE]]+Table1[[#This Row],[UNIT (BUILDING) VALUE BASIC FINISHED]]+Table1[[#This Row],[UNIT (GARDEN) VALUE]]</f>
        <v>6752060.4602499995</v>
      </c>
      <c r="AT181" s="232">
        <f>Table1[[#This Row],[TOTAL CARS VALUE]]+Table1[[#This Row],[UNIT (GARDEN) VALUE]]+Table1[[#This Row],[UNIT (BUILDING) VALUE FULLY FINISHED]]</f>
        <v>7100060.4602499995</v>
      </c>
      <c r="AU181" s="233">
        <f>VLOOKUP(I181,'C PHASES'!$I$108:$J$110,2,FALSE)</f>
        <v>45839</v>
      </c>
      <c r="AV181" s="233">
        <f>VLOOKUP(AA181,'C PHASES'!$I$113:$J$125,2,FALSE)</f>
        <v>45170</v>
      </c>
    </row>
    <row r="182" spans="1:48" ht="15" customHeight="1" x14ac:dyDescent="0.25">
      <c r="A182" s="235"/>
      <c r="B182" s="227" t="str">
        <f t="shared" si="21"/>
        <v>B</v>
      </c>
      <c r="C182" s="227" t="s">
        <v>42</v>
      </c>
      <c r="D182" s="227" t="s">
        <v>1147</v>
      </c>
      <c r="E182" s="228">
        <v>0</v>
      </c>
      <c r="F182" s="101">
        <v>2</v>
      </c>
      <c r="G182" s="87" t="str">
        <f t="shared" ref="G182:G200" si="29">LEFT(C182,2)&amp;E182&amp;F182</f>
        <v>B102</v>
      </c>
      <c r="H182" s="87" t="s">
        <v>1294</v>
      </c>
      <c r="I182" s="89" t="str">
        <f>VLOOKUP(C182,'PREMIUM TABLES'!$G$107:$H$149,2,FALSE)</f>
        <v>C1</v>
      </c>
      <c r="J182" s="87">
        <v>163.35</v>
      </c>
      <c r="K182" s="87">
        <v>180.91759280623702</v>
      </c>
      <c r="L182" s="87">
        <v>199</v>
      </c>
      <c r="M182" s="87">
        <v>76.321799999999996</v>
      </c>
      <c r="O182" s="87" t="s">
        <v>184</v>
      </c>
      <c r="P182" s="87" t="s">
        <v>190</v>
      </c>
      <c r="Q182" s="229" t="s">
        <v>209</v>
      </c>
      <c r="R182" s="87" t="str">
        <f>VLOOKUP(E182,'PREMIUM TABLES'!$F$214:$G$219,2,FALSE)</f>
        <v>GROUND</v>
      </c>
      <c r="S182" s="87" t="str" cm="1">
        <f t="array" ref="S182">IF(AND(L182&gt;0,L182&lt;90),"A",IF(AND(L182&gt;90,L182&lt;123),"B",IF(AND(L182&gt;122,L182&lt;159),"C",IF(AND(L182&gt;159,L182&lt;185),"D",IF(AND(L182&gt;185,L182&lt;230),"E",IF(AND(L182&gt;230,L182&lt;350),"F",NONE))))))</f>
        <v>E</v>
      </c>
      <c r="T182" s="230">
        <f>VLOOKUP(O182,'PREMIUM TABLES'!$G$165:$H$172,2,FALSE)</f>
        <v>0.15</v>
      </c>
      <c r="U182" s="230">
        <f>VLOOKUP(P182,'PREMIUM TABLES'!$G$208:$H$209,2,FALSE)</f>
        <v>2.5000000000000001E-2</v>
      </c>
      <c r="V182" s="230">
        <f>VLOOKUP(Q182,'PREMIUM TABLES'!$G$175:$H$195,2,FALSE)</f>
        <v>0.6</v>
      </c>
      <c r="W182" s="230">
        <f>VLOOKUP(R182,'PREMIUM TABLES'!$G$214:$H$219,2,FALSE)</f>
        <v>0.05</v>
      </c>
      <c r="X182" s="230">
        <f>VLOOKUP(S182,'PREMIUM TABLES'!$F$199:$H$205,3,FALSE)</f>
        <v>1.4999999999999999E-2</v>
      </c>
      <c r="Y182" s="231">
        <f t="shared" si="22"/>
        <v>0.84</v>
      </c>
      <c r="Z182" s="231" t="str" cm="1">
        <f t="array" ref="Z182">IF(AND(Y182&gt;0,Y182&lt;0.5),"C",IF(AND(Y182&gt;=0.5,Y182&lt;0.73),"B",IF(AND(Y182&gt;=0.73,Y182&lt;0.98),"A",NONE)))</f>
        <v>A</v>
      </c>
      <c r="AA182" s="231" t="str">
        <f>VLOOKUP(G182,'ALL (R)'!$N$5:$R$862,5,FALSE)</f>
        <v>R 8</v>
      </c>
      <c r="AB182" s="232">
        <f>VLOOKUP(AA182,FACTS!$B$2:$L$14,10,FALSE)</f>
        <v>51850</v>
      </c>
      <c r="AC182" s="232">
        <f>VLOOKUP(AA182,FACTS!$B$2:$L$14,11,FALSE)</f>
        <v>57950</v>
      </c>
      <c r="AD182" s="232">
        <f>VLOOKUP(AA182,FACTS!$B$2:$N$14,13,FALSE)</f>
        <v>6100</v>
      </c>
      <c r="AE182" s="232">
        <f t="shared" si="23"/>
        <v>5124</v>
      </c>
      <c r="AF182" s="232">
        <f t="shared" si="24"/>
        <v>56974</v>
      </c>
      <c r="AG182" s="232">
        <f>AF182*FACTS!$T$2</f>
        <v>18801.420000000002</v>
      </c>
      <c r="AH182" s="232">
        <f>Table1[[#This Row],[UNIT (BUILDING) RATE (SEMI FINISHED)]]+4500</f>
        <v>61474</v>
      </c>
      <c r="AI182" s="232">
        <f>Table1[[#This Row],[UNIT (BUILDING) RATE (SEMI FINISHED)]]+7500</f>
        <v>64474</v>
      </c>
      <c r="AJ182" s="232">
        <f t="shared" si="25"/>
        <v>11337826</v>
      </c>
      <c r="AK182" s="232">
        <f>Table1[[#This Row],[UNIT (BUILDING) RATE (BASIC FINISH)]]*Table1[[#This Row],[Unit Selling Area]]</f>
        <v>12233326</v>
      </c>
      <c r="AL182" s="232">
        <f>Table1[[#This Row],[UNIT (BUILDING) RATE (FULLY FINISH)]]*Table1[[#This Row],[Unit Selling Area]]</f>
        <v>12830326</v>
      </c>
      <c r="AM182" s="232">
        <f t="shared" si="26"/>
        <v>1434958.2169560001</v>
      </c>
      <c r="AN182" s="232">
        <f>(AM182+AJ182)*FACTS!$S$2</f>
        <v>1085686.6584412602</v>
      </c>
      <c r="AO182" s="101">
        <f>VLOOKUP(S182,FACTS!$A$17:$C$23,3,FALSE)</f>
        <v>2</v>
      </c>
      <c r="AP182" s="232">
        <f>VLOOKUP(AA182,FACTS!$B$2:$J$14,9,FALSE)</f>
        <v>244000</v>
      </c>
      <c r="AQ182" s="232">
        <f>Table1[[#This Row],[PARKING VALUE]]*1</f>
        <v>244000</v>
      </c>
      <c r="AR182" s="232">
        <f t="shared" si="20"/>
        <v>13016784.216956001</v>
      </c>
      <c r="AS182" s="440">
        <f>Table1[[#This Row],[TOTAL CARS VALUE]]+Table1[[#This Row],[UNIT (BUILDING) VALUE BASIC FINISHED]]+Table1[[#This Row],[UNIT (GARDEN) VALUE]]</f>
        <v>13912284.216956001</v>
      </c>
      <c r="AT182" s="232">
        <f>Table1[[#This Row],[TOTAL CARS VALUE]]+Table1[[#This Row],[UNIT (GARDEN) VALUE]]+Table1[[#This Row],[UNIT (BUILDING) VALUE FULLY FINISHED]]</f>
        <v>14509284.216956001</v>
      </c>
      <c r="AU182" s="233">
        <f>VLOOKUP(I182,'C PHASES'!$I$108:$J$110,2,FALSE)</f>
        <v>45839</v>
      </c>
      <c r="AV182" s="233">
        <f>VLOOKUP(AA182,'C PHASES'!$I$113:$J$125,2,FALSE)</f>
        <v>45839</v>
      </c>
    </row>
    <row r="183" spans="1:48" ht="15" customHeight="1" x14ac:dyDescent="0.25">
      <c r="A183" s="235"/>
      <c r="B183" s="227" t="str">
        <f t="shared" si="21"/>
        <v>B</v>
      </c>
      <c r="C183" s="227" t="s">
        <v>42</v>
      </c>
      <c r="D183" s="227" t="s">
        <v>1147</v>
      </c>
      <c r="E183" s="228">
        <v>0</v>
      </c>
      <c r="F183" s="101">
        <v>3</v>
      </c>
      <c r="G183" s="87" t="str">
        <f t="shared" si="29"/>
        <v>B103</v>
      </c>
      <c r="H183" s="87" t="s">
        <v>1295</v>
      </c>
      <c r="I183" s="89" t="str">
        <f>VLOOKUP(C183,'PREMIUM TABLES'!$G$107:$H$149,2,FALSE)</f>
        <v>C1</v>
      </c>
      <c r="J183" s="87">
        <v>183.89</v>
      </c>
      <c r="K183" s="87">
        <v>203.66658182515411</v>
      </c>
      <c r="L183" s="87">
        <v>224</v>
      </c>
      <c r="M183" s="87">
        <v>61.571399999999997</v>
      </c>
      <c r="O183" s="87" t="s">
        <v>184</v>
      </c>
      <c r="P183" s="87" t="s">
        <v>226</v>
      </c>
      <c r="Q183" s="229" t="s">
        <v>209</v>
      </c>
      <c r="R183" s="87" t="str">
        <f>VLOOKUP(E183,'PREMIUM TABLES'!$F$214:$G$219,2,FALSE)</f>
        <v>GROUND</v>
      </c>
      <c r="S183" s="87" t="str" cm="1">
        <f t="array" ref="S183">IF(AND(L183&gt;0,L183&lt;90),"A",IF(AND(L183&gt;90,L183&lt;123),"B",IF(AND(L183&gt;122,L183&lt;159),"C",IF(AND(L183&gt;159,L183&lt;185),"D",IF(AND(L183&gt;185,L183&lt;230),"E",IF(AND(L183&gt;230,L183&lt;350),"F",NONE))))))</f>
        <v>E</v>
      </c>
      <c r="T183" s="230">
        <f>VLOOKUP(O183,'PREMIUM TABLES'!$G$165:$H$172,2,FALSE)</f>
        <v>0.15</v>
      </c>
      <c r="U183" s="230">
        <f>VLOOKUP(P183,'PREMIUM TABLES'!$G$208:$H$209,2,FALSE)</f>
        <v>0.05</v>
      </c>
      <c r="V183" s="230">
        <f>VLOOKUP(Q183,'PREMIUM TABLES'!$G$175:$H$195,2,FALSE)</f>
        <v>0.6</v>
      </c>
      <c r="W183" s="230">
        <f>VLOOKUP(R183,'PREMIUM TABLES'!$G$214:$H$219,2,FALSE)</f>
        <v>0.05</v>
      </c>
      <c r="X183" s="230">
        <f>VLOOKUP(S183,'PREMIUM TABLES'!$F$199:$H$205,3,FALSE)</f>
        <v>1.4999999999999999E-2</v>
      </c>
      <c r="Y183" s="231">
        <f t="shared" si="22"/>
        <v>0.8650000000000001</v>
      </c>
      <c r="Z183" s="231" t="str" cm="1">
        <f t="array" ref="Z183">IF(AND(Y183&gt;0,Y183&lt;0.5),"C",IF(AND(Y183&gt;=0.5,Y183&lt;0.73),"B",IF(AND(Y183&gt;=0.73,Y183&lt;0.98),"A",NONE)))</f>
        <v>A</v>
      </c>
      <c r="AA183" s="231" t="str">
        <f>VLOOKUP(G183,'ALL (R)'!$N$5:$R$862,5,FALSE)</f>
        <v>R 9</v>
      </c>
      <c r="AB183" s="232">
        <f>VLOOKUP(AA183,FACTS!$B$2:$L$14,10,FALSE)</f>
        <v>53550</v>
      </c>
      <c r="AC183" s="232">
        <f>VLOOKUP(AA183,FACTS!$B$2:$L$14,11,FALSE)</f>
        <v>59850</v>
      </c>
      <c r="AD183" s="232">
        <f>VLOOKUP(AA183,FACTS!$B$2:$N$14,13,FALSE)</f>
        <v>6300</v>
      </c>
      <c r="AE183" s="232">
        <f t="shared" si="23"/>
        <v>5449.5000000000009</v>
      </c>
      <c r="AF183" s="232">
        <f t="shared" si="24"/>
        <v>58999.5</v>
      </c>
      <c r="AG183" s="232">
        <f>AF183*FACTS!$T$2</f>
        <v>19469.834999999999</v>
      </c>
      <c r="AH183" s="232">
        <f>Table1[[#This Row],[UNIT (BUILDING) RATE (SEMI FINISHED)]]+4500</f>
        <v>63499.5</v>
      </c>
      <c r="AI183" s="232">
        <f>Table1[[#This Row],[UNIT (BUILDING) RATE (SEMI FINISHED)]]+7500</f>
        <v>66499.5</v>
      </c>
      <c r="AJ183" s="232">
        <f t="shared" si="25"/>
        <v>13215888</v>
      </c>
      <c r="AK183" s="232">
        <f>Table1[[#This Row],[UNIT (BUILDING) RATE (BASIC FINISH)]]*Table1[[#This Row],[Unit Selling Area]]</f>
        <v>14223888</v>
      </c>
      <c r="AL183" s="232">
        <f>Table1[[#This Row],[UNIT (BUILDING) RATE (FULLY FINISH)]]*Table1[[#This Row],[Unit Selling Area]]</f>
        <v>14895888</v>
      </c>
      <c r="AM183" s="232">
        <f t="shared" si="26"/>
        <v>1198784.9987189998</v>
      </c>
      <c r="AN183" s="232">
        <f>(AM183+AJ183)*FACTS!$S$2</f>
        <v>1225247.204891115</v>
      </c>
      <c r="AO183" s="101">
        <f>VLOOKUP(S183,FACTS!$A$17:$C$23,3,FALSE)</f>
        <v>2</v>
      </c>
      <c r="AP183" s="232">
        <f>VLOOKUP(AA183,FACTS!$B$2:$J$14,9,FALSE)</f>
        <v>252000</v>
      </c>
      <c r="AQ183" s="232">
        <f>Table1[[#This Row],[PARKING VALUE]]*1</f>
        <v>252000</v>
      </c>
      <c r="AR183" s="232">
        <f t="shared" si="20"/>
        <v>14666672.998718999</v>
      </c>
      <c r="AS183" s="440">
        <f>Table1[[#This Row],[TOTAL CARS VALUE]]+Table1[[#This Row],[UNIT (BUILDING) VALUE BASIC FINISHED]]+Table1[[#This Row],[UNIT (GARDEN) VALUE]]</f>
        <v>15674672.998718999</v>
      </c>
      <c r="AT183" s="232">
        <f>Table1[[#This Row],[TOTAL CARS VALUE]]+Table1[[#This Row],[UNIT (GARDEN) VALUE]]+Table1[[#This Row],[UNIT (BUILDING) VALUE FULLY FINISHED]]</f>
        <v>16346672.998718999</v>
      </c>
      <c r="AU183" s="233">
        <f>VLOOKUP(I183,'C PHASES'!$I$108:$J$110,2,FALSE)</f>
        <v>45839</v>
      </c>
      <c r="AV183" s="233">
        <f>VLOOKUP(AA183,'C PHASES'!$I$113:$J$125,2,FALSE)</f>
        <v>45931</v>
      </c>
    </row>
    <row r="184" spans="1:48" ht="15" customHeight="1" x14ac:dyDescent="0.25">
      <c r="A184" s="235"/>
      <c r="B184" s="227" t="str">
        <f t="shared" si="21"/>
        <v>B</v>
      </c>
      <c r="C184" s="227" t="s">
        <v>42</v>
      </c>
      <c r="D184" s="227" t="s">
        <v>1147</v>
      </c>
      <c r="E184" s="228">
        <v>0</v>
      </c>
      <c r="F184" s="101">
        <v>4</v>
      </c>
      <c r="G184" s="87" t="str">
        <f t="shared" si="29"/>
        <v>B104</v>
      </c>
      <c r="H184" s="87" t="s">
        <v>1294</v>
      </c>
      <c r="I184" s="89" t="str">
        <f>VLOOKUP(C184,'PREMIUM TABLES'!$G$107:$H$149,2,FALSE)</f>
        <v>C1</v>
      </c>
      <c r="J184" s="87">
        <v>144.21</v>
      </c>
      <c r="K184" s="87">
        <v>159.71916779055672</v>
      </c>
      <c r="L184" s="87">
        <v>176</v>
      </c>
      <c r="M184" s="87">
        <v>83.296199999999999</v>
      </c>
      <c r="O184" s="87" t="s">
        <v>185</v>
      </c>
      <c r="P184" s="87" t="s">
        <v>226</v>
      </c>
      <c r="Q184" s="229" t="s">
        <v>198</v>
      </c>
      <c r="R184" s="87" t="str">
        <f>VLOOKUP(E184,'PREMIUM TABLES'!$F$214:$G$219,2,FALSE)</f>
        <v>GROUND</v>
      </c>
      <c r="S184" s="87" t="str" cm="1">
        <f t="array" ref="S184">IF(AND(L184&gt;0,L184&lt;90),"A",IF(AND(L184&gt;90,L184&lt;123),"B",IF(AND(L184&gt;122,L184&lt;159),"C",IF(AND(L184&gt;159,L184&lt;185),"D",IF(AND(L184&gt;185,L184&lt;230),"E",IF(AND(L184&gt;230,L184&lt;350),"F",NONE))))))</f>
        <v>D</v>
      </c>
      <c r="T184" s="230">
        <f>VLOOKUP(O184,'PREMIUM TABLES'!$G$165:$H$172,2,FALSE)</f>
        <v>0.06</v>
      </c>
      <c r="U184" s="230">
        <f>VLOOKUP(P184,'PREMIUM TABLES'!$G$208:$H$209,2,FALSE)</f>
        <v>0.05</v>
      </c>
      <c r="V184" s="230">
        <f>VLOOKUP(Q184,'PREMIUM TABLES'!$G$175:$H$195,2,FALSE)</f>
        <v>0.15</v>
      </c>
      <c r="W184" s="230">
        <f>VLOOKUP(R184,'PREMIUM TABLES'!$G$214:$H$219,2,FALSE)</f>
        <v>0.05</v>
      </c>
      <c r="X184" s="230">
        <f>VLOOKUP(S184,'PREMIUM TABLES'!$F$199:$H$205,3,FALSE)</f>
        <v>2.5000000000000001E-2</v>
      </c>
      <c r="Y184" s="231">
        <f t="shared" si="22"/>
        <v>0.33500000000000002</v>
      </c>
      <c r="Z184" s="231" t="str" cm="1">
        <f t="array" ref="Z184">IF(AND(Y184&gt;0,Y184&lt;0.5),"C",IF(AND(Y184&gt;=0.5,Y184&lt;0.73),"B",IF(AND(Y184&gt;=0.73,Y184&lt;0.98),"A",NONE)))</f>
        <v>C</v>
      </c>
      <c r="AA184" s="231" t="str">
        <f>VLOOKUP(G184,'ALL (R)'!$N$5:$R$862,5,FALSE)</f>
        <v>R 1</v>
      </c>
      <c r="AB184" s="232">
        <f>VLOOKUP(AA184,FACTS!$B$2:$L$14,10,FALSE)</f>
        <v>42500</v>
      </c>
      <c r="AC184" s="232">
        <f>VLOOKUP(AA184,FACTS!$B$2:$L$14,11,FALSE)</f>
        <v>47500</v>
      </c>
      <c r="AD184" s="232">
        <f>VLOOKUP(AA184,FACTS!$B$2:$N$14,13,FALSE)</f>
        <v>5000</v>
      </c>
      <c r="AE184" s="232">
        <f t="shared" si="23"/>
        <v>1675</v>
      </c>
      <c r="AF184" s="232">
        <f t="shared" si="24"/>
        <v>44175</v>
      </c>
      <c r="AG184" s="232">
        <f>AF184*FACTS!$T$2</f>
        <v>14577.75</v>
      </c>
      <c r="AH184" s="232">
        <f>Table1[[#This Row],[UNIT (BUILDING) RATE (SEMI FINISHED)]]+4500</f>
        <v>48675</v>
      </c>
      <c r="AI184" s="232">
        <f>Table1[[#This Row],[UNIT (BUILDING) RATE (SEMI FINISHED)]]+7500</f>
        <v>51675</v>
      </c>
      <c r="AJ184" s="232">
        <f t="shared" si="25"/>
        <v>7774800</v>
      </c>
      <c r="AK184" s="232">
        <f>Table1[[#This Row],[UNIT (BUILDING) RATE (BASIC FINISH)]]*Table1[[#This Row],[Unit Selling Area]]</f>
        <v>8566800</v>
      </c>
      <c r="AL184" s="232">
        <f>Table1[[#This Row],[UNIT (BUILDING) RATE (FULLY FINISH)]]*Table1[[#This Row],[Unit Selling Area]]</f>
        <v>9094800</v>
      </c>
      <c r="AM184" s="232">
        <f t="shared" si="26"/>
        <v>1214271.17955</v>
      </c>
      <c r="AN184" s="232">
        <f>(AM184+AJ184)*FACTS!$S$2</f>
        <v>764071.05026175</v>
      </c>
      <c r="AO184" s="101">
        <f>VLOOKUP(S184,FACTS!$A$17:$C$23,3,FALSE)</f>
        <v>2</v>
      </c>
      <c r="AP184" s="232">
        <f>VLOOKUP(AA184,FACTS!$B$2:$J$14,9,FALSE)</f>
        <v>200000</v>
      </c>
      <c r="AQ184" s="232">
        <f>Table1[[#This Row],[PARKING VALUE]]*1</f>
        <v>200000</v>
      </c>
      <c r="AR184" s="232">
        <f t="shared" si="20"/>
        <v>9189071.1795499995</v>
      </c>
      <c r="AS184" s="440">
        <f>Table1[[#This Row],[TOTAL CARS VALUE]]+Table1[[#This Row],[UNIT (BUILDING) VALUE BASIC FINISHED]]+Table1[[#This Row],[UNIT (GARDEN) VALUE]]</f>
        <v>9981071.1795499995</v>
      </c>
      <c r="AT184" s="232">
        <f>Table1[[#This Row],[TOTAL CARS VALUE]]+Table1[[#This Row],[UNIT (GARDEN) VALUE]]+Table1[[#This Row],[UNIT (BUILDING) VALUE FULLY FINISHED]]</f>
        <v>10509071.17955</v>
      </c>
      <c r="AU184" s="233">
        <f>VLOOKUP(I184,'C PHASES'!$I$108:$J$110,2,FALSE)</f>
        <v>45839</v>
      </c>
      <c r="AV184" s="233">
        <f>VLOOKUP(AA184,'C PHASES'!$I$113:$J$125,2,FALSE)</f>
        <v>45170</v>
      </c>
    </row>
    <row r="185" spans="1:48" ht="15" customHeight="1" x14ac:dyDescent="0.25">
      <c r="A185" s="235"/>
      <c r="B185" s="227" t="str">
        <f t="shared" si="21"/>
        <v>B</v>
      </c>
      <c r="C185" s="227" t="s">
        <v>42</v>
      </c>
      <c r="D185" s="227" t="s">
        <v>1147</v>
      </c>
      <c r="E185" s="228">
        <v>1</v>
      </c>
      <c r="F185" s="101">
        <v>1</v>
      </c>
      <c r="G185" s="87" t="str">
        <f t="shared" si="29"/>
        <v>B111</v>
      </c>
      <c r="H185" s="87" t="s">
        <v>1293</v>
      </c>
      <c r="I185" s="89" t="str">
        <f>VLOOKUP(C185,'PREMIUM TABLES'!$G$107:$H$149,2,FALSE)</f>
        <v>C1</v>
      </c>
      <c r="J185" s="87">
        <v>96.29</v>
      </c>
      <c r="K185" s="87">
        <v>106.64557705119415</v>
      </c>
      <c r="L185" s="87">
        <v>117</v>
      </c>
      <c r="O185" s="87" t="s">
        <v>185</v>
      </c>
      <c r="P185" s="87" t="s">
        <v>190</v>
      </c>
      <c r="Q185" s="229" t="s">
        <v>198</v>
      </c>
      <c r="R185" s="87" t="str">
        <f>VLOOKUP(E185,'PREMIUM TABLES'!$F$214:$G$219,2,FALSE)</f>
        <v>FIRST</v>
      </c>
      <c r="S185" s="87" t="str" cm="1">
        <f t="array" ref="S185">IF(AND(L185&gt;0,L185&lt;90),"A",IF(AND(L185&gt;90,L185&lt;123),"B",IF(AND(L185&gt;122,L185&lt;159),"C",IF(AND(L185&gt;159,L185&lt;185),"D",IF(AND(L185&gt;185,L185&lt;230),"E",IF(AND(L185&gt;230,L185&lt;350),"F",NONE))))))</f>
        <v>B</v>
      </c>
      <c r="T185" s="230">
        <f>VLOOKUP(O185,'PREMIUM TABLES'!$G$165:$H$172,2,FALSE)</f>
        <v>0.06</v>
      </c>
      <c r="U185" s="230">
        <f>VLOOKUP(P185,'PREMIUM TABLES'!$G$208:$H$209,2,FALSE)</f>
        <v>2.5000000000000001E-2</v>
      </c>
      <c r="V185" s="230">
        <f>VLOOKUP(Q185,'PREMIUM TABLES'!$G$175:$H$195,2,FALSE)</f>
        <v>0.15</v>
      </c>
      <c r="W185" s="230">
        <f>VLOOKUP(R185,'PREMIUM TABLES'!$G$214:$H$219,2,FALSE)</f>
        <v>7.0000000000000007E-2</v>
      </c>
      <c r="X185" s="230">
        <f>VLOOKUP(S185,'PREMIUM TABLES'!$F$199:$H$205,3,FALSE)</f>
        <v>0.04</v>
      </c>
      <c r="Y185" s="231">
        <f t="shared" si="22"/>
        <v>0.34499999999999997</v>
      </c>
      <c r="Z185" s="231" t="str" cm="1">
        <f t="array" ref="Z185">IF(AND(Y185&gt;0,Y185&lt;0.5),"C",IF(AND(Y185&gt;=0.5,Y185&lt;0.73),"B",IF(AND(Y185&gt;=0.73,Y185&lt;0.98),"A",NONE)))</f>
        <v>C</v>
      </c>
      <c r="AA185" s="231" t="str">
        <f>VLOOKUP(G185,'ALL (R)'!$N$5:$R$862,5,FALSE)</f>
        <v>R 1</v>
      </c>
      <c r="AB185" s="232">
        <f>VLOOKUP(AA185,FACTS!$B$2:$L$14,10,FALSE)</f>
        <v>42500</v>
      </c>
      <c r="AC185" s="232">
        <f>VLOOKUP(AA185,FACTS!$B$2:$L$14,11,FALSE)</f>
        <v>47500</v>
      </c>
      <c r="AD185" s="232">
        <f>VLOOKUP(AA185,FACTS!$B$2:$N$14,13,FALSE)</f>
        <v>5000</v>
      </c>
      <c r="AE185" s="232">
        <f t="shared" si="23"/>
        <v>1724.9999999999998</v>
      </c>
      <c r="AF185" s="232">
        <f t="shared" si="24"/>
        <v>44225</v>
      </c>
      <c r="AG185" s="232">
        <f>AF185*FACTS!$T$2</f>
        <v>14594.25</v>
      </c>
      <c r="AH185" s="232">
        <f>Table1[[#This Row],[UNIT (BUILDING) RATE (SEMI FINISHED)]]+4500</f>
        <v>48725</v>
      </c>
      <c r="AI185" s="232">
        <f>Table1[[#This Row],[UNIT (BUILDING) RATE (SEMI FINISHED)]]+7500</f>
        <v>51725</v>
      </c>
      <c r="AJ185" s="232">
        <f t="shared" si="25"/>
        <v>5174325</v>
      </c>
      <c r="AK185" s="232">
        <f>Table1[[#This Row],[UNIT (BUILDING) RATE (BASIC FINISH)]]*Table1[[#This Row],[Unit Selling Area]]</f>
        <v>5700825</v>
      </c>
      <c r="AL185" s="232">
        <f>Table1[[#This Row],[UNIT (BUILDING) RATE (FULLY FINISH)]]*Table1[[#This Row],[Unit Selling Area]]</f>
        <v>6051825</v>
      </c>
      <c r="AM185" s="232">
        <f t="shared" si="26"/>
        <v>0</v>
      </c>
      <c r="AN185" s="232">
        <f>(AM185+AJ185)*FACTS!$S$2</f>
        <v>439817.62500000006</v>
      </c>
      <c r="AO185" s="101">
        <f>VLOOKUP(S185,FACTS!$A$17:$C$23,3,FALSE)</f>
        <v>1</v>
      </c>
      <c r="AP185" s="232">
        <f>VLOOKUP(AA185,FACTS!$B$2:$J$14,9,FALSE)</f>
        <v>200000</v>
      </c>
      <c r="AQ185" s="232">
        <f>Table1[[#This Row],[PARKING VALUE]]*1</f>
        <v>200000</v>
      </c>
      <c r="AR185" s="232">
        <f t="shared" si="20"/>
        <v>5374325</v>
      </c>
      <c r="AS185" s="440">
        <f>Table1[[#This Row],[TOTAL CARS VALUE]]+Table1[[#This Row],[UNIT (BUILDING) VALUE BASIC FINISHED]]+Table1[[#This Row],[UNIT (GARDEN) VALUE]]</f>
        <v>5900825</v>
      </c>
      <c r="AT185" s="232">
        <f>Table1[[#This Row],[TOTAL CARS VALUE]]+Table1[[#This Row],[UNIT (GARDEN) VALUE]]+Table1[[#This Row],[UNIT (BUILDING) VALUE FULLY FINISHED]]</f>
        <v>6251825</v>
      </c>
      <c r="AU185" s="233">
        <f>VLOOKUP(I185,'C PHASES'!$I$108:$J$110,2,FALSE)</f>
        <v>45839</v>
      </c>
      <c r="AV185" s="233">
        <f>VLOOKUP(AA185,'C PHASES'!$I$113:$J$125,2,FALSE)</f>
        <v>45170</v>
      </c>
    </row>
    <row r="186" spans="1:48" ht="15" customHeight="1" x14ac:dyDescent="0.25">
      <c r="A186" s="235"/>
      <c r="B186" s="227" t="str">
        <f t="shared" si="21"/>
        <v>B</v>
      </c>
      <c r="C186" s="227" t="s">
        <v>42</v>
      </c>
      <c r="D186" s="227" t="s">
        <v>1147</v>
      </c>
      <c r="E186" s="228">
        <v>1</v>
      </c>
      <c r="F186" s="101">
        <v>2</v>
      </c>
      <c r="G186" s="87" t="str">
        <f t="shared" si="29"/>
        <v>B112</v>
      </c>
      <c r="H186" s="87" t="s">
        <v>1294</v>
      </c>
      <c r="I186" s="89" t="str">
        <f>VLOOKUP(C186,'PREMIUM TABLES'!$G$107:$H$149,2,FALSE)</f>
        <v>C1</v>
      </c>
      <c r="J186" s="87">
        <v>163.05000000000001</v>
      </c>
      <c r="K186" s="87">
        <v>180.58532909125773</v>
      </c>
      <c r="L186" s="87">
        <v>199</v>
      </c>
      <c r="O186" s="87" t="s">
        <v>184</v>
      </c>
      <c r="P186" s="87" t="s">
        <v>190</v>
      </c>
      <c r="Q186" s="229" t="s">
        <v>209</v>
      </c>
      <c r="R186" s="87" t="str">
        <f>VLOOKUP(E186,'PREMIUM TABLES'!$F$214:$G$219,2,FALSE)</f>
        <v>FIRST</v>
      </c>
      <c r="S186" s="87" t="str" cm="1">
        <f t="array" ref="S186">IF(AND(L186&gt;0,L186&lt;90),"A",IF(AND(L186&gt;90,L186&lt;123),"B",IF(AND(L186&gt;122,L186&lt;159),"C",IF(AND(L186&gt;159,L186&lt;185),"D",IF(AND(L186&gt;185,L186&lt;230),"E",IF(AND(L186&gt;230,L186&lt;350),"F",NONE))))))</f>
        <v>E</v>
      </c>
      <c r="T186" s="230">
        <f>VLOOKUP(O186,'PREMIUM TABLES'!$G$165:$H$172,2,FALSE)</f>
        <v>0.15</v>
      </c>
      <c r="U186" s="230">
        <f>VLOOKUP(P186,'PREMIUM TABLES'!$G$208:$H$209,2,FALSE)</f>
        <v>2.5000000000000001E-2</v>
      </c>
      <c r="V186" s="230">
        <f>VLOOKUP(Q186,'PREMIUM TABLES'!$G$175:$H$195,2,FALSE)</f>
        <v>0.6</v>
      </c>
      <c r="W186" s="230">
        <f>VLOOKUP(R186,'PREMIUM TABLES'!$G$214:$H$219,2,FALSE)</f>
        <v>7.0000000000000007E-2</v>
      </c>
      <c r="X186" s="230">
        <f>VLOOKUP(S186,'PREMIUM TABLES'!$F$199:$H$205,3,FALSE)</f>
        <v>1.4999999999999999E-2</v>
      </c>
      <c r="Y186" s="231">
        <f t="shared" si="22"/>
        <v>0.86</v>
      </c>
      <c r="Z186" s="231" t="str" cm="1">
        <f t="array" ref="Z186">IF(AND(Y186&gt;0,Y186&lt;0.5),"C",IF(AND(Y186&gt;=0.5,Y186&lt;0.73),"B",IF(AND(Y186&gt;=0.73,Y186&lt;0.98),"A",NONE)))</f>
        <v>A</v>
      </c>
      <c r="AA186" s="231" t="str">
        <f>VLOOKUP(G186,'ALL (R)'!$N$5:$R$862,5,FALSE)</f>
        <v>R 9</v>
      </c>
      <c r="AB186" s="232">
        <f>VLOOKUP(AA186,FACTS!$B$2:$L$14,10,FALSE)</f>
        <v>53550</v>
      </c>
      <c r="AC186" s="232">
        <f>VLOOKUP(AA186,FACTS!$B$2:$L$14,11,FALSE)</f>
        <v>59850</v>
      </c>
      <c r="AD186" s="232">
        <f>VLOOKUP(AA186,FACTS!$B$2:$N$14,13,FALSE)</f>
        <v>6300</v>
      </c>
      <c r="AE186" s="232">
        <f t="shared" si="23"/>
        <v>5418</v>
      </c>
      <c r="AF186" s="232">
        <f t="shared" si="24"/>
        <v>58968</v>
      </c>
      <c r="AG186" s="232">
        <f>AF186*FACTS!$T$2</f>
        <v>19459.440000000002</v>
      </c>
      <c r="AH186" s="232">
        <f>Table1[[#This Row],[UNIT (BUILDING) RATE (SEMI FINISHED)]]+4500</f>
        <v>63468</v>
      </c>
      <c r="AI186" s="232">
        <f>Table1[[#This Row],[UNIT (BUILDING) RATE (SEMI FINISHED)]]+7500</f>
        <v>66468</v>
      </c>
      <c r="AJ186" s="232">
        <f t="shared" si="25"/>
        <v>11734632</v>
      </c>
      <c r="AK186" s="232">
        <f>Table1[[#This Row],[UNIT (BUILDING) RATE (BASIC FINISH)]]*Table1[[#This Row],[Unit Selling Area]]</f>
        <v>12630132</v>
      </c>
      <c r="AL186" s="232">
        <f>Table1[[#This Row],[UNIT (BUILDING) RATE (FULLY FINISH)]]*Table1[[#This Row],[Unit Selling Area]]</f>
        <v>13227132</v>
      </c>
      <c r="AM186" s="232">
        <f t="shared" si="26"/>
        <v>0</v>
      </c>
      <c r="AN186" s="232">
        <f>(AM186+AJ186)*FACTS!$S$2</f>
        <v>997443.72000000009</v>
      </c>
      <c r="AO186" s="101">
        <f>VLOOKUP(S186,FACTS!$A$17:$C$23,3,FALSE)</f>
        <v>2</v>
      </c>
      <c r="AP186" s="232">
        <f>VLOOKUP(AA186,FACTS!$B$2:$J$14,9,FALSE)</f>
        <v>252000</v>
      </c>
      <c r="AQ186" s="232">
        <f>Table1[[#This Row],[PARKING VALUE]]*1</f>
        <v>252000</v>
      </c>
      <c r="AR186" s="232">
        <f t="shared" si="20"/>
        <v>11986632</v>
      </c>
      <c r="AS186" s="440">
        <f>Table1[[#This Row],[TOTAL CARS VALUE]]+Table1[[#This Row],[UNIT (BUILDING) VALUE BASIC FINISHED]]+Table1[[#This Row],[UNIT (GARDEN) VALUE]]</f>
        <v>12882132</v>
      </c>
      <c r="AT186" s="232">
        <f>Table1[[#This Row],[TOTAL CARS VALUE]]+Table1[[#This Row],[UNIT (GARDEN) VALUE]]+Table1[[#This Row],[UNIT (BUILDING) VALUE FULLY FINISHED]]</f>
        <v>13479132</v>
      </c>
      <c r="AU186" s="233">
        <f>VLOOKUP(I186,'C PHASES'!$I$108:$J$110,2,FALSE)</f>
        <v>45839</v>
      </c>
      <c r="AV186" s="233">
        <f>VLOOKUP(AA186,'C PHASES'!$I$113:$J$125,2,FALSE)</f>
        <v>45931</v>
      </c>
    </row>
    <row r="187" spans="1:48" ht="15" customHeight="1" x14ac:dyDescent="0.25">
      <c r="A187" s="235"/>
      <c r="B187" s="227" t="str">
        <f t="shared" si="21"/>
        <v>B</v>
      </c>
      <c r="C187" s="227" t="s">
        <v>42</v>
      </c>
      <c r="D187" s="227" t="s">
        <v>1147</v>
      </c>
      <c r="E187" s="228">
        <v>1</v>
      </c>
      <c r="F187" s="101">
        <v>3</v>
      </c>
      <c r="G187" s="87" t="str">
        <f t="shared" si="29"/>
        <v>B113</v>
      </c>
      <c r="H187" s="87" t="s">
        <v>1295</v>
      </c>
      <c r="I187" s="89" t="str">
        <f>VLOOKUP(C187,'PREMIUM TABLES'!$G$107:$H$149,2,FALSE)</f>
        <v>C1</v>
      </c>
      <c r="J187" s="87">
        <v>183.59</v>
      </c>
      <c r="K187" s="87">
        <v>203.33431811017482</v>
      </c>
      <c r="L187" s="87">
        <v>224</v>
      </c>
      <c r="O187" s="87" t="s">
        <v>184</v>
      </c>
      <c r="P187" s="87" t="s">
        <v>226</v>
      </c>
      <c r="Q187" s="229" t="s">
        <v>209</v>
      </c>
      <c r="R187" s="87" t="str">
        <f>VLOOKUP(E187,'PREMIUM TABLES'!$F$214:$G$219,2,FALSE)</f>
        <v>FIRST</v>
      </c>
      <c r="S187" s="87" t="str" cm="1">
        <f t="array" ref="S187">IF(AND(L187&gt;0,L187&lt;90),"A",IF(AND(L187&gt;90,L187&lt;123),"B",IF(AND(L187&gt;122,L187&lt;159),"C",IF(AND(L187&gt;159,L187&lt;185),"D",IF(AND(L187&gt;185,L187&lt;230),"E",IF(AND(L187&gt;230,L187&lt;350),"F",NONE))))))</f>
        <v>E</v>
      </c>
      <c r="T187" s="230">
        <f>VLOOKUP(O187,'PREMIUM TABLES'!$G$165:$H$172,2,FALSE)</f>
        <v>0.15</v>
      </c>
      <c r="U187" s="230">
        <f>VLOOKUP(P187,'PREMIUM TABLES'!$G$208:$H$209,2,FALSE)</f>
        <v>0.05</v>
      </c>
      <c r="V187" s="230">
        <f>VLOOKUP(Q187,'PREMIUM TABLES'!$G$175:$H$195,2,FALSE)</f>
        <v>0.6</v>
      </c>
      <c r="W187" s="230">
        <f>VLOOKUP(R187,'PREMIUM TABLES'!$G$214:$H$219,2,FALSE)</f>
        <v>7.0000000000000007E-2</v>
      </c>
      <c r="X187" s="230">
        <f>VLOOKUP(S187,'PREMIUM TABLES'!$F$199:$H$205,3,FALSE)</f>
        <v>1.4999999999999999E-2</v>
      </c>
      <c r="Y187" s="231">
        <f t="shared" si="22"/>
        <v>0.88500000000000012</v>
      </c>
      <c r="Z187" s="231" t="str" cm="1">
        <f t="array" ref="Z187">IF(AND(Y187&gt;0,Y187&lt;0.5),"C",IF(AND(Y187&gt;=0.5,Y187&lt;0.73),"B",IF(AND(Y187&gt;=0.73,Y187&lt;0.98),"A",NONE)))</f>
        <v>A</v>
      </c>
      <c r="AA187" s="231" t="str">
        <f>VLOOKUP(G187,'ALL (R)'!$N$5:$R$862,5,FALSE)</f>
        <v>R 10</v>
      </c>
      <c r="AB187" s="232">
        <f>VLOOKUP(AA187,FACTS!$B$2:$L$14,10,FALSE)</f>
        <v>56100</v>
      </c>
      <c r="AC187" s="232">
        <f>VLOOKUP(AA187,FACTS!$B$2:$L$14,11,FALSE)</f>
        <v>62700</v>
      </c>
      <c r="AD187" s="232">
        <f>VLOOKUP(AA187,FACTS!$B$2:$N$14,13,FALSE)</f>
        <v>6600</v>
      </c>
      <c r="AE187" s="232">
        <f t="shared" si="23"/>
        <v>5841.0000000000009</v>
      </c>
      <c r="AF187" s="232">
        <f t="shared" si="24"/>
        <v>61941</v>
      </c>
      <c r="AG187" s="232">
        <f>AF187*FACTS!$T$2</f>
        <v>20440.530000000002</v>
      </c>
      <c r="AH187" s="232">
        <f>Table1[[#This Row],[UNIT (BUILDING) RATE (SEMI FINISHED)]]+4500</f>
        <v>66441</v>
      </c>
      <c r="AI187" s="232">
        <f>Table1[[#This Row],[UNIT (BUILDING) RATE (SEMI FINISHED)]]+7500</f>
        <v>69441</v>
      </c>
      <c r="AJ187" s="232">
        <f t="shared" si="25"/>
        <v>13874784</v>
      </c>
      <c r="AK187" s="232">
        <f>Table1[[#This Row],[UNIT (BUILDING) RATE (BASIC FINISH)]]*Table1[[#This Row],[Unit Selling Area]]</f>
        <v>14882784</v>
      </c>
      <c r="AL187" s="232">
        <f>Table1[[#This Row],[UNIT (BUILDING) RATE (FULLY FINISH)]]*Table1[[#This Row],[Unit Selling Area]]</f>
        <v>15554784</v>
      </c>
      <c r="AM187" s="232">
        <f t="shared" si="26"/>
        <v>0</v>
      </c>
      <c r="AN187" s="232">
        <f>(AM187+AJ187)*FACTS!$S$2</f>
        <v>1179356.6400000001</v>
      </c>
      <c r="AO187" s="101">
        <f>VLOOKUP(S187,FACTS!$A$17:$C$23,3,FALSE)</f>
        <v>2</v>
      </c>
      <c r="AP187" s="232">
        <f>VLOOKUP(AA187,FACTS!$B$2:$J$14,9,FALSE)</f>
        <v>264000</v>
      </c>
      <c r="AQ187" s="232">
        <f>Table1[[#This Row],[PARKING VALUE]]*1</f>
        <v>264000</v>
      </c>
      <c r="AR187" s="232">
        <f t="shared" si="20"/>
        <v>14138784</v>
      </c>
      <c r="AS187" s="440">
        <f>Table1[[#This Row],[TOTAL CARS VALUE]]+Table1[[#This Row],[UNIT (BUILDING) VALUE BASIC FINISHED]]+Table1[[#This Row],[UNIT (GARDEN) VALUE]]</f>
        <v>15146784</v>
      </c>
      <c r="AT187" s="232">
        <f>Table1[[#This Row],[TOTAL CARS VALUE]]+Table1[[#This Row],[UNIT (GARDEN) VALUE]]+Table1[[#This Row],[UNIT (BUILDING) VALUE FULLY FINISHED]]</f>
        <v>15818784</v>
      </c>
      <c r="AU187" s="233">
        <f>VLOOKUP(I187,'C PHASES'!$I$108:$J$110,2,FALSE)</f>
        <v>45839</v>
      </c>
      <c r="AV187" s="233">
        <f>VLOOKUP(AA187,'C PHASES'!$I$113:$J$125,2,FALSE)</f>
        <v>46023</v>
      </c>
    </row>
    <row r="188" spans="1:48" ht="15" customHeight="1" x14ac:dyDescent="0.25">
      <c r="A188" s="235"/>
      <c r="B188" s="227" t="str">
        <f t="shared" si="21"/>
        <v>B</v>
      </c>
      <c r="C188" s="227" t="s">
        <v>42</v>
      </c>
      <c r="D188" s="227" t="s">
        <v>1147</v>
      </c>
      <c r="E188" s="228">
        <v>1</v>
      </c>
      <c r="F188" s="101">
        <v>4</v>
      </c>
      <c r="G188" s="87" t="str">
        <f t="shared" si="29"/>
        <v>B114</v>
      </c>
      <c r="H188" s="87" t="s">
        <v>1294</v>
      </c>
      <c r="I188" s="89" t="str">
        <f>VLOOKUP(C188,'PREMIUM TABLES'!$G$107:$H$149,2,FALSE)</f>
        <v>C1</v>
      </c>
      <c r="J188" s="87">
        <v>141.59</v>
      </c>
      <c r="K188" s="87">
        <v>156.81739801307072</v>
      </c>
      <c r="L188" s="87">
        <v>173</v>
      </c>
      <c r="O188" s="87" t="s">
        <v>185</v>
      </c>
      <c r="P188" s="87" t="s">
        <v>226</v>
      </c>
      <c r="Q188" s="229" t="s">
        <v>198</v>
      </c>
      <c r="R188" s="87" t="str">
        <f>VLOOKUP(E188,'PREMIUM TABLES'!$F$214:$G$219,2,FALSE)</f>
        <v>FIRST</v>
      </c>
      <c r="S188" s="87" t="str" cm="1">
        <f t="array" ref="S188">IF(AND(L188&gt;0,L188&lt;90),"A",IF(AND(L188&gt;90,L188&lt;123),"B",IF(AND(L188&gt;122,L188&lt;159),"C",IF(AND(L188&gt;159,L188&lt;185),"D",IF(AND(L188&gt;185,L188&lt;230),"E",IF(AND(L188&gt;230,L188&lt;350),"F",NONE))))))</f>
        <v>D</v>
      </c>
      <c r="T188" s="230">
        <f>VLOOKUP(O188,'PREMIUM TABLES'!$G$165:$H$172,2,FALSE)</f>
        <v>0.06</v>
      </c>
      <c r="U188" s="230">
        <f>VLOOKUP(P188,'PREMIUM TABLES'!$G$208:$H$209,2,FALSE)</f>
        <v>0.05</v>
      </c>
      <c r="V188" s="230">
        <f>VLOOKUP(Q188,'PREMIUM TABLES'!$G$175:$H$195,2,FALSE)</f>
        <v>0.15</v>
      </c>
      <c r="W188" s="230">
        <f>VLOOKUP(R188,'PREMIUM TABLES'!$G$214:$H$219,2,FALSE)</f>
        <v>7.0000000000000007E-2</v>
      </c>
      <c r="X188" s="230">
        <f>VLOOKUP(S188,'PREMIUM TABLES'!$F$199:$H$205,3,FALSE)</f>
        <v>2.5000000000000001E-2</v>
      </c>
      <c r="Y188" s="231">
        <f t="shared" si="22"/>
        <v>0.35500000000000004</v>
      </c>
      <c r="Z188" s="231" t="str" cm="1">
        <f t="array" ref="Z188">IF(AND(Y188&gt;0,Y188&lt;0.5),"C",IF(AND(Y188&gt;=0.5,Y188&lt;0.73),"B",IF(AND(Y188&gt;=0.73,Y188&lt;0.98),"A",NONE)))</f>
        <v>C</v>
      </c>
      <c r="AA188" s="231" t="str">
        <f>VLOOKUP(G188,'ALL (R)'!$N$5:$R$862,5,FALSE)</f>
        <v>R 1</v>
      </c>
      <c r="AB188" s="232">
        <f>VLOOKUP(AA188,FACTS!$B$2:$L$14,10,FALSE)</f>
        <v>42500</v>
      </c>
      <c r="AC188" s="232">
        <f>VLOOKUP(AA188,FACTS!$B$2:$L$14,11,FALSE)</f>
        <v>47500</v>
      </c>
      <c r="AD188" s="232">
        <f>VLOOKUP(AA188,FACTS!$B$2:$N$14,13,FALSE)</f>
        <v>5000</v>
      </c>
      <c r="AE188" s="232">
        <f t="shared" si="23"/>
        <v>1775.0000000000002</v>
      </c>
      <c r="AF188" s="232">
        <f t="shared" si="24"/>
        <v>44275</v>
      </c>
      <c r="AG188" s="232">
        <f>AF188*FACTS!$T$2</f>
        <v>14610.75</v>
      </c>
      <c r="AH188" s="232">
        <f>Table1[[#This Row],[UNIT (BUILDING) RATE (SEMI FINISHED)]]+4500</f>
        <v>48775</v>
      </c>
      <c r="AI188" s="232">
        <f>Table1[[#This Row],[UNIT (BUILDING) RATE (SEMI FINISHED)]]+7500</f>
        <v>51775</v>
      </c>
      <c r="AJ188" s="232">
        <f t="shared" si="25"/>
        <v>7659575</v>
      </c>
      <c r="AK188" s="232">
        <f>Table1[[#This Row],[UNIT (BUILDING) RATE (BASIC FINISH)]]*Table1[[#This Row],[Unit Selling Area]]</f>
        <v>8438075</v>
      </c>
      <c r="AL188" s="232">
        <f>Table1[[#This Row],[UNIT (BUILDING) RATE (FULLY FINISH)]]*Table1[[#This Row],[Unit Selling Area]]</f>
        <v>8957075</v>
      </c>
      <c r="AM188" s="232">
        <f t="shared" si="26"/>
        <v>0</v>
      </c>
      <c r="AN188" s="232">
        <f>(AM188+AJ188)*FACTS!$S$2</f>
        <v>651063.875</v>
      </c>
      <c r="AO188" s="101">
        <f>VLOOKUP(S188,FACTS!$A$17:$C$23,3,FALSE)</f>
        <v>2</v>
      </c>
      <c r="AP188" s="232">
        <f>VLOOKUP(AA188,FACTS!$B$2:$J$14,9,FALSE)</f>
        <v>200000</v>
      </c>
      <c r="AQ188" s="232">
        <f>Table1[[#This Row],[PARKING VALUE]]*1</f>
        <v>200000</v>
      </c>
      <c r="AR188" s="232">
        <f t="shared" si="20"/>
        <v>7859575</v>
      </c>
      <c r="AS188" s="440">
        <f>Table1[[#This Row],[TOTAL CARS VALUE]]+Table1[[#This Row],[UNIT (BUILDING) VALUE BASIC FINISHED]]+Table1[[#This Row],[UNIT (GARDEN) VALUE]]</f>
        <v>8638075</v>
      </c>
      <c r="AT188" s="232">
        <f>Table1[[#This Row],[TOTAL CARS VALUE]]+Table1[[#This Row],[UNIT (GARDEN) VALUE]]+Table1[[#This Row],[UNIT (BUILDING) VALUE FULLY FINISHED]]</f>
        <v>9157075</v>
      </c>
      <c r="AU188" s="233">
        <f>VLOOKUP(I188,'C PHASES'!$I$108:$J$110,2,FALSE)</f>
        <v>45839</v>
      </c>
      <c r="AV188" s="233">
        <f>VLOOKUP(AA188,'C PHASES'!$I$113:$J$125,2,FALSE)</f>
        <v>45170</v>
      </c>
    </row>
    <row r="189" spans="1:48" ht="15" customHeight="1" x14ac:dyDescent="0.25">
      <c r="A189" s="235"/>
      <c r="B189" s="227" t="str">
        <f t="shared" si="21"/>
        <v>B</v>
      </c>
      <c r="C189" s="227" t="s">
        <v>42</v>
      </c>
      <c r="D189" s="227" t="s">
        <v>1147</v>
      </c>
      <c r="E189" s="228">
        <v>2</v>
      </c>
      <c r="F189" s="101">
        <v>1</v>
      </c>
      <c r="G189" s="87" t="str">
        <f t="shared" si="29"/>
        <v>B121</v>
      </c>
      <c r="H189" s="87" t="s">
        <v>1294</v>
      </c>
      <c r="I189" s="89" t="str">
        <f>VLOOKUP(C189,'PREMIUM TABLES'!$G$107:$H$149,2,FALSE)</f>
        <v>C1</v>
      </c>
      <c r="J189" s="87">
        <v>141.15</v>
      </c>
      <c r="K189" s="87">
        <v>156.33007789776772</v>
      </c>
      <c r="L189" s="87">
        <v>172</v>
      </c>
      <c r="O189" s="87" t="s">
        <v>185</v>
      </c>
      <c r="P189" s="87" t="s">
        <v>190</v>
      </c>
      <c r="Q189" s="229" t="s">
        <v>198</v>
      </c>
      <c r="R189" s="87" t="str">
        <f>VLOOKUP(E189,'PREMIUM TABLES'!$F$214:$G$219,2,FALSE)</f>
        <v>SECOND</v>
      </c>
      <c r="S189" s="87" t="str" cm="1">
        <f t="array" ref="S189">IF(AND(L189&gt;0,L189&lt;90),"A",IF(AND(L189&gt;90,L189&lt;123),"B",IF(AND(L189&gt;122,L189&lt;159),"C",IF(AND(L189&gt;159,L189&lt;185),"D",IF(AND(L189&gt;185,L189&lt;230),"E",IF(AND(L189&gt;230,L189&lt;350),"F",NONE))))))</f>
        <v>D</v>
      </c>
      <c r="T189" s="230">
        <f>VLOOKUP(O189,'PREMIUM TABLES'!$G$165:$H$172,2,FALSE)</f>
        <v>0.06</v>
      </c>
      <c r="U189" s="230">
        <f>VLOOKUP(P189,'PREMIUM TABLES'!$G$208:$H$209,2,FALSE)</f>
        <v>2.5000000000000001E-2</v>
      </c>
      <c r="V189" s="230">
        <f>VLOOKUP(Q189,'PREMIUM TABLES'!$G$175:$H$195,2,FALSE)</f>
        <v>0.15</v>
      </c>
      <c r="W189" s="230">
        <f>VLOOKUP(R189,'PREMIUM TABLES'!$G$214:$H$219,2,FALSE)</f>
        <v>0.11</v>
      </c>
      <c r="X189" s="230">
        <f>VLOOKUP(S189,'PREMIUM TABLES'!$F$199:$H$205,3,FALSE)</f>
        <v>2.5000000000000001E-2</v>
      </c>
      <c r="Y189" s="231">
        <f t="shared" si="22"/>
        <v>0.37</v>
      </c>
      <c r="Z189" s="231" t="str" cm="1">
        <f t="array" ref="Z189">IF(AND(Y189&gt;0,Y189&lt;0.5),"C",IF(AND(Y189&gt;=0.5,Y189&lt;0.73),"B",IF(AND(Y189&gt;=0.73,Y189&lt;0.98),"A",NONE)))</f>
        <v>C</v>
      </c>
      <c r="AA189" s="231" t="str">
        <f>VLOOKUP(G189,'ALL (R)'!$N$5:$R$862,5,FALSE)</f>
        <v>R 2</v>
      </c>
      <c r="AB189" s="232">
        <f>VLOOKUP(AA189,FACTS!$B$2:$L$14,10,FALSE)</f>
        <v>43562.499999999993</v>
      </c>
      <c r="AC189" s="232">
        <f>VLOOKUP(AA189,FACTS!$B$2:$L$14,11,FALSE)</f>
        <v>48687.499999999993</v>
      </c>
      <c r="AD189" s="232">
        <f>VLOOKUP(AA189,FACTS!$B$2:$N$14,13,FALSE)</f>
        <v>5125</v>
      </c>
      <c r="AE189" s="232">
        <f t="shared" si="23"/>
        <v>1896.25</v>
      </c>
      <c r="AF189" s="232">
        <f t="shared" si="24"/>
        <v>45458.749999999993</v>
      </c>
      <c r="AG189" s="232">
        <f>AF189*FACTS!$T$2</f>
        <v>15001.387499999999</v>
      </c>
      <c r="AH189" s="232">
        <f>Table1[[#This Row],[UNIT (BUILDING) RATE (SEMI FINISHED)]]+4500</f>
        <v>49958.749999999993</v>
      </c>
      <c r="AI189" s="232">
        <f>Table1[[#This Row],[UNIT (BUILDING) RATE (SEMI FINISHED)]]+7500</f>
        <v>52958.749999999993</v>
      </c>
      <c r="AJ189" s="232">
        <f t="shared" si="25"/>
        <v>7818904.9999999991</v>
      </c>
      <c r="AK189" s="232">
        <f>Table1[[#This Row],[UNIT (BUILDING) RATE (BASIC FINISH)]]*Table1[[#This Row],[Unit Selling Area]]</f>
        <v>8592904.9999999981</v>
      </c>
      <c r="AL189" s="232">
        <f>Table1[[#This Row],[UNIT (BUILDING) RATE (FULLY FINISH)]]*Table1[[#This Row],[Unit Selling Area]]</f>
        <v>9108904.9999999981</v>
      </c>
      <c r="AM189" s="232">
        <f t="shared" si="26"/>
        <v>0</v>
      </c>
      <c r="AN189" s="232">
        <f>(AM189+AJ189)*FACTS!$S$2</f>
        <v>664606.92499999993</v>
      </c>
      <c r="AO189" s="101">
        <f>VLOOKUP(S189,FACTS!$A$17:$C$23,3,FALSE)</f>
        <v>2</v>
      </c>
      <c r="AP189" s="232">
        <f>VLOOKUP(AA189,FACTS!$B$2:$J$14,9,FALSE)</f>
        <v>204999.99999999997</v>
      </c>
      <c r="AQ189" s="232">
        <f>Table1[[#This Row],[PARKING VALUE]]*1</f>
        <v>204999.99999999997</v>
      </c>
      <c r="AR189" s="232">
        <f t="shared" si="20"/>
        <v>8023904.9999999991</v>
      </c>
      <c r="AS189" s="440">
        <f>Table1[[#This Row],[TOTAL CARS VALUE]]+Table1[[#This Row],[UNIT (BUILDING) VALUE BASIC FINISHED]]+Table1[[#This Row],[UNIT (GARDEN) VALUE]]</f>
        <v>8797904.9999999981</v>
      </c>
      <c r="AT189" s="232">
        <f>Table1[[#This Row],[TOTAL CARS VALUE]]+Table1[[#This Row],[UNIT (GARDEN) VALUE]]+Table1[[#This Row],[UNIT (BUILDING) VALUE FULLY FINISHED]]</f>
        <v>9313904.9999999981</v>
      </c>
      <c r="AU189" s="233">
        <f>VLOOKUP(I189,'C PHASES'!$I$108:$J$110,2,FALSE)</f>
        <v>45839</v>
      </c>
      <c r="AV189" s="233">
        <f>VLOOKUP(AA189,'C PHASES'!$I$113:$J$125,2,FALSE)</f>
        <v>45292</v>
      </c>
    </row>
    <row r="190" spans="1:48" ht="15" customHeight="1" x14ac:dyDescent="0.25">
      <c r="A190" s="235"/>
      <c r="B190" s="227" t="str">
        <f t="shared" si="21"/>
        <v>B</v>
      </c>
      <c r="C190" s="227" t="s">
        <v>42</v>
      </c>
      <c r="D190" s="227" t="s">
        <v>1147</v>
      </c>
      <c r="E190" s="228">
        <v>2</v>
      </c>
      <c r="F190" s="101">
        <v>2</v>
      </c>
      <c r="G190" s="87" t="str">
        <f t="shared" si="29"/>
        <v>B122</v>
      </c>
      <c r="H190" s="87" t="s">
        <v>1294</v>
      </c>
      <c r="I190" s="89" t="str">
        <f>VLOOKUP(C190,'PREMIUM TABLES'!$G$107:$H$149,2,FALSE)</f>
        <v>C1</v>
      </c>
      <c r="J190" s="87">
        <v>167.88</v>
      </c>
      <c r="K190" s="87">
        <v>185.93477490242469</v>
      </c>
      <c r="L190" s="87">
        <v>205</v>
      </c>
      <c r="O190" s="87" t="s">
        <v>184</v>
      </c>
      <c r="P190" s="87" t="s">
        <v>190</v>
      </c>
      <c r="Q190" s="229" t="s">
        <v>209</v>
      </c>
      <c r="R190" s="87" t="str">
        <f>VLOOKUP(E190,'PREMIUM TABLES'!$F$214:$G$219,2,FALSE)</f>
        <v>SECOND</v>
      </c>
      <c r="S190" s="87" t="str" cm="1">
        <f t="array" ref="S190">IF(AND(L190&gt;0,L190&lt;90),"A",IF(AND(L190&gt;90,L190&lt;123),"B",IF(AND(L190&gt;122,L190&lt;159),"C",IF(AND(L190&gt;159,L190&lt;185),"D",IF(AND(L190&gt;185,L190&lt;230),"E",IF(AND(L190&gt;230,L190&lt;350),"F",NONE))))))</f>
        <v>E</v>
      </c>
      <c r="T190" s="230">
        <f>VLOOKUP(O190,'PREMIUM TABLES'!$G$165:$H$172,2,FALSE)</f>
        <v>0.15</v>
      </c>
      <c r="U190" s="230">
        <f>VLOOKUP(P190,'PREMIUM TABLES'!$G$208:$H$209,2,FALSE)</f>
        <v>2.5000000000000001E-2</v>
      </c>
      <c r="V190" s="230">
        <f>VLOOKUP(Q190,'PREMIUM TABLES'!$G$175:$H$195,2,FALSE)</f>
        <v>0.6</v>
      </c>
      <c r="W190" s="230">
        <f>VLOOKUP(R190,'PREMIUM TABLES'!$G$214:$H$219,2,FALSE)</f>
        <v>0.11</v>
      </c>
      <c r="X190" s="230">
        <f>VLOOKUP(S190,'PREMIUM TABLES'!$F$199:$H$205,3,FALSE)</f>
        <v>1.4999999999999999E-2</v>
      </c>
      <c r="Y190" s="231">
        <f t="shared" si="22"/>
        <v>0.89999999999999991</v>
      </c>
      <c r="Z190" s="231" t="str" cm="1">
        <f t="array" ref="Z190">IF(AND(Y190&gt;0,Y190&lt;0.5),"C",IF(AND(Y190&gt;=0.5,Y190&lt;0.73),"B",IF(AND(Y190&gt;=0.73,Y190&lt;0.98),"A",NONE)))</f>
        <v>A</v>
      </c>
      <c r="AA190" s="231" t="str">
        <f>VLOOKUP(G190,'ALL (R)'!$N$5:$R$862,5,FALSE)</f>
        <v>R 11</v>
      </c>
      <c r="AB190" s="232">
        <f>VLOOKUP(AA190,FACTS!$B$2:$L$14,10,FALSE)</f>
        <v>58649.999999999993</v>
      </c>
      <c r="AC190" s="232">
        <f>VLOOKUP(AA190,FACTS!$B$2:$L$14,11,FALSE)</f>
        <v>65550</v>
      </c>
      <c r="AD190" s="232">
        <f>VLOOKUP(AA190,FACTS!$B$2:$N$14,13,FALSE)</f>
        <v>6900.0000000000073</v>
      </c>
      <c r="AE190" s="232">
        <f t="shared" si="23"/>
        <v>6210.0000000000064</v>
      </c>
      <c r="AF190" s="232">
        <f t="shared" si="24"/>
        <v>64860</v>
      </c>
      <c r="AG190" s="232">
        <f>AF190*FACTS!$T$2</f>
        <v>21403.8</v>
      </c>
      <c r="AH190" s="232">
        <f>Table1[[#This Row],[UNIT (BUILDING) RATE (SEMI FINISHED)]]+4500</f>
        <v>69360</v>
      </c>
      <c r="AI190" s="232">
        <f>Table1[[#This Row],[UNIT (BUILDING) RATE (SEMI FINISHED)]]+7500</f>
        <v>72360</v>
      </c>
      <c r="AJ190" s="232">
        <f t="shared" si="25"/>
        <v>13296300</v>
      </c>
      <c r="AK190" s="232">
        <f>Table1[[#This Row],[UNIT (BUILDING) RATE (BASIC FINISH)]]*Table1[[#This Row],[Unit Selling Area]]</f>
        <v>14218800</v>
      </c>
      <c r="AL190" s="232">
        <f>Table1[[#This Row],[UNIT (BUILDING) RATE (FULLY FINISH)]]*Table1[[#This Row],[Unit Selling Area]]</f>
        <v>14833800</v>
      </c>
      <c r="AM190" s="232">
        <f t="shared" si="26"/>
        <v>0</v>
      </c>
      <c r="AN190" s="232">
        <f>(AM190+AJ190)*FACTS!$S$2</f>
        <v>1130185.5</v>
      </c>
      <c r="AO190" s="101">
        <f>VLOOKUP(S190,FACTS!$A$17:$C$23,3,FALSE)</f>
        <v>2</v>
      </c>
      <c r="AP190" s="232">
        <f>VLOOKUP(AA190,FACTS!$B$2:$J$14,9,FALSE)</f>
        <v>276000</v>
      </c>
      <c r="AQ190" s="232">
        <f>Table1[[#This Row],[PARKING VALUE]]*1</f>
        <v>276000</v>
      </c>
      <c r="AR190" s="232">
        <f t="shared" si="20"/>
        <v>13572300</v>
      </c>
      <c r="AS190" s="440">
        <f>Table1[[#This Row],[TOTAL CARS VALUE]]+Table1[[#This Row],[UNIT (BUILDING) VALUE BASIC FINISHED]]+Table1[[#This Row],[UNIT (GARDEN) VALUE]]</f>
        <v>14494800</v>
      </c>
      <c r="AT190" s="232">
        <f>Table1[[#This Row],[TOTAL CARS VALUE]]+Table1[[#This Row],[UNIT (GARDEN) VALUE]]+Table1[[#This Row],[UNIT (BUILDING) VALUE FULLY FINISHED]]</f>
        <v>15109800</v>
      </c>
      <c r="AU190" s="233">
        <f>VLOOKUP(I190,'C PHASES'!$I$108:$J$110,2,FALSE)</f>
        <v>45839</v>
      </c>
      <c r="AV190" s="233">
        <f>VLOOKUP(AA190,'C PHASES'!$I$113:$J$125,2,FALSE)</f>
        <v>46113</v>
      </c>
    </row>
    <row r="191" spans="1:48" ht="15" customHeight="1" x14ac:dyDescent="0.25">
      <c r="A191" s="235"/>
      <c r="B191" s="227" t="str">
        <f t="shared" si="21"/>
        <v>B</v>
      </c>
      <c r="C191" s="227" t="s">
        <v>42</v>
      </c>
      <c r="D191" s="227" t="s">
        <v>1147</v>
      </c>
      <c r="E191" s="228">
        <v>2</v>
      </c>
      <c r="F191" s="101">
        <v>3</v>
      </c>
      <c r="G191" s="87" t="str">
        <f t="shared" si="29"/>
        <v>B123</v>
      </c>
      <c r="H191" s="87" t="s">
        <v>1295</v>
      </c>
      <c r="I191" s="89" t="str">
        <f>VLOOKUP(C191,'PREMIUM TABLES'!$G$107:$H$149,2,FALSE)</f>
        <v>C1</v>
      </c>
      <c r="J191" s="87">
        <v>187.09</v>
      </c>
      <c r="K191" s="87">
        <v>207.21072811826681</v>
      </c>
      <c r="L191" s="87">
        <v>228</v>
      </c>
      <c r="O191" s="87" t="s">
        <v>184</v>
      </c>
      <c r="P191" s="87" t="s">
        <v>226</v>
      </c>
      <c r="Q191" s="229" t="s">
        <v>209</v>
      </c>
      <c r="R191" s="87" t="str">
        <f>VLOOKUP(E191,'PREMIUM TABLES'!$F$214:$G$219,2,FALSE)</f>
        <v>SECOND</v>
      </c>
      <c r="S191" s="87" t="str" cm="1">
        <f t="array" ref="S191">IF(AND(L191&gt;0,L191&lt;90),"A",IF(AND(L191&gt;90,L191&lt;123),"B",IF(AND(L191&gt;122,L191&lt;159),"C",IF(AND(L191&gt;159,L191&lt;185),"D",IF(AND(L191&gt;185,L191&lt;230),"E",IF(AND(L191&gt;230,L191&lt;350),"F",NONE))))))</f>
        <v>E</v>
      </c>
      <c r="T191" s="230">
        <f>VLOOKUP(O191,'PREMIUM TABLES'!$G$165:$H$172,2,FALSE)</f>
        <v>0.15</v>
      </c>
      <c r="U191" s="230">
        <f>VLOOKUP(P191,'PREMIUM TABLES'!$G$208:$H$209,2,FALSE)</f>
        <v>0.05</v>
      </c>
      <c r="V191" s="230">
        <f>VLOOKUP(Q191,'PREMIUM TABLES'!$G$175:$H$195,2,FALSE)</f>
        <v>0.6</v>
      </c>
      <c r="W191" s="230">
        <f>VLOOKUP(R191,'PREMIUM TABLES'!$G$214:$H$219,2,FALSE)</f>
        <v>0.11</v>
      </c>
      <c r="X191" s="230">
        <f>VLOOKUP(S191,'PREMIUM TABLES'!$F$199:$H$205,3,FALSE)</f>
        <v>1.4999999999999999E-2</v>
      </c>
      <c r="Y191" s="231">
        <f t="shared" si="22"/>
        <v>0.92500000000000004</v>
      </c>
      <c r="Z191" s="231" t="str" cm="1">
        <f t="array" ref="Z191">IF(AND(Y191&gt;0,Y191&lt;0.5),"C",IF(AND(Y191&gt;=0.5,Y191&lt;0.73),"B",IF(AND(Y191&gt;=0.73,Y191&lt;0.98),"A",NONE)))</f>
        <v>A</v>
      </c>
      <c r="AA191" s="231" t="str">
        <f>VLOOKUP(G191,'ALL (R)'!$N$5:$R$862,5,FALSE)</f>
        <v>R 12</v>
      </c>
      <c r="AB191" s="232">
        <f>VLOOKUP(AA191,FACTS!$B$2:$L$14,10,FALSE)</f>
        <v>61625</v>
      </c>
      <c r="AC191" s="232">
        <f>VLOOKUP(AA191,FACTS!$B$2:$L$14,11,FALSE)</f>
        <v>68875</v>
      </c>
      <c r="AD191" s="232">
        <f>VLOOKUP(AA191,FACTS!$B$2:$N$14,13,FALSE)</f>
        <v>7250</v>
      </c>
      <c r="AE191" s="232">
        <f t="shared" si="23"/>
        <v>6706.25</v>
      </c>
      <c r="AF191" s="232">
        <f t="shared" si="24"/>
        <v>68331.25</v>
      </c>
      <c r="AG191" s="232">
        <f>AF191*FACTS!$T$2</f>
        <v>22549.3125</v>
      </c>
      <c r="AH191" s="232">
        <f>Table1[[#This Row],[UNIT (BUILDING) RATE (SEMI FINISHED)]]+4500</f>
        <v>72831.25</v>
      </c>
      <c r="AI191" s="232">
        <f>Table1[[#This Row],[UNIT (BUILDING) RATE (SEMI FINISHED)]]+7500</f>
        <v>75831.25</v>
      </c>
      <c r="AJ191" s="232">
        <f t="shared" si="25"/>
        <v>15579525</v>
      </c>
      <c r="AK191" s="232">
        <f>Table1[[#This Row],[UNIT (BUILDING) RATE (BASIC FINISH)]]*Table1[[#This Row],[Unit Selling Area]]</f>
        <v>16605525</v>
      </c>
      <c r="AL191" s="232">
        <f>Table1[[#This Row],[UNIT (BUILDING) RATE (FULLY FINISH)]]*Table1[[#This Row],[Unit Selling Area]]</f>
        <v>17289525</v>
      </c>
      <c r="AM191" s="232">
        <f t="shared" si="26"/>
        <v>0</v>
      </c>
      <c r="AN191" s="232">
        <f>(AM191+AJ191)*FACTS!$S$2</f>
        <v>1324259.625</v>
      </c>
      <c r="AO191" s="101">
        <f>VLOOKUP(S191,FACTS!$A$17:$C$23,3,FALSE)</f>
        <v>2</v>
      </c>
      <c r="AP191" s="232">
        <f>VLOOKUP(AA191,FACTS!$B$2:$J$14,9,FALSE)</f>
        <v>290000</v>
      </c>
      <c r="AQ191" s="232">
        <f>Table1[[#This Row],[PARKING VALUE]]*1</f>
        <v>290000</v>
      </c>
      <c r="AR191" s="232">
        <f t="shared" si="20"/>
        <v>15869525</v>
      </c>
      <c r="AS191" s="440">
        <f>Table1[[#This Row],[TOTAL CARS VALUE]]+Table1[[#This Row],[UNIT (BUILDING) VALUE BASIC FINISHED]]+Table1[[#This Row],[UNIT (GARDEN) VALUE]]</f>
        <v>16895525</v>
      </c>
      <c r="AT191" s="232">
        <f>Table1[[#This Row],[TOTAL CARS VALUE]]+Table1[[#This Row],[UNIT (GARDEN) VALUE]]+Table1[[#This Row],[UNIT (BUILDING) VALUE FULLY FINISHED]]</f>
        <v>17579525</v>
      </c>
      <c r="AU191" s="233">
        <f>VLOOKUP(I191,'C PHASES'!$I$108:$J$110,2,FALSE)</f>
        <v>45839</v>
      </c>
      <c r="AV191" s="233">
        <f>VLOOKUP(AA191,'C PHASES'!$I$113:$J$125,2,FALSE)</f>
        <v>46204</v>
      </c>
    </row>
    <row r="192" spans="1:48" ht="15" customHeight="1" x14ac:dyDescent="0.25">
      <c r="A192" s="235"/>
      <c r="B192" s="227" t="str">
        <f t="shared" si="21"/>
        <v>B</v>
      </c>
      <c r="C192" s="227" t="s">
        <v>42</v>
      </c>
      <c r="D192" s="227" t="s">
        <v>1147</v>
      </c>
      <c r="E192" s="228">
        <v>2</v>
      </c>
      <c r="F192" s="101">
        <v>4</v>
      </c>
      <c r="G192" s="87" t="str">
        <f t="shared" si="29"/>
        <v>B124</v>
      </c>
      <c r="H192" s="87" t="s">
        <v>1294</v>
      </c>
      <c r="I192" s="89" t="str">
        <f>VLOOKUP(C192,'PREMIUM TABLES'!$G$107:$H$149,2,FALSE)</f>
        <v>C1</v>
      </c>
      <c r="J192" s="87">
        <v>143.97</v>
      </c>
      <c r="K192" s="87">
        <v>159.45335681857327</v>
      </c>
      <c r="L192" s="87">
        <v>176</v>
      </c>
      <c r="O192" s="87" t="s">
        <v>185</v>
      </c>
      <c r="P192" s="87" t="s">
        <v>226</v>
      </c>
      <c r="Q192" s="229" t="s">
        <v>198</v>
      </c>
      <c r="R192" s="87" t="str">
        <f>VLOOKUP(E192,'PREMIUM TABLES'!$F$214:$G$219,2,FALSE)</f>
        <v>SECOND</v>
      </c>
      <c r="S192" s="87" t="str" cm="1">
        <f t="array" ref="S192">IF(AND(L192&gt;0,L192&lt;90),"A",IF(AND(L192&gt;90,L192&lt;123),"B",IF(AND(L192&gt;122,L192&lt;159),"C",IF(AND(L192&gt;159,L192&lt;185),"D",IF(AND(L192&gt;185,L192&lt;230),"E",IF(AND(L192&gt;230,L192&lt;350),"F",NONE))))))</f>
        <v>D</v>
      </c>
      <c r="T192" s="230">
        <f>VLOOKUP(O192,'PREMIUM TABLES'!$G$165:$H$172,2,FALSE)</f>
        <v>0.06</v>
      </c>
      <c r="U192" s="230">
        <f>VLOOKUP(P192,'PREMIUM TABLES'!$G$208:$H$209,2,FALSE)</f>
        <v>0.05</v>
      </c>
      <c r="V192" s="230">
        <f>VLOOKUP(Q192,'PREMIUM TABLES'!$G$175:$H$195,2,FALSE)</f>
        <v>0.15</v>
      </c>
      <c r="W192" s="230">
        <f>VLOOKUP(R192,'PREMIUM TABLES'!$G$214:$H$219,2,FALSE)</f>
        <v>0.11</v>
      </c>
      <c r="X192" s="230">
        <f>VLOOKUP(S192,'PREMIUM TABLES'!$F$199:$H$205,3,FALSE)</f>
        <v>2.5000000000000001E-2</v>
      </c>
      <c r="Y192" s="231">
        <f t="shared" si="22"/>
        <v>0.39500000000000002</v>
      </c>
      <c r="Z192" s="231" t="str" cm="1">
        <f t="array" ref="Z192">IF(AND(Y192&gt;0,Y192&lt;0.5),"C",IF(AND(Y192&gt;=0.5,Y192&lt;0.73),"B",IF(AND(Y192&gt;=0.73,Y192&lt;0.98),"A",NONE)))</f>
        <v>C</v>
      </c>
      <c r="AA192" s="231" t="str">
        <f>VLOOKUP(G192,'ALL (R)'!$N$5:$R$862,5,FALSE)</f>
        <v>R 4</v>
      </c>
      <c r="AB192" s="232">
        <f>VLOOKUP(AA192,FACTS!$B$2:$L$14,10,FALSE)</f>
        <v>45687.5</v>
      </c>
      <c r="AC192" s="232">
        <f>VLOOKUP(AA192,FACTS!$B$2:$L$14,11,FALSE)</f>
        <v>51062.5</v>
      </c>
      <c r="AD192" s="232">
        <f>VLOOKUP(AA192,FACTS!$B$2:$N$14,13,FALSE)</f>
        <v>5375</v>
      </c>
      <c r="AE192" s="232">
        <f t="shared" si="23"/>
        <v>2123.125</v>
      </c>
      <c r="AF192" s="232">
        <f t="shared" si="24"/>
        <v>47810.625</v>
      </c>
      <c r="AG192" s="232">
        <f>AF192*FACTS!$T$2</f>
        <v>15777.50625</v>
      </c>
      <c r="AH192" s="232">
        <f>Table1[[#This Row],[UNIT (BUILDING) RATE (SEMI FINISHED)]]+4500</f>
        <v>52310.625</v>
      </c>
      <c r="AI192" s="232">
        <f>Table1[[#This Row],[UNIT (BUILDING) RATE (SEMI FINISHED)]]+7500</f>
        <v>55310.625</v>
      </c>
      <c r="AJ192" s="232">
        <f t="shared" si="25"/>
        <v>8414670</v>
      </c>
      <c r="AK192" s="232">
        <f>Table1[[#This Row],[UNIT (BUILDING) RATE (BASIC FINISH)]]*Table1[[#This Row],[Unit Selling Area]]</f>
        <v>9206670</v>
      </c>
      <c r="AL192" s="232">
        <f>Table1[[#This Row],[UNIT (BUILDING) RATE (FULLY FINISH)]]*Table1[[#This Row],[Unit Selling Area]]</f>
        <v>9734670</v>
      </c>
      <c r="AM192" s="232">
        <f t="shared" si="26"/>
        <v>0</v>
      </c>
      <c r="AN192" s="232">
        <f>(AM192+AJ192)*FACTS!$S$2</f>
        <v>715246.95000000007</v>
      </c>
      <c r="AO192" s="101">
        <f>VLOOKUP(S192,FACTS!$A$17:$C$23,3,FALSE)</f>
        <v>2</v>
      </c>
      <c r="AP192" s="232">
        <f>VLOOKUP(AA192,FACTS!$B$2:$J$14,9,FALSE)</f>
        <v>215000</v>
      </c>
      <c r="AQ192" s="232">
        <f>Table1[[#This Row],[PARKING VALUE]]*1</f>
        <v>215000</v>
      </c>
      <c r="AR192" s="232">
        <f t="shared" si="20"/>
        <v>8629670</v>
      </c>
      <c r="AS192" s="440">
        <f>Table1[[#This Row],[TOTAL CARS VALUE]]+Table1[[#This Row],[UNIT (BUILDING) VALUE BASIC FINISHED]]+Table1[[#This Row],[UNIT (GARDEN) VALUE]]</f>
        <v>9421670</v>
      </c>
      <c r="AT192" s="232">
        <f>Table1[[#This Row],[TOTAL CARS VALUE]]+Table1[[#This Row],[UNIT (GARDEN) VALUE]]+Table1[[#This Row],[UNIT (BUILDING) VALUE FULLY FINISHED]]</f>
        <v>9949670</v>
      </c>
      <c r="AU192" s="233">
        <f>VLOOKUP(I192,'C PHASES'!$I$108:$J$110,2,FALSE)</f>
        <v>45839</v>
      </c>
      <c r="AV192" s="233">
        <f>VLOOKUP(AA192,'C PHASES'!$I$113:$J$125,2,FALSE)</f>
        <v>45474</v>
      </c>
    </row>
    <row r="193" spans="1:48" ht="15" customHeight="1" x14ac:dyDescent="0.25">
      <c r="A193" s="235"/>
      <c r="B193" s="227" t="str">
        <f t="shared" si="21"/>
        <v>B</v>
      </c>
      <c r="C193" s="227" t="s">
        <v>42</v>
      </c>
      <c r="D193" s="227" t="s">
        <v>1147</v>
      </c>
      <c r="E193" s="228">
        <v>3</v>
      </c>
      <c r="F193" s="101">
        <v>1</v>
      </c>
      <c r="G193" s="87" t="str">
        <f t="shared" si="29"/>
        <v>B131</v>
      </c>
      <c r="H193" s="87" t="s">
        <v>1294</v>
      </c>
      <c r="I193" s="89" t="str">
        <f>VLOOKUP(C193,'PREMIUM TABLES'!$G$107:$H$149,2,FALSE)</f>
        <v>C1</v>
      </c>
      <c r="J193" s="87">
        <v>141.38999999999999</v>
      </c>
      <c r="K193" s="87">
        <v>156.59588886975115</v>
      </c>
      <c r="L193" s="87">
        <v>172</v>
      </c>
      <c r="O193" s="87" t="s">
        <v>185</v>
      </c>
      <c r="P193" s="87" t="s">
        <v>190</v>
      </c>
      <c r="Q193" s="229" t="s">
        <v>198</v>
      </c>
      <c r="R193" s="87" t="str">
        <f>VLOOKUP(E193,'PREMIUM TABLES'!$F$214:$G$219,2,FALSE)</f>
        <v>THIRD</v>
      </c>
      <c r="S193" s="87" t="str" cm="1">
        <f t="array" ref="S193">IF(AND(L193&gt;0,L193&lt;90),"A",IF(AND(L193&gt;90,L193&lt;123),"B",IF(AND(L193&gt;122,L193&lt;159),"C",IF(AND(L193&gt;159,L193&lt;185),"D",IF(AND(L193&gt;185,L193&lt;230),"E",IF(AND(L193&gt;230,L193&lt;350),"F",NONE))))))</f>
        <v>D</v>
      </c>
      <c r="T193" s="230">
        <f>VLOOKUP(O193,'PREMIUM TABLES'!$G$165:$H$172,2,FALSE)</f>
        <v>0.06</v>
      </c>
      <c r="U193" s="230">
        <f>VLOOKUP(P193,'PREMIUM TABLES'!$G$208:$H$209,2,FALSE)</f>
        <v>2.5000000000000001E-2</v>
      </c>
      <c r="V193" s="230">
        <f>VLOOKUP(Q193,'PREMIUM TABLES'!$G$175:$H$195,2,FALSE)</f>
        <v>0.15</v>
      </c>
      <c r="W193" s="230">
        <f>VLOOKUP(R193,'PREMIUM TABLES'!$G$214:$H$219,2,FALSE)</f>
        <v>0.15</v>
      </c>
      <c r="X193" s="230">
        <f>VLOOKUP(S193,'PREMIUM TABLES'!$F$199:$H$205,3,FALSE)</f>
        <v>2.5000000000000001E-2</v>
      </c>
      <c r="Y193" s="231">
        <f t="shared" si="22"/>
        <v>0.41000000000000003</v>
      </c>
      <c r="Z193" s="231" t="str" cm="1">
        <f t="array" ref="Z193">IF(AND(Y193&gt;0,Y193&lt;0.5),"C",IF(AND(Y193&gt;=0.5,Y193&lt;0.73),"B",IF(AND(Y193&gt;=0.73,Y193&lt;0.98),"A",NONE)))</f>
        <v>C</v>
      </c>
      <c r="AA193" s="231" t="str">
        <f>VLOOKUP(G193,'ALL (R)'!$N$5:$R$862,5,FALSE)</f>
        <v>R 6</v>
      </c>
      <c r="AB193" s="232">
        <f>VLOOKUP(AA193,FACTS!$B$2:$L$14,10,FALSE)</f>
        <v>48450.000000000007</v>
      </c>
      <c r="AC193" s="232">
        <f>VLOOKUP(AA193,FACTS!$B$2:$L$14,11,FALSE)</f>
        <v>54150.000000000007</v>
      </c>
      <c r="AD193" s="232">
        <f>VLOOKUP(AA193,FACTS!$B$2:$N$14,13,FALSE)</f>
        <v>5700</v>
      </c>
      <c r="AE193" s="232">
        <f t="shared" si="23"/>
        <v>2337</v>
      </c>
      <c r="AF193" s="232">
        <f t="shared" si="24"/>
        <v>50787.000000000007</v>
      </c>
      <c r="AG193" s="232">
        <f>AF193*FACTS!$T$2</f>
        <v>16759.710000000003</v>
      </c>
      <c r="AH193" s="232">
        <f>Table1[[#This Row],[UNIT (BUILDING) RATE (SEMI FINISHED)]]+4500</f>
        <v>55287.000000000007</v>
      </c>
      <c r="AI193" s="232">
        <f>Table1[[#This Row],[UNIT (BUILDING) RATE (SEMI FINISHED)]]+7500</f>
        <v>58287.000000000007</v>
      </c>
      <c r="AJ193" s="232">
        <f t="shared" si="25"/>
        <v>8735364.0000000019</v>
      </c>
      <c r="AK193" s="232">
        <f>Table1[[#This Row],[UNIT (BUILDING) RATE (BASIC FINISH)]]*Table1[[#This Row],[Unit Selling Area]]</f>
        <v>9509364.0000000019</v>
      </c>
      <c r="AL193" s="232">
        <f>Table1[[#This Row],[UNIT (BUILDING) RATE (FULLY FINISH)]]*Table1[[#This Row],[Unit Selling Area]]</f>
        <v>10025364.000000002</v>
      </c>
      <c r="AM193" s="232">
        <f t="shared" si="26"/>
        <v>0</v>
      </c>
      <c r="AN193" s="232">
        <f>(AM193+AJ193)*FACTS!$S$2</f>
        <v>742505.94000000018</v>
      </c>
      <c r="AO193" s="101">
        <f>VLOOKUP(S193,FACTS!$A$17:$C$23,3,FALSE)</f>
        <v>2</v>
      </c>
      <c r="AP193" s="232">
        <f>VLOOKUP(AA193,FACTS!$B$2:$J$14,9,FALSE)</f>
        <v>228000.00000000003</v>
      </c>
      <c r="AQ193" s="232">
        <f>Table1[[#This Row],[PARKING VALUE]]*1</f>
        <v>228000.00000000003</v>
      </c>
      <c r="AR193" s="232">
        <f t="shared" si="20"/>
        <v>8963364.0000000019</v>
      </c>
      <c r="AS193" s="440">
        <f>Table1[[#This Row],[TOTAL CARS VALUE]]+Table1[[#This Row],[UNIT (BUILDING) VALUE BASIC FINISHED]]+Table1[[#This Row],[UNIT (GARDEN) VALUE]]</f>
        <v>9737364.0000000019</v>
      </c>
      <c r="AT193" s="232">
        <f>Table1[[#This Row],[TOTAL CARS VALUE]]+Table1[[#This Row],[UNIT (GARDEN) VALUE]]+Table1[[#This Row],[UNIT (BUILDING) VALUE FULLY FINISHED]]</f>
        <v>10253364.000000002</v>
      </c>
      <c r="AU193" s="233">
        <f>VLOOKUP(I193,'C PHASES'!$I$108:$J$110,2,FALSE)</f>
        <v>45839</v>
      </c>
      <c r="AV193" s="233">
        <f>VLOOKUP(AA193,'C PHASES'!$I$113:$J$125,2,FALSE)</f>
        <v>45658</v>
      </c>
    </row>
    <row r="194" spans="1:48" ht="15" customHeight="1" x14ac:dyDescent="0.25">
      <c r="A194" s="235"/>
      <c r="B194" s="227" t="str">
        <f t="shared" si="21"/>
        <v>B</v>
      </c>
      <c r="C194" s="227" t="s">
        <v>42</v>
      </c>
      <c r="D194" s="227" t="s">
        <v>1147</v>
      </c>
      <c r="E194" s="228">
        <v>3</v>
      </c>
      <c r="F194" s="101">
        <v>2</v>
      </c>
      <c r="G194" s="87" t="str">
        <f t="shared" si="29"/>
        <v>B132</v>
      </c>
      <c r="H194" s="87" t="s">
        <v>1294</v>
      </c>
      <c r="I194" s="89" t="str">
        <f>VLOOKUP(C194,'PREMIUM TABLES'!$G$107:$H$149,2,FALSE)</f>
        <v>C1</v>
      </c>
      <c r="J194" s="87">
        <v>165.71</v>
      </c>
      <c r="K194" s="87">
        <v>183.53140069740763</v>
      </c>
      <c r="L194" s="87">
        <v>202</v>
      </c>
      <c r="O194" s="87" t="s">
        <v>184</v>
      </c>
      <c r="P194" s="87" t="s">
        <v>190</v>
      </c>
      <c r="Q194" s="229" t="s">
        <v>209</v>
      </c>
      <c r="R194" s="87" t="str">
        <f>VLOOKUP(E194,'PREMIUM TABLES'!$F$214:$G$219,2,FALSE)</f>
        <v>THIRD</v>
      </c>
      <c r="S194" s="87" t="str" cm="1">
        <f t="array" ref="S194">IF(AND(L194&gt;0,L194&lt;90),"A",IF(AND(L194&gt;90,L194&lt;123),"B",IF(AND(L194&gt;122,L194&lt;159),"C",IF(AND(L194&gt;159,L194&lt;185),"D",IF(AND(L194&gt;185,L194&lt;230),"E",IF(AND(L194&gt;230,L194&lt;350),"F",NONE))))))</f>
        <v>E</v>
      </c>
      <c r="T194" s="230">
        <f>VLOOKUP(O194,'PREMIUM TABLES'!$G$165:$H$172,2,FALSE)</f>
        <v>0.15</v>
      </c>
      <c r="U194" s="230">
        <f>VLOOKUP(P194,'PREMIUM TABLES'!$G$208:$H$209,2,FALSE)</f>
        <v>2.5000000000000001E-2</v>
      </c>
      <c r="V194" s="230">
        <f>VLOOKUP(Q194,'PREMIUM TABLES'!$G$175:$H$195,2,FALSE)</f>
        <v>0.6</v>
      </c>
      <c r="W194" s="230">
        <f>VLOOKUP(R194,'PREMIUM TABLES'!$G$214:$H$219,2,FALSE)</f>
        <v>0.15</v>
      </c>
      <c r="X194" s="230">
        <f>VLOOKUP(S194,'PREMIUM TABLES'!$F$199:$H$205,3,FALSE)</f>
        <v>1.4999999999999999E-2</v>
      </c>
      <c r="Y194" s="231">
        <f t="shared" si="22"/>
        <v>0.94</v>
      </c>
      <c r="Z194" s="231" t="str" cm="1">
        <f t="array" ref="Z194">IF(AND(Y194&gt;0,Y194&lt;0.5),"C",IF(AND(Y194&gt;=0.5,Y194&lt;0.73),"B",IF(AND(Y194&gt;=0.73,Y194&lt;0.98),"A",NONE)))</f>
        <v>A</v>
      </c>
      <c r="AA194" s="231" t="str">
        <f>VLOOKUP(G194,'ALL (R)'!$N$5:$R$862,5,FALSE)</f>
        <v>R 12</v>
      </c>
      <c r="AB194" s="232">
        <f>VLOOKUP(AA194,FACTS!$B$2:$L$14,10,FALSE)</f>
        <v>61625</v>
      </c>
      <c r="AC194" s="232">
        <f>VLOOKUP(AA194,FACTS!$B$2:$L$14,11,FALSE)</f>
        <v>68875</v>
      </c>
      <c r="AD194" s="232">
        <f>VLOOKUP(AA194,FACTS!$B$2:$N$14,13,FALSE)</f>
        <v>7250</v>
      </c>
      <c r="AE194" s="232">
        <f t="shared" si="23"/>
        <v>6815</v>
      </c>
      <c r="AF194" s="232">
        <f t="shared" si="24"/>
        <v>68440</v>
      </c>
      <c r="AG194" s="232">
        <f>AF194*FACTS!$T$2</f>
        <v>22585.200000000001</v>
      </c>
      <c r="AH194" s="232">
        <f>Table1[[#This Row],[UNIT (BUILDING) RATE (SEMI FINISHED)]]+4500</f>
        <v>72940</v>
      </c>
      <c r="AI194" s="232">
        <f>Table1[[#This Row],[UNIT (BUILDING) RATE (SEMI FINISHED)]]+7500</f>
        <v>75940</v>
      </c>
      <c r="AJ194" s="232">
        <f t="shared" si="25"/>
        <v>13824880</v>
      </c>
      <c r="AK194" s="232">
        <f>Table1[[#This Row],[UNIT (BUILDING) RATE (BASIC FINISH)]]*Table1[[#This Row],[Unit Selling Area]]</f>
        <v>14733880</v>
      </c>
      <c r="AL194" s="232">
        <f>Table1[[#This Row],[UNIT (BUILDING) RATE (FULLY FINISH)]]*Table1[[#This Row],[Unit Selling Area]]</f>
        <v>15339880</v>
      </c>
      <c r="AM194" s="232">
        <f t="shared" si="26"/>
        <v>0</v>
      </c>
      <c r="AN194" s="232">
        <f>(AM194+AJ194)*FACTS!$S$2</f>
        <v>1175114.8</v>
      </c>
      <c r="AO194" s="101">
        <f>VLOOKUP(S194,FACTS!$A$17:$C$23,3,FALSE)</f>
        <v>2</v>
      </c>
      <c r="AP194" s="232">
        <f>VLOOKUP(AA194,FACTS!$B$2:$J$14,9,FALSE)</f>
        <v>290000</v>
      </c>
      <c r="AQ194" s="232">
        <f>Table1[[#This Row],[PARKING VALUE]]*1</f>
        <v>290000</v>
      </c>
      <c r="AR194" s="232">
        <f t="shared" si="20"/>
        <v>14114880</v>
      </c>
      <c r="AS194" s="440">
        <f>Table1[[#This Row],[TOTAL CARS VALUE]]+Table1[[#This Row],[UNIT (BUILDING) VALUE BASIC FINISHED]]+Table1[[#This Row],[UNIT (GARDEN) VALUE]]</f>
        <v>15023880</v>
      </c>
      <c r="AT194" s="232">
        <f>Table1[[#This Row],[TOTAL CARS VALUE]]+Table1[[#This Row],[UNIT (GARDEN) VALUE]]+Table1[[#This Row],[UNIT (BUILDING) VALUE FULLY FINISHED]]</f>
        <v>15629880</v>
      </c>
      <c r="AU194" s="233">
        <f>VLOOKUP(I194,'C PHASES'!$I$108:$J$110,2,FALSE)</f>
        <v>45839</v>
      </c>
      <c r="AV194" s="233">
        <f>VLOOKUP(AA194,'C PHASES'!$I$113:$J$125,2,FALSE)</f>
        <v>46204</v>
      </c>
    </row>
    <row r="195" spans="1:48" ht="15" customHeight="1" x14ac:dyDescent="0.25">
      <c r="A195" s="235"/>
      <c r="B195" s="227" t="str">
        <f t="shared" si="21"/>
        <v>B</v>
      </c>
      <c r="C195" s="227" t="s">
        <v>42</v>
      </c>
      <c r="D195" s="227" t="s">
        <v>1147</v>
      </c>
      <c r="E195" s="228">
        <v>3</v>
      </c>
      <c r="F195" s="101">
        <v>3</v>
      </c>
      <c r="G195" s="87" t="str">
        <f t="shared" si="29"/>
        <v>B133</v>
      </c>
      <c r="H195" s="87" t="s">
        <v>1295</v>
      </c>
      <c r="I195" s="89" t="str">
        <f>VLOOKUP(C195,'PREMIUM TABLES'!$G$107:$H$149,2,FALSE)</f>
        <v>C1</v>
      </c>
      <c r="J195" s="87">
        <v>187.91</v>
      </c>
      <c r="K195" s="87">
        <v>208.11891560587694</v>
      </c>
      <c r="L195" s="87">
        <v>229</v>
      </c>
      <c r="O195" s="87" t="s">
        <v>184</v>
      </c>
      <c r="P195" s="87" t="s">
        <v>226</v>
      </c>
      <c r="Q195" s="229" t="s">
        <v>209</v>
      </c>
      <c r="R195" s="87" t="str">
        <f>VLOOKUP(E195,'PREMIUM TABLES'!$F$214:$G$219,2,FALSE)</f>
        <v>THIRD</v>
      </c>
      <c r="S195" s="87" t="str" cm="1">
        <f t="array" ref="S195">IF(AND(L195&gt;0,L195&lt;90),"A",IF(AND(L195&gt;90,L195&lt;123),"B",IF(AND(L195&gt;122,L195&lt;159),"C",IF(AND(L195&gt;159,L195&lt;185),"D",IF(AND(L195&gt;185,L195&lt;230),"E",IF(AND(L195&gt;230,L195&lt;350),"F",NONE))))))</f>
        <v>E</v>
      </c>
      <c r="T195" s="230">
        <f>VLOOKUP(O195,'PREMIUM TABLES'!$G$165:$H$172,2,FALSE)</f>
        <v>0.15</v>
      </c>
      <c r="U195" s="230">
        <f>VLOOKUP(P195,'PREMIUM TABLES'!$G$208:$H$209,2,FALSE)</f>
        <v>0.05</v>
      </c>
      <c r="V195" s="230">
        <f>VLOOKUP(Q195,'PREMIUM TABLES'!$G$175:$H$195,2,FALSE)</f>
        <v>0.6</v>
      </c>
      <c r="W195" s="230">
        <f>VLOOKUP(R195,'PREMIUM TABLES'!$G$214:$H$219,2,FALSE)</f>
        <v>0.15</v>
      </c>
      <c r="X195" s="230">
        <f>VLOOKUP(S195,'PREMIUM TABLES'!$F$199:$H$205,3,FALSE)</f>
        <v>1.4999999999999999E-2</v>
      </c>
      <c r="Y195" s="231">
        <f t="shared" si="22"/>
        <v>0.96500000000000008</v>
      </c>
      <c r="Z195" s="231" t="str" cm="1">
        <f t="array" ref="Z195">IF(AND(Y195&gt;0,Y195&lt;0.5),"C",IF(AND(Y195&gt;=0.5,Y195&lt;0.73),"B",IF(AND(Y195&gt;=0.73,Y195&lt;0.98),"A",NONE)))</f>
        <v>A</v>
      </c>
      <c r="AA195" s="231" t="str">
        <f>VLOOKUP(G195,'ALL (R)'!$N$5:$R$862,5,FALSE)</f>
        <v>R 12</v>
      </c>
      <c r="AB195" s="232">
        <f>VLOOKUP(AA195,FACTS!$B$2:$L$14,10,FALSE)</f>
        <v>61625</v>
      </c>
      <c r="AC195" s="232">
        <f>VLOOKUP(AA195,FACTS!$B$2:$L$14,11,FALSE)</f>
        <v>68875</v>
      </c>
      <c r="AD195" s="232">
        <f>VLOOKUP(AA195,FACTS!$B$2:$N$14,13,FALSE)</f>
        <v>7250</v>
      </c>
      <c r="AE195" s="232">
        <f t="shared" si="23"/>
        <v>6996.2500000000009</v>
      </c>
      <c r="AF195" s="232">
        <f t="shared" si="24"/>
        <v>68621.25</v>
      </c>
      <c r="AG195" s="232">
        <f>AF195*FACTS!$T$2</f>
        <v>22645.012500000001</v>
      </c>
      <c r="AH195" s="232">
        <f>Table1[[#This Row],[UNIT (BUILDING) RATE (SEMI FINISHED)]]+4500</f>
        <v>73121.25</v>
      </c>
      <c r="AI195" s="232">
        <f>Table1[[#This Row],[UNIT (BUILDING) RATE (SEMI FINISHED)]]+7500</f>
        <v>76121.25</v>
      </c>
      <c r="AJ195" s="232">
        <f t="shared" si="25"/>
        <v>15714266.25</v>
      </c>
      <c r="AK195" s="232">
        <f>Table1[[#This Row],[UNIT (BUILDING) RATE (BASIC FINISH)]]*Table1[[#This Row],[Unit Selling Area]]</f>
        <v>16744766.25</v>
      </c>
      <c r="AL195" s="232">
        <f>Table1[[#This Row],[UNIT (BUILDING) RATE (FULLY FINISH)]]*Table1[[#This Row],[Unit Selling Area]]</f>
        <v>17431766.25</v>
      </c>
      <c r="AM195" s="232">
        <f t="shared" si="26"/>
        <v>0</v>
      </c>
      <c r="AN195" s="232">
        <f>(AM195+AJ195)*FACTS!$S$2</f>
        <v>1335712.6312500001</v>
      </c>
      <c r="AO195" s="101">
        <f>VLOOKUP(S195,FACTS!$A$17:$C$23,3,FALSE)</f>
        <v>2</v>
      </c>
      <c r="AP195" s="232">
        <f>VLOOKUP(AA195,FACTS!$B$2:$J$14,9,FALSE)</f>
        <v>290000</v>
      </c>
      <c r="AQ195" s="232">
        <f>Table1[[#This Row],[PARKING VALUE]]*1</f>
        <v>290000</v>
      </c>
      <c r="AR195" s="232">
        <f t="shared" si="20"/>
        <v>16004266.25</v>
      </c>
      <c r="AS195" s="440">
        <f>Table1[[#This Row],[TOTAL CARS VALUE]]+Table1[[#This Row],[UNIT (BUILDING) VALUE BASIC FINISHED]]+Table1[[#This Row],[UNIT (GARDEN) VALUE]]</f>
        <v>17034766.25</v>
      </c>
      <c r="AT195" s="232">
        <f>Table1[[#This Row],[TOTAL CARS VALUE]]+Table1[[#This Row],[UNIT (GARDEN) VALUE]]+Table1[[#This Row],[UNIT (BUILDING) VALUE FULLY FINISHED]]</f>
        <v>17721766.25</v>
      </c>
      <c r="AU195" s="233">
        <f>VLOOKUP(I195,'C PHASES'!$I$108:$J$110,2,FALSE)</f>
        <v>45839</v>
      </c>
      <c r="AV195" s="233">
        <f>VLOOKUP(AA195,'C PHASES'!$I$113:$J$125,2,FALSE)</f>
        <v>46204</v>
      </c>
    </row>
    <row r="196" spans="1:48" ht="15" customHeight="1" x14ac:dyDescent="0.25">
      <c r="A196" s="235"/>
      <c r="B196" s="227" t="str">
        <f t="shared" si="21"/>
        <v>B</v>
      </c>
      <c r="C196" s="227" t="s">
        <v>42</v>
      </c>
      <c r="D196" s="227" t="s">
        <v>1147</v>
      </c>
      <c r="E196" s="228">
        <v>3</v>
      </c>
      <c r="F196" s="101">
        <v>4</v>
      </c>
      <c r="G196" s="87" t="str">
        <f t="shared" si="29"/>
        <v>B134</v>
      </c>
      <c r="H196" s="87" t="s">
        <v>1294</v>
      </c>
      <c r="I196" s="89" t="str">
        <f>VLOOKUP(C196,'PREMIUM TABLES'!$G$107:$H$149,2,FALSE)</f>
        <v>C1</v>
      </c>
      <c r="J196" s="87">
        <v>144.21</v>
      </c>
      <c r="K196" s="87">
        <v>159.71916779055672</v>
      </c>
      <c r="L196" s="87">
        <v>176</v>
      </c>
      <c r="O196" s="87" t="s">
        <v>185</v>
      </c>
      <c r="P196" s="87" t="s">
        <v>226</v>
      </c>
      <c r="Q196" s="229" t="s">
        <v>198</v>
      </c>
      <c r="R196" s="87" t="str">
        <f>VLOOKUP(E196,'PREMIUM TABLES'!$F$214:$G$219,2,FALSE)</f>
        <v>THIRD</v>
      </c>
      <c r="S196" s="87" t="str" cm="1">
        <f t="array" ref="S196">IF(AND(L196&gt;0,L196&lt;90),"A",IF(AND(L196&gt;90,L196&lt;123),"B",IF(AND(L196&gt;122,L196&lt;159),"C",IF(AND(L196&gt;159,L196&lt;185),"D",IF(AND(L196&gt;185,L196&lt;230),"E",IF(AND(L196&gt;230,L196&lt;350),"F",NONE))))))</f>
        <v>D</v>
      </c>
      <c r="T196" s="230">
        <f>VLOOKUP(O196,'PREMIUM TABLES'!$G$165:$H$172,2,FALSE)</f>
        <v>0.06</v>
      </c>
      <c r="U196" s="230">
        <f>VLOOKUP(P196,'PREMIUM TABLES'!$G$208:$H$209,2,FALSE)</f>
        <v>0.05</v>
      </c>
      <c r="V196" s="230">
        <f>VLOOKUP(Q196,'PREMIUM TABLES'!$G$175:$H$195,2,FALSE)</f>
        <v>0.15</v>
      </c>
      <c r="W196" s="230">
        <f>VLOOKUP(R196,'PREMIUM TABLES'!$G$214:$H$219,2,FALSE)</f>
        <v>0.15</v>
      </c>
      <c r="X196" s="230">
        <f>VLOOKUP(S196,'PREMIUM TABLES'!$F$199:$H$205,3,FALSE)</f>
        <v>2.5000000000000001E-2</v>
      </c>
      <c r="Y196" s="231">
        <f t="shared" si="22"/>
        <v>0.43500000000000005</v>
      </c>
      <c r="Z196" s="231" t="str" cm="1">
        <f t="array" ref="Z196">IF(AND(Y196&gt;0,Y196&lt;0.5),"C",IF(AND(Y196&gt;=0.5,Y196&lt;0.73),"B",IF(AND(Y196&gt;=0.73,Y196&lt;0.98),"A",NONE)))</f>
        <v>C</v>
      </c>
      <c r="AA196" s="231" t="str">
        <f>VLOOKUP(G196,'ALL (R)'!$N$5:$R$862,5,FALSE)</f>
        <v>R 8</v>
      </c>
      <c r="AB196" s="232">
        <f>VLOOKUP(AA196,FACTS!$B$2:$L$14,10,FALSE)</f>
        <v>51850</v>
      </c>
      <c r="AC196" s="232">
        <f>VLOOKUP(AA196,FACTS!$B$2:$L$14,11,FALSE)</f>
        <v>57950</v>
      </c>
      <c r="AD196" s="232">
        <f>VLOOKUP(AA196,FACTS!$B$2:$N$14,13,FALSE)</f>
        <v>6100</v>
      </c>
      <c r="AE196" s="232">
        <f t="shared" si="23"/>
        <v>2653.5000000000005</v>
      </c>
      <c r="AF196" s="232">
        <f t="shared" si="24"/>
        <v>54503.5</v>
      </c>
      <c r="AG196" s="232">
        <f>AF196*FACTS!$T$2</f>
        <v>17986.155000000002</v>
      </c>
      <c r="AH196" s="232">
        <f>Table1[[#This Row],[UNIT (BUILDING) RATE (SEMI FINISHED)]]+4500</f>
        <v>59003.5</v>
      </c>
      <c r="AI196" s="232">
        <f>Table1[[#This Row],[UNIT (BUILDING) RATE (SEMI FINISHED)]]+7500</f>
        <v>62003.5</v>
      </c>
      <c r="AJ196" s="232">
        <f t="shared" si="25"/>
        <v>9592616</v>
      </c>
      <c r="AK196" s="232">
        <f>Table1[[#This Row],[UNIT (BUILDING) RATE (BASIC FINISH)]]*Table1[[#This Row],[Unit Selling Area]]</f>
        <v>10384616</v>
      </c>
      <c r="AL196" s="232">
        <f>Table1[[#This Row],[UNIT (BUILDING) RATE (FULLY FINISH)]]*Table1[[#This Row],[Unit Selling Area]]</f>
        <v>10912616</v>
      </c>
      <c r="AM196" s="232">
        <f t="shared" si="26"/>
        <v>0</v>
      </c>
      <c r="AN196" s="232">
        <f>(AM196+AJ196)*FACTS!$S$2</f>
        <v>815372.3600000001</v>
      </c>
      <c r="AO196" s="101">
        <f>VLOOKUP(S196,FACTS!$A$17:$C$23,3,FALSE)</f>
        <v>2</v>
      </c>
      <c r="AP196" s="232">
        <f>VLOOKUP(AA196,FACTS!$B$2:$J$14,9,FALSE)</f>
        <v>244000</v>
      </c>
      <c r="AQ196" s="232">
        <f>Table1[[#This Row],[PARKING VALUE]]*1</f>
        <v>244000</v>
      </c>
      <c r="AR196" s="232">
        <f t="shared" si="20"/>
        <v>9836616</v>
      </c>
      <c r="AS196" s="440">
        <f>Table1[[#This Row],[TOTAL CARS VALUE]]+Table1[[#This Row],[UNIT (BUILDING) VALUE BASIC FINISHED]]+Table1[[#This Row],[UNIT (GARDEN) VALUE]]</f>
        <v>10628616</v>
      </c>
      <c r="AT196" s="232">
        <f>Table1[[#This Row],[TOTAL CARS VALUE]]+Table1[[#This Row],[UNIT (GARDEN) VALUE]]+Table1[[#This Row],[UNIT (BUILDING) VALUE FULLY FINISHED]]</f>
        <v>11156616</v>
      </c>
      <c r="AU196" s="233">
        <f>VLOOKUP(I196,'C PHASES'!$I$108:$J$110,2,FALSE)</f>
        <v>45839</v>
      </c>
      <c r="AV196" s="233">
        <f>VLOOKUP(AA196,'C PHASES'!$I$113:$J$125,2,FALSE)</f>
        <v>45839</v>
      </c>
    </row>
    <row r="197" spans="1:48" ht="15" customHeight="1" x14ac:dyDescent="0.25">
      <c r="A197" s="235"/>
      <c r="B197" s="227" t="str">
        <f t="shared" si="21"/>
        <v>B</v>
      </c>
      <c r="C197" s="227" t="s">
        <v>42</v>
      </c>
      <c r="D197" s="227" t="s">
        <v>1147</v>
      </c>
      <c r="E197" s="228">
        <v>4</v>
      </c>
      <c r="F197" s="101">
        <v>1</v>
      </c>
      <c r="G197" s="87" t="str">
        <f t="shared" si="29"/>
        <v>B141</v>
      </c>
      <c r="H197" s="87" t="s">
        <v>1294</v>
      </c>
      <c r="I197" s="89" t="str">
        <f>VLOOKUP(C197,'PREMIUM TABLES'!$G$107:$H$149,2,FALSE)</f>
        <v>C1</v>
      </c>
      <c r="J197" s="87">
        <v>139.09</v>
      </c>
      <c r="K197" s="87">
        <v>154.04853372157643</v>
      </c>
      <c r="L197" s="87">
        <v>170</v>
      </c>
      <c r="O197" s="87" t="s">
        <v>185</v>
      </c>
      <c r="P197" s="87" t="s">
        <v>190</v>
      </c>
      <c r="Q197" s="229" t="s">
        <v>198</v>
      </c>
      <c r="R197" s="87" t="str">
        <f>VLOOKUP(E197,'PREMIUM TABLES'!$F$214:$G$219,2,FALSE)</f>
        <v>FORTH</v>
      </c>
      <c r="S197" s="87" t="str" cm="1">
        <f t="array" ref="S197">IF(AND(L197&gt;0,L197&lt;90),"A",IF(AND(L197&gt;90,L197&lt;123),"B",IF(AND(L197&gt;122,L197&lt;159),"C",IF(AND(L197&gt;159,L197&lt;185),"D",IF(AND(L197&gt;185,L197&lt;230),"E",IF(AND(L197&gt;230,L197&lt;350),"F",NONE))))))</f>
        <v>D</v>
      </c>
      <c r="T197" s="230">
        <f>VLOOKUP(O197,'PREMIUM TABLES'!$G$165:$H$172,2,FALSE)</f>
        <v>0.06</v>
      </c>
      <c r="U197" s="230">
        <f>VLOOKUP(P197,'PREMIUM TABLES'!$G$208:$H$209,2,FALSE)</f>
        <v>2.5000000000000001E-2</v>
      </c>
      <c r="V197" s="230">
        <f>VLOOKUP(Q197,'PREMIUM TABLES'!$G$175:$H$195,2,FALSE)</f>
        <v>0.15</v>
      </c>
      <c r="W197" s="230">
        <f>VLOOKUP(R197,'PREMIUM TABLES'!$G$214:$H$219,2,FALSE)</f>
        <v>0.06</v>
      </c>
      <c r="X197" s="230">
        <f>VLOOKUP(S197,'PREMIUM TABLES'!$F$199:$H$205,3,FALSE)</f>
        <v>2.5000000000000001E-2</v>
      </c>
      <c r="Y197" s="231">
        <f t="shared" si="22"/>
        <v>0.32</v>
      </c>
      <c r="Z197" s="231" t="str" cm="1">
        <f t="array" ref="Z197">IF(AND(Y197&gt;0,Y197&lt;0.5),"C",IF(AND(Y197&gt;=0.5,Y197&lt;0.73),"B",IF(AND(Y197&gt;=0.73,Y197&lt;0.98),"A",NONE)))</f>
        <v>C</v>
      </c>
      <c r="AA197" s="231" t="str">
        <f>VLOOKUP(G197,'ALL (R)'!$N$5:$R$862,5,FALSE)</f>
        <v>R 1</v>
      </c>
      <c r="AB197" s="232">
        <f>VLOOKUP(AA197,FACTS!$B$2:$L$14,10,FALSE)</f>
        <v>42500</v>
      </c>
      <c r="AC197" s="232">
        <f>VLOOKUP(AA197,FACTS!$B$2:$L$14,11,FALSE)</f>
        <v>47500</v>
      </c>
      <c r="AD197" s="232">
        <f>VLOOKUP(AA197,FACTS!$B$2:$N$14,13,FALSE)</f>
        <v>5000</v>
      </c>
      <c r="AE197" s="232">
        <f t="shared" si="23"/>
        <v>1600</v>
      </c>
      <c r="AF197" s="232">
        <f t="shared" si="24"/>
        <v>44100</v>
      </c>
      <c r="AG197" s="232">
        <f>AF197*FACTS!$T$2</f>
        <v>14553</v>
      </c>
      <c r="AH197" s="232">
        <f>Table1[[#This Row],[UNIT (BUILDING) RATE (SEMI FINISHED)]]+4500</f>
        <v>48600</v>
      </c>
      <c r="AI197" s="232">
        <f>Table1[[#This Row],[UNIT (BUILDING) RATE (SEMI FINISHED)]]+7500</f>
        <v>51600</v>
      </c>
      <c r="AJ197" s="232">
        <f t="shared" si="25"/>
        <v>7497000</v>
      </c>
      <c r="AK197" s="232">
        <f>Table1[[#This Row],[UNIT (BUILDING) RATE (BASIC FINISH)]]*Table1[[#This Row],[Unit Selling Area]]</f>
        <v>8262000</v>
      </c>
      <c r="AL197" s="232">
        <f>Table1[[#This Row],[UNIT (BUILDING) RATE (FULLY FINISH)]]*Table1[[#This Row],[Unit Selling Area]]</f>
        <v>8772000</v>
      </c>
      <c r="AM197" s="232">
        <f t="shared" si="26"/>
        <v>0</v>
      </c>
      <c r="AN197" s="232">
        <f>(AM197+AJ197)*FACTS!$S$2</f>
        <v>637245</v>
      </c>
      <c r="AO197" s="101">
        <f>VLOOKUP(S197,FACTS!$A$17:$C$23,3,FALSE)</f>
        <v>2</v>
      </c>
      <c r="AP197" s="232">
        <f>VLOOKUP(AA197,FACTS!$B$2:$J$14,9,FALSE)</f>
        <v>200000</v>
      </c>
      <c r="AQ197" s="232">
        <f>Table1[[#This Row],[PARKING VALUE]]*1</f>
        <v>200000</v>
      </c>
      <c r="AR197" s="232">
        <f t="shared" ref="AR197:AR260" si="30">AQ197+AM197+AJ197</f>
        <v>7697000</v>
      </c>
      <c r="AS197" s="440">
        <f>Table1[[#This Row],[TOTAL CARS VALUE]]+Table1[[#This Row],[UNIT (BUILDING) VALUE BASIC FINISHED]]+Table1[[#This Row],[UNIT (GARDEN) VALUE]]</f>
        <v>8462000</v>
      </c>
      <c r="AT197" s="232">
        <f>Table1[[#This Row],[TOTAL CARS VALUE]]+Table1[[#This Row],[UNIT (GARDEN) VALUE]]+Table1[[#This Row],[UNIT (BUILDING) VALUE FULLY FINISHED]]</f>
        <v>8972000</v>
      </c>
      <c r="AU197" s="233">
        <f>VLOOKUP(I197,'C PHASES'!$I$108:$J$110,2,FALSE)</f>
        <v>45839</v>
      </c>
      <c r="AV197" s="233">
        <f>VLOOKUP(AA197,'C PHASES'!$I$113:$J$125,2,FALSE)</f>
        <v>45170</v>
      </c>
    </row>
    <row r="198" spans="1:48" ht="15" customHeight="1" x14ac:dyDescent="0.25">
      <c r="A198" s="235"/>
      <c r="B198" s="227" t="str">
        <f t="shared" ref="B198:B259" si="31">LEFT(C198,1)</f>
        <v>B</v>
      </c>
      <c r="C198" s="227" t="s">
        <v>42</v>
      </c>
      <c r="D198" s="227" t="s">
        <v>1147</v>
      </c>
      <c r="E198" s="228">
        <v>4</v>
      </c>
      <c r="F198" s="101">
        <v>2</v>
      </c>
      <c r="G198" s="87" t="str">
        <f t="shared" si="29"/>
        <v>B142</v>
      </c>
      <c r="H198" s="87" t="s">
        <v>1294</v>
      </c>
      <c r="I198" s="89" t="str">
        <f>VLOOKUP(C198,'PREMIUM TABLES'!$G$107:$H$149,2,FALSE)</f>
        <v>C1</v>
      </c>
      <c r="J198" s="87">
        <v>163.35</v>
      </c>
      <c r="K198" s="87">
        <v>180.91759280623702</v>
      </c>
      <c r="L198" s="87">
        <v>199</v>
      </c>
      <c r="O198" s="87" t="s">
        <v>184</v>
      </c>
      <c r="P198" s="87" t="s">
        <v>190</v>
      </c>
      <c r="Q198" s="229" t="s">
        <v>209</v>
      </c>
      <c r="R198" s="87" t="str">
        <f>VLOOKUP(E198,'PREMIUM TABLES'!$F$214:$G$219,2,FALSE)</f>
        <v>FORTH</v>
      </c>
      <c r="S198" s="87" t="str" cm="1">
        <f t="array" ref="S198">IF(AND(L198&gt;0,L198&lt;90),"A",IF(AND(L198&gt;90,L198&lt;123),"B",IF(AND(L198&gt;122,L198&lt;159),"C",IF(AND(L198&gt;159,L198&lt;185),"D",IF(AND(L198&gt;185,L198&lt;230),"E",IF(AND(L198&gt;230,L198&lt;350),"F",NONE))))))</f>
        <v>E</v>
      </c>
      <c r="T198" s="230">
        <f>VLOOKUP(O198,'PREMIUM TABLES'!$G$165:$H$172,2,FALSE)</f>
        <v>0.15</v>
      </c>
      <c r="U198" s="230">
        <f>VLOOKUP(P198,'PREMIUM TABLES'!$G$208:$H$209,2,FALSE)</f>
        <v>2.5000000000000001E-2</v>
      </c>
      <c r="V198" s="230">
        <f>VLOOKUP(Q198,'PREMIUM TABLES'!$G$175:$H$195,2,FALSE)</f>
        <v>0.6</v>
      </c>
      <c r="W198" s="230">
        <f>VLOOKUP(R198,'PREMIUM TABLES'!$G$214:$H$219,2,FALSE)</f>
        <v>0.06</v>
      </c>
      <c r="X198" s="230">
        <f>VLOOKUP(S198,'PREMIUM TABLES'!$F$199:$H$205,3,FALSE)</f>
        <v>1.4999999999999999E-2</v>
      </c>
      <c r="Y198" s="231">
        <f t="shared" ref="Y198:Y261" si="32">SUM(T198:X198)</f>
        <v>0.85</v>
      </c>
      <c r="Z198" s="231" t="str" cm="1">
        <f t="array" ref="Z198">IF(AND(Y198&gt;0,Y198&lt;0.5),"C",IF(AND(Y198&gt;=0.5,Y198&lt;0.73),"B",IF(AND(Y198&gt;=0.73,Y198&lt;0.98),"A",NONE)))</f>
        <v>A</v>
      </c>
      <c r="AA198" s="231" t="str">
        <f>VLOOKUP(G198,'ALL (R)'!$N$5:$R$862,5,FALSE)</f>
        <v>R 8</v>
      </c>
      <c r="AB198" s="232">
        <f>VLOOKUP(AA198,FACTS!$B$2:$L$14,10,FALSE)</f>
        <v>51850</v>
      </c>
      <c r="AC198" s="232">
        <f>VLOOKUP(AA198,FACTS!$B$2:$L$14,11,FALSE)</f>
        <v>57950</v>
      </c>
      <c r="AD198" s="232">
        <f>VLOOKUP(AA198,FACTS!$B$2:$N$14,13,FALSE)</f>
        <v>6100</v>
      </c>
      <c r="AE198" s="232">
        <f t="shared" ref="AE198:AE261" si="33">AD198*Y198</f>
        <v>5185</v>
      </c>
      <c r="AF198" s="232">
        <f t="shared" ref="AF198:AF261" si="34">AE198+AB198</f>
        <v>57035</v>
      </c>
      <c r="AG198" s="232">
        <f>AF198*FACTS!$T$2</f>
        <v>18821.55</v>
      </c>
      <c r="AH198" s="232">
        <f>Table1[[#This Row],[UNIT (BUILDING) RATE (SEMI FINISHED)]]+4500</f>
        <v>61535</v>
      </c>
      <c r="AI198" s="232">
        <f>Table1[[#This Row],[UNIT (BUILDING) RATE (SEMI FINISHED)]]+7500</f>
        <v>64535</v>
      </c>
      <c r="AJ198" s="232">
        <f t="shared" ref="AJ198:AJ261" si="35">AF198*L198</f>
        <v>11349965</v>
      </c>
      <c r="AK198" s="232">
        <f>Table1[[#This Row],[UNIT (BUILDING) RATE (BASIC FINISH)]]*Table1[[#This Row],[Unit Selling Area]]</f>
        <v>12245465</v>
      </c>
      <c r="AL198" s="232">
        <f>Table1[[#This Row],[UNIT (BUILDING) RATE (FULLY FINISH)]]*Table1[[#This Row],[Unit Selling Area]]</f>
        <v>12842465</v>
      </c>
      <c r="AM198" s="232">
        <f t="shared" ref="AM198:AM261" si="36">AG198*M198</f>
        <v>0</v>
      </c>
      <c r="AN198" s="232">
        <f>(AM198+AJ198)*FACTS!$S$2</f>
        <v>964747.02500000002</v>
      </c>
      <c r="AO198" s="101">
        <f>VLOOKUP(S198,FACTS!$A$17:$C$23,3,FALSE)</f>
        <v>2</v>
      </c>
      <c r="AP198" s="232">
        <f>VLOOKUP(AA198,FACTS!$B$2:$J$14,9,FALSE)</f>
        <v>244000</v>
      </c>
      <c r="AQ198" s="232">
        <f>Table1[[#This Row],[PARKING VALUE]]*1</f>
        <v>244000</v>
      </c>
      <c r="AR198" s="232">
        <f t="shared" si="30"/>
        <v>11593965</v>
      </c>
      <c r="AS198" s="440">
        <f>Table1[[#This Row],[TOTAL CARS VALUE]]+Table1[[#This Row],[UNIT (BUILDING) VALUE BASIC FINISHED]]+Table1[[#This Row],[UNIT (GARDEN) VALUE]]</f>
        <v>12489465</v>
      </c>
      <c r="AT198" s="232">
        <f>Table1[[#This Row],[TOTAL CARS VALUE]]+Table1[[#This Row],[UNIT (GARDEN) VALUE]]+Table1[[#This Row],[UNIT (BUILDING) VALUE FULLY FINISHED]]</f>
        <v>13086465</v>
      </c>
      <c r="AU198" s="233">
        <f>VLOOKUP(I198,'C PHASES'!$I$108:$J$110,2,FALSE)</f>
        <v>45839</v>
      </c>
      <c r="AV198" s="233">
        <f>VLOOKUP(AA198,'C PHASES'!$I$113:$J$125,2,FALSE)</f>
        <v>45839</v>
      </c>
    </row>
    <row r="199" spans="1:48" ht="15" customHeight="1" x14ac:dyDescent="0.25">
      <c r="A199" s="235"/>
      <c r="B199" s="227" t="str">
        <f t="shared" si="31"/>
        <v>B</v>
      </c>
      <c r="C199" s="227" t="s">
        <v>42</v>
      </c>
      <c r="D199" s="227" t="s">
        <v>1147</v>
      </c>
      <c r="E199" s="228">
        <v>4</v>
      </c>
      <c r="F199" s="101">
        <v>3</v>
      </c>
      <c r="G199" s="87" t="str">
        <f t="shared" si="29"/>
        <v>B143</v>
      </c>
      <c r="H199" s="87" t="s">
        <v>1295</v>
      </c>
      <c r="I199" s="89" t="str">
        <f>VLOOKUP(C199,'PREMIUM TABLES'!$G$107:$H$149,2,FALSE)</f>
        <v>C1</v>
      </c>
      <c r="J199" s="87">
        <v>182.56</v>
      </c>
      <c r="K199" s="87">
        <v>202.19354602207918</v>
      </c>
      <c r="L199" s="87">
        <v>223</v>
      </c>
      <c r="O199" s="87" t="s">
        <v>184</v>
      </c>
      <c r="P199" s="87" t="s">
        <v>226</v>
      </c>
      <c r="Q199" s="229" t="s">
        <v>209</v>
      </c>
      <c r="R199" s="87" t="str">
        <f>VLOOKUP(E199,'PREMIUM TABLES'!$F$214:$G$219,2,FALSE)</f>
        <v>FORTH</v>
      </c>
      <c r="S199" s="87" t="str" cm="1">
        <f t="array" ref="S199">IF(AND(L199&gt;0,L199&lt;90),"A",IF(AND(L199&gt;90,L199&lt;123),"B",IF(AND(L199&gt;122,L199&lt;159),"C",IF(AND(L199&gt;159,L199&lt;185),"D",IF(AND(L199&gt;185,L199&lt;230),"E",IF(AND(L199&gt;230,L199&lt;350),"F",NONE))))))</f>
        <v>E</v>
      </c>
      <c r="T199" s="230">
        <f>VLOOKUP(O199,'PREMIUM TABLES'!$G$165:$H$172,2,FALSE)</f>
        <v>0.15</v>
      </c>
      <c r="U199" s="230">
        <f>VLOOKUP(P199,'PREMIUM TABLES'!$G$208:$H$209,2,FALSE)</f>
        <v>0.05</v>
      </c>
      <c r="V199" s="230">
        <f>VLOOKUP(Q199,'PREMIUM TABLES'!$G$175:$H$195,2,FALSE)</f>
        <v>0.6</v>
      </c>
      <c r="W199" s="230">
        <f>VLOOKUP(R199,'PREMIUM TABLES'!$G$214:$H$219,2,FALSE)</f>
        <v>0.06</v>
      </c>
      <c r="X199" s="230">
        <f>VLOOKUP(S199,'PREMIUM TABLES'!$F$199:$H$205,3,FALSE)</f>
        <v>1.4999999999999999E-2</v>
      </c>
      <c r="Y199" s="231">
        <f t="shared" si="32"/>
        <v>0.87500000000000011</v>
      </c>
      <c r="Z199" s="231" t="str" cm="1">
        <f t="array" ref="Z199">IF(AND(Y199&gt;0,Y199&lt;0.5),"C",IF(AND(Y199&gt;=0.5,Y199&lt;0.73),"B",IF(AND(Y199&gt;=0.73,Y199&lt;0.98),"A",NONE)))</f>
        <v>A</v>
      </c>
      <c r="AA199" s="231" t="str">
        <f>VLOOKUP(G199,'ALL (R)'!$N$5:$R$862,5,FALSE)</f>
        <v>R 9</v>
      </c>
      <c r="AB199" s="232">
        <f>VLOOKUP(AA199,FACTS!$B$2:$L$14,10,FALSE)</f>
        <v>53550</v>
      </c>
      <c r="AC199" s="232">
        <f>VLOOKUP(AA199,FACTS!$B$2:$L$14,11,FALSE)</f>
        <v>59850</v>
      </c>
      <c r="AD199" s="232">
        <f>VLOOKUP(AA199,FACTS!$B$2:$N$14,13,FALSE)</f>
        <v>6300</v>
      </c>
      <c r="AE199" s="232">
        <f t="shared" si="33"/>
        <v>5512.5000000000009</v>
      </c>
      <c r="AF199" s="232">
        <f t="shared" si="34"/>
        <v>59062.5</v>
      </c>
      <c r="AG199" s="232">
        <f>AF199*FACTS!$T$2</f>
        <v>19490.625</v>
      </c>
      <c r="AH199" s="232">
        <f>Table1[[#This Row],[UNIT (BUILDING) RATE (SEMI FINISHED)]]+4500</f>
        <v>63562.5</v>
      </c>
      <c r="AI199" s="232">
        <f>Table1[[#This Row],[UNIT (BUILDING) RATE (SEMI FINISHED)]]+7500</f>
        <v>66562.5</v>
      </c>
      <c r="AJ199" s="232">
        <f t="shared" si="35"/>
        <v>13170937.5</v>
      </c>
      <c r="AK199" s="232">
        <f>Table1[[#This Row],[UNIT (BUILDING) RATE (BASIC FINISH)]]*Table1[[#This Row],[Unit Selling Area]]</f>
        <v>14174437.5</v>
      </c>
      <c r="AL199" s="232">
        <f>Table1[[#This Row],[UNIT (BUILDING) RATE (FULLY FINISH)]]*Table1[[#This Row],[Unit Selling Area]]</f>
        <v>14843437.5</v>
      </c>
      <c r="AM199" s="232">
        <f t="shared" si="36"/>
        <v>0</v>
      </c>
      <c r="AN199" s="232">
        <f>(AM199+AJ199)*FACTS!$S$2</f>
        <v>1119529.6875</v>
      </c>
      <c r="AO199" s="101">
        <f>VLOOKUP(S199,FACTS!$A$17:$C$23,3,FALSE)</f>
        <v>2</v>
      </c>
      <c r="AP199" s="232">
        <f>VLOOKUP(AA199,FACTS!$B$2:$J$14,9,FALSE)</f>
        <v>252000</v>
      </c>
      <c r="AQ199" s="232">
        <f>Table1[[#This Row],[PARKING VALUE]]*1</f>
        <v>252000</v>
      </c>
      <c r="AR199" s="232">
        <f t="shared" si="30"/>
        <v>13422937.5</v>
      </c>
      <c r="AS199" s="440">
        <f>Table1[[#This Row],[TOTAL CARS VALUE]]+Table1[[#This Row],[UNIT (BUILDING) VALUE BASIC FINISHED]]+Table1[[#This Row],[UNIT (GARDEN) VALUE]]</f>
        <v>14426437.5</v>
      </c>
      <c r="AT199" s="232">
        <f>Table1[[#This Row],[TOTAL CARS VALUE]]+Table1[[#This Row],[UNIT (GARDEN) VALUE]]+Table1[[#This Row],[UNIT (BUILDING) VALUE FULLY FINISHED]]</f>
        <v>15095437.5</v>
      </c>
      <c r="AU199" s="233">
        <f>VLOOKUP(I199,'C PHASES'!$I$108:$J$110,2,FALSE)</f>
        <v>45839</v>
      </c>
      <c r="AV199" s="233">
        <f>VLOOKUP(AA199,'C PHASES'!$I$113:$J$125,2,FALSE)</f>
        <v>45931</v>
      </c>
    </row>
    <row r="200" spans="1:48" ht="15" customHeight="1" x14ac:dyDescent="0.25">
      <c r="A200" s="235"/>
      <c r="B200" s="227" t="str">
        <f t="shared" si="31"/>
        <v>B</v>
      </c>
      <c r="C200" s="227" t="s">
        <v>42</v>
      </c>
      <c r="D200" s="227" t="s">
        <v>1147</v>
      </c>
      <c r="E200" s="228">
        <v>4</v>
      </c>
      <c r="F200" s="101">
        <v>4</v>
      </c>
      <c r="G200" s="87" t="str">
        <f t="shared" si="29"/>
        <v>B144</v>
      </c>
      <c r="H200" s="87" t="s">
        <v>1294</v>
      </c>
      <c r="I200" s="89" t="str">
        <f>VLOOKUP(C200,'PREMIUM TABLES'!$G$107:$H$149,2,FALSE)</f>
        <v>C1</v>
      </c>
      <c r="J200" s="87">
        <v>141.91</v>
      </c>
      <c r="K200" s="87">
        <v>157.17181264238198</v>
      </c>
      <c r="L200" s="87">
        <v>173</v>
      </c>
      <c r="O200" s="87" t="s">
        <v>185</v>
      </c>
      <c r="P200" s="87" t="s">
        <v>226</v>
      </c>
      <c r="Q200" s="229" t="s">
        <v>198</v>
      </c>
      <c r="R200" s="87" t="str">
        <f>VLOOKUP(E200,'PREMIUM TABLES'!$F$214:$G$219,2,FALSE)</f>
        <v>FORTH</v>
      </c>
      <c r="S200" s="87" t="str" cm="1">
        <f t="array" ref="S200">IF(AND(L200&gt;0,L200&lt;90),"A",IF(AND(L200&gt;90,L200&lt;123),"B",IF(AND(L200&gt;122,L200&lt;159),"C",IF(AND(L200&gt;159,L200&lt;185),"D",IF(AND(L200&gt;185,L200&lt;230),"E",IF(AND(L200&gt;230,L200&lt;350),"F",NONE))))))</f>
        <v>D</v>
      </c>
      <c r="T200" s="230">
        <f>VLOOKUP(O200,'PREMIUM TABLES'!$G$165:$H$172,2,FALSE)</f>
        <v>0.06</v>
      </c>
      <c r="U200" s="230">
        <f>VLOOKUP(P200,'PREMIUM TABLES'!$G$208:$H$209,2,FALSE)</f>
        <v>0.05</v>
      </c>
      <c r="V200" s="230">
        <f>VLOOKUP(Q200,'PREMIUM TABLES'!$G$175:$H$195,2,FALSE)</f>
        <v>0.15</v>
      </c>
      <c r="W200" s="230">
        <f>VLOOKUP(R200,'PREMIUM TABLES'!$G$214:$H$219,2,FALSE)</f>
        <v>0.06</v>
      </c>
      <c r="X200" s="230">
        <f>VLOOKUP(S200,'PREMIUM TABLES'!$F$199:$H$205,3,FALSE)</f>
        <v>2.5000000000000001E-2</v>
      </c>
      <c r="Y200" s="231">
        <f t="shared" si="32"/>
        <v>0.34500000000000003</v>
      </c>
      <c r="Z200" s="231" t="str" cm="1">
        <f t="array" ref="Z200">IF(AND(Y200&gt;0,Y200&lt;0.5),"C",IF(AND(Y200&gt;=0.5,Y200&lt;0.73),"B",IF(AND(Y200&gt;=0.73,Y200&lt;0.98),"A",NONE)))</f>
        <v>C</v>
      </c>
      <c r="AA200" s="231" t="str">
        <f>VLOOKUP(G200,'ALL (R)'!$N$5:$R$862,5,FALSE)</f>
        <v>R 1</v>
      </c>
      <c r="AB200" s="232">
        <f>VLOOKUP(AA200,FACTS!$B$2:$L$14,10,FALSE)</f>
        <v>42500</v>
      </c>
      <c r="AC200" s="232">
        <f>VLOOKUP(AA200,FACTS!$B$2:$L$14,11,FALSE)</f>
        <v>47500</v>
      </c>
      <c r="AD200" s="232">
        <f>VLOOKUP(AA200,FACTS!$B$2:$N$14,13,FALSE)</f>
        <v>5000</v>
      </c>
      <c r="AE200" s="232">
        <f t="shared" si="33"/>
        <v>1725.0000000000002</v>
      </c>
      <c r="AF200" s="232">
        <f t="shared" si="34"/>
        <v>44225</v>
      </c>
      <c r="AG200" s="232">
        <f>AF200*FACTS!$T$2</f>
        <v>14594.25</v>
      </c>
      <c r="AH200" s="232">
        <f>Table1[[#This Row],[UNIT (BUILDING) RATE (SEMI FINISHED)]]+4500</f>
        <v>48725</v>
      </c>
      <c r="AI200" s="232">
        <f>Table1[[#This Row],[UNIT (BUILDING) RATE (SEMI FINISHED)]]+7500</f>
        <v>51725</v>
      </c>
      <c r="AJ200" s="232">
        <f t="shared" si="35"/>
        <v>7650925</v>
      </c>
      <c r="AK200" s="232">
        <f>Table1[[#This Row],[UNIT (BUILDING) RATE (BASIC FINISH)]]*Table1[[#This Row],[Unit Selling Area]]</f>
        <v>8429425</v>
      </c>
      <c r="AL200" s="232">
        <f>Table1[[#This Row],[UNIT (BUILDING) RATE (FULLY FINISH)]]*Table1[[#This Row],[Unit Selling Area]]</f>
        <v>8948425</v>
      </c>
      <c r="AM200" s="232">
        <f t="shared" si="36"/>
        <v>0</v>
      </c>
      <c r="AN200" s="232">
        <f>(AM200+AJ200)*FACTS!$S$2</f>
        <v>650328.625</v>
      </c>
      <c r="AO200" s="101">
        <f>VLOOKUP(S200,FACTS!$A$17:$C$23,3,FALSE)</f>
        <v>2</v>
      </c>
      <c r="AP200" s="232">
        <f>VLOOKUP(AA200,FACTS!$B$2:$J$14,9,FALSE)</f>
        <v>200000</v>
      </c>
      <c r="AQ200" s="232">
        <f>Table1[[#This Row],[PARKING VALUE]]*1</f>
        <v>200000</v>
      </c>
      <c r="AR200" s="232">
        <f t="shared" si="30"/>
        <v>7850925</v>
      </c>
      <c r="AS200" s="440">
        <f>Table1[[#This Row],[TOTAL CARS VALUE]]+Table1[[#This Row],[UNIT (BUILDING) VALUE BASIC FINISHED]]+Table1[[#This Row],[UNIT (GARDEN) VALUE]]</f>
        <v>8629425</v>
      </c>
      <c r="AT200" s="232">
        <f>Table1[[#This Row],[TOTAL CARS VALUE]]+Table1[[#This Row],[UNIT (GARDEN) VALUE]]+Table1[[#This Row],[UNIT (BUILDING) VALUE FULLY FINISHED]]</f>
        <v>9148425</v>
      </c>
      <c r="AU200" s="233">
        <f>VLOOKUP(I200,'C PHASES'!$I$108:$J$110,2,FALSE)</f>
        <v>45839</v>
      </c>
      <c r="AV200" s="233">
        <f>VLOOKUP(AA200,'C PHASES'!$I$113:$J$125,2,FALSE)</f>
        <v>45170</v>
      </c>
    </row>
    <row r="201" spans="1:48" ht="15" customHeight="1" x14ac:dyDescent="0.25">
      <c r="A201" s="235" t="s">
        <v>31</v>
      </c>
      <c r="B201" s="227" t="str">
        <f t="shared" si="31"/>
        <v>B</v>
      </c>
      <c r="C201" s="227" t="s">
        <v>31</v>
      </c>
      <c r="D201" s="227" t="s">
        <v>1147</v>
      </c>
      <c r="E201" s="228">
        <v>0</v>
      </c>
      <c r="F201" s="101">
        <v>1</v>
      </c>
      <c r="G201" s="87" t="str">
        <f>LEFT(C201,2)&amp;E201&amp;F201</f>
        <v>B201</v>
      </c>
      <c r="H201" s="87" t="s">
        <v>1294</v>
      </c>
      <c r="I201" s="89" t="str">
        <f>VLOOKUP(C201,'PREMIUM TABLES'!$G$107:$H$149,2,FALSE)</f>
        <v>C1</v>
      </c>
      <c r="J201" s="87">
        <v>144.21</v>
      </c>
      <c r="K201" s="87">
        <v>159.71916779055672</v>
      </c>
      <c r="L201" s="87">
        <v>176</v>
      </c>
      <c r="M201" s="87">
        <v>82.528400000000005</v>
      </c>
      <c r="O201" s="87" t="s">
        <v>185</v>
      </c>
      <c r="P201" s="87" t="s">
        <v>226</v>
      </c>
      <c r="Q201" s="229" t="s">
        <v>198</v>
      </c>
      <c r="R201" s="87" t="str">
        <f>VLOOKUP(E201,'PREMIUM TABLES'!$F$214:$G$219,2,FALSE)</f>
        <v>GROUND</v>
      </c>
      <c r="S201" s="87" t="str" cm="1">
        <f t="array" ref="S201">IF(AND(L201&gt;0,L201&lt;90),"A",IF(AND(L201&gt;90,L201&lt;123),"B",IF(AND(L201&gt;122,L201&lt;159),"C",IF(AND(L201&gt;159,L201&lt;185),"D",IF(AND(L201&gt;185,L201&lt;230),"E",IF(AND(L201&gt;230,L201&lt;350),"F",NONE))))))</f>
        <v>D</v>
      </c>
      <c r="T201" s="230">
        <f>VLOOKUP(O201,'PREMIUM TABLES'!$G$165:$H$172,2,FALSE)</f>
        <v>0.06</v>
      </c>
      <c r="U201" s="230">
        <f>VLOOKUP(P201,'PREMIUM TABLES'!$G$208:$H$209,2,FALSE)</f>
        <v>0.05</v>
      </c>
      <c r="V201" s="230">
        <f>VLOOKUP(Q201,'PREMIUM TABLES'!$G$175:$H$195,2,FALSE)</f>
        <v>0.15</v>
      </c>
      <c r="W201" s="230">
        <f>VLOOKUP(R201,'PREMIUM TABLES'!$G$214:$H$219,2,FALSE)</f>
        <v>0.05</v>
      </c>
      <c r="X201" s="230">
        <f>VLOOKUP(S201,'PREMIUM TABLES'!$F$199:$H$205,3,FALSE)</f>
        <v>2.5000000000000001E-2</v>
      </c>
      <c r="Y201" s="231">
        <f t="shared" si="32"/>
        <v>0.33500000000000002</v>
      </c>
      <c r="Z201" s="231" t="str" cm="1">
        <f t="array" ref="Z201">IF(AND(Y201&gt;0,Y201&lt;0.5),"C",IF(AND(Y201&gt;=0.5,Y201&lt;0.73),"B",IF(AND(Y201&gt;=0.73,Y201&lt;0.98),"A",NONE)))</f>
        <v>C</v>
      </c>
      <c r="AA201" s="231" t="str">
        <f>VLOOKUP(G201,'ALL (R)'!$N$5:$R$862,5,FALSE)</f>
        <v>R 1</v>
      </c>
      <c r="AB201" s="232">
        <f>VLOOKUP(AA201,FACTS!$B$2:$L$14,10,FALSE)</f>
        <v>42500</v>
      </c>
      <c r="AC201" s="232">
        <f>VLOOKUP(AA201,FACTS!$B$2:$L$14,11,FALSE)</f>
        <v>47500</v>
      </c>
      <c r="AD201" s="232">
        <f>VLOOKUP(AA201,FACTS!$B$2:$N$14,13,FALSE)</f>
        <v>5000</v>
      </c>
      <c r="AE201" s="232">
        <f t="shared" si="33"/>
        <v>1675</v>
      </c>
      <c r="AF201" s="232">
        <f t="shared" si="34"/>
        <v>44175</v>
      </c>
      <c r="AG201" s="232">
        <f>AF201*FACTS!$T$2</f>
        <v>14577.75</v>
      </c>
      <c r="AH201" s="232">
        <f>Table1[[#This Row],[UNIT (BUILDING) RATE (SEMI FINISHED)]]+4500</f>
        <v>48675</v>
      </c>
      <c r="AI201" s="232">
        <f>Table1[[#This Row],[UNIT (BUILDING) RATE (SEMI FINISHED)]]+7500</f>
        <v>51675</v>
      </c>
      <c r="AJ201" s="232">
        <f t="shared" si="35"/>
        <v>7774800</v>
      </c>
      <c r="AK201" s="232">
        <f>Table1[[#This Row],[UNIT (BUILDING) RATE (BASIC FINISH)]]*Table1[[#This Row],[Unit Selling Area]]</f>
        <v>8566800</v>
      </c>
      <c r="AL201" s="232">
        <f>Table1[[#This Row],[UNIT (BUILDING) RATE (FULLY FINISH)]]*Table1[[#This Row],[Unit Selling Area]]</f>
        <v>9094800</v>
      </c>
      <c r="AM201" s="232">
        <f t="shared" si="36"/>
        <v>1203078.3831</v>
      </c>
      <c r="AN201" s="232">
        <f>(AM201+AJ201)*FACTS!$S$2</f>
        <v>763119.66256349999</v>
      </c>
      <c r="AO201" s="101">
        <f>VLOOKUP(S201,FACTS!$A$17:$C$23,3,FALSE)</f>
        <v>2</v>
      </c>
      <c r="AP201" s="232">
        <f>VLOOKUP(AA201,FACTS!$B$2:$J$14,9,FALSE)</f>
        <v>200000</v>
      </c>
      <c r="AQ201" s="232">
        <f>Table1[[#This Row],[PARKING VALUE]]*1</f>
        <v>200000</v>
      </c>
      <c r="AR201" s="232">
        <f t="shared" si="30"/>
        <v>9177878.3830999993</v>
      </c>
      <c r="AS201" s="440">
        <f>Table1[[#This Row],[TOTAL CARS VALUE]]+Table1[[#This Row],[UNIT (BUILDING) VALUE BASIC FINISHED]]+Table1[[#This Row],[UNIT (GARDEN) VALUE]]</f>
        <v>9969878.3830999993</v>
      </c>
      <c r="AT201" s="232">
        <f>Table1[[#This Row],[TOTAL CARS VALUE]]+Table1[[#This Row],[UNIT (GARDEN) VALUE]]+Table1[[#This Row],[UNIT (BUILDING) VALUE FULLY FINISHED]]</f>
        <v>10497878.383099999</v>
      </c>
      <c r="AU201" s="233">
        <f>VLOOKUP(I201,'C PHASES'!$I$108:$J$110,2,FALSE)</f>
        <v>45839</v>
      </c>
      <c r="AV201" s="233">
        <f>VLOOKUP(AA201,'C PHASES'!$I$113:$J$125,2,FALSE)</f>
        <v>45170</v>
      </c>
    </row>
    <row r="202" spans="1:48" ht="15" customHeight="1" x14ac:dyDescent="0.25">
      <c r="A202" s="235"/>
      <c r="B202" s="227" t="str">
        <f t="shared" si="31"/>
        <v>B</v>
      </c>
      <c r="C202" s="227" t="s">
        <v>31</v>
      </c>
      <c r="D202" s="227" t="s">
        <v>1147</v>
      </c>
      <c r="E202" s="228">
        <v>0</v>
      </c>
      <c r="F202" s="101">
        <v>2</v>
      </c>
      <c r="G202" s="87" t="str">
        <f t="shared" ref="G202:G220" si="37">LEFT(C202,2)&amp;E202&amp;F202</f>
        <v>B202</v>
      </c>
      <c r="H202" s="87" t="s">
        <v>1295</v>
      </c>
      <c r="I202" s="89" t="str">
        <f>VLOOKUP(C202,'PREMIUM TABLES'!$G$107:$H$149,2,FALSE)</f>
        <v>C1</v>
      </c>
      <c r="J202" s="87">
        <v>183.89</v>
      </c>
      <c r="K202" s="87">
        <v>203.66658182515411</v>
      </c>
      <c r="L202" s="87">
        <v>224</v>
      </c>
      <c r="M202" s="87">
        <v>61.571399999999997</v>
      </c>
      <c r="O202" s="87" t="s">
        <v>184</v>
      </c>
      <c r="P202" s="87" t="s">
        <v>226</v>
      </c>
      <c r="Q202" s="229" t="s">
        <v>209</v>
      </c>
      <c r="R202" s="87" t="str">
        <f>VLOOKUP(E202,'PREMIUM TABLES'!$F$214:$G$219,2,FALSE)</f>
        <v>GROUND</v>
      </c>
      <c r="S202" s="87" t="str" cm="1">
        <f t="array" ref="S202">IF(AND(L202&gt;0,L202&lt;90),"A",IF(AND(L202&gt;90,L202&lt;123),"B",IF(AND(L202&gt;122,L202&lt;159),"C",IF(AND(L202&gt;159,L202&lt;185),"D",IF(AND(L202&gt;185,L202&lt;230),"E",IF(AND(L202&gt;230,L202&lt;350),"F",NONE))))))</f>
        <v>E</v>
      </c>
      <c r="T202" s="230">
        <f>VLOOKUP(O202,'PREMIUM TABLES'!$G$165:$H$172,2,FALSE)</f>
        <v>0.15</v>
      </c>
      <c r="U202" s="230">
        <f>VLOOKUP(P202,'PREMIUM TABLES'!$G$208:$H$209,2,FALSE)</f>
        <v>0.05</v>
      </c>
      <c r="V202" s="230">
        <f>VLOOKUP(Q202,'PREMIUM TABLES'!$G$175:$H$195,2,FALSE)</f>
        <v>0.6</v>
      </c>
      <c r="W202" s="230">
        <f>VLOOKUP(R202,'PREMIUM TABLES'!$G$214:$H$219,2,FALSE)</f>
        <v>0.05</v>
      </c>
      <c r="X202" s="230">
        <f>VLOOKUP(S202,'PREMIUM TABLES'!$F$199:$H$205,3,FALSE)</f>
        <v>1.4999999999999999E-2</v>
      </c>
      <c r="Y202" s="231">
        <f t="shared" si="32"/>
        <v>0.8650000000000001</v>
      </c>
      <c r="Z202" s="231" t="str" cm="1">
        <f t="array" ref="Z202">IF(AND(Y202&gt;0,Y202&lt;0.5),"C",IF(AND(Y202&gt;=0.5,Y202&lt;0.73),"B",IF(AND(Y202&gt;=0.73,Y202&lt;0.98),"A",NONE)))</f>
        <v>A</v>
      </c>
      <c r="AA202" s="231" t="str">
        <f>VLOOKUP(G202,'ALL (R)'!$N$5:$R$862,5,FALSE)</f>
        <v>R 9</v>
      </c>
      <c r="AB202" s="232">
        <f>VLOOKUP(AA202,FACTS!$B$2:$L$14,10,FALSE)</f>
        <v>53550</v>
      </c>
      <c r="AC202" s="232">
        <f>VLOOKUP(AA202,FACTS!$B$2:$L$14,11,FALSE)</f>
        <v>59850</v>
      </c>
      <c r="AD202" s="232">
        <f>VLOOKUP(AA202,FACTS!$B$2:$N$14,13,FALSE)</f>
        <v>6300</v>
      </c>
      <c r="AE202" s="232">
        <f t="shared" si="33"/>
        <v>5449.5000000000009</v>
      </c>
      <c r="AF202" s="232">
        <f t="shared" si="34"/>
        <v>58999.5</v>
      </c>
      <c r="AG202" s="232">
        <f>AF202*FACTS!$T$2</f>
        <v>19469.834999999999</v>
      </c>
      <c r="AH202" s="232">
        <f>Table1[[#This Row],[UNIT (BUILDING) RATE (SEMI FINISHED)]]+4500</f>
        <v>63499.5</v>
      </c>
      <c r="AI202" s="232">
        <f>Table1[[#This Row],[UNIT (BUILDING) RATE (SEMI FINISHED)]]+7500</f>
        <v>66499.5</v>
      </c>
      <c r="AJ202" s="232">
        <f t="shared" si="35"/>
        <v>13215888</v>
      </c>
      <c r="AK202" s="232">
        <f>Table1[[#This Row],[UNIT (BUILDING) RATE (BASIC FINISH)]]*Table1[[#This Row],[Unit Selling Area]]</f>
        <v>14223888</v>
      </c>
      <c r="AL202" s="232">
        <f>Table1[[#This Row],[UNIT (BUILDING) RATE (FULLY FINISH)]]*Table1[[#This Row],[Unit Selling Area]]</f>
        <v>14895888</v>
      </c>
      <c r="AM202" s="232">
        <f t="shared" si="36"/>
        <v>1198784.9987189998</v>
      </c>
      <c r="AN202" s="232">
        <f>(AM202+AJ202)*FACTS!$S$2</f>
        <v>1225247.204891115</v>
      </c>
      <c r="AO202" s="101">
        <f>VLOOKUP(S202,FACTS!$A$17:$C$23,3,FALSE)</f>
        <v>2</v>
      </c>
      <c r="AP202" s="232">
        <f>VLOOKUP(AA202,FACTS!$B$2:$J$14,9,FALSE)</f>
        <v>252000</v>
      </c>
      <c r="AQ202" s="232">
        <f>Table1[[#This Row],[PARKING VALUE]]*1</f>
        <v>252000</v>
      </c>
      <c r="AR202" s="232">
        <f t="shared" si="30"/>
        <v>14666672.998718999</v>
      </c>
      <c r="AS202" s="440">
        <f>Table1[[#This Row],[TOTAL CARS VALUE]]+Table1[[#This Row],[UNIT (BUILDING) VALUE BASIC FINISHED]]+Table1[[#This Row],[UNIT (GARDEN) VALUE]]</f>
        <v>15674672.998718999</v>
      </c>
      <c r="AT202" s="232">
        <f>Table1[[#This Row],[TOTAL CARS VALUE]]+Table1[[#This Row],[UNIT (GARDEN) VALUE]]+Table1[[#This Row],[UNIT (BUILDING) VALUE FULLY FINISHED]]</f>
        <v>16346672.998718999</v>
      </c>
      <c r="AU202" s="233">
        <f>VLOOKUP(I202,'C PHASES'!$I$108:$J$110,2,FALSE)</f>
        <v>45839</v>
      </c>
      <c r="AV202" s="233">
        <f>VLOOKUP(AA202,'C PHASES'!$I$113:$J$125,2,FALSE)</f>
        <v>45931</v>
      </c>
    </row>
    <row r="203" spans="1:48" ht="15" customHeight="1" x14ac:dyDescent="0.25">
      <c r="A203" s="235"/>
      <c r="B203" s="227" t="str">
        <f t="shared" si="31"/>
        <v>B</v>
      </c>
      <c r="C203" s="227" t="s">
        <v>31</v>
      </c>
      <c r="D203" s="227" t="s">
        <v>1147</v>
      </c>
      <c r="E203" s="228">
        <v>0</v>
      </c>
      <c r="F203" s="101">
        <v>3</v>
      </c>
      <c r="G203" s="87" t="str">
        <f t="shared" si="37"/>
        <v>B203</v>
      </c>
      <c r="H203" s="87" t="s">
        <v>1294</v>
      </c>
      <c r="I203" s="89" t="str">
        <f>VLOOKUP(C203,'PREMIUM TABLES'!$G$107:$H$149,2,FALSE)</f>
        <v>C1</v>
      </c>
      <c r="J203" s="87">
        <v>163.35</v>
      </c>
      <c r="K203" s="87">
        <v>180.91759280623702</v>
      </c>
      <c r="L203" s="87">
        <v>199</v>
      </c>
      <c r="M203" s="87">
        <v>76.321799999999996</v>
      </c>
      <c r="O203" s="87" t="s">
        <v>184</v>
      </c>
      <c r="P203" s="87" t="s">
        <v>190</v>
      </c>
      <c r="Q203" s="229" t="s">
        <v>209</v>
      </c>
      <c r="R203" s="87" t="str">
        <f>VLOOKUP(E203,'PREMIUM TABLES'!$F$214:$G$219,2,FALSE)</f>
        <v>GROUND</v>
      </c>
      <c r="S203" s="87" t="str" cm="1">
        <f t="array" ref="S203">IF(AND(L203&gt;0,L203&lt;90),"A",IF(AND(L203&gt;90,L203&lt;123),"B",IF(AND(L203&gt;122,L203&lt;159),"C",IF(AND(L203&gt;159,L203&lt;185),"D",IF(AND(L203&gt;185,L203&lt;230),"E",IF(AND(L203&gt;230,L203&lt;350),"F",NONE))))))</f>
        <v>E</v>
      </c>
      <c r="T203" s="230">
        <f>VLOOKUP(O203,'PREMIUM TABLES'!$G$165:$H$172,2,FALSE)</f>
        <v>0.15</v>
      </c>
      <c r="U203" s="230">
        <f>VLOOKUP(P203,'PREMIUM TABLES'!$G$208:$H$209,2,FALSE)</f>
        <v>2.5000000000000001E-2</v>
      </c>
      <c r="V203" s="230">
        <f>VLOOKUP(Q203,'PREMIUM TABLES'!$G$175:$H$195,2,FALSE)</f>
        <v>0.6</v>
      </c>
      <c r="W203" s="230">
        <f>VLOOKUP(R203,'PREMIUM TABLES'!$G$214:$H$219,2,FALSE)</f>
        <v>0.05</v>
      </c>
      <c r="X203" s="230">
        <f>VLOOKUP(S203,'PREMIUM TABLES'!$F$199:$H$205,3,FALSE)</f>
        <v>1.4999999999999999E-2</v>
      </c>
      <c r="Y203" s="231">
        <f t="shared" si="32"/>
        <v>0.84</v>
      </c>
      <c r="Z203" s="231" t="str" cm="1">
        <f t="array" ref="Z203">IF(AND(Y203&gt;0,Y203&lt;0.5),"C",IF(AND(Y203&gt;=0.5,Y203&lt;0.73),"B",IF(AND(Y203&gt;=0.73,Y203&lt;0.98),"A",NONE)))</f>
        <v>A</v>
      </c>
      <c r="AA203" s="231" t="str">
        <f>VLOOKUP(G203,'ALL (R)'!$N$5:$R$862,5,FALSE)</f>
        <v>R 8</v>
      </c>
      <c r="AB203" s="232">
        <f>VLOOKUP(AA203,FACTS!$B$2:$L$14,10,FALSE)</f>
        <v>51850</v>
      </c>
      <c r="AC203" s="232">
        <f>VLOOKUP(AA203,FACTS!$B$2:$L$14,11,FALSE)</f>
        <v>57950</v>
      </c>
      <c r="AD203" s="232">
        <f>VLOOKUP(AA203,FACTS!$B$2:$N$14,13,FALSE)</f>
        <v>6100</v>
      </c>
      <c r="AE203" s="232">
        <f t="shared" si="33"/>
        <v>5124</v>
      </c>
      <c r="AF203" s="232">
        <f t="shared" si="34"/>
        <v>56974</v>
      </c>
      <c r="AG203" s="232">
        <f>AF203*FACTS!$T$2</f>
        <v>18801.420000000002</v>
      </c>
      <c r="AH203" s="232">
        <f>Table1[[#This Row],[UNIT (BUILDING) RATE (SEMI FINISHED)]]+4500</f>
        <v>61474</v>
      </c>
      <c r="AI203" s="232">
        <f>Table1[[#This Row],[UNIT (BUILDING) RATE (SEMI FINISHED)]]+7500</f>
        <v>64474</v>
      </c>
      <c r="AJ203" s="232">
        <f t="shared" si="35"/>
        <v>11337826</v>
      </c>
      <c r="AK203" s="232">
        <f>Table1[[#This Row],[UNIT (BUILDING) RATE (BASIC FINISH)]]*Table1[[#This Row],[Unit Selling Area]]</f>
        <v>12233326</v>
      </c>
      <c r="AL203" s="232">
        <f>Table1[[#This Row],[UNIT (BUILDING) RATE (FULLY FINISH)]]*Table1[[#This Row],[Unit Selling Area]]</f>
        <v>12830326</v>
      </c>
      <c r="AM203" s="232">
        <f t="shared" si="36"/>
        <v>1434958.2169560001</v>
      </c>
      <c r="AN203" s="232">
        <f>(AM203+AJ203)*FACTS!$S$2</f>
        <v>1085686.6584412602</v>
      </c>
      <c r="AO203" s="101">
        <f>VLOOKUP(S203,FACTS!$A$17:$C$23,3,FALSE)</f>
        <v>2</v>
      </c>
      <c r="AP203" s="232">
        <f>VLOOKUP(AA203,FACTS!$B$2:$J$14,9,FALSE)</f>
        <v>244000</v>
      </c>
      <c r="AQ203" s="232">
        <f>Table1[[#This Row],[PARKING VALUE]]*1</f>
        <v>244000</v>
      </c>
      <c r="AR203" s="232">
        <f t="shared" si="30"/>
        <v>13016784.216956001</v>
      </c>
      <c r="AS203" s="440">
        <f>Table1[[#This Row],[TOTAL CARS VALUE]]+Table1[[#This Row],[UNIT (BUILDING) VALUE BASIC FINISHED]]+Table1[[#This Row],[UNIT (GARDEN) VALUE]]</f>
        <v>13912284.216956001</v>
      </c>
      <c r="AT203" s="232">
        <f>Table1[[#This Row],[TOTAL CARS VALUE]]+Table1[[#This Row],[UNIT (GARDEN) VALUE]]+Table1[[#This Row],[UNIT (BUILDING) VALUE FULLY FINISHED]]</f>
        <v>14509284.216956001</v>
      </c>
      <c r="AU203" s="233">
        <f>VLOOKUP(I203,'C PHASES'!$I$108:$J$110,2,FALSE)</f>
        <v>45839</v>
      </c>
      <c r="AV203" s="233">
        <f>VLOOKUP(AA203,'C PHASES'!$I$113:$J$125,2,FALSE)</f>
        <v>45839</v>
      </c>
    </row>
    <row r="204" spans="1:48" ht="15" customHeight="1" x14ac:dyDescent="0.25">
      <c r="A204" s="235"/>
      <c r="B204" s="227" t="str">
        <f t="shared" si="31"/>
        <v>B</v>
      </c>
      <c r="C204" s="227" t="s">
        <v>31</v>
      </c>
      <c r="D204" s="227" t="s">
        <v>1147</v>
      </c>
      <c r="E204" s="228">
        <v>0</v>
      </c>
      <c r="F204" s="101">
        <v>4</v>
      </c>
      <c r="G204" s="87" t="str">
        <f t="shared" si="37"/>
        <v>B204</v>
      </c>
      <c r="H204" s="87" t="s">
        <v>1294</v>
      </c>
      <c r="I204" s="89" t="str">
        <f>VLOOKUP(C204,'PREMIUM TABLES'!$G$107:$H$149,2,FALSE)</f>
        <v>C1</v>
      </c>
      <c r="J204" s="87">
        <v>94.92</v>
      </c>
      <c r="K204" s="87">
        <v>105.12823941945527</v>
      </c>
      <c r="L204" s="87">
        <v>116</v>
      </c>
      <c r="M204" s="87">
        <v>62.468000000000004</v>
      </c>
      <c r="O204" s="87" t="s">
        <v>185</v>
      </c>
      <c r="P204" s="87" t="s">
        <v>190</v>
      </c>
      <c r="Q204" s="229" t="s">
        <v>198</v>
      </c>
      <c r="R204" s="87" t="str">
        <f>VLOOKUP(E204,'PREMIUM TABLES'!$F$214:$G$219,2,FALSE)</f>
        <v>GROUND</v>
      </c>
      <c r="S204" s="87" t="str" cm="1">
        <f t="array" ref="S204">IF(AND(L204&gt;0,L204&lt;90),"A",IF(AND(L204&gt;90,L204&lt;123),"B",IF(AND(L204&gt;122,L204&lt;159),"C",IF(AND(L204&gt;159,L204&lt;185),"D",IF(AND(L204&gt;185,L204&lt;230),"E",IF(AND(L204&gt;230,L204&lt;350),"F",NONE))))))</f>
        <v>B</v>
      </c>
      <c r="T204" s="230">
        <f>VLOOKUP(O204,'PREMIUM TABLES'!$G$165:$H$172,2,FALSE)</f>
        <v>0.06</v>
      </c>
      <c r="U204" s="230">
        <f>VLOOKUP(P204,'PREMIUM TABLES'!$G$208:$H$209,2,FALSE)</f>
        <v>2.5000000000000001E-2</v>
      </c>
      <c r="V204" s="230">
        <f>VLOOKUP(Q204,'PREMIUM TABLES'!$G$175:$H$195,2,FALSE)</f>
        <v>0.15</v>
      </c>
      <c r="W204" s="230">
        <f>VLOOKUP(R204,'PREMIUM TABLES'!$G$214:$H$219,2,FALSE)</f>
        <v>0.05</v>
      </c>
      <c r="X204" s="230">
        <f>VLOOKUP(S204,'PREMIUM TABLES'!$F$199:$H$205,3,FALSE)</f>
        <v>0.04</v>
      </c>
      <c r="Y204" s="231">
        <f t="shared" si="32"/>
        <v>0.32499999999999996</v>
      </c>
      <c r="Z204" s="231" t="str" cm="1">
        <f t="array" ref="Z204">IF(AND(Y204&gt;0,Y204&lt;0.5),"C",IF(AND(Y204&gt;=0.5,Y204&lt;0.73),"B",IF(AND(Y204&gt;=0.73,Y204&lt;0.98),"A",NONE)))</f>
        <v>C</v>
      </c>
      <c r="AA204" s="231" t="str">
        <f>VLOOKUP(G204,'ALL (R)'!$N$5:$R$862,5,FALSE)</f>
        <v>R 1</v>
      </c>
      <c r="AB204" s="232">
        <f>VLOOKUP(AA204,FACTS!$B$2:$L$14,10,FALSE)</f>
        <v>42500</v>
      </c>
      <c r="AC204" s="232">
        <f>VLOOKUP(AA204,FACTS!$B$2:$L$14,11,FALSE)</f>
        <v>47500</v>
      </c>
      <c r="AD204" s="232">
        <f>VLOOKUP(AA204,FACTS!$B$2:$N$14,13,FALSE)</f>
        <v>5000</v>
      </c>
      <c r="AE204" s="232">
        <f t="shared" si="33"/>
        <v>1624.9999999999998</v>
      </c>
      <c r="AF204" s="232">
        <f t="shared" si="34"/>
        <v>44125</v>
      </c>
      <c r="AG204" s="232">
        <f>AF204*FACTS!$T$2</f>
        <v>14561.25</v>
      </c>
      <c r="AH204" s="232">
        <f>Table1[[#This Row],[UNIT (BUILDING) RATE (SEMI FINISHED)]]+4500</f>
        <v>48625</v>
      </c>
      <c r="AI204" s="232">
        <f>Table1[[#This Row],[UNIT (BUILDING) RATE (SEMI FINISHED)]]+7500</f>
        <v>51625</v>
      </c>
      <c r="AJ204" s="232">
        <f t="shared" si="35"/>
        <v>5118500</v>
      </c>
      <c r="AK204" s="232">
        <f>Table1[[#This Row],[UNIT (BUILDING) RATE (BASIC FINISH)]]*Table1[[#This Row],[Unit Selling Area]]</f>
        <v>5640500</v>
      </c>
      <c r="AL204" s="232">
        <f>Table1[[#This Row],[UNIT (BUILDING) RATE (FULLY FINISH)]]*Table1[[#This Row],[Unit Selling Area]]</f>
        <v>5988500</v>
      </c>
      <c r="AM204" s="232">
        <f t="shared" si="36"/>
        <v>909612.16500000004</v>
      </c>
      <c r="AN204" s="232">
        <f>(AM204+AJ204)*FACTS!$S$2</f>
        <v>512389.53402500006</v>
      </c>
      <c r="AO204" s="101">
        <f>VLOOKUP(S204,FACTS!$A$17:$C$23,3,FALSE)</f>
        <v>1</v>
      </c>
      <c r="AP204" s="232">
        <f>VLOOKUP(AA204,FACTS!$B$2:$J$14,9,FALSE)</f>
        <v>200000</v>
      </c>
      <c r="AQ204" s="232">
        <f>Table1[[#This Row],[PARKING VALUE]]*1</f>
        <v>200000</v>
      </c>
      <c r="AR204" s="232">
        <f t="shared" si="30"/>
        <v>6228112.165</v>
      </c>
      <c r="AS204" s="440">
        <f>Table1[[#This Row],[TOTAL CARS VALUE]]+Table1[[#This Row],[UNIT (BUILDING) VALUE BASIC FINISHED]]+Table1[[#This Row],[UNIT (GARDEN) VALUE]]</f>
        <v>6750112.165</v>
      </c>
      <c r="AT204" s="232">
        <f>Table1[[#This Row],[TOTAL CARS VALUE]]+Table1[[#This Row],[UNIT (GARDEN) VALUE]]+Table1[[#This Row],[UNIT (BUILDING) VALUE FULLY FINISHED]]</f>
        <v>7098112.165</v>
      </c>
      <c r="AU204" s="233">
        <f>VLOOKUP(I204,'C PHASES'!$I$108:$J$110,2,FALSE)</f>
        <v>45839</v>
      </c>
      <c r="AV204" s="233">
        <f>VLOOKUP(AA204,'C PHASES'!$I$113:$J$125,2,FALSE)</f>
        <v>45170</v>
      </c>
    </row>
    <row r="205" spans="1:48" ht="15" customHeight="1" x14ac:dyDescent="0.25">
      <c r="A205" s="235"/>
      <c r="B205" s="227" t="str">
        <f t="shared" si="31"/>
        <v>B</v>
      </c>
      <c r="C205" s="227" t="s">
        <v>31</v>
      </c>
      <c r="D205" s="227" t="s">
        <v>1147</v>
      </c>
      <c r="E205" s="228">
        <v>1</v>
      </c>
      <c r="F205" s="101">
        <v>1</v>
      </c>
      <c r="G205" s="87" t="str">
        <f t="shared" si="37"/>
        <v>B211</v>
      </c>
      <c r="H205" s="87" t="s">
        <v>1294</v>
      </c>
      <c r="I205" s="89" t="str">
        <f>VLOOKUP(C205,'PREMIUM TABLES'!$G$107:$H$149,2,FALSE)</f>
        <v>C1</v>
      </c>
      <c r="J205" s="87">
        <v>141.59</v>
      </c>
      <c r="K205" s="87">
        <v>156.81739801307072</v>
      </c>
      <c r="L205" s="87">
        <v>173</v>
      </c>
      <c r="O205" s="87" t="s">
        <v>185</v>
      </c>
      <c r="P205" s="87" t="s">
        <v>226</v>
      </c>
      <c r="Q205" s="229" t="s">
        <v>198</v>
      </c>
      <c r="R205" s="87" t="str">
        <f>VLOOKUP(E205,'PREMIUM TABLES'!$F$214:$G$219,2,FALSE)</f>
        <v>FIRST</v>
      </c>
      <c r="S205" s="87" t="str" cm="1">
        <f t="array" ref="S205">IF(AND(L205&gt;0,L205&lt;90),"A",IF(AND(L205&gt;90,L205&lt;123),"B",IF(AND(L205&gt;122,L205&lt;159),"C",IF(AND(L205&gt;159,L205&lt;185),"D",IF(AND(L205&gt;185,L205&lt;230),"E",IF(AND(L205&gt;230,L205&lt;350),"F",NONE))))))</f>
        <v>D</v>
      </c>
      <c r="T205" s="230">
        <f>VLOOKUP(O205,'PREMIUM TABLES'!$G$165:$H$172,2,FALSE)</f>
        <v>0.06</v>
      </c>
      <c r="U205" s="230">
        <f>VLOOKUP(P205,'PREMIUM TABLES'!$G$208:$H$209,2,FALSE)</f>
        <v>0.05</v>
      </c>
      <c r="V205" s="230">
        <f>VLOOKUP(Q205,'PREMIUM TABLES'!$G$175:$H$195,2,FALSE)</f>
        <v>0.15</v>
      </c>
      <c r="W205" s="230">
        <f>VLOOKUP(R205,'PREMIUM TABLES'!$G$214:$H$219,2,FALSE)</f>
        <v>7.0000000000000007E-2</v>
      </c>
      <c r="X205" s="230">
        <f>VLOOKUP(S205,'PREMIUM TABLES'!$F$199:$H$205,3,FALSE)</f>
        <v>2.5000000000000001E-2</v>
      </c>
      <c r="Y205" s="231">
        <f t="shared" si="32"/>
        <v>0.35500000000000004</v>
      </c>
      <c r="Z205" s="231" t="str" cm="1">
        <f t="array" ref="Z205">IF(AND(Y205&gt;0,Y205&lt;0.5),"C",IF(AND(Y205&gt;=0.5,Y205&lt;0.73),"B",IF(AND(Y205&gt;=0.73,Y205&lt;0.98),"A",NONE)))</f>
        <v>C</v>
      </c>
      <c r="AA205" s="231" t="str">
        <f>VLOOKUP(G205,'ALL (R)'!$N$5:$R$862,5,FALSE)</f>
        <v>R 1</v>
      </c>
      <c r="AB205" s="232">
        <f>VLOOKUP(AA205,FACTS!$B$2:$L$14,10,FALSE)</f>
        <v>42500</v>
      </c>
      <c r="AC205" s="232">
        <f>VLOOKUP(AA205,FACTS!$B$2:$L$14,11,FALSE)</f>
        <v>47500</v>
      </c>
      <c r="AD205" s="232">
        <f>VLOOKUP(AA205,FACTS!$B$2:$N$14,13,FALSE)</f>
        <v>5000</v>
      </c>
      <c r="AE205" s="232">
        <f t="shared" si="33"/>
        <v>1775.0000000000002</v>
      </c>
      <c r="AF205" s="232">
        <f t="shared" si="34"/>
        <v>44275</v>
      </c>
      <c r="AG205" s="232">
        <f>AF205*FACTS!$T$2</f>
        <v>14610.75</v>
      </c>
      <c r="AH205" s="232">
        <f>Table1[[#This Row],[UNIT (BUILDING) RATE (SEMI FINISHED)]]+4500</f>
        <v>48775</v>
      </c>
      <c r="AI205" s="232">
        <f>Table1[[#This Row],[UNIT (BUILDING) RATE (SEMI FINISHED)]]+7500</f>
        <v>51775</v>
      </c>
      <c r="AJ205" s="232">
        <f t="shared" si="35"/>
        <v>7659575</v>
      </c>
      <c r="AK205" s="232">
        <f>Table1[[#This Row],[UNIT (BUILDING) RATE (BASIC FINISH)]]*Table1[[#This Row],[Unit Selling Area]]</f>
        <v>8438075</v>
      </c>
      <c r="AL205" s="232">
        <f>Table1[[#This Row],[UNIT (BUILDING) RATE (FULLY FINISH)]]*Table1[[#This Row],[Unit Selling Area]]</f>
        <v>8957075</v>
      </c>
      <c r="AM205" s="232">
        <f t="shared" si="36"/>
        <v>0</v>
      </c>
      <c r="AN205" s="232">
        <f>(AM205+AJ205)*FACTS!$S$2</f>
        <v>651063.875</v>
      </c>
      <c r="AO205" s="101">
        <f>VLOOKUP(S205,FACTS!$A$17:$C$23,3,FALSE)</f>
        <v>2</v>
      </c>
      <c r="AP205" s="232">
        <f>VLOOKUP(AA205,FACTS!$B$2:$J$14,9,FALSE)</f>
        <v>200000</v>
      </c>
      <c r="AQ205" s="232">
        <f>Table1[[#This Row],[PARKING VALUE]]*1</f>
        <v>200000</v>
      </c>
      <c r="AR205" s="232">
        <f t="shared" si="30"/>
        <v>7859575</v>
      </c>
      <c r="AS205" s="440">
        <f>Table1[[#This Row],[TOTAL CARS VALUE]]+Table1[[#This Row],[UNIT (BUILDING) VALUE BASIC FINISHED]]+Table1[[#This Row],[UNIT (GARDEN) VALUE]]</f>
        <v>8638075</v>
      </c>
      <c r="AT205" s="232">
        <f>Table1[[#This Row],[TOTAL CARS VALUE]]+Table1[[#This Row],[UNIT (GARDEN) VALUE]]+Table1[[#This Row],[UNIT (BUILDING) VALUE FULLY FINISHED]]</f>
        <v>9157075</v>
      </c>
      <c r="AU205" s="233">
        <f>VLOOKUP(I205,'C PHASES'!$I$108:$J$110,2,FALSE)</f>
        <v>45839</v>
      </c>
      <c r="AV205" s="233">
        <f>VLOOKUP(AA205,'C PHASES'!$I$113:$J$125,2,FALSE)</f>
        <v>45170</v>
      </c>
    </row>
    <row r="206" spans="1:48" ht="15" customHeight="1" x14ac:dyDescent="0.25">
      <c r="A206" s="235"/>
      <c r="B206" s="227" t="str">
        <f t="shared" si="31"/>
        <v>B</v>
      </c>
      <c r="C206" s="227" t="s">
        <v>31</v>
      </c>
      <c r="D206" s="227" t="s">
        <v>1147</v>
      </c>
      <c r="E206" s="228">
        <v>1</v>
      </c>
      <c r="F206" s="101">
        <v>2</v>
      </c>
      <c r="G206" s="87" t="str">
        <f t="shared" si="37"/>
        <v>B212</v>
      </c>
      <c r="H206" s="87" t="s">
        <v>1295</v>
      </c>
      <c r="I206" s="89" t="str">
        <f>VLOOKUP(C206,'PREMIUM TABLES'!$G$107:$H$149,2,FALSE)</f>
        <v>C1</v>
      </c>
      <c r="J206" s="87">
        <v>183.59</v>
      </c>
      <c r="K206" s="87">
        <v>203.33431811017482</v>
      </c>
      <c r="L206" s="87">
        <v>224</v>
      </c>
      <c r="O206" s="87" t="s">
        <v>184</v>
      </c>
      <c r="P206" s="87" t="s">
        <v>226</v>
      </c>
      <c r="Q206" s="229" t="s">
        <v>209</v>
      </c>
      <c r="R206" s="87" t="str">
        <f>VLOOKUP(E206,'PREMIUM TABLES'!$F$214:$G$219,2,FALSE)</f>
        <v>FIRST</v>
      </c>
      <c r="S206" s="87" t="str" cm="1">
        <f t="array" ref="S206">IF(AND(L206&gt;0,L206&lt;90),"A",IF(AND(L206&gt;90,L206&lt;123),"B",IF(AND(L206&gt;122,L206&lt;159),"C",IF(AND(L206&gt;159,L206&lt;185),"D",IF(AND(L206&gt;185,L206&lt;230),"E",IF(AND(L206&gt;230,L206&lt;350),"F",NONE))))))</f>
        <v>E</v>
      </c>
      <c r="T206" s="230">
        <f>VLOOKUP(O206,'PREMIUM TABLES'!$G$165:$H$172,2,FALSE)</f>
        <v>0.15</v>
      </c>
      <c r="U206" s="230">
        <f>VLOOKUP(P206,'PREMIUM TABLES'!$G$208:$H$209,2,FALSE)</f>
        <v>0.05</v>
      </c>
      <c r="V206" s="230">
        <f>VLOOKUP(Q206,'PREMIUM TABLES'!$G$175:$H$195,2,FALSE)</f>
        <v>0.6</v>
      </c>
      <c r="W206" s="230">
        <f>VLOOKUP(R206,'PREMIUM TABLES'!$G$214:$H$219,2,FALSE)</f>
        <v>7.0000000000000007E-2</v>
      </c>
      <c r="X206" s="230">
        <f>VLOOKUP(S206,'PREMIUM TABLES'!$F$199:$H$205,3,FALSE)</f>
        <v>1.4999999999999999E-2</v>
      </c>
      <c r="Y206" s="231">
        <f t="shared" si="32"/>
        <v>0.88500000000000012</v>
      </c>
      <c r="Z206" s="231" t="str" cm="1">
        <f t="array" ref="Z206">IF(AND(Y206&gt;0,Y206&lt;0.5),"C",IF(AND(Y206&gt;=0.5,Y206&lt;0.73),"B",IF(AND(Y206&gt;=0.73,Y206&lt;0.98),"A",NONE)))</f>
        <v>A</v>
      </c>
      <c r="AA206" s="231" t="str">
        <f>VLOOKUP(G206,'ALL (R)'!$N$5:$R$862,5,FALSE)</f>
        <v>R 10</v>
      </c>
      <c r="AB206" s="232">
        <f>VLOOKUP(AA206,FACTS!$B$2:$L$14,10,FALSE)</f>
        <v>56100</v>
      </c>
      <c r="AC206" s="232">
        <f>VLOOKUP(AA206,FACTS!$B$2:$L$14,11,FALSE)</f>
        <v>62700</v>
      </c>
      <c r="AD206" s="232">
        <f>VLOOKUP(AA206,FACTS!$B$2:$N$14,13,FALSE)</f>
        <v>6600</v>
      </c>
      <c r="AE206" s="232">
        <f t="shared" si="33"/>
        <v>5841.0000000000009</v>
      </c>
      <c r="AF206" s="232">
        <f t="shared" si="34"/>
        <v>61941</v>
      </c>
      <c r="AG206" s="232">
        <f>AF206*FACTS!$T$2</f>
        <v>20440.530000000002</v>
      </c>
      <c r="AH206" s="232">
        <f>Table1[[#This Row],[UNIT (BUILDING) RATE (SEMI FINISHED)]]+4500</f>
        <v>66441</v>
      </c>
      <c r="AI206" s="232">
        <f>Table1[[#This Row],[UNIT (BUILDING) RATE (SEMI FINISHED)]]+7500</f>
        <v>69441</v>
      </c>
      <c r="AJ206" s="232">
        <f t="shared" si="35"/>
        <v>13874784</v>
      </c>
      <c r="AK206" s="232">
        <f>Table1[[#This Row],[UNIT (BUILDING) RATE (BASIC FINISH)]]*Table1[[#This Row],[Unit Selling Area]]</f>
        <v>14882784</v>
      </c>
      <c r="AL206" s="232">
        <f>Table1[[#This Row],[UNIT (BUILDING) RATE (FULLY FINISH)]]*Table1[[#This Row],[Unit Selling Area]]</f>
        <v>15554784</v>
      </c>
      <c r="AM206" s="232">
        <f t="shared" si="36"/>
        <v>0</v>
      </c>
      <c r="AN206" s="232">
        <f>(AM206+AJ206)*FACTS!$S$2</f>
        <v>1179356.6400000001</v>
      </c>
      <c r="AO206" s="101">
        <f>VLOOKUP(S206,FACTS!$A$17:$C$23,3,FALSE)</f>
        <v>2</v>
      </c>
      <c r="AP206" s="232">
        <f>VLOOKUP(AA206,FACTS!$B$2:$J$14,9,FALSE)</f>
        <v>264000</v>
      </c>
      <c r="AQ206" s="232">
        <f>Table1[[#This Row],[PARKING VALUE]]*1</f>
        <v>264000</v>
      </c>
      <c r="AR206" s="232">
        <f t="shared" si="30"/>
        <v>14138784</v>
      </c>
      <c r="AS206" s="440">
        <f>Table1[[#This Row],[TOTAL CARS VALUE]]+Table1[[#This Row],[UNIT (BUILDING) VALUE BASIC FINISHED]]+Table1[[#This Row],[UNIT (GARDEN) VALUE]]</f>
        <v>15146784</v>
      </c>
      <c r="AT206" s="232">
        <f>Table1[[#This Row],[TOTAL CARS VALUE]]+Table1[[#This Row],[UNIT (GARDEN) VALUE]]+Table1[[#This Row],[UNIT (BUILDING) VALUE FULLY FINISHED]]</f>
        <v>15818784</v>
      </c>
      <c r="AU206" s="233">
        <f>VLOOKUP(I206,'C PHASES'!$I$108:$J$110,2,FALSE)</f>
        <v>45839</v>
      </c>
      <c r="AV206" s="233">
        <f>VLOOKUP(AA206,'C PHASES'!$I$113:$J$125,2,FALSE)</f>
        <v>46023</v>
      </c>
    </row>
    <row r="207" spans="1:48" ht="15" customHeight="1" x14ac:dyDescent="0.25">
      <c r="A207" s="235"/>
      <c r="B207" s="227" t="str">
        <f t="shared" si="31"/>
        <v>B</v>
      </c>
      <c r="C207" s="227" t="s">
        <v>31</v>
      </c>
      <c r="D207" s="227" t="s">
        <v>1147</v>
      </c>
      <c r="E207" s="228">
        <v>1</v>
      </c>
      <c r="F207" s="101">
        <v>3</v>
      </c>
      <c r="G207" s="87" t="str">
        <f t="shared" si="37"/>
        <v>B213</v>
      </c>
      <c r="H207" s="87" t="s">
        <v>1294</v>
      </c>
      <c r="I207" s="89" t="str">
        <f>VLOOKUP(C207,'PREMIUM TABLES'!$G$107:$H$149,2,FALSE)</f>
        <v>C1</v>
      </c>
      <c r="J207" s="87">
        <v>163.05000000000001</v>
      </c>
      <c r="K207" s="87">
        <v>180.58532909125773</v>
      </c>
      <c r="L207" s="87">
        <v>199</v>
      </c>
      <c r="O207" s="87" t="s">
        <v>184</v>
      </c>
      <c r="P207" s="87" t="s">
        <v>190</v>
      </c>
      <c r="Q207" s="229" t="s">
        <v>209</v>
      </c>
      <c r="R207" s="87" t="str">
        <f>VLOOKUP(E207,'PREMIUM TABLES'!$F$214:$G$219,2,FALSE)</f>
        <v>FIRST</v>
      </c>
      <c r="S207" s="87" t="str" cm="1">
        <f t="array" ref="S207">IF(AND(L207&gt;0,L207&lt;90),"A",IF(AND(L207&gt;90,L207&lt;123),"B",IF(AND(L207&gt;122,L207&lt;159),"C",IF(AND(L207&gt;159,L207&lt;185),"D",IF(AND(L207&gt;185,L207&lt;230),"E",IF(AND(L207&gt;230,L207&lt;350),"F",NONE))))))</f>
        <v>E</v>
      </c>
      <c r="T207" s="230">
        <f>VLOOKUP(O207,'PREMIUM TABLES'!$G$165:$H$172,2,FALSE)</f>
        <v>0.15</v>
      </c>
      <c r="U207" s="230">
        <f>VLOOKUP(P207,'PREMIUM TABLES'!$G$208:$H$209,2,FALSE)</f>
        <v>2.5000000000000001E-2</v>
      </c>
      <c r="V207" s="230">
        <f>VLOOKUP(Q207,'PREMIUM TABLES'!$G$175:$H$195,2,FALSE)</f>
        <v>0.6</v>
      </c>
      <c r="W207" s="230">
        <f>VLOOKUP(R207,'PREMIUM TABLES'!$G$214:$H$219,2,FALSE)</f>
        <v>7.0000000000000007E-2</v>
      </c>
      <c r="X207" s="230">
        <f>VLOOKUP(S207,'PREMIUM TABLES'!$F$199:$H$205,3,FALSE)</f>
        <v>1.4999999999999999E-2</v>
      </c>
      <c r="Y207" s="231">
        <f t="shared" si="32"/>
        <v>0.86</v>
      </c>
      <c r="Z207" s="231" t="str" cm="1">
        <f t="array" ref="Z207">IF(AND(Y207&gt;0,Y207&lt;0.5),"C",IF(AND(Y207&gt;=0.5,Y207&lt;0.73),"B",IF(AND(Y207&gt;=0.73,Y207&lt;0.98),"A",NONE)))</f>
        <v>A</v>
      </c>
      <c r="AA207" s="231" t="str">
        <f>VLOOKUP(G207,'ALL (R)'!$N$5:$R$862,5,FALSE)</f>
        <v>R 9</v>
      </c>
      <c r="AB207" s="232">
        <f>VLOOKUP(AA207,FACTS!$B$2:$L$14,10,FALSE)</f>
        <v>53550</v>
      </c>
      <c r="AC207" s="232">
        <f>VLOOKUP(AA207,FACTS!$B$2:$L$14,11,FALSE)</f>
        <v>59850</v>
      </c>
      <c r="AD207" s="232">
        <f>VLOOKUP(AA207,FACTS!$B$2:$N$14,13,FALSE)</f>
        <v>6300</v>
      </c>
      <c r="AE207" s="232">
        <f t="shared" si="33"/>
        <v>5418</v>
      </c>
      <c r="AF207" s="232">
        <f t="shared" si="34"/>
        <v>58968</v>
      </c>
      <c r="AG207" s="232">
        <f>AF207*FACTS!$T$2</f>
        <v>19459.440000000002</v>
      </c>
      <c r="AH207" s="232">
        <f>Table1[[#This Row],[UNIT (BUILDING) RATE (SEMI FINISHED)]]+4500</f>
        <v>63468</v>
      </c>
      <c r="AI207" s="232">
        <f>Table1[[#This Row],[UNIT (BUILDING) RATE (SEMI FINISHED)]]+7500</f>
        <v>66468</v>
      </c>
      <c r="AJ207" s="232">
        <f t="shared" si="35"/>
        <v>11734632</v>
      </c>
      <c r="AK207" s="232">
        <f>Table1[[#This Row],[UNIT (BUILDING) RATE (BASIC FINISH)]]*Table1[[#This Row],[Unit Selling Area]]</f>
        <v>12630132</v>
      </c>
      <c r="AL207" s="232">
        <f>Table1[[#This Row],[UNIT (BUILDING) RATE (FULLY FINISH)]]*Table1[[#This Row],[Unit Selling Area]]</f>
        <v>13227132</v>
      </c>
      <c r="AM207" s="232">
        <f t="shared" si="36"/>
        <v>0</v>
      </c>
      <c r="AN207" s="232">
        <f>(AM207+AJ207)*FACTS!$S$2</f>
        <v>997443.72000000009</v>
      </c>
      <c r="AO207" s="101">
        <f>VLOOKUP(S207,FACTS!$A$17:$C$23,3,FALSE)</f>
        <v>2</v>
      </c>
      <c r="AP207" s="232">
        <f>VLOOKUP(AA207,FACTS!$B$2:$J$14,9,FALSE)</f>
        <v>252000</v>
      </c>
      <c r="AQ207" s="232">
        <f>Table1[[#This Row],[PARKING VALUE]]*1</f>
        <v>252000</v>
      </c>
      <c r="AR207" s="232">
        <f t="shared" si="30"/>
        <v>11986632</v>
      </c>
      <c r="AS207" s="440">
        <f>Table1[[#This Row],[TOTAL CARS VALUE]]+Table1[[#This Row],[UNIT (BUILDING) VALUE BASIC FINISHED]]+Table1[[#This Row],[UNIT (GARDEN) VALUE]]</f>
        <v>12882132</v>
      </c>
      <c r="AT207" s="232">
        <f>Table1[[#This Row],[TOTAL CARS VALUE]]+Table1[[#This Row],[UNIT (GARDEN) VALUE]]+Table1[[#This Row],[UNIT (BUILDING) VALUE FULLY FINISHED]]</f>
        <v>13479132</v>
      </c>
      <c r="AU207" s="233">
        <f>VLOOKUP(I207,'C PHASES'!$I$108:$J$110,2,FALSE)</f>
        <v>45839</v>
      </c>
      <c r="AV207" s="233">
        <f>VLOOKUP(AA207,'C PHASES'!$I$113:$J$125,2,FALSE)</f>
        <v>45931</v>
      </c>
    </row>
    <row r="208" spans="1:48" ht="15" customHeight="1" x14ac:dyDescent="0.25">
      <c r="A208" s="235"/>
      <c r="B208" s="227" t="str">
        <f t="shared" si="31"/>
        <v>B</v>
      </c>
      <c r="C208" s="227" t="s">
        <v>31</v>
      </c>
      <c r="D208" s="227" t="s">
        <v>1147</v>
      </c>
      <c r="E208" s="228">
        <v>1</v>
      </c>
      <c r="F208" s="101">
        <v>4</v>
      </c>
      <c r="G208" s="87" t="str">
        <f t="shared" si="37"/>
        <v>B214</v>
      </c>
      <c r="H208" s="87" t="s">
        <v>1293</v>
      </c>
      <c r="I208" s="89" t="str">
        <f>VLOOKUP(C208,'PREMIUM TABLES'!$G$107:$H$149,2,FALSE)</f>
        <v>C1</v>
      </c>
      <c r="J208" s="87">
        <v>96.29</v>
      </c>
      <c r="K208" s="87">
        <v>106.64557705119415</v>
      </c>
      <c r="L208" s="87">
        <v>117</v>
      </c>
      <c r="O208" s="87" t="s">
        <v>185</v>
      </c>
      <c r="P208" s="87" t="s">
        <v>190</v>
      </c>
      <c r="Q208" s="229" t="s">
        <v>198</v>
      </c>
      <c r="R208" s="87" t="str">
        <f>VLOOKUP(E208,'PREMIUM TABLES'!$F$214:$G$219,2,FALSE)</f>
        <v>FIRST</v>
      </c>
      <c r="S208" s="87" t="str" cm="1">
        <f t="array" ref="S208">IF(AND(L208&gt;0,L208&lt;90),"A",IF(AND(L208&gt;90,L208&lt;123),"B",IF(AND(L208&gt;122,L208&lt;159),"C",IF(AND(L208&gt;159,L208&lt;185),"D",IF(AND(L208&gt;185,L208&lt;230),"E",IF(AND(L208&gt;230,L208&lt;350),"F",NONE))))))</f>
        <v>B</v>
      </c>
      <c r="T208" s="230">
        <f>VLOOKUP(O208,'PREMIUM TABLES'!$G$165:$H$172,2,FALSE)</f>
        <v>0.06</v>
      </c>
      <c r="U208" s="230">
        <f>VLOOKUP(P208,'PREMIUM TABLES'!$G$208:$H$209,2,FALSE)</f>
        <v>2.5000000000000001E-2</v>
      </c>
      <c r="V208" s="230">
        <f>VLOOKUP(Q208,'PREMIUM TABLES'!$G$175:$H$195,2,FALSE)</f>
        <v>0.15</v>
      </c>
      <c r="W208" s="230">
        <f>VLOOKUP(R208,'PREMIUM TABLES'!$G$214:$H$219,2,FALSE)</f>
        <v>7.0000000000000007E-2</v>
      </c>
      <c r="X208" s="230">
        <f>VLOOKUP(S208,'PREMIUM TABLES'!$F$199:$H$205,3,FALSE)</f>
        <v>0.04</v>
      </c>
      <c r="Y208" s="231">
        <f t="shared" si="32"/>
        <v>0.34499999999999997</v>
      </c>
      <c r="Z208" s="231" t="str" cm="1">
        <f t="array" ref="Z208">IF(AND(Y208&gt;0,Y208&lt;0.5),"C",IF(AND(Y208&gt;=0.5,Y208&lt;0.73),"B",IF(AND(Y208&gt;=0.73,Y208&lt;0.98),"A",NONE)))</f>
        <v>C</v>
      </c>
      <c r="AA208" s="231" t="str">
        <f>VLOOKUP(G208,'ALL (R)'!$N$5:$R$862,5,FALSE)</f>
        <v>R 1</v>
      </c>
      <c r="AB208" s="232">
        <f>VLOOKUP(AA208,FACTS!$B$2:$L$14,10,FALSE)</f>
        <v>42500</v>
      </c>
      <c r="AC208" s="232">
        <f>VLOOKUP(AA208,FACTS!$B$2:$L$14,11,FALSE)</f>
        <v>47500</v>
      </c>
      <c r="AD208" s="232">
        <f>VLOOKUP(AA208,FACTS!$B$2:$N$14,13,FALSE)</f>
        <v>5000</v>
      </c>
      <c r="AE208" s="232">
        <f t="shared" si="33"/>
        <v>1724.9999999999998</v>
      </c>
      <c r="AF208" s="232">
        <f t="shared" si="34"/>
        <v>44225</v>
      </c>
      <c r="AG208" s="232">
        <f>AF208*FACTS!$T$2</f>
        <v>14594.25</v>
      </c>
      <c r="AH208" s="232">
        <f>Table1[[#This Row],[UNIT (BUILDING) RATE (SEMI FINISHED)]]+4500</f>
        <v>48725</v>
      </c>
      <c r="AI208" s="232">
        <f>Table1[[#This Row],[UNIT (BUILDING) RATE (SEMI FINISHED)]]+7500</f>
        <v>51725</v>
      </c>
      <c r="AJ208" s="232">
        <f t="shared" si="35"/>
        <v>5174325</v>
      </c>
      <c r="AK208" s="232">
        <f>Table1[[#This Row],[UNIT (BUILDING) RATE (BASIC FINISH)]]*Table1[[#This Row],[Unit Selling Area]]</f>
        <v>5700825</v>
      </c>
      <c r="AL208" s="232">
        <f>Table1[[#This Row],[UNIT (BUILDING) RATE (FULLY FINISH)]]*Table1[[#This Row],[Unit Selling Area]]</f>
        <v>6051825</v>
      </c>
      <c r="AM208" s="232">
        <f t="shared" si="36"/>
        <v>0</v>
      </c>
      <c r="AN208" s="232">
        <f>(AM208+AJ208)*FACTS!$S$2</f>
        <v>439817.62500000006</v>
      </c>
      <c r="AO208" s="101">
        <f>VLOOKUP(S208,FACTS!$A$17:$C$23,3,FALSE)</f>
        <v>1</v>
      </c>
      <c r="AP208" s="232">
        <f>VLOOKUP(AA208,FACTS!$B$2:$J$14,9,FALSE)</f>
        <v>200000</v>
      </c>
      <c r="AQ208" s="232">
        <f>Table1[[#This Row],[PARKING VALUE]]*1</f>
        <v>200000</v>
      </c>
      <c r="AR208" s="232">
        <f t="shared" si="30"/>
        <v>5374325</v>
      </c>
      <c r="AS208" s="440">
        <f>Table1[[#This Row],[TOTAL CARS VALUE]]+Table1[[#This Row],[UNIT (BUILDING) VALUE BASIC FINISHED]]+Table1[[#This Row],[UNIT (GARDEN) VALUE]]</f>
        <v>5900825</v>
      </c>
      <c r="AT208" s="232">
        <f>Table1[[#This Row],[TOTAL CARS VALUE]]+Table1[[#This Row],[UNIT (GARDEN) VALUE]]+Table1[[#This Row],[UNIT (BUILDING) VALUE FULLY FINISHED]]</f>
        <v>6251825</v>
      </c>
      <c r="AU208" s="233">
        <f>VLOOKUP(I208,'C PHASES'!$I$108:$J$110,2,FALSE)</f>
        <v>45839</v>
      </c>
      <c r="AV208" s="233">
        <f>VLOOKUP(AA208,'C PHASES'!$I$113:$J$125,2,FALSE)</f>
        <v>45170</v>
      </c>
    </row>
    <row r="209" spans="1:48" ht="15" customHeight="1" x14ac:dyDescent="0.25">
      <c r="A209" s="235"/>
      <c r="B209" s="227" t="str">
        <f t="shared" si="31"/>
        <v>B</v>
      </c>
      <c r="C209" s="227" t="s">
        <v>31</v>
      </c>
      <c r="D209" s="227" t="s">
        <v>1147</v>
      </c>
      <c r="E209" s="228">
        <v>2</v>
      </c>
      <c r="F209" s="101">
        <v>1</v>
      </c>
      <c r="G209" s="87" t="str">
        <f t="shared" si="37"/>
        <v>B221</v>
      </c>
      <c r="H209" s="87" t="s">
        <v>1294</v>
      </c>
      <c r="I209" s="89" t="str">
        <f>VLOOKUP(C209,'PREMIUM TABLES'!$G$107:$H$149,2,FALSE)</f>
        <v>C1</v>
      </c>
      <c r="J209" s="87">
        <v>143.97</v>
      </c>
      <c r="K209" s="87">
        <v>159.45335681857327</v>
      </c>
      <c r="L209" s="87">
        <v>176</v>
      </c>
      <c r="O209" s="87" t="s">
        <v>185</v>
      </c>
      <c r="P209" s="87" t="s">
        <v>226</v>
      </c>
      <c r="Q209" s="229" t="s">
        <v>198</v>
      </c>
      <c r="R209" s="87" t="str">
        <f>VLOOKUP(E209,'PREMIUM TABLES'!$F$214:$G$219,2,FALSE)</f>
        <v>SECOND</v>
      </c>
      <c r="S209" s="87" t="str" cm="1">
        <f t="array" ref="S209">IF(AND(L209&gt;0,L209&lt;90),"A",IF(AND(L209&gt;90,L209&lt;123),"B",IF(AND(L209&gt;122,L209&lt;159),"C",IF(AND(L209&gt;159,L209&lt;185),"D",IF(AND(L209&gt;185,L209&lt;230),"E",IF(AND(L209&gt;230,L209&lt;350),"F",NONE))))))</f>
        <v>D</v>
      </c>
      <c r="T209" s="230">
        <f>VLOOKUP(O209,'PREMIUM TABLES'!$G$165:$H$172,2,FALSE)</f>
        <v>0.06</v>
      </c>
      <c r="U209" s="230">
        <f>VLOOKUP(P209,'PREMIUM TABLES'!$G$208:$H$209,2,FALSE)</f>
        <v>0.05</v>
      </c>
      <c r="V209" s="230">
        <f>VLOOKUP(Q209,'PREMIUM TABLES'!$G$175:$H$195,2,FALSE)</f>
        <v>0.15</v>
      </c>
      <c r="W209" s="230">
        <f>VLOOKUP(R209,'PREMIUM TABLES'!$G$214:$H$219,2,FALSE)</f>
        <v>0.11</v>
      </c>
      <c r="X209" s="230">
        <f>VLOOKUP(S209,'PREMIUM TABLES'!$F$199:$H$205,3,FALSE)</f>
        <v>2.5000000000000001E-2</v>
      </c>
      <c r="Y209" s="231">
        <f t="shared" si="32"/>
        <v>0.39500000000000002</v>
      </c>
      <c r="Z209" s="231" t="str" cm="1">
        <f t="array" ref="Z209">IF(AND(Y209&gt;0,Y209&lt;0.5),"C",IF(AND(Y209&gt;=0.5,Y209&lt;0.73),"B",IF(AND(Y209&gt;=0.73,Y209&lt;0.98),"A",NONE)))</f>
        <v>C</v>
      </c>
      <c r="AA209" s="231" t="str">
        <f>VLOOKUP(G209,'ALL (R)'!$N$5:$R$862,5,FALSE)</f>
        <v>R 5</v>
      </c>
      <c r="AB209" s="232">
        <f>VLOOKUP(AA209,FACTS!$B$2:$L$14,10,FALSE)</f>
        <v>46750.000000000007</v>
      </c>
      <c r="AC209" s="232">
        <f>VLOOKUP(AA209,FACTS!$B$2:$L$14,11,FALSE)</f>
        <v>52250.000000000007</v>
      </c>
      <c r="AD209" s="232">
        <f>VLOOKUP(AA209,FACTS!$B$2:$N$14,13,FALSE)</f>
        <v>5500</v>
      </c>
      <c r="AE209" s="232">
        <f t="shared" si="33"/>
        <v>2172.5</v>
      </c>
      <c r="AF209" s="232">
        <f t="shared" si="34"/>
        <v>48922.500000000007</v>
      </c>
      <c r="AG209" s="232">
        <f>AF209*FACTS!$T$2</f>
        <v>16144.425000000003</v>
      </c>
      <c r="AH209" s="232">
        <f>Table1[[#This Row],[UNIT (BUILDING) RATE (SEMI FINISHED)]]+4500</f>
        <v>53422.500000000007</v>
      </c>
      <c r="AI209" s="232">
        <f>Table1[[#This Row],[UNIT (BUILDING) RATE (SEMI FINISHED)]]+7500</f>
        <v>56422.500000000007</v>
      </c>
      <c r="AJ209" s="232">
        <f t="shared" si="35"/>
        <v>8610360.0000000019</v>
      </c>
      <c r="AK209" s="232">
        <f>Table1[[#This Row],[UNIT (BUILDING) RATE (BASIC FINISH)]]*Table1[[#This Row],[Unit Selling Area]]</f>
        <v>9402360.0000000019</v>
      </c>
      <c r="AL209" s="232">
        <f>Table1[[#This Row],[UNIT (BUILDING) RATE (FULLY FINISH)]]*Table1[[#This Row],[Unit Selling Area]]</f>
        <v>9930360.0000000019</v>
      </c>
      <c r="AM209" s="232">
        <f t="shared" si="36"/>
        <v>0</v>
      </c>
      <c r="AN209" s="232">
        <f>(AM209+AJ209)*FACTS!$S$2</f>
        <v>731880.60000000021</v>
      </c>
      <c r="AO209" s="101">
        <f>VLOOKUP(S209,FACTS!$A$17:$C$23,3,FALSE)</f>
        <v>2</v>
      </c>
      <c r="AP209" s="232">
        <f>VLOOKUP(AA209,FACTS!$B$2:$J$14,9,FALSE)</f>
        <v>220000.00000000003</v>
      </c>
      <c r="AQ209" s="232">
        <f>Table1[[#This Row],[PARKING VALUE]]*1</f>
        <v>220000.00000000003</v>
      </c>
      <c r="AR209" s="232">
        <f t="shared" si="30"/>
        <v>8830360.0000000019</v>
      </c>
      <c r="AS209" s="440">
        <f>Table1[[#This Row],[TOTAL CARS VALUE]]+Table1[[#This Row],[UNIT (BUILDING) VALUE BASIC FINISHED]]+Table1[[#This Row],[UNIT (GARDEN) VALUE]]</f>
        <v>9622360.0000000019</v>
      </c>
      <c r="AT209" s="232">
        <f>Table1[[#This Row],[TOTAL CARS VALUE]]+Table1[[#This Row],[UNIT (GARDEN) VALUE]]+Table1[[#This Row],[UNIT (BUILDING) VALUE FULLY FINISHED]]</f>
        <v>10150360.000000002</v>
      </c>
      <c r="AU209" s="233">
        <f>VLOOKUP(I209,'C PHASES'!$I$108:$J$110,2,FALSE)</f>
        <v>45839</v>
      </c>
      <c r="AV209" s="233">
        <f>VLOOKUP(AA209,'C PHASES'!$I$113:$J$125,2,FALSE)</f>
        <v>45566</v>
      </c>
    </row>
    <row r="210" spans="1:48" ht="15" customHeight="1" x14ac:dyDescent="0.25">
      <c r="A210" s="235"/>
      <c r="B210" s="227" t="str">
        <f t="shared" si="31"/>
        <v>B</v>
      </c>
      <c r="C210" s="227" t="s">
        <v>31</v>
      </c>
      <c r="D210" s="227" t="s">
        <v>1147</v>
      </c>
      <c r="E210" s="228">
        <v>2</v>
      </c>
      <c r="F210" s="101">
        <v>2</v>
      </c>
      <c r="G210" s="87" t="str">
        <f t="shared" si="37"/>
        <v>B222</v>
      </c>
      <c r="H210" s="87" t="s">
        <v>1295</v>
      </c>
      <c r="I210" s="89" t="str">
        <f>VLOOKUP(C210,'PREMIUM TABLES'!$G$107:$H$149,2,FALSE)</f>
        <v>C1</v>
      </c>
      <c r="J210" s="87">
        <v>187.09</v>
      </c>
      <c r="K210" s="87">
        <v>207.21072811826681</v>
      </c>
      <c r="L210" s="87">
        <v>228</v>
      </c>
      <c r="O210" s="87" t="s">
        <v>184</v>
      </c>
      <c r="P210" s="87" t="s">
        <v>226</v>
      </c>
      <c r="Q210" s="229" t="s">
        <v>209</v>
      </c>
      <c r="R210" s="87" t="str">
        <f>VLOOKUP(E210,'PREMIUM TABLES'!$F$214:$G$219,2,FALSE)</f>
        <v>SECOND</v>
      </c>
      <c r="S210" s="87" t="str" cm="1">
        <f t="array" ref="S210">IF(AND(L210&gt;0,L210&lt;90),"A",IF(AND(L210&gt;90,L210&lt;123),"B",IF(AND(L210&gt;122,L210&lt;159),"C",IF(AND(L210&gt;159,L210&lt;185),"D",IF(AND(L210&gt;185,L210&lt;230),"E",IF(AND(L210&gt;230,L210&lt;350),"F",NONE))))))</f>
        <v>E</v>
      </c>
      <c r="T210" s="230">
        <f>VLOOKUP(O210,'PREMIUM TABLES'!$G$165:$H$172,2,FALSE)</f>
        <v>0.15</v>
      </c>
      <c r="U210" s="230">
        <f>VLOOKUP(P210,'PREMIUM TABLES'!$G$208:$H$209,2,FALSE)</f>
        <v>0.05</v>
      </c>
      <c r="V210" s="230">
        <f>VLOOKUP(Q210,'PREMIUM TABLES'!$G$175:$H$195,2,FALSE)</f>
        <v>0.6</v>
      </c>
      <c r="W210" s="230">
        <f>VLOOKUP(R210,'PREMIUM TABLES'!$G$214:$H$219,2,FALSE)</f>
        <v>0.11</v>
      </c>
      <c r="X210" s="230">
        <f>VLOOKUP(S210,'PREMIUM TABLES'!$F$199:$H$205,3,FALSE)</f>
        <v>1.4999999999999999E-2</v>
      </c>
      <c r="Y210" s="231">
        <f t="shared" si="32"/>
        <v>0.92500000000000004</v>
      </c>
      <c r="Z210" s="231" t="str" cm="1">
        <f t="array" ref="Z210">IF(AND(Y210&gt;0,Y210&lt;0.5),"C",IF(AND(Y210&gt;=0.5,Y210&lt;0.73),"B",IF(AND(Y210&gt;=0.73,Y210&lt;0.98),"A",NONE)))</f>
        <v>A</v>
      </c>
      <c r="AA210" s="231" t="str">
        <f>VLOOKUP(G210,'ALL (R)'!$N$5:$R$862,5,FALSE)</f>
        <v>R 12</v>
      </c>
      <c r="AB210" s="232">
        <f>VLOOKUP(AA210,FACTS!$B$2:$L$14,10,FALSE)</f>
        <v>61625</v>
      </c>
      <c r="AC210" s="232">
        <f>VLOOKUP(AA210,FACTS!$B$2:$L$14,11,FALSE)</f>
        <v>68875</v>
      </c>
      <c r="AD210" s="232">
        <f>VLOOKUP(AA210,FACTS!$B$2:$N$14,13,FALSE)</f>
        <v>7250</v>
      </c>
      <c r="AE210" s="232">
        <f t="shared" si="33"/>
        <v>6706.25</v>
      </c>
      <c r="AF210" s="232">
        <f t="shared" si="34"/>
        <v>68331.25</v>
      </c>
      <c r="AG210" s="232">
        <f>AF210*FACTS!$T$2</f>
        <v>22549.3125</v>
      </c>
      <c r="AH210" s="232">
        <f>Table1[[#This Row],[UNIT (BUILDING) RATE (SEMI FINISHED)]]+4500</f>
        <v>72831.25</v>
      </c>
      <c r="AI210" s="232">
        <f>Table1[[#This Row],[UNIT (BUILDING) RATE (SEMI FINISHED)]]+7500</f>
        <v>75831.25</v>
      </c>
      <c r="AJ210" s="232">
        <f t="shared" si="35"/>
        <v>15579525</v>
      </c>
      <c r="AK210" s="232">
        <f>Table1[[#This Row],[UNIT (BUILDING) RATE (BASIC FINISH)]]*Table1[[#This Row],[Unit Selling Area]]</f>
        <v>16605525</v>
      </c>
      <c r="AL210" s="232">
        <f>Table1[[#This Row],[UNIT (BUILDING) RATE (FULLY FINISH)]]*Table1[[#This Row],[Unit Selling Area]]</f>
        <v>17289525</v>
      </c>
      <c r="AM210" s="232">
        <f t="shared" si="36"/>
        <v>0</v>
      </c>
      <c r="AN210" s="232">
        <f>(AM210+AJ210)*FACTS!$S$2</f>
        <v>1324259.625</v>
      </c>
      <c r="AO210" s="101">
        <f>VLOOKUP(S210,FACTS!$A$17:$C$23,3,FALSE)</f>
        <v>2</v>
      </c>
      <c r="AP210" s="232">
        <f>VLOOKUP(AA210,FACTS!$B$2:$J$14,9,FALSE)</f>
        <v>290000</v>
      </c>
      <c r="AQ210" s="232">
        <f>Table1[[#This Row],[PARKING VALUE]]*1</f>
        <v>290000</v>
      </c>
      <c r="AR210" s="232">
        <f t="shared" si="30"/>
        <v>15869525</v>
      </c>
      <c r="AS210" s="440">
        <f>Table1[[#This Row],[TOTAL CARS VALUE]]+Table1[[#This Row],[UNIT (BUILDING) VALUE BASIC FINISHED]]+Table1[[#This Row],[UNIT (GARDEN) VALUE]]</f>
        <v>16895525</v>
      </c>
      <c r="AT210" s="232">
        <f>Table1[[#This Row],[TOTAL CARS VALUE]]+Table1[[#This Row],[UNIT (GARDEN) VALUE]]+Table1[[#This Row],[UNIT (BUILDING) VALUE FULLY FINISHED]]</f>
        <v>17579525</v>
      </c>
      <c r="AU210" s="233">
        <f>VLOOKUP(I210,'C PHASES'!$I$108:$J$110,2,FALSE)</f>
        <v>45839</v>
      </c>
      <c r="AV210" s="233">
        <f>VLOOKUP(AA210,'C PHASES'!$I$113:$J$125,2,FALSE)</f>
        <v>46204</v>
      </c>
    </row>
    <row r="211" spans="1:48" ht="15" customHeight="1" x14ac:dyDescent="0.25">
      <c r="A211" s="235"/>
      <c r="B211" s="227" t="str">
        <f t="shared" si="31"/>
        <v>B</v>
      </c>
      <c r="C211" s="227" t="s">
        <v>31</v>
      </c>
      <c r="D211" s="227" t="s">
        <v>1147</v>
      </c>
      <c r="E211" s="228">
        <v>2</v>
      </c>
      <c r="F211" s="101">
        <v>3</v>
      </c>
      <c r="G211" s="87" t="str">
        <f t="shared" si="37"/>
        <v>B223</v>
      </c>
      <c r="H211" s="87" t="s">
        <v>1294</v>
      </c>
      <c r="I211" s="89" t="str">
        <f>VLOOKUP(C211,'PREMIUM TABLES'!$G$107:$H$149,2,FALSE)</f>
        <v>C1</v>
      </c>
      <c r="J211" s="87">
        <v>167.88</v>
      </c>
      <c r="K211" s="87">
        <v>185.93477490242469</v>
      </c>
      <c r="L211" s="87">
        <v>205</v>
      </c>
      <c r="O211" s="87" t="s">
        <v>184</v>
      </c>
      <c r="P211" s="87" t="s">
        <v>190</v>
      </c>
      <c r="Q211" s="229" t="s">
        <v>209</v>
      </c>
      <c r="R211" s="87" t="str">
        <f>VLOOKUP(E211,'PREMIUM TABLES'!$F$214:$G$219,2,FALSE)</f>
        <v>SECOND</v>
      </c>
      <c r="S211" s="87" t="str" cm="1">
        <f t="array" ref="S211">IF(AND(L211&gt;0,L211&lt;90),"A",IF(AND(L211&gt;90,L211&lt;123),"B",IF(AND(L211&gt;122,L211&lt;159),"C",IF(AND(L211&gt;159,L211&lt;185),"D",IF(AND(L211&gt;185,L211&lt;230),"E",IF(AND(L211&gt;230,L211&lt;350),"F",NONE))))))</f>
        <v>E</v>
      </c>
      <c r="T211" s="230">
        <f>VLOOKUP(O211,'PREMIUM TABLES'!$G$165:$H$172,2,FALSE)</f>
        <v>0.15</v>
      </c>
      <c r="U211" s="230">
        <f>VLOOKUP(P211,'PREMIUM TABLES'!$G$208:$H$209,2,FALSE)</f>
        <v>2.5000000000000001E-2</v>
      </c>
      <c r="V211" s="230">
        <f>VLOOKUP(Q211,'PREMIUM TABLES'!$G$175:$H$195,2,FALSE)</f>
        <v>0.6</v>
      </c>
      <c r="W211" s="230">
        <f>VLOOKUP(R211,'PREMIUM TABLES'!$G$214:$H$219,2,FALSE)</f>
        <v>0.11</v>
      </c>
      <c r="X211" s="230">
        <f>VLOOKUP(S211,'PREMIUM TABLES'!$F$199:$H$205,3,FALSE)</f>
        <v>1.4999999999999999E-2</v>
      </c>
      <c r="Y211" s="231">
        <f t="shared" si="32"/>
        <v>0.89999999999999991</v>
      </c>
      <c r="Z211" s="231" t="str" cm="1">
        <f t="array" ref="Z211">IF(AND(Y211&gt;0,Y211&lt;0.5),"C",IF(AND(Y211&gt;=0.5,Y211&lt;0.73),"B",IF(AND(Y211&gt;=0.73,Y211&lt;0.98),"A",NONE)))</f>
        <v>A</v>
      </c>
      <c r="AA211" s="231" t="str">
        <f>VLOOKUP(G211,'ALL (R)'!$N$5:$R$862,5,FALSE)</f>
        <v>R 11</v>
      </c>
      <c r="AB211" s="232">
        <f>VLOOKUP(AA211,FACTS!$B$2:$L$14,10,FALSE)</f>
        <v>58649.999999999993</v>
      </c>
      <c r="AC211" s="232">
        <f>VLOOKUP(AA211,FACTS!$B$2:$L$14,11,FALSE)</f>
        <v>65550</v>
      </c>
      <c r="AD211" s="232">
        <f>VLOOKUP(AA211,FACTS!$B$2:$N$14,13,FALSE)</f>
        <v>6900.0000000000073</v>
      </c>
      <c r="AE211" s="232">
        <f t="shared" si="33"/>
        <v>6210.0000000000064</v>
      </c>
      <c r="AF211" s="232">
        <f t="shared" si="34"/>
        <v>64860</v>
      </c>
      <c r="AG211" s="232">
        <f>AF211*FACTS!$T$2</f>
        <v>21403.8</v>
      </c>
      <c r="AH211" s="232">
        <f>Table1[[#This Row],[UNIT (BUILDING) RATE (SEMI FINISHED)]]+4500</f>
        <v>69360</v>
      </c>
      <c r="AI211" s="232">
        <f>Table1[[#This Row],[UNIT (BUILDING) RATE (SEMI FINISHED)]]+7500</f>
        <v>72360</v>
      </c>
      <c r="AJ211" s="232">
        <f t="shared" si="35"/>
        <v>13296300</v>
      </c>
      <c r="AK211" s="232">
        <f>Table1[[#This Row],[UNIT (BUILDING) RATE (BASIC FINISH)]]*Table1[[#This Row],[Unit Selling Area]]</f>
        <v>14218800</v>
      </c>
      <c r="AL211" s="232">
        <f>Table1[[#This Row],[UNIT (BUILDING) RATE (FULLY FINISH)]]*Table1[[#This Row],[Unit Selling Area]]</f>
        <v>14833800</v>
      </c>
      <c r="AM211" s="232">
        <f t="shared" si="36"/>
        <v>0</v>
      </c>
      <c r="AN211" s="232">
        <f>(AM211+AJ211)*FACTS!$S$2</f>
        <v>1130185.5</v>
      </c>
      <c r="AO211" s="101">
        <f>VLOOKUP(S211,FACTS!$A$17:$C$23,3,FALSE)</f>
        <v>2</v>
      </c>
      <c r="AP211" s="232">
        <f>VLOOKUP(AA211,FACTS!$B$2:$J$14,9,FALSE)</f>
        <v>276000</v>
      </c>
      <c r="AQ211" s="232">
        <f>Table1[[#This Row],[PARKING VALUE]]*1</f>
        <v>276000</v>
      </c>
      <c r="AR211" s="232">
        <f t="shared" si="30"/>
        <v>13572300</v>
      </c>
      <c r="AS211" s="440">
        <f>Table1[[#This Row],[TOTAL CARS VALUE]]+Table1[[#This Row],[UNIT (BUILDING) VALUE BASIC FINISHED]]+Table1[[#This Row],[UNIT (GARDEN) VALUE]]</f>
        <v>14494800</v>
      </c>
      <c r="AT211" s="232">
        <f>Table1[[#This Row],[TOTAL CARS VALUE]]+Table1[[#This Row],[UNIT (GARDEN) VALUE]]+Table1[[#This Row],[UNIT (BUILDING) VALUE FULLY FINISHED]]</f>
        <v>15109800</v>
      </c>
      <c r="AU211" s="233">
        <f>VLOOKUP(I211,'C PHASES'!$I$108:$J$110,2,FALSE)</f>
        <v>45839</v>
      </c>
      <c r="AV211" s="233">
        <f>VLOOKUP(AA211,'C PHASES'!$I$113:$J$125,2,FALSE)</f>
        <v>46113</v>
      </c>
    </row>
    <row r="212" spans="1:48" ht="15" customHeight="1" x14ac:dyDescent="0.25">
      <c r="A212" s="235"/>
      <c r="B212" s="227" t="str">
        <f t="shared" si="31"/>
        <v>B</v>
      </c>
      <c r="C212" s="227" t="s">
        <v>31</v>
      </c>
      <c r="D212" s="227" t="s">
        <v>1147</v>
      </c>
      <c r="E212" s="228">
        <v>2</v>
      </c>
      <c r="F212" s="101">
        <v>4</v>
      </c>
      <c r="G212" s="87" t="str">
        <f t="shared" si="37"/>
        <v>B224</v>
      </c>
      <c r="H212" s="87" t="s">
        <v>1294</v>
      </c>
      <c r="I212" s="89" t="str">
        <f>VLOOKUP(C212,'PREMIUM TABLES'!$G$107:$H$149,2,FALSE)</f>
        <v>C1</v>
      </c>
      <c r="J212" s="87">
        <v>141.15</v>
      </c>
      <c r="K212" s="87">
        <v>156.33007789776772</v>
      </c>
      <c r="L212" s="87">
        <v>172</v>
      </c>
      <c r="O212" s="87" t="s">
        <v>185</v>
      </c>
      <c r="P212" s="87" t="s">
        <v>190</v>
      </c>
      <c r="Q212" s="229" t="s">
        <v>198</v>
      </c>
      <c r="R212" s="87" t="str">
        <f>VLOOKUP(E212,'PREMIUM TABLES'!$F$214:$G$219,2,FALSE)</f>
        <v>SECOND</v>
      </c>
      <c r="S212" s="87" t="str" cm="1">
        <f t="array" ref="S212">IF(AND(L212&gt;0,L212&lt;90),"A",IF(AND(L212&gt;90,L212&lt;123),"B",IF(AND(L212&gt;122,L212&lt;159),"C",IF(AND(L212&gt;159,L212&lt;185),"D",IF(AND(L212&gt;185,L212&lt;230),"E",IF(AND(L212&gt;230,L212&lt;350),"F",NONE))))))</f>
        <v>D</v>
      </c>
      <c r="T212" s="230">
        <f>VLOOKUP(O212,'PREMIUM TABLES'!$G$165:$H$172,2,FALSE)</f>
        <v>0.06</v>
      </c>
      <c r="U212" s="230">
        <f>VLOOKUP(P212,'PREMIUM TABLES'!$G$208:$H$209,2,FALSE)</f>
        <v>2.5000000000000001E-2</v>
      </c>
      <c r="V212" s="230">
        <f>VLOOKUP(Q212,'PREMIUM TABLES'!$G$175:$H$195,2,FALSE)</f>
        <v>0.15</v>
      </c>
      <c r="W212" s="230">
        <f>VLOOKUP(R212,'PREMIUM TABLES'!$G$214:$H$219,2,FALSE)</f>
        <v>0.11</v>
      </c>
      <c r="X212" s="230">
        <f>VLOOKUP(S212,'PREMIUM TABLES'!$F$199:$H$205,3,FALSE)</f>
        <v>2.5000000000000001E-2</v>
      </c>
      <c r="Y212" s="231">
        <f t="shared" si="32"/>
        <v>0.37</v>
      </c>
      <c r="Z212" s="231" t="str" cm="1">
        <f t="array" ref="Z212">IF(AND(Y212&gt;0,Y212&lt;0.5),"C",IF(AND(Y212&gt;=0.5,Y212&lt;0.73),"B",IF(AND(Y212&gt;=0.73,Y212&lt;0.98),"A",NONE)))</f>
        <v>C</v>
      </c>
      <c r="AA212" s="231" t="str">
        <f>VLOOKUP(G212,'ALL (R)'!$N$5:$R$862,5,FALSE)</f>
        <v>R 2</v>
      </c>
      <c r="AB212" s="232">
        <f>VLOOKUP(AA212,FACTS!$B$2:$L$14,10,FALSE)</f>
        <v>43562.499999999993</v>
      </c>
      <c r="AC212" s="232">
        <f>VLOOKUP(AA212,FACTS!$B$2:$L$14,11,FALSE)</f>
        <v>48687.499999999993</v>
      </c>
      <c r="AD212" s="232">
        <f>VLOOKUP(AA212,FACTS!$B$2:$N$14,13,FALSE)</f>
        <v>5125</v>
      </c>
      <c r="AE212" s="232">
        <f t="shared" si="33"/>
        <v>1896.25</v>
      </c>
      <c r="AF212" s="232">
        <f t="shared" si="34"/>
        <v>45458.749999999993</v>
      </c>
      <c r="AG212" s="232">
        <f>AF212*FACTS!$T$2</f>
        <v>15001.387499999999</v>
      </c>
      <c r="AH212" s="232">
        <f>Table1[[#This Row],[UNIT (BUILDING) RATE (SEMI FINISHED)]]+4500</f>
        <v>49958.749999999993</v>
      </c>
      <c r="AI212" s="232">
        <f>Table1[[#This Row],[UNIT (BUILDING) RATE (SEMI FINISHED)]]+7500</f>
        <v>52958.749999999993</v>
      </c>
      <c r="AJ212" s="232">
        <f t="shared" si="35"/>
        <v>7818904.9999999991</v>
      </c>
      <c r="AK212" s="232">
        <f>Table1[[#This Row],[UNIT (BUILDING) RATE (BASIC FINISH)]]*Table1[[#This Row],[Unit Selling Area]]</f>
        <v>8592904.9999999981</v>
      </c>
      <c r="AL212" s="232">
        <f>Table1[[#This Row],[UNIT (BUILDING) RATE (FULLY FINISH)]]*Table1[[#This Row],[Unit Selling Area]]</f>
        <v>9108904.9999999981</v>
      </c>
      <c r="AM212" s="232">
        <f t="shared" si="36"/>
        <v>0</v>
      </c>
      <c r="AN212" s="232">
        <f>(AM212+AJ212)*FACTS!$S$2</f>
        <v>664606.92499999993</v>
      </c>
      <c r="AO212" s="101">
        <f>VLOOKUP(S212,FACTS!$A$17:$C$23,3,FALSE)</f>
        <v>2</v>
      </c>
      <c r="AP212" s="232">
        <f>VLOOKUP(AA212,FACTS!$B$2:$J$14,9,FALSE)</f>
        <v>204999.99999999997</v>
      </c>
      <c r="AQ212" s="232">
        <f>Table1[[#This Row],[PARKING VALUE]]*1</f>
        <v>204999.99999999997</v>
      </c>
      <c r="AR212" s="232">
        <f t="shared" si="30"/>
        <v>8023904.9999999991</v>
      </c>
      <c r="AS212" s="440">
        <f>Table1[[#This Row],[TOTAL CARS VALUE]]+Table1[[#This Row],[UNIT (BUILDING) VALUE BASIC FINISHED]]+Table1[[#This Row],[UNIT (GARDEN) VALUE]]</f>
        <v>8797904.9999999981</v>
      </c>
      <c r="AT212" s="232">
        <f>Table1[[#This Row],[TOTAL CARS VALUE]]+Table1[[#This Row],[UNIT (GARDEN) VALUE]]+Table1[[#This Row],[UNIT (BUILDING) VALUE FULLY FINISHED]]</f>
        <v>9313904.9999999981</v>
      </c>
      <c r="AU212" s="233">
        <f>VLOOKUP(I212,'C PHASES'!$I$108:$J$110,2,FALSE)</f>
        <v>45839</v>
      </c>
      <c r="AV212" s="233">
        <f>VLOOKUP(AA212,'C PHASES'!$I$113:$J$125,2,FALSE)</f>
        <v>45292</v>
      </c>
    </row>
    <row r="213" spans="1:48" ht="15" customHeight="1" x14ac:dyDescent="0.25">
      <c r="A213" s="235"/>
      <c r="B213" s="227" t="str">
        <f t="shared" si="31"/>
        <v>B</v>
      </c>
      <c r="C213" s="227" t="s">
        <v>31</v>
      </c>
      <c r="D213" s="227" t="s">
        <v>1147</v>
      </c>
      <c r="E213" s="228">
        <v>3</v>
      </c>
      <c r="F213" s="101">
        <v>1</v>
      </c>
      <c r="G213" s="87" t="str">
        <f t="shared" si="37"/>
        <v>B231</v>
      </c>
      <c r="H213" s="87" t="s">
        <v>1294</v>
      </c>
      <c r="I213" s="89" t="str">
        <f>VLOOKUP(C213,'PREMIUM TABLES'!$G$107:$H$149,2,FALSE)</f>
        <v>C1</v>
      </c>
      <c r="J213" s="87">
        <v>144.21</v>
      </c>
      <c r="K213" s="87">
        <v>159.71916779055672</v>
      </c>
      <c r="L213" s="87">
        <v>176</v>
      </c>
      <c r="O213" s="87" t="s">
        <v>185</v>
      </c>
      <c r="P213" s="87" t="s">
        <v>226</v>
      </c>
      <c r="Q213" s="229" t="s">
        <v>198</v>
      </c>
      <c r="R213" s="87" t="str">
        <f>VLOOKUP(E213,'PREMIUM TABLES'!$F$214:$G$219,2,FALSE)</f>
        <v>THIRD</v>
      </c>
      <c r="S213" s="87" t="str" cm="1">
        <f t="array" ref="S213">IF(AND(L213&gt;0,L213&lt;90),"A",IF(AND(L213&gt;90,L213&lt;123),"B",IF(AND(L213&gt;122,L213&lt;159),"C",IF(AND(L213&gt;159,L213&lt;185),"D",IF(AND(L213&gt;185,L213&lt;230),"E",IF(AND(L213&gt;230,L213&lt;350),"F",NONE))))))</f>
        <v>D</v>
      </c>
      <c r="T213" s="230">
        <f>VLOOKUP(O213,'PREMIUM TABLES'!$G$165:$H$172,2,FALSE)</f>
        <v>0.06</v>
      </c>
      <c r="U213" s="230">
        <f>VLOOKUP(P213,'PREMIUM TABLES'!$G$208:$H$209,2,FALSE)</f>
        <v>0.05</v>
      </c>
      <c r="V213" s="230">
        <f>VLOOKUP(Q213,'PREMIUM TABLES'!$G$175:$H$195,2,FALSE)</f>
        <v>0.15</v>
      </c>
      <c r="W213" s="230">
        <f>VLOOKUP(R213,'PREMIUM TABLES'!$G$214:$H$219,2,FALSE)</f>
        <v>0.15</v>
      </c>
      <c r="X213" s="230">
        <f>VLOOKUP(S213,'PREMIUM TABLES'!$F$199:$H$205,3,FALSE)</f>
        <v>2.5000000000000001E-2</v>
      </c>
      <c r="Y213" s="231">
        <f t="shared" si="32"/>
        <v>0.43500000000000005</v>
      </c>
      <c r="Z213" s="231" t="str" cm="1">
        <f t="array" ref="Z213">IF(AND(Y213&gt;0,Y213&lt;0.5),"C",IF(AND(Y213&gt;=0.5,Y213&lt;0.73),"B",IF(AND(Y213&gt;=0.73,Y213&lt;0.98),"A",NONE)))</f>
        <v>C</v>
      </c>
      <c r="AA213" s="231" t="str">
        <f>VLOOKUP(G213,'ALL (R)'!$N$5:$R$862,5,FALSE)</f>
        <v>R 8</v>
      </c>
      <c r="AB213" s="232">
        <f>VLOOKUP(AA213,FACTS!$B$2:$L$14,10,FALSE)</f>
        <v>51850</v>
      </c>
      <c r="AC213" s="232">
        <f>VLOOKUP(AA213,FACTS!$B$2:$L$14,11,FALSE)</f>
        <v>57950</v>
      </c>
      <c r="AD213" s="232">
        <f>VLOOKUP(AA213,FACTS!$B$2:$N$14,13,FALSE)</f>
        <v>6100</v>
      </c>
      <c r="AE213" s="232">
        <f t="shared" si="33"/>
        <v>2653.5000000000005</v>
      </c>
      <c r="AF213" s="232">
        <f t="shared" si="34"/>
        <v>54503.5</v>
      </c>
      <c r="AG213" s="232">
        <f>AF213*FACTS!$T$2</f>
        <v>17986.155000000002</v>
      </c>
      <c r="AH213" s="232">
        <f>Table1[[#This Row],[UNIT (BUILDING) RATE (SEMI FINISHED)]]+4500</f>
        <v>59003.5</v>
      </c>
      <c r="AI213" s="232">
        <f>Table1[[#This Row],[UNIT (BUILDING) RATE (SEMI FINISHED)]]+7500</f>
        <v>62003.5</v>
      </c>
      <c r="AJ213" s="232">
        <f t="shared" si="35"/>
        <v>9592616</v>
      </c>
      <c r="AK213" s="232">
        <f>Table1[[#This Row],[UNIT (BUILDING) RATE (BASIC FINISH)]]*Table1[[#This Row],[Unit Selling Area]]</f>
        <v>10384616</v>
      </c>
      <c r="AL213" s="232">
        <f>Table1[[#This Row],[UNIT (BUILDING) RATE (FULLY FINISH)]]*Table1[[#This Row],[Unit Selling Area]]</f>
        <v>10912616</v>
      </c>
      <c r="AM213" s="232">
        <f t="shared" si="36"/>
        <v>0</v>
      </c>
      <c r="AN213" s="232">
        <f>(AM213+AJ213)*FACTS!$S$2</f>
        <v>815372.3600000001</v>
      </c>
      <c r="AO213" s="101">
        <f>VLOOKUP(S213,FACTS!$A$17:$C$23,3,FALSE)</f>
        <v>2</v>
      </c>
      <c r="AP213" s="232">
        <f>VLOOKUP(AA213,FACTS!$B$2:$J$14,9,FALSE)</f>
        <v>244000</v>
      </c>
      <c r="AQ213" s="232">
        <f>Table1[[#This Row],[PARKING VALUE]]*1</f>
        <v>244000</v>
      </c>
      <c r="AR213" s="232">
        <f t="shared" si="30"/>
        <v>9836616</v>
      </c>
      <c r="AS213" s="440">
        <f>Table1[[#This Row],[TOTAL CARS VALUE]]+Table1[[#This Row],[UNIT (BUILDING) VALUE BASIC FINISHED]]+Table1[[#This Row],[UNIT (GARDEN) VALUE]]</f>
        <v>10628616</v>
      </c>
      <c r="AT213" s="232">
        <f>Table1[[#This Row],[TOTAL CARS VALUE]]+Table1[[#This Row],[UNIT (GARDEN) VALUE]]+Table1[[#This Row],[UNIT (BUILDING) VALUE FULLY FINISHED]]</f>
        <v>11156616</v>
      </c>
      <c r="AU213" s="233">
        <f>VLOOKUP(I213,'C PHASES'!$I$108:$J$110,2,FALSE)</f>
        <v>45839</v>
      </c>
      <c r="AV213" s="233">
        <f>VLOOKUP(AA213,'C PHASES'!$I$113:$J$125,2,FALSE)</f>
        <v>45839</v>
      </c>
    </row>
    <row r="214" spans="1:48" ht="15" customHeight="1" x14ac:dyDescent="0.25">
      <c r="A214" s="235"/>
      <c r="B214" s="227" t="str">
        <f t="shared" si="31"/>
        <v>B</v>
      </c>
      <c r="C214" s="227" t="s">
        <v>31</v>
      </c>
      <c r="D214" s="227" t="s">
        <v>1147</v>
      </c>
      <c r="E214" s="228">
        <v>3</v>
      </c>
      <c r="F214" s="101">
        <v>2</v>
      </c>
      <c r="G214" s="87" t="str">
        <f t="shared" si="37"/>
        <v>B232</v>
      </c>
      <c r="H214" s="87" t="s">
        <v>1295</v>
      </c>
      <c r="I214" s="89" t="str">
        <f>VLOOKUP(C214,'PREMIUM TABLES'!$G$107:$H$149,2,FALSE)</f>
        <v>C1</v>
      </c>
      <c r="J214" s="87">
        <v>187.91</v>
      </c>
      <c r="K214" s="87">
        <v>208.11891560587694</v>
      </c>
      <c r="L214" s="87">
        <v>229</v>
      </c>
      <c r="O214" s="87" t="s">
        <v>184</v>
      </c>
      <c r="P214" s="87" t="s">
        <v>226</v>
      </c>
      <c r="Q214" s="229" t="s">
        <v>209</v>
      </c>
      <c r="R214" s="87" t="str">
        <f>VLOOKUP(E214,'PREMIUM TABLES'!$F$214:$G$219,2,FALSE)</f>
        <v>THIRD</v>
      </c>
      <c r="S214" s="87" t="str" cm="1">
        <f t="array" ref="S214">IF(AND(L214&gt;0,L214&lt;90),"A",IF(AND(L214&gt;90,L214&lt;123),"B",IF(AND(L214&gt;122,L214&lt;159),"C",IF(AND(L214&gt;159,L214&lt;185),"D",IF(AND(L214&gt;185,L214&lt;230),"E",IF(AND(L214&gt;230,L214&lt;350),"F",NONE))))))</f>
        <v>E</v>
      </c>
      <c r="T214" s="230">
        <f>VLOOKUP(O214,'PREMIUM TABLES'!$G$165:$H$172,2,FALSE)</f>
        <v>0.15</v>
      </c>
      <c r="U214" s="230">
        <f>VLOOKUP(P214,'PREMIUM TABLES'!$G$208:$H$209,2,FALSE)</f>
        <v>0.05</v>
      </c>
      <c r="V214" s="230">
        <f>VLOOKUP(Q214,'PREMIUM TABLES'!$G$175:$H$195,2,FALSE)</f>
        <v>0.6</v>
      </c>
      <c r="W214" s="230">
        <f>VLOOKUP(R214,'PREMIUM TABLES'!$G$214:$H$219,2,FALSE)</f>
        <v>0.15</v>
      </c>
      <c r="X214" s="230">
        <f>VLOOKUP(S214,'PREMIUM TABLES'!$F$199:$H$205,3,FALSE)</f>
        <v>1.4999999999999999E-2</v>
      </c>
      <c r="Y214" s="231">
        <f t="shared" si="32"/>
        <v>0.96500000000000008</v>
      </c>
      <c r="Z214" s="231" t="str" cm="1">
        <f t="array" ref="Z214">IF(AND(Y214&gt;0,Y214&lt;0.5),"C",IF(AND(Y214&gt;=0.5,Y214&lt;0.73),"B",IF(AND(Y214&gt;=0.73,Y214&lt;0.98),"A",NONE)))</f>
        <v>A</v>
      </c>
      <c r="AA214" s="231" t="str">
        <f>VLOOKUP(G214,'ALL (R)'!$N$5:$R$862,5,FALSE)</f>
        <v>R 12</v>
      </c>
      <c r="AB214" s="232">
        <f>VLOOKUP(AA214,FACTS!$B$2:$L$14,10,FALSE)</f>
        <v>61625</v>
      </c>
      <c r="AC214" s="232">
        <f>VLOOKUP(AA214,FACTS!$B$2:$L$14,11,FALSE)</f>
        <v>68875</v>
      </c>
      <c r="AD214" s="232">
        <f>VLOOKUP(AA214,FACTS!$B$2:$N$14,13,FALSE)</f>
        <v>7250</v>
      </c>
      <c r="AE214" s="232">
        <f t="shared" si="33"/>
        <v>6996.2500000000009</v>
      </c>
      <c r="AF214" s="232">
        <f t="shared" si="34"/>
        <v>68621.25</v>
      </c>
      <c r="AG214" s="232">
        <f>AF214*FACTS!$T$2</f>
        <v>22645.012500000001</v>
      </c>
      <c r="AH214" s="232">
        <f>Table1[[#This Row],[UNIT (BUILDING) RATE (SEMI FINISHED)]]+4500</f>
        <v>73121.25</v>
      </c>
      <c r="AI214" s="232">
        <f>Table1[[#This Row],[UNIT (BUILDING) RATE (SEMI FINISHED)]]+7500</f>
        <v>76121.25</v>
      </c>
      <c r="AJ214" s="232">
        <f t="shared" si="35"/>
        <v>15714266.25</v>
      </c>
      <c r="AK214" s="232">
        <f>Table1[[#This Row],[UNIT (BUILDING) RATE (BASIC FINISH)]]*Table1[[#This Row],[Unit Selling Area]]</f>
        <v>16744766.25</v>
      </c>
      <c r="AL214" s="232">
        <f>Table1[[#This Row],[UNIT (BUILDING) RATE (FULLY FINISH)]]*Table1[[#This Row],[Unit Selling Area]]</f>
        <v>17431766.25</v>
      </c>
      <c r="AM214" s="232">
        <f t="shared" si="36"/>
        <v>0</v>
      </c>
      <c r="AN214" s="232">
        <f>(AM214+AJ214)*FACTS!$S$2</f>
        <v>1335712.6312500001</v>
      </c>
      <c r="AO214" s="101">
        <f>VLOOKUP(S214,FACTS!$A$17:$C$23,3,FALSE)</f>
        <v>2</v>
      </c>
      <c r="AP214" s="232">
        <f>VLOOKUP(AA214,FACTS!$B$2:$J$14,9,FALSE)</f>
        <v>290000</v>
      </c>
      <c r="AQ214" s="232">
        <f>Table1[[#This Row],[PARKING VALUE]]*1</f>
        <v>290000</v>
      </c>
      <c r="AR214" s="232">
        <f t="shared" si="30"/>
        <v>16004266.25</v>
      </c>
      <c r="AS214" s="440">
        <f>Table1[[#This Row],[TOTAL CARS VALUE]]+Table1[[#This Row],[UNIT (BUILDING) VALUE BASIC FINISHED]]+Table1[[#This Row],[UNIT (GARDEN) VALUE]]</f>
        <v>17034766.25</v>
      </c>
      <c r="AT214" s="232">
        <f>Table1[[#This Row],[TOTAL CARS VALUE]]+Table1[[#This Row],[UNIT (GARDEN) VALUE]]+Table1[[#This Row],[UNIT (BUILDING) VALUE FULLY FINISHED]]</f>
        <v>17721766.25</v>
      </c>
      <c r="AU214" s="233">
        <f>VLOOKUP(I214,'C PHASES'!$I$108:$J$110,2,FALSE)</f>
        <v>45839</v>
      </c>
      <c r="AV214" s="233">
        <f>VLOOKUP(AA214,'C PHASES'!$I$113:$J$125,2,FALSE)</f>
        <v>46204</v>
      </c>
    </row>
    <row r="215" spans="1:48" ht="15" customHeight="1" x14ac:dyDescent="0.25">
      <c r="A215" s="235"/>
      <c r="B215" s="227" t="str">
        <f t="shared" si="31"/>
        <v>B</v>
      </c>
      <c r="C215" s="227" t="s">
        <v>31</v>
      </c>
      <c r="D215" s="227" t="s">
        <v>1147</v>
      </c>
      <c r="E215" s="228">
        <v>3</v>
      </c>
      <c r="F215" s="101">
        <v>3</v>
      </c>
      <c r="G215" s="87" t="str">
        <f t="shared" si="37"/>
        <v>B233</v>
      </c>
      <c r="H215" s="87" t="s">
        <v>1294</v>
      </c>
      <c r="I215" s="89" t="str">
        <f>VLOOKUP(C215,'PREMIUM TABLES'!$G$107:$H$149,2,FALSE)</f>
        <v>C1</v>
      </c>
      <c r="J215" s="87">
        <v>165.71</v>
      </c>
      <c r="K215" s="87">
        <v>183.53140069740763</v>
      </c>
      <c r="L215" s="87">
        <v>202</v>
      </c>
      <c r="O215" s="87" t="s">
        <v>184</v>
      </c>
      <c r="P215" s="87" t="s">
        <v>190</v>
      </c>
      <c r="Q215" s="229" t="s">
        <v>209</v>
      </c>
      <c r="R215" s="87" t="str">
        <f>VLOOKUP(E215,'PREMIUM TABLES'!$F$214:$G$219,2,FALSE)</f>
        <v>THIRD</v>
      </c>
      <c r="S215" s="87" t="str" cm="1">
        <f t="array" ref="S215">IF(AND(L215&gt;0,L215&lt;90),"A",IF(AND(L215&gt;90,L215&lt;123),"B",IF(AND(L215&gt;122,L215&lt;159),"C",IF(AND(L215&gt;159,L215&lt;185),"D",IF(AND(L215&gt;185,L215&lt;230),"E",IF(AND(L215&gt;230,L215&lt;350),"F",NONE))))))</f>
        <v>E</v>
      </c>
      <c r="T215" s="230">
        <f>VLOOKUP(O215,'PREMIUM TABLES'!$G$165:$H$172,2,FALSE)</f>
        <v>0.15</v>
      </c>
      <c r="U215" s="230">
        <f>VLOOKUP(P215,'PREMIUM TABLES'!$G$208:$H$209,2,FALSE)</f>
        <v>2.5000000000000001E-2</v>
      </c>
      <c r="V215" s="230">
        <f>VLOOKUP(Q215,'PREMIUM TABLES'!$G$175:$H$195,2,FALSE)</f>
        <v>0.6</v>
      </c>
      <c r="W215" s="230">
        <f>VLOOKUP(R215,'PREMIUM TABLES'!$G$214:$H$219,2,FALSE)</f>
        <v>0.15</v>
      </c>
      <c r="X215" s="230">
        <f>VLOOKUP(S215,'PREMIUM TABLES'!$F$199:$H$205,3,FALSE)</f>
        <v>1.4999999999999999E-2</v>
      </c>
      <c r="Y215" s="231">
        <f t="shared" si="32"/>
        <v>0.94</v>
      </c>
      <c r="Z215" s="231" t="str" cm="1">
        <f t="array" ref="Z215">IF(AND(Y215&gt;0,Y215&lt;0.5),"C",IF(AND(Y215&gt;=0.5,Y215&lt;0.73),"B",IF(AND(Y215&gt;=0.73,Y215&lt;0.98),"A",NONE)))</f>
        <v>A</v>
      </c>
      <c r="AA215" s="231" t="str">
        <f>VLOOKUP(G215,'ALL (R)'!$N$5:$R$862,5,FALSE)</f>
        <v>R 12</v>
      </c>
      <c r="AB215" s="232">
        <f>VLOOKUP(AA215,FACTS!$B$2:$L$14,10,FALSE)</f>
        <v>61625</v>
      </c>
      <c r="AC215" s="232">
        <f>VLOOKUP(AA215,FACTS!$B$2:$L$14,11,FALSE)</f>
        <v>68875</v>
      </c>
      <c r="AD215" s="232">
        <f>VLOOKUP(AA215,FACTS!$B$2:$N$14,13,FALSE)</f>
        <v>7250</v>
      </c>
      <c r="AE215" s="232">
        <f t="shared" si="33"/>
        <v>6815</v>
      </c>
      <c r="AF215" s="232">
        <f t="shared" si="34"/>
        <v>68440</v>
      </c>
      <c r="AG215" s="232">
        <f>AF215*FACTS!$T$2</f>
        <v>22585.200000000001</v>
      </c>
      <c r="AH215" s="232">
        <f>Table1[[#This Row],[UNIT (BUILDING) RATE (SEMI FINISHED)]]+4500</f>
        <v>72940</v>
      </c>
      <c r="AI215" s="232">
        <f>Table1[[#This Row],[UNIT (BUILDING) RATE (SEMI FINISHED)]]+7500</f>
        <v>75940</v>
      </c>
      <c r="AJ215" s="232">
        <f t="shared" si="35"/>
        <v>13824880</v>
      </c>
      <c r="AK215" s="232">
        <f>Table1[[#This Row],[UNIT (BUILDING) RATE (BASIC FINISH)]]*Table1[[#This Row],[Unit Selling Area]]</f>
        <v>14733880</v>
      </c>
      <c r="AL215" s="232">
        <f>Table1[[#This Row],[UNIT (BUILDING) RATE (FULLY FINISH)]]*Table1[[#This Row],[Unit Selling Area]]</f>
        <v>15339880</v>
      </c>
      <c r="AM215" s="232">
        <f t="shared" si="36"/>
        <v>0</v>
      </c>
      <c r="AN215" s="232">
        <f>(AM215+AJ215)*FACTS!$S$2</f>
        <v>1175114.8</v>
      </c>
      <c r="AO215" s="101">
        <f>VLOOKUP(S215,FACTS!$A$17:$C$23,3,FALSE)</f>
        <v>2</v>
      </c>
      <c r="AP215" s="232">
        <f>VLOOKUP(AA215,FACTS!$B$2:$J$14,9,FALSE)</f>
        <v>290000</v>
      </c>
      <c r="AQ215" s="232">
        <f>Table1[[#This Row],[PARKING VALUE]]*1</f>
        <v>290000</v>
      </c>
      <c r="AR215" s="232">
        <f t="shared" si="30"/>
        <v>14114880</v>
      </c>
      <c r="AS215" s="440">
        <f>Table1[[#This Row],[TOTAL CARS VALUE]]+Table1[[#This Row],[UNIT (BUILDING) VALUE BASIC FINISHED]]+Table1[[#This Row],[UNIT (GARDEN) VALUE]]</f>
        <v>15023880</v>
      </c>
      <c r="AT215" s="232">
        <f>Table1[[#This Row],[TOTAL CARS VALUE]]+Table1[[#This Row],[UNIT (GARDEN) VALUE]]+Table1[[#This Row],[UNIT (BUILDING) VALUE FULLY FINISHED]]</f>
        <v>15629880</v>
      </c>
      <c r="AU215" s="233">
        <f>VLOOKUP(I215,'C PHASES'!$I$108:$J$110,2,FALSE)</f>
        <v>45839</v>
      </c>
      <c r="AV215" s="233">
        <f>VLOOKUP(AA215,'C PHASES'!$I$113:$J$125,2,FALSE)</f>
        <v>46204</v>
      </c>
    </row>
    <row r="216" spans="1:48" ht="15" customHeight="1" x14ac:dyDescent="0.25">
      <c r="A216" s="235"/>
      <c r="B216" s="227" t="str">
        <f t="shared" si="31"/>
        <v>B</v>
      </c>
      <c r="C216" s="227" t="s">
        <v>31</v>
      </c>
      <c r="D216" s="227" t="s">
        <v>1147</v>
      </c>
      <c r="E216" s="228">
        <v>3</v>
      </c>
      <c r="F216" s="101">
        <v>4</v>
      </c>
      <c r="G216" s="87" t="str">
        <f t="shared" si="37"/>
        <v>B234</v>
      </c>
      <c r="H216" s="87" t="s">
        <v>1294</v>
      </c>
      <c r="I216" s="89" t="str">
        <f>VLOOKUP(C216,'PREMIUM TABLES'!$G$107:$H$149,2,FALSE)</f>
        <v>C1</v>
      </c>
      <c r="J216" s="87">
        <v>141.38999999999999</v>
      </c>
      <c r="K216" s="87">
        <v>156.59588886975115</v>
      </c>
      <c r="L216" s="87">
        <v>172</v>
      </c>
      <c r="O216" s="87" t="s">
        <v>185</v>
      </c>
      <c r="P216" s="87" t="s">
        <v>190</v>
      </c>
      <c r="Q216" s="229" t="s">
        <v>198</v>
      </c>
      <c r="R216" s="87" t="str">
        <f>VLOOKUP(E216,'PREMIUM TABLES'!$F$214:$G$219,2,FALSE)</f>
        <v>THIRD</v>
      </c>
      <c r="S216" s="87" t="str" cm="1">
        <f t="array" ref="S216">IF(AND(L216&gt;0,L216&lt;90),"A",IF(AND(L216&gt;90,L216&lt;123),"B",IF(AND(L216&gt;122,L216&lt;159),"C",IF(AND(L216&gt;159,L216&lt;185),"D",IF(AND(L216&gt;185,L216&lt;230),"E",IF(AND(L216&gt;230,L216&lt;350),"F",NONE))))))</f>
        <v>D</v>
      </c>
      <c r="T216" s="230">
        <f>VLOOKUP(O216,'PREMIUM TABLES'!$G$165:$H$172,2,FALSE)</f>
        <v>0.06</v>
      </c>
      <c r="U216" s="230">
        <f>VLOOKUP(P216,'PREMIUM TABLES'!$G$208:$H$209,2,FALSE)</f>
        <v>2.5000000000000001E-2</v>
      </c>
      <c r="V216" s="230">
        <f>VLOOKUP(Q216,'PREMIUM TABLES'!$G$175:$H$195,2,FALSE)</f>
        <v>0.15</v>
      </c>
      <c r="W216" s="230">
        <f>VLOOKUP(R216,'PREMIUM TABLES'!$G$214:$H$219,2,FALSE)</f>
        <v>0.15</v>
      </c>
      <c r="X216" s="230">
        <f>VLOOKUP(S216,'PREMIUM TABLES'!$F$199:$H$205,3,FALSE)</f>
        <v>2.5000000000000001E-2</v>
      </c>
      <c r="Y216" s="231">
        <f t="shared" si="32"/>
        <v>0.41000000000000003</v>
      </c>
      <c r="Z216" s="231" t="str" cm="1">
        <f t="array" ref="Z216">IF(AND(Y216&gt;0,Y216&lt;0.5),"C",IF(AND(Y216&gt;=0.5,Y216&lt;0.73),"B",IF(AND(Y216&gt;=0.73,Y216&lt;0.98),"A",NONE)))</f>
        <v>C</v>
      </c>
      <c r="AA216" s="231" t="str">
        <f>VLOOKUP(G216,'ALL (R)'!$N$5:$R$862,5,FALSE)</f>
        <v>R 6</v>
      </c>
      <c r="AB216" s="232">
        <f>VLOOKUP(AA216,FACTS!$B$2:$L$14,10,FALSE)</f>
        <v>48450.000000000007</v>
      </c>
      <c r="AC216" s="232">
        <f>VLOOKUP(AA216,FACTS!$B$2:$L$14,11,FALSE)</f>
        <v>54150.000000000007</v>
      </c>
      <c r="AD216" s="232">
        <f>VLOOKUP(AA216,FACTS!$B$2:$N$14,13,FALSE)</f>
        <v>5700</v>
      </c>
      <c r="AE216" s="232">
        <f t="shared" si="33"/>
        <v>2337</v>
      </c>
      <c r="AF216" s="232">
        <f t="shared" si="34"/>
        <v>50787.000000000007</v>
      </c>
      <c r="AG216" s="232">
        <f>AF216*FACTS!$T$2</f>
        <v>16759.710000000003</v>
      </c>
      <c r="AH216" s="232">
        <f>Table1[[#This Row],[UNIT (BUILDING) RATE (SEMI FINISHED)]]+4500</f>
        <v>55287.000000000007</v>
      </c>
      <c r="AI216" s="232">
        <f>Table1[[#This Row],[UNIT (BUILDING) RATE (SEMI FINISHED)]]+7500</f>
        <v>58287.000000000007</v>
      </c>
      <c r="AJ216" s="232">
        <f t="shared" si="35"/>
        <v>8735364.0000000019</v>
      </c>
      <c r="AK216" s="232">
        <f>Table1[[#This Row],[UNIT (BUILDING) RATE (BASIC FINISH)]]*Table1[[#This Row],[Unit Selling Area]]</f>
        <v>9509364.0000000019</v>
      </c>
      <c r="AL216" s="232">
        <f>Table1[[#This Row],[UNIT (BUILDING) RATE (FULLY FINISH)]]*Table1[[#This Row],[Unit Selling Area]]</f>
        <v>10025364.000000002</v>
      </c>
      <c r="AM216" s="232">
        <f t="shared" si="36"/>
        <v>0</v>
      </c>
      <c r="AN216" s="232">
        <f>(AM216+AJ216)*FACTS!$S$2</f>
        <v>742505.94000000018</v>
      </c>
      <c r="AO216" s="101">
        <f>VLOOKUP(S216,FACTS!$A$17:$C$23,3,FALSE)</f>
        <v>2</v>
      </c>
      <c r="AP216" s="232">
        <f>VLOOKUP(AA216,FACTS!$B$2:$J$14,9,FALSE)</f>
        <v>228000.00000000003</v>
      </c>
      <c r="AQ216" s="232">
        <f>Table1[[#This Row],[PARKING VALUE]]*1</f>
        <v>228000.00000000003</v>
      </c>
      <c r="AR216" s="232">
        <f t="shared" si="30"/>
        <v>8963364.0000000019</v>
      </c>
      <c r="AS216" s="440">
        <f>Table1[[#This Row],[TOTAL CARS VALUE]]+Table1[[#This Row],[UNIT (BUILDING) VALUE BASIC FINISHED]]+Table1[[#This Row],[UNIT (GARDEN) VALUE]]</f>
        <v>9737364.0000000019</v>
      </c>
      <c r="AT216" s="232">
        <f>Table1[[#This Row],[TOTAL CARS VALUE]]+Table1[[#This Row],[UNIT (GARDEN) VALUE]]+Table1[[#This Row],[UNIT (BUILDING) VALUE FULLY FINISHED]]</f>
        <v>10253364.000000002</v>
      </c>
      <c r="AU216" s="233">
        <f>VLOOKUP(I216,'C PHASES'!$I$108:$J$110,2,FALSE)</f>
        <v>45839</v>
      </c>
      <c r="AV216" s="233">
        <f>VLOOKUP(AA216,'C PHASES'!$I$113:$J$125,2,FALSE)</f>
        <v>45658</v>
      </c>
    </row>
    <row r="217" spans="1:48" ht="15" customHeight="1" x14ac:dyDescent="0.25">
      <c r="A217" s="235"/>
      <c r="B217" s="227" t="str">
        <f t="shared" si="31"/>
        <v>B</v>
      </c>
      <c r="C217" s="227" t="s">
        <v>31</v>
      </c>
      <c r="D217" s="227" t="s">
        <v>1147</v>
      </c>
      <c r="E217" s="228">
        <v>4</v>
      </c>
      <c r="F217" s="101">
        <v>1</v>
      </c>
      <c r="G217" s="87" t="str">
        <f t="shared" si="37"/>
        <v>B241</v>
      </c>
      <c r="H217" s="87" t="s">
        <v>1294</v>
      </c>
      <c r="I217" s="89" t="str">
        <f>VLOOKUP(C217,'PREMIUM TABLES'!$G$107:$H$149,2,FALSE)</f>
        <v>C1</v>
      </c>
      <c r="J217" s="87">
        <v>141.91</v>
      </c>
      <c r="K217" s="87">
        <v>157.17181264238198</v>
      </c>
      <c r="L217" s="87">
        <v>173</v>
      </c>
      <c r="O217" s="87" t="s">
        <v>185</v>
      </c>
      <c r="P217" s="87" t="s">
        <v>226</v>
      </c>
      <c r="Q217" s="229" t="s">
        <v>198</v>
      </c>
      <c r="R217" s="87" t="str">
        <f>VLOOKUP(E217,'PREMIUM TABLES'!$F$214:$G$219,2,FALSE)</f>
        <v>FORTH</v>
      </c>
      <c r="S217" s="87" t="str" cm="1">
        <f t="array" ref="S217">IF(AND(L217&gt;0,L217&lt;90),"A",IF(AND(L217&gt;90,L217&lt;123),"B",IF(AND(L217&gt;122,L217&lt;159),"C",IF(AND(L217&gt;159,L217&lt;185),"D",IF(AND(L217&gt;185,L217&lt;230),"E",IF(AND(L217&gt;230,L217&lt;350),"F",NONE))))))</f>
        <v>D</v>
      </c>
      <c r="T217" s="230">
        <f>VLOOKUP(O217,'PREMIUM TABLES'!$G$165:$H$172,2,FALSE)</f>
        <v>0.06</v>
      </c>
      <c r="U217" s="230">
        <f>VLOOKUP(P217,'PREMIUM TABLES'!$G$208:$H$209,2,FALSE)</f>
        <v>0.05</v>
      </c>
      <c r="V217" s="230">
        <f>VLOOKUP(Q217,'PREMIUM TABLES'!$G$175:$H$195,2,FALSE)</f>
        <v>0.15</v>
      </c>
      <c r="W217" s="230">
        <f>VLOOKUP(R217,'PREMIUM TABLES'!$G$214:$H$219,2,FALSE)</f>
        <v>0.06</v>
      </c>
      <c r="X217" s="230">
        <f>VLOOKUP(S217,'PREMIUM TABLES'!$F$199:$H$205,3,FALSE)</f>
        <v>2.5000000000000001E-2</v>
      </c>
      <c r="Y217" s="231">
        <f t="shared" si="32"/>
        <v>0.34500000000000003</v>
      </c>
      <c r="Z217" s="231" t="str" cm="1">
        <f t="array" ref="Z217">IF(AND(Y217&gt;0,Y217&lt;0.5),"C",IF(AND(Y217&gt;=0.5,Y217&lt;0.73),"B",IF(AND(Y217&gt;=0.73,Y217&lt;0.98),"A",NONE)))</f>
        <v>C</v>
      </c>
      <c r="AA217" s="231" t="str">
        <f>VLOOKUP(G217,'ALL (R)'!$N$5:$R$862,5,FALSE)</f>
        <v>R 1</v>
      </c>
      <c r="AB217" s="232">
        <f>VLOOKUP(AA217,FACTS!$B$2:$L$14,10,FALSE)</f>
        <v>42500</v>
      </c>
      <c r="AC217" s="232">
        <f>VLOOKUP(AA217,FACTS!$B$2:$L$14,11,FALSE)</f>
        <v>47500</v>
      </c>
      <c r="AD217" s="232">
        <f>VLOOKUP(AA217,FACTS!$B$2:$N$14,13,FALSE)</f>
        <v>5000</v>
      </c>
      <c r="AE217" s="232">
        <f t="shared" si="33"/>
        <v>1725.0000000000002</v>
      </c>
      <c r="AF217" s="232">
        <f t="shared" si="34"/>
        <v>44225</v>
      </c>
      <c r="AG217" s="232">
        <f>AF217*FACTS!$T$2</f>
        <v>14594.25</v>
      </c>
      <c r="AH217" s="232">
        <f>Table1[[#This Row],[UNIT (BUILDING) RATE (SEMI FINISHED)]]+4500</f>
        <v>48725</v>
      </c>
      <c r="AI217" s="232">
        <f>Table1[[#This Row],[UNIT (BUILDING) RATE (SEMI FINISHED)]]+7500</f>
        <v>51725</v>
      </c>
      <c r="AJ217" s="232">
        <f t="shared" si="35"/>
        <v>7650925</v>
      </c>
      <c r="AK217" s="232">
        <f>Table1[[#This Row],[UNIT (BUILDING) RATE (BASIC FINISH)]]*Table1[[#This Row],[Unit Selling Area]]</f>
        <v>8429425</v>
      </c>
      <c r="AL217" s="232">
        <f>Table1[[#This Row],[UNIT (BUILDING) RATE (FULLY FINISH)]]*Table1[[#This Row],[Unit Selling Area]]</f>
        <v>8948425</v>
      </c>
      <c r="AM217" s="232">
        <f t="shared" si="36"/>
        <v>0</v>
      </c>
      <c r="AN217" s="232">
        <f>(AM217+AJ217)*FACTS!$S$2</f>
        <v>650328.625</v>
      </c>
      <c r="AO217" s="101">
        <f>VLOOKUP(S217,FACTS!$A$17:$C$23,3,FALSE)</f>
        <v>2</v>
      </c>
      <c r="AP217" s="232">
        <f>VLOOKUP(AA217,FACTS!$B$2:$J$14,9,FALSE)</f>
        <v>200000</v>
      </c>
      <c r="AQ217" s="232">
        <f>Table1[[#This Row],[PARKING VALUE]]*1</f>
        <v>200000</v>
      </c>
      <c r="AR217" s="232">
        <f t="shared" si="30"/>
        <v>7850925</v>
      </c>
      <c r="AS217" s="440">
        <f>Table1[[#This Row],[TOTAL CARS VALUE]]+Table1[[#This Row],[UNIT (BUILDING) VALUE BASIC FINISHED]]+Table1[[#This Row],[UNIT (GARDEN) VALUE]]</f>
        <v>8629425</v>
      </c>
      <c r="AT217" s="232">
        <f>Table1[[#This Row],[TOTAL CARS VALUE]]+Table1[[#This Row],[UNIT (GARDEN) VALUE]]+Table1[[#This Row],[UNIT (BUILDING) VALUE FULLY FINISHED]]</f>
        <v>9148425</v>
      </c>
      <c r="AU217" s="233">
        <f>VLOOKUP(I217,'C PHASES'!$I$108:$J$110,2,FALSE)</f>
        <v>45839</v>
      </c>
      <c r="AV217" s="233">
        <f>VLOOKUP(AA217,'C PHASES'!$I$113:$J$125,2,FALSE)</f>
        <v>45170</v>
      </c>
    </row>
    <row r="218" spans="1:48" ht="15" customHeight="1" x14ac:dyDescent="0.25">
      <c r="A218" s="235"/>
      <c r="B218" s="227" t="str">
        <f t="shared" si="31"/>
        <v>B</v>
      </c>
      <c r="C218" s="227" t="s">
        <v>31</v>
      </c>
      <c r="D218" s="227" t="s">
        <v>1147</v>
      </c>
      <c r="E218" s="228">
        <v>4</v>
      </c>
      <c r="F218" s="101">
        <v>2</v>
      </c>
      <c r="G218" s="87" t="str">
        <f t="shared" si="37"/>
        <v>B242</v>
      </c>
      <c r="H218" s="87" t="s">
        <v>1295</v>
      </c>
      <c r="I218" s="89" t="str">
        <f>VLOOKUP(C218,'PREMIUM TABLES'!$G$107:$H$149,2,FALSE)</f>
        <v>C1</v>
      </c>
      <c r="J218" s="87">
        <v>182.56</v>
      </c>
      <c r="K218" s="87">
        <v>202.19354602207918</v>
      </c>
      <c r="L218" s="87">
        <v>223</v>
      </c>
      <c r="O218" s="87" t="s">
        <v>184</v>
      </c>
      <c r="P218" s="87" t="s">
        <v>226</v>
      </c>
      <c r="Q218" s="229" t="s">
        <v>209</v>
      </c>
      <c r="R218" s="87" t="str">
        <f>VLOOKUP(E218,'PREMIUM TABLES'!$F$214:$G$219,2,FALSE)</f>
        <v>FORTH</v>
      </c>
      <c r="S218" s="87" t="str" cm="1">
        <f t="array" ref="S218">IF(AND(L218&gt;0,L218&lt;90),"A",IF(AND(L218&gt;90,L218&lt;123),"B",IF(AND(L218&gt;122,L218&lt;159),"C",IF(AND(L218&gt;159,L218&lt;185),"D",IF(AND(L218&gt;185,L218&lt;230),"E",IF(AND(L218&gt;230,L218&lt;350),"F",NONE))))))</f>
        <v>E</v>
      </c>
      <c r="T218" s="230">
        <f>VLOOKUP(O218,'PREMIUM TABLES'!$G$165:$H$172,2,FALSE)</f>
        <v>0.15</v>
      </c>
      <c r="U218" s="230">
        <f>VLOOKUP(P218,'PREMIUM TABLES'!$G$208:$H$209,2,FALSE)</f>
        <v>0.05</v>
      </c>
      <c r="V218" s="230">
        <f>VLOOKUP(Q218,'PREMIUM TABLES'!$G$175:$H$195,2,FALSE)</f>
        <v>0.6</v>
      </c>
      <c r="W218" s="230">
        <f>VLOOKUP(R218,'PREMIUM TABLES'!$G$214:$H$219,2,FALSE)</f>
        <v>0.06</v>
      </c>
      <c r="X218" s="230">
        <f>VLOOKUP(S218,'PREMIUM TABLES'!$F$199:$H$205,3,FALSE)</f>
        <v>1.4999999999999999E-2</v>
      </c>
      <c r="Y218" s="231">
        <f t="shared" si="32"/>
        <v>0.87500000000000011</v>
      </c>
      <c r="Z218" s="231" t="str" cm="1">
        <f t="array" ref="Z218">IF(AND(Y218&gt;0,Y218&lt;0.5),"C",IF(AND(Y218&gt;=0.5,Y218&lt;0.73),"B",IF(AND(Y218&gt;=0.73,Y218&lt;0.98),"A",NONE)))</f>
        <v>A</v>
      </c>
      <c r="AA218" s="231" t="str">
        <f>VLOOKUP(G218,'ALL (R)'!$N$5:$R$862,5,FALSE)</f>
        <v>R 10</v>
      </c>
      <c r="AB218" s="232">
        <f>VLOOKUP(AA218,FACTS!$B$2:$L$14,10,FALSE)</f>
        <v>56100</v>
      </c>
      <c r="AC218" s="232">
        <f>VLOOKUP(AA218,FACTS!$B$2:$L$14,11,FALSE)</f>
        <v>62700</v>
      </c>
      <c r="AD218" s="232">
        <f>VLOOKUP(AA218,FACTS!$B$2:$N$14,13,FALSE)</f>
        <v>6600</v>
      </c>
      <c r="AE218" s="232">
        <f t="shared" si="33"/>
        <v>5775.0000000000009</v>
      </c>
      <c r="AF218" s="232">
        <f t="shared" si="34"/>
        <v>61875</v>
      </c>
      <c r="AG218" s="232">
        <f>AF218*FACTS!$T$2</f>
        <v>20418.75</v>
      </c>
      <c r="AH218" s="232">
        <f>Table1[[#This Row],[UNIT (BUILDING) RATE (SEMI FINISHED)]]+4500</f>
        <v>66375</v>
      </c>
      <c r="AI218" s="232">
        <f>Table1[[#This Row],[UNIT (BUILDING) RATE (SEMI FINISHED)]]+7500</f>
        <v>69375</v>
      </c>
      <c r="AJ218" s="232">
        <f t="shared" si="35"/>
        <v>13798125</v>
      </c>
      <c r="AK218" s="232">
        <f>Table1[[#This Row],[UNIT (BUILDING) RATE (BASIC FINISH)]]*Table1[[#This Row],[Unit Selling Area]]</f>
        <v>14801625</v>
      </c>
      <c r="AL218" s="232">
        <f>Table1[[#This Row],[UNIT (BUILDING) RATE (FULLY FINISH)]]*Table1[[#This Row],[Unit Selling Area]]</f>
        <v>15470625</v>
      </c>
      <c r="AM218" s="232">
        <f t="shared" si="36"/>
        <v>0</v>
      </c>
      <c r="AN218" s="232">
        <f>(AM218+AJ218)*FACTS!$S$2</f>
        <v>1172840.625</v>
      </c>
      <c r="AO218" s="101">
        <f>VLOOKUP(S218,FACTS!$A$17:$C$23,3,FALSE)</f>
        <v>2</v>
      </c>
      <c r="AP218" s="232">
        <f>VLOOKUP(AA218,FACTS!$B$2:$J$14,9,FALSE)</f>
        <v>264000</v>
      </c>
      <c r="AQ218" s="232">
        <f>Table1[[#This Row],[PARKING VALUE]]*1</f>
        <v>264000</v>
      </c>
      <c r="AR218" s="232">
        <f t="shared" si="30"/>
        <v>14062125</v>
      </c>
      <c r="AS218" s="440">
        <f>Table1[[#This Row],[TOTAL CARS VALUE]]+Table1[[#This Row],[UNIT (BUILDING) VALUE BASIC FINISHED]]+Table1[[#This Row],[UNIT (GARDEN) VALUE]]</f>
        <v>15065625</v>
      </c>
      <c r="AT218" s="232">
        <f>Table1[[#This Row],[TOTAL CARS VALUE]]+Table1[[#This Row],[UNIT (GARDEN) VALUE]]+Table1[[#This Row],[UNIT (BUILDING) VALUE FULLY FINISHED]]</f>
        <v>15734625</v>
      </c>
      <c r="AU218" s="233">
        <f>VLOOKUP(I218,'C PHASES'!$I$108:$J$110,2,FALSE)</f>
        <v>45839</v>
      </c>
      <c r="AV218" s="233">
        <f>VLOOKUP(AA218,'C PHASES'!$I$113:$J$125,2,FALSE)</f>
        <v>46023</v>
      </c>
    </row>
    <row r="219" spans="1:48" ht="15" customHeight="1" x14ac:dyDescent="0.25">
      <c r="A219" s="235"/>
      <c r="B219" s="227" t="str">
        <f t="shared" si="31"/>
        <v>B</v>
      </c>
      <c r="C219" s="227" t="s">
        <v>31</v>
      </c>
      <c r="D219" s="227" t="s">
        <v>1147</v>
      </c>
      <c r="E219" s="228">
        <v>4</v>
      </c>
      <c r="F219" s="101">
        <v>3</v>
      </c>
      <c r="G219" s="87" t="str">
        <f t="shared" si="37"/>
        <v>B243</v>
      </c>
      <c r="H219" s="87" t="s">
        <v>1294</v>
      </c>
      <c r="I219" s="89" t="str">
        <f>VLOOKUP(C219,'PREMIUM TABLES'!$G$107:$H$149,2,FALSE)</f>
        <v>C1</v>
      </c>
      <c r="J219" s="87">
        <v>163.35</v>
      </c>
      <c r="K219" s="87">
        <v>180.91759280623702</v>
      </c>
      <c r="L219" s="87">
        <v>199</v>
      </c>
      <c r="O219" s="87" t="s">
        <v>184</v>
      </c>
      <c r="P219" s="87" t="s">
        <v>190</v>
      </c>
      <c r="Q219" s="229" t="s">
        <v>209</v>
      </c>
      <c r="R219" s="87" t="str">
        <f>VLOOKUP(E219,'PREMIUM TABLES'!$F$214:$G$219,2,FALSE)</f>
        <v>FORTH</v>
      </c>
      <c r="S219" s="87" t="str" cm="1">
        <f t="array" ref="S219">IF(AND(L219&gt;0,L219&lt;90),"A",IF(AND(L219&gt;90,L219&lt;123),"B",IF(AND(L219&gt;122,L219&lt;159),"C",IF(AND(L219&gt;159,L219&lt;185),"D",IF(AND(L219&gt;185,L219&lt;230),"E",IF(AND(L219&gt;230,L219&lt;350),"F",NONE))))))</f>
        <v>E</v>
      </c>
      <c r="T219" s="230">
        <f>VLOOKUP(O219,'PREMIUM TABLES'!$G$165:$H$172,2,FALSE)</f>
        <v>0.15</v>
      </c>
      <c r="U219" s="230">
        <f>VLOOKUP(P219,'PREMIUM TABLES'!$G$208:$H$209,2,FALSE)</f>
        <v>2.5000000000000001E-2</v>
      </c>
      <c r="V219" s="230">
        <f>VLOOKUP(Q219,'PREMIUM TABLES'!$G$175:$H$195,2,FALSE)</f>
        <v>0.6</v>
      </c>
      <c r="W219" s="230">
        <f>VLOOKUP(R219,'PREMIUM TABLES'!$G$214:$H$219,2,FALSE)</f>
        <v>0.06</v>
      </c>
      <c r="X219" s="230">
        <f>VLOOKUP(S219,'PREMIUM TABLES'!$F$199:$H$205,3,FALSE)</f>
        <v>1.4999999999999999E-2</v>
      </c>
      <c r="Y219" s="231">
        <f t="shared" si="32"/>
        <v>0.85</v>
      </c>
      <c r="Z219" s="231" t="str" cm="1">
        <f t="array" ref="Z219">IF(AND(Y219&gt;0,Y219&lt;0.5),"C",IF(AND(Y219&gt;=0.5,Y219&lt;0.73),"B",IF(AND(Y219&gt;=0.73,Y219&lt;0.98),"A",NONE)))</f>
        <v>A</v>
      </c>
      <c r="AA219" s="231" t="str">
        <f>VLOOKUP(G219,'ALL (R)'!$N$5:$R$862,5,FALSE)</f>
        <v>R 8</v>
      </c>
      <c r="AB219" s="232">
        <f>VLOOKUP(AA219,FACTS!$B$2:$L$14,10,FALSE)</f>
        <v>51850</v>
      </c>
      <c r="AC219" s="232">
        <f>VLOOKUP(AA219,FACTS!$B$2:$L$14,11,FALSE)</f>
        <v>57950</v>
      </c>
      <c r="AD219" s="232">
        <f>VLOOKUP(AA219,FACTS!$B$2:$N$14,13,FALSE)</f>
        <v>6100</v>
      </c>
      <c r="AE219" s="232">
        <f t="shared" si="33"/>
        <v>5185</v>
      </c>
      <c r="AF219" s="232">
        <f t="shared" si="34"/>
        <v>57035</v>
      </c>
      <c r="AG219" s="232">
        <f>AF219*FACTS!$T$2</f>
        <v>18821.55</v>
      </c>
      <c r="AH219" s="232">
        <f>Table1[[#This Row],[UNIT (BUILDING) RATE (SEMI FINISHED)]]+4500</f>
        <v>61535</v>
      </c>
      <c r="AI219" s="232">
        <f>Table1[[#This Row],[UNIT (BUILDING) RATE (SEMI FINISHED)]]+7500</f>
        <v>64535</v>
      </c>
      <c r="AJ219" s="232">
        <f t="shared" si="35"/>
        <v>11349965</v>
      </c>
      <c r="AK219" s="232">
        <f>Table1[[#This Row],[UNIT (BUILDING) RATE (BASIC FINISH)]]*Table1[[#This Row],[Unit Selling Area]]</f>
        <v>12245465</v>
      </c>
      <c r="AL219" s="232">
        <f>Table1[[#This Row],[UNIT (BUILDING) RATE (FULLY FINISH)]]*Table1[[#This Row],[Unit Selling Area]]</f>
        <v>12842465</v>
      </c>
      <c r="AM219" s="232">
        <f t="shared" si="36"/>
        <v>0</v>
      </c>
      <c r="AN219" s="232">
        <f>(AM219+AJ219)*FACTS!$S$2</f>
        <v>964747.02500000002</v>
      </c>
      <c r="AO219" s="101">
        <f>VLOOKUP(S219,FACTS!$A$17:$C$23,3,FALSE)</f>
        <v>2</v>
      </c>
      <c r="AP219" s="232">
        <f>VLOOKUP(AA219,FACTS!$B$2:$J$14,9,FALSE)</f>
        <v>244000</v>
      </c>
      <c r="AQ219" s="232">
        <f>Table1[[#This Row],[PARKING VALUE]]*1</f>
        <v>244000</v>
      </c>
      <c r="AR219" s="232">
        <f t="shared" si="30"/>
        <v>11593965</v>
      </c>
      <c r="AS219" s="440">
        <f>Table1[[#This Row],[TOTAL CARS VALUE]]+Table1[[#This Row],[UNIT (BUILDING) VALUE BASIC FINISHED]]+Table1[[#This Row],[UNIT (GARDEN) VALUE]]</f>
        <v>12489465</v>
      </c>
      <c r="AT219" s="232">
        <f>Table1[[#This Row],[TOTAL CARS VALUE]]+Table1[[#This Row],[UNIT (GARDEN) VALUE]]+Table1[[#This Row],[UNIT (BUILDING) VALUE FULLY FINISHED]]</f>
        <v>13086465</v>
      </c>
      <c r="AU219" s="233">
        <f>VLOOKUP(I219,'C PHASES'!$I$108:$J$110,2,FALSE)</f>
        <v>45839</v>
      </c>
      <c r="AV219" s="233">
        <f>VLOOKUP(AA219,'C PHASES'!$I$113:$J$125,2,FALSE)</f>
        <v>45839</v>
      </c>
    </row>
    <row r="220" spans="1:48" ht="15" customHeight="1" x14ac:dyDescent="0.25">
      <c r="A220" s="235"/>
      <c r="B220" s="227" t="str">
        <f t="shared" si="31"/>
        <v>B</v>
      </c>
      <c r="C220" s="227" t="s">
        <v>31</v>
      </c>
      <c r="D220" s="227" t="s">
        <v>1147</v>
      </c>
      <c r="E220" s="228">
        <v>4</v>
      </c>
      <c r="F220" s="101">
        <v>4</v>
      </c>
      <c r="G220" s="87" t="str">
        <f t="shared" si="37"/>
        <v>B244</v>
      </c>
      <c r="H220" s="87" t="s">
        <v>1294</v>
      </c>
      <c r="I220" s="89" t="str">
        <f>VLOOKUP(C220,'PREMIUM TABLES'!$G$107:$H$149,2,FALSE)</f>
        <v>C1</v>
      </c>
      <c r="J220" s="87">
        <v>139.09</v>
      </c>
      <c r="K220" s="87">
        <v>154.04853372157643</v>
      </c>
      <c r="L220" s="87">
        <v>170</v>
      </c>
      <c r="O220" s="87" t="s">
        <v>185</v>
      </c>
      <c r="P220" s="87" t="s">
        <v>190</v>
      </c>
      <c r="Q220" s="229" t="s">
        <v>198</v>
      </c>
      <c r="R220" s="87" t="str">
        <f>VLOOKUP(E220,'PREMIUM TABLES'!$F$214:$G$219,2,FALSE)</f>
        <v>FORTH</v>
      </c>
      <c r="S220" s="87" t="str" cm="1">
        <f t="array" ref="S220">IF(AND(L220&gt;0,L220&lt;90),"A",IF(AND(L220&gt;90,L220&lt;123),"B",IF(AND(L220&gt;122,L220&lt;159),"C",IF(AND(L220&gt;159,L220&lt;185),"D",IF(AND(L220&gt;185,L220&lt;230),"E",IF(AND(L220&gt;230,L220&lt;350),"F",NONE))))))</f>
        <v>D</v>
      </c>
      <c r="T220" s="230">
        <f>VLOOKUP(O220,'PREMIUM TABLES'!$G$165:$H$172,2,FALSE)</f>
        <v>0.06</v>
      </c>
      <c r="U220" s="230">
        <f>VLOOKUP(P220,'PREMIUM TABLES'!$G$208:$H$209,2,FALSE)</f>
        <v>2.5000000000000001E-2</v>
      </c>
      <c r="V220" s="230">
        <f>VLOOKUP(Q220,'PREMIUM TABLES'!$G$175:$H$195,2,FALSE)</f>
        <v>0.15</v>
      </c>
      <c r="W220" s="230">
        <f>VLOOKUP(R220,'PREMIUM TABLES'!$G$214:$H$219,2,FALSE)</f>
        <v>0.06</v>
      </c>
      <c r="X220" s="230">
        <f>VLOOKUP(S220,'PREMIUM TABLES'!$F$199:$H$205,3,FALSE)</f>
        <v>2.5000000000000001E-2</v>
      </c>
      <c r="Y220" s="231">
        <f t="shared" si="32"/>
        <v>0.32</v>
      </c>
      <c r="Z220" s="231" t="str" cm="1">
        <f t="array" ref="Z220">IF(AND(Y220&gt;0,Y220&lt;0.5),"C",IF(AND(Y220&gt;=0.5,Y220&lt;0.73),"B",IF(AND(Y220&gt;=0.73,Y220&lt;0.98),"A",NONE)))</f>
        <v>C</v>
      </c>
      <c r="AA220" s="231" t="str">
        <f>VLOOKUP(G220,'ALL (R)'!$N$5:$R$862,5,FALSE)</f>
        <v>R 1</v>
      </c>
      <c r="AB220" s="232">
        <f>VLOOKUP(AA220,FACTS!$B$2:$L$14,10,FALSE)</f>
        <v>42500</v>
      </c>
      <c r="AC220" s="232">
        <f>VLOOKUP(AA220,FACTS!$B$2:$L$14,11,FALSE)</f>
        <v>47500</v>
      </c>
      <c r="AD220" s="232">
        <f>VLOOKUP(AA220,FACTS!$B$2:$N$14,13,FALSE)</f>
        <v>5000</v>
      </c>
      <c r="AE220" s="232">
        <f t="shared" si="33"/>
        <v>1600</v>
      </c>
      <c r="AF220" s="232">
        <f t="shared" si="34"/>
        <v>44100</v>
      </c>
      <c r="AG220" s="232">
        <f>AF220*FACTS!$T$2</f>
        <v>14553</v>
      </c>
      <c r="AH220" s="232">
        <f>Table1[[#This Row],[UNIT (BUILDING) RATE (SEMI FINISHED)]]+4500</f>
        <v>48600</v>
      </c>
      <c r="AI220" s="232">
        <f>Table1[[#This Row],[UNIT (BUILDING) RATE (SEMI FINISHED)]]+7500</f>
        <v>51600</v>
      </c>
      <c r="AJ220" s="232">
        <f t="shared" si="35"/>
        <v>7497000</v>
      </c>
      <c r="AK220" s="232">
        <f>Table1[[#This Row],[UNIT (BUILDING) RATE (BASIC FINISH)]]*Table1[[#This Row],[Unit Selling Area]]</f>
        <v>8262000</v>
      </c>
      <c r="AL220" s="232">
        <f>Table1[[#This Row],[UNIT (BUILDING) RATE (FULLY FINISH)]]*Table1[[#This Row],[Unit Selling Area]]</f>
        <v>8772000</v>
      </c>
      <c r="AM220" s="232">
        <f t="shared" si="36"/>
        <v>0</v>
      </c>
      <c r="AN220" s="232">
        <f>(AM220+AJ220)*FACTS!$S$2</f>
        <v>637245</v>
      </c>
      <c r="AO220" s="101">
        <f>VLOOKUP(S220,FACTS!$A$17:$C$23,3,FALSE)</f>
        <v>2</v>
      </c>
      <c r="AP220" s="232">
        <f>VLOOKUP(AA220,FACTS!$B$2:$J$14,9,FALSE)</f>
        <v>200000</v>
      </c>
      <c r="AQ220" s="232">
        <f>Table1[[#This Row],[PARKING VALUE]]*1</f>
        <v>200000</v>
      </c>
      <c r="AR220" s="232">
        <f t="shared" si="30"/>
        <v>7697000</v>
      </c>
      <c r="AS220" s="440">
        <f>Table1[[#This Row],[TOTAL CARS VALUE]]+Table1[[#This Row],[UNIT (BUILDING) VALUE BASIC FINISHED]]+Table1[[#This Row],[UNIT (GARDEN) VALUE]]</f>
        <v>8462000</v>
      </c>
      <c r="AT220" s="232">
        <f>Table1[[#This Row],[TOTAL CARS VALUE]]+Table1[[#This Row],[UNIT (GARDEN) VALUE]]+Table1[[#This Row],[UNIT (BUILDING) VALUE FULLY FINISHED]]</f>
        <v>8972000</v>
      </c>
      <c r="AU220" s="233">
        <f>VLOOKUP(I220,'C PHASES'!$I$108:$J$110,2,FALSE)</f>
        <v>45839</v>
      </c>
      <c r="AV220" s="233">
        <f>VLOOKUP(AA220,'C PHASES'!$I$113:$J$125,2,FALSE)</f>
        <v>45170</v>
      </c>
    </row>
    <row r="221" spans="1:48" ht="15" customHeight="1" x14ac:dyDescent="0.25">
      <c r="A221" s="235" t="s">
        <v>38</v>
      </c>
      <c r="B221" s="227" t="str">
        <f t="shared" si="31"/>
        <v>B</v>
      </c>
      <c r="C221" s="227" t="s">
        <v>33</v>
      </c>
      <c r="D221" s="227" t="s">
        <v>1147</v>
      </c>
      <c r="E221" s="228">
        <v>0</v>
      </c>
      <c r="F221" s="101">
        <v>1</v>
      </c>
      <c r="G221" s="87" t="str">
        <f>LEFT(C221,2)&amp;E221&amp;F221</f>
        <v>B301</v>
      </c>
      <c r="H221" s="87" t="s">
        <v>1293</v>
      </c>
      <c r="I221" s="89" t="str">
        <f>VLOOKUP(C221,'PREMIUM TABLES'!$G$107:$H$149,2,FALSE)</f>
        <v>C1</v>
      </c>
      <c r="J221" s="87">
        <v>87.23</v>
      </c>
      <c r="K221" s="87">
        <v>94.72160516317075</v>
      </c>
      <c r="L221" s="87">
        <v>106</v>
      </c>
      <c r="M221" s="87">
        <v>66.0976</v>
      </c>
      <c r="O221" s="87" t="s">
        <v>187</v>
      </c>
      <c r="P221" s="87" t="s">
        <v>190</v>
      </c>
      <c r="Q221" s="229" t="s">
        <v>197</v>
      </c>
      <c r="R221" s="87" t="str">
        <f>VLOOKUP(E221,'PREMIUM TABLES'!$F$214:$G$219,2,FALSE)</f>
        <v>GROUND</v>
      </c>
      <c r="S221" s="87" t="str" cm="1">
        <f t="array" ref="S221">IF(AND(L221&gt;0,L221&lt;90),"A",IF(AND(L221&gt;90,L221&lt;123),"B",IF(AND(L221&gt;122,L221&lt;159),"C",IF(AND(L221&gt;159,L221&lt;185),"D",IF(AND(L221&gt;185,L221&lt;230),"E",IF(AND(L221&gt;230,L221&lt;350),"F",NONE))))))</f>
        <v>B</v>
      </c>
      <c r="T221" s="230">
        <f>VLOOKUP(O221,'PREMIUM TABLES'!$G$165:$H$172,2,FALSE)</f>
        <v>0.08</v>
      </c>
      <c r="U221" s="230">
        <f>VLOOKUP(P221,'PREMIUM TABLES'!$G$208:$H$209,2,FALSE)</f>
        <v>2.5000000000000001E-2</v>
      </c>
      <c r="V221" s="230">
        <f>VLOOKUP(Q221,'PREMIUM TABLES'!$G$175:$H$195,2,FALSE)</f>
        <v>0.16</v>
      </c>
      <c r="W221" s="230">
        <f>VLOOKUP(R221,'PREMIUM TABLES'!$G$214:$H$219,2,FALSE)</f>
        <v>0.05</v>
      </c>
      <c r="X221" s="230">
        <f>VLOOKUP(S221,'PREMIUM TABLES'!$F$199:$H$205,3,FALSE)</f>
        <v>0.04</v>
      </c>
      <c r="Y221" s="231">
        <f t="shared" si="32"/>
        <v>0.35499999999999998</v>
      </c>
      <c r="Z221" s="231" t="str" cm="1">
        <f t="array" ref="Z221">IF(AND(Y221&gt;0,Y221&lt;0.5),"C",IF(AND(Y221&gt;=0.5,Y221&lt;0.73),"B",IF(AND(Y221&gt;=0.73,Y221&lt;0.98),"A",NONE)))</f>
        <v>C</v>
      </c>
      <c r="AA221" s="231" t="str">
        <f>VLOOKUP(G221,'ALL (R)'!$N$5:$R$862,5,FALSE)</f>
        <v>R 1</v>
      </c>
      <c r="AB221" s="232">
        <f>VLOOKUP(AA221,FACTS!$B$2:$L$14,10,FALSE)</f>
        <v>42500</v>
      </c>
      <c r="AC221" s="232">
        <f>VLOOKUP(AA221,FACTS!$B$2:$L$14,11,FALSE)</f>
        <v>47500</v>
      </c>
      <c r="AD221" s="232">
        <f>VLOOKUP(AA221,FACTS!$B$2:$N$14,13,FALSE)</f>
        <v>5000</v>
      </c>
      <c r="AE221" s="232">
        <f t="shared" si="33"/>
        <v>1775</v>
      </c>
      <c r="AF221" s="232">
        <f t="shared" si="34"/>
        <v>44275</v>
      </c>
      <c r="AG221" s="232">
        <f>AF221*FACTS!$T$2</f>
        <v>14610.75</v>
      </c>
      <c r="AH221" s="232">
        <f>Table1[[#This Row],[UNIT (BUILDING) RATE (SEMI FINISHED)]]+4500</f>
        <v>48775</v>
      </c>
      <c r="AI221" s="232">
        <f>Table1[[#This Row],[UNIT (BUILDING) RATE (SEMI FINISHED)]]+7500</f>
        <v>51775</v>
      </c>
      <c r="AJ221" s="232">
        <f t="shared" si="35"/>
        <v>4693150</v>
      </c>
      <c r="AK221" s="232">
        <f>Table1[[#This Row],[UNIT (BUILDING) RATE (BASIC FINISH)]]*Table1[[#This Row],[Unit Selling Area]]</f>
        <v>5170150</v>
      </c>
      <c r="AL221" s="232">
        <f>Table1[[#This Row],[UNIT (BUILDING) RATE (FULLY FINISH)]]*Table1[[#This Row],[Unit Selling Area]]</f>
        <v>5488150</v>
      </c>
      <c r="AM221" s="232">
        <f t="shared" si="36"/>
        <v>965735.50919999997</v>
      </c>
      <c r="AN221" s="232">
        <f>(AM221+AJ221)*FACTS!$S$2</f>
        <v>481005.26828200003</v>
      </c>
      <c r="AO221" s="101">
        <f>VLOOKUP(S221,FACTS!$A$17:$C$23,3,FALSE)</f>
        <v>1</v>
      </c>
      <c r="AP221" s="232">
        <f>VLOOKUP(AA221,FACTS!$B$2:$J$14,9,FALSE)</f>
        <v>200000</v>
      </c>
      <c r="AQ221" s="232">
        <f>Table1[[#This Row],[PARKING VALUE]]*1</f>
        <v>200000</v>
      </c>
      <c r="AR221" s="232">
        <f t="shared" si="30"/>
        <v>5858885.5092000002</v>
      </c>
      <c r="AS221" s="440">
        <f>Table1[[#This Row],[TOTAL CARS VALUE]]+Table1[[#This Row],[UNIT (BUILDING) VALUE BASIC FINISHED]]+Table1[[#This Row],[UNIT (GARDEN) VALUE]]</f>
        <v>6335885.5092000002</v>
      </c>
      <c r="AT221" s="232">
        <f>Table1[[#This Row],[TOTAL CARS VALUE]]+Table1[[#This Row],[UNIT (GARDEN) VALUE]]+Table1[[#This Row],[UNIT (BUILDING) VALUE FULLY FINISHED]]</f>
        <v>6653885.5092000002</v>
      </c>
      <c r="AU221" s="233">
        <f>VLOOKUP(I221,'C PHASES'!$I$108:$J$110,2,FALSE)</f>
        <v>45839</v>
      </c>
      <c r="AV221" s="233">
        <f>VLOOKUP(AA221,'C PHASES'!$I$113:$J$125,2,FALSE)</f>
        <v>45170</v>
      </c>
    </row>
    <row r="222" spans="1:48" ht="15" customHeight="1" x14ac:dyDescent="0.25">
      <c r="A222" s="235"/>
      <c r="B222" s="227" t="str">
        <f t="shared" si="31"/>
        <v>B</v>
      </c>
      <c r="C222" s="227" t="s">
        <v>33</v>
      </c>
      <c r="D222" s="227" t="s">
        <v>1147</v>
      </c>
      <c r="E222" s="228">
        <v>0</v>
      </c>
      <c r="F222" s="101">
        <v>2</v>
      </c>
      <c r="G222" s="87" t="str">
        <f t="shared" ref="G222:G240" si="38">LEFT(C222,2)&amp;E222&amp;F222</f>
        <v>B302</v>
      </c>
      <c r="H222" s="87" t="s">
        <v>1294</v>
      </c>
      <c r="I222" s="89" t="str">
        <f>VLOOKUP(C222,'PREMIUM TABLES'!$G$107:$H$149,2,FALSE)</f>
        <v>C1</v>
      </c>
      <c r="J222" s="87">
        <v>125.09</v>
      </c>
      <c r="K222" s="87">
        <v>135.83314902970341</v>
      </c>
      <c r="L222" s="87">
        <v>153</v>
      </c>
      <c r="M222" s="87">
        <v>85.619500000000002</v>
      </c>
      <c r="O222" s="87" t="s">
        <v>180</v>
      </c>
      <c r="P222" s="87" t="s">
        <v>190</v>
      </c>
      <c r="Q222" s="229" t="s">
        <v>209</v>
      </c>
      <c r="R222" s="87" t="str">
        <f>VLOOKUP(E222,'PREMIUM TABLES'!$F$214:$G$219,2,FALSE)</f>
        <v>GROUND</v>
      </c>
      <c r="S222" s="87" t="str" cm="1">
        <f t="array" ref="S222">IF(AND(L222&gt;0,L222&lt;90),"A",IF(AND(L222&gt;90,L222&lt;123),"B",IF(AND(L222&gt;122,L222&lt;159),"C",IF(AND(L222&gt;159,L222&lt;185),"D",IF(AND(L222&gt;185,L222&lt;230),"E",IF(AND(L222&gt;230,L222&lt;350),"F",NONE))))))</f>
        <v>C</v>
      </c>
      <c r="T222" s="230">
        <f>VLOOKUP(O222,'PREMIUM TABLES'!$G$165:$H$172,2,FALSE)</f>
        <v>0.13</v>
      </c>
      <c r="U222" s="230">
        <f>VLOOKUP(P222,'PREMIUM TABLES'!$G$208:$H$209,2,FALSE)</f>
        <v>2.5000000000000001E-2</v>
      </c>
      <c r="V222" s="230">
        <f>VLOOKUP(Q222,'PREMIUM TABLES'!$G$175:$H$195,2,FALSE)</f>
        <v>0.6</v>
      </c>
      <c r="W222" s="230">
        <f>VLOOKUP(R222,'PREMIUM TABLES'!$G$214:$H$219,2,FALSE)</f>
        <v>0.05</v>
      </c>
      <c r="X222" s="230">
        <f>VLOOKUP(S222,'PREMIUM TABLES'!$F$199:$H$205,3,FALSE)</f>
        <v>3.5000000000000003E-2</v>
      </c>
      <c r="Y222" s="231">
        <f t="shared" si="32"/>
        <v>0.84000000000000008</v>
      </c>
      <c r="Z222" s="231" t="str" cm="1">
        <f t="array" ref="Z222">IF(AND(Y222&gt;0,Y222&lt;0.5),"C",IF(AND(Y222&gt;=0.5,Y222&lt;0.73),"B",IF(AND(Y222&gt;=0.73,Y222&lt;0.98),"A",NONE)))</f>
        <v>A</v>
      </c>
      <c r="AA222" s="231" t="str">
        <f>VLOOKUP(G222,'ALL (R)'!$N$5:$R$862,5,FALSE)</f>
        <v>R 8</v>
      </c>
      <c r="AB222" s="232">
        <f>VLOOKUP(AA222,FACTS!$B$2:$L$14,10,FALSE)</f>
        <v>51850</v>
      </c>
      <c r="AC222" s="232">
        <f>VLOOKUP(AA222,FACTS!$B$2:$L$14,11,FALSE)</f>
        <v>57950</v>
      </c>
      <c r="AD222" s="232">
        <f>VLOOKUP(AA222,FACTS!$B$2:$N$14,13,FALSE)</f>
        <v>6100</v>
      </c>
      <c r="AE222" s="232">
        <f t="shared" si="33"/>
        <v>5124.0000000000009</v>
      </c>
      <c r="AF222" s="232">
        <f t="shared" si="34"/>
        <v>56974</v>
      </c>
      <c r="AG222" s="232">
        <f>AF222*FACTS!$T$2</f>
        <v>18801.420000000002</v>
      </c>
      <c r="AH222" s="232">
        <f>Table1[[#This Row],[UNIT (BUILDING) RATE (SEMI FINISHED)]]+4500</f>
        <v>61474</v>
      </c>
      <c r="AI222" s="232">
        <f>Table1[[#This Row],[UNIT (BUILDING) RATE (SEMI FINISHED)]]+7500</f>
        <v>64474</v>
      </c>
      <c r="AJ222" s="232">
        <f t="shared" si="35"/>
        <v>8717022</v>
      </c>
      <c r="AK222" s="232">
        <f>Table1[[#This Row],[UNIT (BUILDING) RATE (BASIC FINISH)]]*Table1[[#This Row],[Unit Selling Area]]</f>
        <v>9405522</v>
      </c>
      <c r="AL222" s="232">
        <f>Table1[[#This Row],[UNIT (BUILDING) RATE (FULLY FINISH)]]*Table1[[#This Row],[Unit Selling Area]]</f>
        <v>9864522</v>
      </c>
      <c r="AM222" s="232">
        <f t="shared" si="36"/>
        <v>1609768.1796900001</v>
      </c>
      <c r="AN222" s="232">
        <f>(AM222+AJ222)*FACTS!$S$2</f>
        <v>877777.16527365008</v>
      </c>
      <c r="AO222" s="101">
        <f>VLOOKUP(S222,FACTS!$A$17:$C$23,3,FALSE)</f>
        <v>2</v>
      </c>
      <c r="AP222" s="232">
        <f>VLOOKUP(AA222,FACTS!$B$2:$J$14,9,FALSE)</f>
        <v>244000</v>
      </c>
      <c r="AQ222" s="232">
        <f>Table1[[#This Row],[PARKING VALUE]]*1</f>
        <v>244000</v>
      </c>
      <c r="AR222" s="232">
        <f t="shared" si="30"/>
        <v>10570790.17969</v>
      </c>
      <c r="AS222" s="440">
        <f>Table1[[#This Row],[TOTAL CARS VALUE]]+Table1[[#This Row],[UNIT (BUILDING) VALUE BASIC FINISHED]]+Table1[[#This Row],[UNIT (GARDEN) VALUE]]</f>
        <v>11259290.17969</v>
      </c>
      <c r="AT222" s="232">
        <f>Table1[[#This Row],[TOTAL CARS VALUE]]+Table1[[#This Row],[UNIT (GARDEN) VALUE]]+Table1[[#This Row],[UNIT (BUILDING) VALUE FULLY FINISHED]]</f>
        <v>11718290.17969</v>
      </c>
      <c r="AU222" s="233">
        <f>VLOOKUP(I222,'C PHASES'!$I$108:$J$110,2,FALSE)</f>
        <v>45839</v>
      </c>
      <c r="AV222" s="233">
        <f>VLOOKUP(AA222,'C PHASES'!$I$113:$J$125,2,FALSE)</f>
        <v>45839</v>
      </c>
    </row>
    <row r="223" spans="1:48" ht="15" customHeight="1" x14ac:dyDescent="0.25">
      <c r="A223" s="235"/>
      <c r="B223" s="227" t="str">
        <f t="shared" si="31"/>
        <v>B</v>
      </c>
      <c r="C223" s="227" t="s">
        <v>33</v>
      </c>
      <c r="D223" s="227" t="s">
        <v>1147</v>
      </c>
      <c r="E223" s="228">
        <v>0</v>
      </c>
      <c r="F223" s="101">
        <v>3</v>
      </c>
      <c r="G223" s="87" t="str">
        <f t="shared" si="38"/>
        <v>B303</v>
      </c>
      <c r="H223" s="87" t="s">
        <v>1294</v>
      </c>
      <c r="I223" s="89" t="str">
        <f>VLOOKUP(C223,'PREMIUM TABLES'!$G$107:$H$149,2,FALSE)</f>
        <v>C1</v>
      </c>
      <c r="J223" s="87">
        <v>129.57</v>
      </c>
      <c r="K223" s="87">
        <v>140.69790646557414</v>
      </c>
      <c r="L223" s="87">
        <v>158</v>
      </c>
      <c r="M223" s="87">
        <v>84.075199999999995</v>
      </c>
      <c r="O223" s="87" t="s">
        <v>180</v>
      </c>
      <c r="P223" s="87" t="s">
        <v>226</v>
      </c>
      <c r="Q223" s="229" t="s">
        <v>209</v>
      </c>
      <c r="R223" s="87" t="str">
        <f>VLOOKUP(E223,'PREMIUM TABLES'!$F$214:$G$219,2,FALSE)</f>
        <v>GROUND</v>
      </c>
      <c r="S223" s="87" t="str" cm="1">
        <f t="array" ref="S223">IF(AND(L223&gt;0,L223&lt;90),"A",IF(AND(L223&gt;90,L223&lt;123),"B",IF(AND(L223&gt;122,L223&lt;159),"C",IF(AND(L223&gt;159,L223&lt;185),"D",IF(AND(L223&gt;185,L223&lt;230),"E",IF(AND(L223&gt;230,L223&lt;350),"F",NONE))))))</f>
        <v>C</v>
      </c>
      <c r="T223" s="230">
        <f>VLOOKUP(O223,'PREMIUM TABLES'!$G$165:$H$172,2,FALSE)</f>
        <v>0.13</v>
      </c>
      <c r="U223" s="230">
        <f>VLOOKUP(P223,'PREMIUM TABLES'!$G$208:$H$209,2,FALSE)</f>
        <v>0.05</v>
      </c>
      <c r="V223" s="230">
        <f>VLOOKUP(Q223,'PREMIUM TABLES'!$G$175:$H$195,2,FALSE)</f>
        <v>0.6</v>
      </c>
      <c r="W223" s="230">
        <f>VLOOKUP(R223,'PREMIUM TABLES'!$G$214:$H$219,2,FALSE)</f>
        <v>0.05</v>
      </c>
      <c r="X223" s="230">
        <f>VLOOKUP(S223,'PREMIUM TABLES'!$F$199:$H$205,3,FALSE)</f>
        <v>3.5000000000000003E-2</v>
      </c>
      <c r="Y223" s="231">
        <f t="shared" si="32"/>
        <v>0.8650000000000001</v>
      </c>
      <c r="Z223" s="231" t="str" cm="1">
        <f t="array" ref="Z223">IF(AND(Y223&gt;0,Y223&lt;0.5),"C",IF(AND(Y223&gt;=0.5,Y223&lt;0.73),"B",IF(AND(Y223&gt;=0.73,Y223&lt;0.98),"A",NONE)))</f>
        <v>A</v>
      </c>
      <c r="AA223" s="231" t="str">
        <f>VLOOKUP(G223,'ALL (R)'!$N$5:$R$862,5,FALSE)</f>
        <v>R 9</v>
      </c>
      <c r="AB223" s="232">
        <f>VLOOKUP(AA223,FACTS!$B$2:$L$14,10,FALSE)</f>
        <v>53550</v>
      </c>
      <c r="AC223" s="232">
        <f>VLOOKUP(AA223,FACTS!$B$2:$L$14,11,FALSE)</f>
        <v>59850</v>
      </c>
      <c r="AD223" s="232">
        <f>VLOOKUP(AA223,FACTS!$B$2:$N$14,13,FALSE)</f>
        <v>6300</v>
      </c>
      <c r="AE223" s="232">
        <f t="shared" si="33"/>
        <v>5449.5000000000009</v>
      </c>
      <c r="AF223" s="232">
        <f t="shared" si="34"/>
        <v>58999.5</v>
      </c>
      <c r="AG223" s="232">
        <f>AF223*FACTS!$T$2</f>
        <v>19469.834999999999</v>
      </c>
      <c r="AH223" s="232">
        <f>Table1[[#This Row],[UNIT (BUILDING) RATE (SEMI FINISHED)]]+4500</f>
        <v>63499.5</v>
      </c>
      <c r="AI223" s="232">
        <f>Table1[[#This Row],[UNIT (BUILDING) RATE (SEMI FINISHED)]]+7500</f>
        <v>66499.5</v>
      </c>
      <c r="AJ223" s="232">
        <f t="shared" si="35"/>
        <v>9321921</v>
      </c>
      <c r="AK223" s="232">
        <f>Table1[[#This Row],[UNIT (BUILDING) RATE (BASIC FINISH)]]*Table1[[#This Row],[Unit Selling Area]]</f>
        <v>10032921</v>
      </c>
      <c r="AL223" s="232">
        <f>Table1[[#This Row],[UNIT (BUILDING) RATE (FULLY FINISH)]]*Table1[[#This Row],[Unit Selling Area]]</f>
        <v>10506921</v>
      </c>
      <c r="AM223" s="232">
        <f t="shared" si="36"/>
        <v>1636930.2715919998</v>
      </c>
      <c r="AN223" s="232">
        <f>(AM223+AJ223)*FACTS!$S$2</f>
        <v>931502.3580853201</v>
      </c>
      <c r="AO223" s="101">
        <f>VLOOKUP(S223,FACTS!$A$17:$C$23,3,FALSE)</f>
        <v>2</v>
      </c>
      <c r="AP223" s="232">
        <f>VLOOKUP(AA223,FACTS!$B$2:$J$14,9,FALSE)</f>
        <v>252000</v>
      </c>
      <c r="AQ223" s="232">
        <f>Table1[[#This Row],[PARKING VALUE]]*1</f>
        <v>252000</v>
      </c>
      <c r="AR223" s="232">
        <f t="shared" si="30"/>
        <v>11210851.271592</v>
      </c>
      <c r="AS223" s="440">
        <f>Table1[[#This Row],[TOTAL CARS VALUE]]+Table1[[#This Row],[UNIT (BUILDING) VALUE BASIC FINISHED]]+Table1[[#This Row],[UNIT (GARDEN) VALUE]]</f>
        <v>11921851.271592</v>
      </c>
      <c r="AT223" s="232">
        <f>Table1[[#This Row],[TOTAL CARS VALUE]]+Table1[[#This Row],[UNIT (GARDEN) VALUE]]+Table1[[#This Row],[UNIT (BUILDING) VALUE FULLY FINISHED]]</f>
        <v>12395851.271592</v>
      </c>
      <c r="AU223" s="233">
        <f>VLOOKUP(I223,'C PHASES'!$I$108:$J$110,2,FALSE)</f>
        <v>45839</v>
      </c>
      <c r="AV223" s="233">
        <f>VLOOKUP(AA223,'C PHASES'!$I$113:$J$125,2,FALSE)</f>
        <v>45931</v>
      </c>
    </row>
    <row r="224" spans="1:48" ht="15" customHeight="1" x14ac:dyDescent="0.25">
      <c r="A224" s="235"/>
      <c r="B224" s="227" t="str">
        <f t="shared" si="31"/>
        <v>B</v>
      </c>
      <c r="C224" s="227" t="s">
        <v>33</v>
      </c>
      <c r="D224" s="227" t="s">
        <v>1147</v>
      </c>
      <c r="E224" s="228">
        <v>0</v>
      </c>
      <c r="F224" s="101">
        <v>4</v>
      </c>
      <c r="G224" s="87" t="str">
        <f t="shared" si="38"/>
        <v>B304</v>
      </c>
      <c r="H224" s="87" t="s">
        <v>1294</v>
      </c>
      <c r="I224" s="89" t="str">
        <f>VLOOKUP(C224,'PREMIUM TABLES'!$G$107:$H$149,2,FALSE)</f>
        <v>C1</v>
      </c>
      <c r="J224" s="87">
        <v>131.34</v>
      </c>
      <c r="K224" s="87">
        <v>142.61992000608558</v>
      </c>
      <c r="L224" s="87">
        <v>160</v>
      </c>
      <c r="M224" s="87">
        <v>80.916700000000006</v>
      </c>
      <c r="O224" s="87" t="s">
        <v>187</v>
      </c>
      <c r="P224" s="87" t="s">
        <v>226</v>
      </c>
      <c r="Q224" s="229" t="s">
        <v>197</v>
      </c>
      <c r="R224" s="87" t="str">
        <f>VLOOKUP(E224,'PREMIUM TABLES'!$F$214:$G$219,2,FALSE)</f>
        <v>GROUND</v>
      </c>
      <c r="S224" s="87" t="str" cm="1">
        <f t="array" ref="S224">IF(AND(L224&gt;0,L224&lt;90),"A",IF(AND(L224&gt;90,L224&lt;123),"B",IF(AND(L224&gt;122,L224&lt;159),"C",IF(AND(L224&gt;159,L224&lt;185),"D",IF(AND(L224&gt;185,L224&lt;230),"E",IF(AND(L224&gt;230,L224&lt;350),"F",NONE))))))</f>
        <v>D</v>
      </c>
      <c r="T224" s="230">
        <f>VLOOKUP(O224,'PREMIUM TABLES'!$G$165:$H$172,2,FALSE)</f>
        <v>0.08</v>
      </c>
      <c r="U224" s="230">
        <f>VLOOKUP(P224,'PREMIUM TABLES'!$G$208:$H$209,2,FALSE)</f>
        <v>0.05</v>
      </c>
      <c r="V224" s="230">
        <f>VLOOKUP(Q224,'PREMIUM TABLES'!$G$175:$H$195,2,FALSE)</f>
        <v>0.16</v>
      </c>
      <c r="W224" s="230">
        <f>VLOOKUP(R224,'PREMIUM TABLES'!$G$214:$H$219,2,FALSE)</f>
        <v>0.05</v>
      </c>
      <c r="X224" s="230">
        <f>VLOOKUP(S224,'PREMIUM TABLES'!$F$199:$H$205,3,FALSE)</f>
        <v>2.5000000000000001E-2</v>
      </c>
      <c r="Y224" s="231">
        <f t="shared" si="32"/>
        <v>0.36500000000000005</v>
      </c>
      <c r="Z224" s="231" t="str" cm="1">
        <f t="array" ref="Z224">IF(AND(Y224&gt;0,Y224&lt;0.5),"C",IF(AND(Y224&gt;=0.5,Y224&lt;0.73),"B",IF(AND(Y224&gt;=0.73,Y224&lt;0.98),"A",NONE)))</f>
        <v>C</v>
      </c>
      <c r="AA224" s="231" t="str">
        <f>VLOOKUP(G224,'ALL (R)'!$N$5:$R$862,5,FALSE)</f>
        <v>R 2</v>
      </c>
      <c r="AB224" s="232">
        <f>VLOOKUP(AA224,FACTS!$B$2:$L$14,10,FALSE)</f>
        <v>43562.499999999993</v>
      </c>
      <c r="AC224" s="232">
        <f>VLOOKUP(AA224,FACTS!$B$2:$L$14,11,FALSE)</f>
        <v>48687.499999999993</v>
      </c>
      <c r="AD224" s="232">
        <f>VLOOKUP(AA224,FACTS!$B$2:$N$14,13,FALSE)</f>
        <v>5125</v>
      </c>
      <c r="AE224" s="232">
        <f t="shared" si="33"/>
        <v>1870.6250000000002</v>
      </c>
      <c r="AF224" s="232">
        <f t="shared" si="34"/>
        <v>45433.124999999993</v>
      </c>
      <c r="AG224" s="232">
        <f>AF224*FACTS!$T$2</f>
        <v>14992.931249999998</v>
      </c>
      <c r="AH224" s="232">
        <f>Table1[[#This Row],[UNIT (BUILDING) RATE (SEMI FINISHED)]]+4500</f>
        <v>49933.124999999993</v>
      </c>
      <c r="AI224" s="232">
        <f>Table1[[#This Row],[UNIT (BUILDING) RATE (SEMI FINISHED)]]+7500</f>
        <v>52933.124999999993</v>
      </c>
      <c r="AJ224" s="232">
        <f t="shared" si="35"/>
        <v>7269299.9999999991</v>
      </c>
      <c r="AK224" s="232">
        <f>Table1[[#This Row],[UNIT (BUILDING) RATE (BASIC FINISH)]]*Table1[[#This Row],[Unit Selling Area]]</f>
        <v>7989299.9999999991</v>
      </c>
      <c r="AL224" s="232">
        <f>Table1[[#This Row],[UNIT (BUILDING) RATE (FULLY FINISH)]]*Table1[[#This Row],[Unit Selling Area]]</f>
        <v>8469299.9999999981</v>
      </c>
      <c r="AM224" s="232">
        <f t="shared" si="36"/>
        <v>1213178.5200768749</v>
      </c>
      <c r="AN224" s="232">
        <f>(AM224+AJ224)*FACTS!$S$2</f>
        <v>721010.6742065344</v>
      </c>
      <c r="AO224" s="101">
        <f>VLOOKUP(S224,FACTS!$A$17:$C$23,3,FALSE)</f>
        <v>2</v>
      </c>
      <c r="AP224" s="232">
        <f>VLOOKUP(AA224,FACTS!$B$2:$J$14,9,FALSE)</f>
        <v>204999.99999999997</v>
      </c>
      <c r="AQ224" s="232">
        <f>Table1[[#This Row],[PARKING VALUE]]*1</f>
        <v>204999.99999999997</v>
      </c>
      <c r="AR224" s="232">
        <f t="shared" si="30"/>
        <v>8687478.5200768746</v>
      </c>
      <c r="AS224" s="440">
        <f>Table1[[#This Row],[TOTAL CARS VALUE]]+Table1[[#This Row],[UNIT (BUILDING) VALUE BASIC FINISHED]]+Table1[[#This Row],[UNIT (GARDEN) VALUE]]</f>
        <v>9407478.5200768746</v>
      </c>
      <c r="AT224" s="232">
        <f>Table1[[#This Row],[TOTAL CARS VALUE]]+Table1[[#This Row],[UNIT (GARDEN) VALUE]]+Table1[[#This Row],[UNIT (BUILDING) VALUE FULLY FINISHED]]</f>
        <v>9887478.5200768728</v>
      </c>
      <c r="AU224" s="233">
        <f>VLOOKUP(I224,'C PHASES'!$I$108:$J$110,2,FALSE)</f>
        <v>45839</v>
      </c>
      <c r="AV224" s="233">
        <f>VLOOKUP(AA224,'C PHASES'!$I$113:$J$125,2,FALSE)</f>
        <v>45292</v>
      </c>
    </row>
    <row r="225" spans="1:48" ht="15" customHeight="1" x14ac:dyDescent="0.25">
      <c r="A225" s="235"/>
      <c r="B225" s="227" t="str">
        <f t="shared" si="31"/>
        <v>B</v>
      </c>
      <c r="C225" s="227" t="s">
        <v>33</v>
      </c>
      <c r="D225" s="227" t="s">
        <v>1147</v>
      </c>
      <c r="E225" s="228">
        <v>1</v>
      </c>
      <c r="F225" s="101">
        <v>1</v>
      </c>
      <c r="G225" s="87" t="str">
        <f t="shared" si="38"/>
        <v>B311</v>
      </c>
      <c r="H225" s="87" t="s">
        <v>1293</v>
      </c>
      <c r="I225" s="89" t="str">
        <f>VLOOKUP(C225,'PREMIUM TABLES'!$G$107:$H$149,2,FALSE)</f>
        <v>C1</v>
      </c>
      <c r="J225" s="87">
        <v>88.87</v>
      </c>
      <c r="K225" s="87">
        <v>96.502453867373433</v>
      </c>
      <c r="L225" s="87">
        <v>108</v>
      </c>
      <c r="O225" s="87" t="s">
        <v>187</v>
      </c>
      <c r="P225" s="87" t="s">
        <v>190</v>
      </c>
      <c r="Q225" s="229" t="s">
        <v>197</v>
      </c>
      <c r="R225" s="87" t="str">
        <f>VLOOKUP(E225,'PREMIUM TABLES'!$F$214:$G$219,2,FALSE)</f>
        <v>FIRST</v>
      </c>
      <c r="S225" s="87" t="str" cm="1">
        <f t="array" ref="S225">IF(AND(L225&gt;0,L225&lt;90),"A",IF(AND(L225&gt;90,L225&lt;123),"B",IF(AND(L225&gt;122,L225&lt;159),"C",IF(AND(L225&gt;159,L225&lt;185),"D",IF(AND(L225&gt;185,L225&lt;230),"E",IF(AND(L225&gt;230,L225&lt;350),"F",NONE))))))</f>
        <v>B</v>
      </c>
      <c r="T225" s="230">
        <f>VLOOKUP(O225,'PREMIUM TABLES'!$G$165:$H$172,2,FALSE)</f>
        <v>0.08</v>
      </c>
      <c r="U225" s="230">
        <f>VLOOKUP(P225,'PREMIUM TABLES'!$G$208:$H$209,2,FALSE)</f>
        <v>2.5000000000000001E-2</v>
      </c>
      <c r="V225" s="230">
        <f>VLOOKUP(Q225,'PREMIUM TABLES'!$G$175:$H$195,2,FALSE)</f>
        <v>0.16</v>
      </c>
      <c r="W225" s="230">
        <f>VLOOKUP(R225,'PREMIUM TABLES'!$G$214:$H$219,2,FALSE)</f>
        <v>7.0000000000000007E-2</v>
      </c>
      <c r="X225" s="230">
        <f>VLOOKUP(S225,'PREMIUM TABLES'!$F$199:$H$205,3,FALSE)</f>
        <v>0.04</v>
      </c>
      <c r="Y225" s="231">
        <f t="shared" si="32"/>
        <v>0.375</v>
      </c>
      <c r="Z225" s="231" t="str" cm="1">
        <f t="array" ref="Z225">IF(AND(Y225&gt;0,Y225&lt;0.5),"C",IF(AND(Y225&gt;=0.5,Y225&lt;0.73),"B",IF(AND(Y225&gt;=0.73,Y225&lt;0.98),"A",NONE)))</f>
        <v>C</v>
      </c>
      <c r="AA225" s="231" t="str">
        <f>VLOOKUP(G225,'ALL (R)'!$N$5:$R$862,5,FALSE)</f>
        <v>R 3</v>
      </c>
      <c r="AB225" s="232">
        <f>VLOOKUP(AA225,FACTS!$B$2:$L$14,10,FALSE)</f>
        <v>44625</v>
      </c>
      <c r="AC225" s="232">
        <f>VLOOKUP(AA225,FACTS!$B$2:$L$14,11,FALSE)</f>
        <v>49875</v>
      </c>
      <c r="AD225" s="232">
        <f>VLOOKUP(AA225,FACTS!$B$2:$N$14,13,FALSE)</f>
        <v>5250</v>
      </c>
      <c r="AE225" s="232">
        <f t="shared" si="33"/>
        <v>1968.75</v>
      </c>
      <c r="AF225" s="232">
        <f t="shared" si="34"/>
        <v>46593.75</v>
      </c>
      <c r="AG225" s="232">
        <f>AF225*FACTS!$T$2</f>
        <v>15375.9375</v>
      </c>
      <c r="AH225" s="232">
        <f>Table1[[#This Row],[UNIT (BUILDING) RATE (SEMI FINISHED)]]+4500</f>
        <v>51093.75</v>
      </c>
      <c r="AI225" s="232">
        <f>Table1[[#This Row],[UNIT (BUILDING) RATE (SEMI FINISHED)]]+7500</f>
        <v>54093.75</v>
      </c>
      <c r="AJ225" s="232">
        <f t="shared" si="35"/>
        <v>5032125</v>
      </c>
      <c r="AK225" s="232">
        <f>Table1[[#This Row],[UNIT (BUILDING) RATE (BASIC FINISH)]]*Table1[[#This Row],[Unit Selling Area]]</f>
        <v>5518125</v>
      </c>
      <c r="AL225" s="232">
        <f>Table1[[#This Row],[UNIT (BUILDING) RATE (FULLY FINISH)]]*Table1[[#This Row],[Unit Selling Area]]</f>
        <v>5842125</v>
      </c>
      <c r="AM225" s="232">
        <f t="shared" si="36"/>
        <v>0</v>
      </c>
      <c r="AN225" s="232">
        <f>(AM225+AJ225)*FACTS!$S$2</f>
        <v>427730.62500000006</v>
      </c>
      <c r="AO225" s="101">
        <f>VLOOKUP(S225,FACTS!$A$17:$C$23,3,FALSE)</f>
        <v>1</v>
      </c>
      <c r="AP225" s="232">
        <f>VLOOKUP(AA225,FACTS!$B$2:$J$14,9,FALSE)</f>
        <v>210000</v>
      </c>
      <c r="AQ225" s="232">
        <f>Table1[[#This Row],[PARKING VALUE]]*1</f>
        <v>210000</v>
      </c>
      <c r="AR225" s="232">
        <f t="shared" si="30"/>
        <v>5242125</v>
      </c>
      <c r="AS225" s="440">
        <f>Table1[[#This Row],[TOTAL CARS VALUE]]+Table1[[#This Row],[UNIT (BUILDING) VALUE BASIC FINISHED]]+Table1[[#This Row],[UNIT (GARDEN) VALUE]]</f>
        <v>5728125</v>
      </c>
      <c r="AT225" s="232">
        <f>Table1[[#This Row],[TOTAL CARS VALUE]]+Table1[[#This Row],[UNIT (GARDEN) VALUE]]+Table1[[#This Row],[UNIT (BUILDING) VALUE FULLY FINISHED]]</f>
        <v>6052125</v>
      </c>
      <c r="AU225" s="233">
        <f>VLOOKUP(I225,'C PHASES'!$I$108:$J$110,2,FALSE)</f>
        <v>45839</v>
      </c>
      <c r="AV225" s="233">
        <f>VLOOKUP(AA225,'C PHASES'!$I$113:$J$125,2,FALSE)</f>
        <v>45383</v>
      </c>
    </row>
    <row r="226" spans="1:48" ht="15" customHeight="1" x14ac:dyDescent="0.25">
      <c r="A226" s="235"/>
      <c r="B226" s="227" t="str">
        <f t="shared" si="31"/>
        <v>B</v>
      </c>
      <c r="C226" s="227" t="s">
        <v>33</v>
      </c>
      <c r="D226" s="227" t="s">
        <v>1147</v>
      </c>
      <c r="E226" s="228">
        <v>1</v>
      </c>
      <c r="F226" s="101">
        <v>2</v>
      </c>
      <c r="G226" s="87" t="str">
        <f t="shared" si="38"/>
        <v>B312</v>
      </c>
      <c r="H226" s="87" t="s">
        <v>1294</v>
      </c>
      <c r="I226" s="89" t="str">
        <f>VLOOKUP(C226,'PREMIUM TABLES'!$G$107:$H$149,2,FALSE)</f>
        <v>C1</v>
      </c>
      <c r="J226" s="87">
        <v>127.14</v>
      </c>
      <c r="K226" s="87">
        <v>138.05920990995676</v>
      </c>
      <c r="L226" s="87">
        <v>155</v>
      </c>
      <c r="O226" s="87" t="s">
        <v>180</v>
      </c>
      <c r="P226" s="87" t="s">
        <v>190</v>
      </c>
      <c r="Q226" s="229" t="s">
        <v>209</v>
      </c>
      <c r="R226" s="87" t="str">
        <f>VLOOKUP(E226,'PREMIUM TABLES'!$F$214:$G$219,2,FALSE)</f>
        <v>FIRST</v>
      </c>
      <c r="S226" s="87" t="str" cm="1">
        <f t="array" ref="S226">IF(AND(L226&gt;0,L226&lt;90),"A",IF(AND(L226&gt;90,L226&lt;123),"B",IF(AND(L226&gt;122,L226&lt;159),"C",IF(AND(L226&gt;159,L226&lt;185),"D",IF(AND(L226&gt;185,L226&lt;230),"E",IF(AND(L226&gt;230,L226&lt;350),"F",NONE))))))</f>
        <v>C</v>
      </c>
      <c r="T226" s="230">
        <f>VLOOKUP(O226,'PREMIUM TABLES'!$G$165:$H$172,2,FALSE)</f>
        <v>0.13</v>
      </c>
      <c r="U226" s="230">
        <f>VLOOKUP(P226,'PREMIUM TABLES'!$G$208:$H$209,2,FALSE)</f>
        <v>2.5000000000000001E-2</v>
      </c>
      <c r="V226" s="230">
        <f>VLOOKUP(Q226,'PREMIUM TABLES'!$G$175:$H$195,2,FALSE)</f>
        <v>0.6</v>
      </c>
      <c r="W226" s="230">
        <f>VLOOKUP(R226,'PREMIUM TABLES'!$G$214:$H$219,2,FALSE)</f>
        <v>7.0000000000000007E-2</v>
      </c>
      <c r="X226" s="230">
        <f>VLOOKUP(S226,'PREMIUM TABLES'!$F$199:$H$205,3,FALSE)</f>
        <v>3.5000000000000003E-2</v>
      </c>
      <c r="Y226" s="231">
        <f t="shared" si="32"/>
        <v>0.86</v>
      </c>
      <c r="Z226" s="231" t="str" cm="1">
        <f t="array" ref="Z226">IF(AND(Y226&gt;0,Y226&lt;0.5),"C",IF(AND(Y226&gt;=0.5,Y226&lt;0.73),"B",IF(AND(Y226&gt;=0.73,Y226&lt;0.98),"A",NONE)))</f>
        <v>A</v>
      </c>
      <c r="AA226" s="231" t="str">
        <f>VLOOKUP(G226,'ALL (R)'!$N$5:$R$862,5,FALSE)</f>
        <v>R 8</v>
      </c>
      <c r="AB226" s="232">
        <f>VLOOKUP(AA226,FACTS!$B$2:$L$14,10,FALSE)</f>
        <v>51850</v>
      </c>
      <c r="AC226" s="232">
        <f>VLOOKUP(AA226,FACTS!$B$2:$L$14,11,FALSE)</f>
        <v>57950</v>
      </c>
      <c r="AD226" s="232">
        <f>VLOOKUP(AA226,FACTS!$B$2:$N$14,13,FALSE)</f>
        <v>6100</v>
      </c>
      <c r="AE226" s="232">
        <f t="shared" si="33"/>
        <v>5246</v>
      </c>
      <c r="AF226" s="232">
        <f t="shared" si="34"/>
        <v>57096</v>
      </c>
      <c r="AG226" s="232">
        <f>AF226*FACTS!$T$2</f>
        <v>18841.68</v>
      </c>
      <c r="AH226" s="232">
        <f>Table1[[#This Row],[UNIT (BUILDING) RATE (SEMI FINISHED)]]+4500</f>
        <v>61596</v>
      </c>
      <c r="AI226" s="232">
        <f>Table1[[#This Row],[UNIT (BUILDING) RATE (SEMI FINISHED)]]+7500</f>
        <v>64596</v>
      </c>
      <c r="AJ226" s="232">
        <f t="shared" si="35"/>
        <v>8849880</v>
      </c>
      <c r="AK226" s="232">
        <f>Table1[[#This Row],[UNIT (BUILDING) RATE (BASIC FINISH)]]*Table1[[#This Row],[Unit Selling Area]]</f>
        <v>9547380</v>
      </c>
      <c r="AL226" s="232">
        <f>Table1[[#This Row],[UNIT (BUILDING) RATE (FULLY FINISH)]]*Table1[[#This Row],[Unit Selling Area]]</f>
        <v>10012380</v>
      </c>
      <c r="AM226" s="232">
        <f t="shared" si="36"/>
        <v>0</v>
      </c>
      <c r="AN226" s="232">
        <f>(AM226+AJ226)*FACTS!$S$2</f>
        <v>752239.8</v>
      </c>
      <c r="AO226" s="101">
        <f>VLOOKUP(S226,FACTS!$A$17:$C$23,3,FALSE)</f>
        <v>2</v>
      </c>
      <c r="AP226" s="232">
        <f>VLOOKUP(AA226,FACTS!$B$2:$J$14,9,FALSE)</f>
        <v>244000</v>
      </c>
      <c r="AQ226" s="232">
        <f>Table1[[#This Row],[PARKING VALUE]]*1</f>
        <v>244000</v>
      </c>
      <c r="AR226" s="232">
        <f t="shared" si="30"/>
        <v>9093880</v>
      </c>
      <c r="AS226" s="440">
        <f>Table1[[#This Row],[TOTAL CARS VALUE]]+Table1[[#This Row],[UNIT (BUILDING) VALUE BASIC FINISHED]]+Table1[[#This Row],[UNIT (GARDEN) VALUE]]</f>
        <v>9791380</v>
      </c>
      <c r="AT226" s="232">
        <f>Table1[[#This Row],[TOTAL CARS VALUE]]+Table1[[#This Row],[UNIT (GARDEN) VALUE]]+Table1[[#This Row],[UNIT (BUILDING) VALUE FULLY FINISHED]]</f>
        <v>10256380</v>
      </c>
      <c r="AU226" s="233">
        <f>VLOOKUP(I226,'C PHASES'!$I$108:$J$110,2,FALSE)</f>
        <v>45839</v>
      </c>
      <c r="AV226" s="233">
        <f>VLOOKUP(AA226,'C PHASES'!$I$113:$J$125,2,FALSE)</f>
        <v>45839</v>
      </c>
    </row>
    <row r="227" spans="1:48" ht="15" customHeight="1" x14ac:dyDescent="0.25">
      <c r="A227" s="235"/>
      <c r="B227" s="227" t="str">
        <f t="shared" si="31"/>
        <v>B</v>
      </c>
      <c r="C227" s="227" t="s">
        <v>33</v>
      </c>
      <c r="D227" s="227" t="s">
        <v>1147</v>
      </c>
      <c r="E227" s="228">
        <v>1</v>
      </c>
      <c r="F227" s="101">
        <v>3</v>
      </c>
      <c r="G227" s="87" t="str">
        <f t="shared" si="38"/>
        <v>B313</v>
      </c>
      <c r="H227" s="87" t="s">
        <v>1294</v>
      </c>
      <c r="I227" s="89" t="str">
        <f>VLOOKUP(C227,'PREMIUM TABLES'!$G$107:$H$149,2,FALSE)</f>
        <v>C1</v>
      </c>
      <c r="J227" s="87">
        <v>131.43</v>
      </c>
      <c r="K227" s="87">
        <v>142.71764950814548</v>
      </c>
      <c r="L227" s="87">
        <v>160</v>
      </c>
      <c r="O227" s="87" t="s">
        <v>180</v>
      </c>
      <c r="P227" s="87" t="s">
        <v>226</v>
      </c>
      <c r="Q227" s="229" t="s">
        <v>209</v>
      </c>
      <c r="R227" s="87" t="str">
        <f>VLOOKUP(E227,'PREMIUM TABLES'!$F$214:$G$219,2,FALSE)</f>
        <v>FIRST</v>
      </c>
      <c r="S227" s="87" t="str" cm="1">
        <f t="array" ref="S227">IF(AND(L227&gt;0,L227&lt;90),"A",IF(AND(L227&gt;90,L227&lt;123),"B",IF(AND(L227&gt;122,L227&lt;159),"C",IF(AND(L227&gt;159,L227&lt;185),"D",IF(AND(L227&gt;185,L227&lt;230),"E",IF(AND(L227&gt;230,L227&lt;350),"F",NONE))))))</f>
        <v>D</v>
      </c>
      <c r="T227" s="230">
        <f>VLOOKUP(O227,'PREMIUM TABLES'!$G$165:$H$172,2,FALSE)</f>
        <v>0.13</v>
      </c>
      <c r="U227" s="230">
        <f>VLOOKUP(P227,'PREMIUM TABLES'!$G$208:$H$209,2,FALSE)</f>
        <v>0.05</v>
      </c>
      <c r="V227" s="230">
        <f>VLOOKUP(Q227,'PREMIUM TABLES'!$G$175:$H$195,2,FALSE)</f>
        <v>0.6</v>
      </c>
      <c r="W227" s="230">
        <f>VLOOKUP(R227,'PREMIUM TABLES'!$G$214:$H$219,2,FALSE)</f>
        <v>7.0000000000000007E-2</v>
      </c>
      <c r="X227" s="230">
        <f>VLOOKUP(S227,'PREMIUM TABLES'!$F$199:$H$205,3,FALSE)</f>
        <v>2.5000000000000001E-2</v>
      </c>
      <c r="Y227" s="231">
        <f t="shared" si="32"/>
        <v>0.87500000000000011</v>
      </c>
      <c r="Z227" s="231" t="str" cm="1">
        <f t="array" ref="Z227">IF(AND(Y227&gt;0,Y227&lt;0.5),"C",IF(AND(Y227&gt;=0.5,Y227&lt;0.73),"B",IF(AND(Y227&gt;=0.73,Y227&lt;0.98),"A",NONE)))</f>
        <v>A</v>
      </c>
      <c r="AA227" s="231" t="str">
        <f>VLOOKUP(G227,'ALL (R)'!$N$5:$R$862,5,FALSE)</f>
        <v>R 10</v>
      </c>
      <c r="AB227" s="232">
        <f>VLOOKUP(AA227,FACTS!$B$2:$L$14,10,FALSE)</f>
        <v>56100</v>
      </c>
      <c r="AC227" s="232">
        <f>VLOOKUP(AA227,FACTS!$B$2:$L$14,11,FALSE)</f>
        <v>62700</v>
      </c>
      <c r="AD227" s="232">
        <f>VLOOKUP(AA227,FACTS!$B$2:$N$14,13,FALSE)</f>
        <v>6600</v>
      </c>
      <c r="AE227" s="232">
        <f t="shared" si="33"/>
        <v>5775.0000000000009</v>
      </c>
      <c r="AF227" s="232">
        <f t="shared" si="34"/>
        <v>61875</v>
      </c>
      <c r="AG227" s="232">
        <f>AF227*FACTS!$T$2</f>
        <v>20418.75</v>
      </c>
      <c r="AH227" s="232">
        <f>Table1[[#This Row],[UNIT (BUILDING) RATE (SEMI FINISHED)]]+4500</f>
        <v>66375</v>
      </c>
      <c r="AI227" s="232">
        <f>Table1[[#This Row],[UNIT (BUILDING) RATE (SEMI FINISHED)]]+7500</f>
        <v>69375</v>
      </c>
      <c r="AJ227" s="232">
        <f t="shared" si="35"/>
        <v>9900000</v>
      </c>
      <c r="AK227" s="232">
        <f>Table1[[#This Row],[UNIT (BUILDING) RATE (BASIC FINISH)]]*Table1[[#This Row],[Unit Selling Area]]</f>
        <v>10620000</v>
      </c>
      <c r="AL227" s="232">
        <f>Table1[[#This Row],[UNIT (BUILDING) RATE (FULLY FINISH)]]*Table1[[#This Row],[Unit Selling Area]]</f>
        <v>11100000</v>
      </c>
      <c r="AM227" s="232">
        <f t="shared" si="36"/>
        <v>0</v>
      </c>
      <c r="AN227" s="232">
        <f>(AM227+AJ227)*FACTS!$S$2</f>
        <v>841500.00000000012</v>
      </c>
      <c r="AO227" s="101">
        <f>VLOOKUP(S227,FACTS!$A$17:$C$23,3,FALSE)</f>
        <v>2</v>
      </c>
      <c r="AP227" s="232">
        <f>VLOOKUP(AA227,FACTS!$B$2:$J$14,9,FALSE)</f>
        <v>264000</v>
      </c>
      <c r="AQ227" s="232">
        <f>Table1[[#This Row],[PARKING VALUE]]*1</f>
        <v>264000</v>
      </c>
      <c r="AR227" s="232">
        <f t="shared" si="30"/>
        <v>10164000</v>
      </c>
      <c r="AS227" s="440">
        <f>Table1[[#This Row],[TOTAL CARS VALUE]]+Table1[[#This Row],[UNIT (BUILDING) VALUE BASIC FINISHED]]+Table1[[#This Row],[UNIT (GARDEN) VALUE]]</f>
        <v>10884000</v>
      </c>
      <c r="AT227" s="232">
        <f>Table1[[#This Row],[TOTAL CARS VALUE]]+Table1[[#This Row],[UNIT (GARDEN) VALUE]]+Table1[[#This Row],[UNIT (BUILDING) VALUE FULLY FINISHED]]</f>
        <v>11364000</v>
      </c>
      <c r="AU227" s="233">
        <f>VLOOKUP(I227,'C PHASES'!$I$108:$J$110,2,FALSE)</f>
        <v>45839</v>
      </c>
      <c r="AV227" s="233">
        <f>VLOOKUP(AA227,'C PHASES'!$I$113:$J$125,2,FALSE)</f>
        <v>46023</v>
      </c>
    </row>
    <row r="228" spans="1:48" ht="15" customHeight="1" x14ac:dyDescent="0.25">
      <c r="A228" s="235"/>
      <c r="B228" s="227" t="str">
        <f t="shared" si="31"/>
        <v>B</v>
      </c>
      <c r="C228" s="227" t="s">
        <v>33</v>
      </c>
      <c r="D228" s="227" t="s">
        <v>1147</v>
      </c>
      <c r="E228" s="228">
        <v>1</v>
      </c>
      <c r="F228" s="101">
        <v>4</v>
      </c>
      <c r="G228" s="87" t="str">
        <f t="shared" si="38"/>
        <v>B314</v>
      </c>
      <c r="H228" s="87" t="s">
        <v>1294</v>
      </c>
      <c r="I228" s="89" t="str">
        <f>VLOOKUP(C228,'PREMIUM TABLES'!$G$107:$H$149,2,FALSE)</f>
        <v>C1</v>
      </c>
      <c r="J228" s="87">
        <v>129.04</v>
      </c>
      <c r="K228" s="87">
        <v>140.12238828677692</v>
      </c>
      <c r="L228" s="87">
        <v>157</v>
      </c>
      <c r="O228" s="87" t="s">
        <v>187</v>
      </c>
      <c r="P228" s="87" t="s">
        <v>226</v>
      </c>
      <c r="Q228" s="229" t="s">
        <v>197</v>
      </c>
      <c r="R228" s="87" t="str">
        <f>VLOOKUP(E228,'PREMIUM TABLES'!$F$214:$G$219,2,FALSE)</f>
        <v>FIRST</v>
      </c>
      <c r="S228" s="87" t="str" cm="1">
        <f t="array" ref="S228">IF(AND(L228&gt;0,L228&lt;90),"A",IF(AND(L228&gt;90,L228&lt;123),"B",IF(AND(L228&gt;122,L228&lt;159),"C",IF(AND(L228&gt;159,L228&lt;185),"D",IF(AND(L228&gt;185,L228&lt;230),"E",IF(AND(L228&gt;230,L228&lt;350),"F",NONE))))))</f>
        <v>C</v>
      </c>
      <c r="T228" s="230">
        <f>VLOOKUP(O228,'PREMIUM TABLES'!$G$165:$H$172,2,FALSE)</f>
        <v>0.08</v>
      </c>
      <c r="U228" s="230">
        <f>VLOOKUP(P228,'PREMIUM TABLES'!$G$208:$H$209,2,FALSE)</f>
        <v>0.05</v>
      </c>
      <c r="V228" s="230">
        <f>VLOOKUP(Q228,'PREMIUM TABLES'!$G$175:$H$195,2,FALSE)</f>
        <v>0.16</v>
      </c>
      <c r="W228" s="230">
        <f>VLOOKUP(R228,'PREMIUM TABLES'!$G$214:$H$219,2,FALSE)</f>
        <v>7.0000000000000007E-2</v>
      </c>
      <c r="X228" s="230">
        <f>VLOOKUP(S228,'PREMIUM TABLES'!$F$199:$H$205,3,FALSE)</f>
        <v>3.5000000000000003E-2</v>
      </c>
      <c r="Y228" s="231">
        <f t="shared" si="32"/>
        <v>0.39500000000000002</v>
      </c>
      <c r="Z228" s="231" t="str" cm="1">
        <f t="array" ref="Z228">IF(AND(Y228&gt;0,Y228&lt;0.5),"C",IF(AND(Y228&gt;=0.5,Y228&lt;0.73),"B",IF(AND(Y228&gt;=0.73,Y228&lt;0.98),"A",NONE)))</f>
        <v>C</v>
      </c>
      <c r="AA228" s="231" t="str">
        <f>VLOOKUP(G228,'ALL (R)'!$N$5:$R$862,5,FALSE)</f>
        <v>R 4</v>
      </c>
      <c r="AB228" s="232">
        <f>VLOOKUP(AA228,FACTS!$B$2:$L$14,10,FALSE)</f>
        <v>45687.5</v>
      </c>
      <c r="AC228" s="232">
        <f>VLOOKUP(AA228,FACTS!$B$2:$L$14,11,FALSE)</f>
        <v>51062.5</v>
      </c>
      <c r="AD228" s="232">
        <f>VLOOKUP(AA228,FACTS!$B$2:$N$14,13,FALSE)</f>
        <v>5375</v>
      </c>
      <c r="AE228" s="232">
        <f t="shared" si="33"/>
        <v>2123.125</v>
      </c>
      <c r="AF228" s="232">
        <f t="shared" si="34"/>
        <v>47810.625</v>
      </c>
      <c r="AG228" s="232">
        <f>AF228*FACTS!$T$2</f>
        <v>15777.50625</v>
      </c>
      <c r="AH228" s="232">
        <f>Table1[[#This Row],[UNIT (BUILDING) RATE (SEMI FINISHED)]]+4500</f>
        <v>52310.625</v>
      </c>
      <c r="AI228" s="232">
        <f>Table1[[#This Row],[UNIT (BUILDING) RATE (SEMI FINISHED)]]+7500</f>
        <v>55310.625</v>
      </c>
      <c r="AJ228" s="232">
        <f t="shared" si="35"/>
        <v>7506268.125</v>
      </c>
      <c r="AK228" s="232">
        <f>Table1[[#This Row],[UNIT (BUILDING) RATE (BASIC FINISH)]]*Table1[[#This Row],[Unit Selling Area]]</f>
        <v>8212768.125</v>
      </c>
      <c r="AL228" s="232">
        <f>Table1[[#This Row],[UNIT (BUILDING) RATE (FULLY FINISH)]]*Table1[[#This Row],[Unit Selling Area]]</f>
        <v>8683768.125</v>
      </c>
      <c r="AM228" s="232">
        <f t="shared" si="36"/>
        <v>0</v>
      </c>
      <c r="AN228" s="232">
        <f>(AM228+AJ228)*FACTS!$S$2</f>
        <v>638032.79062500002</v>
      </c>
      <c r="AO228" s="101">
        <f>VLOOKUP(S228,FACTS!$A$17:$C$23,3,FALSE)</f>
        <v>2</v>
      </c>
      <c r="AP228" s="232">
        <f>VLOOKUP(AA228,FACTS!$B$2:$J$14,9,FALSE)</f>
        <v>215000</v>
      </c>
      <c r="AQ228" s="232">
        <f>Table1[[#This Row],[PARKING VALUE]]*1</f>
        <v>215000</v>
      </c>
      <c r="AR228" s="232">
        <f t="shared" si="30"/>
        <v>7721268.125</v>
      </c>
      <c r="AS228" s="440">
        <f>Table1[[#This Row],[TOTAL CARS VALUE]]+Table1[[#This Row],[UNIT (BUILDING) VALUE BASIC FINISHED]]+Table1[[#This Row],[UNIT (GARDEN) VALUE]]</f>
        <v>8427768.125</v>
      </c>
      <c r="AT228" s="232">
        <f>Table1[[#This Row],[TOTAL CARS VALUE]]+Table1[[#This Row],[UNIT (GARDEN) VALUE]]+Table1[[#This Row],[UNIT (BUILDING) VALUE FULLY FINISHED]]</f>
        <v>8898768.125</v>
      </c>
      <c r="AU228" s="233">
        <f>VLOOKUP(I228,'C PHASES'!$I$108:$J$110,2,FALSE)</f>
        <v>45839</v>
      </c>
      <c r="AV228" s="233">
        <f>VLOOKUP(AA228,'C PHASES'!$I$113:$J$125,2,FALSE)</f>
        <v>45474</v>
      </c>
    </row>
    <row r="229" spans="1:48" ht="15" customHeight="1" x14ac:dyDescent="0.25">
      <c r="A229" s="235"/>
      <c r="B229" s="227" t="str">
        <f t="shared" si="31"/>
        <v>B</v>
      </c>
      <c r="C229" s="227" t="s">
        <v>33</v>
      </c>
      <c r="D229" s="227" t="s">
        <v>1147</v>
      </c>
      <c r="E229" s="228">
        <v>2</v>
      </c>
      <c r="F229" s="101">
        <v>1</v>
      </c>
      <c r="G229" s="87" t="str">
        <f t="shared" si="38"/>
        <v>B321</v>
      </c>
      <c r="H229" s="87" t="s">
        <v>1294</v>
      </c>
      <c r="I229" s="89" t="str">
        <f>VLOOKUP(C229,'PREMIUM TABLES'!$G$107:$H$149,2,FALSE)</f>
        <v>C1</v>
      </c>
      <c r="J229" s="87">
        <v>127.15</v>
      </c>
      <c r="K229" s="87">
        <v>138.07006874351899</v>
      </c>
      <c r="L229" s="87">
        <v>155</v>
      </c>
      <c r="O229" s="87" t="s">
        <v>187</v>
      </c>
      <c r="P229" s="87" t="s">
        <v>190</v>
      </c>
      <c r="Q229" s="229" t="s">
        <v>197</v>
      </c>
      <c r="R229" s="87" t="str">
        <f>VLOOKUP(E229,'PREMIUM TABLES'!$F$214:$G$219,2,FALSE)</f>
        <v>SECOND</v>
      </c>
      <c r="S229" s="87" t="str" cm="1">
        <f t="array" ref="S229">IF(AND(L229&gt;0,L229&lt;90),"A",IF(AND(L229&gt;90,L229&lt;123),"B",IF(AND(L229&gt;122,L229&lt;159),"C",IF(AND(L229&gt;159,L229&lt;185),"D",IF(AND(L229&gt;185,L229&lt;230),"E",IF(AND(L229&gt;230,L229&lt;350),"F",NONE))))))</f>
        <v>C</v>
      </c>
      <c r="T229" s="230">
        <f>VLOOKUP(O229,'PREMIUM TABLES'!$G$165:$H$172,2,FALSE)</f>
        <v>0.08</v>
      </c>
      <c r="U229" s="230">
        <f>VLOOKUP(P229,'PREMIUM TABLES'!$G$208:$H$209,2,FALSE)</f>
        <v>2.5000000000000001E-2</v>
      </c>
      <c r="V229" s="230">
        <f>VLOOKUP(Q229,'PREMIUM TABLES'!$G$175:$H$195,2,FALSE)</f>
        <v>0.16</v>
      </c>
      <c r="W229" s="230">
        <f>VLOOKUP(R229,'PREMIUM TABLES'!$G$214:$H$219,2,FALSE)</f>
        <v>0.11</v>
      </c>
      <c r="X229" s="230">
        <f>VLOOKUP(S229,'PREMIUM TABLES'!$F$199:$H$205,3,FALSE)</f>
        <v>3.5000000000000003E-2</v>
      </c>
      <c r="Y229" s="231">
        <f t="shared" si="32"/>
        <v>0.41000000000000003</v>
      </c>
      <c r="Z229" s="231" t="str" cm="1">
        <f t="array" ref="Z229">IF(AND(Y229&gt;0,Y229&lt;0.5),"C",IF(AND(Y229&gt;=0.5,Y229&lt;0.73),"B",IF(AND(Y229&gt;=0.73,Y229&lt;0.98),"A",NONE)))</f>
        <v>C</v>
      </c>
      <c r="AA229" s="231" t="str">
        <f>VLOOKUP(G229,'ALL (R)'!$N$5:$R$862,5,FALSE)</f>
        <v>R 6</v>
      </c>
      <c r="AB229" s="232">
        <f>VLOOKUP(AA229,FACTS!$B$2:$L$14,10,FALSE)</f>
        <v>48450.000000000007</v>
      </c>
      <c r="AC229" s="232">
        <f>VLOOKUP(AA229,FACTS!$B$2:$L$14,11,FALSE)</f>
        <v>54150.000000000007</v>
      </c>
      <c r="AD229" s="232">
        <f>VLOOKUP(AA229,FACTS!$B$2:$N$14,13,FALSE)</f>
        <v>5700</v>
      </c>
      <c r="AE229" s="232">
        <f t="shared" si="33"/>
        <v>2337</v>
      </c>
      <c r="AF229" s="232">
        <f t="shared" si="34"/>
        <v>50787.000000000007</v>
      </c>
      <c r="AG229" s="232">
        <f>AF229*FACTS!$T$2</f>
        <v>16759.710000000003</v>
      </c>
      <c r="AH229" s="232">
        <f>Table1[[#This Row],[UNIT (BUILDING) RATE (SEMI FINISHED)]]+4500</f>
        <v>55287.000000000007</v>
      </c>
      <c r="AI229" s="232">
        <f>Table1[[#This Row],[UNIT (BUILDING) RATE (SEMI FINISHED)]]+7500</f>
        <v>58287.000000000007</v>
      </c>
      <c r="AJ229" s="232">
        <f t="shared" si="35"/>
        <v>7871985.0000000009</v>
      </c>
      <c r="AK229" s="232">
        <f>Table1[[#This Row],[UNIT (BUILDING) RATE (BASIC FINISH)]]*Table1[[#This Row],[Unit Selling Area]]</f>
        <v>8569485.0000000019</v>
      </c>
      <c r="AL229" s="232">
        <f>Table1[[#This Row],[UNIT (BUILDING) RATE (FULLY FINISH)]]*Table1[[#This Row],[Unit Selling Area]]</f>
        <v>9034485.0000000019</v>
      </c>
      <c r="AM229" s="232">
        <f t="shared" si="36"/>
        <v>0</v>
      </c>
      <c r="AN229" s="232">
        <f>(AM229+AJ229)*FACTS!$S$2</f>
        <v>669118.72500000009</v>
      </c>
      <c r="AO229" s="101">
        <f>VLOOKUP(S229,FACTS!$A$17:$C$23,3,FALSE)</f>
        <v>2</v>
      </c>
      <c r="AP229" s="232">
        <f>VLOOKUP(AA229,FACTS!$B$2:$J$14,9,FALSE)</f>
        <v>228000.00000000003</v>
      </c>
      <c r="AQ229" s="232">
        <f>Table1[[#This Row],[PARKING VALUE]]*1</f>
        <v>228000.00000000003</v>
      </c>
      <c r="AR229" s="232">
        <f t="shared" si="30"/>
        <v>8099985.0000000009</v>
      </c>
      <c r="AS229" s="440">
        <f>Table1[[#This Row],[TOTAL CARS VALUE]]+Table1[[#This Row],[UNIT (BUILDING) VALUE BASIC FINISHED]]+Table1[[#This Row],[UNIT (GARDEN) VALUE]]</f>
        <v>8797485.0000000019</v>
      </c>
      <c r="AT229" s="232">
        <f>Table1[[#This Row],[TOTAL CARS VALUE]]+Table1[[#This Row],[UNIT (GARDEN) VALUE]]+Table1[[#This Row],[UNIT (BUILDING) VALUE FULLY FINISHED]]</f>
        <v>9262485.0000000019</v>
      </c>
      <c r="AU229" s="233">
        <f>VLOOKUP(I229,'C PHASES'!$I$108:$J$110,2,FALSE)</f>
        <v>45839</v>
      </c>
      <c r="AV229" s="233">
        <f>VLOOKUP(AA229,'C PHASES'!$I$113:$J$125,2,FALSE)</f>
        <v>45658</v>
      </c>
    </row>
    <row r="230" spans="1:48" ht="15" customHeight="1" x14ac:dyDescent="0.25">
      <c r="A230" s="235"/>
      <c r="B230" s="227" t="str">
        <f t="shared" si="31"/>
        <v>B</v>
      </c>
      <c r="C230" s="227" t="s">
        <v>33</v>
      </c>
      <c r="D230" s="227" t="s">
        <v>1147</v>
      </c>
      <c r="E230" s="228">
        <v>2</v>
      </c>
      <c r="F230" s="101">
        <v>2</v>
      </c>
      <c r="G230" s="87" t="str">
        <f t="shared" si="38"/>
        <v>B322</v>
      </c>
      <c r="H230" s="87" t="s">
        <v>1294</v>
      </c>
      <c r="I230" s="89" t="str">
        <f>VLOOKUP(C230,'PREMIUM TABLES'!$G$107:$H$149,2,FALSE)</f>
        <v>C1</v>
      </c>
      <c r="J230" s="87">
        <v>126.95</v>
      </c>
      <c r="K230" s="87">
        <v>137.85289207227476</v>
      </c>
      <c r="L230" s="87">
        <v>155</v>
      </c>
      <c r="O230" s="87" t="s">
        <v>180</v>
      </c>
      <c r="P230" s="87" t="s">
        <v>190</v>
      </c>
      <c r="Q230" s="229" t="s">
        <v>209</v>
      </c>
      <c r="R230" s="87" t="str">
        <f>VLOOKUP(E230,'PREMIUM TABLES'!$F$214:$G$219,2,FALSE)</f>
        <v>SECOND</v>
      </c>
      <c r="S230" s="87" t="str" cm="1">
        <f t="array" ref="S230">IF(AND(L230&gt;0,L230&lt;90),"A",IF(AND(L230&gt;90,L230&lt;123),"B",IF(AND(L230&gt;122,L230&lt;159),"C",IF(AND(L230&gt;159,L230&lt;185),"D",IF(AND(L230&gt;185,L230&lt;230),"E",IF(AND(L230&gt;230,L230&lt;350),"F",NONE))))))</f>
        <v>C</v>
      </c>
      <c r="T230" s="230">
        <f>VLOOKUP(O230,'PREMIUM TABLES'!$G$165:$H$172,2,FALSE)</f>
        <v>0.13</v>
      </c>
      <c r="U230" s="230">
        <f>VLOOKUP(P230,'PREMIUM TABLES'!$G$208:$H$209,2,FALSE)</f>
        <v>2.5000000000000001E-2</v>
      </c>
      <c r="V230" s="230">
        <f>VLOOKUP(Q230,'PREMIUM TABLES'!$G$175:$H$195,2,FALSE)</f>
        <v>0.6</v>
      </c>
      <c r="W230" s="230">
        <f>VLOOKUP(R230,'PREMIUM TABLES'!$G$214:$H$219,2,FALSE)</f>
        <v>0.11</v>
      </c>
      <c r="X230" s="230">
        <f>VLOOKUP(S230,'PREMIUM TABLES'!$F$199:$H$205,3,FALSE)</f>
        <v>3.5000000000000003E-2</v>
      </c>
      <c r="Y230" s="231">
        <f t="shared" si="32"/>
        <v>0.9</v>
      </c>
      <c r="Z230" s="231" t="str" cm="1">
        <f t="array" ref="Z230">IF(AND(Y230&gt;0,Y230&lt;0.5),"C",IF(AND(Y230&gt;=0.5,Y230&lt;0.73),"B",IF(AND(Y230&gt;=0.73,Y230&lt;0.98),"A",NONE)))</f>
        <v>A</v>
      </c>
      <c r="AA230" s="231" t="str">
        <f>VLOOKUP(G230,'ALL (R)'!$N$5:$R$862,5,FALSE)</f>
        <v>R 12</v>
      </c>
      <c r="AB230" s="232">
        <f>VLOOKUP(AA230,FACTS!$B$2:$L$14,10,FALSE)</f>
        <v>61625</v>
      </c>
      <c r="AC230" s="232">
        <f>VLOOKUP(AA230,FACTS!$B$2:$L$14,11,FALSE)</f>
        <v>68875</v>
      </c>
      <c r="AD230" s="232">
        <f>VLOOKUP(AA230,FACTS!$B$2:$N$14,13,FALSE)</f>
        <v>7250</v>
      </c>
      <c r="AE230" s="232">
        <f t="shared" si="33"/>
        <v>6525</v>
      </c>
      <c r="AF230" s="232">
        <f t="shared" si="34"/>
        <v>68150</v>
      </c>
      <c r="AG230" s="232">
        <f>AF230*FACTS!$T$2</f>
        <v>22489.5</v>
      </c>
      <c r="AH230" s="232">
        <f>Table1[[#This Row],[UNIT (BUILDING) RATE (SEMI FINISHED)]]+4500</f>
        <v>72650</v>
      </c>
      <c r="AI230" s="232">
        <f>Table1[[#This Row],[UNIT (BUILDING) RATE (SEMI FINISHED)]]+7500</f>
        <v>75650</v>
      </c>
      <c r="AJ230" s="232">
        <f t="shared" si="35"/>
        <v>10563250</v>
      </c>
      <c r="AK230" s="232">
        <f>Table1[[#This Row],[UNIT (BUILDING) RATE (BASIC FINISH)]]*Table1[[#This Row],[Unit Selling Area]]</f>
        <v>11260750</v>
      </c>
      <c r="AL230" s="232">
        <f>Table1[[#This Row],[UNIT (BUILDING) RATE (FULLY FINISH)]]*Table1[[#This Row],[Unit Selling Area]]</f>
        <v>11725750</v>
      </c>
      <c r="AM230" s="232">
        <f t="shared" si="36"/>
        <v>0</v>
      </c>
      <c r="AN230" s="232">
        <f>(AM230+AJ230)*FACTS!$S$2</f>
        <v>897876.25000000012</v>
      </c>
      <c r="AO230" s="101">
        <f>VLOOKUP(S230,FACTS!$A$17:$C$23,3,FALSE)</f>
        <v>2</v>
      </c>
      <c r="AP230" s="232">
        <f>VLOOKUP(AA230,FACTS!$B$2:$J$14,9,FALSE)</f>
        <v>290000</v>
      </c>
      <c r="AQ230" s="232">
        <f>Table1[[#This Row],[PARKING VALUE]]*1</f>
        <v>290000</v>
      </c>
      <c r="AR230" s="232">
        <f t="shared" si="30"/>
        <v>10853250</v>
      </c>
      <c r="AS230" s="440">
        <f>Table1[[#This Row],[TOTAL CARS VALUE]]+Table1[[#This Row],[UNIT (BUILDING) VALUE BASIC FINISHED]]+Table1[[#This Row],[UNIT (GARDEN) VALUE]]</f>
        <v>11550750</v>
      </c>
      <c r="AT230" s="232">
        <f>Table1[[#This Row],[TOTAL CARS VALUE]]+Table1[[#This Row],[UNIT (GARDEN) VALUE]]+Table1[[#This Row],[UNIT (BUILDING) VALUE FULLY FINISHED]]</f>
        <v>12015750</v>
      </c>
      <c r="AU230" s="233">
        <f>VLOOKUP(I230,'C PHASES'!$I$108:$J$110,2,FALSE)</f>
        <v>45839</v>
      </c>
      <c r="AV230" s="233">
        <f>VLOOKUP(AA230,'C PHASES'!$I$113:$J$125,2,FALSE)</f>
        <v>46204</v>
      </c>
    </row>
    <row r="231" spans="1:48" ht="15" customHeight="1" x14ac:dyDescent="0.25">
      <c r="A231" s="235"/>
      <c r="B231" s="227" t="str">
        <f t="shared" si="31"/>
        <v>B</v>
      </c>
      <c r="C231" s="227" t="s">
        <v>33</v>
      </c>
      <c r="D231" s="227" t="s">
        <v>1147</v>
      </c>
      <c r="E231" s="228">
        <v>2</v>
      </c>
      <c r="F231" s="101">
        <v>3</v>
      </c>
      <c r="G231" s="87" t="str">
        <f t="shared" si="38"/>
        <v>B323</v>
      </c>
      <c r="H231" s="87" t="s">
        <v>1294</v>
      </c>
      <c r="I231" s="89" t="str">
        <f>VLOOKUP(C231,'PREMIUM TABLES'!$G$107:$H$149,2,FALSE)</f>
        <v>C1</v>
      </c>
      <c r="J231" s="87">
        <v>131.44</v>
      </c>
      <c r="K231" s="87">
        <v>142.72850834170771</v>
      </c>
      <c r="L231" s="87">
        <v>160</v>
      </c>
      <c r="O231" s="87" t="s">
        <v>180</v>
      </c>
      <c r="P231" s="87" t="s">
        <v>226</v>
      </c>
      <c r="Q231" s="229" t="s">
        <v>209</v>
      </c>
      <c r="R231" s="87" t="str">
        <f>VLOOKUP(E231,'PREMIUM TABLES'!$F$214:$G$219,2,FALSE)</f>
        <v>SECOND</v>
      </c>
      <c r="S231" s="87" t="str" cm="1">
        <f t="array" ref="S231">IF(AND(L231&gt;0,L231&lt;90),"A",IF(AND(L231&gt;90,L231&lt;123),"B",IF(AND(L231&gt;122,L231&lt;159),"C",IF(AND(L231&gt;159,L231&lt;185),"D",IF(AND(L231&gt;185,L231&lt;230),"E",IF(AND(L231&gt;230,L231&lt;350),"F",NONE))))))</f>
        <v>D</v>
      </c>
      <c r="T231" s="230">
        <f>VLOOKUP(O231,'PREMIUM TABLES'!$G$165:$H$172,2,FALSE)</f>
        <v>0.13</v>
      </c>
      <c r="U231" s="230">
        <f>VLOOKUP(P231,'PREMIUM TABLES'!$G$208:$H$209,2,FALSE)</f>
        <v>0.05</v>
      </c>
      <c r="V231" s="230">
        <f>VLOOKUP(Q231,'PREMIUM TABLES'!$G$175:$H$195,2,FALSE)</f>
        <v>0.6</v>
      </c>
      <c r="W231" s="230">
        <f>VLOOKUP(R231,'PREMIUM TABLES'!$G$214:$H$219,2,FALSE)</f>
        <v>0.11</v>
      </c>
      <c r="X231" s="230">
        <f>VLOOKUP(S231,'PREMIUM TABLES'!$F$199:$H$205,3,FALSE)</f>
        <v>2.5000000000000001E-2</v>
      </c>
      <c r="Y231" s="231">
        <f t="shared" si="32"/>
        <v>0.91500000000000004</v>
      </c>
      <c r="Z231" s="231" t="str" cm="1">
        <f t="array" ref="Z231">IF(AND(Y231&gt;0,Y231&lt;0.5),"C",IF(AND(Y231&gt;=0.5,Y231&lt;0.73),"B",IF(AND(Y231&gt;=0.73,Y231&lt;0.98),"A",NONE)))</f>
        <v>A</v>
      </c>
      <c r="AA231" s="231" t="str">
        <f>VLOOKUP(G231,'ALL (R)'!$N$5:$R$862,5,FALSE)</f>
        <v>R 12</v>
      </c>
      <c r="AB231" s="232">
        <f>VLOOKUP(AA231,FACTS!$B$2:$L$14,10,FALSE)</f>
        <v>61625</v>
      </c>
      <c r="AC231" s="232">
        <f>VLOOKUP(AA231,FACTS!$B$2:$L$14,11,FALSE)</f>
        <v>68875</v>
      </c>
      <c r="AD231" s="232">
        <f>VLOOKUP(AA231,FACTS!$B$2:$N$14,13,FALSE)</f>
        <v>7250</v>
      </c>
      <c r="AE231" s="232">
        <f t="shared" si="33"/>
        <v>6633.75</v>
      </c>
      <c r="AF231" s="232">
        <f t="shared" si="34"/>
        <v>68258.75</v>
      </c>
      <c r="AG231" s="232">
        <f>AF231*FACTS!$T$2</f>
        <v>22525.387500000001</v>
      </c>
      <c r="AH231" s="232">
        <f>Table1[[#This Row],[UNIT (BUILDING) RATE (SEMI FINISHED)]]+4500</f>
        <v>72758.75</v>
      </c>
      <c r="AI231" s="232">
        <f>Table1[[#This Row],[UNIT (BUILDING) RATE (SEMI FINISHED)]]+7500</f>
        <v>75758.75</v>
      </c>
      <c r="AJ231" s="232">
        <f t="shared" si="35"/>
        <v>10921400</v>
      </c>
      <c r="AK231" s="232">
        <f>Table1[[#This Row],[UNIT (BUILDING) RATE (BASIC FINISH)]]*Table1[[#This Row],[Unit Selling Area]]</f>
        <v>11641400</v>
      </c>
      <c r="AL231" s="232">
        <f>Table1[[#This Row],[UNIT (BUILDING) RATE (FULLY FINISH)]]*Table1[[#This Row],[Unit Selling Area]]</f>
        <v>12121400</v>
      </c>
      <c r="AM231" s="232">
        <f t="shared" si="36"/>
        <v>0</v>
      </c>
      <c r="AN231" s="232">
        <f>(AM231+AJ231)*FACTS!$S$2</f>
        <v>928319.00000000012</v>
      </c>
      <c r="AO231" s="101">
        <f>VLOOKUP(S231,FACTS!$A$17:$C$23,3,FALSE)</f>
        <v>2</v>
      </c>
      <c r="AP231" s="232">
        <f>VLOOKUP(AA231,FACTS!$B$2:$J$14,9,FALSE)</f>
        <v>290000</v>
      </c>
      <c r="AQ231" s="232">
        <f>Table1[[#This Row],[PARKING VALUE]]*1</f>
        <v>290000</v>
      </c>
      <c r="AR231" s="232">
        <f t="shared" si="30"/>
        <v>11211400</v>
      </c>
      <c r="AS231" s="440">
        <f>Table1[[#This Row],[TOTAL CARS VALUE]]+Table1[[#This Row],[UNIT (BUILDING) VALUE BASIC FINISHED]]+Table1[[#This Row],[UNIT (GARDEN) VALUE]]</f>
        <v>11931400</v>
      </c>
      <c r="AT231" s="232">
        <f>Table1[[#This Row],[TOTAL CARS VALUE]]+Table1[[#This Row],[UNIT (GARDEN) VALUE]]+Table1[[#This Row],[UNIT (BUILDING) VALUE FULLY FINISHED]]</f>
        <v>12411400</v>
      </c>
      <c r="AU231" s="233">
        <f>VLOOKUP(I231,'C PHASES'!$I$108:$J$110,2,FALSE)</f>
        <v>45839</v>
      </c>
      <c r="AV231" s="233">
        <f>VLOOKUP(AA231,'C PHASES'!$I$113:$J$125,2,FALSE)</f>
        <v>46204</v>
      </c>
    </row>
    <row r="232" spans="1:48" ht="15" customHeight="1" x14ac:dyDescent="0.25">
      <c r="A232" s="235"/>
      <c r="B232" s="227" t="str">
        <f t="shared" si="31"/>
        <v>B</v>
      </c>
      <c r="C232" s="227" t="s">
        <v>33</v>
      </c>
      <c r="D232" s="227" t="s">
        <v>1147</v>
      </c>
      <c r="E232" s="228">
        <v>2</v>
      </c>
      <c r="F232" s="101">
        <v>4</v>
      </c>
      <c r="G232" s="87" t="str">
        <f t="shared" si="38"/>
        <v>B324</v>
      </c>
      <c r="H232" s="87" t="s">
        <v>1294</v>
      </c>
      <c r="I232" s="89" t="str">
        <f>VLOOKUP(C232,'PREMIUM TABLES'!$G$107:$H$149,2,FALSE)</f>
        <v>C1</v>
      </c>
      <c r="J232" s="87">
        <v>131.43</v>
      </c>
      <c r="K232" s="87">
        <v>142.71764950814548</v>
      </c>
      <c r="L232" s="87">
        <v>160</v>
      </c>
      <c r="O232" s="87" t="s">
        <v>187</v>
      </c>
      <c r="P232" s="87" t="s">
        <v>226</v>
      </c>
      <c r="Q232" s="229" t="s">
        <v>197</v>
      </c>
      <c r="R232" s="87" t="str">
        <f>VLOOKUP(E232,'PREMIUM TABLES'!$F$214:$G$219,2,FALSE)</f>
        <v>SECOND</v>
      </c>
      <c r="S232" s="87" t="str" cm="1">
        <f t="array" ref="S232">IF(AND(L232&gt;0,L232&lt;90),"A",IF(AND(L232&gt;90,L232&lt;123),"B",IF(AND(L232&gt;122,L232&lt;159),"C",IF(AND(L232&gt;159,L232&lt;185),"D",IF(AND(L232&gt;185,L232&lt;230),"E",IF(AND(L232&gt;230,L232&lt;350),"F",NONE))))))</f>
        <v>D</v>
      </c>
      <c r="T232" s="230">
        <f>VLOOKUP(O232,'PREMIUM TABLES'!$G$165:$H$172,2,FALSE)</f>
        <v>0.08</v>
      </c>
      <c r="U232" s="230">
        <f>VLOOKUP(P232,'PREMIUM TABLES'!$G$208:$H$209,2,FALSE)</f>
        <v>0.05</v>
      </c>
      <c r="V232" s="230">
        <f>VLOOKUP(Q232,'PREMIUM TABLES'!$G$175:$H$195,2,FALSE)</f>
        <v>0.16</v>
      </c>
      <c r="W232" s="230">
        <f>VLOOKUP(R232,'PREMIUM TABLES'!$G$214:$H$219,2,FALSE)</f>
        <v>0.11</v>
      </c>
      <c r="X232" s="230">
        <f>VLOOKUP(S232,'PREMIUM TABLES'!$F$199:$H$205,3,FALSE)</f>
        <v>2.5000000000000001E-2</v>
      </c>
      <c r="Y232" s="231">
        <f t="shared" si="32"/>
        <v>0.42500000000000004</v>
      </c>
      <c r="Z232" s="231" t="str" cm="1">
        <f t="array" ref="Z232">IF(AND(Y232&gt;0,Y232&lt;0.5),"C",IF(AND(Y232&gt;=0.5,Y232&lt;0.73),"B",IF(AND(Y232&gt;=0.73,Y232&lt;0.98),"A",NONE)))</f>
        <v>C</v>
      </c>
      <c r="AA232" s="231" t="str">
        <f>VLOOKUP(G232,'ALL (R)'!$N$5:$R$862,5,FALSE)</f>
        <v>R 8</v>
      </c>
      <c r="AB232" s="232">
        <f>VLOOKUP(AA232,FACTS!$B$2:$L$14,10,FALSE)</f>
        <v>51850</v>
      </c>
      <c r="AC232" s="232">
        <f>VLOOKUP(AA232,FACTS!$B$2:$L$14,11,FALSE)</f>
        <v>57950</v>
      </c>
      <c r="AD232" s="232">
        <f>VLOOKUP(AA232,FACTS!$B$2:$N$14,13,FALSE)</f>
        <v>6100</v>
      </c>
      <c r="AE232" s="232">
        <f t="shared" si="33"/>
        <v>2592.5000000000005</v>
      </c>
      <c r="AF232" s="232">
        <f t="shared" si="34"/>
        <v>54442.5</v>
      </c>
      <c r="AG232" s="232">
        <f>AF232*FACTS!$T$2</f>
        <v>17966.025000000001</v>
      </c>
      <c r="AH232" s="232">
        <f>Table1[[#This Row],[UNIT (BUILDING) RATE (SEMI FINISHED)]]+4500</f>
        <v>58942.5</v>
      </c>
      <c r="AI232" s="232">
        <f>Table1[[#This Row],[UNIT (BUILDING) RATE (SEMI FINISHED)]]+7500</f>
        <v>61942.5</v>
      </c>
      <c r="AJ232" s="232">
        <f t="shared" si="35"/>
        <v>8710800</v>
      </c>
      <c r="AK232" s="232">
        <f>Table1[[#This Row],[UNIT (BUILDING) RATE (BASIC FINISH)]]*Table1[[#This Row],[Unit Selling Area]]</f>
        <v>9430800</v>
      </c>
      <c r="AL232" s="232">
        <f>Table1[[#This Row],[UNIT (BUILDING) RATE (FULLY FINISH)]]*Table1[[#This Row],[Unit Selling Area]]</f>
        <v>9910800</v>
      </c>
      <c r="AM232" s="232">
        <f t="shared" si="36"/>
        <v>0</v>
      </c>
      <c r="AN232" s="232">
        <f>(AM232+AJ232)*FACTS!$S$2</f>
        <v>740418</v>
      </c>
      <c r="AO232" s="101">
        <f>VLOOKUP(S232,FACTS!$A$17:$C$23,3,FALSE)</f>
        <v>2</v>
      </c>
      <c r="AP232" s="232">
        <f>VLOOKUP(AA232,FACTS!$B$2:$J$14,9,FALSE)</f>
        <v>244000</v>
      </c>
      <c r="AQ232" s="232">
        <f>Table1[[#This Row],[PARKING VALUE]]*1</f>
        <v>244000</v>
      </c>
      <c r="AR232" s="232">
        <f t="shared" si="30"/>
        <v>8954800</v>
      </c>
      <c r="AS232" s="440">
        <f>Table1[[#This Row],[TOTAL CARS VALUE]]+Table1[[#This Row],[UNIT (BUILDING) VALUE BASIC FINISHED]]+Table1[[#This Row],[UNIT (GARDEN) VALUE]]</f>
        <v>9674800</v>
      </c>
      <c r="AT232" s="232">
        <f>Table1[[#This Row],[TOTAL CARS VALUE]]+Table1[[#This Row],[UNIT (GARDEN) VALUE]]+Table1[[#This Row],[UNIT (BUILDING) VALUE FULLY FINISHED]]</f>
        <v>10154800</v>
      </c>
      <c r="AU232" s="233">
        <f>VLOOKUP(I232,'C PHASES'!$I$108:$J$110,2,FALSE)</f>
        <v>45839</v>
      </c>
      <c r="AV232" s="233">
        <f>VLOOKUP(AA232,'C PHASES'!$I$113:$J$125,2,FALSE)</f>
        <v>45839</v>
      </c>
    </row>
    <row r="233" spans="1:48" ht="15" customHeight="1" x14ac:dyDescent="0.25">
      <c r="A233" s="235"/>
      <c r="B233" s="227" t="str">
        <f t="shared" si="31"/>
        <v>B</v>
      </c>
      <c r="C233" s="227" t="s">
        <v>33</v>
      </c>
      <c r="D233" s="227" t="s">
        <v>1147</v>
      </c>
      <c r="E233" s="228">
        <v>3</v>
      </c>
      <c r="F233" s="101">
        <v>1</v>
      </c>
      <c r="G233" s="87" t="str">
        <f t="shared" si="38"/>
        <v>B331</v>
      </c>
      <c r="H233" s="87" t="s">
        <v>1294</v>
      </c>
      <c r="I233" s="89" t="str">
        <f>VLOOKUP(C233,'PREMIUM TABLES'!$G$107:$H$149,2,FALSE)</f>
        <v>C1</v>
      </c>
      <c r="J233" s="87">
        <v>127.45</v>
      </c>
      <c r="K233" s="87">
        <v>138.39583375038532</v>
      </c>
      <c r="L233" s="87">
        <v>155</v>
      </c>
      <c r="O233" s="87" t="s">
        <v>187</v>
      </c>
      <c r="P233" s="87" t="s">
        <v>190</v>
      </c>
      <c r="Q233" s="229" t="s">
        <v>197</v>
      </c>
      <c r="R233" s="87" t="str">
        <f>VLOOKUP(E233,'PREMIUM TABLES'!$F$214:$G$219,2,FALSE)</f>
        <v>THIRD</v>
      </c>
      <c r="S233" s="87" t="str" cm="1">
        <f t="array" ref="S233">IF(AND(L233&gt;0,L233&lt;90),"A",IF(AND(L233&gt;90,L233&lt;123),"B",IF(AND(L233&gt;122,L233&lt;159),"C",IF(AND(L233&gt;159,L233&lt;185),"D",IF(AND(L233&gt;185,L233&lt;230),"E",IF(AND(L233&gt;230,L233&lt;350),"F",NONE))))))</f>
        <v>C</v>
      </c>
      <c r="T233" s="230">
        <f>VLOOKUP(O233,'PREMIUM TABLES'!$G$165:$H$172,2,FALSE)</f>
        <v>0.08</v>
      </c>
      <c r="U233" s="230">
        <f>VLOOKUP(P233,'PREMIUM TABLES'!$G$208:$H$209,2,FALSE)</f>
        <v>2.5000000000000001E-2</v>
      </c>
      <c r="V233" s="230">
        <f>VLOOKUP(Q233,'PREMIUM TABLES'!$G$175:$H$195,2,FALSE)</f>
        <v>0.16</v>
      </c>
      <c r="W233" s="230">
        <f>VLOOKUP(R233,'PREMIUM TABLES'!$G$214:$H$219,2,FALSE)</f>
        <v>0.15</v>
      </c>
      <c r="X233" s="230">
        <f>VLOOKUP(S233,'PREMIUM TABLES'!$F$199:$H$205,3,FALSE)</f>
        <v>3.5000000000000003E-2</v>
      </c>
      <c r="Y233" s="231">
        <f t="shared" si="32"/>
        <v>0.45000000000000007</v>
      </c>
      <c r="Z233" s="231" t="str" cm="1">
        <f t="array" ref="Z233">IF(AND(Y233&gt;0,Y233&lt;0.5),"C",IF(AND(Y233&gt;=0.5,Y233&lt;0.73),"B",IF(AND(Y233&gt;=0.73,Y233&lt;0.98),"A",NONE)))</f>
        <v>C</v>
      </c>
      <c r="AA233" s="231" t="str">
        <f>VLOOKUP(G233,'ALL (R)'!$N$5:$R$862,5,FALSE)</f>
        <v>R 9</v>
      </c>
      <c r="AB233" s="232">
        <f>VLOOKUP(AA233,FACTS!$B$2:$L$14,10,FALSE)</f>
        <v>53550</v>
      </c>
      <c r="AC233" s="232">
        <f>VLOOKUP(AA233,FACTS!$B$2:$L$14,11,FALSE)</f>
        <v>59850</v>
      </c>
      <c r="AD233" s="232">
        <f>VLOOKUP(AA233,FACTS!$B$2:$N$14,13,FALSE)</f>
        <v>6300</v>
      </c>
      <c r="AE233" s="232">
        <f t="shared" si="33"/>
        <v>2835.0000000000005</v>
      </c>
      <c r="AF233" s="232">
        <f t="shared" si="34"/>
        <v>56385</v>
      </c>
      <c r="AG233" s="232">
        <f>AF233*FACTS!$T$2</f>
        <v>18607.05</v>
      </c>
      <c r="AH233" s="232">
        <f>Table1[[#This Row],[UNIT (BUILDING) RATE (SEMI FINISHED)]]+4500</f>
        <v>60885</v>
      </c>
      <c r="AI233" s="232">
        <f>Table1[[#This Row],[UNIT (BUILDING) RATE (SEMI FINISHED)]]+7500</f>
        <v>63885</v>
      </c>
      <c r="AJ233" s="232">
        <f t="shared" si="35"/>
        <v>8739675</v>
      </c>
      <c r="AK233" s="232">
        <f>Table1[[#This Row],[UNIT (BUILDING) RATE (BASIC FINISH)]]*Table1[[#This Row],[Unit Selling Area]]</f>
        <v>9437175</v>
      </c>
      <c r="AL233" s="232">
        <f>Table1[[#This Row],[UNIT (BUILDING) RATE (FULLY FINISH)]]*Table1[[#This Row],[Unit Selling Area]]</f>
        <v>9902175</v>
      </c>
      <c r="AM233" s="232">
        <f t="shared" si="36"/>
        <v>0</v>
      </c>
      <c r="AN233" s="232">
        <f>(AM233+AJ233)*FACTS!$S$2</f>
        <v>742872.375</v>
      </c>
      <c r="AO233" s="101">
        <f>VLOOKUP(S233,FACTS!$A$17:$C$23,3,FALSE)</f>
        <v>2</v>
      </c>
      <c r="AP233" s="232">
        <f>VLOOKUP(AA233,FACTS!$B$2:$J$14,9,FALSE)</f>
        <v>252000</v>
      </c>
      <c r="AQ233" s="232">
        <f>Table1[[#This Row],[PARKING VALUE]]*1</f>
        <v>252000</v>
      </c>
      <c r="AR233" s="232">
        <f t="shared" si="30"/>
        <v>8991675</v>
      </c>
      <c r="AS233" s="440">
        <f>Table1[[#This Row],[TOTAL CARS VALUE]]+Table1[[#This Row],[UNIT (BUILDING) VALUE BASIC FINISHED]]+Table1[[#This Row],[UNIT (GARDEN) VALUE]]</f>
        <v>9689175</v>
      </c>
      <c r="AT233" s="232">
        <f>Table1[[#This Row],[TOTAL CARS VALUE]]+Table1[[#This Row],[UNIT (GARDEN) VALUE]]+Table1[[#This Row],[UNIT (BUILDING) VALUE FULLY FINISHED]]</f>
        <v>10154175</v>
      </c>
      <c r="AU233" s="233">
        <f>VLOOKUP(I233,'C PHASES'!$I$108:$J$110,2,FALSE)</f>
        <v>45839</v>
      </c>
      <c r="AV233" s="233">
        <f>VLOOKUP(AA233,'C PHASES'!$I$113:$J$125,2,FALSE)</f>
        <v>45931</v>
      </c>
    </row>
    <row r="234" spans="1:48" ht="15" customHeight="1" x14ac:dyDescent="0.25">
      <c r="A234" s="235"/>
      <c r="B234" s="227" t="str">
        <f t="shared" si="31"/>
        <v>B</v>
      </c>
      <c r="C234" s="227" t="s">
        <v>33</v>
      </c>
      <c r="D234" s="227" t="s">
        <v>1147</v>
      </c>
      <c r="E234" s="228">
        <v>3</v>
      </c>
      <c r="F234" s="101">
        <v>2</v>
      </c>
      <c r="G234" s="87" t="str">
        <f t="shared" si="38"/>
        <v>B332</v>
      </c>
      <c r="H234" s="87" t="s">
        <v>1294</v>
      </c>
      <c r="I234" s="89" t="str">
        <f>VLOOKUP(C234,'PREMIUM TABLES'!$G$107:$H$149,2,FALSE)</f>
        <v>C1</v>
      </c>
      <c r="J234" s="87">
        <v>126.97</v>
      </c>
      <c r="K234" s="87">
        <v>137.87460973939918</v>
      </c>
      <c r="L234" s="87">
        <v>155</v>
      </c>
      <c r="O234" s="87" t="s">
        <v>180</v>
      </c>
      <c r="P234" s="87" t="s">
        <v>190</v>
      </c>
      <c r="Q234" s="229" t="s">
        <v>209</v>
      </c>
      <c r="R234" s="87" t="str">
        <f>VLOOKUP(E234,'PREMIUM TABLES'!$F$214:$G$219,2,FALSE)</f>
        <v>THIRD</v>
      </c>
      <c r="S234" s="87" t="str" cm="1">
        <f t="array" ref="S234">IF(AND(L234&gt;0,L234&lt;90),"A",IF(AND(L234&gt;90,L234&lt;123),"B",IF(AND(L234&gt;122,L234&lt;159),"C",IF(AND(L234&gt;159,L234&lt;185),"D",IF(AND(L234&gt;185,L234&lt;230),"E",IF(AND(L234&gt;230,L234&lt;350),"F",NONE))))))</f>
        <v>C</v>
      </c>
      <c r="T234" s="230">
        <f>VLOOKUP(O234,'PREMIUM TABLES'!$G$165:$H$172,2,FALSE)</f>
        <v>0.13</v>
      </c>
      <c r="U234" s="230">
        <f>VLOOKUP(P234,'PREMIUM TABLES'!$G$208:$H$209,2,FALSE)</f>
        <v>2.5000000000000001E-2</v>
      </c>
      <c r="V234" s="230">
        <f>VLOOKUP(Q234,'PREMIUM TABLES'!$G$175:$H$195,2,FALSE)</f>
        <v>0.6</v>
      </c>
      <c r="W234" s="230">
        <f>VLOOKUP(R234,'PREMIUM TABLES'!$G$214:$H$219,2,FALSE)</f>
        <v>0.15</v>
      </c>
      <c r="X234" s="230">
        <f>VLOOKUP(S234,'PREMIUM TABLES'!$F$199:$H$205,3,FALSE)</f>
        <v>3.5000000000000003E-2</v>
      </c>
      <c r="Y234" s="231">
        <f t="shared" si="32"/>
        <v>0.94000000000000006</v>
      </c>
      <c r="Z234" s="231" t="str" cm="1">
        <f t="array" ref="Z234">IF(AND(Y234&gt;0,Y234&lt;0.5),"C",IF(AND(Y234&gt;=0.5,Y234&lt;0.73),"B",IF(AND(Y234&gt;=0.73,Y234&lt;0.98),"A",NONE)))</f>
        <v>A</v>
      </c>
      <c r="AA234" s="231" t="str">
        <f>VLOOKUP(G234,'ALL (R)'!$N$5:$R$862,5,FALSE)</f>
        <v>R 12</v>
      </c>
      <c r="AB234" s="232">
        <f>VLOOKUP(AA234,FACTS!$B$2:$L$14,10,FALSE)</f>
        <v>61625</v>
      </c>
      <c r="AC234" s="232">
        <f>VLOOKUP(AA234,FACTS!$B$2:$L$14,11,FALSE)</f>
        <v>68875</v>
      </c>
      <c r="AD234" s="232">
        <f>VLOOKUP(AA234,FACTS!$B$2:$N$14,13,FALSE)</f>
        <v>7250</v>
      </c>
      <c r="AE234" s="232">
        <f t="shared" si="33"/>
        <v>6815</v>
      </c>
      <c r="AF234" s="232">
        <f t="shared" si="34"/>
        <v>68440</v>
      </c>
      <c r="AG234" s="232">
        <f>AF234*FACTS!$T$2</f>
        <v>22585.200000000001</v>
      </c>
      <c r="AH234" s="232">
        <f>Table1[[#This Row],[UNIT (BUILDING) RATE (SEMI FINISHED)]]+4500</f>
        <v>72940</v>
      </c>
      <c r="AI234" s="232">
        <f>Table1[[#This Row],[UNIT (BUILDING) RATE (SEMI FINISHED)]]+7500</f>
        <v>75940</v>
      </c>
      <c r="AJ234" s="232">
        <f t="shared" si="35"/>
        <v>10608200</v>
      </c>
      <c r="AK234" s="232">
        <f>Table1[[#This Row],[UNIT (BUILDING) RATE (BASIC FINISH)]]*Table1[[#This Row],[Unit Selling Area]]</f>
        <v>11305700</v>
      </c>
      <c r="AL234" s="232">
        <f>Table1[[#This Row],[UNIT (BUILDING) RATE (FULLY FINISH)]]*Table1[[#This Row],[Unit Selling Area]]</f>
        <v>11770700</v>
      </c>
      <c r="AM234" s="232">
        <f t="shared" si="36"/>
        <v>0</v>
      </c>
      <c r="AN234" s="232">
        <f>(AM234+AJ234)*FACTS!$S$2</f>
        <v>901697.00000000012</v>
      </c>
      <c r="AO234" s="101">
        <f>VLOOKUP(S234,FACTS!$A$17:$C$23,3,FALSE)</f>
        <v>2</v>
      </c>
      <c r="AP234" s="232">
        <f>VLOOKUP(AA234,FACTS!$B$2:$J$14,9,FALSE)</f>
        <v>290000</v>
      </c>
      <c r="AQ234" s="232">
        <f>Table1[[#This Row],[PARKING VALUE]]*1</f>
        <v>290000</v>
      </c>
      <c r="AR234" s="232">
        <f t="shared" si="30"/>
        <v>10898200</v>
      </c>
      <c r="AS234" s="440">
        <f>Table1[[#This Row],[TOTAL CARS VALUE]]+Table1[[#This Row],[UNIT (BUILDING) VALUE BASIC FINISHED]]+Table1[[#This Row],[UNIT (GARDEN) VALUE]]</f>
        <v>11595700</v>
      </c>
      <c r="AT234" s="232">
        <f>Table1[[#This Row],[TOTAL CARS VALUE]]+Table1[[#This Row],[UNIT (GARDEN) VALUE]]+Table1[[#This Row],[UNIT (BUILDING) VALUE FULLY FINISHED]]</f>
        <v>12060700</v>
      </c>
      <c r="AU234" s="233">
        <f>VLOOKUP(I234,'C PHASES'!$I$108:$J$110,2,FALSE)</f>
        <v>45839</v>
      </c>
      <c r="AV234" s="233">
        <f>VLOOKUP(AA234,'C PHASES'!$I$113:$J$125,2,FALSE)</f>
        <v>46204</v>
      </c>
    </row>
    <row r="235" spans="1:48" ht="15" customHeight="1" x14ac:dyDescent="0.25">
      <c r="A235" s="235"/>
      <c r="B235" s="227" t="str">
        <f t="shared" si="31"/>
        <v>B</v>
      </c>
      <c r="C235" s="227" t="s">
        <v>33</v>
      </c>
      <c r="D235" s="227" t="s">
        <v>1147</v>
      </c>
      <c r="E235" s="228">
        <v>3</v>
      </c>
      <c r="F235" s="101">
        <v>3</v>
      </c>
      <c r="G235" s="87" t="str">
        <f t="shared" si="38"/>
        <v>B333</v>
      </c>
      <c r="H235" s="87" t="s">
        <v>1294</v>
      </c>
      <c r="I235" s="89" t="str">
        <f>VLOOKUP(C235,'PREMIUM TABLES'!$G$107:$H$149,2,FALSE)</f>
        <v>C1</v>
      </c>
      <c r="J235" s="87">
        <v>131.43</v>
      </c>
      <c r="K235" s="87">
        <v>142.71764950814548</v>
      </c>
      <c r="L235" s="87">
        <v>160</v>
      </c>
      <c r="O235" s="87" t="s">
        <v>180</v>
      </c>
      <c r="P235" s="87" t="s">
        <v>226</v>
      </c>
      <c r="Q235" s="229" t="s">
        <v>209</v>
      </c>
      <c r="R235" s="87" t="str">
        <f>VLOOKUP(E235,'PREMIUM TABLES'!$F$214:$G$219,2,FALSE)</f>
        <v>THIRD</v>
      </c>
      <c r="S235" s="87" t="str" cm="1">
        <f t="array" ref="S235">IF(AND(L235&gt;0,L235&lt;90),"A",IF(AND(L235&gt;90,L235&lt;123),"B",IF(AND(L235&gt;122,L235&lt;159),"C",IF(AND(L235&gt;159,L235&lt;185),"D",IF(AND(L235&gt;185,L235&lt;230),"E",IF(AND(L235&gt;230,L235&lt;350),"F",NONE))))))</f>
        <v>D</v>
      </c>
      <c r="T235" s="230">
        <f>VLOOKUP(O235,'PREMIUM TABLES'!$G$165:$H$172,2,FALSE)</f>
        <v>0.13</v>
      </c>
      <c r="U235" s="230">
        <f>VLOOKUP(P235,'PREMIUM TABLES'!$G$208:$H$209,2,FALSE)</f>
        <v>0.05</v>
      </c>
      <c r="V235" s="230">
        <f>VLOOKUP(Q235,'PREMIUM TABLES'!$G$175:$H$195,2,FALSE)</f>
        <v>0.6</v>
      </c>
      <c r="W235" s="230">
        <f>VLOOKUP(R235,'PREMIUM TABLES'!$G$214:$H$219,2,FALSE)</f>
        <v>0.15</v>
      </c>
      <c r="X235" s="230">
        <f>VLOOKUP(S235,'PREMIUM TABLES'!$F$199:$H$205,3,FALSE)</f>
        <v>2.5000000000000001E-2</v>
      </c>
      <c r="Y235" s="231">
        <f t="shared" si="32"/>
        <v>0.95500000000000007</v>
      </c>
      <c r="Z235" s="231" t="str" cm="1">
        <f t="array" ref="Z235">IF(AND(Y235&gt;0,Y235&lt;0.5),"C",IF(AND(Y235&gt;=0.5,Y235&lt;0.73),"B",IF(AND(Y235&gt;=0.73,Y235&lt;0.98),"A",NONE)))</f>
        <v>A</v>
      </c>
      <c r="AA235" s="231" t="str">
        <f>VLOOKUP(G235,'ALL (R)'!$N$5:$R$862,5,FALSE)</f>
        <v>R 12</v>
      </c>
      <c r="AB235" s="232">
        <f>VLOOKUP(AA235,FACTS!$B$2:$L$14,10,FALSE)</f>
        <v>61625</v>
      </c>
      <c r="AC235" s="232">
        <f>VLOOKUP(AA235,FACTS!$B$2:$L$14,11,FALSE)</f>
        <v>68875</v>
      </c>
      <c r="AD235" s="232">
        <f>VLOOKUP(AA235,FACTS!$B$2:$N$14,13,FALSE)</f>
        <v>7250</v>
      </c>
      <c r="AE235" s="232">
        <f t="shared" si="33"/>
        <v>6923.7500000000009</v>
      </c>
      <c r="AF235" s="232">
        <f t="shared" si="34"/>
        <v>68548.75</v>
      </c>
      <c r="AG235" s="232">
        <f>AF235*FACTS!$T$2</f>
        <v>22621.087500000001</v>
      </c>
      <c r="AH235" s="232">
        <f>Table1[[#This Row],[UNIT (BUILDING) RATE (SEMI FINISHED)]]+4500</f>
        <v>73048.75</v>
      </c>
      <c r="AI235" s="232">
        <f>Table1[[#This Row],[UNIT (BUILDING) RATE (SEMI FINISHED)]]+7500</f>
        <v>76048.75</v>
      </c>
      <c r="AJ235" s="232">
        <f t="shared" si="35"/>
        <v>10967800</v>
      </c>
      <c r="AK235" s="232">
        <f>Table1[[#This Row],[UNIT (BUILDING) RATE (BASIC FINISH)]]*Table1[[#This Row],[Unit Selling Area]]</f>
        <v>11687800</v>
      </c>
      <c r="AL235" s="232">
        <f>Table1[[#This Row],[UNIT (BUILDING) RATE (FULLY FINISH)]]*Table1[[#This Row],[Unit Selling Area]]</f>
        <v>12167800</v>
      </c>
      <c r="AM235" s="232">
        <f t="shared" si="36"/>
        <v>0</v>
      </c>
      <c r="AN235" s="232">
        <f>(AM235+AJ235)*FACTS!$S$2</f>
        <v>932263.00000000012</v>
      </c>
      <c r="AO235" s="101">
        <f>VLOOKUP(S235,FACTS!$A$17:$C$23,3,FALSE)</f>
        <v>2</v>
      </c>
      <c r="AP235" s="232">
        <f>VLOOKUP(AA235,FACTS!$B$2:$J$14,9,FALSE)</f>
        <v>290000</v>
      </c>
      <c r="AQ235" s="232">
        <f>Table1[[#This Row],[PARKING VALUE]]*1</f>
        <v>290000</v>
      </c>
      <c r="AR235" s="232">
        <f t="shared" si="30"/>
        <v>11257800</v>
      </c>
      <c r="AS235" s="440">
        <f>Table1[[#This Row],[TOTAL CARS VALUE]]+Table1[[#This Row],[UNIT (BUILDING) VALUE BASIC FINISHED]]+Table1[[#This Row],[UNIT (GARDEN) VALUE]]</f>
        <v>11977800</v>
      </c>
      <c r="AT235" s="232">
        <f>Table1[[#This Row],[TOTAL CARS VALUE]]+Table1[[#This Row],[UNIT (GARDEN) VALUE]]+Table1[[#This Row],[UNIT (BUILDING) VALUE FULLY FINISHED]]</f>
        <v>12457800</v>
      </c>
      <c r="AU235" s="233">
        <f>VLOOKUP(I235,'C PHASES'!$I$108:$J$110,2,FALSE)</f>
        <v>45839</v>
      </c>
      <c r="AV235" s="233">
        <f>VLOOKUP(AA235,'C PHASES'!$I$113:$J$125,2,FALSE)</f>
        <v>46204</v>
      </c>
    </row>
    <row r="236" spans="1:48" ht="15" customHeight="1" x14ac:dyDescent="0.25">
      <c r="A236" s="235"/>
      <c r="B236" s="227" t="str">
        <f t="shared" si="31"/>
        <v>B</v>
      </c>
      <c r="C236" s="227" t="s">
        <v>33</v>
      </c>
      <c r="D236" s="227" t="s">
        <v>1147</v>
      </c>
      <c r="E236" s="228">
        <v>3</v>
      </c>
      <c r="F236" s="101">
        <v>4</v>
      </c>
      <c r="G236" s="87" t="str">
        <f t="shared" si="38"/>
        <v>B334</v>
      </c>
      <c r="H236" s="87" t="s">
        <v>1294</v>
      </c>
      <c r="I236" s="89" t="str">
        <f>VLOOKUP(C236,'PREMIUM TABLES'!$G$107:$H$149,2,FALSE)</f>
        <v>C1</v>
      </c>
      <c r="J236" s="87">
        <v>131.88</v>
      </c>
      <c r="K236" s="87">
        <v>143.20629701844501</v>
      </c>
      <c r="L236" s="87">
        <v>161</v>
      </c>
      <c r="O236" s="87" t="s">
        <v>187</v>
      </c>
      <c r="P236" s="87" t="s">
        <v>226</v>
      </c>
      <c r="Q236" s="229" t="s">
        <v>197</v>
      </c>
      <c r="R236" s="87" t="str">
        <f>VLOOKUP(E236,'PREMIUM TABLES'!$F$214:$G$219,2,FALSE)</f>
        <v>THIRD</v>
      </c>
      <c r="S236" s="87" t="str" cm="1">
        <f t="array" ref="S236">IF(AND(L236&gt;0,L236&lt;90),"A",IF(AND(L236&gt;90,L236&lt;123),"B",IF(AND(L236&gt;122,L236&lt;159),"C",IF(AND(L236&gt;159,L236&lt;185),"D",IF(AND(L236&gt;185,L236&lt;230),"E",IF(AND(L236&gt;230,L236&lt;350),"F",NONE))))))</f>
        <v>D</v>
      </c>
      <c r="T236" s="230">
        <f>VLOOKUP(O236,'PREMIUM TABLES'!$G$165:$H$172,2,FALSE)</f>
        <v>0.08</v>
      </c>
      <c r="U236" s="230">
        <f>VLOOKUP(P236,'PREMIUM TABLES'!$G$208:$H$209,2,FALSE)</f>
        <v>0.05</v>
      </c>
      <c r="V236" s="230">
        <f>VLOOKUP(Q236,'PREMIUM TABLES'!$G$175:$H$195,2,FALSE)</f>
        <v>0.16</v>
      </c>
      <c r="W236" s="230">
        <f>VLOOKUP(R236,'PREMIUM TABLES'!$G$214:$H$219,2,FALSE)</f>
        <v>0.15</v>
      </c>
      <c r="X236" s="230">
        <f>VLOOKUP(S236,'PREMIUM TABLES'!$F$199:$H$205,3,FALSE)</f>
        <v>2.5000000000000001E-2</v>
      </c>
      <c r="Y236" s="231">
        <f t="shared" si="32"/>
        <v>0.46500000000000008</v>
      </c>
      <c r="Z236" s="231" t="str" cm="1">
        <f t="array" ref="Z236">IF(AND(Y236&gt;0,Y236&lt;0.5),"C",IF(AND(Y236&gt;=0.5,Y236&lt;0.73),"B",IF(AND(Y236&gt;=0.73,Y236&lt;0.98),"A",NONE)))</f>
        <v>C</v>
      </c>
      <c r="AA236" s="231" t="str">
        <f>VLOOKUP(G236,'ALL (R)'!$N$5:$R$862,5,FALSE)</f>
        <v>R 11</v>
      </c>
      <c r="AB236" s="232">
        <f>VLOOKUP(AA236,FACTS!$B$2:$L$14,10,FALSE)</f>
        <v>58649.999999999993</v>
      </c>
      <c r="AC236" s="232">
        <f>VLOOKUP(AA236,FACTS!$B$2:$L$14,11,FALSE)</f>
        <v>65550</v>
      </c>
      <c r="AD236" s="232">
        <f>VLOOKUP(AA236,FACTS!$B$2:$N$14,13,FALSE)</f>
        <v>6900.0000000000073</v>
      </c>
      <c r="AE236" s="232">
        <f t="shared" si="33"/>
        <v>3208.5000000000041</v>
      </c>
      <c r="AF236" s="232">
        <f t="shared" si="34"/>
        <v>61858.5</v>
      </c>
      <c r="AG236" s="232">
        <f>AF236*FACTS!$T$2</f>
        <v>20413.305</v>
      </c>
      <c r="AH236" s="232">
        <f>Table1[[#This Row],[UNIT (BUILDING) RATE (SEMI FINISHED)]]+4500</f>
        <v>66358.5</v>
      </c>
      <c r="AI236" s="232">
        <f>Table1[[#This Row],[UNIT (BUILDING) RATE (SEMI FINISHED)]]+7500</f>
        <v>69358.5</v>
      </c>
      <c r="AJ236" s="232">
        <f t="shared" si="35"/>
        <v>9959218.5</v>
      </c>
      <c r="AK236" s="232">
        <f>Table1[[#This Row],[UNIT (BUILDING) RATE (BASIC FINISH)]]*Table1[[#This Row],[Unit Selling Area]]</f>
        <v>10683718.5</v>
      </c>
      <c r="AL236" s="232">
        <f>Table1[[#This Row],[UNIT (BUILDING) RATE (FULLY FINISH)]]*Table1[[#This Row],[Unit Selling Area]]</f>
        <v>11166718.5</v>
      </c>
      <c r="AM236" s="232">
        <f t="shared" si="36"/>
        <v>0</v>
      </c>
      <c r="AN236" s="232">
        <f>(AM236+AJ236)*FACTS!$S$2</f>
        <v>846533.57250000001</v>
      </c>
      <c r="AO236" s="101">
        <f>VLOOKUP(S236,FACTS!$A$17:$C$23,3,FALSE)</f>
        <v>2</v>
      </c>
      <c r="AP236" s="232">
        <f>VLOOKUP(AA236,FACTS!$B$2:$J$14,9,FALSE)</f>
        <v>276000</v>
      </c>
      <c r="AQ236" s="232">
        <f>Table1[[#This Row],[PARKING VALUE]]*1</f>
        <v>276000</v>
      </c>
      <c r="AR236" s="232">
        <f t="shared" si="30"/>
        <v>10235218.5</v>
      </c>
      <c r="AS236" s="440">
        <f>Table1[[#This Row],[TOTAL CARS VALUE]]+Table1[[#This Row],[UNIT (BUILDING) VALUE BASIC FINISHED]]+Table1[[#This Row],[UNIT (GARDEN) VALUE]]</f>
        <v>10959718.5</v>
      </c>
      <c r="AT236" s="232">
        <f>Table1[[#This Row],[TOTAL CARS VALUE]]+Table1[[#This Row],[UNIT (GARDEN) VALUE]]+Table1[[#This Row],[UNIT (BUILDING) VALUE FULLY FINISHED]]</f>
        <v>11442718.5</v>
      </c>
      <c r="AU236" s="233">
        <f>VLOOKUP(I236,'C PHASES'!$I$108:$J$110,2,FALSE)</f>
        <v>45839</v>
      </c>
      <c r="AV236" s="233">
        <f>VLOOKUP(AA236,'C PHASES'!$I$113:$J$125,2,FALSE)</f>
        <v>46113</v>
      </c>
    </row>
    <row r="237" spans="1:48" ht="15" customHeight="1" x14ac:dyDescent="0.25">
      <c r="A237" s="235"/>
      <c r="B237" s="227" t="str">
        <f t="shared" si="31"/>
        <v>B</v>
      </c>
      <c r="C237" s="227" t="s">
        <v>33</v>
      </c>
      <c r="D237" s="227" t="s">
        <v>1147</v>
      </c>
      <c r="E237" s="228">
        <v>4</v>
      </c>
      <c r="F237" s="101">
        <v>1</v>
      </c>
      <c r="G237" s="87" t="str">
        <f t="shared" si="38"/>
        <v>B341</v>
      </c>
      <c r="H237" s="87" t="s">
        <v>1294</v>
      </c>
      <c r="I237" s="89" t="str">
        <f>VLOOKUP(C237,'PREMIUM TABLES'!$G$107:$H$149,2,FALSE)</f>
        <v>C1</v>
      </c>
      <c r="J237" s="87">
        <v>125.13</v>
      </c>
      <c r="K237" s="87">
        <v>135.87658436395225</v>
      </c>
      <c r="L237" s="87">
        <v>153</v>
      </c>
      <c r="O237" s="87" t="s">
        <v>187</v>
      </c>
      <c r="P237" s="87" t="s">
        <v>190</v>
      </c>
      <c r="Q237" s="229" t="s">
        <v>197</v>
      </c>
      <c r="R237" s="87" t="str">
        <f>VLOOKUP(E237,'PREMIUM TABLES'!$F$214:$G$219,2,FALSE)</f>
        <v>FORTH</v>
      </c>
      <c r="S237" s="87" t="str" cm="1">
        <f t="array" ref="S237">IF(AND(L237&gt;0,L237&lt;90),"A",IF(AND(L237&gt;90,L237&lt;123),"B",IF(AND(L237&gt;122,L237&lt;159),"C",IF(AND(L237&gt;159,L237&lt;185),"D",IF(AND(L237&gt;185,L237&lt;230),"E",IF(AND(L237&gt;230,L237&lt;350),"F",NONE))))))</f>
        <v>C</v>
      </c>
      <c r="T237" s="230">
        <f>VLOOKUP(O237,'PREMIUM TABLES'!$G$165:$H$172,2,FALSE)</f>
        <v>0.08</v>
      </c>
      <c r="U237" s="230">
        <f>VLOOKUP(P237,'PREMIUM TABLES'!$G$208:$H$209,2,FALSE)</f>
        <v>2.5000000000000001E-2</v>
      </c>
      <c r="V237" s="230">
        <f>VLOOKUP(Q237,'PREMIUM TABLES'!$G$175:$H$195,2,FALSE)</f>
        <v>0.16</v>
      </c>
      <c r="W237" s="230">
        <f>VLOOKUP(R237,'PREMIUM TABLES'!$G$214:$H$219,2,FALSE)</f>
        <v>0.06</v>
      </c>
      <c r="X237" s="230">
        <f>VLOOKUP(S237,'PREMIUM TABLES'!$F$199:$H$205,3,FALSE)</f>
        <v>3.5000000000000003E-2</v>
      </c>
      <c r="Y237" s="231">
        <f t="shared" si="32"/>
        <v>0.36</v>
      </c>
      <c r="Z237" s="231" t="str" cm="1">
        <f t="array" ref="Z237">IF(AND(Y237&gt;0,Y237&lt;0.5),"C",IF(AND(Y237&gt;=0.5,Y237&lt;0.73),"B",IF(AND(Y237&gt;=0.73,Y237&lt;0.98),"A",NONE)))</f>
        <v>C</v>
      </c>
      <c r="AA237" s="231" t="str">
        <f>VLOOKUP(G237,'ALL (R)'!$N$5:$R$862,5,FALSE)</f>
        <v>R 2</v>
      </c>
      <c r="AB237" s="232">
        <f>VLOOKUP(AA237,FACTS!$B$2:$L$14,10,FALSE)</f>
        <v>43562.499999999993</v>
      </c>
      <c r="AC237" s="232">
        <f>VLOOKUP(AA237,FACTS!$B$2:$L$14,11,FALSE)</f>
        <v>48687.499999999993</v>
      </c>
      <c r="AD237" s="232">
        <f>VLOOKUP(AA237,FACTS!$B$2:$N$14,13,FALSE)</f>
        <v>5125</v>
      </c>
      <c r="AE237" s="232">
        <f t="shared" si="33"/>
        <v>1845</v>
      </c>
      <c r="AF237" s="232">
        <f t="shared" si="34"/>
        <v>45407.499999999993</v>
      </c>
      <c r="AG237" s="232">
        <f>AF237*FACTS!$T$2</f>
        <v>14984.474999999999</v>
      </c>
      <c r="AH237" s="232">
        <f>Table1[[#This Row],[UNIT (BUILDING) RATE (SEMI FINISHED)]]+4500</f>
        <v>49907.499999999993</v>
      </c>
      <c r="AI237" s="232">
        <f>Table1[[#This Row],[UNIT (BUILDING) RATE (SEMI FINISHED)]]+7500</f>
        <v>52907.499999999993</v>
      </c>
      <c r="AJ237" s="232">
        <f t="shared" si="35"/>
        <v>6947347.4999999991</v>
      </c>
      <c r="AK237" s="232">
        <f>Table1[[#This Row],[UNIT (BUILDING) RATE (BASIC FINISH)]]*Table1[[#This Row],[Unit Selling Area]]</f>
        <v>7635847.4999999991</v>
      </c>
      <c r="AL237" s="232">
        <f>Table1[[#This Row],[UNIT (BUILDING) RATE (FULLY FINISH)]]*Table1[[#This Row],[Unit Selling Area]]</f>
        <v>8094847.4999999991</v>
      </c>
      <c r="AM237" s="232">
        <f t="shared" si="36"/>
        <v>0</v>
      </c>
      <c r="AN237" s="232">
        <f>(AM237+AJ237)*FACTS!$S$2</f>
        <v>590524.53749999998</v>
      </c>
      <c r="AO237" s="101">
        <f>VLOOKUP(S237,FACTS!$A$17:$C$23,3,FALSE)</f>
        <v>2</v>
      </c>
      <c r="AP237" s="232">
        <f>VLOOKUP(AA237,FACTS!$B$2:$J$14,9,FALSE)</f>
        <v>204999.99999999997</v>
      </c>
      <c r="AQ237" s="232">
        <f>Table1[[#This Row],[PARKING VALUE]]*1</f>
        <v>204999.99999999997</v>
      </c>
      <c r="AR237" s="232">
        <f t="shared" si="30"/>
        <v>7152347.4999999991</v>
      </c>
      <c r="AS237" s="440">
        <f>Table1[[#This Row],[TOTAL CARS VALUE]]+Table1[[#This Row],[UNIT (BUILDING) VALUE BASIC FINISHED]]+Table1[[#This Row],[UNIT (GARDEN) VALUE]]</f>
        <v>7840847.4999999991</v>
      </c>
      <c r="AT237" s="232">
        <f>Table1[[#This Row],[TOTAL CARS VALUE]]+Table1[[#This Row],[UNIT (GARDEN) VALUE]]+Table1[[#This Row],[UNIT (BUILDING) VALUE FULLY FINISHED]]</f>
        <v>8299847.4999999991</v>
      </c>
      <c r="AU237" s="233">
        <f>VLOOKUP(I237,'C PHASES'!$I$108:$J$110,2,FALSE)</f>
        <v>45839</v>
      </c>
      <c r="AV237" s="233">
        <f>VLOOKUP(AA237,'C PHASES'!$I$113:$J$125,2,FALSE)</f>
        <v>45292</v>
      </c>
    </row>
    <row r="238" spans="1:48" ht="15" customHeight="1" x14ac:dyDescent="0.25">
      <c r="A238" s="235"/>
      <c r="B238" s="227" t="str">
        <f t="shared" si="31"/>
        <v>B</v>
      </c>
      <c r="C238" s="227" t="s">
        <v>33</v>
      </c>
      <c r="D238" s="227" t="s">
        <v>1147</v>
      </c>
      <c r="E238" s="228">
        <v>4</v>
      </c>
      <c r="F238" s="101">
        <v>2</v>
      </c>
      <c r="G238" s="87" t="str">
        <f t="shared" si="38"/>
        <v>B342</v>
      </c>
      <c r="H238" s="87" t="s">
        <v>1294</v>
      </c>
      <c r="I238" s="89" t="str">
        <f>VLOOKUP(C238,'PREMIUM TABLES'!$G$107:$H$149,2,FALSE)</f>
        <v>C1</v>
      </c>
      <c r="J238" s="87">
        <v>127.19</v>
      </c>
      <c r="K238" s="87">
        <v>138.11350407776783</v>
      </c>
      <c r="L238" s="87">
        <v>155</v>
      </c>
      <c r="O238" s="87" t="s">
        <v>180</v>
      </c>
      <c r="P238" s="87" t="s">
        <v>190</v>
      </c>
      <c r="Q238" s="229" t="s">
        <v>209</v>
      </c>
      <c r="R238" s="87" t="str">
        <f>VLOOKUP(E238,'PREMIUM TABLES'!$F$214:$G$219,2,FALSE)</f>
        <v>FORTH</v>
      </c>
      <c r="S238" s="87" t="str" cm="1">
        <f t="array" ref="S238">IF(AND(L238&gt;0,L238&lt;90),"A",IF(AND(L238&gt;90,L238&lt;123),"B",IF(AND(L238&gt;122,L238&lt;159),"C",IF(AND(L238&gt;159,L238&lt;185),"D",IF(AND(L238&gt;185,L238&lt;230),"E",IF(AND(L238&gt;230,L238&lt;350),"F",NONE))))))</f>
        <v>C</v>
      </c>
      <c r="T238" s="230">
        <f>VLOOKUP(O238,'PREMIUM TABLES'!$G$165:$H$172,2,FALSE)</f>
        <v>0.13</v>
      </c>
      <c r="U238" s="230">
        <f>VLOOKUP(P238,'PREMIUM TABLES'!$G$208:$H$209,2,FALSE)</f>
        <v>2.5000000000000001E-2</v>
      </c>
      <c r="V238" s="230">
        <f>VLOOKUP(Q238,'PREMIUM TABLES'!$G$175:$H$195,2,FALSE)</f>
        <v>0.6</v>
      </c>
      <c r="W238" s="230">
        <f>VLOOKUP(R238,'PREMIUM TABLES'!$G$214:$H$219,2,FALSE)</f>
        <v>0.06</v>
      </c>
      <c r="X238" s="230">
        <f>VLOOKUP(S238,'PREMIUM TABLES'!$F$199:$H$205,3,FALSE)</f>
        <v>3.5000000000000003E-2</v>
      </c>
      <c r="Y238" s="231">
        <f t="shared" si="32"/>
        <v>0.85</v>
      </c>
      <c r="Z238" s="231" t="str" cm="1">
        <f t="array" ref="Z238">IF(AND(Y238&gt;0,Y238&lt;0.5),"C",IF(AND(Y238&gt;=0.5,Y238&lt;0.73),"B",IF(AND(Y238&gt;=0.73,Y238&lt;0.98),"A",NONE)))</f>
        <v>A</v>
      </c>
      <c r="AA238" s="231" t="str">
        <f>VLOOKUP(G238,'ALL (R)'!$N$5:$R$862,5,FALSE)</f>
        <v>R 8</v>
      </c>
      <c r="AB238" s="232">
        <f>VLOOKUP(AA238,FACTS!$B$2:$L$14,10,FALSE)</f>
        <v>51850</v>
      </c>
      <c r="AC238" s="232">
        <f>VLOOKUP(AA238,FACTS!$B$2:$L$14,11,FALSE)</f>
        <v>57950</v>
      </c>
      <c r="AD238" s="232">
        <f>VLOOKUP(AA238,FACTS!$B$2:$N$14,13,FALSE)</f>
        <v>6100</v>
      </c>
      <c r="AE238" s="232">
        <f t="shared" si="33"/>
        <v>5185</v>
      </c>
      <c r="AF238" s="232">
        <f t="shared" si="34"/>
        <v>57035</v>
      </c>
      <c r="AG238" s="232">
        <f>AF238*FACTS!$T$2</f>
        <v>18821.55</v>
      </c>
      <c r="AH238" s="232">
        <f>Table1[[#This Row],[UNIT (BUILDING) RATE (SEMI FINISHED)]]+4500</f>
        <v>61535</v>
      </c>
      <c r="AI238" s="232">
        <f>Table1[[#This Row],[UNIT (BUILDING) RATE (SEMI FINISHED)]]+7500</f>
        <v>64535</v>
      </c>
      <c r="AJ238" s="232">
        <f t="shared" si="35"/>
        <v>8840425</v>
      </c>
      <c r="AK238" s="232">
        <f>Table1[[#This Row],[UNIT (BUILDING) RATE (BASIC FINISH)]]*Table1[[#This Row],[Unit Selling Area]]</f>
        <v>9537925</v>
      </c>
      <c r="AL238" s="232">
        <f>Table1[[#This Row],[UNIT (BUILDING) RATE (FULLY FINISH)]]*Table1[[#This Row],[Unit Selling Area]]</f>
        <v>10002925</v>
      </c>
      <c r="AM238" s="232">
        <f t="shared" si="36"/>
        <v>0</v>
      </c>
      <c r="AN238" s="232">
        <f>(AM238+AJ238)*FACTS!$S$2</f>
        <v>751436.125</v>
      </c>
      <c r="AO238" s="101">
        <f>VLOOKUP(S238,FACTS!$A$17:$C$23,3,FALSE)</f>
        <v>2</v>
      </c>
      <c r="AP238" s="232">
        <f>VLOOKUP(AA238,FACTS!$B$2:$J$14,9,FALSE)</f>
        <v>244000</v>
      </c>
      <c r="AQ238" s="232">
        <f>Table1[[#This Row],[PARKING VALUE]]*1</f>
        <v>244000</v>
      </c>
      <c r="AR238" s="232">
        <f t="shared" si="30"/>
        <v>9084425</v>
      </c>
      <c r="AS238" s="440">
        <f>Table1[[#This Row],[TOTAL CARS VALUE]]+Table1[[#This Row],[UNIT (BUILDING) VALUE BASIC FINISHED]]+Table1[[#This Row],[UNIT (GARDEN) VALUE]]</f>
        <v>9781925</v>
      </c>
      <c r="AT238" s="232">
        <f>Table1[[#This Row],[TOTAL CARS VALUE]]+Table1[[#This Row],[UNIT (GARDEN) VALUE]]+Table1[[#This Row],[UNIT (BUILDING) VALUE FULLY FINISHED]]</f>
        <v>10246925</v>
      </c>
      <c r="AU238" s="233">
        <f>VLOOKUP(I238,'C PHASES'!$I$108:$J$110,2,FALSE)</f>
        <v>45839</v>
      </c>
      <c r="AV238" s="233">
        <f>VLOOKUP(AA238,'C PHASES'!$I$113:$J$125,2,FALSE)</f>
        <v>45839</v>
      </c>
    </row>
    <row r="239" spans="1:48" ht="15" customHeight="1" x14ac:dyDescent="0.25">
      <c r="A239" s="235"/>
      <c r="B239" s="227" t="str">
        <f t="shared" si="31"/>
        <v>B</v>
      </c>
      <c r="C239" s="227" t="s">
        <v>33</v>
      </c>
      <c r="D239" s="227" t="s">
        <v>1147</v>
      </c>
      <c r="E239" s="228">
        <v>4</v>
      </c>
      <c r="F239" s="101">
        <v>3</v>
      </c>
      <c r="G239" s="87" t="str">
        <f t="shared" si="38"/>
        <v>B343</v>
      </c>
      <c r="H239" s="87" t="s">
        <v>1294</v>
      </c>
      <c r="I239" s="89" t="str">
        <f>VLOOKUP(C239,'PREMIUM TABLES'!$G$107:$H$149,2,FALSE)</f>
        <v>C1</v>
      </c>
      <c r="J239" s="87">
        <v>131.38</v>
      </c>
      <c r="K239" s="87">
        <v>142.66335534033442</v>
      </c>
      <c r="L239" s="87">
        <v>160</v>
      </c>
      <c r="O239" s="87" t="s">
        <v>180</v>
      </c>
      <c r="P239" s="87" t="s">
        <v>226</v>
      </c>
      <c r="Q239" s="229" t="s">
        <v>209</v>
      </c>
      <c r="R239" s="87" t="str">
        <f>VLOOKUP(E239,'PREMIUM TABLES'!$F$214:$G$219,2,FALSE)</f>
        <v>FORTH</v>
      </c>
      <c r="S239" s="87" t="str" cm="1">
        <f t="array" ref="S239">IF(AND(L239&gt;0,L239&lt;90),"A",IF(AND(L239&gt;90,L239&lt;123),"B",IF(AND(L239&gt;122,L239&lt;159),"C",IF(AND(L239&gt;159,L239&lt;185),"D",IF(AND(L239&gt;185,L239&lt;230),"E",IF(AND(L239&gt;230,L239&lt;350),"F",NONE))))))</f>
        <v>D</v>
      </c>
      <c r="T239" s="230">
        <f>VLOOKUP(O239,'PREMIUM TABLES'!$G$165:$H$172,2,FALSE)</f>
        <v>0.13</v>
      </c>
      <c r="U239" s="230">
        <f>VLOOKUP(P239,'PREMIUM TABLES'!$G$208:$H$209,2,FALSE)</f>
        <v>0.05</v>
      </c>
      <c r="V239" s="230">
        <f>VLOOKUP(Q239,'PREMIUM TABLES'!$G$175:$H$195,2,FALSE)</f>
        <v>0.6</v>
      </c>
      <c r="W239" s="230">
        <f>VLOOKUP(R239,'PREMIUM TABLES'!$G$214:$H$219,2,FALSE)</f>
        <v>0.06</v>
      </c>
      <c r="X239" s="230">
        <f>VLOOKUP(S239,'PREMIUM TABLES'!$F$199:$H$205,3,FALSE)</f>
        <v>2.5000000000000001E-2</v>
      </c>
      <c r="Y239" s="231">
        <f t="shared" si="32"/>
        <v>0.8650000000000001</v>
      </c>
      <c r="Z239" s="231" t="str" cm="1">
        <f t="array" ref="Z239">IF(AND(Y239&gt;0,Y239&lt;0.5),"C",IF(AND(Y239&gt;=0.5,Y239&lt;0.73),"B",IF(AND(Y239&gt;=0.73,Y239&lt;0.98),"A",NONE)))</f>
        <v>A</v>
      </c>
      <c r="AA239" s="231" t="str">
        <f>VLOOKUP(G239,'ALL (R)'!$N$5:$R$862,5,FALSE)</f>
        <v>R 9</v>
      </c>
      <c r="AB239" s="232">
        <f>VLOOKUP(AA239,FACTS!$B$2:$L$14,10,FALSE)</f>
        <v>53550</v>
      </c>
      <c r="AC239" s="232">
        <f>VLOOKUP(AA239,FACTS!$B$2:$L$14,11,FALSE)</f>
        <v>59850</v>
      </c>
      <c r="AD239" s="232">
        <f>VLOOKUP(AA239,FACTS!$B$2:$N$14,13,FALSE)</f>
        <v>6300</v>
      </c>
      <c r="AE239" s="232">
        <f t="shared" si="33"/>
        <v>5449.5000000000009</v>
      </c>
      <c r="AF239" s="232">
        <f t="shared" si="34"/>
        <v>58999.5</v>
      </c>
      <c r="AG239" s="232">
        <f>AF239*FACTS!$T$2</f>
        <v>19469.834999999999</v>
      </c>
      <c r="AH239" s="232">
        <f>Table1[[#This Row],[UNIT (BUILDING) RATE (SEMI FINISHED)]]+4500</f>
        <v>63499.5</v>
      </c>
      <c r="AI239" s="232">
        <f>Table1[[#This Row],[UNIT (BUILDING) RATE (SEMI FINISHED)]]+7500</f>
        <v>66499.5</v>
      </c>
      <c r="AJ239" s="232">
        <f t="shared" si="35"/>
        <v>9439920</v>
      </c>
      <c r="AK239" s="232">
        <f>Table1[[#This Row],[UNIT (BUILDING) RATE (BASIC FINISH)]]*Table1[[#This Row],[Unit Selling Area]]</f>
        <v>10159920</v>
      </c>
      <c r="AL239" s="232">
        <f>Table1[[#This Row],[UNIT (BUILDING) RATE (FULLY FINISH)]]*Table1[[#This Row],[Unit Selling Area]]</f>
        <v>10639920</v>
      </c>
      <c r="AM239" s="232">
        <f t="shared" si="36"/>
        <v>0</v>
      </c>
      <c r="AN239" s="232">
        <f>(AM239+AJ239)*FACTS!$S$2</f>
        <v>802393.20000000007</v>
      </c>
      <c r="AO239" s="101">
        <f>VLOOKUP(S239,FACTS!$A$17:$C$23,3,FALSE)</f>
        <v>2</v>
      </c>
      <c r="AP239" s="232">
        <f>VLOOKUP(AA239,FACTS!$B$2:$J$14,9,FALSE)</f>
        <v>252000</v>
      </c>
      <c r="AQ239" s="232">
        <f>Table1[[#This Row],[PARKING VALUE]]*1</f>
        <v>252000</v>
      </c>
      <c r="AR239" s="232">
        <f t="shared" si="30"/>
        <v>9691920</v>
      </c>
      <c r="AS239" s="440">
        <f>Table1[[#This Row],[TOTAL CARS VALUE]]+Table1[[#This Row],[UNIT (BUILDING) VALUE BASIC FINISHED]]+Table1[[#This Row],[UNIT (GARDEN) VALUE]]</f>
        <v>10411920</v>
      </c>
      <c r="AT239" s="232">
        <f>Table1[[#This Row],[TOTAL CARS VALUE]]+Table1[[#This Row],[UNIT (GARDEN) VALUE]]+Table1[[#This Row],[UNIT (BUILDING) VALUE FULLY FINISHED]]</f>
        <v>10891920</v>
      </c>
      <c r="AU239" s="233">
        <f>VLOOKUP(I239,'C PHASES'!$I$108:$J$110,2,FALSE)</f>
        <v>45839</v>
      </c>
      <c r="AV239" s="233">
        <f>VLOOKUP(AA239,'C PHASES'!$I$113:$J$125,2,FALSE)</f>
        <v>45931</v>
      </c>
    </row>
    <row r="240" spans="1:48" ht="15" customHeight="1" x14ac:dyDescent="0.25">
      <c r="A240" s="235"/>
      <c r="B240" s="227" t="str">
        <f t="shared" si="31"/>
        <v>B</v>
      </c>
      <c r="C240" s="227" t="s">
        <v>33</v>
      </c>
      <c r="D240" s="227" t="s">
        <v>1147</v>
      </c>
      <c r="E240" s="228">
        <v>4</v>
      </c>
      <c r="F240" s="101">
        <v>4</v>
      </c>
      <c r="G240" s="87" t="str">
        <f t="shared" si="38"/>
        <v>B344</v>
      </c>
      <c r="H240" s="87" t="s">
        <v>1294</v>
      </c>
      <c r="I240" s="89" t="str">
        <f>VLOOKUP(C240,'PREMIUM TABLES'!$G$107:$H$149,2,FALSE)</f>
        <v>C1</v>
      </c>
      <c r="J240" s="87">
        <v>129.58000000000001</v>
      </c>
      <c r="K240" s="87">
        <v>140.70876529913639</v>
      </c>
      <c r="L240" s="87">
        <v>158</v>
      </c>
      <c r="O240" s="87" t="s">
        <v>187</v>
      </c>
      <c r="P240" s="87" t="s">
        <v>226</v>
      </c>
      <c r="Q240" s="229" t="s">
        <v>197</v>
      </c>
      <c r="R240" s="87" t="str">
        <f>VLOOKUP(E240,'PREMIUM TABLES'!$F$214:$G$219,2,FALSE)</f>
        <v>FORTH</v>
      </c>
      <c r="S240" s="87" t="str" cm="1">
        <f t="array" ref="S240">IF(AND(L240&gt;0,L240&lt;90),"A",IF(AND(L240&gt;90,L240&lt;123),"B",IF(AND(L240&gt;122,L240&lt;159),"C",IF(AND(L240&gt;159,L240&lt;185),"D",IF(AND(L240&gt;185,L240&lt;230),"E",IF(AND(L240&gt;230,L240&lt;350),"F",NONE))))))</f>
        <v>C</v>
      </c>
      <c r="T240" s="230">
        <f>VLOOKUP(O240,'PREMIUM TABLES'!$G$165:$H$172,2,FALSE)</f>
        <v>0.08</v>
      </c>
      <c r="U240" s="230">
        <f>VLOOKUP(P240,'PREMIUM TABLES'!$G$208:$H$209,2,FALSE)</f>
        <v>0.05</v>
      </c>
      <c r="V240" s="230">
        <f>VLOOKUP(Q240,'PREMIUM TABLES'!$G$175:$H$195,2,FALSE)</f>
        <v>0.16</v>
      </c>
      <c r="W240" s="230">
        <f>VLOOKUP(R240,'PREMIUM TABLES'!$G$214:$H$219,2,FALSE)</f>
        <v>0.06</v>
      </c>
      <c r="X240" s="230">
        <f>VLOOKUP(S240,'PREMIUM TABLES'!$F$199:$H$205,3,FALSE)</f>
        <v>3.5000000000000003E-2</v>
      </c>
      <c r="Y240" s="231">
        <f t="shared" si="32"/>
        <v>0.38500000000000001</v>
      </c>
      <c r="Z240" s="231" t="str" cm="1">
        <f t="array" ref="Z240">IF(AND(Y240&gt;0,Y240&lt;0.5),"C",IF(AND(Y240&gt;=0.5,Y240&lt;0.73),"B",IF(AND(Y240&gt;=0.73,Y240&lt;0.98),"A",NONE)))</f>
        <v>C</v>
      </c>
      <c r="AA240" s="231" t="str">
        <f>VLOOKUP(G240,'ALL (R)'!$N$5:$R$862,5,FALSE)</f>
        <v>R 4</v>
      </c>
      <c r="AB240" s="232">
        <f>VLOOKUP(AA240,FACTS!$B$2:$L$14,10,FALSE)</f>
        <v>45687.5</v>
      </c>
      <c r="AC240" s="232">
        <f>VLOOKUP(AA240,FACTS!$B$2:$L$14,11,FALSE)</f>
        <v>51062.5</v>
      </c>
      <c r="AD240" s="232">
        <f>VLOOKUP(AA240,FACTS!$B$2:$N$14,13,FALSE)</f>
        <v>5375</v>
      </c>
      <c r="AE240" s="232">
        <f t="shared" si="33"/>
        <v>2069.375</v>
      </c>
      <c r="AF240" s="232">
        <f t="shared" si="34"/>
        <v>47756.875</v>
      </c>
      <c r="AG240" s="232">
        <f>AF240*FACTS!$T$2</f>
        <v>15759.768750000001</v>
      </c>
      <c r="AH240" s="232">
        <f>Table1[[#This Row],[UNIT (BUILDING) RATE (SEMI FINISHED)]]+4500</f>
        <v>52256.875</v>
      </c>
      <c r="AI240" s="232">
        <f>Table1[[#This Row],[UNIT (BUILDING) RATE (SEMI FINISHED)]]+7500</f>
        <v>55256.875</v>
      </c>
      <c r="AJ240" s="232">
        <f t="shared" si="35"/>
        <v>7545586.25</v>
      </c>
      <c r="AK240" s="232">
        <f>Table1[[#This Row],[UNIT (BUILDING) RATE (BASIC FINISH)]]*Table1[[#This Row],[Unit Selling Area]]</f>
        <v>8256586.25</v>
      </c>
      <c r="AL240" s="232">
        <f>Table1[[#This Row],[UNIT (BUILDING) RATE (FULLY FINISH)]]*Table1[[#This Row],[Unit Selling Area]]</f>
        <v>8730586.25</v>
      </c>
      <c r="AM240" s="232">
        <f t="shared" si="36"/>
        <v>0</v>
      </c>
      <c r="AN240" s="232">
        <f>(AM240+AJ240)*FACTS!$S$2</f>
        <v>641374.83125000005</v>
      </c>
      <c r="AO240" s="101">
        <f>VLOOKUP(S240,FACTS!$A$17:$C$23,3,FALSE)</f>
        <v>2</v>
      </c>
      <c r="AP240" s="232">
        <f>VLOOKUP(AA240,FACTS!$B$2:$J$14,9,FALSE)</f>
        <v>215000</v>
      </c>
      <c r="AQ240" s="232">
        <f>Table1[[#This Row],[PARKING VALUE]]*1</f>
        <v>215000</v>
      </c>
      <c r="AR240" s="232">
        <f t="shared" si="30"/>
        <v>7760586.25</v>
      </c>
      <c r="AS240" s="440">
        <f>Table1[[#This Row],[TOTAL CARS VALUE]]+Table1[[#This Row],[UNIT (BUILDING) VALUE BASIC FINISHED]]+Table1[[#This Row],[UNIT (GARDEN) VALUE]]</f>
        <v>8471586.25</v>
      </c>
      <c r="AT240" s="232">
        <f>Table1[[#This Row],[TOTAL CARS VALUE]]+Table1[[#This Row],[UNIT (GARDEN) VALUE]]+Table1[[#This Row],[UNIT (BUILDING) VALUE FULLY FINISHED]]</f>
        <v>8945586.25</v>
      </c>
      <c r="AU240" s="233">
        <f>VLOOKUP(I240,'C PHASES'!$I$108:$J$110,2,FALSE)</f>
        <v>45839</v>
      </c>
      <c r="AV240" s="233">
        <f>VLOOKUP(AA240,'C PHASES'!$I$113:$J$125,2,FALSE)</f>
        <v>45474</v>
      </c>
    </row>
    <row r="241" spans="1:48" ht="15" customHeight="1" x14ac:dyDescent="0.25">
      <c r="A241" s="235" t="s">
        <v>38</v>
      </c>
      <c r="B241" s="227" t="str">
        <f t="shared" si="31"/>
        <v>B</v>
      </c>
      <c r="C241" s="227" t="s">
        <v>46</v>
      </c>
      <c r="D241" s="227" t="s">
        <v>1147</v>
      </c>
      <c r="E241" s="228">
        <v>0</v>
      </c>
      <c r="F241" s="101">
        <v>1</v>
      </c>
      <c r="G241" s="87" t="str">
        <f>LEFT(C241,2)&amp;E241&amp;F241</f>
        <v>B401</v>
      </c>
      <c r="H241" s="87" t="s">
        <v>1294</v>
      </c>
      <c r="I241" s="89" t="str">
        <f>VLOOKUP(C241,'PREMIUM TABLES'!$G$107:$H$149,2,FALSE)</f>
        <v>C1</v>
      </c>
      <c r="J241" s="87">
        <v>131.32</v>
      </c>
      <c r="K241" s="87">
        <v>142.66718842094684</v>
      </c>
      <c r="L241" s="87">
        <v>160</v>
      </c>
      <c r="M241" s="87">
        <v>81.224599999999995</v>
      </c>
      <c r="O241" s="87" t="s">
        <v>187</v>
      </c>
      <c r="P241" s="87" t="s">
        <v>190</v>
      </c>
      <c r="Q241" s="229" t="s">
        <v>197</v>
      </c>
      <c r="R241" s="87" t="str">
        <f>VLOOKUP(E241,'PREMIUM TABLES'!$F$214:$G$219,2,FALSE)</f>
        <v>GROUND</v>
      </c>
      <c r="S241" s="87" t="str" cm="1">
        <f t="array" ref="S241">IF(AND(L241&gt;0,L241&lt;90),"A",IF(AND(L241&gt;90,L241&lt;123),"B",IF(AND(L241&gt;122,L241&lt;159),"C",IF(AND(L241&gt;159,L241&lt;185),"D",IF(AND(L241&gt;185,L241&lt;230),"E",IF(AND(L241&gt;230,L241&lt;350),"F",NONE))))))</f>
        <v>D</v>
      </c>
      <c r="T241" s="230">
        <f>VLOOKUP(O241,'PREMIUM TABLES'!$G$165:$H$172,2,FALSE)</f>
        <v>0.08</v>
      </c>
      <c r="U241" s="230">
        <f>VLOOKUP(P241,'PREMIUM TABLES'!$G$208:$H$209,2,FALSE)</f>
        <v>2.5000000000000001E-2</v>
      </c>
      <c r="V241" s="230">
        <f>VLOOKUP(Q241,'PREMIUM TABLES'!$G$175:$H$195,2,FALSE)</f>
        <v>0.16</v>
      </c>
      <c r="W241" s="230">
        <f>VLOOKUP(R241,'PREMIUM TABLES'!$G$214:$H$219,2,FALSE)</f>
        <v>0.05</v>
      </c>
      <c r="X241" s="230">
        <f>VLOOKUP(S241,'PREMIUM TABLES'!$F$199:$H$205,3,FALSE)</f>
        <v>2.5000000000000001E-2</v>
      </c>
      <c r="Y241" s="231">
        <f t="shared" si="32"/>
        <v>0.34</v>
      </c>
      <c r="Z241" s="231" t="str" cm="1">
        <f t="array" ref="Z241">IF(AND(Y241&gt;0,Y241&lt;0.5),"C",IF(AND(Y241&gt;=0.5,Y241&lt;0.73),"B",IF(AND(Y241&gt;=0.73,Y241&lt;0.98),"A",NONE)))</f>
        <v>C</v>
      </c>
      <c r="AA241" s="231" t="str">
        <f>VLOOKUP(G241,'ALL (R)'!$N$5:$R$862,5,FALSE)</f>
        <v>R 1</v>
      </c>
      <c r="AB241" s="232">
        <f>VLOOKUP(AA241,FACTS!$B$2:$L$14,10,FALSE)</f>
        <v>42500</v>
      </c>
      <c r="AC241" s="232">
        <f>VLOOKUP(AA241,FACTS!$B$2:$L$14,11,FALSE)</f>
        <v>47500</v>
      </c>
      <c r="AD241" s="232">
        <f>VLOOKUP(AA241,FACTS!$B$2:$N$14,13,FALSE)</f>
        <v>5000</v>
      </c>
      <c r="AE241" s="232">
        <f t="shared" si="33"/>
        <v>1700.0000000000002</v>
      </c>
      <c r="AF241" s="232">
        <f t="shared" si="34"/>
        <v>44200</v>
      </c>
      <c r="AG241" s="232">
        <f>AF241*FACTS!$T$2</f>
        <v>14586</v>
      </c>
      <c r="AH241" s="232">
        <f>Table1[[#This Row],[UNIT (BUILDING) RATE (SEMI FINISHED)]]+4500</f>
        <v>48700</v>
      </c>
      <c r="AI241" s="232">
        <f>Table1[[#This Row],[UNIT (BUILDING) RATE (SEMI FINISHED)]]+7500</f>
        <v>51700</v>
      </c>
      <c r="AJ241" s="232">
        <f t="shared" si="35"/>
        <v>7072000</v>
      </c>
      <c r="AK241" s="232">
        <f>Table1[[#This Row],[UNIT (BUILDING) RATE (BASIC FINISH)]]*Table1[[#This Row],[Unit Selling Area]]</f>
        <v>7792000</v>
      </c>
      <c r="AL241" s="232">
        <f>Table1[[#This Row],[UNIT (BUILDING) RATE (FULLY FINISH)]]*Table1[[#This Row],[Unit Selling Area]]</f>
        <v>8272000</v>
      </c>
      <c r="AM241" s="232">
        <f t="shared" si="36"/>
        <v>1184742.0156</v>
      </c>
      <c r="AN241" s="232">
        <f>(AM241+AJ241)*FACTS!$S$2</f>
        <v>701823.07132600003</v>
      </c>
      <c r="AO241" s="101">
        <f>VLOOKUP(S241,FACTS!$A$17:$C$23,3,FALSE)</f>
        <v>2</v>
      </c>
      <c r="AP241" s="232">
        <f>VLOOKUP(AA241,FACTS!$B$2:$J$14,9,FALSE)</f>
        <v>200000</v>
      </c>
      <c r="AQ241" s="232">
        <f>Table1[[#This Row],[PARKING VALUE]]*1</f>
        <v>200000</v>
      </c>
      <c r="AR241" s="232">
        <f t="shared" si="30"/>
        <v>8456742.0155999996</v>
      </c>
      <c r="AS241" s="440">
        <f>Table1[[#This Row],[TOTAL CARS VALUE]]+Table1[[#This Row],[UNIT (BUILDING) VALUE BASIC FINISHED]]+Table1[[#This Row],[UNIT (GARDEN) VALUE]]</f>
        <v>9176742.0155999996</v>
      </c>
      <c r="AT241" s="232">
        <f>Table1[[#This Row],[TOTAL CARS VALUE]]+Table1[[#This Row],[UNIT (GARDEN) VALUE]]+Table1[[#This Row],[UNIT (BUILDING) VALUE FULLY FINISHED]]</f>
        <v>9656742.0155999996</v>
      </c>
      <c r="AU241" s="233">
        <f>VLOOKUP(I241,'C PHASES'!$I$108:$J$110,2,FALSE)</f>
        <v>45839</v>
      </c>
      <c r="AV241" s="233">
        <f>VLOOKUP(AA241,'C PHASES'!$I$113:$J$125,2,FALSE)</f>
        <v>45170</v>
      </c>
    </row>
    <row r="242" spans="1:48" s="202" customFormat="1" ht="15" customHeight="1" x14ac:dyDescent="0.25">
      <c r="A242" s="235"/>
      <c r="B242" s="227" t="str">
        <f t="shared" si="31"/>
        <v>B</v>
      </c>
      <c r="C242" s="227" t="s">
        <v>46</v>
      </c>
      <c r="D242" s="227" t="s">
        <v>1147</v>
      </c>
      <c r="E242" s="228">
        <v>0</v>
      </c>
      <c r="F242" s="101">
        <v>2</v>
      </c>
      <c r="G242" s="87" t="str">
        <f>LEFT(C242,2)&amp;E242&amp;F242</f>
        <v>B402</v>
      </c>
      <c r="H242" s="87" t="s">
        <v>1297</v>
      </c>
      <c r="I242" s="89" t="str">
        <f>VLOOKUP(C242,'PREMIUM TABLES'!$G$107:$H$149,2,FALSE)</f>
        <v>C1</v>
      </c>
      <c r="J242" s="87">
        <f>'DATA FOR DUPLEX'!H5</f>
        <v>128.28</v>
      </c>
      <c r="K242" s="87">
        <f>'DATA FOR DUPLEX'!I5</f>
        <v>139.36450602070562</v>
      </c>
      <c r="L242" s="87">
        <v>309</v>
      </c>
      <c r="M242" s="87">
        <f>'DATA FOR DUPLEX'!K5</f>
        <v>86.075999999999993</v>
      </c>
      <c r="N242" s="87"/>
      <c r="O242" s="87" t="s">
        <v>180</v>
      </c>
      <c r="P242" s="87" t="s">
        <v>190</v>
      </c>
      <c r="Q242" s="229" t="s">
        <v>209</v>
      </c>
      <c r="R242" s="87" t="str">
        <f>VLOOKUP(E242,'PREMIUM TABLES'!$F$214:$G$219,2,FALSE)</f>
        <v>GROUND</v>
      </c>
      <c r="S242" s="87" t="str" cm="1">
        <f t="array" ref="S242">IF(AND(L242&gt;0,L242&lt;90),"A",IF(AND(L242&gt;90,L242&lt;123),"B",IF(AND(L242&gt;122,L242&lt;159),"C",IF(AND(L242&gt;159,L242&lt;185),"D",IF(AND(L242&gt;185,L242&lt;230),"E",IF(AND(L242&gt;230,L242&lt;350),"F",NONE))))))</f>
        <v>F</v>
      </c>
      <c r="T242" s="230">
        <f>VLOOKUP(O242,'PREMIUM TABLES'!$G$165:$H$172,2,FALSE)</f>
        <v>0.13</v>
      </c>
      <c r="U242" s="230">
        <f>VLOOKUP(P242,'PREMIUM TABLES'!$G$208:$H$209,2,FALSE)</f>
        <v>2.5000000000000001E-2</v>
      </c>
      <c r="V242" s="230">
        <f>VLOOKUP(Q242,'PREMIUM TABLES'!$G$175:$H$195,2,FALSE)</f>
        <v>0.6</v>
      </c>
      <c r="W242" s="230">
        <f>VLOOKUP(R242,'PREMIUM TABLES'!$G$214:$H$219,2,FALSE)</f>
        <v>0.05</v>
      </c>
      <c r="X242" s="230">
        <f>VLOOKUP(S242,'PREMIUM TABLES'!$F$199:$H$205,3,FALSE)</f>
        <v>0</v>
      </c>
      <c r="Y242" s="231">
        <f t="shared" si="32"/>
        <v>0.80500000000000005</v>
      </c>
      <c r="Z242" s="231" t="str" cm="1">
        <f t="array" ref="Z242">IF(AND(Y242&gt;0,Y242&lt;0.5),"C",IF(AND(Y242&gt;=0.5,Y242&lt;0.73),"B",IF(AND(Y242&gt;=0.73,Y242&lt;0.98),"A",NONE)))</f>
        <v>A</v>
      </c>
      <c r="AA242" s="231" t="str">
        <f>VLOOKUP(G242,'ALL (R)'!$N$5:$R$862,5,FALSE)</f>
        <v>R 6</v>
      </c>
      <c r="AB242" s="232">
        <f>VLOOKUP(AA242,FACTS!$B$2:$L$14,10,FALSE)</f>
        <v>48450.000000000007</v>
      </c>
      <c r="AC242" s="232">
        <f>VLOOKUP(AA242,FACTS!$B$2:$L$14,11,FALSE)</f>
        <v>54150.000000000007</v>
      </c>
      <c r="AD242" s="232">
        <f>VLOOKUP(AA242,FACTS!$B$2:$N$14,13,FALSE)</f>
        <v>5700</v>
      </c>
      <c r="AE242" s="232">
        <f t="shared" si="33"/>
        <v>4588.5</v>
      </c>
      <c r="AF242" s="232">
        <f t="shared" si="34"/>
        <v>53038.500000000007</v>
      </c>
      <c r="AG242" s="232">
        <f>AF242*FACTS!$T$2</f>
        <v>17502.705000000002</v>
      </c>
      <c r="AH242" s="232">
        <f>Table1[[#This Row],[UNIT (BUILDING) RATE (SEMI FINISHED)]]+4500</f>
        <v>57538.500000000007</v>
      </c>
      <c r="AI242" s="232">
        <f>Table1[[#This Row],[UNIT (BUILDING) RATE (SEMI FINISHED)]]+7500</f>
        <v>60538.500000000007</v>
      </c>
      <c r="AJ242" s="232">
        <f t="shared" si="35"/>
        <v>16388896.500000002</v>
      </c>
      <c r="AK242" s="232">
        <f>Table1[[#This Row],[UNIT (BUILDING) RATE (BASIC FINISH)]]*Table1[[#This Row],[Unit Selling Area]]</f>
        <v>17779396.500000004</v>
      </c>
      <c r="AL242" s="232">
        <f>Table1[[#This Row],[UNIT (BUILDING) RATE (FULLY FINISH)]]*Table1[[#This Row],[Unit Selling Area]]</f>
        <v>18706396.500000004</v>
      </c>
      <c r="AM242" s="232">
        <f t="shared" si="36"/>
        <v>1506562.83558</v>
      </c>
      <c r="AN242" s="232">
        <f>(AM242+AJ242)*FACTS!$S$2</f>
        <v>1521114.0435243002</v>
      </c>
      <c r="AO242" s="101">
        <f>VLOOKUP(S242,FACTS!$A$17:$C$23,3,FALSE)</f>
        <v>2</v>
      </c>
      <c r="AP242" s="232">
        <f>VLOOKUP(AA242,FACTS!$B$2:$J$14,9,FALSE)</f>
        <v>228000.00000000003</v>
      </c>
      <c r="AQ242" s="232">
        <f>Table1[[#This Row],[PARKING VALUE]]*1</f>
        <v>228000.00000000003</v>
      </c>
      <c r="AR242" s="232">
        <f t="shared" si="30"/>
        <v>18123459.335580003</v>
      </c>
      <c r="AS242" s="440">
        <f>Table1[[#This Row],[TOTAL CARS VALUE]]+Table1[[#This Row],[UNIT (BUILDING) VALUE BASIC FINISHED]]+Table1[[#This Row],[UNIT (GARDEN) VALUE]]</f>
        <v>19513959.335580003</v>
      </c>
      <c r="AT242" s="232">
        <f>Table1[[#This Row],[TOTAL CARS VALUE]]+Table1[[#This Row],[UNIT (GARDEN) VALUE]]+Table1[[#This Row],[UNIT (BUILDING) VALUE FULLY FINISHED]]</f>
        <v>20440959.335580003</v>
      </c>
      <c r="AU242" s="233">
        <f>VLOOKUP(I242,'C PHASES'!$I$108:$J$110,2,FALSE)</f>
        <v>45839</v>
      </c>
      <c r="AV242" s="233">
        <f>VLOOKUP(AA242,'C PHASES'!$I$113:$J$125,2,FALSE)</f>
        <v>45658</v>
      </c>
    </row>
    <row r="243" spans="1:48" s="202" customFormat="1" ht="15" customHeight="1" x14ac:dyDescent="0.25">
      <c r="A243" s="235"/>
      <c r="B243" s="227" t="str">
        <f t="shared" si="31"/>
        <v>B</v>
      </c>
      <c r="C243" s="227" t="s">
        <v>46</v>
      </c>
      <c r="D243" s="227" t="s">
        <v>1147</v>
      </c>
      <c r="E243" s="228">
        <v>0</v>
      </c>
      <c r="F243" s="101">
        <v>3</v>
      </c>
      <c r="G243" s="87" t="str">
        <f>LEFT(C243,2)&amp;E243&amp;F243</f>
        <v>B403</v>
      </c>
      <c r="H243" s="87" t="s">
        <v>1297</v>
      </c>
      <c r="I243" s="89" t="str">
        <f>VLOOKUP(C243,'PREMIUM TABLES'!$G$107:$H$149,2,FALSE)</f>
        <v>C1</v>
      </c>
      <c r="J243" s="87">
        <f>'DATA FOR DUPLEX'!H7</f>
        <v>125.03</v>
      </c>
      <c r="K243" s="87">
        <f>'DATA FOR DUPLEX'!I7</f>
        <v>135.83367779676351</v>
      </c>
      <c r="L243" s="87">
        <v>301</v>
      </c>
      <c r="M243" s="87">
        <f>'DATA FOR DUPLEX'!K7</f>
        <v>85.509600000000006</v>
      </c>
      <c r="N243" s="87"/>
      <c r="O243" s="87" t="s">
        <v>180</v>
      </c>
      <c r="P243" s="87" t="s">
        <v>190</v>
      </c>
      <c r="Q243" s="229" t="s">
        <v>209</v>
      </c>
      <c r="R243" s="87" t="str">
        <f>VLOOKUP(E243,'PREMIUM TABLES'!$F$214:$G$219,2,FALSE)</f>
        <v>GROUND</v>
      </c>
      <c r="S243" s="87" t="str" cm="1">
        <f t="array" ref="S243">IF(AND(L243&gt;0,L243&lt;90),"A",IF(AND(L243&gt;90,L243&lt;123),"B",IF(AND(L243&gt;122,L243&lt;159),"C",IF(AND(L243&gt;159,L243&lt;185),"D",IF(AND(L243&gt;185,L243&lt;230),"E",IF(AND(L243&gt;230,L243&lt;350),"F",NONE))))))</f>
        <v>F</v>
      </c>
      <c r="T243" s="230">
        <f>VLOOKUP(O243,'PREMIUM TABLES'!$G$165:$H$172,2,FALSE)</f>
        <v>0.13</v>
      </c>
      <c r="U243" s="230">
        <f>VLOOKUP(P243,'PREMIUM TABLES'!$G$208:$H$209,2,FALSE)</f>
        <v>2.5000000000000001E-2</v>
      </c>
      <c r="V243" s="230">
        <f>VLOOKUP(Q243,'PREMIUM TABLES'!$G$175:$H$195,2,FALSE)</f>
        <v>0.6</v>
      </c>
      <c r="W243" s="230">
        <f>VLOOKUP(R243,'PREMIUM TABLES'!$G$214:$H$219,2,FALSE)</f>
        <v>0.05</v>
      </c>
      <c r="X243" s="230">
        <f>VLOOKUP(S243,'PREMIUM TABLES'!$F$199:$H$205,3,FALSE)</f>
        <v>0</v>
      </c>
      <c r="Y243" s="231">
        <f t="shared" si="32"/>
        <v>0.80500000000000005</v>
      </c>
      <c r="Z243" s="231" t="str" cm="1">
        <f t="array" ref="Z243">IF(AND(Y243&gt;0,Y243&lt;0.5),"C",IF(AND(Y243&gt;=0.5,Y243&lt;0.73),"B",IF(AND(Y243&gt;=0.73,Y243&lt;0.98),"A",NONE)))</f>
        <v>A</v>
      </c>
      <c r="AA243" s="231" t="str">
        <f>VLOOKUP(G243,'ALL (R)'!$N$5:$R$862,5,FALSE)</f>
        <v>R 6</v>
      </c>
      <c r="AB243" s="232">
        <f>VLOOKUP(AA243,FACTS!$B$2:$L$14,10,FALSE)</f>
        <v>48450.000000000007</v>
      </c>
      <c r="AC243" s="232">
        <f>VLOOKUP(AA243,FACTS!$B$2:$L$14,11,FALSE)</f>
        <v>54150.000000000007</v>
      </c>
      <c r="AD243" s="232">
        <f>VLOOKUP(AA243,FACTS!$B$2:$N$14,13,FALSE)</f>
        <v>5700</v>
      </c>
      <c r="AE243" s="232">
        <f t="shared" si="33"/>
        <v>4588.5</v>
      </c>
      <c r="AF243" s="232">
        <f t="shared" si="34"/>
        <v>53038.500000000007</v>
      </c>
      <c r="AG243" s="232">
        <f>AF243*FACTS!$T$2</f>
        <v>17502.705000000002</v>
      </c>
      <c r="AH243" s="232">
        <f>Table1[[#This Row],[UNIT (BUILDING) RATE (SEMI FINISHED)]]+4500</f>
        <v>57538.500000000007</v>
      </c>
      <c r="AI243" s="232">
        <f>Table1[[#This Row],[UNIT (BUILDING) RATE (SEMI FINISHED)]]+7500</f>
        <v>60538.500000000007</v>
      </c>
      <c r="AJ243" s="232">
        <f t="shared" si="35"/>
        <v>15964588.500000002</v>
      </c>
      <c r="AK243" s="232">
        <f>Table1[[#This Row],[UNIT (BUILDING) RATE (BASIC FINISH)]]*Table1[[#This Row],[Unit Selling Area]]</f>
        <v>17319088.500000004</v>
      </c>
      <c r="AL243" s="232">
        <f>Table1[[#This Row],[UNIT (BUILDING) RATE (FULLY FINISH)]]*Table1[[#This Row],[Unit Selling Area]]</f>
        <v>18222088.500000004</v>
      </c>
      <c r="AM243" s="232">
        <f t="shared" si="36"/>
        <v>1496649.3034680001</v>
      </c>
      <c r="AN243" s="232">
        <f>(AM243+AJ243)*FACTS!$S$2</f>
        <v>1484205.2132947803</v>
      </c>
      <c r="AO243" s="101">
        <f>VLOOKUP(S243,FACTS!$A$17:$C$23,3,FALSE)</f>
        <v>2</v>
      </c>
      <c r="AP243" s="232">
        <f>VLOOKUP(AA243,FACTS!$B$2:$J$14,9,FALSE)</f>
        <v>228000.00000000003</v>
      </c>
      <c r="AQ243" s="232">
        <f>Table1[[#This Row],[PARKING VALUE]]*1</f>
        <v>228000.00000000003</v>
      </c>
      <c r="AR243" s="232">
        <f t="shared" si="30"/>
        <v>17689237.803468004</v>
      </c>
      <c r="AS243" s="440">
        <f>Table1[[#This Row],[TOTAL CARS VALUE]]+Table1[[#This Row],[UNIT (BUILDING) VALUE BASIC FINISHED]]+Table1[[#This Row],[UNIT (GARDEN) VALUE]]</f>
        <v>19043737.803468004</v>
      </c>
      <c r="AT243" s="232">
        <f>Table1[[#This Row],[TOTAL CARS VALUE]]+Table1[[#This Row],[UNIT (GARDEN) VALUE]]+Table1[[#This Row],[UNIT (BUILDING) VALUE FULLY FINISHED]]</f>
        <v>19946737.803468004</v>
      </c>
      <c r="AU243" s="233">
        <f>VLOOKUP(I243,'C PHASES'!$I$108:$J$110,2,FALSE)</f>
        <v>45839</v>
      </c>
      <c r="AV243" s="233">
        <f>VLOOKUP(AA243,'C PHASES'!$I$113:$J$125,2,FALSE)</f>
        <v>45658</v>
      </c>
    </row>
    <row r="244" spans="1:48" ht="15" customHeight="1" x14ac:dyDescent="0.25">
      <c r="A244" s="235"/>
      <c r="B244" s="227" t="str">
        <f t="shared" si="31"/>
        <v>B</v>
      </c>
      <c r="C244" s="227" t="s">
        <v>46</v>
      </c>
      <c r="D244" s="227" t="s">
        <v>1147</v>
      </c>
      <c r="E244" s="228">
        <v>0</v>
      </c>
      <c r="F244" s="101">
        <v>4</v>
      </c>
      <c r="G244" s="87" t="str">
        <f t="shared" ref="G244:G258" si="39">LEFT(C244,2)&amp;E244&amp;F244</f>
        <v>B404</v>
      </c>
      <c r="H244" s="87" t="s">
        <v>1293</v>
      </c>
      <c r="I244" s="89" t="str">
        <f>VLOOKUP(C244,'PREMIUM TABLES'!$G$107:$H$149,2,FALSE)</f>
        <v>C1</v>
      </c>
      <c r="J244" s="87">
        <v>87.23</v>
      </c>
      <c r="K244" s="87">
        <v>94.767429530606108</v>
      </c>
      <c r="L244" s="87">
        <v>106</v>
      </c>
      <c r="M244" s="87">
        <v>66.334900000000005</v>
      </c>
      <c r="O244" s="87" t="s">
        <v>187</v>
      </c>
      <c r="P244" s="87" t="s">
        <v>190</v>
      </c>
      <c r="Q244" s="229" t="s">
        <v>197</v>
      </c>
      <c r="R244" s="87" t="str">
        <f>VLOOKUP(E244,'PREMIUM TABLES'!$F$214:$G$219,2,FALSE)</f>
        <v>GROUND</v>
      </c>
      <c r="S244" s="87" t="str" cm="1">
        <f t="array" ref="S244">IF(AND(L244&gt;0,L244&lt;90),"A",IF(AND(L244&gt;90,L244&lt;123),"B",IF(AND(L244&gt;122,L244&lt;159),"C",IF(AND(L244&gt;159,L244&lt;185),"D",IF(AND(L244&gt;185,L244&lt;230),"E",IF(AND(L244&gt;230,L244&lt;350),"F",NONE))))))</f>
        <v>B</v>
      </c>
      <c r="T244" s="230">
        <f>VLOOKUP(O244,'PREMIUM TABLES'!$G$165:$H$172,2,FALSE)</f>
        <v>0.08</v>
      </c>
      <c r="U244" s="230">
        <f>VLOOKUP(P244,'PREMIUM TABLES'!$G$208:$H$209,2,FALSE)</f>
        <v>2.5000000000000001E-2</v>
      </c>
      <c r="V244" s="230">
        <f>VLOOKUP(Q244,'PREMIUM TABLES'!$G$175:$H$195,2,FALSE)</f>
        <v>0.16</v>
      </c>
      <c r="W244" s="230">
        <f>VLOOKUP(R244,'PREMIUM TABLES'!$G$214:$H$219,2,FALSE)</f>
        <v>0.05</v>
      </c>
      <c r="X244" s="230">
        <f>VLOOKUP(S244,'PREMIUM TABLES'!$F$199:$H$205,3,FALSE)</f>
        <v>0.04</v>
      </c>
      <c r="Y244" s="231">
        <f t="shared" si="32"/>
        <v>0.35499999999999998</v>
      </c>
      <c r="Z244" s="231" t="str" cm="1">
        <f t="array" ref="Z244">IF(AND(Y244&gt;0,Y244&lt;0.5),"C",IF(AND(Y244&gt;=0.5,Y244&lt;0.73),"B",IF(AND(Y244&gt;=0.73,Y244&lt;0.98),"A",NONE)))</f>
        <v>C</v>
      </c>
      <c r="AA244" s="231" t="str">
        <f>VLOOKUP(G244,'ALL (R)'!$N$5:$R$862,5,FALSE)</f>
        <v>R 1</v>
      </c>
      <c r="AB244" s="232">
        <f>VLOOKUP(AA244,FACTS!$B$2:$L$14,10,FALSE)</f>
        <v>42500</v>
      </c>
      <c r="AC244" s="232">
        <f>VLOOKUP(AA244,FACTS!$B$2:$L$14,11,FALSE)</f>
        <v>47500</v>
      </c>
      <c r="AD244" s="232">
        <f>VLOOKUP(AA244,FACTS!$B$2:$N$14,13,FALSE)</f>
        <v>5000</v>
      </c>
      <c r="AE244" s="232">
        <f t="shared" si="33"/>
        <v>1775</v>
      </c>
      <c r="AF244" s="232">
        <f t="shared" si="34"/>
        <v>44275</v>
      </c>
      <c r="AG244" s="232">
        <f>AF244*FACTS!$T$2</f>
        <v>14610.75</v>
      </c>
      <c r="AH244" s="232">
        <f>Table1[[#This Row],[UNIT (BUILDING) RATE (SEMI FINISHED)]]+4500</f>
        <v>48775</v>
      </c>
      <c r="AI244" s="232">
        <f>Table1[[#This Row],[UNIT (BUILDING) RATE (SEMI FINISHED)]]+7500</f>
        <v>51775</v>
      </c>
      <c r="AJ244" s="232">
        <f t="shared" si="35"/>
        <v>4693150</v>
      </c>
      <c r="AK244" s="232">
        <f>Table1[[#This Row],[UNIT (BUILDING) RATE (BASIC FINISH)]]*Table1[[#This Row],[Unit Selling Area]]</f>
        <v>5170150</v>
      </c>
      <c r="AL244" s="232">
        <f>Table1[[#This Row],[UNIT (BUILDING) RATE (FULLY FINISH)]]*Table1[[#This Row],[Unit Selling Area]]</f>
        <v>5488150</v>
      </c>
      <c r="AM244" s="232">
        <f t="shared" si="36"/>
        <v>969202.64017500007</v>
      </c>
      <c r="AN244" s="232">
        <f>(AM244+AJ244)*FACTS!$S$2</f>
        <v>481299.97441487503</v>
      </c>
      <c r="AO244" s="101">
        <f>VLOOKUP(S244,FACTS!$A$17:$C$23,3,FALSE)</f>
        <v>1</v>
      </c>
      <c r="AP244" s="232">
        <f>VLOOKUP(AA244,FACTS!$B$2:$J$14,9,FALSE)</f>
        <v>200000</v>
      </c>
      <c r="AQ244" s="232">
        <f>Table1[[#This Row],[PARKING VALUE]]*1</f>
        <v>200000</v>
      </c>
      <c r="AR244" s="232">
        <f t="shared" si="30"/>
        <v>5862352.6401749998</v>
      </c>
      <c r="AS244" s="440">
        <f>Table1[[#This Row],[TOTAL CARS VALUE]]+Table1[[#This Row],[UNIT (BUILDING) VALUE BASIC FINISHED]]+Table1[[#This Row],[UNIT (GARDEN) VALUE]]</f>
        <v>6339352.6401749998</v>
      </c>
      <c r="AT244" s="232">
        <f>Table1[[#This Row],[TOTAL CARS VALUE]]+Table1[[#This Row],[UNIT (GARDEN) VALUE]]+Table1[[#This Row],[UNIT (BUILDING) VALUE FULLY FINISHED]]</f>
        <v>6657352.6401749998</v>
      </c>
      <c r="AU244" s="233">
        <f>VLOOKUP(I244,'C PHASES'!$I$108:$J$110,2,FALSE)</f>
        <v>45839</v>
      </c>
      <c r="AV244" s="233">
        <f>VLOOKUP(AA244,'C PHASES'!$I$113:$J$125,2,FALSE)</f>
        <v>45170</v>
      </c>
    </row>
    <row r="245" spans="1:48" ht="15" customHeight="1" x14ac:dyDescent="0.25">
      <c r="A245" s="235"/>
      <c r="B245" s="227" t="str">
        <f t="shared" si="31"/>
        <v>B</v>
      </c>
      <c r="C245" s="227" t="s">
        <v>46</v>
      </c>
      <c r="D245" s="227" t="s">
        <v>1147</v>
      </c>
      <c r="E245" s="228">
        <v>1</v>
      </c>
      <c r="F245" s="101">
        <v>1</v>
      </c>
      <c r="G245" s="87" t="str">
        <f t="shared" si="39"/>
        <v>B411</v>
      </c>
      <c r="H245" s="87" t="s">
        <v>1294</v>
      </c>
      <c r="I245" s="89" t="str">
        <f>VLOOKUP(C245,'PREMIUM TABLES'!$G$107:$H$149,2,FALSE)</f>
        <v>C1</v>
      </c>
      <c r="J245" s="87">
        <v>132.94</v>
      </c>
      <c r="K245" s="87">
        <v>144.42717048949646</v>
      </c>
      <c r="L245" s="87">
        <v>162</v>
      </c>
      <c r="O245" s="87" t="s">
        <v>187</v>
      </c>
      <c r="P245" s="87" t="s">
        <v>190</v>
      </c>
      <c r="Q245" s="229" t="s">
        <v>197</v>
      </c>
      <c r="R245" s="87" t="str">
        <f>VLOOKUP(E245,'PREMIUM TABLES'!$F$214:$G$219,2,FALSE)</f>
        <v>FIRST</v>
      </c>
      <c r="S245" s="87" t="str" cm="1">
        <f t="array" ref="S245">IF(AND(L245&gt;0,L245&lt;90),"A",IF(AND(L245&gt;90,L245&lt;123),"B",IF(AND(L245&gt;122,L245&lt;159),"C",IF(AND(L245&gt;159,L245&lt;185),"D",IF(AND(L245&gt;185,L245&lt;230),"E",IF(AND(L245&gt;230,L245&lt;350),"F",NONE))))))</f>
        <v>D</v>
      </c>
      <c r="T245" s="230">
        <f>VLOOKUP(O245,'PREMIUM TABLES'!$G$165:$H$172,2,FALSE)</f>
        <v>0.08</v>
      </c>
      <c r="U245" s="230">
        <f>VLOOKUP(P245,'PREMIUM TABLES'!$G$208:$H$209,2,FALSE)</f>
        <v>2.5000000000000001E-2</v>
      </c>
      <c r="V245" s="230">
        <f>VLOOKUP(Q245,'PREMIUM TABLES'!$G$175:$H$195,2,FALSE)</f>
        <v>0.16</v>
      </c>
      <c r="W245" s="230">
        <f>VLOOKUP(R245,'PREMIUM TABLES'!$G$214:$H$219,2,FALSE)</f>
        <v>7.0000000000000007E-2</v>
      </c>
      <c r="X245" s="230">
        <f>VLOOKUP(S245,'PREMIUM TABLES'!$F$199:$H$205,3,FALSE)</f>
        <v>2.5000000000000001E-2</v>
      </c>
      <c r="Y245" s="231">
        <f t="shared" si="32"/>
        <v>0.36000000000000004</v>
      </c>
      <c r="Z245" s="231" t="str" cm="1">
        <f t="array" ref="Z245">IF(AND(Y245&gt;0,Y245&lt;0.5),"C",IF(AND(Y245&gt;=0.5,Y245&lt;0.73),"B",IF(AND(Y245&gt;=0.73,Y245&lt;0.98),"A",NONE)))</f>
        <v>C</v>
      </c>
      <c r="AA245" s="231" t="str">
        <f>VLOOKUP(G245,'ALL (R)'!$N$5:$R$862,5,FALSE)</f>
        <v>R 2</v>
      </c>
      <c r="AB245" s="232">
        <f>VLOOKUP(AA245,FACTS!$B$2:$L$14,10,FALSE)</f>
        <v>43562.499999999993</v>
      </c>
      <c r="AC245" s="232">
        <f>VLOOKUP(AA245,FACTS!$B$2:$L$14,11,FALSE)</f>
        <v>48687.499999999993</v>
      </c>
      <c r="AD245" s="232">
        <f>VLOOKUP(AA245,FACTS!$B$2:$N$14,13,FALSE)</f>
        <v>5125</v>
      </c>
      <c r="AE245" s="232">
        <f t="shared" si="33"/>
        <v>1845.0000000000002</v>
      </c>
      <c r="AF245" s="232">
        <f t="shared" si="34"/>
        <v>45407.499999999993</v>
      </c>
      <c r="AG245" s="232">
        <f>AF245*FACTS!$T$2</f>
        <v>14984.474999999999</v>
      </c>
      <c r="AH245" s="232">
        <f>Table1[[#This Row],[UNIT (BUILDING) RATE (SEMI FINISHED)]]+4500</f>
        <v>49907.499999999993</v>
      </c>
      <c r="AI245" s="232">
        <f>Table1[[#This Row],[UNIT (BUILDING) RATE (SEMI FINISHED)]]+7500</f>
        <v>52907.499999999993</v>
      </c>
      <c r="AJ245" s="232">
        <f t="shared" si="35"/>
        <v>7356014.9999999991</v>
      </c>
      <c r="AK245" s="232">
        <f>Table1[[#This Row],[UNIT (BUILDING) RATE (BASIC FINISH)]]*Table1[[#This Row],[Unit Selling Area]]</f>
        <v>8085014.9999999991</v>
      </c>
      <c r="AL245" s="232">
        <f>Table1[[#This Row],[UNIT (BUILDING) RATE (FULLY FINISH)]]*Table1[[#This Row],[Unit Selling Area]]</f>
        <v>8571014.9999999981</v>
      </c>
      <c r="AM245" s="232">
        <f t="shared" si="36"/>
        <v>0</v>
      </c>
      <c r="AN245" s="232">
        <f>(AM245+AJ245)*FACTS!$S$2</f>
        <v>625261.27500000002</v>
      </c>
      <c r="AO245" s="101">
        <f>VLOOKUP(S245,FACTS!$A$17:$C$23,3,FALSE)</f>
        <v>2</v>
      </c>
      <c r="AP245" s="232">
        <f>VLOOKUP(AA245,FACTS!$B$2:$J$14,9,FALSE)</f>
        <v>204999.99999999997</v>
      </c>
      <c r="AQ245" s="232">
        <f>Table1[[#This Row],[PARKING VALUE]]*1</f>
        <v>204999.99999999997</v>
      </c>
      <c r="AR245" s="232">
        <f t="shared" si="30"/>
        <v>7561014.9999999991</v>
      </c>
      <c r="AS245" s="440">
        <f>Table1[[#This Row],[TOTAL CARS VALUE]]+Table1[[#This Row],[UNIT (BUILDING) VALUE BASIC FINISHED]]+Table1[[#This Row],[UNIT (GARDEN) VALUE]]</f>
        <v>8290014.9999999991</v>
      </c>
      <c r="AT245" s="232">
        <f>Table1[[#This Row],[TOTAL CARS VALUE]]+Table1[[#This Row],[UNIT (GARDEN) VALUE]]+Table1[[#This Row],[UNIT (BUILDING) VALUE FULLY FINISHED]]</f>
        <v>8776014.9999999981</v>
      </c>
      <c r="AU245" s="233">
        <f>VLOOKUP(I245,'C PHASES'!$I$108:$J$110,2,FALSE)</f>
        <v>45839</v>
      </c>
      <c r="AV245" s="233">
        <f>VLOOKUP(AA245,'C PHASES'!$I$113:$J$125,2,FALSE)</f>
        <v>45292</v>
      </c>
    </row>
    <row r="246" spans="1:48" ht="15" customHeight="1" x14ac:dyDescent="0.25">
      <c r="A246" s="235"/>
      <c r="B246" s="227" t="str">
        <f t="shared" si="31"/>
        <v>B</v>
      </c>
      <c r="C246" s="227" t="s">
        <v>46</v>
      </c>
      <c r="D246" s="227" t="s">
        <v>1147</v>
      </c>
      <c r="E246" s="228">
        <v>1</v>
      </c>
      <c r="F246" s="101">
        <v>4</v>
      </c>
      <c r="G246" s="87" t="str">
        <f t="shared" si="39"/>
        <v>B414</v>
      </c>
      <c r="H246" s="87" t="s">
        <v>1293</v>
      </c>
      <c r="I246" s="89" t="str">
        <f>VLOOKUP(C246,'PREMIUM TABLES'!$G$107:$H$149,2,FALSE)</f>
        <v>C1</v>
      </c>
      <c r="J246" s="87">
        <v>88.87</v>
      </c>
      <c r="K246" s="87">
        <v>96.549139772841514</v>
      </c>
      <c r="L246" s="87">
        <v>108</v>
      </c>
      <c r="O246" s="87" t="s">
        <v>187</v>
      </c>
      <c r="P246" s="87" t="s">
        <v>190</v>
      </c>
      <c r="Q246" s="229" t="s">
        <v>197</v>
      </c>
      <c r="R246" s="87" t="str">
        <f>VLOOKUP(E246,'PREMIUM TABLES'!$F$214:$G$219,2,FALSE)</f>
        <v>FIRST</v>
      </c>
      <c r="S246" s="87" t="str" cm="1">
        <f t="array" ref="S246">IF(AND(L246&gt;0,L246&lt;90),"A",IF(AND(L246&gt;90,L246&lt;123),"B",IF(AND(L246&gt;122,L246&lt;159),"C",IF(AND(L246&gt;159,L246&lt;185),"D",IF(AND(L246&gt;185,L246&lt;230),"E",IF(AND(L246&gt;230,L246&lt;350),"F",NONE))))))</f>
        <v>B</v>
      </c>
      <c r="T246" s="230">
        <f>VLOOKUP(O246,'PREMIUM TABLES'!$G$165:$H$172,2,FALSE)</f>
        <v>0.08</v>
      </c>
      <c r="U246" s="230">
        <f>VLOOKUP(P246,'PREMIUM TABLES'!$G$208:$H$209,2,FALSE)</f>
        <v>2.5000000000000001E-2</v>
      </c>
      <c r="V246" s="230">
        <f>VLOOKUP(Q246,'PREMIUM TABLES'!$G$175:$H$195,2,FALSE)</f>
        <v>0.16</v>
      </c>
      <c r="W246" s="230">
        <f>VLOOKUP(R246,'PREMIUM TABLES'!$G$214:$H$219,2,FALSE)</f>
        <v>7.0000000000000007E-2</v>
      </c>
      <c r="X246" s="230">
        <f>VLOOKUP(S246,'PREMIUM TABLES'!$F$199:$H$205,3,FALSE)</f>
        <v>0.04</v>
      </c>
      <c r="Y246" s="231">
        <f t="shared" si="32"/>
        <v>0.375</v>
      </c>
      <c r="Z246" s="231" t="str" cm="1">
        <f t="array" ref="Z246">IF(AND(Y246&gt;0,Y246&lt;0.5),"C",IF(AND(Y246&gt;=0.5,Y246&lt;0.73),"B",IF(AND(Y246&gt;=0.73,Y246&lt;0.98),"A",NONE)))</f>
        <v>C</v>
      </c>
      <c r="AA246" s="231" t="str">
        <f>VLOOKUP(G246,'ALL (R)'!$N$5:$R$862,5,FALSE)</f>
        <v>R 3</v>
      </c>
      <c r="AB246" s="232">
        <f>VLOOKUP(AA246,FACTS!$B$2:$L$14,10,FALSE)</f>
        <v>44625</v>
      </c>
      <c r="AC246" s="232">
        <f>VLOOKUP(AA246,FACTS!$B$2:$L$14,11,FALSE)</f>
        <v>49875</v>
      </c>
      <c r="AD246" s="232">
        <f>VLOOKUP(AA246,FACTS!$B$2:$N$14,13,FALSE)</f>
        <v>5250</v>
      </c>
      <c r="AE246" s="232">
        <f t="shared" si="33"/>
        <v>1968.75</v>
      </c>
      <c r="AF246" s="232">
        <f t="shared" si="34"/>
        <v>46593.75</v>
      </c>
      <c r="AG246" s="232">
        <f>AF246*FACTS!$T$2</f>
        <v>15375.9375</v>
      </c>
      <c r="AH246" s="232">
        <f>Table1[[#This Row],[UNIT (BUILDING) RATE (SEMI FINISHED)]]+4500</f>
        <v>51093.75</v>
      </c>
      <c r="AI246" s="232">
        <f>Table1[[#This Row],[UNIT (BUILDING) RATE (SEMI FINISHED)]]+7500</f>
        <v>54093.75</v>
      </c>
      <c r="AJ246" s="232">
        <f t="shared" si="35"/>
        <v>5032125</v>
      </c>
      <c r="AK246" s="232">
        <f>Table1[[#This Row],[UNIT (BUILDING) RATE (BASIC FINISH)]]*Table1[[#This Row],[Unit Selling Area]]</f>
        <v>5518125</v>
      </c>
      <c r="AL246" s="232">
        <f>Table1[[#This Row],[UNIT (BUILDING) RATE (FULLY FINISH)]]*Table1[[#This Row],[Unit Selling Area]]</f>
        <v>5842125</v>
      </c>
      <c r="AM246" s="232">
        <f t="shared" si="36"/>
        <v>0</v>
      </c>
      <c r="AN246" s="232">
        <f>(AM246+AJ246)*FACTS!$S$2</f>
        <v>427730.62500000006</v>
      </c>
      <c r="AO246" s="101">
        <f>VLOOKUP(S246,FACTS!$A$17:$C$23,3,FALSE)</f>
        <v>1</v>
      </c>
      <c r="AP246" s="232">
        <f>VLOOKUP(AA246,FACTS!$B$2:$J$14,9,FALSE)</f>
        <v>210000</v>
      </c>
      <c r="AQ246" s="232">
        <f>Table1[[#This Row],[PARKING VALUE]]*1</f>
        <v>210000</v>
      </c>
      <c r="AR246" s="232">
        <f t="shared" si="30"/>
        <v>5242125</v>
      </c>
      <c r="AS246" s="440">
        <f>Table1[[#This Row],[TOTAL CARS VALUE]]+Table1[[#This Row],[UNIT (BUILDING) VALUE BASIC FINISHED]]+Table1[[#This Row],[UNIT (GARDEN) VALUE]]</f>
        <v>5728125</v>
      </c>
      <c r="AT246" s="232">
        <f>Table1[[#This Row],[TOTAL CARS VALUE]]+Table1[[#This Row],[UNIT (GARDEN) VALUE]]+Table1[[#This Row],[UNIT (BUILDING) VALUE FULLY FINISHED]]</f>
        <v>6052125</v>
      </c>
      <c r="AU246" s="233">
        <f>VLOOKUP(I246,'C PHASES'!$I$108:$J$110,2,FALSE)</f>
        <v>45839</v>
      </c>
      <c r="AV246" s="233">
        <f>VLOOKUP(AA246,'C PHASES'!$I$113:$J$125,2,FALSE)</f>
        <v>45383</v>
      </c>
    </row>
    <row r="247" spans="1:48" ht="15" customHeight="1" x14ac:dyDescent="0.25">
      <c r="A247" s="235"/>
      <c r="B247" s="227" t="str">
        <f t="shared" si="31"/>
        <v>B</v>
      </c>
      <c r="C247" s="227" t="s">
        <v>46</v>
      </c>
      <c r="D247" s="227" t="s">
        <v>1147</v>
      </c>
      <c r="E247" s="228">
        <v>2</v>
      </c>
      <c r="F247" s="101">
        <v>1</v>
      </c>
      <c r="G247" s="87" t="str">
        <f t="shared" si="39"/>
        <v>B421</v>
      </c>
      <c r="H247" s="87" t="s">
        <v>1294</v>
      </c>
      <c r="I247" s="89" t="str">
        <f>VLOOKUP(C247,'PREMIUM TABLES'!$G$107:$H$149,2,FALSE)</f>
        <v>C1</v>
      </c>
      <c r="J247" s="87">
        <v>131.41999999999999</v>
      </c>
      <c r="K247" s="87">
        <v>142.77582928937582</v>
      </c>
      <c r="L247" s="87">
        <v>160</v>
      </c>
      <c r="O247" s="87" t="s">
        <v>187</v>
      </c>
      <c r="P247" s="87" t="s">
        <v>190</v>
      </c>
      <c r="Q247" s="229" t="s">
        <v>197</v>
      </c>
      <c r="R247" s="87" t="str">
        <f>VLOOKUP(E247,'PREMIUM TABLES'!$F$214:$G$219,2,FALSE)</f>
        <v>SECOND</v>
      </c>
      <c r="S247" s="87" t="str" cm="1">
        <f t="array" ref="S247">IF(AND(L247&gt;0,L247&lt;90),"A",IF(AND(L247&gt;90,L247&lt;123),"B",IF(AND(L247&gt;122,L247&lt;159),"C",IF(AND(L247&gt;159,L247&lt;185),"D",IF(AND(L247&gt;185,L247&lt;230),"E",IF(AND(L247&gt;230,L247&lt;350),"F",NONE))))))</f>
        <v>D</v>
      </c>
      <c r="T247" s="230">
        <f>VLOOKUP(O247,'PREMIUM TABLES'!$G$165:$H$172,2,FALSE)</f>
        <v>0.08</v>
      </c>
      <c r="U247" s="230">
        <f>VLOOKUP(P247,'PREMIUM TABLES'!$G$208:$H$209,2,FALSE)</f>
        <v>2.5000000000000001E-2</v>
      </c>
      <c r="V247" s="230">
        <f>VLOOKUP(Q247,'PREMIUM TABLES'!$G$175:$H$195,2,FALSE)</f>
        <v>0.16</v>
      </c>
      <c r="W247" s="230">
        <f>VLOOKUP(R247,'PREMIUM TABLES'!$G$214:$H$219,2,FALSE)</f>
        <v>0.11</v>
      </c>
      <c r="X247" s="230">
        <f>VLOOKUP(S247,'PREMIUM TABLES'!$F$199:$H$205,3,FALSE)</f>
        <v>2.5000000000000001E-2</v>
      </c>
      <c r="Y247" s="231">
        <f t="shared" si="32"/>
        <v>0.4</v>
      </c>
      <c r="Z247" s="231" t="str" cm="1">
        <f t="array" ref="Z247">IF(AND(Y247&gt;0,Y247&lt;0.5),"C",IF(AND(Y247&gt;=0.5,Y247&lt;0.73),"B",IF(AND(Y247&gt;=0.73,Y247&lt;0.98),"A",NONE)))</f>
        <v>C</v>
      </c>
      <c r="AA247" s="231" t="str">
        <f>VLOOKUP(G247,'ALL (R)'!$N$5:$R$862,5,FALSE)</f>
        <v>R 5</v>
      </c>
      <c r="AB247" s="232">
        <f>VLOOKUP(AA247,FACTS!$B$2:$L$14,10,FALSE)</f>
        <v>46750.000000000007</v>
      </c>
      <c r="AC247" s="232">
        <f>VLOOKUP(AA247,FACTS!$B$2:$L$14,11,FALSE)</f>
        <v>52250.000000000007</v>
      </c>
      <c r="AD247" s="232">
        <f>VLOOKUP(AA247,FACTS!$B$2:$N$14,13,FALSE)</f>
        <v>5500</v>
      </c>
      <c r="AE247" s="232">
        <f t="shared" si="33"/>
        <v>2200</v>
      </c>
      <c r="AF247" s="232">
        <f t="shared" si="34"/>
        <v>48950.000000000007</v>
      </c>
      <c r="AG247" s="232">
        <f>AF247*FACTS!$T$2</f>
        <v>16153.500000000004</v>
      </c>
      <c r="AH247" s="232">
        <f>Table1[[#This Row],[UNIT (BUILDING) RATE (SEMI FINISHED)]]+4500</f>
        <v>53450.000000000007</v>
      </c>
      <c r="AI247" s="232">
        <f>Table1[[#This Row],[UNIT (BUILDING) RATE (SEMI FINISHED)]]+7500</f>
        <v>56450.000000000007</v>
      </c>
      <c r="AJ247" s="232">
        <f t="shared" si="35"/>
        <v>7832000.0000000009</v>
      </c>
      <c r="AK247" s="232">
        <f>Table1[[#This Row],[UNIT (BUILDING) RATE (BASIC FINISH)]]*Table1[[#This Row],[Unit Selling Area]]</f>
        <v>8552000.0000000019</v>
      </c>
      <c r="AL247" s="232">
        <f>Table1[[#This Row],[UNIT (BUILDING) RATE (FULLY FINISH)]]*Table1[[#This Row],[Unit Selling Area]]</f>
        <v>9032000.0000000019</v>
      </c>
      <c r="AM247" s="232">
        <f t="shared" si="36"/>
        <v>0</v>
      </c>
      <c r="AN247" s="232">
        <f>(AM247+AJ247)*FACTS!$S$2</f>
        <v>665720.00000000012</v>
      </c>
      <c r="AO247" s="101">
        <f>VLOOKUP(S247,FACTS!$A$17:$C$23,3,FALSE)</f>
        <v>2</v>
      </c>
      <c r="AP247" s="232">
        <f>VLOOKUP(AA247,FACTS!$B$2:$J$14,9,FALSE)</f>
        <v>220000.00000000003</v>
      </c>
      <c r="AQ247" s="232">
        <f>Table1[[#This Row],[PARKING VALUE]]*1</f>
        <v>220000.00000000003</v>
      </c>
      <c r="AR247" s="232">
        <f t="shared" si="30"/>
        <v>8052000.0000000009</v>
      </c>
      <c r="AS247" s="440">
        <f>Table1[[#This Row],[TOTAL CARS VALUE]]+Table1[[#This Row],[UNIT (BUILDING) VALUE BASIC FINISHED]]+Table1[[#This Row],[UNIT (GARDEN) VALUE]]</f>
        <v>8772000.0000000019</v>
      </c>
      <c r="AT247" s="232">
        <f>Table1[[#This Row],[TOTAL CARS VALUE]]+Table1[[#This Row],[UNIT (GARDEN) VALUE]]+Table1[[#This Row],[UNIT (BUILDING) VALUE FULLY FINISHED]]</f>
        <v>9252000.0000000019</v>
      </c>
      <c r="AU247" s="233">
        <f>VLOOKUP(I247,'C PHASES'!$I$108:$J$110,2,FALSE)</f>
        <v>45839</v>
      </c>
      <c r="AV247" s="233">
        <f>VLOOKUP(AA247,'C PHASES'!$I$113:$J$125,2,FALSE)</f>
        <v>45566</v>
      </c>
    </row>
    <row r="248" spans="1:48" ht="15" customHeight="1" x14ac:dyDescent="0.25">
      <c r="A248" s="235"/>
      <c r="B248" s="227" t="str">
        <f t="shared" si="31"/>
        <v>B</v>
      </c>
      <c r="C248" s="227" t="s">
        <v>46</v>
      </c>
      <c r="D248" s="227" t="s">
        <v>1147</v>
      </c>
      <c r="E248" s="228">
        <v>2</v>
      </c>
      <c r="F248" s="101">
        <v>2</v>
      </c>
      <c r="G248" s="87" t="str">
        <f t="shared" si="39"/>
        <v>B422</v>
      </c>
      <c r="H248" s="87" t="s">
        <v>1294</v>
      </c>
      <c r="I248" s="89" t="str">
        <f>VLOOKUP(C248,'PREMIUM TABLES'!$G$107:$H$149,2,FALSE)</f>
        <v>C1</v>
      </c>
      <c r="J248" s="87">
        <v>131.03</v>
      </c>
      <c r="K248" s="87">
        <v>142.35212990250278</v>
      </c>
      <c r="L248" s="87">
        <v>160</v>
      </c>
      <c r="O248" s="87" t="s">
        <v>180</v>
      </c>
      <c r="P248" s="87" t="s">
        <v>190</v>
      </c>
      <c r="Q248" s="229" t="s">
        <v>209</v>
      </c>
      <c r="R248" s="87" t="str">
        <f>VLOOKUP(E248,'PREMIUM TABLES'!$F$214:$G$219,2,FALSE)</f>
        <v>SECOND</v>
      </c>
      <c r="S248" s="87" t="str" cm="1">
        <f t="array" ref="S248">IF(AND(L248&gt;0,L248&lt;90),"A",IF(AND(L248&gt;90,L248&lt;123),"B",IF(AND(L248&gt;122,L248&lt;159),"C",IF(AND(L248&gt;159,L248&lt;185),"D",IF(AND(L248&gt;185,L248&lt;230),"E",IF(AND(L248&gt;230,L248&lt;350),"F",NONE))))))</f>
        <v>D</v>
      </c>
      <c r="T248" s="230">
        <f>VLOOKUP(O248,'PREMIUM TABLES'!$G$165:$H$172,2,FALSE)</f>
        <v>0.13</v>
      </c>
      <c r="U248" s="230">
        <f>VLOOKUP(P248,'PREMIUM TABLES'!$G$208:$H$209,2,FALSE)</f>
        <v>2.5000000000000001E-2</v>
      </c>
      <c r="V248" s="230">
        <f>VLOOKUP(Q248,'PREMIUM TABLES'!$G$175:$H$195,2,FALSE)</f>
        <v>0.6</v>
      </c>
      <c r="W248" s="230">
        <f>VLOOKUP(R248,'PREMIUM TABLES'!$G$214:$H$219,2,FALSE)</f>
        <v>0.11</v>
      </c>
      <c r="X248" s="230">
        <f>VLOOKUP(S248,'PREMIUM TABLES'!$F$199:$H$205,3,FALSE)</f>
        <v>2.5000000000000001E-2</v>
      </c>
      <c r="Y248" s="231">
        <f t="shared" si="32"/>
        <v>0.89</v>
      </c>
      <c r="Z248" s="231" t="str" cm="1">
        <f t="array" ref="Z248">IF(AND(Y248&gt;0,Y248&lt;0.5),"C",IF(AND(Y248&gt;=0.5,Y248&lt;0.73),"B",IF(AND(Y248&gt;=0.73,Y248&lt;0.98),"A",NONE)))</f>
        <v>A</v>
      </c>
      <c r="AA248" s="231" t="str">
        <f>VLOOKUP(G248,'ALL (R)'!$N$5:$R$862,5,FALSE)</f>
        <v>R 12</v>
      </c>
      <c r="AB248" s="232">
        <f>VLOOKUP(AA248,FACTS!$B$2:$L$14,10,FALSE)</f>
        <v>61625</v>
      </c>
      <c r="AC248" s="232">
        <f>VLOOKUP(AA248,FACTS!$B$2:$L$14,11,FALSE)</f>
        <v>68875</v>
      </c>
      <c r="AD248" s="232">
        <f>VLOOKUP(AA248,FACTS!$B$2:$N$14,13,FALSE)</f>
        <v>7250</v>
      </c>
      <c r="AE248" s="232">
        <f t="shared" si="33"/>
        <v>6452.5</v>
      </c>
      <c r="AF248" s="232">
        <f t="shared" si="34"/>
        <v>68077.5</v>
      </c>
      <c r="AG248" s="232">
        <f>AF248*FACTS!$T$2</f>
        <v>22465.575000000001</v>
      </c>
      <c r="AH248" s="232">
        <f>Table1[[#This Row],[UNIT (BUILDING) RATE (SEMI FINISHED)]]+4500</f>
        <v>72577.5</v>
      </c>
      <c r="AI248" s="232">
        <f>Table1[[#This Row],[UNIT (BUILDING) RATE (SEMI FINISHED)]]+7500</f>
        <v>75577.5</v>
      </c>
      <c r="AJ248" s="232">
        <f t="shared" si="35"/>
        <v>10892400</v>
      </c>
      <c r="AK248" s="232">
        <f>Table1[[#This Row],[UNIT (BUILDING) RATE (BASIC FINISH)]]*Table1[[#This Row],[Unit Selling Area]]</f>
        <v>11612400</v>
      </c>
      <c r="AL248" s="232">
        <f>Table1[[#This Row],[UNIT (BUILDING) RATE (FULLY FINISH)]]*Table1[[#This Row],[Unit Selling Area]]</f>
        <v>12092400</v>
      </c>
      <c r="AM248" s="232">
        <f t="shared" si="36"/>
        <v>0</v>
      </c>
      <c r="AN248" s="232">
        <f>(AM248+AJ248)*FACTS!$S$2</f>
        <v>925854.00000000012</v>
      </c>
      <c r="AO248" s="101">
        <f>VLOOKUP(S248,FACTS!$A$17:$C$23,3,FALSE)</f>
        <v>2</v>
      </c>
      <c r="AP248" s="232">
        <f>VLOOKUP(AA248,FACTS!$B$2:$J$14,9,FALSE)</f>
        <v>290000</v>
      </c>
      <c r="AQ248" s="232">
        <f>Table1[[#This Row],[PARKING VALUE]]*1</f>
        <v>290000</v>
      </c>
      <c r="AR248" s="232">
        <f t="shared" si="30"/>
        <v>11182400</v>
      </c>
      <c r="AS248" s="440">
        <f>Table1[[#This Row],[TOTAL CARS VALUE]]+Table1[[#This Row],[UNIT (BUILDING) VALUE BASIC FINISHED]]+Table1[[#This Row],[UNIT (GARDEN) VALUE]]</f>
        <v>11902400</v>
      </c>
      <c r="AT248" s="232">
        <f>Table1[[#This Row],[TOTAL CARS VALUE]]+Table1[[#This Row],[UNIT (GARDEN) VALUE]]+Table1[[#This Row],[UNIT (BUILDING) VALUE FULLY FINISHED]]</f>
        <v>12382400</v>
      </c>
      <c r="AU248" s="233">
        <f>VLOOKUP(I248,'C PHASES'!$I$108:$J$110,2,FALSE)</f>
        <v>45839</v>
      </c>
      <c r="AV248" s="233">
        <f>VLOOKUP(AA248,'C PHASES'!$I$113:$J$125,2,FALSE)</f>
        <v>46204</v>
      </c>
    </row>
    <row r="249" spans="1:48" ht="15" customHeight="1" x14ac:dyDescent="0.25">
      <c r="A249" s="235"/>
      <c r="B249" s="227" t="str">
        <f t="shared" si="31"/>
        <v>B</v>
      </c>
      <c r="C249" s="227" t="s">
        <v>46</v>
      </c>
      <c r="D249" s="227" t="s">
        <v>1147</v>
      </c>
      <c r="E249" s="228">
        <v>2</v>
      </c>
      <c r="F249" s="101">
        <v>3</v>
      </c>
      <c r="G249" s="87" t="str">
        <f t="shared" si="39"/>
        <v>B423</v>
      </c>
      <c r="H249" s="87" t="s">
        <v>1294</v>
      </c>
      <c r="I249" s="89" t="str">
        <f>VLOOKUP(C249,'PREMIUM TABLES'!$G$107:$H$149,2,FALSE)</f>
        <v>C1</v>
      </c>
      <c r="J249" s="87">
        <v>126.89</v>
      </c>
      <c r="K249" s="87">
        <v>137.85439794954269</v>
      </c>
      <c r="L249" s="87">
        <v>155</v>
      </c>
      <c r="O249" s="87" t="s">
        <v>180</v>
      </c>
      <c r="P249" s="87" t="s">
        <v>190</v>
      </c>
      <c r="Q249" s="229" t="s">
        <v>209</v>
      </c>
      <c r="R249" s="87" t="str">
        <f>VLOOKUP(E249,'PREMIUM TABLES'!$F$214:$G$219,2,FALSE)</f>
        <v>SECOND</v>
      </c>
      <c r="S249" s="87" t="str" cm="1">
        <f t="array" ref="S249">IF(AND(L249&gt;0,L249&lt;90),"A",IF(AND(L249&gt;90,L249&lt;123),"B",IF(AND(L249&gt;122,L249&lt;159),"C",IF(AND(L249&gt;159,L249&lt;185),"D",IF(AND(L249&gt;185,L249&lt;230),"E",IF(AND(L249&gt;230,L249&lt;350),"F",NONE))))))</f>
        <v>C</v>
      </c>
      <c r="T249" s="230">
        <f>VLOOKUP(O249,'PREMIUM TABLES'!$G$165:$H$172,2,FALSE)</f>
        <v>0.13</v>
      </c>
      <c r="U249" s="230">
        <f>VLOOKUP(P249,'PREMIUM TABLES'!$G$208:$H$209,2,FALSE)</f>
        <v>2.5000000000000001E-2</v>
      </c>
      <c r="V249" s="230">
        <f>VLOOKUP(Q249,'PREMIUM TABLES'!$G$175:$H$195,2,FALSE)</f>
        <v>0.6</v>
      </c>
      <c r="W249" s="230">
        <f>VLOOKUP(R249,'PREMIUM TABLES'!$G$214:$H$219,2,FALSE)</f>
        <v>0.11</v>
      </c>
      <c r="X249" s="230">
        <f>VLOOKUP(S249,'PREMIUM TABLES'!$F$199:$H$205,3,FALSE)</f>
        <v>3.5000000000000003E-2</v>
      </c>
      <c r="Y249" s="231">
        <f t="shared" si="32"/>
        <v>0.9</v>
      </c>
      <c r="Z249" s="231" t="str" cm="1">
        <f t="array" ref="Z249">IF(AND(Y249&gt;0,Y249&lt;0.5),"C",IF(AND(Y249&gt;=0.5,Y249&lt;0.73),"B",IF(AND(Y249&gt;=0.73,Y249&lt;0.98),"A",NONE)))</f>
        <v>A</v>
      </c>
      <c r="AA249" s="231" t="str">
        <f>VLOOKUP(G249,'ALL (R)'!$N$5:$R$862,5,FALSE)</f>
        <v>R 12</v>
      </c>
      <c r="AB249" s="232">
        <f>VLOOKUP(AA249,FACTS!$B$2:$L$14,10,FALSE)</f>
        <v>61625</v>
      </c>
      <c r="AC249" s="232">
        <f>VLOOKUP(AA249,FACTS!$B$2:$L$14,11,FALSE)</f>
        <v>68875</v>
      </c>
      <c r="AD249" s="232">
        <f>VLOOKUP(AA249,FACTS!$B$2:$N$14,13,FALSE)</f>
        <v>7250</v>
      </c>
      <c r="AE249" s="232">
        <f t="shared" si="33"/>
        <v>6525</v>
      </c>
      <c r="AF249" s="232">
        <f t="shared" si="34"/>
        <v>68150</v>
      </c>
      <c r="AG249" s="232">
        <f>AF249*FACTS!$T$2</f>
        <v>22489.5</v>
      </c>
      <c r="AH249" s="232">
        <f>Table1[[#This Row],[UNIT (BUILDING) RATE (SEMI FINISHED)]]+4500</f>
        <v>72650</v>
      </c>
      <c r="AI249" s="232">
        <f>Table1[[#This Row],[UNIT (BUILDING) RATE (SEMI FINISHED)]]+7500</f>
        <v>75650</v>
      </c>
      <c r="AJ249" s="232">
        <f t="shared" si="35"/>
        <v>10563250</v>
      </c>
      <c r="AK249" s="232">
        <f>Table1[[#This Row],[UNIT (BUILDING) RATE (BASIC FINISH)]]*Table1[[#This Row],[Unit Selling Area]]</f>
        <v>11260750</v>
      </c>
      <c r="AL249" s="232">
        <f>Table1[[#This Row],[UNIT (BUILDING) RATE (FULLY FINISH)]]*Table1[[#This Row],[Unit Selling Area]]</f>
        <v>11725750</v>
      </c>
      <c r="AM249" s="232">
        <f t="shared" si="36"/>
        <v>0</v>
      </c>
      <c r="AN249" s="232">
        <f>(AM249+AJ249)*FACTS!$S$2</f>
        <v>897876.25000000012</v>
      </c>
      <c r="AO249" s="101">
        <f>VLOOKUP(S249,FACTS!$A$17:$C$23,3,FALSE)</f>
        <v>2</v>
      </c>
      <c r="AP249" s="232">
        <f>VLOOKUP(AA249,FACTS!$B$2:$J$14,9,FALSE)</f>
        <v>290000</v>
      </c>
      <c r="AQ249" s="232">
        <f>Table1[[#This Row],[PARKING VALUE]]*1</f>
        <v>290000</v>
      </c>
      <c r="AR249" s="232">
        <f t="shared" si="30"/>
        <v>10853250</v>
      </c>
      <c r="AS249" s="440">
        <f>Table1[[#This Row],[TOTAL CARS VALUE]]+Table1[[#This Row],[UNIT (BUILDING) VALUE BASIC FINISHED]]+Table1[[#This Row],[UNIT (GARDEN) VALUE]]</f>
        <v>11550750</v>
      </c>
      <c r="AT249" s="232">
        <f>Table1[[#This Row],[TOTAL CARS VALUE]]+Table1[[#This Row],[UNIT (GARDEN) VALUE]]+Table1[[#This Row],[UNIT (BUILDING) VALUE FULLY FINISHED]]</f>
        <v>12015750</v>
      </c>
      <c r="AU249" s="233">
        <f>VLOOKUP(I249,'C PHASES'!$I$108:$J$110,2,FALSE)</f>
        <v>45839</v>
      </c>
      <c r="AV249" s="233">
        <f>VLOOKUP(AA249,'C PHASES'!$I$113:$J$125,2,FALSE)</f>
        <v>46204</v>
      </c>
    </row>
    <row r="250" spans="1:48" ht="15" customHeight="1" x14ac:dyDescent="0.25">
      <c r="A250" s="235"/>
      <c r="B250" s="227" t="str">
        <f t="shared" si="31"/>
        <v>B</v>
      </c>
      <c r="C250" s="227" t="s">
        <v>46</v>
      </c>
      <c r="D250" s="227" t="s">
        <v>1147</v>
      </c>
      <c r="E250" s="228">
        <v>2</v>
      </c>
      <c r="F250" s="101">
        <v>4</v>
      </c>
      <c r="G250" s="87" t="str">
        <f t="shared" si="39"/>
        <v>B424</v>
      </c>
      <c r="H250" s="87" t="s">
        <v>1294</v>
      </c>
      <c r="I250" s="89" t="str">
        <f>VLOOKUP(C250,'PREMIUM TABLES'!$G$107:$H$149,2,FALSE)</f>
        <v>C1</v>
      </c>
      <c r="J250" s="87">
        <v>126.99</v>
      </c>
      <c r="K250" s="87">
        <v>137.96303881797166</v>
      </c>
      <c r="L250" s="87">
        <v>155</v>
      </c>
      <c r="O250" s="87" t="s">
        <v>187</v>
      </c>
      <c r="P250" s="87" t="s">
        <v>190</v>
      </c>
      <c r="Q250" s="229" t="s">
        <v>197</v>
      </c>
      <c r="R250" s="87" t="str">
        <f>VLOOKUP(E250,'PREMIUM TABLES'!$F$214:$G$219,2,FALSE)</f>
        <v>SECOND</v>
      </c>
      <c r="S250" s="87" t="str" cm="1">
        <f t="array" ref="S250">IF(AND(L250&gt;0,L250&lt;90),"A",IF(AND(L250&gt;90,L250&lt;123),"B",IF(AND(L250&gt;122,L250&lt;159),"C",IF(AND(L250&gt;159,L250&lt;185),"D",IF(AND(L250&gt;185,L250&lt;230),"E",IF(AND(L250&gt;230,L250&lt;350),"F",NONE))))))</f>
        <v>C</v>
      </c>
      <c r="T250" s="230">
        <f>VLOOKUP(O250,'PREMIUM TABLES'!$G$165:$H$172,2,FALSE)</f>
        <v>0.08</v>
      </c>
      <c r="U250" s="230">
        <f>VLOOKUP(P250,'PREMIUM TABLES'!$G$208:$H$209,2,FALSE)</f>
        <v>2.5000000000000001E-2</v>
      </c>
      <c r="V250" s="230">
        <f>VLOOKUP(Q250,'PREMIUM TABLES'!$G$175:$H$195,2,FALSE)</f>
        <v>0.16</v>
      </c>
      <c r="W250" s="230">
        <f>VLOOKUP(R250,'PREMIUM TABLES'!$G$214:$H$219,2,FALSE)</f>
        <v>0.11</v>
      </c>
      <c r="X250" s="230">
        <f>VLOOKUP(S250,'PREMIUM TABLES'!$F$199:$H$205,3,FALSE)</f>
        <v>3.5000000000000003E-2</v>
      </c>
      <c r="Y250" s="231">
        <f t="shared" si="32"/>
        <v>0.41000000000000003</v>
      </c>
      <c r="Z250" s="231" t="str" cm="1">
        <f t="array" ref="Z250">IF(AND(Y250&gt;0,Y250&lt;0.5),"C",IF(AND(Y250&gt;=0.5,Y250&lt;0.73),"B",IF(AND(Y250&gt;=0.73,Y250&lt;0.98),"A",NONE)))</f>
        <v>C</v>
      </c>
      <c r="AA250" s="231" t="str">
        <f>VLOOKUP(G250,'ALL (R)'!$N$5:$R$862,5,FALSE)</f>
        <v>R 6</v>
      </c>
      <c r="AB250" s="232">
        <f>VLOOKUP(AA250,FACTS!$B$2:$L$14,10,FALSE)</f>
        <v>48450.000000000007</v>
      </c>
      <c r="AC250" s="232">
        <f>VLOOKUP(AA250,FACTS!$B$2:$L$14,11,FALSE)</f>
        <v>54150.000000000007</v>
      </c>
      <c r="AD250" s="232">
        <f>VLOOKUP(AA250,FACTS!$B$2:$N$14,13,FALSE)</f>
        <v>5700</v>
      </c>
      <c r="AE250" s="232">
        <f t="shared" si="33"/>
        <v>2337</v>
      </c>
      <c r="AF250" s="232">
        <f t="shared" si="34"/>
        <v>50787.000000000007</v>
      </c>
      <c r="AG250" s="232">
        <f>AF250*FACTS!$T$2</f>
        <v>16759.710000000003</v>
      </c>
      <c r="AH250" s="232">
        <f>Table1[[#This Row],[UNIT (BUILDING) RATE (SEMI FINISHED)]]+4500</f>
        <v>55287.000000000007</v>
      </c>
      <c r="AI250" s="232">
        <f>Table1[[#This Row],[UNIT (BUILDING) RATE (SEMI FINISHED)]]+7500</f>
        <v>58287.000000000007</v>
      </c>
      <c r="AJ250" s="232">
        <f t="shared" si="35"/>
        <v>7871985.0000000009</v>
      </c>
      <c r="AK250" s="232">
        <f>Table1[[#This Row],[UNIT (BUILDING) RATE (BASIC FINISH)]]*Table1[[#This Row],[Unit Selling Area]]</f>
        <v>8569485.0000000019</v>
      </c>
      <c r="AL250" s="232">
        <f>Table1[[#This Row],[UNIT (BUILDING) RATE (FULLY FINISH)]]*Table1[[#This Row],[Unit Selling Area]]</f>
        <v>9034485.0000000019</v>
      </c>
      <c r="AM250" s="232">
        <f t="shared" si="36"/>
        <v>0</v>
      </c>
      <c r="AN250" s="232">
        <f>(AM250+AJ250)*FACTS!$S$2</f>
        <v>669118.72500000009</v>
      </c>
      <c r="AO250" s="101">
        <f>VLOOKUP(S250,FACTS!$A$17:$C$23,3,FALSE)</f>
        <v>2</v>
      </c>
      <c r="AP250" s="232">
        <f>VLOOKUP(AA250,FACTS!$B$2:$J$14,9,FALSE)</f>
        <v>228000.00000000003</v>
      </c>
      <c r="AQ250" s="232">
        <f>Table1[[#This Row],[PARKING VALUE]]*1</f>
        <v>228000.00000000003</v>
      </c>
      <c r="AR250" s="232">
        <f t="shared" si="30"/>
        <v>8099985.0000000009</v>
      </c>
      <c r="AS250" s="440">
        <f>Table1[[#This Row],[TOTAL CARS VALUE]]+Table1[[#This Row],[UNIT (BUILDING) VALUE BASIC FINISHED]]+Table1[[#This Row],[UNIT (GARDEN) VALUE]]</f>
        <v>8797485.0000000019</v>
      </c>
      <c r="AT250" s="232">
        <f>Table1[[#This Row],[TOTAL CARS VALUE]]+Table1[[#This Row],[UNIT (GARDEN) VALUE]]+Table1[[#This Row],[UNIT (BUILDING) VALUE FULLY FINISHED]]</f>
        <v>9262485.0000000019</v>
      </c>
      <c r="AU250" s="233">
        <f>VLOOKUP(I250,'C PHASES'!$I$108:$J$110,2,FALSE)</f>
        <v>45839</v>
      </c>
      <c r="AV250" s="233">
        <f>VLOOKUP(AA250,'C PHASES'!$I$113:$J$125,2,FALSE)</f>
        <v>45658</v>
      </c>
    </row>
    <row r="251" spans="1:48" ht="15" customHeight="1" x14ac:dyDescent="0.25">
      <c r="A251" s="235"/>
      <c r="B251" s="227" t="str">
        <f t="shared" si="31"/>
        <v>B</v>
      </c>
      <c r="C251" s="227" t="s">
        <v>46</v>
      </c>
      <c r="D251" s="227" t="s">
        <v>1147</v>
      </c>
      <c r="E251" s="228">
        <v>3</v>
      </c>
      <c r="F251" s="101">
        <v>1</v>
      </c>
      <c r="G251" s="87" t="str">
        <f t="shared" si="39"/>
        <v>B431</v>
      </c>
      <c r="H251" s="87" t="s">
        <v>1294</v>
      </c>
      <c r="I251" s="89" t="str">
        <f>VLOOKUP(C251,'PREMIUM TABLES'!$G$107:$H$149,2,FALSE)</f>
        <v>C1</v>
      </c>
      <c r="J251" s="87">
        <v>131.88</v>
      </c>
      <c r="K251" s="87">
        <v>143.27557728414919</v>
      </c>
      <c r="L251" s="87">
        <v>161</v>
      </c>
      <c r="O251" s="87" t="s">
        <v>187</v>
      </c>
      <c r="P251" s="87" t="s">
        <v>190</v>
      </c>
      <c r="Q251" s="229" t="s">
        <v>197</v>
      </c>
      <c r="R251" s="87" t="str">
        <f>VLOOKUP(E251,'PREMIUM TABLES'!$F$214:$G$219,2,FALSE)</f>
        <v>THIRD</v>
      </c>
      <c r="S251" s="87" t="str" cm="1">
        <f t="array" ref="S251">IF(AND(L251&gt;0,L251&lt;90),"A",IF(AND(L251&gt;90,L251&lt;123),"B",IF(AND(L251&gt;122,L251&lt;159),"C",IF(AND(L251&gt;159,L251&lt;185),"D",IF(AND(L251&gt;185,L251&lt;230),"E",IF(AND(L251&gt;230,L251&lt;350),"F",NONE))))))</f>
        <v>D</v>
      </c>
      <c r="T251" s="230">
        <f>VLOOKUP(O251,'PREMIUM TABLES'!$G$165:$H$172,2,FALSE)</f>
        <v>0.08</v>
      </c>
      <c r="U251" s="230">
        <f>VLOOKUP(P251,'PREMIUM TABLES'!$G$208:$H$209,2,FALSE)</f>
        <v>2.5000000000000001E-2</v>
      </c>
      <c r="V251" s="230">
        <f>VLOOKUP(Q251,'PREMIUM TABLES'!$G$175:$H$195,2,FALSE)</f>
        <v>0.16</v>
      </c>
      <c r="W251" s="230">
        <f>VLOOKUP(R251,'PREMIUM TABLES'!$G$214:$H$219,2,FALSE)</f>
        <v>0.15</v>
      </c>
      <c r="X251" s="230">
        <f>VLOOKUP(S251,'PREMIUM TABLES'!$F$199:$H$205,3,FALSE)</f>
        <v>2.5000000000000001E-2</v>
      </c>
      <c r="Y251" s="231">
        <f t="shared" si="32"/>
        <v>0.44000000000000006</v>
      </c>
      <c r="Z251" s="231" t="str" cm="1">
        <f t="array" ref="Z251">IF(AND(Y251&gt;0,Y251&lt;0.5),"C",IF(AND(Y251&gt;=0.5,Y251&lt;0.73),"B",IF(AND(Y251&gt;=0.73,Y251&lt;0.98),"A",NONE)))</f>
        <v>C</v>
      </c>
      <c r="AA251" s="231" t="str">
        <f>VLOOKUP(G251,'ALL (R)'!$N$5:$R$862,5,FALSE)</f>
        <v>R 8</v>
      </c>
      <c r="AB251" s="232">
        <f>VLOOKUP(AA251,FACTS!$B$2:$L$14,10,FALSE)</f>
        <v>51850</v>
      </c>
      <c r="AC251" s="232">
        <f>VLOOKUP(AA251,FACTS!$B$2:$L$14,11,FALSE)</f>
        <v>57950</v>
      </c>
      <c r="AD251" s="232">
        <f>VLOOKUP(AA251,FACTS!$B$2:$N$14,13,FALSE)</f>
        <v>6100</v>
      </c>
      <c r="AE251" s="232">
        <f t="shared" si="33"/>
        <v>2684.0000000000005</v>
      </c>
      <c r="AF251" s="232">
        <f t="shared" si="34"/>
        <v>54534</v>
      </c>
      <c r="AG251" s="232">
        <f>AF251*FACTS!$T$2</f>
        <v>17996.22</v>
      </c>
      <c r="AH251" s="232">
        <f>Table1[[#This Row],[UNIT (BUILDING) RATE (SEMI FINISHED)]]+4500</f>
        <v>59034</v>
      </c>
      <c r="AI251" s="232">
        <f>Table1[[#This Row],[UNIT (BUILDING) RATE (SEMI FINISHED)]]+7500</f>
        <v>62034</v>
      </c>
      <c r="AJ251" s="232">
        <f t="shared" si="35"/>
        <v>8779974</v>
      </c>
      <c r="AK251" s="232">
        <f>Table1[[#This Row],[UNIT (BUILDING) RATE (BASIC FINISH)]]*Table1[[#This Row],[Unit Selling Area]]</f>
        <v>9504474</v>
      </c>
      <c r="AL251" s="232">
        <f>Table1[[#This Row],[UNIT (BUILDING) RATE (FULLY FINISH)]]*Table1[[#This Row],[Unit Selling Area]]</f>
        <v>9987474</v>
      </c>
      <c r="AM251" s="232">
        <f t="shared" si="36"/>
        <v>0</v>
      </c>
      <c r="AN251" s="232">
        <f>(AM251+AJ251)*FACTS!$S$2</f>
        <v>746297.79</v>
      </c>
      <c r="AO251" s="101">
        <f>VLOOKUP(S251,FACTS!$A$17:$C$23,3,FALSE)</f>
        <v>2</v>
      </c>
      <c r="AP251" s="232">
        <f>VLOOKUP(AA251,FACTS!$B$2:$J$14,9,FALSE)</f>
        <v>244000</v>
      </c>
      <c r="AQ251" s="232">
        <f>Table1[[#This Row],[PARKING VALUE]]*1</f>
        <v>244000</v>
      </c>
      <c r="AR251" s="232">
        <f t="shared" si="30"/>
        <v>9023974</v>
      </c>
      <c r="AS251" s="440">
        <f>Table1[[#This Row],[TOTAL CARS VALUE]]+Table1[[#This Row],[UNIT (BUILDING) VALUE BASIC FINISHED]]+Table1[[#This Row],[UNIT (GARDEN) VALUE]]</f>
        <v>9748474</v>
      </c>
      <c r="AT251" s="232">
        <f>Table1[[#This Row],[TOTAL CARS VALUE]]+Table1[[#This Row],[UNIT (GARDEN) VALUE]]+Table1[[#This Row],[UNIT (BUILDING) VALUE FULLY FINISHED]]</f>
        <v>10231474</v>
      </c>
      <c r="AU251" s="233">
        <f>VLOOKUP(I251,'C PHASES'!$I$108:$J$110,2,FALSE)</f>
        <v>45839</v>
      </c>
      <c r="AV251" s="233">
        <f>VLOOKUP(AA251,'C PHASES'!$I$113:$J$125,2,FALSE)</f>
        <v>45839</v>
      </c>
    </row>
    <row r="252" spans="1:48" ht="15" customHeight="1" x14ac:dyDescent="0.25">
      <c r="A252" s="235"/>
      <c r="B252" s="227" t="str">
        <f t="shared" si="31"/>
        <v>B</v>
      </c>
      <c r="C252" s="227" t="s">
        <v>46</v>
      </c>
      <c r="D252" s="227" t="s">
        <v>1147</v>
      </c>
      <c r="E252" s="228">
        <v>3</v>
      </c>
      <c r="F252" s="101">
        <v>2</v>
      </c>
      <c r="G252" s="87" t="str">
        <f t="shared" si="39"/>
        <v>B432</v>
      </c>
      <c r="H252" s="87" t="s">
        <v>1294</v>
      </c>
      <c r="I252" s="89" t="str">
        <f>VLOOKUP(C252,'PREMIUM TABLES'!$G$107:$H$149,2,FALSE)</f>
        <v>C1</v>
      </c>
      <c r="J252" s="87">
        <v>131.02000000000001</v>
      </c>
      <c r="K252" s="87">
        <v>142.34126581565991</v>
      </c>
      <c r="L252" s="87">
        <v>160</v>
      </c>
      <c r="O252" s="87" t="s">
        <v>180</v>
      </c>
      <c r="P252" s="87" t="s">
        <v>190</v>
      </c>
      <c r="Q252" s="229" t="s">
        <v>209</v>
      </c>
      <c r="R252" s="87" t="str">
        <f>VLOOKUP(E252,'PREMIUM TABLES'!$F$214:$G$219,2,FALSE)</f>
        <v>THIRD</v>
      </c>
      <c r="S252" s="87" t="str" cm="1">
        <f t="array" ref="S252">IF(AND(L252&gt;0,L252&lt;90),"A",IF(AND(L252&gt;90,L252&lt;123),"B",IF(AND(L252&gt;122,L252&lt;159),"C",IF(AND(L252&gt;159,L252&lt;185),"D",IF(AND(L252&gt;185,L252&lt;230),"E",IF(AND(L252&gt;230,L252&lt;350),"F",NONE))))))</f>
        <v>D</v>
      </c>
      <c r="T252" s="230">
        <f>VLOOKUP(O252,'PREMIUM TABLES'!$G$165:$H$172,2,FALSE)</f>
        <v>0.13</v>
      </c>
      <c r="U252" s="230">
        <f>VLOOKUP(P252,'PREMIUM TABLES'!$G$208:$H$209,2,FALSE)</f>
        <v>2.5000000000000001E-2</v>
      </c>
      <c r="V252" s="230">
        <f>VLOOKUP(Q252,'PREMIUM TABLES'!$G$175:$H$195,2,FALSE)</f>
        <v>0.6</v>
      </c>
      <c r="W252" s="230">
        <f>VLOOKUP(R252,'PREMIUM TABLES'!$G$214:$H$219,2,FALSE)</f>
        <v>0.15</v>
      </c>
      <c r="X252" s="230">
        <f>VLOOKUP(S252,'PREMIUM TABLES'!$F$199:$H$205,3,FALSE)</f>
        <v>2.5000000000000001E-2</v>
      </c>
      <c r="Y252" s="231">
        <f t="shared" si="32"/>
        <v>0.93</v>
      </c>
      <c r="Z252" s="231" t="str" cm="1">
        <f t="array" ref="Z252">IF(AND(Y252&gt;0,Y252&lt;0.5),"C",IF(AND(Y252&gt;=0.5,Y252&lt;0.73),"B",IF(AND(Y252&gt;=0.73,Y252&lt;0.98),"A",NONE)))</f>
        <v>A</v>
      </c>
      <c r="AA252" s="231" t="str">
        <f>VLOOKUP(G252,'ALL (R)'!$N$5:$R$862,5,FALSE)</f>
        <v>R 12</v>
      </c>
      <c r="AB252" s="232">
        <f>VLOOKUP(AA252,FACTS!$B$2:$L$14,10,FALSE)</f>
        <v>61625</v>
      </c>
      <c r="AC252" s="232">
        <f>VLOOKUP(AA252,FACTS!$B$2:$L$14,11,FALSE)</f>
        <v>68875</v>
      </c>
      <c r="AD252" s="232">
        <f>VLOOKUP(AA252,FACTS!$B$2:$N$14,13,FALSE)</f>
        <v>7250</v>
      </c>
      <c r="AE252" s="232">
        <f t="shared" si="33"/>
        <v>6742.5</v>
      </c>
      <c r="AF252" s="232">
        <f t="shared" si="34"/>
        <v>68367.5</v>
      </c>
      <c r="AG252" s="232">
        <f>AF252*FACTS!$T$2</f>
        <v>22561.275000000001</v>
      </c>
      <c r="AH252" s="232">
        <f>Table1[[#This Row],[UNIT (BUILDING) RATE (SEMI FINISHED)]]+4500</f>
        <v>72867.5</v>
      </c>
      <c r="AI252" s="232">
        <f>Table1[[#This Row],[UNIT (BUILDING) RATE (SEMI FINISHED)]]+7500</f>
        <v>75867.5</v>
      </c>
      <c r="AJ252" s="232">
        <f t="shared" si="35"/>
        <v>10938800</v>
      </c>
      <c r="AK252" s="232">
        <f>Table1[[#This Row],[UNIT (BUILDING) RATE (BASIC FINISH)]]*Table1[[#This Row],[Unit Selling Area]]</f>
        <v>11658800</v>
      </c>
      <c r="AL252" s="232">
        <f>Table1[[#This Row],[UNIT (BUILDING) RATE (FULLY FINISH)]]*Table1[[#This Row],[Unit Selling Area]]</f>
        <v>12138800</v>
      </c>
      <c r="AM252" s="232">
        <f t="shared" si="36"/>
        <v>0</v>
      </c>
      <c r="AN252" s="232">
        <f>(AM252+AJ252)*FACTS!$S$2</f>
        <v>929798.00000000012</v>
      </c>
      <c r="AO252" s="101">
        <f>VLOOKUP(S252,FACTS!$A$17:$C$23,3,FALSE)</f>
        <v>2</v>
      </c>
      <c r="AP252" s="232">
        <f>VLOOKUP(AA252,FACTS!$B$2:$J$14,9,FALSE)</f>
        <v>290000</v>
      </c>
      <c r="AQ252" s="232">
        <f>Table1[[#This Row],[PARKING VALUE]]*1</f>
        <v>290000</v>
      </c>
      <c r="AR252" s="232">
        <f t="shared" si="30"/>
        <v>11228800</v>
      </c>
      <c r="AS252" s="440">
        <f>Table1[[#This Row],[TOTAL CARS VALUE]]+Table1[[#This Row],[UNIT (BUILDING) VALUE BASIC FINISHED]]+Table1[[#This Row],[UNIT (GARDEN) VALUE]]</f>
        <v>11948800</v>
      </c>
      <c r="AT252" s="232">
        <f>Table1[[#This Row],[TOTAL CARS VALUE]]+Table1[[#This Row],[UNIT (GARDEN) VALUE]]+Table1[[#This Row],[UNIT (BUILDING) VALUE FULLY FINISHED]]</f>
        <v>12428800</v>
      </c>
      <c r="AU252" s="233">
        <f>VLOOKUP(I252,'C PHASES'!$I$108:$J$110,2,FALSE)</f>
        <v>45839</v>
      </c>
      <c r="AV252" s="233">
        <f>VLOOKUP(AA252,'C PHASES'!$I$113:$J$125,2,FALSE)</f>
        <v>46204</v>
      </c>
    </row>
    <row r="253" spans="1:48" ht="15" customHeight="1" x14ac:dyDescent="0.25">
      <c r="A253" s="235"/>
      <c r="B253" s="227" t="str">
        <f t="shared" si="31"/>
        <v>B</v>
      </c>
      <c r="C253" s="227" t="s">
        <v>46</v>
      </c>
      <c r="D253" s="227" t="s">
        <v>1147</v>
      </c>
      <c r="E253" s="228">
        <v>3</v>
      </c>
      <c r="F253" s="101">
        <v>3</v>
      </c>
      <c r="G253" s="87" t="str">
        <f t="shared" si="39"/>
        <v>B433</v>
      </c>
      <c r="H253" s="87" t="s">
        <v>1294</v>
      </c>
      <c r="I253" s="89" t="str">
        <f>VLOOKUP(C253,'PREMIUM TABLES'!$G$107:$H$149,2,FALSE)</f>
        <v>C1</v>
      </c>
      <c r="J253" s="87">
        <v>126.87</v>
      </c>
      <c r="K253" s="87">
        <v>137.83266977585691</v>
      </c>
      <c r="L253" s="87">
        <v>155</v>
      </c>
      <c r="O253" s="87" t="s">
        <v>180</v>
      </c>
      <c r="P253" s="87" t="s">
        <v>190</v>
      </c>
      <c r="Q253" s="229" t="s">
        <v>209</v>
      </c>
      <c r="R253" s="87" t="str">
        <f>VLOOKUP(E253,'PREMIUM TABLES'!$F$214:$G$219,2,FALSE)</f>
        <v>THIRD</v>
      </c>
      <c r="S253" s="87" t="str" cm="1">
        <f t="array" ref="S253">IF(AND(L253&gt;0,L253&lt;90),"A",IF(AND(L253&gt;90,L253&lt;123),"B",IF(AND(L253&gt;122,L253&lt;159),"C",IF(AND(L253&gt;159,L253&lt;185),"D",IF(AND(L253&gt;185,L253&lt;230),"E",IF(AND(L253&gt;230,L253&lt;350),"F",NONE))))))</f>
        <v>C</v>
      </c>
      <c r="T253" s="230">
        <f>VLOOKUP(O253,'PREMIUM TABLES'!$G$165:$H$172,2,FALSE)</f>
        <v>0.13</v>
      </c>
      <c r="U253" s="230">
        <f>VLOOKUP(P253,'PREMIUM TABLES'!$G$208:$H$209,2,FALSE)</f>
        <v>2.5000000000000001E-2</v>
      </c>
      <c r="V253" s="230">
        <f>VLOOKUP(Q253,'PREMIUM TABLES'!$G$175:$H$195,2,FALSE)</f>
        <v>0.6</v>
      </c>
      <c r="W253" s="230">
        <f>VLOOKUP(R253,'PREMIUM TABLES'!$G$214:$H$219,2,FALSE)</f>
        <v>0.15</v>
      </c>
      <c r="X253" s="230">
        <f>VLOOKUP(S253,'PREMIUM TABLES'!$F$199:$H$205,3,FALSE)</f>
        <v>3.5000000000000003E-2</v>
      </c>
      <c r="Y253" s="231">
        <f t="shared" si="32"/>
        <v>0.94000000000000006</v>
      </c>
      <c r="Z253" s="231" t="str" cm="1">
        <f t="array" ref="Z253">IF(AND(Y253&gt;0,Y253&lt;0.5),"C",IF(AND(Y253&gt;=0.5,Y253&lt;0.73),"B",IF(AND(Y253&gt;=0.73,Y253&lt;0.98),"A",NONE)))</f>
        <v>A</v>
      </c>
      <c r="AA253" s="231" t="str">
        <f>VLOOKUP(G253,'ALL (R)'!$N$5:$R$862,5,FALSE)</f>
        <v>R 12</v>
      </c>
      <c r="AB253" s="232">
        <f>VLOOKUP(AA253,FACTS!$B$2:$L$14,10,FALSE)</f>
        <v>61625</v>
      </c>
      <c r="AC253" s="232">
        <f>VLOOKUP(AA253,FACTS!$B$2:$L$14,11,FALSE)</f>
        <v>68875</v>
      </c>
      <c r="AD253" s="232">
        <f>VLOOKUP(AA253,FACTS!$B$2:$N$14,13,FALSE)</f>
        <v>7250</v>
      </c>
      <c r="AE253" s="232">
        <f t="shared" si="33"/>
        <v>6815</v>
      </c>
      <c r="AF253" s="232">
        <f t="shared" si="34"/>
        <v>68440</v>
      </c>
      <c r="AG253" s="232">
        <f>AF253*FACTS!$T$2</f>
        <v>22585.200000000001</v>
      </c>
      <c r="AH253" s="232">
        <f>Table1[[#This Row],[UNIT (BUILDING) RATE (SEMI FINISHED)]]+4500</f>
        <v>72940</v>
      </c>
      <c r="AI253" s="232">
        <f>Table1[[#This Row],[UNIT (BUILDING) RATE (SEMI FINISHED)]]+7500</f>
        <v>75940</v>
      </c>
      <c r="AJ253" s="232">
        <f t="shared" si="35"/>
        <v>10608200</v>
      </c>
      <c r="AK253" s="232">
        <f>Table1[[#This Row],[UNIT (BUILDING) RATE (BASIC FINISH)]]*Table1[[#This Row],[Unit Selling Area]]</f>
        <v>11305700</v>
      </c>
      <c r="AL253" s="232">
        <f>Table1[[#This Row],[UNIT (BUILDING) RATE (FULLY FINISH)]]*Table1[[#This Row],[Unit Selling Area]]</f>
        <v>11770700</v>
      </c>
      <c r="AM253" s="232">
        <f t="shared" si="36"/>
        <v>0</v>
      </c>
      <c r="AN253" s="232">
        <f>(AM253+AJ253)*FACTS!$S$2</f>
        <v>901697.00000000012</v>
      </c>
      <c r="AO253" s="101">
        <f>VLOOKUP(S253,FACTS!$A$17:$C$23,3,FALSE)</f>
        <v>2</v>
      </c>
      <c r="AP253" s="232">
        <f>VLOOKUP(AA253,FACTS!$B$2:$J$14,9,FALSE)</f>
        <v>290000</v>
      </c>
      <c r="AQ253" s="232">
        <f>Table1[[#This Row],[PARKING VALUE]]*1</f>
        <v>290000</v>
      </c>
      <c r="AR253" s="232">
        <f t="shared" si="30"/>
        <v>10898200</v>
      </c>
      <c r="AS253" s="440">
        <f>Table1[[#This Row],[TOTAL CARS VALUE]]+Table1[[#This Row],[UNIT (BUILDING) VALUE BASIC FINISHED]]+Table1[[#This Row],[UNIT (GARDEN) VALUE]]</f>
        <v>11595700</v>
      </c>
      <c r="AT253" s="232">
        <f>Table1[[#This Row],[TOTAL CARS VALUE]]+Table1[[#This Row],[UNIT (GARDEN) VALUE]]+Table1[[#This Row],[UNIT (BUILDING) VALUE FULLY FINISHED]]</f>
        <v>12060700</v>
      </c>
      <c r="AU253" s="233">
        <f>VLOOKUP(I253,'C PHASES'!$I$108:$J$110,2,FALSE)</f>
        <v>45839</v>
      </c>
      <c r="AV253" s="233">
        <f>VLOOKUP(AA253,'C PHASES'!$I$113:$J$125,2,FALSE)</f>
        <v>46204</v>
      </c>
    </row>
    <row r="254" spans="1:48" ht="15" customHeight="1" x14ac:dyDescent="0.25">
      <c r="A254" s="235"/>
      <c r="B254" s="227" t="str">
        <f t="shared" si="31"/>
        <v>B</v>
      </c>
      <c r="C254" s="227" t="s">
        <v>46</v>
      </c>
      <c r="D254" s="227" t="s">
        <v>1147</v>
      </c>
      <c r="E254" s="228">
        <v>3</v>
      </c>
      <c r="F254" s="101">
        <v>4</v>
      </c>
      <c r="G254" s="87" t="str">
        <f t="shared" si="39"/>
        <v>B434</v>
      </c>
      <c r="H254" s="87" t="s">
        <v>1294</v>
      </c>
      <c r="I254" s="89" t="str">
        <f>VLOOKUP(C254,'PREMIUM TABLES'!$G$107:$H$149,2,FALSE)</f>
        <v>C1</v>
      </c>
      <c r="J254" s="87">
        <v>127.41</v>
      </c>
      <c r="K254" s="87">
        <v>138.41933046537343</v>
      </c>
      <c r="L254" s="87">
        <v>155</v>
      </c>
      <c r="O254" s="87" t="s">
        <v>187</v>
      </c>
      <c r="P254" s="87" t="s">
        <v>190</v>
      </c>
      <c r="Q254" s="229" t="s">
        <v>197</v>
      </c>
      <c r="R254" s="87" t="str">
        <f>VLOOKUP(E254,'PREMIUM TABLES'!$F$214:$G$219,2,FALSE)</f>
        <v>THIRD</v>
      </c>
      <c r="S254" s="87" t="str" cm="1">
        <f t="array" ref="S254">IF(AND(L254&gt;0,L254&lt;90),"A",IF(AND(L254&gt;90,L254&lt;123),"B",IF(AND(L254&gt;122,L254&lt;159),"C",IF(AND(L254&gt;159,L254&lt;185),"D",IF(AND(L254&gt;185,L254&lt;230),"E",IF(AND(L254&gt;230,L254&lt;350),"F",NONE))))))</f>
        <v>C</v>
      </c>
      <c r="T254" s="230">
        <f>VLOOKUP(O254,'PREMIUM TABLES'!$G$165:$H$172,2,FALSE)</f>
        <v>0.08</v>
      </c>
      <c r="U254" s="230">
        <f>VLOOKUP(P254,'PREMIUM TABLES'!$G$208:$H$209,2,FALSE)</f>
        <v>2.5000000000000001E-2</v>
      </c>
      <c r="V254" s="230">
        <f>VLOOKUP(Q254,'PREMIUM TABLES'!$G$175:$H$195,2,FALSE)</f>
        <v>0.16</v>
      </c>
      <c r="W254" s="230">
        <f>VLOOKUP(R254,'PREMIUM TABLES'!$G$214:$H$219,2,FALSE)</f>
        <v>0.15</v>
      </c>
      <c r="X254" s="230">
        <f>VLOOKUP(S254,'PREMIUM TABLES'!$F$199:$H$205,3,FALSE)</f>
        <v>3.5000000000000003E-2</v>
      </c>
      <c r="Y254" s="231">
        <f t="shared" si="32"/>
        <v>0.45000000000000007</v>
      </c>
      <c r="Z254" s="231" t="str" cm="1">
        <f t="array" ref="Z254">IF(AND(Y254&gt;0,Y254&lt;0.5),"C",IF(AND(Y254&gt;=0.5,Y254&lt;0.73),"B",IF(AND(Y254&gt;=0.73,Y254&lt;0.98),"A",NONE)))</f>
        <v>C</v>
      </c>
      <c r="AA254" s="231" t="str">
        <f>VLOOKUP(G254,'ALL (R)'!$N$5:$R$862,5,FALSE)</f>
        <v>R 9</v>
      </c>
      <c r="AB254" s="232">
        <f>VLOOKUP(AA254,FACTS!$B$2:$L$14,10,FALSE)</f>
        <v>53550</v>
      </c>
      <c r="AC254" s="232">
        <f>VLOOKUP(AA254,FACTS!$B$2:$L$14,11,FALSE)</f>
        <v>59850</v>
      </c>
      <c r="AD254" s="232">
        <f>VLOOKUP(AA254,FACTS!$B$2:$N$14,13,FALSE)</f>
        <v>6300</v>
      </c>
      <c r="AE254" s="232">
        <f t="shared" si="33"/>
        <v>2835.0000000000005</v>
      </c>
      <c r="AF254" s="232">
        <f t="shared" si="34"/>
        <v>56385</v>
      </c>
      <c r="AG254" s="232">
        <f>AF254*FACTS!$T$2</f>
        <v>18607.05</v>
      </c>
      <c r="AH254" s="232">
        <f>Table1[[#This Row],[UNIT (BUILDING) RATE (SEMI FINISHED)]]+4500</f>
        <v>60885</v>
      </c>
      <c r="AI254" s="232">
        <f>Table1[[#This Row],[UNIT (BUILDING) RATE (SEMI FINISHED)]]+7500</f>
        <v>63885</v>
      </c>
      <c r="AJ254" s="232">
        <f t="shared" si="35"/>
        <v>8739675</v>
      </c>
      <c r="AK254" s="232">
        <f>Table1[[#This Row],[UNIT (BUILDING) RATE (BASIC FINISH)]]*Table1[[#This Row],[Unit Selling Area]]</f>
        <v>9437175</v>
      </c>
      <c r="AL254" s="232">
        <f>Table1[[#This Row],[UNIT (BUILDING) RATE (FULLY FINISH)]]*Table1[[#This Row],[Unit Selling Area]]</f>
        <v>9902175</v>
      </c>
      <c r="AM254" s="232">
        <f t="shared" si="36"/>
        <v>0</v>
      </c>
      <c r="AN254" s="232">
        <f>(AM254+AJ254)*FACTS!$S$2</f>
        <v>742872.375</v>
      </c>
      <c r="AO254" s="101">
        <f>VLOOKUP(S254,FACTS!$A$17:$C$23,3,FALSE)</f>
        <v>2</v>
      </c>
      <c r="AP254" s="232">
        <f>VLOOKUP(AA254,FACTS!$B$2:$J$14,9,FALSE)</f>
        <v>252000</v>
      </c>
      <c r="AQ254" s="232">
        <f>Table1[[#This Row],[PARKING VALUE]]*1</f>
        <v>252000</v>
      </c>
      <c r="AR254" s="232">
        <f t="shared" si="30"/>
        <v>8991675</v>
      </c>
      <c r="AS254" s="440">
        <f>Table1[[#This Row],[TOTAL CARS VALUE]]+Table1[[#This Row],[UNIT (BUILDING) VALUE BASIC FINISHED]]+Table1[[#This Row],[UNIT (GARDEN) VALUE]]</f>
        <v>9689175</v>
      </c>
      <c r="AT254" s="232">
        <f>Table1[[#This Row],[TOTAL CARS VALUE]]+Table1[[#This Row],[UNIT (GARDEN) VALUE]]+Table1[[#This Row],[UNIT (BUILDING) VALUE FULLY FINISHED]]</f>
        <v>10154175</v>
      </c>
      <c r="AU254" s="233">
        <f>VLOOKUP(I254,'C PHASES'!$I$108:$J$110,2,FALSE)</f>
        <v>45839</v>
      </c>
      <c r="AV254" s="233">
        <f>VLOOKUP(AA254,'C PHASES'!$I$113:$J$125,2,FALSE)</f>
        <v>45931</v>
      </c>
    </row>
    <row r="255" spans="1:48" ht="15" customHeight="1" x14ac:dyDescent="0.25">
      <c r="A255" s="235"/>
      <c r="B255" s="227" t="str">
        <f t="shared" si="31"/>
        <v>B</v>
      </c>
      <c r="C255" s="227" t="s">
        <v>46</v>
      </c>
      <c r="D255" s="227" t="s">
        <v>1147</v>
      </c>
      <c r="E255" s="228">
        <v>4</v>
      </c>
      <c r="F255" s="101">
        <v>1</v>
      </c>
      <c r="G255" s="87" t="str">
        <f t="shared" si="39"/>
        <v>B441</v>
      </c>
      <c r="H255" s="87" t="s">
        <v>1294</v>
      </c>
      <c r="I255" s="89" t="str">
        <f>VLOOKUP(C255,'PREMIUM TABLES'!$G$107:$H$149,2,FALSE)</f>
        <v>C1</v>
      </c>
      <c r="J255" s="87">
        <v>129.59</v>
      </c>
      <c r="K255" s="87">
        <v>140.78770139712537</v>
      </c>
      <c r="L255" s="87">
        <v>158</v>
      </c>
      <c r="O255" s="87" t="s">
        <v>187</v>
      </c>
      <c r="P255" s="87" t="s">
        <v>190</v>
      </c>
      <c r="Q255" s="229" t="s">
        <v>197</v>
      </c>
      <c r="R255" s="87" t="str">
        <f>VLOOKUP(E255,'PREMIUM TABLES'!$F$214:$G$219,2,FALSE)</f>
        <v>FORTH</v>
      </c>
      <c r="S255" s="87" t="str" cm="1">
        <f t="array" ref="S255">IF(AND(L255&gt;0,L255&lt;90),"A",IF(AND(L255&gt;90,L255&lt;123),"B",IF(AND(L255&gt;122,L255&lt;159),"C",IF(AND(L255&gt;159,L255&lt;185),"D",IF(AND(L255&gt;185,L255&lt;230),"E",IF(AND(L255&gt;230,L255&lt;350),"F",NONE))))))</f>
        <v>C</v>
      </c>
      <c r="T255" s="230">
        <f>VLOOKUP(O255,'PREMIUM TABLES'!$G$165:$H$172,2,FALSE)</f>
        <v>0.08</v>
      </c>
      <c r="U255" s="230">
        <f>VLOOKUP(P255,'PREMIUM TABLES'!$G$208:$H$209,2,FALSE)</f>
        <v>2.5000000000000001E-2</v>
      </c>
      <c r="V255" s="230">
        <f>VLOOKUP(Q255,'PREMIUM TABLES'!$G$175:$H$195,2,FALSE)</f>
        <v>0.16</v>
      </c>
      <c r="W255" s="230">
        <f>VLOOKUP(R255,'PREMIUM TABLES'!$G$214:$H$219,2,FALSE)</f>
        <v>0.06</v>
      </c>
      <c r="X255" s="230">
        <f>VLOOKUP(S255,'PREMIUM TABLES'!$F$199:$H$205,3,FALSE)</f>
        <v>3.5000000000000003E-2</v>
      </c>
      <c r="Y255" s="231">
        <f t="shared" si="32"/>
        <v>0.36</v>
      </c>
      <c r="Z255" s="231" t="str" cm="1">
        <f t="array" ref="Z255">IF(AND(Y255&gt;0,Y255&lt;0.5),"C",IF(AND(Y255&gt;=0.5,Y255&lt;0.73),"B",IF(AND(Y255&gt;=0.73,Y255&lt;0.98),"A",NONE)))</f>
        <v>C</v>
      </c>
      <c r="AA255" s="231" t="str">
        <f>VLOOKUP(G255,'ALL (R)'!$N$5:$R$862,5,FALSE)</f>
        <v>R 1</v>
      </c>
      <c r="AB255" s="232">
        <f>VLOOKUP(AA255,FACTS!$B$2:$L$14,10,FALSE)</f>
        <v>42500</v>
      </c>
      <c r="AC255" s="232">
        <f>VLOOKUP(AA255,FACTS!$B$2:$L$14,11,FALSE)</f>
        <v>47500</v>
      </c>
      <c r="AD255" s="232">
        <f>VLOOKUP(AA255,FACTS!$B$2:$N$14,13,FALSE)</f>
        <v>5000</v>
      </c>
      <c r="AE255" s="232">
        <f t="shared" si="33"/>
        <v>1800</v>
      </c>
      <c r="AF255" s="232">
        <f t="shared" si="34"/>
        <v>44300</v>
      </c>
      <c r="AG255" s="232">
        <f>AF255*FACTS!$T$2</f>
        <v>14619</v>
      </c>
      <c r="AH255" s="232">
        <f>Table1[[#This Row],[UNIT (BUILDING) RATE (SEMI FINISHED)]]+4500</f>
        <v>48800</v>
      </c>
      <c r="AI255" s="232">
        <f>Table1[[#This Row],[UNIT (BUILDING) RATE (SEMI FINISHED)]]+7500</f>
        <v>51800</v>
      </c>
      <c r="AJ255" s="232">
        <f t="shared" si="35"/>
        <v>6999400</v>
      </c>
      <c r="AK255" s="232">
        <f>Table1[[#This Row],[UNIT (BUILDING) RATE (BASIC FINISH)]]*Table1[[#This Row],[Unit Selling Area]]</f>
        <v>7710400</v>
      </c>
      <c r="AL255" s="232">
        <f>Table1[[#This Row],[UNIT (BUILDING) RATE (FULLY FINISH)]]*Table1[[#This Row],[Unit Selling Area]]</f>
        <v>8184400</v>
      </c>
      <c r="AM255" s="232">
        <f t="shared" si="36"/>
        <v>0</v>
      </c>
      <c r="AN255" s="232">
        <f>(AM255+AJ255)*FACTS!$S$2</f>
        <v>594949</v>
      </c>
      <c r="AO255" s="101">
        <f>VLOOKUP(S255,FACTS!$A$17:$C$23,3,FALSE)</f>
        <v>2</v>
      </c>
      <c r="AP255" s="232">
        <f>VLOOKUP(AA255,FACTS!$B$2:$J$14,9,FALSE)</f>
        <v>200000</v>
      </c>
      <c r="AQ255" s="232">
        <f>Table1[[#This Row],[PARKING VALUE]]*1</f>
        <v>200000</v>
      </c>
      <c r="AR255" s="232">
        <f t="shared" si="30"/>
        <v>7199400</v>
      </c>
      <c r="AS255" s="440">
        <f>Table1[[#This Row],[TOTAL CARS VALUE]]+Table1[[#This Row],[UNIT (BUILDING) VALUE BASIC FINISHED]]+Table1[[#This Row],[UNIT (GARDEN) VALUE]]</f>
        <v>7910400</v>
      </c>
      <c r="AT255" s="232">
        <f>Table1[[#This Row],[TOTAL CARS VALUE]]+Table1[[#This Row],[UNIT (GARDEN) VALUE]]+Table1[[#This Row],[UNIT (BUILDING) VALUE FULLY FINISHED]]</f>
        <v>8384400</v>
      </c>
      <c r="AU255" s="233">
        <f>VLOOKUP(I255,'C PHASES'!$I$108:$J$110,2,FALSE)</f>
        <v>45839</v>
      </c>
      <c r="AV255" s="233">
        <f>VLOOKUP(AA255,'C PHASES'!$I$113:$J$125,2,FALSE)</f>
        <v>45170</v>
      </c>
    </row>
    <row r="256" spans="1:48" ht="15" customHeight="1" x14ac:dyDescent="0.25">
      <c r="A256" s="235"/>
      <c r="B256" s="227" t="str">
        <f t="shared" si="31"/>
        <v>B</v>
      </c>
      <c r="C256" s="227" t="s">
        <v>46</v>
      </c>
      <c r="D256" s="227" t="s">
        <v>1147</v>
      </c>
      <c r="E256" s="228">
        <v>4</v>
      </c>
      <c r="F256" s="101">
        <v>2</v>
      </c>
      <c r="G256" s="87" t="str">
        <f t="shared" si="39"/>
        <v>B442</v>
      </c>
      <c r="H256" s="87" t="s">
        <v>1294</v>
      </c>
      <c r="I256" s="89" t="str">
        <f>VLOOKUP(C256,'PREMIUM TABLES'!$G$107:$H$149,2,FALSE)</f>
        <v>C1</v>
      </c>
      <c r="J256" s="87">
        <v>131.72</v>
      </c>
      <c r="K256" s="87">
        <v>143.10175189466281</v>
      </c>
      <c r="L256" s="87">
        <v>161</v>
      </c>
      <c r="O256" s="87" t="s">
        <v>180</v>
      </c>
      <c r="P256" s="87" t="s">
        <v>190</v>
      </c>
      <c r="Q256" s="229" t="s">
        <v>209</v>
      </c>
      <c r="R256" s="87" t="str">
        <f>VLOOKUP(E256,'PREMIUM TABLES'!$F$214:$G$219,2,FALSE)</f>
        <v>FORTH</v>
      </c>
      <c r="S256" s="87" t="str" cm="1">
        <f t="array" ref="S256">IF(AND(L256&gt;0,L256&lt;90),"A",IF(AND(L256&gt;90,L256&lt;123),"B",IF(AND(L256&gt;122,L256&lt;159),"C",IF(AND(L256&gt;159,L256&lt;185),"D",IF(AND(L256&gt;185,L256&lt;230),"E",IF(AND(L256&gt;230,L256&lt;350),"F",NONE))))))</f>
        <v>D</v>
      </c>
      <c r="T256" s="230">
        <f>VLOOKUP(O256,'PREMIUM TABLES'!$G$165:$H$172,2,FALSE)</f>
        <v>0.13</v>
      </c>
      <c r="U256" s="230">
        <f>VLOOKUP(P256,'PREMIUM TABLES'!$G$208:$H$209,2,FALSE)</f>
        <v>2.5000000000000001E-2</v>
      </c>
      <c r="V256" s="230">
        <f>VLOOKUP(Q256,'PREMIUM TABLES'!$G$175:$H$195,2,FALSE)</f>
        <v>0.6</v>
      </c>
      <c r="W256" s="230">
        <f>VLOOKUP(R256,'PREMIUM TABLES'!$G$214:$H$219,2,FALSE)</f>
        <v>0.06</v>
      </c>
      <c r="X256" s="230">
        <f>VLOOKUP(S256,'PREMIUM TABLES'!$F$199:$H$205,3,FALSE)</f>
        <v>2.5000000000000001E-2</v>
      </c>
      <c r="Y256" s="231">
        <f t="shared" si="32"/>
        <v>0.84</v>
      </c>
      <c r="Z256" s="231" t="str" cm="1">
        <f t="array" ref="Z256">IF(AND(Y256&gt;0,Y256&lt;0.5),"C",IF(AND(Y256&gt;=0.5,Y256&lt;0.73),"B",IF(AND(Y256&gt;=0.73,Y256&lt;0.98),"A",NONE)))</f>
        <v>A</v>
      </c>
      <c r="AA256" s="231" t="str">
        <f>VLOOKUP(G256,'ALL (R)'!$N$5:$R$862,5,FALSE)</f>
        <v>R 8</v>
      </c>
      <c r="AB256" s="232">
        <f>VLOOKUP(AA256,FACTS!$B$2:$L$14,10,FALSE)</f>
        <v>51850</v>
      </c>
      <c r="AC256" s="232">
        <f>VLOOKUP(AA256,FACTS!$B$2:$L$14,11,FALSE)</f>
        <v>57950</v>
      </c>
      <c r="AD256" s="232">
        <f>VLOOKUP(AA256,FACTS!$B$2:$N$14,13,FALSE)</f>
        <v>6100</v>
      </c>
      <c r="AE256" s="232">
        <f t="shared" si="33"/>
        <v>5124</v>
      </c>
      <c r="AF256" s="232">
        <f t="shared" si="34"/>
        <v>56974</v>
      </c>
      <c r="AG256" s="232">
        <f>AF256*FACTS!$T$2</f>
        <v>18801.420000000002</v>
      </c>
      <c r="AH256" s="232">
        <f>Table1[[#This Row],[UNIT (BUILDING) RATE (SEMI FINISHED)]]+4500</f>
        <v>61474</v>
      </c>
      <c r="AI256" s="232">
        <f>Table1[[#This Row],[UNIT (BUILDING) RATE (SEMI FINISHED)]]+7500</f>
        <v>64474</v>
      </c>
      <c r="AJ256" s="232">
        <f t="shared" si="35"/>
        <v>9172814</v>
      </c>
      <c r="AK256" s="232">
        <f>Table1[[#This Row],[UNIT (BUILDING) RATE (BASIC FINISH)]]*Table1[[#This Row],[Unit Selling Area]]</f>
        <v>9897314</v>
      </c>
      <c r="AL256" s="232">
        <f>Table1[[#This Row],[UNIT (BUILDING) RATE (FULLY FINISH)]]*Table1[[#This Row],[Unit Selling Area]]</f>
        <v>10380314</v>
      </c>
      <c r="AM256" s="232">
        <f t="shared" si="36"/>
        <v>0</v>
      </c>
      <c r="AN256" s="232">
        <f>(AM256+AJ256)*FACTS!$S$2</f>
        <v>779689.19000000006</v>
      </c>
      <c r="AO256" s="101">
        <f>VLOOKUP(S256,FACTS!$A$17:$C$23,3,FALSE)</f>
        <v>2</v>
      </c>
      <c r="AP256" s="232">
        <f>VLOOKUP(AA256,FACTS!$B$2:$J$14,9,FALSE)</f>
        <v>244000</v>
      </c>
      <c r="AQ256" s="232">
        <f>Table1[[#This Row],[PARKING VALUE]]*1</f>
        <v>244000</v>
      </c>
      <c r="AR256" s="232">
        <f t="shared" si="30"/>
        <v>9416814</v>
      </c>
      <c r="AS256" s="440">
        <f>Table1[[#This Row],[TOTAL CARS VALUE]]+Table1[[#This Row],[UNIT (BUILDING) VALUE BASIC FINISHED]]+Table1[[#This Row],[UNIT (GARDEN) VALUE]]</f>
        <v>10141314</v>
      </c>
      <c r="AT256" s="232">
        <f>Table1[[#This Row],[TOTAL CARS VALUE]]+Table1[[#This Row],[UNIT (GARDEN) VALUE]]+Table1[[#This Row],[UNIT (BUILDING) VALUE FULLY FINISHED]]</f>
        <v>10624314</v>
      </c>
      <c r="AU256" s="233">
        <f>VLOOKUP(I256,'C PHASES'!$I$108:$J$110,2,FALSE)</f>
        <v>45839</v>
      </c>
      <c r="AV256" s="233">
        <f>VLOOKUP(AA256,'C PHASES'!$I$113:$J$125,2,FALSE)</f>
        <v>45839</v>
      </c>
    </row>
    <row r="257" spans="1:48" ht="15" customHeight="1" x14ac:dyDescent="0.25">
      <c r="A257" s="235"/>
      <c r="B257" s="227" t="str">
        <f t="shared" si="31"/>
        <v>B</v>
      </c>
      <c r="C257" s="227" t="s">
        <v>46</v>
      </c>
      <c r="D257" s="227" t="s">
        <v>1147</v>
      </c>
      <c r="E257" s="228">
        <v>4</v>
      </c>
      <c r="F257" s="101">
        <v>3</v>
      </c>
      <c r="G257" s="87" t="str">
        <f t="shared" si="39"/>
        <v>B443</v>
      </c>
      <c r="H257" s="87" t="s">
        <v>1294</v>
      </c>
      <c r="I257" s="89" t="str">
        <f>VLOOKUP(C257,'PREMIUM TABLES'!$G$107:$H$149,2,FALSE)</f>
        <v>C1</v>
      </c>
      <c r="J257" s="87">
        <v>127.12</v>
      </c>
      <c r="K257" s="87">
        <v>138.10427194692937</v>
      </c>
      <c r="L257" s="87">
        <v>155</v>
      </c>
      <c r="O257" s="87" t="s">
        <v>180</v>
      </c>
      <c r="P257" s="87" t="s">
        <v>190</v>
      </c>
      <c r="Q257" s="229" t="s">
        <v>209</v>
      </c>
      <c r="R257" s="87" t="str">
        <f>VLOOKUP(E257,'PREMIUM TABLES'!$F$214:$G$219,2,FALSE)</f>
        <v>FORTH</v>
      </c>
      <c r="S257" s="87" t="str" cm="1">
        <f t="array" ref="S257">IF(AND(L257&gt;0,L257&lt;90),"A",IF(AND(L257&gt;90,L257&lt;123),"B",IF(AND(L257&gt;122,L257&lt;159),"C",IF(AND(L257&gt;159,L257&lt;185),"D",IF(AND(L257&gt;185,L257&lt;230),"E",IF(AND(L257&gt;230,L257&lt;350),"F",NONE))))))</f>
        <v>C</v>
      </c>
      <c r="T257" s="230">
        <f>VLOOKUP(O257,'PREMIUM TABLES'!$G$165:$H$172,2,FALSE)</f>
        <v>0.13</v>
      </c>
      <c r="U257" s="230">
        <f>VLOOKUP(P257,'PREMIUM TABLES'!$G$208:$H$209,2,FALSE)</f>
        <v>2.5000000000000001E-2</v>
      </c>
      <c r="V257" s="230">
        <f>VLOOKUP(Q257,'PREMIUM TABLES'!$G$175:$H$195,2,FALSE)</f>
        <v>0.6</v>
      </c>
      <c r="W257" s="230">
        <f>VLOOKUP(R257,'PREMIUM TABLES'!$G$214:$H$219,2,FALSE)</f>
        <v>0.06</v>
      </c>
      <c r="X257" s="230">
        <f>VLOOKUP(S257,'PREMIUM TABLES'!$F$199:$H$205,3,FALSE)</f>
        <v>3.5000000000000003E-2</v>
      </c>
      <c r="Y257" s="231">
        <f t="shared" si="32"/>
        <v>0.85</v>
      </c>
      <c r="Z257" s="231" t="str" cm="1">
        <f t="array" ref="Z257">IF(AND(Y257&gt;0,Y257&lt;0.5),"C",IF(AND(Y257&gt;=0.5,Y257&lt;0.73),"B",IF(AND(Y257&gt;=0.73,Y257&lt;0.98),"A",NONE)))</f>
        <v>A</v>
      </c>
      <c r="AA257" s="231" t="str">
        <f>VLOOKUP(G257,'ALL (R)'!$N$5:$R$862,5,FALSE)</f>
        <v>R 8</v>
      </c>
      <c r="AB257" s="232">
        <f>VLOOKUP(AA257,FACTS!$B$2:$L$14,10,FALSE)</f>
        <v>51850</v>
      </c>
      <c r="AC257" s="232">
        <f>VLOOKUP(AA257,FACTS!$B$2:$L$14,11,FALSE)</f>
        <v>57950</v>
      </c>
      <c r="AD257" s="232">
        <f>VLOOKUP(AA257,FACTS!$B$2:$N$14,13,FALSE)</f>
        <v>6100</v>
      </c>
      <c r="AE257" s="232">
        <f t="shared" si="33"/>
        <v>5185</v>
      </c>
      <c r="AF257" s="232">
        <f t="shared" si="34"/>
        <v>57035</v>
      </c>
      <c r="AG257" s="232">
        <f>AF257*FACTS!$T$2</f>
        <v>18821.55</v>
      </c>
      <c r="AH257" s="232">
        <f>Table1[[#This Row],[UNIT (BUILDING) RATE (SEMI FINISHED)]]+4500</f>
        <v>61535</v>
      </c>
      <c r="AI257" s="232">
        <f>Table1[[#This Row],[UNIT (BUILDING) RATE (SEMI FINISHED)]]+7500</f>
        <v>64535</v>
      </c>
      <c r="AJ257" s="232">
        <f t="shared" si="35"/>
        <v>8840425</v>
      </c>
      <c r="AK257" s="232">
        <f>Table1[[#This Row],[UNIT (BUILDING) RATE (BASIC FINISH)]]*Table1[[#This Row],[Unit Selling Area]]</f>
        <v>9537925</v>
      </c>
      <c r="AL257" s="232">
        <f>Table1[[#This Row],[UNIT (BUILDING) RATE (FULLY FINISH)]]*Table1[[#This Row],[Unit Selling Area]]</f>
        <v>10002925</v>
      </c>
      <c r="AM257" s="232">
        <f t="shared" si="36"/>
        <v>0</v>
      </c>
      <c r="AN257" s="232">
        <f>(AM257+AJ257)*FACTS!$S$2</f>
        <v>751436.125</v>
      </c>
      <c r="AO257" s="101">
        <f>VLOOKUP(S257,FACTS!$A$17:$C$23,3,FALSE)</f>
        <v>2</v>
      </c>
      <c r="AP257" s="232">
        <f>VLOOKUP(AA257,FACTS!$B$2:$J$14,9,FALSE)</f>
        <v>244000</v>
      </c>
      <c r="AQ257" s="232">
        <f>Table1[[#This Row],[PARKING VALUE]]*1</f>
        <v>244000</v>
      </c>
      <c r="AR257" s="232">
        <f t="shared" si="30"/>
        <v>9084425</v>
      </c>
      <c r="AS257" s="440">
        <f>Table1[[#This Row],[TOTAL CARS VALUE]]+Table1[[#This Row],[UNIT (BUILDING) VALUE BASIC FINISHED]]+Table1[[#This Row],[UNIT (GARDEN) VALUE]]</f>
        <v>9781925</v>
      </c>
      <c r="AT257" s="232">
        <f>Table1[[#This Row],[TOTAL CARS VALUE]]+Table1[[#This Row],[UNIT (GARDEN) VALUE]]+Table1[[#This Row],[UNIT (BUILDING) VALUE FULLY FINISHED]]</f>
        <v>10246925</v>
      </c>
      <c r="AU257" s="233">
        <f>VLOOKUP(I257,'C PHASES'!$I$108:$J$110,2,FALSE)</f>
        <v>45839</v>
      </c>
      <c r="AV257" s="233">
        <f>VLOOKUP(AA257,'C PHASES'!$I$113:$J$125,2,FALSE)</f>
        <v>45839</v>
      </c>
    </row>
    <row r="258" spans="1:48" ht="15" customHeight="1" x14ac:dyDescent="0.25">
      <c r="A258" s="235"/>
      <c r="B258" s="227" t="str">
        <f t="shared" si="31"/>
        <v>B</v>
      </c>
      <c r="C258" s="227" t="s">
        <v>46</v>
      </c>
      <c r="D258" s="227" t="s">
        <v>1147</v>
      </c>
      <c r="E258" s="228">
        <v>4</v>
      </c>
      <c r="F258" s="101">
        <v>4</v>
      </c>
      <c r="G258" s="87" t="str">
        <f t="shared" si="39"/>
        <v>B444</v>
      </c>
      <c r="H258" s="87" t="s">
        <v>1294</v>
      </c>
      <c r="I258" s="89" t="str">
        <f>VLOOKUP(C258,'PREMIUM TABLES'!$G$107:$H$149,2,FALSE)</f>
        <v>C1</v>
      </c>
      <c r="J258" s="87">
        <v>125.12</v>
      </c>
      <c r="K258" s="87">
        <v>135.93145457834962</v>
      </c>
      <c r="L258" s="87">
        <v>153</v>
      </c>
      <c r="O258" s="87" t="s">
        <v>187</v>
      </c>
      <c r="P258" s="87" t="s">
        <v>190</v>
      </c>
      <c r="Q258" s="229" t="s">
        <v>197</v>
      </c>
      <c r="R258" s="87" t="str">
        <f>VLOOKUP(E258,'PREMIUM TABLES'!$F$214:$G$219,2,FALSE)</f>
        <v>FORTH</v>
      </c>
      <c r="S258" s="87" t="str" cm="1">
        <f t="array" ref="S258">IF(AND(L258&gt;0,L258&lt;90),"A",IF(AND(L258&gt;90,L258&lt;123),"B",IF(AND(L258&gt;122,L258&lt;159),"C",IF(AND(L258&gt;159,L258&lt;185),"D",IF(AND(L258&gt;185,L258&lt;230),"E",IF(AND(L258&gt;230,L258&lt;350),"F",NONE))))))</f>
        <v>C</v>
      </c>
      <c r="T258" s="230">
        <f>VLOOKUP(O258,'PREMIUM TABLES'!$G$165:$H$172,2,FALSE)</f>
        <v>0.08</v>
      </c>
      <c r="U258" s="230">
        <f>VLOOKUP(P258,'PREMIUM TABLES'!$G$208:$H$209,2,FALSE)</f>
        <v>2.5000000000000001E-2</v>
      </c>
      <c r="V258" s="230">
        <f>VLOOKUP(Q258,'PREMIUM TABLES'!$G$175:$H$195,2,FALSE)</f>
        <v>0.16</v>
      </c>
      <c r="W258" s="230">
        <f>VLOOKUP(R258,'PREMIUM TABLES'!$G$214:$H$219,2,FALSE)</f>
        <v>0.06</v>
      </c>
      <c r="X258" s="230">
        <f>VLOOKUP(S258,'PREMIUM TABLES'!$F$199:$H$205,3,FALSE)</f>
        <v>3.5000000000000003E-2</v>
      </c>
      <c r="Y258" s="231">
        <f t="shared" si="32"/>
        <v>0.36</v>
      </c>
      <c r="Z258" s="231" t="str" cm="1">
        <f t="array" ref="Z258">IF(AND(Y258&gt;0,Y258&lt;0.5),"C",IF(AND(Y258&gt;=0.5,Y258&lt;0.73),"B",IF(AND(Y258&gt;=0.73,Y258&lt;0.98),"A",NONE)))</f>
        <v>C</v>
      </c>
      <c r="AA258" s="231" t="str">
        <f>VLOOKUP(G258,'ALL (R)'!$N$5:$R$862,5,FALSE)</f>
        <v>R 1</v>
      </c>
      <c r="AB258" s="232">
        <f>VLOOKUP(AA258,FACTS!$B$2:$L$14,10,FALSE)</f>
        <v>42500</v>
      </c>
      <c r="AC258" s="232">
        <f>VLOOKUP(AA258,FACTS!$B$2:$L$14,11,FALSE)</f>
        <v>47500</v>
      </c>
      <c r="AD258" s="232">
        <f>VLOOKUP(AA258,FACTS!$B$2:$N$14,13,FALSE)</f>
        <v>5000</v>
      </c>
      <c r="AE258" s="232">
        <f t="shared" si="33"/>
        <v>1800</v>
      </c>
      <c r="AF258" s="232">
        <f t="shared" si="34"/>
        <v>44300</v>
      </c>
      <c r="AG258" s="232">
        <f>AF258*FACTS!$T$2</f>
        <v>14619</v>
      </c>
      <c r="AH258" s="232">
        <f>Table1[[#This Row],[UNIT (BUILDING) RATE (SEMI FINISHED)]]+4500</f>
        <v>48800</v>
      </c>
      <c r="AI258" s="232">
        <f>Table1[[#This Row],[UNIT (BUILDING) RATE (SEMI FINISHED)]]+7500</f>
        <v>51800</v>
      </c>
      <c r="AJ258" s="232">
        <f t="shared" si="35"/>
        <v>6777900</v>
      </c>
      <c r="AK258" s="232">
        <f>Table1[[#This Row],[UNIT (BUILDING) RATE (BASIC FINISH)]]*Table1[[#This Row],[Unit Selling Area]]</f>
        <v>7466400</v>
      </c>
      <c r="AL258" s="232">
        <f>Table1[[#This Row],[UNIT (BUILDING) RATE (FULLY FINISH)]]*Table1[[#This Row],[Unit Selling Area]]</f>
        <v>7925400</v>
      </c>
      <c r="AM258" s="232">
        <f t="shared" si="36"/>
        <v>0</v>
      </c>
      <c r="AN258" s="232">
        <f>(AM258+AJ258)*FACTS!$S$2</f>
        <v>576121.5</v>
      </c>
      <c r="AO258" s="101">
        <f>VLOOKUP(S258,FACTS!$A$17:$C$23,3,FALSE)</f>
        <v>2</v>
      </c>
      <c r="AP258" s="232">
        <f>VLOOKUP(AA258,FACTS!$B$2:$J$14,9,FALSE)</f>
        <v>200000</v>
      </c>
      <c r="AQ258" s="232">
        <f>Table1[[#This Row],[PARKING VALUE]]*1</f>
        <v>200000</v>
      </c>
      <c r="AR258" s="232">
        <f t="shared" si="30"/>
        <v>6977900</v>
      </c>
      <c r="AS258" s="440">
        <f>Table1[[#This Row],[TOTAL CARS VALUE]]+Table1[[#This Row],[UNIT (BUILDING) VALUE BASIC FINISHED]]+Table1[[#This Row],[UNIT (GARDEN) VALUE]]</f>
        <v>7666400</v>
      </c>
      <c r="AT258" s="232">
        <f>Table1[[#This Row],[TOTAL CARS VALUE]]+Table1[[#This Row],[UNIT (GARDEN) VALUE]]+Table1[[#This Row],[UNIT (BUILDING) VALUE FULLY FINISHED]]</f>
        <v>8125400</v>
      </c>
      <c r="AU258" s="233">
        <f>VLOOKUP(I258,'C PHASES'!$I$108:$J$110,2,FALSE)</f>
        <v>45839</v>
      </c>
      <c r="AV258" s="233">
        <f>VLOOKUP(AA258,'C PHASES'!$I$113:$J$125,2,FALSE)</f>
        <v>45170</v>
      </c>
    </row>
    <row r="259" spans="1:48" ht="15" customHeight="1" x14ac:dyDescent="0.25">
      <c r="A259" s="235" t="s">
        <v>38</v>
      </c>
      <c r="B259" s="227" t="str">
        <f t="shared" si="31"/>
        <v>B</v>
      </c>
      <c r="C259" s="227" t="s">
        <v>45</v>
      </c>
      <c r="D259" s="227" t="s">
        <v>1147</v>
      </c>
      <c r="E259" s="228">
        <v>0</v>
      </c>
      <c r="F259" s="101">
        <v>1</v>
      </c>
      <c r="G259" s="87" t="str">
        <f>LEFT(C259,2)&amp;E259&amp;F259</f>
        <v>B501</v>
      </c>
      <c r="H259" s="87" t="s">
        <v>1294</v>
      </c>
      <c r="I259" s="89" t="str">
        <f>VLOOKUP(C259,'PREMIUM TABLES'!$G$107:$H$149,2,FALSE)</f>
        <v>C1</v>
      </c>
      <c r="J259" s="87">
        <v>131.34</v>
      </c>
      <c r="K259" s="87">
        <v>142.61992000608555</v>
      </c>
      <c r="L259" s="87">
        <v>160</v>
      </c>
      <c r="M259" s="87">
        <v>75.025700000000001</v>
      </c>
      <c r="O259" s="87" t="s">
        <v>187</v>
      </c>
      <c r="P259" s="87" t="s">
        <v>226</v>
      </c>
      <c r="Q259" s="229" t="s">
        <v>197</v>
      </c>
      <c r="R259" s="87" t="str">
        <f>VLOOKUP(E259,'PREMIUM TABLES'!$F$214:$G$219,2,FALSE)</f>
        <v>GROUND</v>
      </c>
      <c r="S259" s="87" t="str" cm="1">
        <f t="array" ref="S259">IF(AND(L259&gt;0,L259&lt;90),"A",IF(AND(L259&gt;90,L259&lt;123),"B",IF(AND(L259&gt;122,L259&lt;159),"C",IF(AND(L259&gt;159,L259&lt;185),"D",IF(AND(L259&gt;185,L259&lt;230),"E",IF(AND(L259&gt;230,L259&lt;350),"F",NONE))))))</f>
        <v>D</v>
      </c>
      <c r="T259" s="230">
        <f>VLOOKUP(O259,'PREMIUM TABLES'!$G$165:$H$172,2,FALSE)</f>
        <v>0.08</v>
      </c>
      <c r="U259" s="230">
        <f>VLOOKUP(P259,'PREMIUM TABLES'!$G$208:$H$209,2,FALSE)</f>
        <v>0.05</v>
      </c>
      <c r="V259" s="230">
        <f>VLOOKUP(Q259,'PREMIUM TABLES'!$G$175:$H$195,2,FALSE)</f>
        <v>0.16</v>
      </c>
      <c r="W259" s="230">
        <f>VLOOKUP(R259,'PREMIUM TABLES'!$G$214:$H$219,2,FALSE)</f>
        <v>0.05</v>
      </c>
      <c r="X259" s="230">
        <f>VLOOKUP(S259,'PREMIUM TABLES'!$F$199:$H$205,3,FALSE)</f>
        <v>2.5000000000000001E-2</v>
      </c>
      <c r="Y259" s="231">
        <f t="shared" si="32"/>
        <v>0.36500000000000005</v>
      </c>
      <c r="Z259" s="231" t="str" cm="1">
        <f t="array" ref="Z259">IF(AND(Y259&gt;0,Y259&lt;0.5),"C",IF(AND(Y259&gt;=0.5,Y259&lt;0.73),"B",IF(AND(Y259&gt;=0.73,Y259&lt;0.98),"A",NONE)))</f>
        <v>C</v>
      </c>
      <c r="AA259" s="231" t="str">
        <f>VLOOKUP(G259,'ALL (R)'!$N$5:$R$862,5,FALSE)</f>
        <v>R 2</v>
      </c>
      <c r="AB259" s="232">
        <f>VLOOKUP(AA259,FACTS!$B$2:$L$14,10,FALSE)</f>
        <v>43562.499999999993</v>
      </c>
      <c r="AC259" s="232">
        <f>VLOOKUP(AA259,FACTS!$B$2:$L$14,11,FALSE)</f>
        <v>48687.499999999993</v>
      </c>
      <c r="AD259" s="232">
        <f>VLOOKUP(AA259,FACTS!$B$2:$N$14,13,FALSE)</f>
        <v>5125</v>
      </c>
      <c r="AE259" s="232">
        <f t="shared" si="33"/>
        <v>1870.6250000000002</v>
      </c>
      <c r="AF259" s="232">
        <f t="shared" si="34"/>
        <v>45433.124999999993</v>
      </c>
      <c r="AG259" s="232">
        <f>AF259*FACTS!$T$2</f>
        <v>14992.931249999998</v>
      </c>
      <c r="AH259" s="232">
        <f>Table1[[#This Row],[UNIT (BUILDING) RATE (SEMI FINISHED)]]+4500</f>
        <v>49933.124999999993</v>
      </c>
      <c r="AI259" s="232">
        <f>Table1[[#This Row],[UNIT (BUILDING) RATE (SEMI FINISHED)]]+7500</f>
        <v>52933.124999999993</v>
      </c>
      <c r="AJ259" s="232">
        <f t="shared" si="35"/>
        <v>7269299.9999999991</v>
      </c>
      <c r="AK259" s="232">
        <f>Table1[[#This Row],[UNIT (BUILDING) RATE (BASIC FINISH)]]*Table1[[#This Row],[Unit Selling Area]]</f>
        <v>7989299.9999999991</v>
      </c>
      <c r="AL259" s="232">
        <f>Table1[[#This Row],[UNIT (BUILDING) RATE (FULLY FINISH)]]*Table1[[#This Row],[Unit Selling Area]]</f>
        <v>8469299.9999999981</v>
      </c>
      <c r="AM259" s="232">
        <f t="shared" si="36"/>
        <v>1124855.1620831247</v>
      </c>
      <c r="AN259" s="232">
        <f>(AM259+AJ259)*FACTS!$S$2</f>
        <v>713503.18877706549</v>
      </c>
      <c r="AO259" s="101">
        <f>VLOOKUP(S259,FACTS!$A$17:$C$23,3,FALSE)</f>
        <v>2</v>
      </c>
      <c r="AP259" s="232">
        <f>VLOOKUP(AA259,FACTS!$B$2:$J$14,9,FALSE)</f>
        <v>204999.99999999997</v>
      </c>
      <c r="AQ259" s="232">
        <f>Table1[[#This Row],[PARKING VALUE]]*1</f>
        <v>204999.99999999997</v>
      </c>
      <c r="AR259" s="232">
        <f t="shared" si="30"/>
        <v>8599155.1620831229</v>
      </c>
      <c r="AS259" s="440">
        <f>Table1[[#This Row],[TOTAL CARS VALUE]]+Table1[[#This Row],[UNIT (BUILDING) VALUE BASIC FINISHED]]+Table1[[#This Row],[UNIT (GARDEN) VALUE]]</f>
        <v>9319155.1620831229</v>
      </c>
      <c r="AT259" s="232">
        <f>Table1[[#This Row],[TOTAL CARS VALUE]]+Table1[[#This Row],[UNIT (GARDEN) VALUE]]+Table1[[#This Row],[UNIT (BUILDING) VALUE FULLY FINISHED]]</f>
        <v>9799155.1620831229</v>
      </c>
      <c r="AU259" s="233">
        <f>VLOOKUP(I259,'C PHASES'!$I$108:$J$110,2,FALSE)</f>
        <v>45839</v>
      </c>
      <c r="AV259" s="233">
        <f>VLOOKUP(AA259,'C PHASES'!$I$113:$J$125,2,FALSE)</f>
        <v>45292</v>
      </c>
    </row>
    <row r="260" spans="1:48" ht="15" customHeight="1" x14ac:dyDescent="0.25">
      <c r="A260" s="235"/>
      <c r="B260" s="227" t="str">
        <f t="shared" ref="B260:B321" si="40">LEFT(C260,1)</f>
        <v>B</v>
      </c>
      <c r="C260" s="227" t="s">
        <v>45</v>
      </c>
      <c r="D260" s="227" t="s">
        <v>1147</v>
      </c>
      <c r="E260" s="228">
        <v>0</v>
      </c>
      <c r="F260" s="101">
        <v>2</v>
      </c>
      <c r="G260" s="87" t="str">
        <f t="shared" ref="G260:G278" si="41">LEFT(C260,2)&amp;E260&amp;F260</f>
        <v>B502</v>
      </c>
      <c r="H260" s="87" t="s">
        <v>1294</v>
      </c>
      <c r="I260" s="89" t="str">
        <f>VLOOKUP(C260,'PREMIUM TABLES'!$G$107:$H$149,2,FALSE)</f>
        <v>C1</v>
      </c>
      <c r="J260" s="87">
        <v>129.57</v>
      </c>
      <c r="K260" s="87">
        <v>140.69790646557411</v>
      </c>
      <c r="L260" s="87">
        <v>158</v>
      </c>
      <c r="M260" s="87">
        <v>84.036199999999994</v>
      </c>
      <c r="O260" s="87" t="s">
        <v>180</v>
      </c>
      <c r="P260" s="87" t="s">
        <v>226</v>
      </c>
      <c r="Q260" s="229" t="s">
        <v>227</v>
      </c>
      <c r="R260" s="87" t="str">
        <f>VLOOKUP(E260,'PREMIUM TABLES'!$F$214:$G$219,2,FALSE)</f>
        <v>GROUND</v>
      </c>
      <c r="S260" s="87" t="str" cm="1">
        <f t="array" ref="S260">IF(AND(L260&gt;0,L260&lt;90),"A",IF(AND(L260&gt;90,L260&lt;123),"B",IF(AND(L260&gt;122,L260&lt;159),"C",IF(AND(L260&gt;159,L260&lt;185),"D",IF(AND(L260&gt;185,L260&lt;230),"E",IF(AND(L260&gt;230,L260&lt;350),"F",NONE))))))</f>
        <v>C</v>
      </c>
      <c r="T260" s="230">
        <f>VLOOKUP(O260,'PREMIUM TABLES'!$G$165:$H$172,2,FALSE)</f>
        <v>0.13</v>
      </c>
      <c r="U260" s="230">
        <f>VLOOKUP(P260,'PREMIUM TABLES'!$G$208:$H$209,2,FALSE)</f>
        <v>0.05</v>
      </c>
      <c r="V260" s="230">
        <f>VLOOKUP(Q260,'PREMIUM TABLES'!$G$175:$H$195,2,FALSE)</f>
        <v>0.48</v>
      </c>
      <c r="W260" s="230">
        <f>VLOOKUP(R260,'PREMIUM TABLES'!$G$214:$H$219,2,FALSE)</f>
        <v>0.05</v>
      </c>
      <c r="X260" s="230">
        <f>VLOOKUP(S260,'PREMIUM TABLES'!$F$199:$H$205,3,FALSE)</f>
        <v>3.5000000000000003E-2</v>
      </c>
      <c r="Y260" s="231">
        <f t="shared" si="32"/>
        <v>0.745</v>
      </c>
      <c r="Z260" s="231" t="str" cm="1">
        <f t="array" ref="Z260">IF(AND(Y260&gt;0,Y260&lt;0.5),"C",IF(AND(Y260&gt;=0.5,Y260&lt;0.73),"B",IF(AND(Y260&gt;=0.73,Y260&lt;0.98),"A",NONE)))</f>
        <v>A</v>
      </c>
      <c r="AA260" s="231" t="str">
        <f>VLOOKUP(G260,'ALL (R)'!$N$5:$R$862,5,FALSE)</f>
        <v>R 1</v>
      </c>
      <c r="AB260" s="232">
        <f>VLOOKUP(AA260,FACTS!$B$2:$L$14,10,FALSE)</f>
        <v>42500</v>
      </c>
      <c r="AC260" s="232">
        <f>VLOOKUP(AA260,FACTS!$B$2:$L$14,11,FALSE)</f>
        <v>47500</v>
      </c>
      <c r="AD260" s="232">
        <f>VLOOKUP(AA260,FACTS!$B$2:$N$14,13,FALSE)</f>
        <v>5000</v>
      </c>
      <c r="AE260" s="232">
        <f t="shared" si="33"/>
        <v>3725</v>
      </c>
      <c r="AF260" s="232">
        <f t="shared" si="34"/>
        <v>46225</v>
      </c>
      <c r="AG260" s="232">
        <f>AF260*FACTS!$T$2</f>
        <v>15254.25</v>
      </c>
      <c r="AH260" s="232">
        <f>Table1[[#This Row],[UNIT (BUILDING) RATE (SEMI FINISHED)]]+4500</f>
        <v>50725</v>
      </c>
      <c r="AI260" s="232">
        <f>Table1[[#This Row],[UNIT (BUILDING) RATE (SEMI FINISHED)]]+7500</f>
        <v>53725</v>
      </c>
      <c r="AJ260" s="232">
        <f t="shared" si="35"/>
        <v>7303550</v>
      </c>
      <c r="AK260" s="232">
        <f>Table1[[#This Row],[UNIT (BUILDING) RATE (BASIC FINISH)]]*Table1[[#This Row],[Unit Selling Area]]</f>
        <v>8014550</v>
      </c>
      <c r="AL260" s="232">
        <f>Table1[[#This Row],[UNIT (BUILDING) RATE (FULLY FINISH)]]*Table1[[#This Row],[Unit Selling Area]]</f>
        <v>8488550</v>
      </c>
      <c r="AM260" s="232">
        <f t="shared" si="36"/>
        <v>1281909.2038499999</v>
      </c>
      <c r="AN260" s="232">
        <f>(AM260+AJ260)*FACTS!$S$2</f>
        <v>729764.03232725</v>
      </c>
      <c r="AO260" s="101">
        <f>VLOOKUP(S260,FACTS!$A$17:$C$23,3,FALSE)</f>
        <v>2</v>
      </c>
      <c r="AP260" s="232">
        <f>VLOOKUP(AA260,FACTS!$B$2:$J$14,9,FALSE)</f>
        <v>200000</v>
      </c>
      <c r="AQ260" s="232">
        <f>Table1[[#This Row],[PARKING VALUE]]*1</f>
        <v>200000</v>
      </c>
      <c r="AR260" s="232">
        <f t="shared" si="30"/>
        <v>8785459.2038499992</v>
      </c>
      <c r="AS260" s="440">
        <f>Table1[[#This Row],[TOTAL CARS VALUE]]+Table1[[#This Row],[UNIT (BUILDING) VALUE BASIC FINISHED]]+Table1[[#This Row],[UNIT (GARDEN) VALUE]]</f>
        <v>9496459.2038499992</v>
      </c>
      <c r="AT260" s="232">
        <f>Table1[[#This Row],[TOTAL CARS VALUE]]+Table1[[#This Row],[UNIT (GARDEN) VALUE]]+Table1[[#This Row],[UNIT (BUILDING) VALUE FULLY FINISHED]]</f>
        <v>9970459.2038499992</v>
      </c>
      <c r="AU260" s="233">
        <f>VLOOKUP(I260,'C PHASES'!$I$108:$J$110,2,FALSE)</f>
        <v>45839</v>
      </c>
      <c r="AV260" s="233">
        <f>VLOOKUP(AA260,'C PHASES'!$I$113:$J$125,2,FALSE)</f>
        <v>45170</v>
      </c>
    </row>
    <row r="261" spans="1:48" ht="15" customHeight="1" x14ac:dyDescent="0.25">
      <c r="A261" s="235"/>
      <c r="B261" s="227" t="str">
        <f t="shared" si="40"/>
        <v>B</v>
      </c>
      <c r="C261" s="227" t="s">
        <v>45</v>
      </c>
      <c r="D261" s="227" t="s">
        <v>1147</v>
      </c>
      <c r="E261" s="228">
        <v>0</v>
      </c>
      <c r="F261" s="101">
        <v>3</v>
      </c>
      <c r="G261" s="87" t="str">
        <f t="shared" si="41"/>
        <v>B503</v>
      </c>
      <c r="H261" s="87" t="s">
        <v>1294</v>
      </c>
      <c r="I261" s="89" t="str">
        <f>VLOOKUP(C261,'PREMIUM TABLES'!$G$107:$H$149,2,FALSE)</f>
        <v>C1</v>
      </c>
      <c r="J261" s="87">
        <v>125.09</v>
      </c>
      <c r="K261" s="87">
        <v>135.83314902970338</v>
      </c>
      <c r="L261" s="87">
        <v>153</v>
      </c>
      <c r="M261" s="87">
        <v>85.562899999999999</v>
      </c>
      <c r="O261" s="87" t="s">
        <v>180</v>
      </c>
      <c r="P261" s="87" t="s">
        <v>190</v>
      </c>
      <c r="Q261" s="229" t="s">
        <v>209</v>
      </c>
      <c r="R261" s="87" t="str">
        <f>VLOOKUP(E261,'PREMIUM TABLES'!$F$214:$G$219,2,FALSE)</f>
        <v>GROUND</v>
      </c>
      <c r="S261" s="87" t="str" cm="1">
        <f t="array" ref="S261">IF(AND(L261&gt;0,L261&lt;90),"A",IF(AND(L261&gt;90,L261&lt;123),"B",IF(AND(L261&gt;122,L261&lt;159),"C",IF(AND(L261&gt;159,L261&lt;185),"D",IF(AND(L261&gt;185,L261&lt;230),"E",IF(AND(L261&gt;230,L261&lt;350),"F",NONE))))))</f>
        <v>C</v>
      </c>
      <c r="T261" s="230">
        <f>VLOOKUP(O261,'PREMIUM TABLES'!$G$165:$H$172,2,FALSE)</f>
        <v>0.13</v>
      </c>
      <c r="U261" s="230">
        <f>VLOOKUP(P261,'PREMIUM TABLES'!$G$208:$H$209,2,FALSE)</f>
        <v>2.5000000000000001E-2</v>
      </c>
      <c r="V261" s="230">
        <f>VLOOKUP(Q261,'PREMIUM TABLES'!$G$175:$H$195,2,FALSE)</f>
        <v>0.6</v>
      </c>
      <c r="W261" s="230">
        <f>VLOOKUP(R261,'PREMIUM TABLES'!$G$214:$H$219,2,FALSE)</f>
        <v>0.05</v>
      </c>
      <c r="X261" s="230">
        <f>VLOOKUP(S261,'PREMIUM TABLES'!$F$199:$H$205,3,FALSE)</f>
        <v>3.5000000000000003E-2</v>
      </c>
      <c r="Y261" s="231">
        <f t="shared" si="32"/>
        <v>0.84000000000000008</v>
      </c>
      <c r="Z261" s="231" t="str" cm="1">
        <f t="array" ref="Z261">IF(AND(Y261&gt;0,Y261&lt;0.5),"C",IF(AND(Y261&gt;=0.5,Y261&lt;0.73),"B",IF(AND(Y261&gt;=0.73,Y261&lt;0.98),"A",NONE)))</f>
        <v>A</v>
      </c>
      <c r="AA261" s="231" t="str">
        <f>VLOOKUP(G261,'ALL (R)'!$N$5:$R$862,5,FALSE)</f>
        <v>R 8</v>
      </c>
      <c r="AB261" s="232">
        <f>VLOOKUP(AA261,FACTS!$B$2:$L$14,10,FALSE)</f>
        <v>51850</v>
      </c>
      <c r="AC261" s="232">
        <f>VLOOKUP(AA261,FACTS!$B$2:$L$14,11,FALSE)</f>
        <v>57950</v>
      </c>
      <c r="AD261" s="232">
        <f>VLOOKUP(AA261,FACTS!$B$2:$N$14,13,FALSE)</f>
        <v>6100</v>
      </c>
      <c r="AE261" s="232">
        <f t="shared" si="33"/>
        <v>5124.0000000000009</v>
      </c>
      <c r="AF261" s="232">
        <f t="shared" si="34"/>
        <v>56974</v>
      </c>
      <c r="AG261" s="232">
        <f>AF261*FACTS!$T$2</f>
        <v>18801.420000000002</v>
      </c>
      <c r="AH261" s="232">
        <f>Table1[[#This Row],[UNIT (BUILDING) RATE (SEMI FINISHED)]]+4500</f>
        <v>61474</v>
      </c>
      <c r="AI261" s="232">
        <f>Table1[[#This Row],[UNIT (BUILDING) RATE (SEMI FINISHED)]]+7500</f>
        <v>64474</v>
      </c>
      <c r="AJ261" s="232">
        <f t="shared" si="35"/>
        <v>8717022</v>
      </c>
      <c r="AK261" s="232">
        <f>Table1[[#This Row],[UNIT (BUILDING) RATE (BASIC FINISH)]]*Table1[[#This Row],[Unit Selling Area]]</f>
        <v>9405522</v>
      </c>
      <c r="AL261" s="232">
        <f>Table1[[#This Row],[UNIT (BUILDING) RATE (FULLY FINISH)]]*Table1[[#This Row],[Unit Selling Area]]</f>
        <v>9864522</v>
      </c>
      <c r="AM261" s="232">
        <f t="shared" si="36"/>
        <v>1608704.0193180002</v>
      </c>
      <c r="AN261" s="232">
        <f>(AM261+AJ261)*FACTS!$S$2</f>
        <v>877686.71164203004</v>
      </c>
      <c r="AO261" s="101">
        <f>VLOOKUP(S261,FACTS!$A$17:$C$23,3,FALSE)</f>
        <v>2</v>
      </c>
      <c r="AP261" s="232">
        <f>VLOOKUP(AA261,FACTS!$B$2:$J$14,9,FALSE)</f>
        <v>244000</v>
      </c>
      <c r="AQ261" s="232">
        <f>Table1[[#This Row],[PARKING VALUE]]*1</f>
        <v>244000</v>
      </c>
      <c r="AR261" s="232">
        <f t="shared" ref="AR261:AR324" si="42">AQ261+AM261+AJ261</f>
        <v>10569726.019317999</v>
      </c>
      <c r="AS261" s="440">
        <f>Table1[[#This Row],[TOTAL CARS VALUE]]+Table1[[#This Row],[UNIT (BUILDING) VALUE BASIC FINISHED]]+Table1[[#This Row],[UNIT (GARDEN) VALUE]]</f>
        <v>11258226.019317999</v>
      </c>
      <c r="AT261" s="232">
        <f>Table1[[#This Row],[TOTAL CARS VALUE]]+Table1[[#This Row],[UNIT (GARDEN) VALUE]]+Table1[[#This Row],[UNIT (BUILDING) VALUE FULLY FINISHED]]</f>
        <v>11717226.019317999</v>
      </c>
      <c r="AU261" s="233">
        <f>VLOOKUP(I261,'C PHASES'!$I$108:$J$110,2,FALSE)</f>
        <v>45839</v>
      </c>
      <c r="AV261" s="233">
        <f>VLOOKUP(AA261,'C PHASES'!$I$113:$J$125,2,FALSE)</f>
        <v>45839</v>
      </c>
    </row>
    <row r="262" spans="1:48" ht="15" customHeight="1" x14ac:dyDescent="0.25">
      <c r="A262" s="235"/>
      <c r="B262" s="227" t="str">
        <f t="shared" si="40"/>
        <v>B</v>
      </c>
      <c r="C262" s="227" t="s">
        <v>45</v>
      </c>
      <c r="D262" s="227" t="s">
        <v>1147</v>
      </c>
      <c r="E262" s="228">
        <v>0</v>
      </c>
      <c r="F262" s="101">
        <v>4</v>
      </c>
      <c r="G262" s="87" t="str">
        <f t="shared" si="41"/>
        <v>B504</v>
      </c>
      <c r="H262" s="87" t="s">
        <v>1293</v>
      </c>
      <c r="I262" s="89" t="str">
        <f>VLOOKUP(C262,'PREMIUM TABLES'!$G$107:$H$149,2,FALSE)</f>
        <v>C1</v>
      </c>
      <c r="J262" s="87">
        <v>87.23</v>
      </c>
      <c r="K262" s="87">
        <v>94.721605163170736</v>
      </c>
      <c r="L262" s="87">
        <v>106</v>
      </c>
      <c r="M262" s="87">
        <v>67.096199999999996</v>
      </c>
      <c r="O262" s="87" t="s">
        <v>187</v>
      </c>
      <c r="P262" s="87" t="s">
        <v>190</v>
      </c>
      <c r="Q262" s="229" t="s">
        <v>197</v>
      </c>
      <c r="R262" s="87" t="str">
        <f>VLOOKUP(E262,'PREMIUM TABLES'!$F$214:$G$219,2,FALSE)</f>
        <v>GROUND</v>
      </c>
      <c r="S262" s="87" t="str" cm="1">
        <f t="array" ref="S262">IF(AND(L262&gt;0,L262&lt;90),"A",IF(AND(L262&gt;90,L262&lt;123),"B",IF(AND(L262&gt;122,L262&lt;159),"C",IF(AND(L262&gt;159,L262&lt;185),"D",IF(AND(L262&gt;185,L262&lt;230),"E",IF(AND(L262&gt;230,L262&lt;350),"F",NONE))))))</f>
        <v>B</v>
      </c>
      <c r="T262" s="230">
        <f>VLOOKUP(O262,'PREMIUM TABLES'!$G$165:$H$172,2,FALSE)</f>
        <v>0.08</v>
      </c>
      <c r="U262" s="230">
        <f>VLOOKUP(P262,'PREMIUM TABLES'!$G$208:$H$209,2,FALSE)</f>
        <v>2.5000000000000001E-2</v>
      </c>
      <c r="V262" s="230">
        <f>VLOOKUP(Q262,'PREMIUM TABLES'!$G$175:$H$195,2,FALSE)</f>
        <v>0.16</v>
      </c>
      <c r="W262" s="230">
        <f>VLOOKUP(R262,'PREMIUM TABLES'!$G$214:$H$219,2,FALSE)</f>
        <v>0.05</v>
      </c>
      <c r="X262" s="230">
        <f>VLOOKUP(S262,'PREMIUM TABLES'!$F$199:$H$205,3,FALSE)</f>
        <v>0.04</v>
      </c>
      <c r="Y262" s="231">
        <f t="shared" ref="Y262:Y325" si="43">SUM(T262:X262)</f>
        <v>0.35499999999999998</v>
      </c>
      <c r="Z262" s="231" t="str" cm="1">
        <f t="array" ref="Z262">IF(AND(Y262&gt;0,Y262&lt;0.5),"C",IF(AND(Y262&gt;=0.5,Y262&lt;0.73),"B",IF(AND(Y262&gt;=0.73,Y262&lt;0.98),"A",NONE)))</f>
        <v>C</v>
      </c>
      <c r="AA262" s="231" t="str">
        <f>VLOOKUP(G262,'ALL (R)'!$N$5:$R$862,5,FALSE)</f>
        <v>R 1</v>
      </c>
      <c r="AB262" s="232">
        <f>VLOOKUP(AA262,FACTS!$B$2:$L$14,10,FALSE)</f>
        <v>42500</v>
      </c>
      <c r="AC262" s="232">
        <f>VLOOKUP(AA262,FACTS!$B$2:$L$14,11,FALSE)</f>
        <v>47500</v>
      </c>
      <c r="AD262" s="232">
        <f>VLOOKUP(AA262,FACTS!$B$2:$N$14,13,FALSE)</f>
        <v>5000</v>
      </c>
      <c r="AE262" s="232">
        <f t="shared" ref="AE262:AE325" si="44">AD262*Y262</f>
        <v>1775</v>
      </c>
      <c r="AF262" s="232">
        <f t="shared" ref="AF262:AF325" si="45">AE262+AB262</f>
        <v>44275</v>
      </c>
      <c r="AG262" s="232">
        <f>AF262*FACTS!$T$2</f>
        <v>14610.75</v>
      </c>
      <c r="AH262" s="232">
        <f>Table1[[#This Row],[UNIT (BUILDING) RATE (SEMI FINISHED)]]+4500</f>
        <v>48775</v>
      </c>
      <c r="AI262" s="232">
        <f>Table1[[#This Row],[UNIT (BUILDING) RATE (SEMI FINISHED)]]+7500</f>
        <v>51775</v>
      </c>
      <c r="AJ262" s="232">
        <f t="shared" ref="AJ262:AJ325" si="46">AF262*L262</f>
        <v>4693150</v>
      </c>
      <c r="AK262" s="232">
        <f>Table1[[#This Row],[UNIT (BUILDING) RATE (BASIC FINISH)]]*Table1[[#This Row],[Unit Selling Area]]</f>
        <v>5170150</v>
      </c>
      <c r="AL262" s="232">
        <f>Table1[[#This Row],[UNIT (BUILDING) RATE (FULLY FINISH)]]*Table1[[#This Row],[Unit Selling Area]]</f>
        <v>5488150</v>
      </c>
      <c r="AM262" s="232">
        <f t="shared" ref="AM262:AM325" si="47">AG262*M262</f>
        <v>980325.80414999998</v>
      </c>
      <c r="AN262" s="232">
        <f>(AM262+AJ262)*FACTS!$S$2</f>
        <v>482245.44335275004</v>
      </c>
      <c r="AO262" s="101">
        <f>VLOOKUP(S262,FACTS!$A$17:$C$23,3,FALSE)</f>
        <v>1</v>
      </c>
      <c r="AP262" s="232">
        <f>VLOOKUP(AA262,FACTS!$B$2:$J$14,9,FALSE)</f>
        <v>200000</v>
      </c>
      <c r="AQ262" s="232">
        <f>Table1[[#This Row],[PARKING VALUE]]*1</f>
        <v>200000</v>
      </c>
      <c r="AR262" s="232">
        <f t="shared" si="42"/>
        <v>5873475.8041500002</v>
      </c>
      <c r="AS262" s="440">
        <f>Table1[[#This Row],[TOTAL CARS VALUE]]+Table1[[#This Row],[UNIT (BUILDING) VALUE BASIC FINISHED]]+Table1[[#This Row],[UNIT (GARDEN) VALUE]]</f>
        <v>6350475.8041500002</v>
      </c>
      <c r="AT262" s="232">
        <f>Table1[[#This Row],[TOTAL CARS VALUE]]+Table1[[#This Row],[UNIT (GARDEN) VALUE]]+Table1[[#This Row],[UNIT (BUILDING) VALUE FULLY FINISHED]]</f>
        <v>6668475.8041500002</v>
      </c>
      <c r="AU262" s="233">
        <f>VLOOKUP(I262,'C PHASES'!$I$108:$J$110,2,FALSE)</f>
        <v>45839</v>
      </c>
      <c r="AV262" s="233">
        <f>VLOOKUP(AA262,'C PHASES'!$I$113:$J$125,2,FALSE)</f>
        <v>45170</v>
      </c>
    </row>
    <row r="263" spans="1:48" ht="15" customHeight="1" x14ac:dyDescent="0.25">
      <c r="A263" s="235"/>
      <c r="B263" s="227" t="str">
        <f t="shared" si="40"/>
        <v>B</v>
      </c>
      <c r="C263" s="227" t="s">
        <v>45</v>
      </c>
      <c r="D263" s="227" t="s">
        <v>1147</v>
      </c>
      <c r="E263" s="228">
        <v>1</v>
      </c>
      <c r="F263" s="101">
        <v>1</v>
      </c>
      <c r="G263" s="87" t="str">
        <f t="shared" si="41"/>
        <v>B511</v>
      </c>
      <c r="H263" s="87" t="s">
        <v>1294</v>
      </c>
      <c r="I263" s="89" t="str">
        <f>VLOOKUP(C263,'PREMIUM TABLES'!$G$107:$H$149,2,FALSE)</f>
        <v>C1</v>
      </c>
      <c r="J263" s="87">
        <v>129.04</v>
      </c>
      <c r="K263" s="87">
        <v>140.1223882867769</v>
      </c>
      <c r="L263" s="87">
        <v>157</v>
      </c>
      <c r="O263" s="87" t="s">
        <v>187</v>
      </c>
      <c r="P263" s="87" t="s">
        <v>226</v>
      </c>
      <c r="Q263" s="229" t="s">
        <v>197</v>
      </c>
      <c r="R263" s="87" t="str">
        <f>VLOOKUP(E263,'PREMIUM TABLES'!$F$214:$G$219,2,FALSE)</f>
        <v>FIRST</v>
      </c>
      <c r="S263" s="87" t="str" cm="1">
        <f t="array" ref="S263">IF(AND(L263&gt;0,L263&lt;90),"A",IF(AND(L263&gt;90,L263&lt;123),"B",IF(AND(L263&gt;122,L263&lt;159),"C",IF(AND(L263&gt;159,L263&lt;185),"D",IF(AND(L263&gt;185,L263&lt;230),"E",IF(AND(L263&gt;230,L263&lt;350),"F",NONE))))))</f>
        <v>C</v>
      </c>
      <c r="T263" s="230">
        <f>VLOOKUP(O263,'PREMIUM TABLES'!$G$165:$H$172,2,FALSE)</f>
        <v>0.08</v>
      </c>
      <c r="U263" s="230">
        <f>VLOOKUP(P263,'PREMIUM TABLES'!$G$208:$H$209,2,FALSE)</f>
        <v>0.05</v>
      </c>
      <c r="V263" s="230">
        <f>VLOOKUP(Q263,'PREMIUM TABLES'!$G$175:$H$195,2,FALSE)</f>
        <v>0.16</v>
      </c>
      <c r="W263" s="230">
        <f>VLOOKUP(R263,'PREMIUM TABLES'!$G$214:$H$219,2,FALSE)</f>
        <v>7.0000000000000007E-2</v>
      </c>
      <c r="X263" s="230">
        <f>VLOOKUP(S263,'PREMIUM TABLES'!$F$199:$H$205,3,FALSE)</f>
        <v>3.5000000000000003E-2</v>
      </c>
      <c r="Y263" s="231">
        <f t="shared" si="43"/>
        <v>0.39500000000000002</v>
      </c>
      <c r="Z263" s="231" t="str" cm="1">
        <f t="array" ref="Z263">IF(AND(Y263&gt;0,Y263&lt;0.5),"C",IF(AND(Y263&gt;=0.5,Y263&lt;0.73),"B",IF(AND(Y263&gt;=0.73,Y263&lt;0.98),"A",NONE)))</f>
        <v>C</v>
      </c>
      <c r="AA263" s="231" t="str">
        <f>VLOOKUP(G263,'ALL (R)'!$N$5:$R$862,5,FALSE)</f>
        <v>R 4</v>
      </c>
      <c r="AB263" s="232">
        <f>VLOOKUP(AA263,FACTS!$B$2:$L$14,10,FALSE)</f>
        <v>45687.5</v>
      </c>
      <c r="AC263" s="232">
        <f>VLOOKUP(AA263,FACTS!$B$2:$L$14,11,FALSE)</f>
        <v>51062.5</v>
      </c>
      <c r="AD263" s="232">
        <f>VLOOKUP(AA263,FACTS!$B$2:$N$14,13,FALSE)</f>
        <v>5375</v>
      </c>
      <c r="AE263" s="232">
        <f t="shared" si="44"/>
        <v>2123.125</v>
      </c>
      <c r="AF263" s="232">
        <f t="shared" si="45"/>
        <v>47810.625</v>
      </c>
      <c r="AG263" s="232">
        <f>AF263*FACTS!$T$2</f>
        <v>15777.50625</v>
      </c>
      <c r="AH263" s="232">
        <f>Table1[[#This Row],[UNIT (BUILDING) RATE (SEMI FINISHED)]]+4500</f>
        <v>52310.625</v>
      </c>
      <c r="AI263" s="232">
        <f>Table1[[#This Row],[UNIT (BUILDING) RATE (SEMI FINISHED)]]+7500</f>
        <v>55310.625</v>
      </c>
      <c r="AJ263" s="232">
        <f t="shared" si="46"/>
        <v>7506268.125</v>
      </c>
      <c r="AK263" s="232">
        <f>Table1[[#This Row],[UNIT (BUILDING) RATE (BASIC FINISH)]]*Table1[[#This Row],[Unit Selling Area]]</f>
        <v>8212768.125</v>
      </c>
      <c r="AL263" s="232">
        <f>Table1[[#This Row],[UNIT (BUILDING) RATE (FULLY FINISH)]]*Table1[[#This Row],[Unit Selling Area]]</f>
        <v>8683768.125</v>
      </c>
      <c r="AM263" s="232">
        <f t="shared" si="47"/>
        <v>0</v>
      </c>
      <c r="AN263" s="232">
        <f>(AM263+AJ263)*FACTS!$S$2</f>
        <v>638032.79062500002</v>
      </c>
      <c r="AO263" s="101">
        <f>VLOOKUP(S263,FACTS!$A$17:$C$23,3,FALSE)</f>
        <v>2</v>
      </c>
      <c r="AP263" s="232">
        <f>VLOOKUP(AA263,FACTS!$B$2:$J$14,9,FALSE)</f>
        <v>215000</v>
      </c>
      <c r="AQ263" s="232">
        <f>Table1[[#This Row],[PARKING VALUE]]*1</f>
        <v>215000</v>
      </c>
      <c r="AR263" s="232">
        <f t="shared" si="42"/>
        <v>7721268.125</v>
      </c>
      <c r="AS263" s="440">
        <f>Table1[[#This Row],[TOTAL CARS VALUE]]+Table1[[#This Row],[UNIT (BUILDING) VALUE BASIC FINISHED]]+Table1[[#This Row],[UNIT (GARDEN) VALUE]]</f>
        <v>8427768.125</v>
      </c>
      <c r="AT263" s="232">
        <f>Table1[[#This Row],[TOTAL CARS VALUE]]+Table1[[#This Row],[UNIT (GARDEN) VALUE]]+Table1[[#This Row],[UNIT (BUILDING) VALUE FULLY FINISHED]]</f>
        <v>8898768.125</v>
      </c>
      <c r="AU263" s="233">
        <f>VLOOKUP(I263,'C PHASES'!$I$108:$J$110,2,FALSE)</f>
        <v>45839</v>
      </c>
      <c r="AV263" s="233">
        <f>VLOOKUP(AA263,'C PHASES'!$I$113:$J$125,2,FALSE)</f>
        <v>45474</v>
      </c>
    </row>
    <row r="264" spans="1:48" ht="15" customHeight="1" x14ac:dyDescent="0.25">
      <c r="A264" s="235"/>
      <c r="B264" s="227" t="str">
        <f t="shared" si="40"/>
        <v>B</v>
      </c>
      <c r="C264" s="227" t="s">
        <v>45</v>
      </c>
      <c r="D264" s="227" t="s">
        <v>1147</v>
      </c>
      <c r="E264" s="228">
        <v>1</v>
      </c>
      <c r="F264" s="101">
        <v>2</v>
      </c>
      <c r="G264" s="87" t="str">
        <f t="shared" si="41"/>
        <v>B512</v>
      </c>
      <c r="H264" s="87" t="s">
        <v>1294</v>
      </c>
      <c r="I264" s="89" t="str">
        <f>VLOOKUP(C264,'PREMIUM TABLES'!$G$107:$H$149,2,FALSE)</f>
        <v>C1</v>
      </c>
      <c r="J264" s="87">
        <v>131.43</v>
      </c>
      <c r="K264" s="87">
        <v>142.71764950814546</v>
      </c>
      <c r="L264" s="87">
        <v>160</v>
      </c>
      <c r="O264" s="87" t="s">
        <v>180</v>
      </c>
      <c r="P264" s="87" t="s">
        <v>226</v>
      </c>
      <c r="Q264" s="229" t="s">
        <v>227</v>
      </c>
      <c r="R264" s="87" t="str">
        <f>VLOOKUP(E264,'PREMIUM TABLES'!$F$214:$G$219,2,FALSE)</f>
        <v>FIRST</v>
      </c>
      <c r="S264" s="87" t="str" cm="1">
        <f t="array" ref="S264">IF(AND(L264&gt;0,L264&lt;90),"A",IF(AND(L264&gt;90,L264&lt;123),"B",IF(AND(L264&gt;122,L264&lt;159),"C",IF(AND(L264&gt;159,L264&lt;185),"D",IF(AND(L264&gt;185,L264&lt;230),"E",IF(AND(L264&gt;230,L264&lt;350),"F",NONE))))))</f>
        <v>D</v>
      </c>
      <c r="T264" s="230">
        <f>VLOOKUP(O264,'PREMIUM TABLES'!$G$165:$H$172,2,FALSE)</f>
        <v>0.13</v>
      </c>
      <c r="U264" s="230">
        <f>VLOOKUP(P264,'PREMIUM TABLES'!$G$208:$H$209,2,FALSE)</f>
        <v>0.05</v>
      </c>
      <c r="V264" s="230">
        <f>VLOOKUP(Q264,'PREMIUM TABLES'!$G$175:$H$195,2,FALSE)</f>
        <v>0.48</v>
      </c>
      <c r="W264" s="230">
        <f>VLOOKUP(R264,'PREMIUM TABLES'!$G$214:$H$219,2,FALSE)</f>
        <v>7.0000000000000007E-2</v>
      </c>
      <c r="X264" s="230">
        <f>VLOOKUP(S264,'PREMIUM TABLES'!$F$199:$H$205,3,FALSE)</f>
        <v>2.5000000000000001E-2</v>
      </c>
      <c r="Y264" s="231">
        <f t="shared" si="43"/>
        <v>0.755</v>
      </c>
      <c r="Z264" s="231" t="str" cm="1">
        <f t="array" ref="Z264">IF(AND(Y264&gt;0,Y264&lt;0.5),"C",IF(AND(Y264&gt;=0.5,Y264&lt;0.73),"B",IF(AND(Y264&gt;=0.73,Y264&lt;0.98),"A",NONE)))</f>
        <v>A</v>
      </c>
      <c r="AA264" s="231" t="str">
        <f>VLOOKUP(G264,'ALL (R)'!$N$5:$R$862,5,FALSE)</f>
        <v>R 2</v>
      </c>
      <c r="AB264" s="232">
        <f>VLOOKUP(AA264,FACTS!$B$2:$L$14,10,FALSE)</f>
        <v>43562.499999999993</v>
      </c>
      <c r="AC264" s="232">
        <f>VLOOKUP(AA264,FACTS!$B$2:$L$14,11,FALSE)</f>
        <v>48687.499999999993</v>
      </c>
      <c r="AD264" s="232">
        <f>VLOOKUP(AA264,FACTS!$B$2:$N$14,13,FALSE)</f>
        <v>5125</v>
      </c>
      <c r="AE264" s="232">
        <f t="shared" si="44"/>
        <v>3869.375</v>
      </c>
      <c r="AF264" s="232">
        <f t="shared" si="45"/>
        <v>47431.874999999993</v>
      </c>
      <c r="AG264" s="232">
        <f>AF264*FACTS!$T$2</f>
        <v>15652.518749999997</v>
      </c>
      <c r="AH264" s="232">
        <f>Table1[[#This Row],[UNIT (BUILDING) RATE (SEMI FINISHED)]]+4500</f>
        <v>51931.874999999993</v>
      </c>
      <c r="AI264" s="232">
        <f>Table1[[#This Row],[UNIT (BUILDING) RATE (SEMI FINISHED)]]+7500</f>
        <v>54931.874999999993</v>
      </c>
      <c r="AJ264" s="232">
        <f t="shared" si="46"/>
        <v>7589099.9999999991</v>
      </c>
      <c r="AK264" s="232">
        <f>Table1[[#This Row],[UNIT (BUILDING) RATE (BASIC FINISH)]]*Table1[[#This Row],[Unit Selling Area]]</f>
        <v>8309099.9999999991</v>
      </c>
      <c r="AL264" s="232">
        <f>Table1[[#This Row],[UNIT (BUILDING) RATE (FULLY FINISH)]]*Table1[[#This Row],[Unit Selling Area]]</f>
        <v>8789099.9999999981</v>
      </c>
      <c r="AM264" s="232">
        <f t="shared" si="47"/>
        <v>0</v>
      </c>
      <c r="AN264" s="232">
        <f>(AM264+AJ264)*FACTS!$S$2</f>
        <v>645073.5</v>
      </c>
      <c r="AO264" s="101">
        <f>VLOOKUP(S264,FACTS!$A$17:$C$23,3,FALSE)</f>
        <v>2</v>
      </c>
      <c r="AP264" s="232">
        <f>VLOOKUP(AA264,FACTS!$B$2:$J$14,9,FALSE)</f>
        <v>204999.99999999997</v>
      </c>
      <c r="AQ264" s="232">
        <f>Table1[[#This Row],[PARKING VALUE]]*1</f>
        <v>204999.99999999997</v>
      </c>
      <c r="AR264" s="232">
        <f t="shared" si="42"/>
        <v>7794099.9999999991</v>
      </c>
      <c r="AS264" s="440">
        <f>Table1[[#This Row],[TOTAL CARS VALUE]]+Table1[[#This Row],[UNIT (BUILDING) VALUE BASIC FINISHED]]+Table1[[#This Row],[UNIT (GARDEN) VALUE]]</f>
        <v>8514099.9999999981</v>
      </c>
      <c r="AT264" s="232">
        <f>Table1[[#This Row],[TOTAL CARS VALUE]]+Table1[[#This Row],[UNIT (GARDEN) VALUE]]+Table1[[#This Row],[UNIT (BUILDING) VALUE FULLY FINISHED]]</f>
        <v>8994099.9999999981</v>
      </c>
      <c r="AU264" s="233">
        <f>VLOOKUP(I264,'C PHASES'!$I$108:$J$110,2,FALSE)</f>
        <v>45839</v>
      </c>
      <c r="AV264" s="233">
        <f>VLOOKUP(AA264,'C PHASES'!$I$113:$J$125,2,FALSE)</f>
        <v>45292</v>
      </c>
    </row>
    <row r="265" spans="1:48" ht="15" customHeight="1" x14ac:dyDescent="0.25">
      <c r="A265" s="235"/>
      <c r="B265" s="227" t="str">
        <f t="shared" si="40"/>
        <v>B</v>
      </c>
      <c r="C265" s="227" t="s">
        <v>45</v>
      </c>
      <c r="D265" s="227" t="s">
        <v>1147</v>
      </c>
      <c r="E265" s="228">
        <v>1</v>
      </c>
      <c r="F265" s="101">
        <v>3</v>
      </c>
      <c r="G265" s="87" t="str">
        <f t="shared" si="41"/>
        <v>B513</v>
      </c>
      <c r="H265" s="87" t="s">
        <v>1294</v>
      </c>
      <c r="I265" s="89" t="str">
        <f>VLOOKUP(C265,'PREMIUM TABLES'!$G$107:$H$149,2,FALSE)</f>
        <v>C1</v>
      </c>
      <c r="J265" s="87">
        <v>127.14</v>
      </c>
      <c r="K265" s="87">
        <v>138.05920990995673</v>
      </c>
      <c r="L265" s="87">
        <v>155</v>
      </c>
      <c r="O265" s="87" t="s">
        <v>180</v>
      </c>
      <c r="P265" s="87" t="s">
        <v>190</v>
      </c>
      <c r="Q265" s="229" t="s">
        <v>209</v>
      </c>
      <c r="R265" s="87" t="str">
        <f>VLOOKUP(E265,'PREMIUM TABLES'!$F$214:$G$219,2,FALSE)</f>
        <v>FIRST</v>
      </c>
      <c r="S265" s="87" t="str" cm="1">
        <f t="array" ref="S265">IF(AND(L265&gt;0,L265&lt;90),"A",IF(AND(L265&gt;90,L265&lt;123),"B",IF(AND(L265&gt;122,L265&lt;159),"C",IF(AND(L265&gt;159,L265&lt;185),"D",IF(AND(L265&gt;185,L265&lt;230),"E",IF(AND(L265&gt;230,L265&lt;350),"F",NONE))))))</f>
        <v>C</v>
      </c>
      <c r="T265" s="230">
        <f>VLOOKUP(O265,'PREMIUM TABLES'!$G$165:$H$172,2,FALSE)</f>
        <v>0.13</v>
      </c>
      <c r="U265" s="230">
        <f>VLOOKUP(P265,'PREMIUM TABLES'!$G$208:$H$209,2,FALSE)</f>
        <v>2.5000000000000001E-2</v>
      </c>
      <c r="V265" s="230">
        <f>VLOOKUP(Q265,'PREMIUM TABLES'!$G$175:$H$195,2,FALSE)</f>
        <v>0.6</v>
      </c>
      <c r="W265" s="230">
        <f>VLOOKUP(R265,'PREMIUM TABLES'!$G$214:$H$219,2,FALSE)</f>
        <v>7.0000000000000007E-2</v>
      </c>
      <c r="X265" s="230">
        <f>VLOOKUP(S265,'PREMIUM TABLES'!$F$199:$H$205,3,FALSE)</f>
        <v>3.5000000000000003E-2</v>
      </c>
      <c r="Y265" s="231">
        <f t="shared" si="43"/>
        <v>0.86</v>
      </c>
      <c r="Z265" s="231" t="str" cm="1">
        <f t="array" ref="Z265">IF(AND(Y265&gt;0,Y265&lt;0.5),"C",IF(AND(Y265&gt;=0.5,Y265&lt;0.73),"B",IF(AND(Y265&gt;=0.73,Y265&lt;0.98),"A",NONE)))</f>
        <v>A</v>
      </c>
      <c r="AA265" s="231" t="str">
        <f>VLOOKUP(G265,'ALL (R)'!$N$5:$R$862,5,FALSE)</f>
        <v>R 9</v>
      </c>
      <c r="AB265" s="232">
        <f>VLOOKUP(AA265,FACTS!$B$2:$L$14,10,FALSE)</f>
        <v>53550</v>
      </c>
      <c r="AC265" s="232">
        <f>VLOOKUP(AA265,FACTS!$B$2:$L$14,11,FALSE)</f>
        <v>59850</v>
      </c>
      <c r="AD265" s="232">
        <f>VLOOKUP(AA265,FACTS!$B$2:$N$14,13,FALSE)</f>
        <v>6300</v>
      </c>
      <c r="AE265" s="232">
        <f t="shared" si="44"/>
        <v>5418</v>
      </c>
      <c r="AF265" s="232">
        <f t="shared" si="45"/>
        <v>58968</v>
      </c>
      <c r="AG265" s="232">
        <f>AF265*FACTS!$T$2</f>
        <v>19459.440000000002</v>
      </c>
      <c r="AH265" s="232">
        <f>Table1[[#This Row],[UNIT (BUILDING) RATE (SEMI FINISHED)]]+4500</f>
        <v>63468</v>
      </c>
      <c r="AI265" s="232">
        <f>Table1[[#This Row],[UNIT (BUILDING) RATE (SEMI FINISHED)]]+7500</f>
        <v>66468</v>
      </c>
      <c r="AJ265" s="232">
        <f t="shared" si="46"/>
        <v>9140040</v>
      </c>
      <c r="AK265" s="232">
        <f>Table1[[#This Row],[UNIT (BUILDING) RATE (BASIC FINISH)]]*Table1[[#This Row],[Unit Selling Area]]</f>
        <v>9837540</v>
      </c>
      <c r="AL265" s="232">
        <f>Table1[[#This Row],[UNIT (BUILDING) RATE (FULLY FINISH)]]*Table1[[#This Row],[Unit Selling Area]]</f>
        <v>10302540</v>
      </c>
      <c r="AM265" s="232">
        <f t="shared" si="47"/>
        <v>0</v>
      </c>
      <c r="AN265" s="232">
        <f>(AM265+AJ265)*FACTS!$S$2</f>
        <v>776903.4</v>
      </c>
      <c r="AO265" s="101">
        <f>VLOOKUP(S265,FACTS!$A$17:$C$23,3,FALSE)</f>
        <v>2</v>
      </c>
      <c r="AP265" s="232">
        <f>VLOOKUP(AA265,FACTS!$B$2:$J$14,9,FALSE)</f>
        <v>252000</v>
      </c>
      <c r="AQ265" s="232">
        <f>Table1[[#This Row],[PARKING VALUE]]*1</f>
        <v>252000</v>
      </c>
      <c r="AR265" s="232">
        <f t="shared" si="42"/>
        <v>9392040</v>
      </c>
      <c r="AS265" s="440">
        <f>Table1[[#This Row],[TOTAL CARS VALUE]]+Table1[[#This Row],[UNIT (BUILDING) VALUE BASIC FINISHED]]+Table1[[#This Row],[UNIT (GARDEN) VALUE]]</f>
        <v>10089540</v>
      </c>
      <c r="AT265" s="232">
        <f>Table1[[#This Row],[TOTAL CARS VALUE]]+Table1[[#This Row],[UNIT (GARDEN) VALUE]]+Table1[[#This Row],[UNIT (BUILDING) VALUE FULLY FINISHED]]</f>
        <v>10554540</v>
      </c>
      <c r="AU265" s="233">
        <f>VLOOKUP(I265,'C PHASES'!$I$108:$J$110,2,FALSE)</f>
        <v>45839</v>
      </c>
      <c r="AV265" s="233">
        <f>VLOOKUP(AA265,'C PHASES'!$I$113:$J$125,2,FALSE)</f>
        <v>45931</v>
      </c>
    </row>
    <row r="266" spans="1:48" ht="15" customHeight="1" x14ac:dyDescent="0.25">
      <c r="A266" s="235"/>
      <c r="B266" s="227" t="str">
        <f t="shared" si="40"/>
        <v>B</v>
      </c>
      <c r="C266" s="227" t="s">
        <v>45</v>
      </c>
      <c r="D266" s="227" t="s">
        <v>1147</v>
      </c>
      <c r="E266" s="228">
        <v>1</v>
      </c>
      <c r="F266" s="101">
        <v>4</v>
      </c>
      <c r="G266" s="87" t="str">
        <f t="shared" si="41"/>
        <v>B514</v>
      </c>
      <c r="H266" s="87" t="s">
        <v>1293</v>
      </c>
      <c r="I266" s="89" t="str">
        <f>VLOOKUP(C266,'PREMIUM TABLES'!$G$107:$H$149,2,FALSE)</f>
        <v>C1</v>
      </c>
      <c r="J266" s="87">
        <v>88.87</v>
      </c>
      <c r="K266" s="87">
        <v>96.502453867373418</v>
      </c>
      <c r="L266" s="87">
        <v>108</v>
      </c>
      <c r="O266" s="87" t="s">
        <v>187</v>
      </c>
      <c r="P266" s="87" t="s">
        <v>190</v>
      </c>
      <c r="Q266" s="229" t="s">
        <v>197</v>
      </c>
      <c r="R266" s="87" t="str">
        <f>VLOOKUP(E266,'PREMIUM TABLES'!$F$214:$G$219,2,FALSE)</f>
        <v>FIRST</v>
      </c>
      <c r="S266" s="87" t="str" cm="1">
        <f t="array" ref="S266">IF(AND(L266&gt;0,L266&lt;90),"A",IF(AND(L266&gt;90,L266&lt;123),"B",IF(AND(L266&gt;122,L266&lt;159),"C",IF(AND(L266&gt;159,L266&lt;185),"D",IF(AND(L266&gt;185,L266&lt;230),"E",IF(AND(L266&gt;230,L266&lt;350),"F",NONE))))))</f>
        <v>B</v>
      </c>
      <c r="T266" s="230">
        <f>VLOOKUP(O266,'PREMIUM TABLES'!$G$165:$H$172,2,FALSE)</f>
        <v>0.08</v>
      </c>
      <c r="U266" s="230">
        <f>VLOOKUP(P266,'PREMIUM TABLES'!$G$208:$H$209,2,FALSE)</f>
        <v>2.5000000000000001E-2</v>
      </c>
      <c r="V266" s="230">
        <f>VLOOKUP(Q266,'PREMIUM TABLES'!$G$175:$H$195,2,FALSE)</f>
        <v>0.16</v>
      </c>
      <c r="W266" s="230">
        <f>VLOOKUP(R266,'PREMIUM TABLES'!$G$214:$H$219,2,FALSE)</f>
        <v>7.0000000000000007E-2</v>
      </c>
      <c r="X266" s="230">
        <f>VLOOKUP(S266,'PREMIUM TABLES'!$F$199:$H$205,3,FALSE)</f>
        <v>0.04</v>
      </c>
      <c r="Y266" s="231">
        <f t="shared" si="43"/>
        <v>0.375</v>
      </c>
      <c r="Z266" s="231" t="str" cm="1">
        <f t="array" ref="Z266">IF(AND(Y266&gt;0,Y266&lt;0.5),"C",IF(AND(Y266&gt;=0.5,Y266&lt;0.73),"B",IF(AND(Y266&gt;=0.73,Y266&lt;0.98),"A",NONE)))</f>
        <v>C</v>
      </c>
      <c r="AA266" s="231" t="str">
        <f>VLOOKUP(G266,'ALL (R)'!$N$5:$R$862,5,FALSE)</f>
        <v>R 3</v>
      </c>
      <c r="AB266" s="232">
        <f>VLOOKUP(AA266,FACTS!$B$2:$L$14,10,FALSE)</f>
        <v>44625</v>
      </c>
      <c r="AC266" s="232">
        <f>VLOOKUP(AA266,FACTS!$B$2:$L$14,11,FALSE)</f>
        <v>49875</v>
      </c>
      <c r="AD266" s="232">
        <f>VLOOKUP(AA266,FACTS!$B$2:$N$14,13,FALSE)</f>
        <v>5250</v>
      </c>
      <c r="AE266" s="232">
        <f t="shared" si="44"/>
        <v>1968.75</v>
      </c>
      <c r="AF266" s="232">
        <f t="shared" si="45"/>
        <v>46593.75</v>
      </c>
      <c r="AG266" s="232">
        <f>AF266*FACTS!$T$2</f>
        <v>15375.9375</v>
      </c>
      <c r="AH266" s="232">
        <f>Table1[[#This Row],[UNIT (BUILDING) RATE (SEMI FINISHED)]]+4500</f>
        <v>51093.75</v>
      </c>
      <c r="AI266" s="232">
        <f>Table1[[#This Row],[UNIT (BUILDING) RATE (SEMI FINISHED)]]+7500</f>
        <v>54093.75</v>
      </c>
      <c r="AJ266" s="232">
        <f t="shared" si="46"/>
        <v>5032125</v>
      </c>
      <c r="AK266" s="232">
        <f>Table1[[#This Row],[UNIT (BUILDING) RATE (BASIC FINISH)]]*Table1[[#This Row],[Unit Selling Area]]</f>
        <v>5518125</v>
      </c>
      <c r="AL266" s="232">
        <f>Table1[[#This Row],[UNIT (BUILDING) RATE (FULLY FINISH)]]*Table1[[#This Row],[Unit Selling Area]]</f>
        <v>5842125</v>
      </c>
      <c r="AM266" s="232">
        <f t="shared" si="47"/>
        <v>0</v>
      </c>
      <c r="AN266" s="232">
        <f>(AM266+AJ266)*FACTS!$S$2</f>
        <v>427730.62500000006</v>
      </c>
      <c r="AO266" s="101">
        <f>VLOOKUP(S266,FACTS!$A$17:$C$23,3,FALSE)</f>
        <v>1</v>
      </c>
      <c r="AP266" s="232">
        <f>VLOOKUP(AA266,FACTS!$B$2:$J$14,9,FALSE)</f>
        <v>210000</v>
      </c>
      <c r="AQ266" s="232">
        <f>Table1[[#This Row],[PARKING VALUE]]*1</f>
        <v>210000</v>
      </c>
      <c r="AR266" s="232">
        <f t="shared" si="42"/>
        <v>5242125</v>
      </c>
      <c r="AS266" s="440">
        <f>Table1[[#This Row],[TOTAL CARS VALUE]]+Table1[[#This Row],[UNIT (BUILDING) VALUE BASIC FINISHED]]+Table1[[#This Row],[UNIT (GARDEN) VALUE]]</f>
        <v>5728125</v>
      </c>
      <c r="AT266" s="232">
        <f>Table1[[#This Row],[TOTAL CARS VALUE]]+Table1[[#This Row],[UNIT (GARDEN) VALUE]]+Table1[[#This Row],[UNIT (BUILDING) VALUE FULLY FINISHED]]</f>
        <v>6052125</v>
      </c>
      <c r="AU266" s="233">
        <f>VLOOKUP(I266,'C PHASES'!$I$108:$J$110,2,FALSE)</f>
        <v>45839</v>
      </c>
      <c r="AV266" s="233">
        <f>VLOOKUP(AA266,'C PHASES'!$I$113:$J$125,2,FALSE)</f>
        <v>45383</v>
      </c>
    </row>
    <row r="267" spans="1:48" ht="15" customHeight="1" x14ac:dyDescent="0.25">
      <c r="A267" s="235"/>
      <c r="B267" s="227" t="str">
        <f t="shared" si="40"/>
        <v>B</v>
      </c>
      <c r="C267" s="227" t="s">
        <v>45</v>
      </c>
      <c r="D267" s="227" t="s">
        <v>1147</v>
      </c>
      <c r="E267" s="228">
        <v>2</v>
      </c>
      <c r="F267" s="101">
        <v>1</v>
      </c>
      <c r="G267" s="87" t="str">
        <f t="shared" si="41"/>
        <v>B521</v>
      </c>
      <c r="H267" s="87" t="s">
        <v>1294</v>
      </c>
      <c r="I267" s="89" t="str">
        <f>VLOOKUP(C267,'PREMIUM TABLES'!$G$107:$H$149,2,FALSE)</f>
        <v>C1</v>
      </c>
      <c r="J267" s="87">
        <v>131.43</v>
      </c>
      <c r="K267" s="87">
        <v>142.71764950814546</v>
      </c>
      <c r="L267" s="87">
        <v>160</v>
      </c>
      <c r="O267" s="87" t="s">
        <v>187</v>
      </c>
      <c r="P267" s="87" t="s">
        <v>226</v>
      </c>
      <c r="Q267" s="229" t="s">
        <v>197</v>
      </c>
      <c r="R267" s="87" t="str">
        <f>VLOOKUP(E267,'PREMIUM TABLES'!$F$214:$G$219,2,FALSE)</f>
        <v>SECOND</v>
      </c>
      <c r="S267" s="87" t="str" cm="1">
        <f t="array" ref="S267">IF(AND(L267&gt;0,L267&lt;90),"A",IF(AND(L267&gt;90,L267&lt;123),"B",IF(AND(L267&gt;122,L267&lt;159),"C",IF(AND(L267&gt;159,L267&lt;185),"D",IF(AND(L267&gt;185,L267&lt;230),"E",IF(AND(L267&gt;230,L267&lt;350),"F",NONE))))))</f>
        <v>D</v>
      </c>
      <c r="T267" s="230">
        <f>VLOOKUP(O267,'PREMIUM TABLES'!$G$165:$H$172,2,FALSE)</f>
        <v>0.08</v>
      </c>
      <c r="U267" s="230">
        <f>VLOOKUP(P267,'PREMIUM TABLES'!$G$208:$H$209,2,FALSE)</f>
        <v>0.05</v>
      </c>
      <c r="V267" s="230">
        <f>VLOOKUP(Q267,'PREMIUM TABLES'!$G$175:$H$195,2,FALSE)</f>
        <v>0.16</v>
      </c>
      <c r="W267" s="230">
        <f>VLOOKUP(R267,'PREMIUM TABLES'!$G$214:$H$219,2,FALSE)</f>
        <v>0.11</v>
      </c>
      <c r="X267" s="230">
        <f>VLOOKUP(S267,'PREMIUM TABLES'!$F$199:$H$205,3,FALSE)</f>
        <v>2.5000000000000001E-2</v>
      </c>
      <c r="Y267" s="231">
        <f t="shared" si="43"/>
        <v>0.42500000000000004</v>
      </c>
      <c r="Z267" s="231" t="str" cm="1">
        <f t="array" ref="Z267">IF(AND(Y267&gt;0,Y267&lt;0.5),"C",IF(AND(Y267&gt;=0.5,Y267&lt;0.73),"B",IF(AND(Y267&gt;=0.73,Y267&lt;0.98),"A",NONE)))</f>
        <v>C</v>
      </c>
      <c r="AA267" s="231" t="str">
        <f>VLOOKUP(G267,'ALL (R)'!$N$5:$R$862,5,FALSE)</f>
        <v>R 8</v>
      </c>
      <c r="AB267" s="232">
        <f>VLOOKUP(AA267,FACTS!$B$2:$L$14,10,FALSE)</f>
        <v>51850</v>
      </c>
      <c r="AC267" s="232">
        <f>VLOOKUP(AA267,FACTS!$B$2:$L$14,11,FALSE)</f>
        <v>57950</v>
      </c>
      <c r="AD267" s="232">
        <f>VLOOKUP(AA267,FACTS!$B$2:$N$14,13,FALSE)</f>
        <v>6100</v>
      </c>
      <c r="AE267" s="232">
        <f t="shared" si="44"/>
        <v>2592.5000000000005</v>
      </c>
      <c r="AF267" s="232">
        <f t="shared" si="45"/>
        <v>54442.5</v>
      </c>
      <c r="AG267" s="232">
        <f>AF267*FACTS!$T$2</f>
        <v>17966.025000000001</v>
      </c>
      <c r="AH267" s="232">
        <f>Table1[[#This Row],[UNIT (BUILDING) RATE (SEMI FINISHED)]]+4500</f>
        <v>58942.5</v>
      </c>
      <c r="AI267" s="232">
        <f>Table1[[#This Row],[UNIT (BUILDING) RATE (SEMI FINISHED)]]+7500</f>
        <v>61942.5</v>
      </c>
      <c r="AJ267" s="232">
        <f t="shared" si="46"/>
        <v>8710800</v>
      </c>
      <c r="AK267" s="232">
        <f>Table1[[#This Row],[UNIT (BUILDING) RATE (BASIC FINISH)]]*Table1[[#This Row],[Unit Selling Area]]</f>
        <v>9430800</v>
      </c>
      <c r="AL267" s="232">
        <f>Table1[[#This Row],[UNIT (BUILDING) RATE (FULLY FINISH)]]*Table1[[#This Row],[Unit Selling Area]]</f>
        <v>9910800</v>
      </c>
      <c r="AM267" s="232">
        <f t="shared" si="47"/>
        <v>0</v>
      </c>
      <c r="AN267" s="232">
        <f>(AM267+AJ267)*FACTS!$S$2</f>
        <v>740418</v>
      </c>
      <c r="AO267" s="101">
        <f>VLOOKUP(S267,FACTS!$A$17:$C$23,3,FALSE)</f>
        <v>2</v>
      </c>
      <c r="AP267" s="232">
        <f>VLOOKUP(AA267,FACTS!$B$2:$J$14,9,FALSE)</f>
        <v>244000</v>
      </c>
      <c r="AQ267" s="232">
        <f>Table1[[#This Row],[PARKING VALUE]]*1</f>
        <v>244000</v>
      </c>
      <c r="AR267" s="232">
        <f t="shared" si="42"/>
        <v>8954800</v>
      </c>
      <c r="AS267" s="440">
        <f>Table1[[#This Row],[TOTAL CARS VALUE]]+Table1[[#This Row],[UNIT (BUILDING) VALUE BASIC FINISHED]]+Table1[[#This Row],[UNIT (GARDEN) VALUE]]</f>
        <v>9674800</v>
      </c>
      <c r="AT267" s="232">
        <f>Table1[[#This Row],[TOTAL CARS VALUE]]+Table1[[#This Row],[UNIT (GARDEN) VALUE]]+Table1[[#This Row],[UNIT (BUILDING) VALUE FULLY FINISHED]]</f>
        <v>10154800</v>
      </c>
      <c r="AU267" s="233">
        <f>VLOOKUP(I267,'C PHASES'!$I$108:$J$110,2,FALSE)</f>
        <v>45839</v>
      </c>
      <c r="AV267" s="233">
        <f>VLOOKUP(AA267,'C PHASES'!$I$113:$J$125,2,FALSE)</f>
        <v>45839</v>
      </c>
    </row>
    <row r="268" spans="1:48" ht="15" customHeight="1" x14ac:dyDescent="0.25">
      <c r="A268" s="235"/>
      <c r="B268" s="227" t="str">
        <f t="shared" si="40"/>
        <v>B</v>
      </c>
      <c r="C268" s="227" t="s">
        <v>45</v>
      </c>
      <c r="D268" s="227" t="s">
        <v>1147</v>
      </c>
      <c r="E268" s="228">
        <v>2</v>
      </c>
      <c r="F268" s="101">
        <v>2</v>
      </c>
      <c r="G268" s="87" t="str">
        <f t="shared" si="41"/>
        <v>B522</v>
      </c>
      <c r="H268" s="87" t="s">
        <v>1294</v>
      </c>
      <c r="I268" s="89" t="str">
        <f>VLOOKUP(C268,'PREMIUM TABLES'!$G$107:$H$149,2,FALSE)</f>
        <v>C1</v>
      </c>
      <c r="J268" s="87">
        <v>131.44</v>
      </c>
      <c r="K268" s="87">
        <v>142.72850834170768</v>
      </c>
      <c r="L268" s="87">
        <v>160</v>
      </c>
      <c r="O268" s="87" t="s">
        <v>180</v>
      </c>
      <c r="P268" s="87" t="s">
        <v>226</v>
      </c>
      <c r="Q268" s="229" t="s">
        <v>227</v>
      </c>
      <c r="R268" s="87" t="str">
        <f>VLOOKUP(E268,'PREMIUM TABLES'!$F$214:$G$219,2,FALSE)</f>
        <v>SECOND</v>
      </c>
      <c r="S268" s="87" t="str" cm="1">
        <f t="array" ref="S268">IF(AND(L268&gt;0,L268&lt;90),"A",IF(AND(L268&gt;90,L268&lt;123),"B",IF(AND(L268&gt;122,L268&lt;159),"C",IF(AND(L268&gt;159,L268&lt;185),"D",IF(AND(L268&gt;185,L268&lt;230),"E",IF(AND(L268&gt;230,L268&lt;350),"F",NONE))))))</f>
        <v>D</v>
      </c>
      <c r="T268" s="230">
        <f>VLOOKUP(O268,'PREMIUM TABLES'!$G$165:$H$172,2,FALSE)</f>
        <v>0.13</v>
      </c>
      <c r="U268" s="230">
        <f>VLOOKUP(P268,'PREMIUM TABLES'!$G$208:$H$209,2,FALSE)</f>
        <v>0.05</v>
      </c>
      <c r="V268" s="230">
        <f>VLOOKUP(Q268,'PREMIUM TABLES'!$G$175:$H$195,2,FALSE)</f>
        <v>0.48</v>
      </c>
      <c r="W268" s="230">
        <f>VLOOKUP(R268,'PREMIUM TABLES'!$G$214:$H$219,2,FALSE)</f>
        <v>0.11</v>
      </c>
      <c r="X268" s="230">
        <f>VLOOKUP(S268,'PREMIUM TABLES'!$F$199:$H$205,3,FALSE)</f>
        <v>2.5000000000000001E-2</v>
      </c>
      <c r="Y268" s="231">
        <f t="shared" si="43"/>
        <v>0.79499999999999993</v>
      </c>
      <c r="Z268" s="231" t="str" cm="1">
        <f t="array" ref="Z268">IF(AND(Y268&gt;0,Y268&lt;0.5),"C",IF(AND(Y268&gt;=0.5,Y268&lt;0.73),"B",IF(AND(Y268&gt;=0.73,Y268&lt;0.98),"A",NONE)))</f>
        <v>A</v>
      </c>
      <c r="AA268" s="231" t="str">
        <f>VLOOKUP(G268,'ALL (R)'!$N$5:$R$862,5,FALSE)</f>
        <v>R 5</v>
      </c>
      <c r="AB268" s="232">
        <f>VLOOKUP(AA268,FACTS!$B$2:$L$14,10,FALSE)</f>
        <v>46750.000000000007</v>
      </c>
      <c r="AC268" s="232">
        <f>VLOOKUP(AA268,FACTS!$B$2:$L$14,11,FALSE)</f>
        <v>52250.000000000007</v>
      </c>
      <c r="AD268" s="232">
        <f>VLOOKUP(AA268,FACTS!$B$2:$N$14,13,FALSE)</f>
        <v>5500</v>
      </c>
      <c r="AE268" s="232">
        <f t="shared" si="44"/>
        <v>4372.5</v>
      </c>
      <c r="AF268" s="232">
        <f t="shared" si="45"/>
        <v>51122.500000000007</v>
      </c>
      <c r="AG268" s="232">
        <f>AF268*FACTS!$T$2</f>
        <v>16870.425000000003</v>
      </c>
      <c r="AH268" s="232">
        <f>Table1[[#This Row],[UNIT (BUILDING) RATE (SEMI FINISHED)]]+4500</f>
        <v>55622.500000000007</v>
      </c>
      <c r="AI268" s="232">
        <f>Table1[[#This Row],[UNIT (BUILDING) RATE (SEMI FINISHED)]]+7500</f>
        <v>58622.500000000007</v>
      </c>
      <c r="AJ268" s="232">
        <f t="shared" si="46"/>
        <v>8179600.0000000009</v>
      </c>
      <c r="AK268" s="232">
        <f>Table1[[#This Row],[UNIT (BUILDING) RATE (BASIC FINISH)]]*Table1[[#This Row],[Unit Selling Area]]</f>
        <v>8899600.0000000019</v>
      </c>
      <c r="AL268" s="232">
        <f>Table1[[#This Row],[UNIT (BUILDING) RATE (FULLY FINISH)]]*Table1[[#This Row],[Unit Selling Area]]</f>
        <v>9379600.0000000019</v>
      </c>
      <c r="AM268" s="232">
        <f t="shared" si="47"/>
        <v>0</v>
      </c>
      <c r="AN268" s="232">
        <f>(AM268+AJ268)*FACTS!$S$2</f>
        <v>695266.00000000012</v>
      </c>
      <c r="AO268" s="101">
        <f>VLOOKUP(S268,FACTS!$A$17:$C$23,3,FALSE)</f>
        <v>2</v>
      </c>
      <c r="AP268" s="232">
        <f>VLOOKUP(AA268,FACTS!$B$2:$J$14,9,FALSE)</f>
        <v>220000.00000000003</v>
      </c>
      <c r="AQ268" s="232">
        <f>Table1[[#This Row],[PARKING VALUE]]*1</f>
        <v>220000.00000000003</v>
      </c>
      <c r="AR268" s="232">
        <f t="shared" si="42"/>
        <v>8399600.0000000019</v>
      </c>
      <c r="AS268" s="440">
        <f>Table1[[#This Row],[TOTAL CARS VALUE]]+Table1[[#This Row],[UNIT (BUILDING) VALUE BASIC FINISHED]]+Table1[[#This Row],[UNIT (GARDEN) VALUE]]</f>
        <v>9119600.0000000019</v>
      </c>
      <c r="AT268" s="232">
        <f>Table1[[#This Row],[TOTAL CARS VALUE]]+Table1[[#This Row],[UNIT (GARDEN) VALUE]]+Table1[[#This Row],[UNIT (BUILDING) VALUE FULLY FINISHED]]</f>
        <v>9599600.0000000019</v>
      </c>
      <c r="AU268" s="233">
        <f>VLOOKUP(I268,'C PHASES'!$I$108:$J$110,2,FALSE)</f>
        <v>45839</v>
      </c>
      <c r="AV268" s="233">
        <f>VLOOKUP(AA268,'C PHASES'!$I$113:$J$125,2,FALSE)</f>
        <v>45566</v>
      </c>
    </row>
    <row r="269" spans="1:48" ht="15" customHeight="1" x14ac:dyDescent="0.25">
      <c r="A269" s="235"/>
      <c r="B269" s="227" t="str">
        <f t="shared" si="40"/>
        <v>B</v>
      </c>
      <c r="C269" s="227" t="s">
        <v>45</v>
      </c>
      <c r="D269" s="227" t="s">
        <v>1147</v>
      </c>
      <c r="E269" s="228">
        <v>2</v>
      </c>
      <c r="F269" s="101">
        <v>3</v>
      </c>
      <c r="G269" s="87" t="str">
        <f t="shared" si="41"/>
        <v>B523</v>
      </c>
      <c r="H269" s="87" t="s">
        <v>1294</v>
      </c>
      <c r="I269" s="89" t="str">
        <f>VLOOKUP(C269,'PREMIUM TABLES'!$G$107:$H$149,2,FALSE)</f>
        <v>C1</v>
      </c>
      <c r="J269" s="87">
        <v>126.95</v>
      </c>
      <c r="K269" s="87">
        <v>137.85289207227473</v>
      </c>
      <c r="L269" s="87">
        <v>155</v>
      </c>
      <c r="O269" s="87" t="s">
        <v>180</v>
      </c>
      <c r="P269" s="87" t="s">
        <v>190</v>
      </c>
      <c r="Q269" s="229" t="s">
        <v>209</v>
      </c>
      <c r="R269" s="87" t="str">
        <f>VLOOKUP(E269,'PREMIUM TABLES'!$F$214:$G$219,2,FALSE)</f>
        <v>SECOND</v>
      </c>
      <c r="S269" s="87" t="str" cm="1">
        <f t="array" ref="S269">IF(AND(L269&gt;0,L269&lt;90),"A",IF(AND(L269&gt;90,L269&lt;123),"B",IF(AND(L269&gt;122,L269&lt;159),"C",IF(AND(L269&gt;159,L269&lt;185),"D",IF(AND(L269&gt;185,L269&lt;230),"E",IF(AND(L269&gt;230,L269&lt;350),"F",NONE))))))</f>
        <v>C</v>
      </c>
      <c r="T269" s="230">
        <f>VLOOKUP(O269,'PREMIUM TABLES'!$G$165:$H$172,2,FALSE)</f>
        <v>0.13</v>
      </c>
      <c r="U269" s="230">
        <f>VLOOKUP(P269,'PREMIUM TABLES'!$G$208:$H$209,2,FALSE)</f>
        <v>2.5000000000000001E-2</v>
      </c>
      <c r="V269" s="230">
        <f>VLOOKUP(Q269,'PREMIUM TABLES'!$G$175:$H$195,2,FALSE)</f>
        <v>0.6</v>
      </c>
      <c r="W269" s="230">
        <f>VLOOKUP(R269,'PREMIUM TABLES'!$G$214:$H$219,2,FALSE)</f>
        <v>0.11</v>
      </c>
      <c r="X269" s="230">
        <f>VLOOKUP(S269,'PREMIUM TABLES'!$F$199:$H$205,3,FALSE)</f>
        <v>3.5000000000000003E-2</v>
      </c>
      <c r="Y269" s="231">
        <f t="shared" si="43"/>
        <v>0.9</v>
      </c>
      <c r="Z269" s="231" t="str" cm="1">
        <f t="array" ref="Z269">IF(AND(Y269&gt;0,Y269&lt;0.5),"C",IF(AND(Y269&gt;=0.5,Y269&lt;0.73),"B",IF(AND(Y269&gt;=0.73,Y269&lt;0.98),"A",NONE)))</f>
        <v>A</v>
      </c>
      <c r="AA269" s="231" t="str">
        <f>VLOOKUP(G269,'ALL (R)'!$N$5:$R$862,5,FALSE)</f>
        <v>R 12</v>
      </c>
      <c r="AB269" s="232">
        <f>VLOOKUP(AA269,FACTS!$B$2:$L$14,10,FALSE)</f>
        <v>61625</v>
      </c>
      <c r="AC269" s="232">
        <f>VLOOKUP(AA269,FACTS!$B$2:$L$14,11,FALSE)</f>
        <v>68875</v>
      </c>
      <c r="AD269" s="232">
        <f>VLOOKUP(AA269,FACTS!$B$2:$N$14,13,FALSE)</f>
        <v>7250</v>
      </c>
      <c r="AE269" s="232">
        <f t="shared" si="44"/>
        <v>6525</v>
      </c>
      <c r="AF269" s="232">
        <f t="shared" si="45"/>
        <v>68150</v>
      </c>
      <c r="AG269" s="232">
        <f>AF269*FACTS!$T$2</f>
        <v>22489.5</v>
      </c>
      <c r="AH269" s="232">
        <f>Table1[[#This Row],[UNIT (BUILDING) RATE (SEMI FINISHED)]]+4500</f>
        <v>72650</v>
      </c>
      <c r="AI269" s="232">
        <f>Table1[[#This Row],[UNIT (BUILDING) RATE (SEMI FINISHED)]]+7500</f>
        <v>75650</v>
      </c>
      <c r="AJ269" s="232">
        <f t="shared" si="46"/>
        <v>10563250</v>
      </c>
      <c r="AK269" s="232">
        <f>Table1[[#This Row],[UNIT (BUILDING) RATE (BASIC FINISH)]]*Table1[[#This Row],[Unit Selling Area]]</f>
        <v>11260750</v>
      </c>
      <c r="AL269" s="232">
        <f>Table1[[#This Row],[UNIT (BUILDING) RATE (FULLY FINISH)]]*Table1[[#This Row],[Unit Selling Area]]</f>
        <v>11725750</v>
      </c>
      <c r="AM269" s="232">
        <f t="shared" si="47"/>
        <v>0</v>
      </c>
      <c r="AN269" s="232">
        <f>(AM269+AJ269)*FACTS!$S$2</f>
        <v>897876.25000000012</v>
      </c>
      <c r="AO269" s="101">
        <f>VLOOKUP(S269,FACTS!$A$17:$C$23,3,FALSE)</f>
        <v>2</v>
      </c>
      <c r="AP269" s="232">
        <f>VLOOKUP(AA269,FACTS!$B$2:$J$14,9,FALSE)</f>
        <v>290000</v>
      </c>
      <c r="AQ269" s="232">
        <f>Table1[[#This Row],[PARKING VALUE]]*1</f>
        <v>290000</v>
      </c>
      <c r="AR269" s="232">
        <f t="shared" si="42"/>
        <v>10853250</v>
      </c>
      <c r="AS269" s="440">
        <f>Table1[[#This Row],[TOTAL CARS VALUE]]+Table1[[#This Row],[UNIT (BUILDING) VALUE BASIC FINISHED]]+Table1[[#This Row],[UNIT (GARDEN) VALUE]]</f>
        <v>11550750</v>
      </c>
      <c r="AT269" s="232">
        <f>Table1[[#This Row],[TOTAL CARS VALUE]]+Table1[[#This Row],[UNIT (GARDEN) VALUE]]+Table1[[#This Row],[UNIT (BUILDING) VALUE FULLY FINISHED]]</f>
        <v>12015750</v>
      </c>
      <c r="AU269" s="233">
        <f>VLOOKUP(I269,'C PHASES'!$I$108:$J$110,2,FALSE)</f>
        <v>45839</v>
      </c>
      <c r="AV269" s="233">
        <f>VLOOKUP(AA269,'C PHASES'!$I$113:$J$125,2,FALSE)</f>
        <v>46204</v>
      </c>
    </row>
    <row r="270" spans="1:48" ht="15" customHeight="1" x14ac:dyDescent="0.25">
      <c r="A270" s="235"/>
      <c r="B270" s="227" t="str">
        <f t="shared" si="40"/>
        <v>B</v>
      </c>
      <c r="C270" s="227" t="s">
        <v>45</v>
      </c>
      <c r="D270" s="227" t="s">
        <v>1147</v>
      </c>
      <c r="E270" s="228">
        <v>2</v>
      </c>
      <c r="F270" s="101">
        <v>4</v>
      </c>
      <c r="G270" s="87" t="str">
        <f t="shared" si="41"/>
        <v>B524</v>
      </c>
      <c r="H270" s="87" t="s">
        <v>1294</v>
      </c>
      <c r="I270" s="89" t="str">
        <f>VLOOKUP(C270,'PREMIUM TABLES'!$G$107:$H$149,2,FALSE)</f>
        <v>C1</v>
      </c>
      <c r="J270" s="87">
        <v>127.15</v>
      </c>
      <c r="K270" s="87">
        <v>138.07006874351896</v>
      </c>
      <c r="L270" s="87">
        <v>155</v>
      </c>
      <c r="O270" s="87" t="s">
        <v>187</v>
      </c>
      <c r="P270" s="87" t="s">
        <v>190</v>
      </c>
      <c r="Q270" s="229" t="s">
        <v>197</v>
      </c>
      <c r="R270" s="87" t="str">
        <f>VLOOKUP(E270,'PREMIUM TABLES'!$F$214:$G$219,2,FALSE)</f>
        <v>SECOND</v>
      </c>
      <c r="S270" s="87" t="str" cm="1">
        <f t="array" ref="S270">IF(AND(L270&gt;0,L270&lt;90),"A",IF(AND(L270&gt;90,L270&lt;123),"B",IF(AND(L270&gt;122,L270&lt;159),"C",IF(AND(L270&gt;159,L270&lt;185),"D",IF(AND(L270&gt;185,L270&lt;230),"E",IF(AND(L270&gt;230,L270&lt;350),"F",NONE))))))</f>
        <v>C</v>
      </c>
      <c r="T270" s="230">
        <f>VLOOKUP(O270,'PREMIUM TABLES'!$G$165:$H$172,2,FALSE)</f>
        <v>0.08</v>
      </c>
      <c r="U270" s="230">
        <f>VLOOKUP(P270,'PREMIUM TABLES'!$G$208:$H$209,2,FALSE)</f>
        <v>2.5000000000000001E-2</v>
      </c>
      <c r="V270" s="230">
        <f>VLOOKUP(Q270,'PREMIUM TABLES'!$G$175:$H$195,2,FALSE)</f>
        <v>0.16</v>
      </c>
      <c r="W270" s="230">
        <f>VLOOKUP(R270,'PREMIUM TABLES'!$G$214:$H$219,2,FALSE)</f>
        <v>0.11</v>
      </c>
      <c r="X270" s="230">
        <f>VLOOKUP(S270,'PREMIUM TABLES'!$F$199:$H$205,3,FALSE)</f>
        <v>3.5000000000000003E-2</v>
      </c>
      <c r="Y270" s="231">
        <f t="shared" si="43"/>
        <v>0.41000000000000003</v>
      </c>
      <c r="Z270" s="231" t="str" cm="1">
        <f t="array" ref="Z270">IF(AND(Y270&gt;0,Y270&lt;0.5),"C",IF(AND(Y270&gt;=0.5,Y270&lt;0.73),"B",IF(AND(Y270&gt;=0.73,Y270&lt;0.98),"A",NONE)))</f>
        <v>C</v>
      </c>
      <c r="AA270" s="231" t="str">
        <f>VLOOKUP(G270,'ALL (R)'!$N$5:$R$862,5,FALSE)</f>
        <v>R 6</v>
      </c>
      <c r="AB270" s="232">
        <f>VLOOKUP(AA270,FACTS!$B$2:$L$14,10,FALSE)</f>
        <v>48450.000000000007</v>
      </c>
      <c r="AC270" s="232">
        <f>VLOOKUP(AA270,FACTS!$B$2:$L$14,11,FALSE)</f>
        <v>54150.000000000007</v>
      </c>
      <c r="AD270" s="232">
        <f>VLOOKUP(AA270,FACTS!$B$2:$N$14,13,FALSE)</f>
        <v>5700</v>
      </c>
      <c r="AE270" s="232">
        <f t="shared" si="44"/>
        <v>2337</v>
      </c>
      <c r="AF270" s="232">
        <f t="shared" si="45"/>
        <v>50787.000000000007</v>
      </c>
      <c r="AG270" s="232">
        <f>AF270*FACTS!$T$2</f>
        <v>16759.710000000003</v>
      </c>
      <c r="AH270" s="232">
        <f>Table1[[#This Row],[UNIT (BUILDING) RATE (SEMI FINISHED)]]+4500</f>
        <v>55287.000000000007</v>
      </c>
      <c r="AI270" s="232">
        <f>Table1[[#This Row],[UNIT (BUILDING) RATE (SEMI FINISHED)]]+7500</f>
        <v>58287.000000000007</v>
      </c>
      <c r="AJ270" s="232">
        <f t="shared" si="46"/>
        <v>7871985.0000000009</v>
      </c>
      <c r="AK270" s="232">
        <f>Table1[[#This Row],[UNIT (BUILDING) RATE (BASIC FINISH)]]*Table1[[#This Row],[Unit Selling Area]]</f>
        <v>8569485.0000000019</v>
      </c>
      <c r="AL270" s="232">
        <f>Table1[[#This Row],[UNIT (BUILDING) RATE (FULLY FINISH)]]*Table1[[#This Row],[Unit Selling Area]]</f>
        <v>9034485.0000000019</v>
      </c>
      <c r="AM270" s="232">
        <f t="shared" si="47"/>
        <v>0</v>
      </c>
      <c r="AN270" s="232">
        <f>(AM270+AJ270)*FACTS!$S$2</f>
        <v>669118.72500000009</v>
      </c>
      <c r="AO270" s="101">
        <f>VLOOKUP(S270,FACTS!$A$17:$C$23,3,FALSE)</f>
        <v>2</v>
      </c>
      <c r="AP270" s="232">
        <f>VLOOKUP(AA270,FACTS!$B$2:$J$14,9,FALSE)</f>
        <v>228000.00000000003</v>
      </c>
      <c r="AQ270" s="232">
        <f>Table1[[#This Row],[PARKING VALUE]]*1</f>
        <v>228000.00000000003</v>
      </c>
      <c r="AR270" s="232">
        <f t="shared" si="42"/>
        <v>8099985.0000000009</v>
      </c>
      <c r="AS270" s="440">
        <f>Table1[[#This Row],[TOTAL CARS VALUE]]+Table1[[#This Row],[UNIT (BUILDING) VALUE BASIC FINISHED]]+Table1[[#This Row],[UNIT (GARDEN) VALUE]]</f>
        <v>8797485.0000000019</v>
      </c>
      <c r="AT270" s="232">
        <f>Table1[[#This Row],[TOTAL CARS VALUE]]+Table1[[#This Row],[UNIT (GARDEN) VALUE]]+Table1[[#This Row],[UNIT (BUILDING) VALUE FULLY FINISHED]]</f>
        <v>9262485.0000000019</v>
      </c>
      <c r="AU270" s="233">
        <f>VLOOKUP(I270,'C PHASES'!$I$108:$J$110,2,FALSE)</f>
        <v>45839</v>
      </c>
      <c r="AV270" s="233">
        <f>VLOOKUP(AA270,'C PHASES'!$I$113:$J$125,2,FALSE)</f>
        <v>45658</v>
      </c>
    </row>
    <row r="271" spans="1:48" ht="15" customHeight="1" x14ac:dyDescent="0.25">
      <c r="A271" s="235"/>
      <c r="B271" s="227" t="str">
        <f t="shared" si="40"/>
        <v>B</v>
      </c>
      <c r="C271" s="227" t="s">
        <v>45</v>
      </c>
      <c r="D271" s="227" t="s">
        <v>1147</v>
      </c>
      <c r="E271" s="228">
        <v>3</v>
      </c>
      <c r="F271" s="101">
        <v>1</v>
      </c>
      <c r="G271" s="87" t="str">
        <f t="shared" si="41"/>
        <v>B531</v>
      </c>
      <c r="H271" s="87" t="s">
        <v>1294</v>
      </c>
      <c r="I271" s="89" t="str">
        <f>VLOOKUP(C271,'PREMIUM TABLES'!$G$107:$H$149,2,FALSE)</f>
        <v>C1</v>
      </c>
      <c r="J271" s="87">
        <v>131.88</v>
      </c>
      <c r="K271" s="87">
        <v>143.20629701844499</v>
      </c>
      <c r="L271" s="87">
        <v>161</v>
      </c>
      <c r="O271" s="87" t="s">
        <v>187</v>
      </c>
      <c r="P271" s="87" t="s">
        <v>226</v>
      </c>
      <c r="Q271" s="229" t="s">
        <v>197</v>
      </c>
      <c r="R271" s="87" t="str">
        <f>VLOOKUP(E271,'PREMIUM TABLES'!$F$214:$G$219,2,FALSE)</f>
        <v>THIRD</v>
      </c>
      <c r="S271" s="87" t="str" cm="1">
        <f t="array" ref="S271">IF(AND(L271&gt;0,L271&lt;90),"A",IF(AND(L271&gt;90,L271&lt;123),"B",IF(AND(L271&gt;122,L271&lt;159),"C",IF(AND(L271&gt;159,L271&lt;185),"D",IF(AND(L271&gt;185,L271&lt;230),"E",IF(AND(L271&gt;230,L271&lt;350),"F",NONE))))))</f>
        <v>D</v>
      </c>
      <c r="T271" s="230">
        <f>VLOOKUP(O271,'PREMIUM TABLES'!$G$165:$H$172,2,FALSE)</f>
        <v>0.08</v>
      </c>
      <c r="U271" s="230">
        <f>VLOOKUP(P271,'PREMIUM TABLES'!$G$208:$H$209,2,FALSE)</f>
        <v>0.05</v>
      </c>
      <c r="V271" s="230">
        <f>VLOOKUP(Q271,'PREMIUM TABLES'!$G$175:$H$195,2,FALSE)</f>
        <v>0.16</v>
      </c>
      <c r="W271" s="230">
        <f>VLOOKUP(R271,'PREMIUM TABLES'!$G$214:$H$219,2,FALSE)</f>
        <v>0.15</v>
      </c>
      <c r="X271" s="230">
        <f>VLOOKUP(S271,'PREMIUM TABLES'!$F$199:$H$205,3,FALSE)</f>
        <v>2.5000000000000001E-2</v>
      </c>
      <c r="Y271" s="231">
        <f t="shared" si="43"/>
        <v>0.46500000000000008</v>
      </c>
      <c r="Z271" s="231" t="str" cm="1">
        <f t="array" ref="Z271">IF(AND(Y271&gt;0,Y271&lt;0.5),"C",IF(AND(Y271&gt;=0.5,Y271&lt;0.73),"B",IF(AND(Y271&gt;=0.73,Y271&lt;0.98),"A",NONE)))</f>
        <v>C</v>
      </c>
      <c r="AA271" s="231" t="str">
        <f>VLOOKUP(G271,'ALL (R)'!$N$5:$R$862,5,FALSE)</f>
        <v>R 12</v>
      </c>
      <c r="AB271" s="232">
        <f>VLOOKUP(AA271,FACTS!$B$2:$L$14,10,FALSE)</f>
        <v>61625</v>
      </c>
      <c r="AC271" s="232">
        <f>VLOOKUP(AA271,FACTS!$B$2:$L$14,11,FALSE)</f>
        <v>68875</v>
      </c>
      <c r="AD271" s="232">
        <f>VLOOKUP(AA271,FACTS!$B$2:$N$14,13,FALSE)</f>
        <v>7250</v>
      </c>
      <c r="AE271" s="232">
        <f t="shared" si="44"/>
        <v>3371.2500000000005</v>
      </c>
      <c r="AF271" s="232">
        <f t="shared" si="45"/>
        <v>64996.25</v>
      </c>
      <c r="AG271" s="232">
        <f>AF271*FACTS!$T$2</f>
        <v>21448.762500000001</v>
      </c>
      <c r="AH271" s="232">
        <f>Table1[[#This Row],[UNIT (BUILDING) RATE (SEMI FINISHED)]]+4500</f>
        <v>69496.25</v>
      </c>
      <c r="AI271" s="232">
        <f>Table1[[#This Row],[UNIT (BUILDING) RATE (SEMI FINISHED)]]+7500</f>
        <v>72496.25</v>
      </c>
      <c r="AJ271" s="232">
        <f t="shared" si="46"/>
        <v>10464396.25</v>
      </c>
      <c r="AK271" s="232">
        <f>Table1[[#This Row],[UNIT (BUILDING) RATE (BASIC FINISH)]]*Table1[[#This Row],[Unit Selling Area]]</f>
        <v>11188896.25</v>
      </c>
      <c r="AL271" s="232">
        <f>Table1[[#This Row],[UNIT (BUILDING) RATE (FULLY FINISH)]]*Table1[[#This Row],[Unit Selling Area]]</f>
        <v>11671896.25</v>
      </c>
      <c r="AM271" s="232">
        <f t="shared" si="47"/>
        <v>0</v>
      </c>
      <c r="AN271" s="232">
        <f>(AM271+AJ271)*FACTS!$S$2</f>
        <v>889473.68125000002</v>
      </c>
      <c r="AO271" s="101">
        <f>VLOOKUP(S271,FACTS!$A$17:$C$23,3,FALSE)</f>
        <v>2</v>
      </c>
      <c r="AP271" s="232">
        <f>VLOOKUP(AA271,FACTS!$B$2:$J$14,9,FALSE)</f>
        <v>290000</v>
      </c>
      <c r="AQ271" s="232">
        <f>Table1[[#This Row],[PARKING VALUE]]*1</f>
        <v>290000</v>
      </c>
      <c r="AR271" s="232">
        <f t="shared" si="42"/>
        <v>10754396.25</v>
      </c>
      <c r="AS271" s="440">
        <f>Table1[[#This Row],[TOTAL CARS VALUE]]+Table1[[#This Row],[UNIT (BUILDING) VALUE BASIC FINISHED]]+Table1[[#This Row],[UNIT (GARDEN) VALUE]]</f>
        <v>11478896.25</v>
      </c>
      <c r="AT271" s="232">
        <f>Table1[[#This Row],[TOTAL CARS VALUE]]+Table1[[#This Row],[UNIT (GARDEN) VALUE]]+Table1[[#This Row],[UNIT (BUILDING) VALUE FULLY FINISHED]]</f>
        <v>11961896.25</v>
      </c>
      <c r="AU271" s="233">
        <f>VLOOKUP(I271,'C PHASES'!$I$108:$J$110,2,FALSE)</f>
        <v>45839</v>
      </c>
      <c r="AV271" s="233">
        <f>VLOOKUP(AA271,'C PHASES'!$I$113:$J$125,2,FALSE)</f>
        <v>46204</v>
      </c>
    </row>
    <row r="272" spans="1:48" ht="15" customHeight="1" x14ac:dyDescent="0.25">
      <c r="A272" s="235"/>
      <c r="B272" s="227" t="str">
        <f t="shared" si="40"/>
        <v>B</v>
      </c>
      <c r="C272" s="227" t="s">
        <v>45</v>
      </c>
      <c r="D272" s="227" t="s">
        <v>1147</v>
      </c>
      <c r="E272" s="228">
        <v>3</v>
      </c>
      <c r="F272" s="101">
        <v>2</v>
      </c>
      <c r="G272" s="87" t="str">
        <f t="shared" si="41"/>
        <v>B532</v>
      </c>
      <c r="H272" s="87" t="s">
        <v>1294</v>
      </c>
      <c r="I272" s="89" t="str">
        <f>VLOOKUP(C272,'PREMIUM TABLES'!$G$107:$H$149,2,FALSE)</f>
        <v>C1</v>
      </c>
      <c r="J272" s="87">
        <v>131.43</v>
      </c>
      <c r="K272" s="87">
        <v>142.71764950814546</v>
      </c>
      <c r="L272" s="87">
        <v>160</v>
      </c>
      <c r="O272" s="87" t="s">
        <v>180</v>
      </c>
      <c r="P272" s="87" t="s">
        <v>226</v>
      </c>
      <c r="Q272" s="229" t="s">
        <v>227</v>
      </c>
      <c r="R272" s="87" t="str">
        <f>VLOOKUP(E272,'PREMIUM TABLES'!$F$214:$G$219,2,FALSE)</f>
        <v>THIRD</v>
      </c>
      <c r="S272" s="87" t="str" cm="1">
        <f t="array" ref="S272">IF(AND(L272&gt;0,L272&lt;90),"A",IF(AND(L272&gt;90,L272&lt;123),"B",IF(AND(L272&gt;122,L272&lt;159),"C",IF(AND(L272&gt;159,L272&lt;185),"D",IF(AND(L272&gt;185,L272&lt;230),"E",IF(AND(L272&gt;230,L272&lt;350),"F",NONE))))))</f>
        <v>D</v>
      </c>
      <c r="T272" s="230">
        <f>VLOOKUP(O272,'PREMIUM TABLES'!$G$165:$H$172,2,FALSE)</f>
        <v>0.13</v>
      </c>
      <c r="U272" s="230">
        <f>VLOOKUP(P272,'PREMIUM TABLES'!$G$208:$H$209,2,FALSE)</f>
        <v>0.05</v>
      </c>
      <c r="V272" s="230">
        <f>VLOOKUP(Q272,'PREMIUM TABLES'!$G$175:$H$195,2,FALSE)</f>
        <v>0.48</v>
      </c>
      <c r="W272" s="230">
        <f>VLOOKUP(R272,'PREMIUM TABLES'!$G$214:$H$219,2,FALSE)</f>
        <v>0.15</v>
      </c>
      <c r="X272" s="230">
        <f>VLOOKUP(S272,'PREMIUM TABLES'!$F$199:$H$205,3,FALSE)</f>
        <v>2.5000000000000001E-2</v>
      </c>
      <c r="Y272" s="231">
        <f t="shared" si="43"/>
        <v>0.83499999999999996</v>
      </c>
      <c r="Z272" s="231" t="str" cm="1">
        <f t="array" ref="Z272">IF(AND(Y272&gt;0,Y272&lt;0.5),"C",IF(AND(Y272&gt;=0.5,Y272&lt;0.73),"B",IF(AND(Y272&gt;=0.73,Y272&lt;0.98),"A",NONE)))</f>
        <v>A</v>
      </c>
      <c r="AA272" s="231" t="str">
        <f>VLOOKUP(G272,'ALL (R)'!$N$5:$R$862,5,FALSE)</f>
        <v>R 8</v>
      </c>
      <c r="AB272" s="232">
        <f>VLOOKUP(AA272,FACTS!$B$2:$L$14,10,FALSE)</f>
        <v>51850</v>
      </c>
      <c r="AC272" s="232">
        <f>VLOOKUP(AA272,FACTS!$B$2:$L$14,11,FALSE)</f>
        <v>57950</v>
      </c>
      <c r="AD272" s="232">
        <f>VLOOKUP(AA272,FACTS!$B$2:$N$14,13,FALSE)</f>
        <v>6100</v>
      </c>
      <c r="AE272" s="232">
        <f t="shared" si="44"/>
        <v>5093.5</v>
      </c>
      <c r="AF272" s="232">
        <f t="shared" si="45"/>
        <v>56943.5</v>
      </c>
      <c r="AG272" s="232">
        <f>AF272*FACTS!$T$2</f>
        <v>18791.355</v>
      </c>
      <c r="AH272" s="232">
        <f>Table1[[#This Row],[UNIT (BUILDING) RATE (SEMI FINISHED)]]+4500</f>
        <v>61443.5</v>
      </c>
      <c r="AI272" s="232">
        <f>Table1[[#This Row],[UNIT (BUILDING) RATE (SEMI FINISHED)]]+7500</f>
        <v>64443.5</v>
      </c>
      <c r="AJ272" s="232">
        <f t="shared" si="46"/>
        <v>9110960</v>
      </c>
      <c r="AK272" s="232">
        <f>Table1[[#This Row],[UNIT (BUILDING) RATE (BASIC FINISH)]]*Table1[[#This Row],[Unit Selling Area]]</f>
        <v>9830960</v>
      </c>
      <c r="AL272" s="232">
        <f>Table1[[#This Row],[UNIT (BUILDING) RATE (FULLY FINISH)]]*Table1[[#This Row],[Unit Selling Area]]</f>
        <v>10310960</v>
      </c>
      <c r="AM272" s="232">
        <f t="shared" si="47"/>
        <v>0</v>
      </c>
      <c r="AN272" s="232">
        <f>(AM272+AJ272)*FACTS!$S$2</f>
        <v>774431.60000000009</v>
      </c>
      <c r="AO272" s="101">
        <f>VLOOKUP(S272,FACTS!$A$17:$C$23,3,FALSE)</f>
        <v>2</v>
      </c>
      <c r="AP272" s="232">
        <f>VLOOKUP(AA272,FACTS!$B$2:$J$14,9,FALSE)</f>
        <v>244000</v>
      </c>
      <c r="AQ272" s="232">
        <f>Table1[[#This Row],[PARKING VALUE]]*1</f>
        <v>244000</v>
      </c>
      <c r="AR272" s="232">
        <f t="shared" si="42"/>
        <v>9354960</v>
      </c>
      <c r="AS272" s="440">
        <f>Table1[[#This Row],[TOTAL CARS VALUE]]+Table1[[#This Row],[UNIT (BUILDING) VALUE BASIC FINISHED]]+Table1[[#This Row],[UNIT (GARDEN) VALUE]]</f>
        <v>10074960</v>
      </c>
      <c r="AT272" s="232">
        <f>Table1[[#This Row],[TOTAL CARS VALUE]]+Table1[[#This Row],[UNIT (GARDEN) VALUE]]+Table1[[#This Row],[UNIT (BUILDING) VALUE FULLY FINISHED]]</f>
        <v>10554960</v>
      </c>
      <c r="AU272" s="233">
        <f>VLOOKUP(I272,'C PHASES'!$I$108:$J$110,2,FALSE)</f>
        <v>45839</v>
      </c>
      <c r="AV272" s="233">
        <f>VLOOKUP(AA272,'C PHASES'!$I$113:$J$125,2,FALSE)</f>
        <v>45839</v>
      </c>
    </row>
    <row r="273" spans="1:48" ht="15" customHeight="1" x14ac:dyDescent="0.25">
      <c r="A273" s="235"/>
      <c r="B273" s="227" t="str">
        <f t="shared" si="40"/>
        <v>B</v>
      </c>
      <c r="C273" s="227" t="s">
        <v>45</v>
      </c>
      <c r="D273" s="227" t="s">
        <v>1147</v>
      </c>
      <c r="E273" s="228">
        <v>3</v>
      </c>
      <c r="F273" s="101">
        <v>3</v>
      </c>
      <c r="G273" s="87" t="str">
        <f t="shared" si="41"/>
        <v>B533</v>
      </c>
      <c r="H273" s="87" t="s">
        <v>1294</v>
      </c>
      <c r="I273" s="89" t="str">
        <f>VLOOKUP(C273,'PREMIUM TABLES'!$G$107:$H$149,2,FALSE)</f>
        <v>C1</v>
      </c>
      <c r="J273" s="87">
        <v>126.97</v>
      </c>
      <c r="K273" s="87">
        <v>137.87460973939915</v>
      </c>
      <c r="L273" s="87">
        <v>155</v>
      </c>
      <c r="O273" s="87" t="s">
        <v>180</v>
      </c>
      <c r="P273" s="87" t="s">
        <v>190</v>
      </c>
      <c r="Q273" s="229" t="s">
        <v>209</v>
      </c>
      <c r="R273" s="87" t="str">
        <f>VLOOKUP(E273,'PREMIUM TABLES'!$F$214:$G$219,2,FALSE)</f>
        <v>THIRD</v>
      </c>
      <c r="S273" s="87" t="str" cm="1">
        <f t="array" ref="S273">IF(AND(L273&gt;0,L273&lt;90),"A",IF(AND(L273&gt;90,L273&lt;123),"B",IF(AND(L273&gt;122,L273&lt;159),"C",IF(AND(L273&gt;159,L273&lt;185),"D",IF(AND(L273&gt;185,L273&lt;230),"E",IF(AND(L273&gt;230,L273&lt;350),"F",NONE))))))</f>
        <v>C</v>
      </c>
      <c r="T273" s="230">
        <f>VLOOKUP(O273,'PREMIUM TABLES'!$G$165:$H$172,2,FALSE)</f>
        <v>0.13</v>
      </c>
      <c r="U273" s="230">
        <f>VLOOKUP(P273,'PREMIUM TABLES'!$G$208:$H$209,2,FALSE)</f>
        <v>2.5000000000000001E-2</v>
      </c>
      <c r="V273" s="230">
        <f>VLOOKUP(Q273,'PREMIUM TABLES'!$G$175:$H$195,2,FALSE)</f>
        <v>0.6</v>
      </c>
      <c r="W273" s="230">
        <f>VLOOKUP(R273,'PREMIUM TABLES'!$G$214:$H$219,2,FALSE)</f>
        <v>0.15</v>
      </c>
      <c r="X273" s="230">
        <f>VLOOKUP(S273,'PREMIUM TABLES'!$F$199:$H$205,3,FALSE)</f>
        <v>3.5000000000000003E-2</v>
      </c>
      <c r="Y273" s="231">
        <f t="shared" si="43"/>
        <v>0.94000000000000006</v>
      </c>
      <c r="Z273" s="231" t="str" cm="1">
        <f t="array" ref="Z273">IF(AND(Y273&gt;0,Y273&lt;0.5),"C",IF(AND(Y273&gt;=0.5,Y273&lt;0.73),"B",IF(AND(Y273&gt;=0.73,Y273&lt;0.98),"A",NONE)))</f>
        <v>A</v>
      </c>
      <c r="AA273" s="231" t="str">
        <f>VLOOKUP(G273,'ALL (R)'!$N$5:$R$862,5,FALSE)</f>
        <v>R 12</v>
      </c>
      <c r="AB273" s="232">
        <f>VLOOKUP(AA273,FACTS!$B$2:$L$14,10,FALSE)</f>
        <v>61625</v>
      </c>
      <c r="AC273" s="232">
        <f>VLOOKUP(AA273,FACTS!$B$2:$L$14,11,FALSE)</f>
        <v>68875</v>
      </c>
      <c r="AD273" s="232">
        <f>VLOOKUP(AA273,FACTS!$B$2:$N$14,13,FALSE)</f>
        <v>7250</v>
      </c>
      <c r="AE273" s="232">
        <f t="shared" si="44"/>
        <v>6815</v>
      </c>
      <c r="AF273" s="232">
        <f t="shared" si="45"/>
        <v>68440</v>
      </c>
      <c r="AG273" s="232">
        <f>AF273*FACTS!$T$2</f>
        <v>22585.200000000001</v>
      </c>
      <c r="AH273" s="232">
        <f>Table1[[#This Row],[UNIT (BUILDING) RATE (SEMI FINISHED)]]+4500</f>
        <v>72940</v>
      </c>
      <c r="AI273" s="232">
        <f>Table1[[#This Row],[UNIT (BUILDING) RATE (SEMI FINISHED)]]+7500</f>
        <v>75940</v>
      </c>
      <c r="AJ273" s="232">
        <f t="shared" si="46"/>
        <v>10608200</v>
      </c>
      <c r="AK273" s="232">
        <f>Table1[[#This Row],[UNIT (BUILDING) RATE (BASIC FINISH)]]*Table1[[#This Row],[Unit Selling Area]]</f>
        <v>11305700</v>
      </c>
      <c r="AL273" s="232">
        <f>Table1[[#This Row],[UNIT (BUILDING) RATE (FULLY FINISH)]]*Table1[[#This Row],[Unit Selling Area]]</f>
        <v>11770700</v>
      </c>
      <c r="AM273" s="232">
        <f t="shared" si="47"/>
        <v>0</v>
      </c>
      <c r="AN273" s="232">
        <f>(AM273+AJ273)*FACTS!$S$2</f>
        <v>901697.00000000012</v>
      </c>
      <c r="AO273" s="101">
        <f>VLOOKUP(S273,FACTS!$A$17:$C$23,3,FALSE)</f>
        <v>2</v>
      </c>
      <c r="AP273" s="232">
        <f>VLOOKUP(AA273,FACTS!$B$2:$J$14,9,FALSE)</f>
        <v>290000</v>
      </c>
      <c r="AQ273" s="232">
        <f>Table1[[#This Row],[PARKING VALUE]]*1</f>
        <v>290000</v>
      </c>
      <c r="AR273" s="232">
        <f t="shared" si="42"/>
        <v>10898200</v>
      </c>
      <c r="AS273" s="440">
        <f>Table1[[#This Row],[TOTAL CARS VALUE]]+Table1[[#This Row],[UNIT (BUILDING) VALUE BASIC FINISHED]]+Table1[[#This Row],[UNIT (GARDEN) VALUE]]</f>
        <v>11595700</v>
      </c>
      <c r="AT273" s="232">
        <f>Table1[[#This Row],[TOTAL CARS VALUE]]+Table1[[#This Row],[UNIT (GARDEN) VALUE]]+Table1[[#This Row],[UNIT (BUILDING) VALUE FULLY FINISHED]]</f>
        <v>12060700</v>
      </c>
      <c r="AU273" s="233">
        <f>VLOOKUP(I273,'C PHASES'!$I$108:$J$110,2,FALSE)</f>
        <v>45839</v>
      </c>
      <c r="AV273" s="233">
        <f>VLOOKUP(AA273,'C PHASES'!$I$113:$J$125,2,FALSE)</f>
        <v>46204</v>
      </c>
    </row>
    <row r="274" spans="1:48" ht="15" customHeight="1" x14ac:dyDescent="0.25">
      <c r="A274" s="235"/>
      <c r="B274" s="227" t="str">
        <f t="shared" si="40"/>
        <v>B</v>
      </c>
      <c r="C274" s="227" t="s">
        <v>45</v>
      </c>
      <c r="D274" s="227" t="s">
        <v>1147</v>
      </c>
      <c r="E274" s="228">
        <v>3</v>
      </c>
      <c r="F274" s="101">
        <v>4</v>
      </c>
      <c r="G274" s="87" t="str">
        <f t="shared" si="41"/>
        <v>B534</v>
      </c>
      <c r="H274" s="87" t="s">
        <v>1294</v>
      </c>
      <c r="I274" s="89" t="str">
        <f>VLOOKUP(C274,'PREMIUM TABLES'!$G$107:$H$149,2,FALSE)</f>
        <v>C1</v>
      </c>
      <c r="J274" s="87">
        <v>127.45</v>
      </c>
      <c r="K274" s="87">
        <v>138.39583375038529</v>
      </c>
      <c r="L274" s="87">
        <v>155</v>
      </c>
      <c r="O274" s="87" t="s">
        <v>187</v>
      </c>
      <c r="P274" s="87" t="s">
        <v>190</v>
      </c>
      <c r="Q274" s="229" t="s">
        <v>197</v>
      </c>
      <c r="R274" s="87" t="str">
        <f>VLOOKUP(E274,'PREMIUM TABLES'!$F$214:$G$219,2,FALSE)</f>
        <v>THIRD</v>
      </c>
      <c r="S274" s="87" t="str" cm="1">
        <f t="array" ref="S274">IF(AND(L274&gt;0,L274&lt;90),"A",IF(AND(L274&gt;90,L274&lt;123),"B",IF(AND(L274&gt;122,L274&lt;159),"C",IF(AND(L274&gt;159,L274&lt;185),"D",IF(AND(L274&gt;185,L274&lt;230),"E",IF(AND(L274&gt;230,L274&lt;350),"F",NONE))))))</f>
        <v>C</v>
      </c>
      <c r="T274" s="230">
        <f>VLOOKUP(O274,'PREMIUM TABLES'!$G$165:$H$172,2,FALSE)</f>
        <v>0.08</v>
      </c>
      <c r="U274" s="230">
        <f>VLOOKUP(P274,'PREMIUM TABLES'!$G$208:$H$209,2,FALSE)</f>
        <v>2.5000000000000001E-2</v>
      </c>
      <c r="V274" s="230">
        <f>VLOOKUP(Q274,'PREMIUM TABLES'!$G$175:$H$195,2,FALSE)</f>
        <v>0.16</v>
      </c>
      <c r="W274" s="230">
        <f>VLOOKUP(R274,'PREMIUM TABLES'!$G$214:$H$219,2,FALSE)</f>
        <v>0.15</v>
      </c>
      <c r="X274" s="230">
        <f>VLOOKUP(S274,'PREMIUM TABLES'!$F$199:$H$205,3,FALSE)</f>
        <v>3.5000000000000003E-2</v>
      </c>
      <c r="Y274" s="231">
        <f t="shared" si="43"/>
        <v>0.45000000000000007</v>
      </c>
      <c r="Z274" s="231" t="str" cm="1">
        <f t="array" ref="Z274">IF(AND(Y274&gt;0,Y274&lt;0.5),"C",IF(AND(Y274&gt;=0.5,Y274&lt;0.73),"B",IF(AND(Y274&gt;=0.73,Y274&lt;0.98),"A",NONE)))</f>
        <v>C</v>
      </c>
      <c r="AA274" s="231" t="str">
        <f>VLOOKUP(G274,'ALL (R)'!$N$5:$R$862,5,FALSE)</f>
        <v>R 10</v>
      </c>
      <c r="AB274" s="232">
        <f>VLOOKUP(AA274,FACTS!$B$2:$L$14,10,FALSE)</f>
        <v>56100</v>
      </c>
      <c r="AC274" s="232">
        <f>VLOOKUP(AA274,FACTS!$B$2:$L$14,11,FALSE)</f>
        <v>62700</v>
      </c>
      <c r="AD274" s="232">
        <f>VLOOKUP(AA274,FACTS!$B$2:$N$14,13,FALSE)</f>
        <v>6600</v>
      </c>
      <c r="AE274" s="232">
        <f t="shared" si="44"/>
        <v>2970.0000000000005</v>
      </c>
      <c r="AF274" s="232">
        <f t="shared" si="45"/>
        <v>59070</v>
      </c>
      <c r="AG274" s="232">
        <f>AF274*FACTS!$T$2</f>
        <v>19493.100000000002</v>
      </c>
      <c r="AH274" s="232">
        <f>Table1[[#This Row],[UNIT (BUILDING) RATE (SEMI FINISHED)]]+4500</f>
        <v>63570</v>
      </c>
      <c r="AI274" s="232">
        <f>Table1[[#This Row],[UNIT (BUILDING) RATE (SEMI FINISHED)]]+7500</f>
        <v>66570</v>
      </c>
      <c r="AJ274" s="232">
        <f t="shared" si="46"/>
        <v>9155850</v>
      </c>
      <c r="AK274" s="232">
        <f>Table1[[#This Row],[UNIT (BUILDING) RATE (BASIC FINISH)]]*Table1[[#This Row],[Unit Selling Area]]</f>
        <v>9853350</v>
      </c>
      <c r="AL274" s="232">
        <f>Table1[[#This Row],[UNIT (BUILDING) RATE (FULLY FINISH)]]*Table1[[#This Row],[Unit Selling Area]]</f>
        <v>10318350</v>
      </c>
      <c r="AM274" s="232">
        <f t="shared" si="47"/>
        <v>0</v>
      </c>
      <c r="AN274" s="232">
        <f>(AM274+AJ274)*FACTS!$S$2</f>
        <v>778247.25</v>
      </c>
      <c r="AO274" s="101">
        <f>VLOOKUP(S274,FACTS!$A$17:$C$23,3,FALSE)</f>
        <v>2</v>
      </c>
      <c r="AP274" s="232">
        <f>VLOOKUP(AA274,FACTS!$B$2:$J$14,9,FALSE)</f>
        <v>264000</v>
      </c>
      <c r="AQ274" s="232">
        <f>Table1[[#This Row],[PARKING VALUE]]*1</f>
        <v>264000</v>
      </c>
      <c r="AR274" s="232">
        <f t="shared" si="42"/>
        <v>9419850</v>
      </c>
      <c r="AS274" s="440">
        <f>Table1[[#This Row],[TOTAL CARS VALUE]]+Table1[[#This Row],[UNIT (BUILDING) VALUE BASIC FINISHED]]+Table1[[#This Row],[UNIT (GARDEN) VALUE]]</f>
        <v>10117350</v>
      </c>
      <c r="AT274" s="232">
        <f>Table1[[#This Row],[TOTAL CARS VALUE]]+Table1[[#This Row],[UNIT (GARDEN) VALUE]]+Table1[[#This Row],[UNIT (BUILDING) VALUE FULLY FINISHED]]</f>
        <v>10582350</v>
      </c>
      <c r="AU274" s="233">
        <f>VLOOKUP(I274,'C PHASES'!$I$108:$J$110,2,FALSE)</f>
        <v>45839</v>
      </c>
      <c r="AV274" s="233">
        <f>VLOOKUP(AA274,'C PHASES'!$I$113:$J$125,2,FALSE)</f>
        <v>46023</v>
      </c>
    </row>
    <row r="275" spans="1:48" ht="15" customHeight="1" x14ac:dyDescent="0.25">
      <c r="A275" s="235"/>
      <c r="B275" s="227" t="str">
        <f t="shared" si="40"/>
        <v>B</v>
      </c>
      <c r="C275" s="227" t="s">
        <v>45</v>
      </c>
      <c r="D275" s="227" t="s">
        <v>1147</v>
      </c>
      <c r="E275" s="228">
        <v>4</v>
      </c>
      <c r="F275" s="101">
        <v>1</v>
      </c>
      <c r="G275" s="87" t="str">
        <f t="shared" si="41"/>
        <v>B541</v>
      </c>
      <c r="H275" s="87" t="s">
        <v>1294</v>
      </c>
      <c r="I275" s="89" t="str">
        <f>VLOOKUP(C275,'PREMIUM TABLES'!$G$107:$H$149,2,FALSE)</f>
        <v>C1</v>
      </c>
      <c r="J275" s="87">
        <v>129.58000000000001</v>
      </c>
      <c r="K275" s="87">
        <v>140.70876529913636</v>
      </c>
      <c r="L275" s="87">
        <v>158</v>
      </c>
      <c r="O275" s="87" t="s">
        <v>187</v>
      </c>
      <c r="P275" s="87" t="s">
        <v>226</v>
      </c>
      <c r="Q275" s="229" t="s">
        <v>197</v>
      </c>
      <c r="R275" s="87" t="str">
        <f>VLOOKUP(E275,'PREMIUM TABLES'!$F$214:$G$219,2,FALSE)</f>
        <v>FORTH</v>
      </c>
      <c r="S275" s="87" t="str" cm="1">
        <f t="array" ref="S275">IF(AND(L275&gt;0,L275&lt;90),"A",IF(AND(L275&gt;90,L275&lt;123),"B",IF(AND(L275&gt;122,L275&lt;159),"C",IF(AND(L275&gt;159,L275&lt;185),"D",IF(AND(L275&gt;185,L275&lt;230),"E",IF(AND(L275&gt;230,L275&lt;350),"F",NONE))))))</f>
        <v>C</v>
      </c>
      <c r="T275" s="230">
        <f>VLOOKUP(O275,'PREMIUM TABLES'!$G$165:$H$172,2,FALSE)</f>
        <v>0.08</v>
      </c>
      <c r="U275" s="230">
        <f>VLOOKUP(P275,'PREMIUM TABLES'!$G$208:$H$209,2,FALSE)</f>
        <v>0.05</v>
      </c>
      <c r="V275" s="230">
        <f>VLOOKUP(Q275,'PREMIUM TABLES'!$G$175:$H$195,2,FALSE)</f>
        <v>0.16</v>
      </c>
      <c r="W275" s="230">
        <f>VLOOKUP(R275,'PREMIUM TABLES'!$G$214:$H$219,2,FALSE)</f>
        <v>0.06</v>
      </c>
      <c r="X275" s="230">
        <f>VLOOKUP(S275,'PREMIUM TABLES'!$F$199:$H$205,3,FALSE)</f>
        <v>3.5000000000000003E-2</v>
      </c>
      <c r="Y275" s="231">
        <f t="shared" si="43"/>
        <v>0.38500000000000001</v>
      </c>
      <c r="Z275" s="231" t="str" cm="1">
        <f t="array" ref="Z275">IF(AND(Y275&gt;0,Y275&lt;0.5),"C",IF(AND(Y275&gt;=0.5,Y275&lt;0.73),"B",IF(AND(Y275&gt;=0.73,Y275&lt;0.98),"A",NONE)))</f>
        <v>C</v>
      </c>
      <c r="AA275" s="231" t="str">
        <f>VLOOKUP(G275,'ALL (R)'!$N$5:$R$862,5,FALSE)</f>
        <v>R 3</v>
      </c>
      <c r="AB275" s="232">
        <f>VLOOKUP(AA275,FACTS!$B$2:$L$14,10,FALSE)</f>
        <v>44625</v>
      </c>
      <c r="AC275" s="232">
        <f>VLOOKUP(AA275,FACTS!$B$2:$L$14,11,FALSE)</f>
        <v>49875</v>
      </c>
      <c r="AD275" s="232">
        <f>VLOOKUP(AA275,FACTS!$B$2:$N$14,13,FALSE)</f>
        <v>5250</v>
      </c>
      <c r="AE275" s="232">
        <f t="shared" si="44"/>
        <v>2021.25</v>
      </c>
      <c r="AF275" s="232">
        <f t="shared" si="45"/>
        <v>46646.25</v>
      </c>
      <c r="AG275" s="232">
        <f>AF275*FACTS!$T$2</f>
        <v>15393.262500000001</v>
      </c>
      <c r="AH275" s="232">
        <f>Table1[[#This Row],[UNIT (BUILDING) RATE (SEMI FINISHED)]]+4500</f>
        <v>51146.25</v>
      </c>
      <c r="AI275" s="232">
        <f>Table1[[#This Row],[UNIT (BUILDING) RATE (SEMI FINISHED)]]+7500</f>
        <v>54146.25</v>
      </c>
      <c r="AJ275" s="232">
        <f t="shared" si="46"/>
        <v>7370107.5</v>
      </c>
      <c r="AK275" s="232">
        <f>Table1[[#This Row],[UNIT (BUILDING) RATE (BASIC FINISH)]]*Table1[[#This Row],[Unit Selling Area]]</f>
        <v>8081107.5</v>
      </c>
      <c r="AL275" s="232">
        <f>Table1[[#This Row],[UNIT (BUILDING) RATE (FULLY FINISH)]]*Table1[[#This Row],[Unit Selling Area]]</f>
        <v>8555107.5</v>
      </c>
      <c r="AM275" s="232">
        <f t="shared" si="47"/>
        <v>0</v>
      </c>
      <c r="AN275" s="232">
        <f>(AM275+AJ275)*FACTS!$S$2</f>
        <v>626459.13750000007</v>
      </c>
      <c r="AO275" s="101">
        <f>VLOOKUP(S275,FACTS!$A$17:$C$23,3,FALSE)</f>
        <v>2</v>
      </c>
      <c r="AP275" s="232">
        <f>VLOOKUP(AA275,FACTS!$B$2:$J$14,9,FALSE)</f>
        <v>210000</v>
      </c>
      <c r="AQ275" s="232">
        <f>Table1[[#This Row],[PARKING VALUE]]*1</f>
        <v>210000</v>
      </c>
      <c r="AR275" s="232">
        <f t="shared" si="42"/>
        <v>7580107.5</v>
      </c>
      <c r="AS275" s="440">
        <f>Table1[[#This Row],[TOTAL CARS VALUE]]+Table1[[#This Row],[UNIT (BUILDING) VALUE BASIC FINISHED]]+Table1[[#This Row],[UNIT (GARDEN) VALUE]]</f>
        <v>8291107.5</v>
      </c>
      <c r="AT275" s="232">
        <f>Table1[[#This Row],[TOTAL CARS VALUE]]+Table1[[#This Row],[UNIT (GARDEN) VALUE]]+Table1[[#This Row],[UNIT (BUILDING) VALUE FULLY FINISHED]]</f>
        <v>8765107.5</v>
      </c>
      <c r="AU275" s="233">
        <f>VLOOKUP(I275,'C PHASES'!$I$108:$J$110,2,FALSE)</f>
        <v>45839</v>
      </c>
      <c r="AV275" s="233">
        <f>VLOOKUP(AA275,'C PHASES'!$I$113:$J$125,2,FALSE)</f>
        <v>45383</v>
      </c>
    </row>
    <row r="276" spans="1:48" ht="15" customHeight="1" x14ac:dyDescent="0.25">
      <c r="A276" s="235"/>
      <c r="B276" s="227" t="str">
        <f t="shared" si="40"/>
        <v>B</v>
      </c>
      <c r="C276" s="227" t="s">
        <v>45</v>
      </c>
      <c r="D276" s="227" t="s">
        <v>1147</v>
      </c>
      <c r="E276" s="228">
        <v>4</v>
      </c>
      <c r="F276" s="101">
        <v>2</v>
      </c>
      <c r="G276" s="87" t="str">
        <f t="shared" si="41"/>
        <v>B542</v>
      </c>
      <c r="H276" s="87" t="s">
        <v>1294</v>
      </c>
      <c r="I276" s="89" t="str">
        <f>VLOOKUP(C276,'PREMIUM TABLES'!$G$107:$H$149,2,FALSE)</f>
        <v>C1</v>
      </c>
      <c r="J276" s="87">
        <v>131.38</v>
      </c>
      <c r="K276" s="87">
        <v>142.66335534033439</v>
      </c>
      <c r="L276" s="87">
        <v>160</v>
      </c>
      <c r="O276" s="87" t="s">
        <v>180</v>
      </c>
      <c r="P276" s="87" t="s">
        <v>226</v>
      </c>
      <c r="Q276" s="229" t="s">
        <v>227</v>
      </c>
      <c r="R276" s="87" t="str">
        <f>VLOOKUP(E276,'PREMIUM TABLES'!$F$214:$G$219,2,FALSE)</f>
        <v>FORTH</v>
      </c>
      <c r="S276" s="87" t="str" cm="1">
        <f t="array" ref="S276">IF(AND(L276&gt;0,L276&lt;90),"A",IF(AND(L276&gt;90,L276&lt;123),"B",IF(AND(L276&gt;122,L276&lt;159),"C",IF(AND(L276&gt;159,L276&lt;185),"D",IF(AND(L276&gt;185,L276&lt;230),"E",IF(AND(L276&gt;230,L276&lt;350),"F",NONE))))))</f>
        <v>D</v>
      </c>
      <c r="T276" s="230">
        <f>VLOOKUP(O276,'PREMIUM TABLES'!$G$165:$H$172,2,FALSE)</f>
        <v>0.13</v>
      </c>
      <c r="U276" s="230">
        <f>VLOOKUP(P276,'PREMIUM TABLES'!$G$208:$H$209,2,FALSE)</f>
        <v>0.05</v>
      </c>
      <c r="V276" s="230">
        <f>VLOOKUP(Q276,'PREMIUM TABLES'!$G$175:$H$195,2,FALSE)</f>
        <v>0.48</v>
      </c>
      <c r="W276" s="230">
        <f>VLOOKUP(R276,'PREMIUM TABLES'!$G$214:$H$219,2,FALSE)</f>
        <v>0.06</v>
      </c>
      <c r="X276" s="230">
        <f>VLOOKUP(S276,'PREMIUM TABLES'!$F$199:$H$205,3,FALSE)</f>
        <v>2.5000000000000001E-2</v>
      </c>
      <c r="Y276" s="231">
        <f t="shared" si="43"/>
        <v>0.745</v>
      </c>
      <c r="Z276" s="231" t="str" cm="1">
        <f t="array" ref="Z276">IF(AND(Y276&gt;0,Y276&lt;0.5),"C",IF(AND(Y276&gt;=0.5,Y276&lt;0.73),"B",IF(AND(Y276&gt;=0.73,Y276&lt;0.98),"A",NONE)))</f>
        <v>A</v>
      </c>
      <c r="AA276" s="231" t="str">
        <f>VLOOKUP(G276,'ALL (R)'!$N$5:$R$862,5,FALSE)</f>
        <v>R 1</v>
      </c>
      <c r="AB276" s="232">
        <f>VLOOKUP(AA276,FACTS!$B$2:$L$14,10,FALSE)</f>
        <v>42500</v>
      </c>
      <c r="AC276" s="232">
        <f>VLOOKUP(AA276,FACTS!$B$2:$L$14,11,FALSE)</f>
        <v>47500</v>
      </c>
      <c r="AD276" s="232">
        <f>VLOOKUP(AA276,FACTS!$B$2:$N$14,13,FALSE)</f>
        <v>5000</v>
      </c>
      <c r="AE276" s="232">
        <f t="shared" si="44"/>
        <v>3725</v>
      </c>
      <c r="AF276" s="232">
        <f t="shared" si="45"/>
        <v>46225</v>
      </c>
      <c r="AG276" s="232">
        <f>AF276*FACTS!$T$2</f>
        <v>15254.25</v>
      </c>
      <c r="AH276" s="232">
        <f>Table1[[#This Row],[UNIT (BUILDING) RATE (SEMI FINISHED)]]+4500</f>
        <v>50725</v>
      </c>
      <c r="AI276" s="232">
        <f>Table1[[#This Row],[UNIT (BUILDING) RATE (SEMI FINISHED)]]+7500</f>
        <v>53725</v>
      </c>
      <c r="AJ276" s="232">
        <f t="shared" si="46"/>
        <v>7396000</v>
      </c>
      <c r="AK276" s="232">
        <f>Table1[[#This Row],[UNIT (BUILDING) RATE (BASIC FINISH)]]*Table1[[#This Row],[Unit Selling Area]]</f>
        <v>8116000</v>
      </c>
      <c r="AL276" s="232">
        <f>Table1[[#This Row],[UNIT (BUILDING) RATE (FULLY FINISH)]]*Table1[[#This Row],[Unit Selling Area]]</f>
        <v>8596000</v>
      </c>
      <c r="AM276" s="232">
        <f t="shared" si="47"/>
        <v>0</v>
      </c>
      <c r="AN276" s="232">
        <f>(AM276+AJ276)*FACTS!$S$2</f>
        <v>628660</v>
      </c>
      <c r="AO276" s="101">
        <f>VLOOKUP(S276,FACTS!$A$17:$C$23,3,FALSE)</f>
        <v>2</v>
      </c>
      <c r="AP276" s="232">
        <f>VLOOKUP(AA276,FACTS!$B$2:$J$14,9,FALSE)</f>
        <v>200000</v>
      </c>
      <c r="AQ276" s="232">
        <f>Table1[[#This Row],[PARKING VALUE]]*1</f>
        <v>200000</v>
      </c>
      <c r="AR276" s="232">
        <f t="shared" si="42"/>
        <v>7596000</v>
      </c>
      <c r="AS276" s="440">
        <f>Table1[[#This Row],[TOTAL CARS VALUE]]+Table1[[#This Row],[UNIT (BUILDING) VALUE BASIC FINISHED]]+Table1[[#This Row],[UNIT (GARDEN) VALUE]]</f>
        <v>8316000</v>
      </c>
      <c r="AT276" s="232">
        <f>Table1[[#This Row],[TOTAL CARS VALUE]]+Table1[[#This Row],[UNIT (GARDEN) VALUE]]+Table1[[#This Row],[UNIT (BUILDING) VALUE FULLY FINISHED]]</f>
        <v>8796000</v>
      </c>
      <c r="AU276" s="233">
        <f>VLOOKUP(I276,'C PHASES'!$I$108:$J$110,2,FALSE)</f>
        <v>45839</v>
      </c>
      <c r="AV276" s="233">
        <f>VLOOKUP(AA276,'C PHASES'!$I$113:$J$125,2,FALSE)</f>
        <v>45170</v>
      </c>
    </row>
    <row r="277" spans="1:48" ht="15" customHeight="1" x14ac:dyDescent="0.25">
      <c r="A277" s="235"/>
      <c r="B277" s="227" t="str">
        <f t="shared" si="40"/>
        <v>B</v>
      </c>
      <c r="C277" s="227" t="s">
        <v>45</v>
      </c>
      <c r="D277" s="227" t="s">
        <v>1147</v>
      </c>
      <c r="E277" s="228">
        <v>4</v>
      </c>
      <c r="F277" s="101">
        <v>3</v>
      </c>
      <c r="G277" s="87" t="str">
        <f t="shared" si="41"/>
        <v>B543</v>
      </c>
      <c r="H277" s="87" t="s">
        <v>1294</v>
      </c>
      <c r="I277" s="89" t="str">
        <f>VLOOKUP(C277,'PREMIUM TABLES'!$G$107:$H$149,2,FALSE)</f>
        <v>C1</v>
      </c>
      <c r="J277" s="87">
        <v>127.19</v>
      </c>
      <c r="K277" s="87">
        <v>138.1135040777678</v>
      </c>
      <c r="L277" s="87">
        <v>155</v>
      </c>
      <c r="O277" s="87" t="s">
        <v>180</v>
      </c>
      <c r="P277" s="87" t="s">
        <v>190</v>
      </c>
      <c r="Q277" s="229" t="s">
        <v>209</v>
      </c>
      <c r="R277" s="87" t="str">
        <f>VLOOKUP(E277,'PREMIUM TABLES'!$F$214:$G$219,2,FALSE)</f>
        <v>FORTH</v>
      </c>
      <c r="S277" s="87" t="str" cm="1">
        <f t="array" ref="S277">IF(AND(L277&gt;0,L277&lt;90),"A",IF(AND(L277&gt;90,L277&lt;123),"B",IF(AND(L277&gt;122,L277&lt;159),"C",IF(AND(L277&gt;159,L277&lt;185),"D",IF(AND(L277&gt;185,L277&lt;230),"E",IF(AND(L277&gt;230,L277&lt;350),"F",NONE))))))</f>
        <v>C</v>
      </c>
      <c r="T277" s="230">
        <f>VLOOKUP(O277,'PREMIUM TABLES'!$G$165:$H$172,2,FALSE)</f>
        <v>0.13</v>
      </c>
      <c r="U277" s="230">
        <f>VLOOKUP(P277,'PREMIUM TABLES'!$G$208:$H$209,2,FALSE)</f>
        <v>2.5000000000000001E-2</v>
      </c>
      <c r="V277" s="230">
        <f>VLOOKUP(Q277,'PREMIUM TABLES'!$G$175:$H$195,2,FALSE)</f>
        <v>0.6</v>
      </c>
      <c r="W277" s="230">
        <f>VLOOKUP(R277,'PREMIUM TABLES'!$G$214:$H$219,2,FALSE)</f>
        <v>0.06</v>
      </c>
      <c r="X277" s="230">
        <f>VLOOKUP(S277,'PREMIUM TABLES'!$F$199:$H$205,3,FALSE)</f>
        <v>3.5000000000000003E-2</v>
      </c>
      <c r="Y277" s="231">
        <f t="shared" si="43"/>
        <v>0.85</v>
      </c>
      <c r="Z277" s="231" t="str" cm="1">
        <f t="array" ref="Z277">IF(AND(Y277&gt;0,Y277&lt;0.5),"C",IF(AND(Y277&gt;=0.5,Y277&lt;0.73),"B",IF(AND(Y277&gt;=0.73,Y277&lt;0.98),"A",NONE)))</f>
        <v>A</v>
      </c>
      <c r="AA277" s="231" t="str">
        <f>VLOOKUP(G277,'ALL (R)'!$N$5:$R$862,5,FALSE)</f>
        <v>R 8</v>
      </c>
      <c r="AB277" s="232">
        <f>VLOOKUP(AA277,FACTS!$B$2:$L$14,10,FALSE)</f>
        <v>51850</v>
      </c>
      <c r="AC277" s="232">
        <f>VLOOKUP(AA277,FACTS!$B$2:$L$14,11,FALSE)</f>
        <v>57950</v>
      </c>
      <c r="AD277" s="232">
        <f>VLOOKUP(AA277,FACTS!$B$2:$N$14,13,FALSE)</f>
        <v>6100</v>
      </c>
      <c r="AE277" s="232">
        <f t="shared" si="44"/>
        <v>5185</v>
      </c>
      <c r="AF277" s="232">
        <f t="shared" si="45"/>
        <v>57035</v>
      </c>
      <c r="AG277" s="232">
        <f>AF277*FACTS!$T$2</f>
        <v>18821.55</v>
      </c>
      <c r="AH277" s="232">
        <f>Table1[[#This Row],[UNIT (BUILDING) RATE (SEMI FINISHED)]]+4500</f>
        <v>61535</v>
      </c>
      <c r="AI277" s="232">
        <f>Table1[[#This Row],[UNIT (BUILDING) RATE (SEMI FINISHED)]]+7500</f>
        <v>64535</v>
      </c>
      <c r="AJ277" s="232">
        <f t="shared" si="46"/>
        <v>8840425</v>
      </c>
      <c r="AK277" s="232">
        <f>Table1[[#This Row],[UNIT (BUILDING) RATE (BASIC FINISH)]]*Table1[[#This Row],[Unit Selling Area]]</f>
        <v>9537925</v>
      </c>
      <c r="AL277" s="232">
        <f>Table1[[#This Row],[UNIT (BUILDING) RATE (FULLY FINISH)]]*Table1[[#This Row],[Unit Selling Area]]</f>
        <v>10002925</v>
      </c>
      <c r="AM277" s="232">
        <f t="shared" si="47"/>
        <v>0</v>
      </c>
      <c r="AN277" s="232">
        <f>(AM277+AJ277)*FACTS!$S$2</f>
        <v>751436.125</v>
      </c>
      <c r="AO277" s="101">
        <f>VLOOKUP(S277,FACTS!$A$17:$C$23,3,FALSE)</f>
        <v>2</v>
      </c>
      <c r="AP277" s="232">
        <f>VLOOKUP(AA277,FACTS!$B$2:$J$14,9,FALSE)</f>
        <v>244000</v>
      </c>
      <c r="AQ277" s="232">
        <f>Table1[[#This Row],[PARKING VALUE]]*1</f>
        <v>244000</v>
      </c>
      <c r="AR277" s="232">
        <f t="shared" si="42"/>
        <v>9084425</v>
      </c>
      <c r="AS277" s="440">
        <f>Table1[[#This Row],[TOTAL CARS VALUE]]+Table1[[#This Row],[UNIT (BUILDING) VALUE BASIC FINISHED]]+Table1[[#This Row],[UNIT (GARDEN) VALUE]]</f>
        <v>9781925</v>
      </c>
      <c r="AT277" s="232">
        <f>Table1[[#This Row],[TOTAL CARS VALUE]]+Table1[[#This Row],[UNIT (GARDEN) VALUE]]+Table1[[#This Row],[UNIT (BUILDING) VALUE FULLY FINISHED]]</f>
        <v>10246925</v>
      </c>
      <c r="AU277" s="233">
        <f>VLOOKUP(I277,'C PHASES'!$I$108:$J$110,2,FALSE)</f>
        <v>45839</v>
      </c>
      <c r="AV277" s="233">
        <f>VLOOKUP(AA277,'C PHASES'!$I$113:$J$125,2,FALSE)</f>
        <v>45839</v>
      </c>
    </row>
    <row r="278" spans="1:48" ht="15" customHeight="1" x14ac:dyDescent="0.25">
      <c r="A278" s="235"/>
      <c r="B278" s="227" t="str">
        <f t="shared" si="40"/>
        <v>B</v>
      </c>
      <c r="C278" s="227" t="s">
        <v>45</v>
      </c>
      <c r="D278" s="227" t="s">
        <v>1147</v>
      </c>
      <c r="E278" s="228">
        <v>4</v>
      </c>
      <c r="F278" s="101">
        <v>4</v>
      </c>
      <c r="G278" s="87" t="str">
        <f t="shared" si="41"/>
        <v>B544</v>
      </c>
      <c r="H278" s="87" t="s">
        <v>1294</v>
      </c>
      <c r="I278" s="89" t="str">
        <f>VLOOKUP(C278,'PREMIUM TABLES'!$G$107:$H$149,2,FALSE)</f>
        <v>C1</v>
      </c>
      <c r="J278" s="87">
        <v>125.13</v>
      </c>
      <c r="K278" s="87">
        <v>135.87658436395222</v>
      </c>
      <c r="L278" s="87">
        <v>153</v>
      </c>
      <c r="O278" s="87" t="s">
        <v>187</v>
      </c>
      <c r="P278" s="87" t="s">
        <v>190</v>
      </c>
      <c r="Q278" s="229" t="s">
        <v>197</v>
      </c>
      <c r="R278" s="87" t="str">
        <f>VLOOKUP(E278,'PREMIUM TABLES'!$F$214:$G$219,2,FALSE)</f>
        <v>FORTH</v>
      </c>
      <c r="S278" s="87" t="str" cm="1">
        <f t="array" ref="S278">IF(AND(L278&gt;0,L278&lt;90),"A",IF(AND(L278&gt;90,L278&lt;123),"B",IF(AND(L278&gt;122,L278&lt;159),"C",IF(AND(L278&gt;159,L278&lt;185),"D",IF(AND(L278&gt;185,L278&lt;230),"E",IF(AND(L278&gt;230,L278&lt;350),"F",NONE))))))</f>
        <v>C</v>
      </c>
      <c r="T278" s="230">
        <f>VLOOKUP(O278,'PREMIUM TABLES'!$G$165:$H$172,2,FALSE)</f>
        <v>0.08</v>
      </c>
      <c r="U278" s="230">
        <f>VLOOKUP(P278,'PREMIUM TABLES'!$G$208:$H$209,2,FALSE)</f>
        <v>2.5000000000000001E-2</v>
      </c>
      <c r="V278" s="230">
        <f>VLOOKUP(Q278,'PREMIUM TABLES'!$G$175:$H$195,2,FALSE)</f>
        <v>0.16</v>
      </c>
      <c r="W278" s="230">
        <f>VLOOKUP(R278,'PREMIUM TABLES'!$G$214:$H$219,2,FALSE)</f>
        <v>0.06</v>
      </c>
      <c r="X278" s="230">
        <f>VLOOKUP(S278,'PREMIUM TABLES'!$F$199:$H$205,3,FALSE)</f>
        <v>3.5000000000000003E-2</v>
      </c>
      <c r="Y278" s="231">
        <f t="shared" si="43"/>
        <v>0.36</v>
      </c>
      <c r="Z278" s="231" t="str" cm="1">
        <f t="array" ref="Z278">IF(AND(Y278&gt;0,Y278&lt;0.5),"C",IF(AND(Y278&gt;=0.5,Y278&lt;0.73),"B",IF(AND(Y278&gt;=0.73,Y278&lt;0.98),"A",NONE)))</f>
        <v>C</v>
      </c>
      <c r="AA278" s="231" t="str">
        <f>VLOOKUP(G278,'ALL (R)'!$N$5:$R$862,5,FALSE)</f>
        <v>R 1</v>
      </c>
      <c r="AB278" s="232">
        <f>VLOOKUP(AA278,FACTS!$B$2:$L$14,10,FALSE)</f>
        <v>42500</v>
      </c>
      <c r="AC278" s="232">
        <f>VLOOKUP(AA278,FACTS!$B$2:$L$14,11,FALSE)</f>
        <v>47500</v>
      </c>
      <c r="AD278" s="232">
        <f>VLOOKUP(AA278,FACTS!$B$2:$N$14,13,FALSE)</f>
        <v>5000</v>
      </c>
      <c r="AE278" s="232">
        <f t="shared" si="44"/>
        <v>1800</v>
      </c>
      <c r="AF278" s="232">
        <f t="shared" si="45"/>
        <v>44300</v>
      </c>
      <c r="AG278" s="232">
        <f>AF278*FACTS!$T$2</f>
        <v>14619</v>
      </c>
      <c r="AH278" s="232">
        <f>Table1[[#This Row],[UNIT (BUILDING) RATE (SEMI FINISHED)]]+4500</f>
        <v>48800</v>
      </c>
      <c r="AI278" s="232">
        <f>Table1[[#This Row],[UNIT (BUILDING) RATE (SEMI FINISHED)]]+7500</f>
        <v>51800</v>
      </c>
      <c r="AJ278" s="232">
        <f t="shared" si="46"/>
        <v>6777900</v>
      </c>
      <c r="AK278" s="232">
        <f>Table1[[#This Row],[UNIT (BUILDING) RATE (BASIC FINISH)]]*Table1[[#This Row],[Unit Selling Area]]</f>
        <v>7466400</v>
      </c>
      <c r="AL278" s="232">
        <f>Table1[[#This Row],[UNIT (BUILDING) RATE (FULLY FINISH)]]*Table1[[#This Row],[Unit Selling Area]]</f>
        <v>7925400</v>
      </c>
      <c r="AM278" s="232">
        <f t="shared" si="47"/>
        <v>0</v>
      </c>
      <c r="AN278" s="232">
        <f>(AM278+AJ278)*FACTS!$S$2</f>
        <v>576121.5</v>
      </c>
      <c r="AO278" s="101">
        <f>VLOOKUP(S278,FACTS!$A$17:$C$23,3,FALSE)</f>
        <v>2</v>
      </c>
      <c r="AP278" s="232">
        <f>VLOOKUP(AA278,FACTS!$B$2:$J$14,9,FALSE)</f>
        <v>200000</v>
      </c>
      <c r="AQ278" s="232">
        <f>Table1[[#This Row],[PARKING VALUE]]*1</f>
        <v>200000</v>
      </c>
      <c r="AR278" s="232">
        <f t="shared" si="42"/>
        <v>6977900</v>
      </c>
      <c r="AS278" s="440">
        <f>Table1[[#This Row],[TOTAL CARS VALUE]]+Table1[[#This Row],[UNIT (BUILDING) VALUE BASIC FINISHED]]+Table1[[#This Row],[UNIT (GARDEN) VALUE]]</f>
        <v>7666400</v>
      </c>
      <c r="AT278" s="232">
        <f>Table1[[#This Row],[TOTAL CARS VALUE]]+Table1[[#This Row],[UNIT (GARDEN) VALUE]]+Table1[[#This Row],[UNIT (BUILDING) VALUE FULLY FINISHED]]</f>
        <v>8125400</v>
      </c>
      <c r="AU278" s="233">
        <f>VLOOKUP(I278,'C PHASES'!$I$108:$J$110,2,FALSE)</f>
        <v>45839</v>
      </c>
      <c r="AV278" s="233">
        <f>VLOOKUP(AA278,'C PHASES'!$I$113:$J$125,2,FALSE)</f>
        <v>45170</v>
      </c>
    </row>
    <row r="279" spans="1:48" ht="15" customHeight="1" x14ac:dyDescent="0.25">
      <c r="A279" s="236" t="s">
        <v>33</v>
      </c>
      <c r="B279" s="227" t="str">
        <f t="shared" si="40"/>
        <v>B</v>
      </c>
      <c r="C279" s="227" t="s">
        <v>54</v>
      </c>
      <c r="D279" s="227" t="s">
        <v>1147</v>
      </c>
      <c r="E279" s="228">
        <v>0</v>
      </c>
      <c r="F279" s="101">
        <v>1</v>
      </c>
      <c r="G279" s="87" t="str">
        <f>LEFT(C279,2)&amp;E279&amp;F279</f>
        <v>B601</v>
      </c>
      <c r="H279" s="87" t="s">
        <v>1293</v>
      </c>
      <c r="I279" s="89" t="str">
        <f>VLOOKUP(C279,'PREMIUM TABLES'!$G$107:$H$149,2,FALSE)</f>
        <v>C2</v>
      </c>
      <c r="J279" s="89">
        <v>95.254000000000005</v>
      </c>
      <c r="K279" s="87">
        <v>105.53950812408786</v>
      </c>
      <c r="L279" s="87">
        <v>116</v>
      </c>
      <c r="M279" s="87">
        <v>63.664700000000003</v>
      </c>
      <c r="O279" s="87" t="s">
        <v>187</v>
      </c>
      <c r="P279" s="87" t="s">
        <v>190</v>
      </c>
      <c r="Q279" s="229" t="s">
        <v>197</v>
      </c>
      <c r="R279" s="87" t="str">
        <f>VLOOKUP(E279,'PREMIUM TABLES'!$F$214:$G$219,2,FALSE)</f>
        <v>GROUND</v>
      </c>
      <c r="S279" s="87" t="str" cm="1">
        <f t="array" ref="S279">IF(AND(L279&gt;0,L279&lt;90),"A",IF(AND(L279&gt;90,L279&lt;123),"B",IF(AND(L279&gt;122,L279&lt;159),"C",IF(AND(L279&gt;159,L279&lt;185),"D",IF(AND(L279&gt;185,L279&lt;230),"E",IF(AND(L279&gt;230,L279&lt;350),"F",NONE))))))</f>
        <v>B</v>
      </c>
      <c r="T279" s="230">
        <f>VLOOKUP(O279,'PREMIUM TABLES'!$G$165:$H$172,2,FALSE)</f>
        <v>0.08</v>
      </c>
      <c r="U279" s="230">
        <f>VLOOKUP(P279,'PREMIUM TABLES'!$G$208:$H$209,2,FALSE)</f>
        <v>2.5000000000000001E-2</v>
      </c>
      <c r="V279" s="230">
        <f>VLOOKUP(Q279,'PREMIUM TABLES'!$G$175:$H$195,2,FALSE)</f>
        <v>0.16</v>
      </c>
      <c r="W279" s="230">
        <f>VLOOKUP(R279,'PREMIUM TABLES'!$G$214:$H$219,2,FALSE)</f>
        <v>0.05</v>
      </c>
      <c r="X279" s="230">
        <f>VLOOKUP(S279,'PREMIUM TABLES'!$F$199:$H$205,3,FALSE)</f>
        <v>0.04</v>
      </c>
      <c r="Y279" s="231">
        <f t="shared" si="43"/>
        <v>0.35499999999999998</v>
      </c>
      <c r="Z279" s="231" t="str" cm="1">
        <f t="array" ref="Z279">IF(AND(Y279&gt;0,Y279&lt;0.5),"C",IF(AND(Y279&gt;=0.5,Y279&lt;0.73),"B",IF(AND(Y279&gt;=0.73,Y279&lt;0.98),"A",NONE)))</f>
        <v>C</v>
      </c>
      <c r="AA279" s="231" t="str">
        <f>VLOOKUP(G279,'ALL (R)'!$N$5:$R$862,5,FALSE)</f>
        <v>R 1</v>
      </c>
      <c r="AB279" s="232">
        <f>VLOOKUP(AA279,FACTS!$B$2:$L$14,10,FALSE)</f>
        <v>42500</v>
      </c>
      <c r="AC279" s="232">
        <f>VLOOKUP(AA279,FACTS!$B$2:$L$14,11,FALSE)</f>
        <v>47500</v>
      </c>
      <c r="AD279" s="232">
        <f>VLOOKUP(AA279,FACTS!$B$2:$N$14,13,FALSE)</f>
        <v>5000</v>
      </c>
      <c r="AE279" s="232">
        <f t="shared" si="44"/>
        <v>1775</v>
      </c>
      <c r="AF279" s="232">
        <f t="shared" si="45"/>
        <v>44275</v>
      </c>
      <c r="AG279" s="232">
        <f>AF279*FACTS!$T$2</f>
        <v>14610.75</v>
      </c>
      <c r="AH279" s="232">
        <f>Table1[[#This Row],[UNIT (BUILDING) RATE (SEMI FINISHED)]]+4500</f>
        <v>48775</v>
      </c>
      <c r="AI279" s="232">
        <f>Table1[[#This Row],[UNIT (BUILDING) RATE (SEMI FINISHED)]]+7500</f>
        <v>51775</v>
      </c>
      <c r="AJ279" s="232">
        <f t="shared" si="46"/>
        <v>5135900</v>
      </c>
      <c r="AK279" s="232">
        <f>Table1[[#This Row],[UNIT (BUILDING) RATE (BASIC FINISH)]]*Table1[[#This Row],[Unit Selling Area]]</f>
        <v>5657900</v>
      </c>
      <c r="AL279" s="232">
        <f>Table1[[#This Row],[UNIT (BUILDING) RATE (FULLY FINISH)]]*Table1[[#This Row],[Unit Selling Area]]</f>
        <v>6005900</v>
      </c>
      <c r="AM279" s="232">
        <f t="shared" si="47"/>
        <v>930189.01552500005</v>
      </c>
      <c r="AN279" s="232">
        <f>(AM279+AJ279)*FACTS!$S$2</f>
        <v>515617.56631962507</v>
      </c>
      <c r="AO279" s="101">
        <f>VLOOKUP(S279,FACTS!$A$17:$C$23,3,FALSE)</f>
        <v>1</v>
      </c>
      <c r="AP279" s="232">
        <f>VLOOKUP(AA279,FACTS!$B$2:$J$14,9,FALSE)</f>
        <v>200000</v>
      </c>
      <c r="AQ279" s="232">
        <f>Table1[[#This Row],[PARKING VALUE]]*1</f>
        <v>200000</v>
      </c>
      <c r="AR279" s="232">
        <f t="shared" si="42"/>
        <v>6266089.0155250002</v>
      </c>
      <c r="AS279" s="440">
        <f>Table1[[#This Row],[TOTAL CARS VALUE]]+Table1[[#This Row],[UNIT (BUILDING) VALUE BASIC FINISHED]]+Table1[[#This Row],[UNIT (GARDEN) VALUE]]</f>
        <v>6788089.0155250002</v>
      </c>
      <c r="AT279" s="232">
        <f>Table1[[#This Row],[TOTAL CARS VALUE]]+Table1[[#This Row],[UNIT (GARDEN) VALUE]]+Table1[[#This Row],[UNIT (BUILDING) VALUE FULLY FINISHED]]</f>
        <v>7136089.0155250002</v>
      </c>
      <c r="AU279" s="233">
        <f>VLOOKUP(I279,'C PHASES'!$I$108:$J$110,2,FALSE)</f>
        <v>46204</v>
      </c>
      <c r="AV279" s="233">
        <f>VLOOKUP(AA279,'C PHASES'!$I$113:$J$125,2,FALSE)</f>
        <v>45170</v>
      </c>
    </row>
    <row r="280" spans="1:48" ht="15" customHeight="1" x14ac:dyDescent="0.25">
      <c r="A280" s="236"/>
      <c r="B280" s="227" t="str">
        <f t="shared" si="40"/>
        <v>B</v>
      </c>
      <c r="C280" s="227" t="s">
        <v>54</v>
      </c>
      <c r="D280" s="227" t="s">
        <v>1147</v>
      </c>
      <c r="E280" s="228">
        <v>0</v>
      </c>
      <c r="F280" s="101">
        <v>2</v>
      </c>
      <c r="G280" s="87" t="str">
        <f t="shared" ref="G280:G298" si="48">LEFT(C280,2)&amp;E280&amp;F280</f>
        <v>B602</v>
      </c>
      <c r="H280" s="87" t="s">
        <v>1294</v>
      </c>
      <c r="I280" s="89" t="str">
        <f>VLOOKUP(C280,'PREMIUM TABLES'!$G$107:$H$149,2,FALSE)</f>
        <v>C2</v>
      </c>
      <c r="J280" s="89">
        <v>162.82599999999999</v>
      </c>
      <c r="K280" s="87">
        <v>180.40791935050211</v>
      </c>
      <c r="L280" s="87">
        <v>199</v>
      </c>
      <c r="M280" s="87">
        <v>77.610299999999995</v>
      </c>
      <c r="O280" s="87" t="s">
        <v>180</v>
      </c>
      <c r="P280" s="87" t="s">
        <v>190</v>
      </c>
      <c r="Q280" s="229" t="s">
        <v>210</v>
      </c>
      <c r="R280" s="87" t="str">
        <f>VLOOKUP(E280,'PREMIUM TABLES'!$F$214:$G$219,2,FALSE)</f>
        <v>GROUND</v>
      </c>
      <c r="S280" s="87" t="str" cm="1">
        <f t="array" ref="S280">IF(AND(L280&gt;0,L280&lt;90),"A",IF(AND(L280&gt;90,L280&lt;123),"B",IF(AND(L280&gt;122,L280&lt;159),"C",IF(AND(L280&gt;159,L280&lt;185),"D",IF(AND(L280&gt;185,L280&lt;230),"E",IF(AND(L280&gt;230,L280&lt;350),"F",NONE))))))</f>
        <v>E</v>
      </c>
      <c r="T280" s="230">
        <f>VLOOKUP(O280,'PREMIUM TABLES'!$G$165:$H$172,2,FALSE)</f>
        <v>0.13</v>
      </c>
      <c r="U280" s="230">
        <f>VLOOKUP(P280,'PREMIUM TABLES'!$G$208:$H$209,2,FALSE)</f>
        <v>2.5000000000000001E-2</v>
      </c>
      <c r="V280" s="230">
        <f>VLOOKUP(Q280,'PREMIUM TABLES'!$G$175:$H$195,2,FALSE)</f>
        <v>0.53</v>
      </c>
      <c r="W280" s="230">
        <f>VLOOKUP(R280,'PREMIUM TABLES'!$G$214:$H$219,2,FALSE)</f>
        <v>0.05</v>
      </c>
      <c r="X280" s="230">
        <f>VLOOKUP(S280,'PREMIUM TABLES'!$F$199:$H$205,3,FALSE)</f>
        <v>1.4999999999999999E-2</v>
      </c>
      <c r="Y280" s="231">
        <f t="shared" si="43"/>
        <v>0.75000000000000011</v>
      </c>
      <c r="Z280" s="231" t="str" cm="1">
        <f t="array" ref="Z280">IF(AND(Y280&gt;0,Y280&lt;0.5),"C",IF(AND(Y280&gt;=0.5,Y280&lt;0.73),"B",IF(AND(Y280&gt;=0.73,Y280&lt;0.98),"A",NONE)))</f>
        <v>A</v>
      </c>
      <c r="AA280" s="231" t="str">
        <f>VLOOKUP(G280,'ALL (R)'!$N$5:$R$862,5,FALSE)</f>
        <v>R 2</v>
      </c>
      <c r="AB280" s="232">
        <f>VLOOKUP(AA280,FACTS!$B$2:$L$14,10,FALSE)</f>
        <v>43562.499999999993</v>
      </c>
      <c r="AC280" s="232">
        <f>VLOOKUP(AA280,FACTS!$B$2:$L$14,11,FALSE)</f>
        <v>48687.499999999993</v>
      </c>
      <c r="AD280" s="232">
        <f>VLOOKUP(AA280,FACTS!$B$2:$N$14,13,FALSE)</f>
        <v>5125</v>
      </c>
      <c r="AE280" s="232">
        <f t="shared" si="44"/>
        <v>3843.7500000000005</v>
      </c>
      <c r="AF280" s="232">
        <f t="shared" si="45"/>
        <v>47406.249999999993</v>
      </c>
      <c r="AG280" s="232">
        <f>AF280*FACTS!$T$2</f>
        <v>15644.062499999998</v>
      </c>
      <c r="AH280" s="232">
        <f>Table1[[#This Row],[UNIT (BUILDING) RATE (SEMI FINISHED)]]+4500</f>
        <v>51906.249999999993</v>
      </c>
      <c r="AI280" s="232">
        <f>Table1[[#This Row],[UNIT (BUILDING) RATE (SEMI FINISHED)]]+7500</f>
        <v>54906.249999999993</v>
      </c>
      <c r="AJ280" s="232">
        <f t="shared" si="46"/>
        <v>9433843.7499999981</v>
      </c>
      <c r="AK280" s="232">
        <f>Table1[[#This Row],[UNIT (BUILDING) RATE (BASIC FINISH)]]*Table1[[#This Row],[Unit Selling Area]]</f>
        <v>10329343.749999998</v>
      </c>
      <c r="AL280" s="232">
        <f>Table1[[#This Row],[UNIT (BUILDING) RATE (FULLY FINISH)]]*Table1[[#This Row],[Unit Selling Area]]</f>
        <v>10926343.749999998</v>
      </c>
      <c r="AM280" s="232">
        <f t="shared" si="47"/>
        <v>1214140.3838437498</v>
      </c>
      <c r="AN280" s="232">
        <f>(AM280+AJ280)*FACTS!$S$2</f>
        <v>905078.65137671866</v>
      </c>
      <c r="AO280" s="101">
        <f>VLOOKUP(S280,FACTS!$A$17:$C$23,3,FALSE)</f>
        <v>2</v>
      </c>
      <c r="AP280" s="232">
        <f>VLOOKUP(AA280,FACTS!$B$2:$J$14,9,FALSE)</f>
        <v>204999.99999999997</v>
      </c>
      <c r="AQ280" s="232">
        <f>Table1[[#This Row],[PARKING VALUE]]*1</f>
        <v>204999.99999999997</v>
      </c>
      <c r="AR280" s="232">
        <f t="shared" si="42"/>
        <v>10852984.133843748</v>
      </c>
      <c r="AS280" s="440">
        <f>Table1[[#This Row],[TOTAL CARS VALUE]]+Table1[[#This Row],[UNIT (BUILDING) VALUE BASIC FINISHED]]+Table1[[#This Row],[UNIT (GARDEN) VALUE]]</f>
        <v>11748484.133843748</v>
      </c>
      <c r="AT280" s="232">
        <f>Table1[[#This Row],[TOTAL CARS VALUE]]+Table1[[#This Row],[UNIT (GARDEN) VALUE]]+Table1[[#This Row],[UNIT (BUILDING) VALUE FULLY FINISHED]]</f>
        <v>12345484.133843748</v>
      </c>
      <c r="AU280" s="233">
        <f>VLOOKUP(I280,'C PHASES'!$I$108:$J$110,2,FALSE)</f>
        <v>46204</v>
      </c>
      <c r="AV280" s="233">
        <f>VLOOKUP(AA280,'C PHASES'!$I$113:$J$125,2,FALSE)</f>
        <v>45292</v>
      </c>
    </row>
    <row r="281" spans="1:48" ht="15" customHeight="1" x14ac:dyDescent="0.25">
      <c r="A281" s="236"/>
      <c r="B281" s="227" t="str">
        <f t="shared" si="40"/>
        <v>B</v>
      </c>
      <c r="C281" s="227" t="s">
        <v>54</v>
      </c>
      <c r="D281" s="227" t="s">
        <v>1147</v>
      </c>
      <c r="E281" s="228">
        <v>0</v>
      </c>
      <c r="F281" s="101">
        <v>3</v>
      </c>
      <c r="G281" s="87" t="str">
        <f t="shared" si="48"/>
        <v>B603</v>
      </c>
      <c r="H281" s="87" t="s">
        <v>1295</v>
      </c>
      <c r="I281" s="89" t="str">
        <f>VLOOKUP(C281,'PREMIUM TABLES'!$G$107:$H$149,2,FALSE)</f>
        <v>C2</v>
      </c>
      <c r="J281" s="89">
        <v>183.887</v>
      </c>
      <c r="K281" s="87">
        <v>203.74308197465874</v>
      </c>
      <c r="L281" s="87">
        <v>224</v>
      </c>
      <c r="M281" s="87">
        <v>54.576500000000003</v>
      </c>
      <c r="O281" s="87" t="s">
        <v>180</v>
      </c>
      <c r="P281" s="87" t="s">
        <v>226</v>
      </c>
      <c r="Q281" s="229" t="s">
        <v>228</v>
      </c>
      <c r="R281" s="87" t="str">
        <f>VLOOKUP(E281,'PREMIUM TABLES'!$F$214:$G$219,2,FALSE)</f>
        <v>GROUND</v>
      </c>
      <c r="S281" s="87" t="str" cm="1">
        <f t="array" ref="S281">IF(AND(L281&gt;0,L281&lt;90),"A",IF(AND(L281&gt;90,L281&lt;123),"B",IF(AND(L281&gt;122,L281&lt;159),"C",IF(AND(L281&gt;159,L281&lt;185),"D",IF(AND(L281&gt;185,L281&lt;230),"E",IF(AND(L281&gt;230,L281&lt;350),"F",NONE))))))</f>
        <v>E</v>
      </c>
      <c r="T281" s="230">
        <f>VLOOKUP(O281,'PREMIUM TABLES'!$G$165:$H$172,2,FALSE)</f>
        <v>0.13</v>
      </c>
      <c r="U281" s="230">
        <f>VLOOKUP(P281,'PREMIUM TABLES'!$G$208:$H$209,2,FALSE)</f>
        <v>0.05</v>
      </c>
      <c r="V281" s="230">
        <f>VLOOKUP(Q281,'PREMIUM TABLES'!$G$175:$H$195,2,FALSE)</f>
        <v>0.42400000000000004</v>
      </c>
      <c r="W281" s="230">
        <f>VLOOKUP(R281,'PREMIUM TABLES'!$G$214:$H$219,2,FALSE)</f>
        <v>0.05</v>
      </c>
      <c r="X281" s="230">
        <f>VLOOKUP(S281,'PREMIUM TABLES'!$F$199:$H$205,3,FALSE)</f>
        <v>1.4999999999999999E-2</v>
      </c>
      <c r="Y281" s="231">
        <f t="shared" si="43"/>
        <v>0.66900000000000015</v>
      </c>
      <c r="Z281" s="231" t="str" cm="1">
        <f t="array" ref="Z281">IF(AND(Y281&gt;0,Y281&lt;0.5),"C",IF(AND(Y281&gt;=0.5,Y281&lt;0.73),"B",IF(AND(Y281&gt;=0.73,Y281&lt;0.98),"A",NONE)))</f>
        <v>B</v>
      </c>
      <c r="AA281" s="231" t="str">
        <f>VLOOKUP(G281,'ALL (R)'!$N$5:$R$862,5,FALSE)</f>
        <v>R 6</v>
      </c>
      <c r="AB281" s="232">
        <f>VLOOKUP(AA281,FACTS!$B$2:$L$14,10,FALSE)</f>
        <v>48450.000000000007</v>
      </c>
      <c r="AC281" s="232">
        <f>VLOOKUP(AA281,FACTS!$B$2:$L$14,11,FALSE)</f>
        <v>54150.000000000007</v>
      </c>
      <c r="AD281" s="232">
        <f>VLOOKUP(AA281,FACTS!$B$2:$N$14,13,FALSE)</f>
        <v>5700</v>
      </c>
      <c r="AE281" s="232">
        <f t="shared" si="44"/>
        <v>3813.3000000000006</v>
      </c>
      <c r="AF281" s="232">
        <f t="shared" si="45"/>
        <v>52263.30000000001</v>
      </c>
      <c r="AG281" s="232">
        <f>AF281*FACTS!$T$2</f>
        <v>17246.889000000003</v>
      </c>
      <c r="AH281" s="232">
        <f>Table1[[#This Row],[UNIT (BUILDING) RATE (SEMI FINISHED)]]+4500</f>
        <v>56763.30000000001</v>
      </c>
      <c r="AI281" s="232">
        <f>Table1[[#This Row],[UNIT (BUILDING) RATE (SEMI FINISHED)]]+7500</f>
        <v>59763.30000000001</v>
      </c>
      <c r="AJ281" s="232">
        <f t="shared" si="46"/>
        <v>11706979.200000003</v>
      </c>
      <c r="AK281" s="232">
        <f>Table1[[#This Row],[UNIT (BUILDING) RATE (BASIC FINISH)]]*Table1[[#This Row],[Unit Selling Area]]</f>
        <v>12714979.200000003</v>
      </c>
      <c r="AL281" s="232">
        <f>Table1[[#This Row],[UNIT (BUILDING) RATE (FULLY FINISH)]]*Table1[[#This Row],[Unit Selling Area]]</f>
        <v>13386979.200000003</v>
      </c>
      <c r="AM281" s="232">
        <f t="shared" si="47"/>
        <v>941274.8375085002</v>
      </c>
      <c r="AN281" s="232">
        <f>(AM281+AJ281)*FACTS!$S$2</f>
        <v>1075101.5931882227</v>
      </c>
      <c r="AO281" s="101">
        <f>VLOOKUP(S281,FACTS!$A$17:$C$23,3,FALSE)</f>
        <v>2</v>
      </c>
      <c r="AP281" s="232">
        <f>VLOOKUP(AA281,FACTS!$B$2:$J$14,9,FALSE)</f>
        <v>228000.00000000003</v>
      </c>
      <c r="AQ281" s="232">
        <f>Table1[[#This Row],[PARKING VALUE]]*1</f>
        <v>228000.00000000003</v>
      </c>
      <c r="AR281" s="232">
        <f t="shared" si="42"/>
        <v>12876254.037508503</v>
      </c>
      <c r="AS281" s="440">
        <f>Table1[[#This Row],[TOTAL CARS VALUE]]+Table1[[#This Row],[UNIT (BUILDING) VALUE BASIC FINISHED]]+Table1[[#This Row],[UNIT (GARDEN) VALUE]]</f>
        <v>13884254.037508503</v>
      </c>
      <c r="AT281" s="232">
        <f>Table1[[#This Row],[TOTAL CARS VALUE]]+Table1[[#This Row],[UNIT (GARDEN) VALUE]]+Table1[[#This Row],[UNIT (BUILDING) VALUE FULLY FINISHED]]</f>
        <v>14556254.037508503</v>
      </c>
      <c r="AU281" s="233">
        <f>VLOOKUP(I281,'C PHASES'!$I$108:$J$110,2,FALSE)</f>
        <v>46204</v>
      </c>
      <c r="AV281" s="233">
        <f>VLOOKUP(AA281,'C PHASES'!$I$113:$J$125,2,FALSE)</f>
        <v>45658</v>
      </c>
    </row>
    <row r="282" spans="1:48" ht="15" customHeight="1" x14ac:dyDescent="0.25">
      <c r="A282" s="236"/>
      <c r="B282" s="227" t="str">
        <f t="shared" si="40"/>
        <v>B</v>
      </c>
      <c r="C282" s="227" t="s">
        <v>54</v>
      </c>
      <c r="D282" s="227" t="s">
        <v>1147</v>
      </c>
      <c r="E282" s="228">
        <v>0</v>
      </c>
      <c r="F282" s="101">
        <v>4</v>
      </c>
      <c r="G282" s="87" t="str">
        <f t="shared" si="48"/>
        <v>B604</v>
      </c>
      <c r="H282" s="87" t="s">
        <v>1294</v>
      </c>
      <c r="I282" s="89" t="str">
        <f>VLOOKUP(C282,'PREMIUM TABLES'!$G$107:$H$149,2,FALSE)</f>
        <v>C2</v>
      </c>
      <c r="J282" s="89">
        <v>147.54499999999999</v>
      </c>
      <c r="K282" s="87">
        <v>163.47687998581205</v>
      </c>
      <c r="L282" s="87">
        <v>180</v>
      </c>
      <c r="M282" s="87">
        <v>76.683400000000006</v>
      </c>
      <c r="O282" s="87" t="s">
        <v>187</v>
      </c>
      <c r="P282" s="87" t="s">
        <v>226</v>
      </c>
      <c r="Q282" s="229" t="s">
        <v>197</v>
      </c>
      <c r="R282" s="87" t="str">
        <f>VLOOKUP(E282,'PREMIUM TABLES'!$F$214:$G$219,2,FALSE)</f>
        <v>GROUND</v>
      </c>
      <c r="S282" s="87" t="str" cm="1">
        <f t="array" ref="S282">IF(AND(L282&gt;0,L282&lt;90),"A",IF(AND(L282&gt;90,L282&lt;123),"B",IF(AND(L282&gt;122,L282&lt;159),"C",IF(AND(L282&gt;159,L282&lt;185),"D",IF(AND(L282&gt;185,L282&lt;230),"E",IF(AND(L282&gt;230,L282&lt;350),"F",NONE))))))</f>
        <v>D</v>
      </c>
      <c r="T282" s="230">
        <f>VLOOKUP(O282,'PREMIUM TABLES'!$G$165:$H$172,2,FALSE)</f>
        <v>0.08</v>
      </c>
      <c r="U282" s="230">
        <f>VLOOKUP(P282,'PREMIUM TABLES'!$G$208:$H$209,2,FALSE)</f>
        <v>0.05</v>
      </c>
      <c r="V282" s="230">
        <f>VLOOKUP(Q282,'PREMIUM TABLES'!$G$175:$H$195,2,FALSE)</f>
        <v>0.16</v>
      </c>
      <c r="W282" s="230">
        <f>VLOOKUP(R282,'PREMIUM TABLES'!$G$214:$H$219,2,FALSE)</f>
        <v>0.05</v>
      </c>
      <c r="X282" s="230">
        <f>VLOOKUP(S282,'PREMIUM TABLES'!$F$199:$H$205,3,FALSE)</f>
        <v>2.5000000000000001E-2</v>
      </c>
      <c r="Y282" s="231">
        <f t="shared" si="43"/>
        <v>0.36500000000000005</v>
      </c>
      <c r="Z282" s="231" t="str" cm="1">
        <f t="array" ref="Z282">IF(AND(Y282&gt;0,Y282&lt;0.5),"C",IF(AND(Y282&gt;=0.5,Y282&lt;0.73),"B",IF(AND(Y282&gt;=0.73,Y282&lt;0.98),"A",NONE)))</f>
        <v>C</v>
      </c>
      <c r="AA282" s="231" t="str">
        <f>VLOOKUP(G282,'ALL (R)'!$N$5:$R$862,5,FALSE)</f>
        <v>R 2</v>
      </c>
      <c r="AB282" s="232">
        <f>VLOOKUP(AA282,FACTS!$B$2:$L$14,10,FALSE)</f>
        <v>43562.499999999993</v>
      </c>
      <c r="AC282" s="232">
        <f>VLOOKUP(AA282,FACTS!$B$2:$L$14,11,FALSE)</f>
        <v>48687.499999999993</v>
      </c>
      <c r="AD282" s="232">
        <f>VLOOKUP(AA282,FACTS!$B$2:$N$14,13,FALSE)</f>
        <v>5125</v>
      </c>
      <c r="AE282" s="232">
        <f t="shared" si="44"/>
        <v>1870.6250000000002</v>
      </c>
      <c r="AF282" s="232">
        <f t="shared" si="45"/>
        <v>45433.124999999993</v>
      </c>
      <c r="AG282" s="232">
        <f>AF282*FACTS!$T$2</f>
        <v>14992.931249999998</v>
      </c>
      <c r="AH282" s="232">
        <f>Table1[[#This Row],[UNIT (BUILDING) RATE (SEMI FINISHED)]]+4500</f>
        <v>49933.124999999993</v>
      </c>
      <c r="AI282" s="232">
        <f>Table1[[#This Row],[UNIT (BUILDING) RATE (SEMI FINISHED)]]+7500</f>
        <v>52933.124999999993</v>
      </c>
      <c r="AJ282" s="232">
        <f t="shared" si="46"/>
        <v>8177962.4999999991</v>
      </c>
      <c r="AK282" s="232">
        <f>Table1[[#This Row],[UNIT (BUILDING) RATE (BASIC FINISH)]]*Table1[[#This Row],[Unit Selling Area]]</f>
        <v>8987962.4999999981</v>
      </c>
      <c r="AL282" s="232">
        <f>Table1[[#This Row],[UNIT (BUILDING) RATE (FULLY FINISH)]]*Table1[[#This Row],[Unit Selling Area]]</f>
        <v>9527962.4999999981</v>
      </c>
      <c r="AM282" s="232">
        <f t="shared" si="47"/>
        <v>1149708.94421625</v>
      </c>
      <c r="AN282" s="232">
        <f>(AM282+AJ282)*FACTS!$S$2</f>
        <v>792852.07275838125</v>
      </c>
      <c r="AO282" s="101">
        <f>VLOOKUP(S282,FACTS!$A$17:$C$23,3,FALSE)</f>
        <v>2</v>
      </c>
      <c r="AP282" s="232">
        <f>VLOOKUP(AA282,FACTS!$B$2:$J$14,9,FALSE)</f>
        <v>204999.99999999997</v>
      </c>
      <c r="AQ282" s="232">
        <f>Table1[[#This Row],[PARKING VALUE]]*1</f>
        <v>204999.99999999997</v>
      </c>
      <c r="AR282" s="232">
        <f t="shared" si="42"/>
        <v>9532671.4442162495</v>
      </c>
      <c r="AS282" s="440">
        <f>Table1[[#This Row],[TOTAL CARS VALUE]]+Table1[[#This Row],[UNIT (BUILDING) VALUE BASIC FINISHED]]+Table1[[#This Row],[UNIT (GARDEN) VALUE]]</f>
        <v>10342671.444216248</v>
      </c>
      <c r="AT282" s="232">
        <f>Table1[[#This Row],[TOTAL CARS VALUE]]+Table1[[#This Row],[UNIT (GARDEN) VALUE]]+Table1[[#This Row],[UNIT (BUILDING) VALUE FULLY FINISHED]]</f>
        <v>10882671.444216248</v>
      </c>
      <c r="AU282" s="233">
        <f>VLOOKUP(I282,'C PHASES'!$I$108:$J$110,2,FALSE)</f>
        <v>46204</v>
      </c>
      <c r="AV282" s="233">
        <f>VLOOKUP(AA282,'C PHASES'!$I$113:$J$125,2,FALSE)</f>
        <v>45292</v>
      </c>
    </row>
    <row r="283" spans="1:48" ht="15" customHeight="1" x14ac:dyDescent="0.25">
      <c r="A283" s="236"/>
      <c r="B283" s="227" t="str">
        <f t="shared" si="40"/>
        <v>B</v>
      </c>
      <c r="C283" s="227" t="s">
        <v>54</v>
      </c>
      <c r="D283" s="227" t="s">
        <v>1147</v>
      </c>
      <c r="E283" s="228">
        <v>1</v>
      </c>
      <c r="F283" s="101">
        <v>1</v>
      </c>
      <c r="G283" s="87" t="str">
        <f t="shared" si="48"/>
        <v>B611</v>
      </c>
      <c r="H283" s="87" t="s">
        <v>1293</v>
      </c>
      <c r="I283" s="89" t="str">
        <f>VLOOKUP(C283,'PREMIUM TABLES'!$G$107:$H$149,2,FALSE)</f>
        <v>C2</v>
      </c>
      <c r="J283" s="89">
        <v>96.311000000000007</v>
      </c>
      <c r="K283" s="87">
        <v>106.71064277551626</v>
      </c>
      <c r="L283" s="87">
        <v>117</v>
      </c>
      <c r="M283" s="89"/>
      <c r="N283" s="89"/>
      <c r="O283" s="87" t="s">
        <v>187</v>
      </c>
      <c r="P283" s="87" t="s">
        <v>190</v>
      </c>
      <c r="Q283" s="229" t="s">
        <v>197</v>
      </c>
      <c r="R283" s="87" t="str">
        <f>VLOOKUP(E283,'PREMIUM TABLES'!$F$214:$G$219,2,FALSE)</f>
        <v>FIRST</v>
      </c>
      <c r="S283" s="87" t="str" cm="1">
        <f t="array" ref="S283">IF(AND(L283&gt;0,L283&lt;90),"A",IF(AND(L283&gt;90,L283&lt;123),"B",IF(AND(L283&gt;122,L283&lt;159),"C",IF(AND(L283&gt;159,L283&lt;185),"D",IF(AND(L283&gt;185,L283&lt;230),"E",IF(AND(L283&gt;230,L283&lt;350),"F",NONE))))))</f>
        <v>B</v>
      </c>
      <c r="T283" s="230">
        <f>VLOOKUP(O283,'PREMIUM TABLES'!$G$165:$H$172,2,FALSE)</f>
        <v>0.08</v>
      </c>
      <c r="U283" s="230">
        <f>VLOOKUP(P283,'PREMIUM TABLES'!$G$208:$H$209,2,FALSE)</f>
        <v>2.5000000000000001E-2</v>
      </c>
      <c r="V283" s="230">
        <f>VLOOKUP(Q283,'PREMIUM TABLES'!$G$175:$H$195,2,FALSE)</f>
        <v>0.16</v>
      </c>
      <c r="W283" s="230">
        <f>VLOOKUP(R283,'PREMIUM TABLES'!$G$214:$H$219,2,FALSE)</f>
        <v>7.0000000000000007E-2</v>
      </c>
      <c r="X283" s="230">
        <f>VLOOKUP(S283,'PREMIUM TABLES'!$F$199:$H$205,3,FALSE)</f>
        <v>0.04</v>
      </c>
      <c r="Y283" s="231">
        <f t="shared" si="43"/>
        <v>0.375</v>
      </c>
      <c r="Z283" s="231" t="str" cm="1">
        <f t="array" ref="Z283">IF(AND(Y283&gt;0,Y283&lt;0.5),"C",IF(AND(Y283&gt;=0.5,Y283&lt;0.73),"B",IF(AND(Y283&gt;=0.73,Y283&lt;0.98),"A",NONE)))</f>
        <v>C</v>
      </c>
      <c r="AA283" s="231" t="str">
        <f>VLOOKUP(G283,'ALL (R)'!$N$5:$R$862,5,FALSE)</f>
        <v>R 3</v>
      </c>
      <c r="AB283" s="232">
        <f>VLOOKUP(AA283,FACTS!$B$2:$L$14,10,FALSE)</f>
        <v>44625</v>
      </c>
      <c r="AC283" s="232">
        <f>VLOOKUP(AA283,FACTS!$B$2:$L$14,11,FALSE)</f>
        <v>49875</v>
      </c>
      <c r="AD283" s="232">
        <f>VLOOKUP(AA283,FACTS!$B$2:$N$14,13,FALSE)</f>
        <v>5250</v>
      </c>
      <c r="AE283" s="232">
        <f t="shared" si="44"/>
        <v>1968.75</v>
      </c>
      <c r="AF283" s="232">
        <f t="shared" si="45"/>
        <v>46593.75</v>
      </c>
      <c r="AG283" s="232">
        <f>AF283*FACTS!$T$2</f>
        <v>15375.9375</v>
      </c>
      <c r="AH283" s="232">
        <f>Table1[[#This Row],[UNIT (BUILDING) RATE (SEMI FINISHED)]]+4500</f>
        <v>51093.75</v>
      </c>
      <c r="AI283" s="232">
        <f>Table1[[#This Row],[UNIT (BUILDING) RATE (SEMI FINISHED)]]+7500</f>
        <v>54093.75</v>
      </c>
      <c r="AJ283" s="232">
        <f t="shared" si="46"/>
        <v>5451468.75</v>
      </c>
      <c r="AK283" s="232">
        <f>Table1[[#This Row],[UNIT (BUILDING) RATE (BASIC FINISH)]]*Table1[[#This Row],[Unit Selling Area]]</f>
        <v>5977968.75</v>
      </c>
      <c r="AL283" s="232">
        <f>Table1[[#This Row],[UNIT (BUILDING) RATE (FULLY FINISH)]]*Table1[[#This Row],[Unit Selling Area]]</f>
        <v>6328968.75</v>
      </c>
      <c r="AM283" s="232">
        <f t="shared" si="47"/>
        <v>0</v>
      </c>
      <c r="AN283" s="232">
        <f>(AM283+AJ283)*FACTS!$S$2</f>
        <v>463374.84375000006</v>
      </c>
      <c r="AO283" s="101">
        <f>VLOOKUP(S283,FACTS!$A$17:$C$23,3,FALSE)</f>
        <v>1</v>
      </c>
      <c r="AP283" s="232">
        <f>VLOOKUP(AA283,FACTS!$B$2:$J$14,9,FALSE)</f>
        <v>210000</v>
      </c>
      <c r="AQ283" s="232">
        <f>Table1[[#This Row],[PARKING VALUE]]*1</f>
        <v>210000</v>
      </c>
      <c r="AR283" s="232">
        <f t="shared" si="42"/>
        <v>5661468.75</v>
      </c>
      <c r="AS283" s="440">
        <f>Table1[[#This Row],[TOTAL CARS VALUE]]+Table1[[#This Row],[UNIT (BUILDING) VALUE BASIC FINISHED]]+Table1[[#This Row],[UNIT (GARDEN) VALUE]]</f>
        <v>6187968.75</v>
      </c>
      <c r="AT283" s="232">
        <f>Table1[[#This Row],[TOTAL CARS VALUE]]+Table1[[#This Row],[UNIT (GARDEN) VALUE]]+Table1[[#This Row],[UNIT (BUILDING) VALUE FULLY FINISHED]]</f>
        <v>6538968.75</v>
      </c>
      <c r="AU283" s="233">
        <f>VLOOKUP(I283,'C PHASES'!$I$108:$J$110,2,FALSE)</f>
        <v>46204</v>
      </c>
      <c r="AV283" s="233">
        <f>VLOOKUP(AA283,'C PHASES'!$I$113:$J$125,2,FALSE)</f>
        <v>45383</v>
      </c>
    </row>
    <row r="284" spans="1:48" ht="15" customHeight="1" x14ac:dyDescent="0.25">
      <c r="A284" s="236"/>
      <c r="B284" s="227" t="str">
        <f t="shared" si="40"/>
        <v>B</v>
      </c>
      <c r="C284" s="227" t="s">
        <v>54</v>
      </c>
      <c r="D284" s="227" t="s">
        <v>1147</v>
      </c>
      <c r="E284" s="228">
        <v>1</v>
      </c>
      <c r="F284" s="101">
        <v>2</v>
      </c>
      <c r="G284" s="87" t="str">
        <f t="shared" si="48"/>
        <v>B612</v>
      </c>
      <c r="H284" s="87" t="s">
        <v>1294</v>
      </c>
      <c r="I284" s="89" t="str">
        <f>VLOOKUP(C284,'PREMIUM TABLES'!$G$107:$H$149,2,FALSE)</f>
        <v>C2</v>
      </c>
      <c r="J284" s="89">
        <v>162.57599999999999</v>
      </c>
      <c r="K284" s="87">
        <v>180.13092439983313</v>
      </c>
      <c r="L284" s="87">
        <v>198</v>
      </c>
      <c r="M284" s="89"/>
      <c r="N284" s="89"/>
      <c r="O284" s="87" t="s">
        <v>180</v>
      </c>
      <c r="P284" s="87" t="s">
        <v>190</v>
      </c>
      <c r="Q284" s="229" t="s">
        <v>210</v>
      </c>
      <c r="R284" s="87" t="str">
        <f>VLOOKUP(E284,'PREMIUM TABLES'!$F$214:$G$219,2,FALSE)</f>
        <v>FIRST</v>
      </c>
      <c r="S284" s="87" t="str" cm="1">
        <f t="array" ref="S284">IF(AND(L284&gt;0,L284&lt;90),"A",IF(AND(L284&gt;90,L284&lt;123),"B",IF(AND(L284&gt;122,L284&lt;159),"C",IF(AND(L284&gt;159,L284&lt;185),"D",IF(AND(L284&gt;185,L284&lt;230),"E",IF(AND(L284&gt;230,L284&lt;350),"F",NONE))))))</f>
        <v>E</v>
      </c>
      <c r="T284" s="230">
        <f>VLOOKUP(O284,'PREMIUM TABLES'!$G$165:$H$172,2,FALSE)</f>
        <v>0.13</v>
      </c>
      <c r="U284" s="230">
        <f>VLOOKUP(P284,'PREMIUM TABLES'!$G$208:$H$209,2,FALSE)</f>
        <v>2.5000000000000001E-2</v>
      </c>
      <c r="V284" s="230">
        <f>VLOOKUP(Q284,'PREMIUM TABLES'!$G$175:$H$195,2,FALSE)</f>
        <v>0.53</v>
      </c>
      <c r="W284" s="230">
        <f>VLOOKUP(R284,'PREMIUM TABLES'!$G$214:$H$219,2,FALSE)</f>
        <v>7.0000000000000007E-2</v>
      </c>
      <c r="X284" s="230">
        <f>VLOOKUP(S284,'PREMIUM TABLES'!$F$199:$H$205,3,FALSE)</f>
        <v>1.4999999999999999E-2</v>
      </c>
      <c r="Y284" s="231">
        <f t="shared" si="43"/>
        <v>0.77000000000000013</v>
      </c>
      <c r="Z284" s="231" t="str" cm="1">
        <f t="array" ref="Z284">IF(AND(Y284&gt;0,Y284&lt;0.5),"C",IF(AND(Y284&gt;=0.5,Y284&lt;0.73),"B",IF(AND(Y284&gt;=0.73,Y284&lt;0.98),"A",NONE)))</f>
        <v>A</v>
      </c>
      <c r="AA284" s="231" t="str">
        <f>VLOOKUP(G284,'ALL (R)'!$N$5:$R$862,5,FALSE)</f>
        <v>R 4</v>
      </c>
      <c r="AB284" s="232">
        <f>VLOOKUP(AA284,FACTS!$B$2:$L$14,10,FALSE)</f>
        <v>45687.5</v>
      </c>
      <c r="AC284" s="232">
        <f>VLOOKUP(AA284,FACTS!$B$2:$L$14,11,FALSE)</f>
        <v>51062.5</v>
      </c>
      <c r="AD284" s="232">
        <f>VLOOKUP(AA284,FACTS!$B$2:$N$14,13,FALSE)</f>
        <v>5375</v>
      </c>
      <c r="AE284" s="232">
        <f t="shared" si="44"/>
        <v>4138.7500000000009</v>
      </c>
      <c r="AF284" s="232">
        <f t="shared" si="45"/>
        <v>49826.25</v>
      </c>
      <c r="AG284" s="232">
        <f>AF284*FACTS!$T$2</f>
        <v>16442.662500000002</v>
      </c>
      <c r="AH284" s="232">
        <f>Table1[[#This Row],[UNIT (BUILDING) RATE (SEMI FINISHED)]]+4500</f>
        <v>54326.25</v>
      </c>
      <c r="AI284" s="232">
        <f>Table1[[#This Row],[UNIT (BUILDING) RATE (SEMI FINISHED)]]+7500</f>
        <v>57326.25</v>
      </c>
      <c r="AJ284" s="232">
        <f t="shared" si="46"/>
        <v>9865597.5</v>
      </c>
      <c r="AK284" s="232">
        <f>Table1[[#This Row],[UNIT (BUILDING) RATE (BASIC FINISH)]]*Table1[[#This Row],[Unit Selling Area]]</f>
        <v>10756597.5</v>
      </c>
      <c r="AL284" s="232">
        <f>Table1[[#This Row],[UNIT (BUILDING) RATE (FULLY FINISH)]]*Table1[[#This Row],[Unit Selling Area]]</f>
        <v>11350597.5</v>
      </c>
      <c r="AM284" s="232">
        <f t="shared" si="47"/>
        <v>0</v>
      </c>
      <c r="AN284" s="232">
        <f>(AM284+AJ284)*FACTS!$S$2</f>
        <v>838575.78750000009</v>
      </c>
      <c r="AO284" s="101">
        <f>VLOOKUP(S284,FACTS!$A$17:$C$23,3,FALSE)</f>
        <v>2</v>
      </c>
      <c r="AP284" s="232">
        <f>VLOOKUP(AA284,FACTS!$B$2:$J$14,9,FALSE)</f>
        <v>215000</v>
      </c>
      <c r="AQ284" s="232">
        <f>Table1[[#This Row],[PARKING VALUE]]*1</f>
        <v>215000</v>
      </c>
      <c r="AR284" s="232">
        <f t="shared" si="42"/>
        <v>10080597.5</v>
      </c>
      <c r="AS284" s="440">
        <f>Table1[[#This Row],[TOTAL CARS VALUE]]+Table1[[#This Row],[UNIT (BUILDING) VALUE BASIC FINISHED]]+Table1[[#This Row],[UNIT (GARDEN) VALUE]]</f>
        <v>10971597.5</v>
      </c>
      <c r="AT284" s="232">
        <f>Table1[[#This Row],[TOTAL CARS VALUE]]+Table1[[#This Row],[UNIT (GARDEN) VALUE]]+Table1[[#This Row],[UNIT (BUILDING) VALUE FULLY FINISHED]]</f>
        <v>11565597.5</v>
      </c>
      <c r="AU284" s="233">
        <f>VLOOKUP(I284,'C PHASES'!$I$108:$J$110,2,FALSE)</f>
        <v>46204</v>
      </c>
      <c r="AV284" s="233">
        <f>VLOOKUP(AA284,'C PHASES'!$I$113:$J$125,2,FALSE)</f>
        <v>45474</v>
      </c>
    </row>
    <row r="285" spans="1:48" ht="15" customHeight="1" x14ac:dyDescent="0.25">
      <c r="A285" s="236"/>
      <c r="B285" s="227" t="str">
        <f t="shared" si="40"/>
        <v>B</v>
      </c>
      <c r="C285" s="227" t="s">
        <v>54</v>
      </c>
      <c r="D285" s="227" t="s">
        <v>1147</v>
      </c>
      <c r="E285" s="228">
        <v>1</v>
      </c>
      <c r="F285" s="101">
        <v>3</v>
      </c>
      <c r="G285" s="87" t="str">
        <f t="shared" si="48"/>
        <v>B613</v>
      </c>
      <c r="H285" s="87" t="s">
        <v>1295</v>
      </c>
      <c r="I285" s="89" t="str">
        <f>VLOOKUP(C285,'PREMIUM TABLES'!$G$107:$H$149,2,FALSE)</f>
        <v>C2</v>
      </c>
      <c r="J285" s="89">
        <v>183.637</v>
      </c>
      <c r="K285" s="87">
        <v>203.46608702398976</v>
      </c>
      <c r="L285" s="87">
        <v>224</v>
      </c>
      <c r="M285" s="89"/>
      <c r="N285" s="89"/>
      <c r="O285" s="87" t="s">
        <v>180</v>
      </c>
      <c r="P285" s="87" t="s">
        <v>226</v>
      </c>
      <c r="Q285" s="229" t="s">
        <v>228</v>
      </c>
      <c r="R285" s="87" t="str">
        <f>VLOOKUP(E285,'PREMIUM TABLES'!$F$214:$G$219,2,FALSE)</f>
        <v>FIRST</v>
      </c>
      <c r="S285" s="87" t="str" cm="1">
        <f t="array" ref="S285">IF(AND(L285&gt;0,L285&lt;90),"A",IF(AND(L285&gt;90,L285&lt;123),"B",IF(AND(L285&gt;122,L285&lt;159),"C",IF(AND(L285&gt;159,L285&lt;185),"D",IF(AND(L285&gt;185,L285&lt;230),"E",IF(AND(L285&gt;230,L285&lt;350),"F",NONE))))))</f>
        <v>E</v>
      </c>
      <c r="T285" s="230">
        <f>VLOOKUP(O285,'PREMIUM TABLES'!$G$165:$H$172,2,FALSE)</f>
        <v>0.13</v>
      </c>
      <c r="U285" s="230">
        <f>VLOOKUP(P285,'PREMIUM TABLES'!$G$208:$H$209,2,FALSE)</f>
        <v>0.05</v>
      </c>
      <c r="V285" s="230">
        <f>VLOOKUP(Q285,'PREMIUM TABLES'!$G$175:$H$195,2,FALSE)</f>
        <v>0.42400000000000004</v>
      </c>
      <c r="W285" s="230">
        <f>VLOOKUP(R285,'PREMIUM TABLES'!$G$214:$H$219,2,FALSE)</f>
        <v>7.0000000000000007E-2</v>
      </c>
      <c r="X285" s="230">
        <f>VLOOKUP(S285,'PREMIUM TABLES'!$F$199:$H$205,3,FALSE)</f>
        <v>1.4999999999999999E-2</v>
      </c>
      <c r="Y285" s="231">
        <f t="shared" si="43"/>
        <v>0.68900000000000017</v>
      </c>
      <c r="Z285" s="231" t="str" cm="1">
        <f t="array" ref="Z285">IF(AND(Y285&gt;0,Y285&lt;0.5),"C",IF(AND(Y285&gt;=0.5,Y285&lt;0.73),"B",IF(AND(Y285&gt;=0.73,Y285&lt;0.98),"A",NONE)))</f>
        <v>B</v>
      </c>
      <c r="AA285" s="231" t="str">
        <f>VLOOKUP(G285,'ALL (R)'!$N$5:$R$862,5,FALSE)</f>
        <v>R 8</v>
      </c>
      <c r="AB285" s="232">
        <f>VLOOKUP(AA285,FACTS!$B$2:$L$14,10,FALSE)</f>
        <v>51850</v>
      </c>
      <c r="AC285" s="232">
        <f>VLOOKUP(AA285,FACTS!$B$2:$L$14,11,FALSE)</f>
        <v>57950</v>
      </c>
      <c r="AD285" s="232">
        <f>VLOOKUP(AA285,FACTS!$B$2:$N$14,13,FALSE)</f>
        <v>6100</v>
      </c>
      <c r="AE285" s="232">
        <f t="shared" si="44"/>
        <v>4202.9000000000015</v>
      </c>
      <c r="AF285" s="232">
        <f t="shared" si="45"/>
        <v>56052.9</v>
      </c>
      <c r="AG285" s="232">
        <f>AF285*FACTS!$T$2</f>
        <v>18497.457000000002</v>
      </c>
      <c r="AH285" s="232">
        <f>Table1[[#This Row],[UNIT (BUILDING) RATE (SEMI FINISHED)]]+4500</f>
        <v>60552.9</v>
      </c>
      <c r="AI285" s="232">
        <f>Table1[[#This Row],[UNIT (BUILDING) RATE (SEMI FINISHED)]]+7500</f>
        <v>63552.9</v>
      </c>
      <c r="AJ285" s="232">
        <f t="shared" si="46"/>
        <v>12555849.6</v>
      </c>
      <c r="AK285" s="232">
        <f>Table1[[#This Row],[UNIT (BUILDING) RATE (BASIC FINISH)]]*Table1[[#This Row],[Unit Selling Area]]</f>
        <v>13563849.6</v>
      </c>
      <c r="AL285" s="232">
        <f>Table1[[#This Row],[UNIT (BUILDING) RATE (FULLY FINISH)]]*Table1[[#This Row],[Unit Selling Area]]</f>
        <v>14235849.6</v>
      </c>
      <c r="AM285" s="232">
        <f t="shared" si="47"/>
        <v>0</v>
      </c>
      <c r="AN285" s="232">
        <f>(AM285+AJ285)*FACTS!$S$2</f>
        <v>1067247.216</v>
      </c>
      <c r="AO285" s="101">
        <f>VLOOKUP(S285,FACTS!$A$17:$C$23,3,FALSE)</f>
        <v>2</v>
      </c>
      <c r="AP285" s="232">
        <f>VLOOKUP(AA285,FACTS!$B$2:$J$14,9,FALSE)</f>
        <v>244000</v>
      </c>
      <c r="AQ285" s="232">
        <f>Table1[[#This Row],[PARKING VALUE]]*1</f>
        <v>244000</v>
      </c>
      <c r="AR285" s="232">
        <f t="shared" si="42"/>
        <v>12799849.6</v>
      </c>
      <c r="AS285" s="440">
        <f>Table1[[#This Row],[TOTAL CARS VALUE]]+Table1[[#This Row],[UNIT (BUILDING) VALUE BASIC FINISHED]]+Table1[[#This Row],[UNIT (GARDEN) VALUE]]</f>
        <v>13807849.6</v>
      </c>
      <c r="AT285" s="232">
        <f>Table1[[#This Row],[TOTAL CARS VALUE]]+Table1[[#This Row],[UNIT (GARDEN) VALUE]]+Table1[[#This Row],[UNIT (BUILDING) VALUE FULLY FINISHED]]</f>
        <v>14479849.6</v>
      </c>
      <c r="AU285" s="233">
        <f>VLOOKUP(I285,'C PHASES'!$I$108:$J$110,2,FALSE)</f>
        <v>46204</v>
      </c>
      <c r="AV285" s="233">
        <f>VLOOKUP(AA285,'C PHASES'!$I$113:$J$125,2,FALSE)</f>
        <v>45839</v>
      </c>
    </row>
    <row r="286" spans="1:48" ht="15" customHeight="1" x14ac:dyDescent="0.25">
      <c r="A286" s="236"/>
      <c r="B286" s="227" t="str">
        <f t="shared" si="40"/>
        <v>B</v>
      </c>
      <c r="C286" s="227" t="s">
        <v>54</v>
      </c>
      <c r="D286" s="227" t="s">
        <v>1147</v>
      </c>
      <c r="E286" s="228">
        <v>1</v>
      </c>
      <c r="F286" s="101">
        <v>4</v>
      </c>
      <c r="G286" s="87" t="str">
        <f t="shared" si="48"/>
        <v>B614</v>
      </c>
      <c r="H286" s="87" t="s">
        <v>1294</v>
      </c>
      <c r="I286" s="89" t="str">
        <f>VLOOKUP(C286,'PREMIUM TABLES'!$G$107:$H$149,2,FALSE)</f>
        <v>C2</v>
      </c>
      <c r="J286" s="89">
        <v>141.66300000000001</v>
      </c>
      <c r="K286" s="87">
        <v>156.95974278647259</v>
      </c>
      <c r="L286" s="87">
        <v>173</v>
      </c>
      <c r="M286" s="89"/>
      <c r="N286" s="89"/>
      <c r="O286" s="87" t="s">
        <v>187</v>
      </c>
      <c r="P286" s="87" t="s">
        <v>226</v>
      </c>
      <c r="Q286" s="229" t="s">
        <v>197</v>
      </c>
      <c r="R286" s="87" t="str">
        <f>VLOOKUP(E286,'PREMIUM TABLES'!$F$214:$G$219,2,FALSE)</f>
        <v>FIRST</v>
      </c>
      <c r="S286" s="87" t="str" cm="1">
        <f t="array" ref="S286">IF(AND(L286&gt;0,L286&lt;90),"A",IF(AND(L286&gt;90,L286&lt;123),"B",IF(AND(L286&gt;122,L286&lt;159),"C",IF(AND(L286&gt;159,L286&lt;185),"D",IF(AND(L286&gt;185,L286&lt;230),"E",IF(AND(L286&gt;230,L286&lt;350),"F",NONE))))))</f>
        <v>D</v>
      </c>
      <c r="T286" s="230">
        <f>VLOOKUP(O286,'PREMIUM TABLES'!$G$165:$H$172,2,FALSE)</f>
        <v>0.08</v>
      </c>
      <c r="U286" s="230">
        <f>VLOOKUP(P286,'PREMIUM TABLES'!$G$208:$H$209,2,FALSE)</f>
        <v>0.05</v>
      </c>
      <c r="V286" s="230">
        <f>VLOOKUP(Q286,'PREMIUM TABLES'!$G$175:$H$195,2,FALSE)</f>
        <v>0.16</v>
      </c>
      <c r="W286" s="230">
        <f>VLOOKUP(R286,'PREMIUM TABLES'!$G$214:$H$219,2,FALSE)</f>
        <v>7.0000000000000007E-2</v>
      </c>
      <c r="X286" s="230">
        <f>VLOOKUP(S286,'PREMIUM TABLES'!$F$199:$H$205,3,FALSE)</f>
        <v>2.5000000000000001E-2</v>
      </c>
      <c r="Y286" s="231">
        <f t="shared" si="43"/>
        <v>0.38500000000000006</v>
      </c>
      <c r="Z286" s="231" t="str" cm="1">
        <f t="array" ref="Z286">IF(AND(Y286&gt;0,Y286&lt;0.5),"C",IF(AND(Y286&gt;=0.5,Y286&lt;0.73),"B",IF(AND(Y286&gt;=0.73,Y286&lt;0.98),"A",NONE)))</f>
        <v>C</v>
      </c>
      <c r="AA286" s="231" t="str">
        <f>VLOOKUP(G286,'ALL (R)'!$N$5:$R$862,5,FALSE)</f>
        <v>R 4</v>
      </c>
      <c r="AB286" s="232">
        <f>VLOOKUP(AA286,FACTS!$B$2:$L$14,10,FALSE)</f>
        <v>45687.5</v>
      </c>
      <c r="AC286" s="232">
        <f>VLOOKUP(AA286,FACTS!$B$2:$L$14,11,FALSE)</f>
        <v>51062.5</v>
      </c>
      <c r="AD286" s="232">
        <f>VLOOKUP(AA286,FACTS!$B$2:$N$14,13,FALSE)</f>
        <v>5375</v>
      </c>
      <c r="AE286" s="232">
        <f t="shared" si="44"/>
        <v>2069.3750000000005</v>
      </c>
      <c r="AF286" s="232">
        <f t="shared" si="45"/>
        <v>47756.875</v>
      </c>
      <c r="AG286" s="232">
        <f>AF286*FACTS!$T$2</f>
        <v>15759.768750000001</v>
      </c>
      <c r="AH286" s="232">
        <f>Table1[[#This Row],[UNIT (BUILDING) RATE (SEMI FINISHED)]]+4500</f>
        <v>52256.875</v>
      </c>
      <c r="AI286" s="232">
        <f>Table1[[#This Row],[UNIT (BUILDING) RATE (SEMI FINISHED)]]+7500</f>
        <v>55256.875</v>
      </c>
      <c r="AJ286" s="232">
        <f t="shared" si="46"/>
        <v>8261939.375</v>
      </c>
      <c r="AK286" s="232">
        <f>Table1[[#This Row],[UNIT (BUILDING) RATE (BASIC FINISH)]]*Table1[[#This Row],[Unit Selling Area]]</f>
        <v>9040439.375</v>
      </c>
      <c r="AL286" s="232">
        <f>Table1[[#This Row],[UNIT (BUILDING) RATE (FULLY FINISH)]]*Table1[[#This Row],[Unit Selling Area]]</f>
        <v>9559439.375</v>
      </c>
      <c r="AM286" s="232">
        <f t="shared" si="47"/>
        <v>0</v>
      </c>
      <c r="AN286" s="232">
        <f>(AM286+AJ286)*FACTS!$S$2</f>
        <v>702264.84687500005</v>
      </c>
      <c r="AO286" s="101">
        <f>VLOOKUP(S286,FACTS!$A$17:$C$23,3,FALSE)</f>
        <v>2</v>
      </c>
      <c r="AP286" s="232">
        <f>VLOOKUP(AA286,FACTS!$B$2:$J$14,9,FALSE)</f>
        <v>215000</v>
      </c>
      <c r="AQ286" s="232">
        <f>Table1[[#This Row],[PARKING VALUE]]*1</f>
        <v>215000</v>
      </c>
      <c r="AR286" s="232">
        <f t="shared" si="42"/>
        <v>8476939.375</v>
      </c>
      <c r="AS286" s="440">
        <f>Table1[[#This Row],[TOTAL CARS VALUE]]+Table1[[#This Row],[UNIT (BUILDING) VALUE BASIC FINISHED]]+Table1[[#This Row],[UNIT (GARDEN) VALUE]]</f>
        <v>9255439.375</v>
      </c>
      <c r="AT286" s="232">
        <f>Table1[[#This Row],[TOTAL CARS VALUE]]+Table1[[#This Row],[UNIT (GARDEN) VALUE]]+Table1[[#This Row],[UNIT (BUILDING) VALUE FULLY FINISHED]]</f>
        <v>9774439.375</v>
      </c>
      <c r="AU286" s="233">
        <f>VLOOKUP(I286,'C PHASES'!$I$108:$J$110,2,FALSE)</f>
        <v>46204</v>
      </c>
      <c r="AV286" s="233">
        <f>VLOOKUP(AA286,'C PHASES'!$I$113:$J$125,2,FALSE)</f>
        <v>45474</v>
      </c>
    </row>
    <row r="287" spans="1:48" ht="15" customHeight="1" x14ac:dyDescent="0.25">
      <c r="A287" s="236"/>
      <c r="B287" s="227" t="str">
        <f t="shared" si="40"/>
        <v>B</v>
      </c>
      <c r="C287" s="227" t="s">
        <v>54</v>
      </c>
      <c r="D287" s="227" t="s">
        <v>1147</v>
      </c>
      <c r="E287" s="228">
        <v>2</v>
      </c>
      <c r="F287" s="101">
        <v>1</v>
      </c>
      <c r="G287" s="87" t="str">
        <f t="shared" si="48"/>
        <v>B621</v>
      </c>
      <c r="H287" s="87" t="s">
        <v>1294</v>
      </c>
      <c r="I287" s="89" t="str">
        <f>VLOOKUP(C287,'PREMIUM TABLES'!$G$107:$H$149,2,FALSE)</f>
        <v>C2</v>
      </c>
      <c r="J287" s="89">
        <v>141.22499999999999</v>
      </c>
      <c r="K287" s="87">
        <v>156.47444763290054</v>
      </c>
      <c r="L287" s="87">
        <v>172</v>
      </c>
      <c r="M287" s="89"/>
      <c r="N287" s="89"/>
      <c r="O287" s="87" t="s">
        <v>187</v>
      </c>
      <c r="P287" s="87" t="s">
        <v>190</v>
      </c>
      <c r="Q287" s="229" t="s">
        <v>197</v>
      </c>
      <c r="R287" s="87" t="str">
        <f>VLOOKUP(E287,'PREMIUM TABLES'!$F$214:$G$219,2,FALSE)</f>
        <v>SECOND</v>
      </c>
      <c r="S287" s="87" t="str" cm="1">
        <f t="array" ref="S287">IF(AND(L287&gt;0,L287&lt;90),"A",IF(AND(L287&gt;90,L287&lt;123),"B",IF(AND(L287&gt;122,L287&lt;159),"C",IF(AND(L287&gt;159,L287&lt;185),"D",IF(AND(L287&gt;185,L287&lt;230),"E",IF(AND(L287&gt;230,L287&lt;350),"F",NONE))))))</f>
        <v>D</v>
      </c>
      <c r="T287" s="230">
        <f>VLOOKUP(O287,'PREMIUM TABLES'!$G$165:$H$172,2,FALSE)</f>
        <v>0.08</v>
      </c>
      <c r="U287" s="230">
        <f>VLOOKUP(P287,'PREMIUM TABLES'!$G$208:$H$209,2,FALSE)</f>
        <v>2.5000000000000001E-2</v>
      </c>
      <c r="V287" s="230">
        <f>VLOOKUP(Q287,'PREMIUM TABLES'!$G$175:$H$195,2,FALSE)</f>
        <v>0.16</v>
      </c>
      <c r="W287" s="230">
        <f>VLOOKUP(R287,'PREMIUM TABLES'!$G$214:$H$219,2,FALSE)</f>
        <v>0.11</v>
      </c>
      <c r="X287" s="230">
        <f>VLOOKUP(S287,'PREMIUM TABLES'!$F$199:$H$205,3,FALSE)</f>
        <v>2.5000000000000001E-2</v>
      </c>
      <c r="Y287" s="231">
        <f t="shared" si="43"/>
        <v>0.4</v>
      </c>
      <c r="Z287" s="231" t="str" cm="1">
        <f t="array" ref="Z287">IF(AND(Y287&gt;0,Y287&lt;0.5),"C",IF(AND(Y287&gt;=0.5,Y287&lt;0.73),"B",IF(AND(Y287&gt;=0.73,Y287&lt;0.98),"A",NONE)))</f>
        <v>C</v>
      </c>
      <c r="AA287" s="231" t="str">
        <f>VLOOKUP(G287,'ALL (R)'!$N$5:$R$862,5,FALSE)</f>
        <v>R 5</v>
      </c>
      <c r="AB287" s="232">
        <f>VLOOKUP(AA287,FACTS!$B$2:$L$14,10,FALSE)</f>
        <v>46750.000000000007</v>
      </c>
      <c r="AC287" s="232">
        <f>VLOOKUP(AA287,FACTS!$B$2:$L$14,11,FALSE)</f>
        <v>52250.000000000007</v>
      </c>
      <c r="AD287" s="232">
        <f>VLOOKUP(AA287,FACTS!$B$2:$N$14,13,FALSE)</f>
        <v>5500</v>
      </c>
      <c r="AE287" s="232">
        <f t="shared" si="44"/>
        <v>2200</v>
      </c>
      <c r="AF287" s="232">
        <f t="shared" si="45"/>
        <v>48950.000000000007</v>
      </c>
      <c r="AG287" s="232">
        <f>AF287*FACTS!$T$2</f>
        <v>16153.500000000004</v>
      </c>
      <c r="AH287" s="232">
        <f>Table1[[#This Row],[UNIT (BUILDING) RATE (SEMI FINISHED)]]+4500</f>
        <v>53450.000000000007</v>
      </c>
      <c r="AI287" s="232">
        <f>Table1[[#This Row],[UNIT (BUILDING) RATE (SEMI FINISHED)]]+7500</f>
        <v>56450.000000000007</v>
      </c>
      <c r="AJ287" s="232">
        <f t="shared" si="46"/>
        <v>8419400.0000000019</v>
      </c>
      <c r="AK287" s="232">
        <f>Table1[[#This Row],[UNIT (BUILDING) RATE (BASIC FINISH)]]*Table1[[#This Row],[Unit Selling Area]]</f>
        <v>9193400.0000000019</v>
      </c>
      <c r="AL287" s="232">
        <f>Table1[[#This Row],[UNIT (BUILDING) RATE (FULLY FINISH)]]*Table1[[#This Row],[Unit Selling Area]]</f>
        <v>9709400.0000000019</v>
      </c>
      <c r="AM287" s="232">
        <f t="shared" si="47"/>
        <v>0</v>
      </c>
      <c r="AN287" s="232">
        <f>(AM287+AJ287)*FACTS!$S$2</f>
        <v>715649.00000000023</v>
      </c>
      <c r="AO287" s="101">
        <f>VLOOKUP(S287,FACTS!$A$17:$C$23,3,FALSE)</f>
        <v>2</v>
      </c>
      <c r="AP287" s="232">
        <f>VLOOKUP(AA287,FACTS!$B$2:$J$14,9,FALSE)</f>
        <v>220000.00000000003</v>
      </c>
      <c r="AQ287" s="232">
        <f>Table1[[#This Row],[PARKING VALUE]]*1</f>
        <v>220000.00000000003</v>
      </c>
      <c r="AR287" s="232">
        <f t="shared" si="42"/>
        <v>8639400.0000000019</v>
      </c>
      <c r="AS287" s="440">
        <f>Table1[[#This Row],[TOTAL CARS VALUE]]+Table1[[#This Row],[UNIT (BUILDING) VALUE BASIC FINISHED]]+Table1[[#This Row],[UNIT (GARDEN) VALUE]]</f>
        <v>9413400.0000000019</v>
      </c>
      <c r="AT287" s="232">
        <f>Table1[[#This Row],[TOTAL CARS VALUE]]+Table1[[#This Row],[UNIT (GARDEN) VALUE]]+Table1[[#This Row],[UNIT (BUILDING) VALUE FULLY FINISHED]]</f>
        <v>9929400.0000000019</v>
      </c>
      <c r="AU287" s="233">
        <f>VLOOKUP(I287,'C PHASES'!$I$108:$J$110,2,FALSE)</f>
        <v>46204</v>
      </c>
      <c r="AV287" s="233">
        <f>VLOOKUP(AA287,'C PHASES'!$I$113:$J$125,2,FALSE)</f>
        <v>45566</v>
      </c>
    </row>
    <row r="288" spans="1:48" ht="15" customHeight="1" x14ac:dyDescent="0.25">
      <c r="A288" s="236"/>
      <c r="B288" s="227" t="str">
        <f t="shared" si="40"/>
        <v>B</v>
      </c>
      <c r="C288" s="227" t="s">
        <v>54</v>
      </c>
      <c r="D288" s="227" t="s">
        <v>1147</v>
      </c>
      <c r="E288" s="228">
        <v>2</v>
      </c>
      <c r="F288" s="101">
        <v>2</v>
      </c>
      <c r="G288" s="87" t="str">
        <f t="shared" si="48"/>
        <v>B622</v>
      </c>
      <c r="H288" s="87" t="s">
        <v>1294</v>
      </c>
      <c r="I288" s="89" t="str">
        <f>VLOOKUP(C288,'PREMIUM TABLES'!$G$107:$H$149,2,FALSE)</f>
        <v>C2</v>
      </c>
      <c r="J288" s="89">
        <v>167.214</v>
      </c>
      <c r="K288" s="87">
        <v>185.26973472464385</v>
      </c>
      <c r="L288" s="87">
        <v>204</v>
      </c>
      <c r="M288" s="89"/>
      <c r="N288" s="89"/>
      <c r="O288" s="87" t="s">
        <v>180</v>
      </c>
      <c r="P288" s="87" t="s">
        <v>190</v>
      </c>
      <c r="Q288" s="229" t="s">
        <v>210</v>
      </c>
      <c r="R288" s="87" t="str">
        <f>VLOOKUP(E288,'PREMIUM TABLES'!$F$214:$G$219,2,FALSE)</f>
        <v>SECOND</v>
      </c>
      <c r="S288" s="87" t="str" cm="1">
        <f t="array" ref="S288">IF(AND(L288&gt;0,L288&lt;90),"A",IF(AND(L288&gt;90,L288&lt;123),"B",IF(AND(L288&gt;122,L288&lt;159),"C",IF(AND(L288&gt;159,L288&lt;185),"D",IF(AND(L288&gt;185,L288&lt;230),"E",IF(AND(L288&gt;230,L288&lt;350),"F",NONE))))))</f>
        <v>E</v>
      </c>
      <c r="T288" s="230">
        <f>VLOOKUP(O288,'PREMIUM TABLES'!$G$165:$H$172,2,FALSE)</f>
        <v>0.13</v>
      </c>
      <c r="U288" s="230">
        <f>VLOOKUP(P288,'PREMIUM TABLES'!$G$208:$H$209,2,FALSE)</f>
        <v>2.5000000000000001E-2</v>
      </c>
      <c r="V288" s="230">
        <f>VLOOKUP(Q288,'PREMIUM TABLES'!$G$175:$H$195,2,FALSE)</f>
        <v>0.53</v>
      </c>
      <c r="W288" s="230">
        <f>VLOOKUP(R288,'PREMIUM TABLES'!$G$214:$H$219,2,FALSE)</f>
        <v>0.11</v>
      </c>
      <c r="X288" s="230">
        <f>VLOOKUP(S288,'PREMIUM TABLES'!$F$199:$H$205,3,FALSE)</f>
        <v>1.4999999999999999E-2</v>
      </c>
      <c r="Y288" s="231">
        <f t="shared" si="43"/>
        <v>0.81</v>
      </c>
      <c r="Z288" s="231" t="str" cm="1">
        <f t="array" ref="Z288">IF(AND(Y288&gt;0,Y288&lt;0.5),"C",IF(AND(Y288&gt;=0.5,Y288&lt;0.73),"B",IF(AND(Y288&gt;=0.73,Y288&lt;0.98),"A",NONE)))</f>
        <v>A</v>
      </c>
      <c r="AA288" s="231" t="str">
        <f>VLOOKUP(G288,'ALL (R)'!$N$5:$R$862,5,FALSE)</f>
        <v>R 7</v>
      </c>
      <c r="AB288" s="232">
        <f>VLOOKUP(AA288,FACTS!$B$2:$L$14,10,FALSE)</f>
        <v>50150</v>
      </c>
      <c r="AC288" s="232">
        <f>VLOOKUP(AA288,FACTS!$B$2:$L$14,11,FALSE)</f>
        <v>56050</v>
      </c>
      <c r="AD288" s="232">
        <f>VLOOKUP(AA288,FACTS!$B$2:$N$14,13,FALSE)</f>
        <v>5900</v>
      </c>
      <c r="AE288" s="232">
        <f t="shared" si="44"/>
        <v>4779</v>
      </c>
      <c r="AF288" s="232">
        <f t="shared" si="45"/>
        <v>54929</v>
      </c>
      <c r="AG288" s="232">
        <f>AF288*FACTS!$T$2</f>
        <v>18126.57</v>
      </c>
      <c r="AH288" s="232">
        <f>Table1[[#This Row],[UNIT (BUILDING) RATE (SEMI FINISHED)]]+4500</f>
        <v>59429</v>
      </c>
      <c r="AI288" s="232">
        <f>Table1[[#This Row],[UNIT (BUILDING) RATE (SEMI FINISHED)]]+7500</f>
        <v>62429</v>
      </c>
      <c r="AJ288" s="232">
        <f t="shared" si="46"/>
        <v>11205516</v>
      </c>
      <c r="AK288" s="232">
        <f>Table1[[#This Row],[UNIT (BUILDING) RATE (BASIC FINISH)]]*Table1[[#This Row],[Unit Selling Area]]</f>
        <v>12123516</v>
      </c>
      <c r="AL288" s="232">
        <f>Table1[[#This Row],[UNIT (BUILDING) RATE (FULLY FINISH)]]*Table1[[#This Row],[Unit Selling Area]]</f>
        <v>12735516</v>
      </c>
      <c r="AM288" s="232">
        <f t="shared" si="47"/>
        <v>0</v>
      </c>
      <c r="AN288" s="232">
        <f>(AM288+AJ288)*FACTS!$S$2</f>
        <v>952468.8600000001</v>
      </c>
      <c r="AO288" s="101">
        <f>VLOOKUP(S288,FACTS!$A$17:$C$23,3,FALSE)</f>
        <v>2</v>
      </c>
      <c r="AP288" s="232">
        <f>VLOOKUP(AA288,FACTS!$B$2:$J$14,9,FALSE)</f>
        <v>236000</v>
      </c>
      <c r="AQ288" s="232">
        <f>Table1[[#This Row],[PARKING VALUE]]*1</f>
        <v>236000</v>
      </c>
      <c r="AR288" s="232">
        <f t="shared" si="42"/>
        <v>11441516</v>
      </c>
      <c r="AS288" s="440">
        <f>Table1[[#This Row],[TOTAL CARS VALUE]]+Table1[[#This Row],[UNIT (BUILDING) VALUE BASIC FINISHED]]+Table1[[#This Row],[UNIT (GARDEN) VALUE]]</f>
        <v>12359516</v>
      </c>
      <c r="AT288" s="232">
        <f>Table1[[#This Row],[TOTAL CARS VALUE]]+Table1[[#This Row],[UNIT (GARDEN) VALUE]]+Table1[[#This Row],[UNIT (BUILDING) VALUE FULLY FINISHED]]</f>
        <v>12971516</v>
      </c>
      <c r="AU288" s="233">
        <f>VLOOKUP(I288,'C PHASES'!$I$108:$J$110,2,FALSE)</f>
        <v>46204</v>
      </c>
      <c r="AV288" s="233">
        <f>VLOOKUP(AA288,'C PHASES'!$I$113:$J$125,2,FALSE)</f>
        <v>45748</v>
      </c>
    </row>
    <row r="289" spans="1:48" ht="15" customHeight="1" x14ac:dyDescent="0.25">
      <c r="A289" s="236"/>
      <c r="B289" s="227" t="str">
        <f t="shared" si="40"/>
        <v>B</v>
      </c>
      <c r="C289" s="227" t="s">
        <v>54</v>
      </c>
      <c r="D289" s="227" t="s">
        <v>1147</v>
      </c>
      <c r="E289" s="228">
        <v>2</v>
      </c>
      <c r="F289" s="101">
        <v>3</v>
      </c>
      <c r="G289" s="87" t="str">
        <f t="shared" si="48"/>
        <v>B623</v>
      </c>
      <c r="H289" s="87" t="s">
        <v>1295</v>
      </c>
      <c r="I289" s="89" t="str">
        <f>VLOOKUP(C289,'PREMIUM TABLES'!$G$107:$H$149,2,FALSE)</f>
        <v>C2</v>
      </c>
      <c r="J289" s="89">
        <v>187.10300000000001</v>
      </c>
      <c r="K289" s="87">
        <v>207.30634502006436</v>
      </c>
      <c r="L289" s="87">
        <v>228</v>
      </c>
      <c r="M289" s="89"/>
      <c r="N289" s="89"/>
      <c r="O289" s="87" t="s">
        <v>180</v>
      </c>
      <c r="P289" s="87" t="s">
        <v>226</v>
      </c>
      <c r="Q289" s="229" t="s">
        <v>228</v>
      </c>
      <c r="R289" s="87" t="str">
        <f>VLOOKUP(E289,'PREMIUM TABLES'!$F$214:$G$219,2,FALSE)</f>
        <v>SECOND</v>
      </c>
      <c r="S289" s="87" t="str" cm="1">
        <f t="array" ref="S289">IF(AND(L289&gt;0,L289&lt;90),"A",IF(AND(L289&gt;90,L289&lt;123),"B",IF(AND(L289&gt;122,L289&lt;159),"C",IF(AND(L289&gt;159,L289&lt;185),"D",IF(AND(L289&gt;185,L289&lt;230),"E",IF(AND(L289&gt;230,L289&lt;350),"F",NONE))))))</f>
        <v>E</v>
      </c>
      <c r="T289" s="230">
        <f>VLOOKUP(O289,'PREMIUM TABLES'!$G$165:$H$172,2,FALSE)</f>
        <v>0.13</v>
      </c>
      <c r="U289" s="230">
        <f>VLOOKUP(P289,'PREMIUM TABLES'!$G$208:$H$209,2,FALSE)</f>
        <v>0.05</v>
      </c>
      <c r="V289" s="230">
        <f>VLOOKUP(Q289,'PREMIUM TABLES'!$G$175:$H$195,2,FALSE)</f>
        <v>0.42400000000000004</v>
      </c>
      <c r="W289" s="230">
        <f>VLOOKUP(R289,'PREMIUM TABLES'!$G$214:$H$219,2,FALSE)</f>
        <v>0.11</v>
      </c>
      <c r="X289" s="230">
        <f>VLOOKUP(S289,'PREMIUM TABLES'!$F$199:$H$205,3,FALSE)</f>
        <v>1.4999999999999999E-2</v>
      </c>
      <c r="Y289" s="231">
        <f t="shared" si="43"/>
        <v>0.72900000000000009</v>
      </c>
      <c r="Z289" s="231" t="str" cm="1">
        <f t="array" ref="Z289">IF(AND(Y289&gt;0,Y289&lt;0.5),"C",IF(AND(Y289&gt;=0.5,Y289&lt;0.73),"B",IF(AND(Y289&gt;=0.73,Y289&lt;0.98),"A",NONE)))</f>
        <v>B</v>
      </c>
      <c r="AA289" s="231" t="str">
        <f>VLOOKUP(G289,'ALL (R)'!$N$5:$R$862,5,FALSE)</f>
        <v>R 12</v>
      </c>
      <c r="AB289" s="232">
        <f>VLOOKUP(AA289,FACTS!$B$2:$L$14,10,FALSE)</f>
        <v>61625</v>
      </c>
      <c r="AC289" s="232">
        <f>VLOOKUP(AA289,FACTS!$B$2:$L$14,11,FALSE)</f>
        <v>68875</v>
      </c>
      <c r="AD289" s="232">
        <f>VLOOKUP(AA289,FACTS!$B$2:$N$14,13,FALSE)</f>
        <v>7250</v>
      </c>
      <c r="AE289" s="232">
        <f t="shared" si="44"/>
        <v>5285.2500000000009</v>
      </c>
      <c r="AF289" s="232">
        <f t="shared" si="45"/>
        <v>66910.25</v>
      </c>
      <c r="AG289" s="232">
        <f>AF289*FACTS!$T$2</f>
        <v>22080.3825</v>
      </c>
      <c r="AH289" s="232">
        <f>Table1[[#This Row],[UNIT (BUILDING) RATE (SEMI FINISHED)]]+4500</f>
        <v>71410.25</v>
      </c>
      <c r="AI289" s="232">
        <f>Table1[[#This Row],[UNIT (BUILDING) RATE (SEMI FINISHED)]]+7500</f>
        <v>74410.25</v>
      </c>
      <c r="AJ289" s="232">
        <f t="shared" si="46"/>
        <v>15255537</v>
      </c>
      <c r="AK289" s="232">
        <f>Table1[[#This Row],[UNIT (BUILDING) RATE (BASIC FINISH)]]*Table1[[#This Row],[Unit Selling Area]]</f>
        <v>16281537</v>
      </c>
      <c r="AL289" s="232">
        <f>Table1[[#This Row],[UNIT (BUILDING) RATE (FULLY FINISH)]]*Table1[[#This Row],[Unit Selling Area]]</f>
        <v>16965537</v>
      </c>
      <c r="AM289" s="232">
        <f t="shared" si="47"/>
        <v>0</v>
      </c>
      <c r="AN289" s="232">
        <f>(AM289+AJ289)*FACTS!$S$2</f>
        <v>1296720.645</v>
      </c>
      <c r="AO289" s="101">
        <f>VLOOKUP(S289,FACTS!$A$17:$C$23,3,FALSE)</f>
        <v>2</v>
      </c>
      <c r="AP289" s="232">
        <f>VLOOKUP(AA289,FACTS!$B$2:$J$14,9,FALSE)</f>
        <v>290000</v>
      </c>
      <c r="AQ289" s="232">
        <f>Table1[[#This Row],[PARKING VALUE]]*1</f>
        <v>290000</v>
      </c>
      <c r="AR289" s="232">
        <f t="shared" si="42"/>
        <v>15545537</v>
      </c>
      <c r="AS289" s="440">
        <f>Table1[[#This Row],[TOTAL CARS VALUE]]+Table1[[#This Row],[UNIT (BUILDING) VALUE BASIC FINISHED]]+Table1[[#This Row],[UNIT (GARDEN) VALUE]]</f>
        <v>16571537</v>
      </c>
      <c r="AT289" s="232">
        <f>Table1[[#This Row],[TOTAL CARS VALUE]]+Table1[[#This Row],[UNIT (GARDEN) VALUE]]+Table1[[#This Row],[UNIT (BUILDING) VALUE FULLY FINISHED]]</f>
        <v>17255537</v>
      </c>
      <c r="AU289" s="233">
        <f>VLOOKUP(I289,'C PHASES'!$I$108:$J$110,2,FALSE)</f>
        <v>46204</v>
      </c>
      <c r="AV289" s="233">
        <f>VLOOKUP(AA289,'C PHASES'!$I$113:$J$125,2,FALSE)</f>
        <v>46204</v>
      </c>
    </row>
    <row r="290" spans="1:48" ht="15" customHeight="1" x14ac:dyDescent="0.25">
      <c r="A290" s="236"/>
      <c r="B290" s="227" t="str">
        <f t="shared" si="40"/>
        <v>B</v>
      </c>
      <c r="C290" s="227" t="s">
        <v>54</v>
      </c>
      <c r="D290" s="227" t="s">
        <v>1147</v>
      </c>
      <c r="E290" s="228">
        <v>2</v>
      </c>
      <c r="F290" s="101">
        <v>4</v>
      </c>
      <c r="G290" s="87" t="str">
        <f t="shared" si="48"/>
        <v>B624</v>
      </c>
      <c r="H290" s="87" t="s">
        <v>1294</v>
      </c>
      <c r="I290" s="89" t="str">
        <f>VLOOKUP(C290,'PREMIUM TABLES'!$G$107:$H$149,2,FALSE)</f>
        <v>C2</v>
      </c>
      <c r="J290" s="89">
        <v>143.989</v>
      </c>
      <c r="K290" s="87">
        <v>159.53690380749666</v>
      </c>
      <c r="L290" s="87">
        <v>176</v>
      </c>
      <c r="M290" s="89"/>
      <c r="N290" s="89"/>
      <c r="O290" s="87" t="s">
        <v>187</v>
      </c>
      <c r="P290" s="87" t="s">
        <v>226</v>
      </c>
      <c r="Q290" s="229" t="s">
        <v>197</v>
      </c>
      <c r="R290" s="87" t="str">
        <f>VLOOKUP(E290,'PREMIUM TABLES'!$F$214:$G$219,2,FALSE)</f>
        <v>SECOND</v>
      </c>
      <c r="S290" s="87" t="str" cm="1">
        <f t="array" ref="S290">IF(AND(L290&gt;0,L290&lt;90),"A",IF(AND(L290&gt;90,L290&lt;123),"B",IF(AND(L290&gt;122,L290&lt;159),"C",IF(AND(L290&gt;159,L290&lt;185),"D",IF(AND(L290&gt;185,L290&lt;230),"E",IF(AND(L290&gt;230,L290&lt;350),"F",NONE))))))</f>
        <v>D</v>
      </c>
      <c r="T290" s="230">
        <f>VLOOKUP(O290,'PREMIUM TABLES'!$G$165:$H$172,2,FALSE)</f>
        <v>0.08</v>
      </c>
      <c r="U290" s="230">
        <f>VLOOKUP(P290,'PREMIUM TABLES'!$G$208:$H$209,2,FALSE)</f>
        <v>0.05</v>
      </c>
      <c r="V290" s="230">
        <f>VLOOKUP(Q290,'PREMIUM TABLES'!$G$175:$H$195,2,FALSE)</f>
        <v>0.16</v>
      </c>
      <c r="W290" s="230">
        <f>VLOOKUP(R290,'PREMIUM TABLES'!$G$214:$H$219,2,FALSE)</f>
        <v>0.11</v>
      </c>
      <c r="X290" s="230">
        <f>VLOOKUP(S290,'PREMIUM TABLES'!$F$199:$H$205,3,FALSE)</f>
        <v>2.5000000000000001E-2</v>
      </c>
      <c r="Y290" s="231">
        <f t="shared" si="43"/>
        <v>0.42500000000000004</v>
      </c>
      <c r="Z290" s="231" t="str" cm="1">
        <f t="array" ref="Z290">IF(AND(Y290&gt;0,Y290&lt;0.5),"C",IF(AND(Y290&gt;=0.5,Y290&lt;0.73),"B",IF(AND(Y290&gt;=0.73,Y290&lt;0.98),"A",NONE)))</f>
        <v>C</v>
      </c>
      <c r="AA290" s="231" t="str">
        <f>VLOOKUP(G290,'ALL (R)'!$N$5:$R$862,5,FALSE)</f>
        <v>R 8</v>
      </c>
      <c r="AB290" s="232">
        <f>VLOOKUP(AA290,FACTS!$B$2:$L$14,10,FALSE)</f>
        <v>51850</v>
      </c>
      <c r="AC290" s="232">
        <f>VLOOKUP(AA290,FACTS!$B$2:$L$14,11,FALSE)</f>
        <v>57950</v>
      </c>
      <c r="AD290" s="232">
        <f>VLOOKUP(AA290,FACTS!$B$2:$N$14,13,FALSE)</f>
        <v>6100</v>
      </c>
      <c r="AE290" s="232">
        <f t="shared" si="44"/>
        <v>2592.5000000000005</v>
      </c>
      <c r="AF290" s="232">
        <f t="shared" si="45"/>
        <v>54442.5</v>
      </c>
      <c r="AG290" s="232">
        <f>AF290*FACTS!$T$2</f>
        <v>17966.025000000001</v>
      </c>
      <c r="AH290" s="232">
        <f>Table1[[#This Row],[UNIT (BUILDING) RATE (SEMI FINISHED)]]+4500</f>
        <v>58942.5</v>
      </c>
      <c r="AI290" s="232">
        <f>Table1[[#This Row],[UNIT (BUILDING) RATE (SEMI FINISHED)]]+7500</f>
        <v>61942.5</v>
      </c>
      <c r="AJ290" s="232">
        <f t="shared" si="46"/>
        <v>9581880</v>
      </c>
      <c r="AK290" s="232">
        <f>Table1[[#This Row],[UNIT (BUILDING) RATE (BASIC FINISH)]]*Table1[[#This Row],[Unit Selling Area]]</f>
        <v>10373880</v>
      </c>
      <c r="AL290" s="232">
        <f>Table1[[#This Row],[UNIT (BUILDING) RATE (FULLY FINISH)]]*Table1[[#This Row],[Unit Selling Area]]</f>
        <v>10901880</v>
      </c>
      <c r="AM290" s="232">
        <f t="shared" si="47"/>
        <v>0</v>
      </c>
      <c r="AN290" s="232">
        <f>(AM290+AJ290)*FACTS!$S$2</f>
        <v>814459.8</v>
      </c>
      <c r="AO290" s="101">
        <f>VLOOKUP(S290,FACTS!$A$17:$C$23,3,FALSE)</f>
        <v>2</v>
      </c>
      <c r="AP290" s="232">
        <f>VLOOKUP(AA290,FACTS!$B$2:$J$14,9,FALSE)</f>
        <v>244000</v>
      </c>
      <c r="AQ290" s="232">
        <f>Table1[[#This Row],[PARKING VALUE]]*1</f>
        <v>244000</v>
      </c>
      <c r="AR290" s="232">
        <f t="shared" si="42"/>
        <v>9825880</v>
      </c>
      <c r="AS290" s="440">
        <f>Table1[[#This Row],[TOTAL CARS VALUE]]+Table1[[#This Row],[UNIT (BUILDING) VALUE BASIC FINISHED]]+Table1[[#This Row],[UNIT (GARDEN) VALUE]]</f>
        <v>10617880</v>
      </c>
      <c r="AT290" s="232">
        <f>Table1[[#This Row],[TOTAL CARS VALUE]]+Table1[[#This Row],[UNIT (GARDEN) VALUE]]+Table1[[#This Row],[UNIT (BUILDING) VALUE FULLY FINISHED]]</f>
        <v>11145880</v>
      </c>
      <c r="AU290" s="233">
        <f>VLOOKUP(I290,'C PHASES'!$I$108:$J$110,2,FALSE)</f>
        <v>46204</v>
      </c>
      <c r="AV290" s="233">
        <f>VLOOKUP(AA290,'C PHASES'!$I$113:$J$125,2,FALSE)</f>
        <v>45839</v>
      </c>
    </row>
    <row r="291" spans="1:48" ht="15" customHeight="1" x14ac:dyDescent="0.25">
      <c r="A291" s="236"/>
      <c r="B291" s="227" t="str">
        <f t="shared" si="40"/>
        <v>B</v>
      </c>
      <c r="C291" s="227" t="s">
        <v>54</v>
      </c>
      <c r="D291" s="227" t="s">
        <v>1147</v>
      </c>
      <c r="E291" s="228">
        <v>3</v>
      </c>
      <c r="F291" s="101">
        <v>1</v>
      </c>
      <c r="G291" s="87" t="str">
        <f t="shared" si="48"/>
        <v>B631</v>
      </c>
      <c r="H291" s="87" t="s">
        <v>1294</v>
      </c>
      <c r="I291" s="89" t="str">
        <f>VLOOKUP(C291,'PREMIUM TABLES'!$G$107:$H$149,2,FALSE)</f>
        <v>C2</v>
      </c>
      <c r="J291" s="89">
        <v>141.131</v>
      </c>
      <c r="K291" s="87">
        <v>156.37029753144901</v>
      </c>
      <c r="L291" s="87">
        <v>172</v>
      </c>
      <c r="M291" s="89"/>
      <c r="N291" s="89"/>
      <c r="O291" s="87" t="s">
        <v>187</v>
      </c>
      <c r="P291" s="87" t="s">
        <v>190</v>
      </c>
      <c r="Q291" s="229" t="s">
        <v>197</v>
      </c>
      <c r="R291" s="87" t="str">
        <f>VLOOKUP(E291,'PREMIUM TABLES'!$F$214:$G$219,2,FALSE)</f>
        <v>THIRD</v>
      </c>
      <c r="S291" s="87" t="str" cm="1">
        <f t="array" ref="S291">IF(AND(L291&gt;0,L291&lt;90),"A",IF(AND(L291&gt;90,L291&lt;123),"B",IF(AND(L291&gt;122,L291&lt;159),"C",IF(AND(L291&gt;159,L291&lt;185),"D",IF(AND(L291&gt;185,L291&lt;230),"E",IF(AND(L291&gt;230,L291&lt;350),"F",NONE))))))</f>
        <v>D</v>
      </c>
      <c r="T291" s="230">
        <f>VLOOKUP(O291,'PREMIUM TABLES'!$G$165:$H$172,2,FALSE)</f>
        <v>0.08</v>
      </c>
      <c r="U291" s="230">
        <f>VLOOKUP(P291,'PREMIUM TABLES'!$G$208:$H$209,2,FALSE)</f>
        <v>2.5000000000000001E-2</v>
      </c>
      <c r="V291" s="230">
        <f>VLOOKUP(Q291,'PREMIUM TABLES'!$G$175:$H$195,2,FALSE)</f>
        <v>0.16</v>
      </c>
      <c r="W291" s="230">
        <f>VLOOKUP(R291,'PREMIUM TABLES'!$G$214:$H$219,2,FALSE)</f>
        <v>0.15</v>
      </c>
      <c r="X291" s="230">
        <f>VLOOKUP(S291,'PREMIUM TABLES'!$F$199:$H$205,3,FALSE)</f>
        <v>2.5000000000000001E-2</v>
      </c>
      <c r="Y291" s="231">
        <f t="shared" si="43"/>
        <v>0.44000000000000006</v>
      </c>
      <c r="Z291" s="231" t="str" cm="1">
        <f t="array" ref="Z291">IF(AND(Y291&gt;0,Y291&lt;0.5),"C",IF(AND(Y291&gt;=0.5,Y291&lt;0.73),"B",IF(AND(Y291&gt;=0.73,Y291&lt;0.98),"A",NONE)))</f>
        <v>C</v>
      </c>
      <c r="AA291" s="231" t="str">
        <f>VLOOKUP(G291,'ALL (R)'!$N$5:$R$862,5,FALSE)</f>
        <v>R 8</v>
      </c>
      <c r="AB291" s="232">
        <f>VLOOKUP(AA291,FACTS!$B$2:$L$14,10,FALSE)</f>
        <v>51850</v>
      </c>
      <c r="AC291" s="232">
        <f>VLOOKUP(AA291,FACTS!$B$2:$L$14,11,FALSE)</f>
        <v>57950</v>
      </c>
      <c r="AD291" s="232">
        <f>VLOOKUP(AA291,FACTS!$B$2:$N$14,13,FALSE)</f>
        <v>6100</v>
      </c>
      <c r="AE291" s="232">
        <f t="shared" si="44"/>
        <v>2684.0000000000005</v>
      </c>
      <c r="AF291" s="232">
        <f t="shared" si="45"/>
        <v>54534</v>
      </c>
      <c r="AG291" s="232">
        <f>AF291*FACTS!$T$2</f>
        <v>17996.22</v>
      </c>
      <c r="AH291" s="232">
        <f>Table1[[#This Row],[UNIT (BUILDING) RATE (SEMI FINISHED)]]+4500</f>
        <v>59034</v>
      </c>
      <c r="AI291" s="232">
        <f>Table1[[#This Row],[UNIT (BUILDING) RATE (SEMI FINISHED)]]+7500</f>
        <v>62034</v>
      </c>
      <c r="AJ291" s="232">
        <f t="shared" si="46"/>
        <v>9379848</v>
      </c>
      <c r="AK291" s="232">
        <f>Table1[[#This Row],[UNIT (BUILDING) RATE (BASIC FINISH)]]*Table1[[#This Row],[Unit Selling Area]]</f>
        <v>10153848</v>
      </c>
      <c r="AL291" s="232">
        <f>Table1[[#This Row],[UNIT (BUILDING) RATE (FULLY FINISH)]]*Table1[[#This Row],[Unit Selling Area]]</f>
        <v>10669848</v>
      </c>
      <c r="AM291" s="232">
        <f t="shared" si="47"/>
        <v>0</v>
      </c>
      <c r="AN291" s="232">
        <f>(AM291+AJ291)*FACTS!$S$2</f>
        <v>797287.08000000007</v>
      </c>
      <c r="AO291" s="101">
        <f>VLOOKUP(S291,FACTS!$A$17:$C$23,3,FALSE)</f>
        <v>2</v>
      </c>
      <c r="AP291" s="232">
        <f>VLOOKUP(AA291,FACTS!$B$2:$J$14,9,FALSE)</f>
        <v>244000</v>
      </c>
      <c r="AQ291" s="232">
        <f>Table1[[#This Row],[PARKING VALUE]]*1</f>
        <v>244000</v>
      </c>
      <c r="AR291" s="232">
        <f t="shared" si="42"/>
        <v>9623848</v>
      </c>
      <c r="AS291" s="440">
        <f>Table1[[#This Row],[TOTAL CARS VALUE]]+Table1[[#This Row],[UNIT (BUILDING) VALUE BASIC FINISHED]]+Table1[[#This Row],[UNIT (GARDEN) VALUE]]</f>
        <v>10397848</v>
      </c>
      <c r="AT291" s="232">
        <f>Table1[[#This Row],[TOTAL CARS VALUE]]+Table1[[#This Row],[UNIT (GARDEN) VALUE]]+Table1[[#This Row],[UNIT (BUILDING) VALUE FULLY FINISHED]]</f>
        <v>10913848</v>
      </c>
      <c r="AU291" s="233">
        <f>VLOOKUP(I291,'C PHASES'!$I$108:$J$110,2,FALSE)</f>
        <v>46204</v>
      </c>
      <c r="AV291" s="233">
        <f>VLOOKUP(AA291,'C PHASES'!$I$113:$J$125,2,FALSE)</f>
        <v>45839</v>
      </c>
    </row>
    <row r="292" spans="1:48" ht="15" customHeight="1" x14ac:dyDescent="0.25">
      <c r="A292" s="236"/>
      <c r="B292" s="227" t="str">
        <f t="shared" si="40"/>
        <v>B</v>
      </c>
      <c r="C292" s="227" t="s">
        <v>54</v>
      </c>
      <c r="D292" s="227" t="s">
        <v>1147</v>
      </c>
      <c r="E292" s="228">
        <v>3</v>
      </c>
      <c r="F292" s="101">
        <v>2</v>
      </c>
      <c r="G292" s="87" t="str">
        <f t="shared" si="48"/>
        <v>B632</v>
      </c>
      <c r="H292" s="87" t="s">
        <v>1294</v>
      </c>
      <c r="I292" s="89" t="str">
        <f>VLOOKUP(C292,'PREMIUM TABLES'!$G$107:$H$149,2,FALSE)</f>
        <v>C2</v>
      </c>
      <c r="J292" s="89">
        <v>164.43600000000001</v>
      </c>
      <c r="K292" s="87">
        <v>182.19176683281029</v>
      </c>
      <c r="L292" s="87">
        <v>201</v>
      </c>
      <c r="M292" s="89"/>
      <c r="N292" s="89"/>
      <c r="O292" s="87" t="s">
        <v>180</v>
      </c>
      <c r="P292" s="87" t="s">
        <v>190</v>
      </c>
      <c r="Q292" s="229" t="s">
        <v>210</v>
      </c>
      <c r="R292" s="87" t="str">
        <f>VLOOKUP(E292,'PREMIUM TABLES'!$F$214:$G$219,2,FALSE)</f>
        <v>THIRD</v>
      </c>
      <c r="S292" s="87" t="str" cm="1">
        <f t="array" ref="S292">IF(AND(L292&gt;0,L292&lt;90),"A",IF(AND(L292&gt;90,L292&lt;123),"B",IF(AND(L292&gt;122,L292&lt;159),"C",IF(AND(L292&gt;159,L292&lt;185),"D",IF(AND(L292&gt;185,L292&lt;230),"E",IF(AND(L292&gt;230,L292&lt;350),"F",NONE))))))</f>
        <v>E</v>
      </c>
      <c r="T292" s="230">
        <f>VLOOKUP(O292,'PREMIUM TABLES'!$G$165:$H$172,2,FALSE)</f>
        <v>0.13</v>
      </c>
      <c r="U292" s="230">
        <f>VLOOKUP(P292,'PREMIUM TABLES'!$G$208:$H$209,2,FALSE)</f>
        <v>2.5000000000000001E-2</v>
      </c>
      <c r="V292" s="230">
        <f>VLOOKUP(Q292,'PREMIUM TABLES'!$G$175:$H$195,2,FALSE)</f>
        <v>0.53</v>
      </c>
      <c r="W292" s="230">
        <f>VLOOKUP(R292,'PREMIUM TABLES'!$G$214:$H$219,2,FALSE)</f>
        <v>0.15</v>
      </c>
      <c r="X292" s="230">
        <f>VLOOKUP(S292,'PREMIUM TABLES'!$F$199:$H$205,3,FALSE)</f>
        <v>1.4999999999999999E-2</v>
      </c>
      <c r="Y292" s="231">
        <f t="shared" si="43"/>
        <v>0.85000000000000009</v>
      </c>
      <c r="Z292" s="231" t="str" cm="1">
        <f t="array" ref="Z292">IF(AND(Y292&gt;0,Y292&lt;0.5),"C",IF(AND(Y292&gt;=0.5,Y292&lt;0.73),"B",IF(AND(Y292&gt;=0.73,Y292&lt;0.98),"A",NONE)))</f>
        <v>A</v>
      </c>
      <c r="AA292" s="231" t="str">
        <f>VLOOKUP(G292,'ALL (R)'!$N$5:$R$862,5,FALSE)</f>
        <v>R 8</v>
      </c>
      <c r="AB292" s="232">
        <f>VLOOKUP(AA292,FACTS!$B$2:$L$14,10,FALSE)</f>
        <v>51850</v>
      </c>
      <c r="AC292" s="232">
        <f>VLOOKUP(AA292,FACTS!$B$2:$L$14,11,FALSE)</f>
        <v>57950</v>
      </c>
      <c r="AD292" s="232">
        <f>VLOOKUP(AA292,FACTS!$B$2:$N$14,13,FALSE)</f>
        <v>6100</v>
      </c>
      <c r="AE292" s="232">
        <f t="shared" si="44"/>
        <v>5185.0000000000009</v>
      </c>
      <c r="AF292" s="232">
        <f t="shared" si="45"/>
        <v>57035</v>
      </c>
      <c r="AG292" s="232">
        <f>AF292*FACTS!$T$2</f>
        <v>18821.55</v>
      </c>
      <c r="AH292" s="232">
        <f>Table1[[#This Row],[UNIT (BUILDING) RATE (SEMI FINISHED)]]+4500</f>
        <v>61535</v>
      </c>
      <c r="AI292" s="232">
        <f>Table1[[#This Row],[UNIT (BUILDING) RATE (SEMI FINISHED)]]+7500</f>
        <v>64535</v>
      </c>
      <c r="AJ292" s="232">
        <f t="shared" si="46"/>
        <v>11464035</v>
      </c>
      <c r="AK292" s="232">
        <f>Table1[[#This Row],[UNIT (BUILDING) RATE (BASIC FINISH)]]*Table1[[#This Row],[Unit Selling Area]]</f>
        <v>12368535</v>
      </c>
      <c r="AL292" s="232">
        <f>Table1[[#This Row],[UNIT (BUILDING) RATE (FULLY FINISH)]]*Table1[[#This Row],[Unit Selling Area]]</f>
        <v>12971535</v>
      </c>
      <c r="AM292" s="232">
        <f t="shared" si="47"/>
        <v>0</v>
      </c>
      <c r="AN292" s="232">
        <f>(AM292+AJ292)*FACTS!$S$2</f>
        <v>974442.97500000009</v>
      </c>
      <c r="AO292" s="101">
        <f>VLOOKUP(S292,FACTS!$A$17:$C$23,3,FALSE)</f>
        <v>2</v>
      </c>
      <c r="AP292" s="232">
        <f>VLOOKUP(AA292,FACTS!$B$2:$J$14,9,FALSE)</f>
        <v>244000</v>
      </c>
      <c r="AQ292" s="232">
        <f>Table1[[#This Row],[PARKING VALUE]]*1</f>
        <v>244000</v>
      </c>
      <c r="AR292" s="232">
        <f t="shared" si="42"/>
        <v>11708035</v>
      </c>
      <c r="AS292" s="440">
        <f>Table1[[#This Row],[TOTAL CARS VALUE]]+Table1[[#This Row],[UNIT (BUILDING) VALUE BASIC FINISHED]]+Table1[[#This Row],[UNIT (GARDEN) VALUE]]</f>
        <v>12612535</v>
      </c>
      <c r="AT292" s="232">
        <f>Table1[[#This Row],[TOTAL CARS VALUE]]+Table1[[#This Row],[UNIT (GARDEN) VALUE]]+Table1[[#This Row],[UNIT (BUILDING) VALUE FULLY FINISHED]]</f>
        <v>13215535</v>
      </c>
      <c r="AU292" s="233">
        <f>VLOOKUP(I292,'C PHASES'!$I$108:$J$110,2,FALSE)</f>
        <v>46204</v>
      </c>
      <c r="AV292" s="233">
        <f>VLOOKUP(AA292,'C PHASES'!$I$113:$J$125,2,FALSE)</f>
        <v>45839</v>
      </c>
    </row>
    <row r="293" spans="1:48" ht="15" customHeight="1" x14ac:dyDescent="0.25">
      <c r="A293" s="236"/>
      <c r="B293" s="227" t="str">
        <f t="shared" si="40"/>
        <v>B</v>
      </c>
      <c r="C293" s="227" t="s">
        <v>54</v>
      </c>
      <c r="D293" s="227" t="s">
        <v>1147</v>
      </c>
      <c r="E293" s="228">
        <v>3</v>
      </c>
      <c r="F293" s="101">
        <v>3</v>
      </c>
      <c r="G293" s="87" t="str">
        <f t="shared" si="48"/>
        <v>B633</v>
      </c>
      <c r="H293" s="87" t="s">
        <v>1295</v>
      </c>
      <c r="I293" s="89" t="str">
        <f>VLOOKUP(C293,'PREMIUM TABLES'!$G$107:$H$149,2,FALSE)</f>
        <v>C2</v>
      </c>
      <c r="J293" s="89">
        <v>187.20400000000001</v>
      </c>
      <c r="K293" s="87">
        <v>207.41825098013462</v>
      </c>
      <c r="L293" s="87">
        <v>228</v>
      </c>
      <c r="M293" s="89"/>
      <c r="N293" s="89"/>
      <c r="O293" s="87" t="s">
        <v>180</v>
      </c>
      <c r="P293" s="87" t="s">
        <v>226</v>
      </c>
      <c r="Q293" s="229" t="s">
        <v>228</v>
      </c>
      <c r="R293" s="87" t="str">
        <f>VLOOKUP(E293,'PREMIUM TABLES'!$F$214:$G$219,2,FALSE)</f>
        <v>THIRD</v>
      </c>
      <c r="S293" s="87" t="str" cm="1">
        <f t="array" ref="S293">IF(AND(L293&gt;0,L293&lt;90),"A",IF(AND(L293&gt;90,L293&lt;123),"B",IF(AND(L293&gt;122,L293&lt;159),"C",IF(AND(L293&gt;159,L293&lt;185),"D",IF(AND(L293&gt;185,L293&lt;230),"E",IF(AND(L293&gt;230,L293&lt;350),"F",NONE))))))</f>
        <v>E</v>
      </c>
      <c r="T293" s="230">
        <f>VLOOKUP(O293,'PREMIUM TABLES'!$G$165:$H$172,2,FALSE)</f>
        <v>0.13</v>
      </c>
      <c r="U293" s="230">
        <f>VLOOKUP(P293,'PREMIUM TABLES'!$G$208:$H$209,2,FALSE)</f>
        <v>0.05</v>
      </c>
      <c r="V293" s="230">
        <f>VLOOKUP(Q293,'PREMIUM TABLES'!$G$175:$H$195,2,FALSE)</f>
        <v>0.42400000000000004</v>
      </c>
      <c r="W293" s="230">
        <f>VLOOKUP(R293,'PREMIUM TABLES'!$G$214:$H$219,2,FALSE)</f>
        <v>0.15</v>
      </c>
      <c r="X293" s="230">
        <f>VLOOKUP(S293,'PREMIUM TABLES'!$F$199:$H$205,3,FALSE)</f>
        <v>1.4999999999999999E-2</v>
      </c>
      <c r="Y293" s="231">
        <f t="shared" si="43"/>
        <v>0.76900000000000013</v>
      </c>
      <c r="Z293" s="231" t="str" cm="1">
        <f t="array" ref="Z293">IF(AND(Y293&gt;0,Y293&lt;0.5),"C",IF(AND(Y293&gt;=0.5,Y293&lt;0.73),"B",IF(AND(Y293&gt;=0.73,Y293&lt;0.98),"A",NONE)))</f>
        <v>A</v>
      </c>
      <c r="AA293" s="231" t="str">
        <f>VLOOKUP(G293,'ALL (R)'!$N$5:$R$862,5,FALSE)</f>
        <v>R 3</v>
      </c>
      <c r="AB293" s="232">
        <f>VLOOKUP(AA293,FACTS!$B$2:$L$14,10,FALSE)</f>
        <v>44625</v>
      </c>
      <c r="AC293" s="232">
        <f>VLOOKUP(AA293,FACTS!$B$2:$L$14,11,FALSE)</f>
        <v>49875</v>
      </c>
      <c r="AD293" s="232">
        <f>VLOOKUP(AA293,FACTS!$B$2:$N$14,13,FALSE)</f>
        <v>5250</v>
      </c>
      <c r="AE293" s="232">
        <f t="shared" si="44"/>
        <v>4037.2500000000005</v>
      </c>
      <c r="AF293" s="232">
        <f t="shared" si="45"/>
        <v>48662.25</v>
      </c>
      <c r="AG293" s="232">
        <f>AF293*FACTS!$T$2</f>
        <v>16058.542500000001</v>
      </c>
      <c r="AH293" s="232">
        <f>Table1[[#This Row],[UNIT (BUILDING) RATE (SEMI FINISHED)]]+4500</f>
        <v>53162.25</v>
      </c>
      <c r="AI293" s="232">
        <f>Table1[[#This Row],[UNIT (BUILDING) RATE (SEMI FINISHED)]]+7500</f>
        <v>56162.25</v>
      </c>
      <c r="AJ293" s="232">
        <f t="shared" si="46"/>
        <v>11094993</v>
      </c>
      <c r="AK293" s="232">
        <f>Table1[[#This Row],[UNIT (BUILDING) RATE (BASIC FINISH)]]*Table1[[#This Row],[Unit Selling Area]]</f>
        <v>12120993</v>
      </c>
      <c r="AL293" s="232">
        <f>Table1[[#This Row],[UNIT (BUILDING) RATE (FULLY FINISH)]]*Table1[[#This Row],[Unit Selling Area]]</f>
        <v>12804993</v>
      </c>
      <c r="AM293" s="232">
        <f t="shared" si="47"/>
        <v>0</v>
      </c>
      <c r="AN293" s="232">
        <f>(AM293+AJ293)*FACTS!$S$2</f>
        <v>943074.40500000003</v>
      </c>
      <c r="AO293" s="101">
        <f>VLOOKUP(S293,FACTS!$A$17:$C$23,3,FALSE)</f>
        <v>2</v>
      </c>
      <c r="AP293" s="232">
        <f>VLOOKUP(AA293,FACTS!$B$2:$J$14,9,FALSE)</f>
        <v>210000</v>
      </c>
      <c r="AQ293" s="232">
        <f>Table1[[#This Row],[PARKING VALUE]]*1</f>
        <v>210000</v>
      </c>
      <c r="AR293" s="232">
        <f t="shared" si="42"/>
        <v>11304993</v>
      </c>
      <c r="AS293" s="440">
        <f>Table1[[#This Row],[TOTAL CARS VALUE]]+Table1[[#This Row],[UNIT (BUILDING) VALUE BASIC FINISHED]]+Table1[[#This Row],[UNIT (GARDEN) VALUE]]</f>
        <v>12330993</v>
      </c>
      <c r="AT293" s="232">
        <f>Table1[[#This Row],[TOTAL CARS VALUE]]+Table1[[#This Row],[UNIT (GARDEN) VALUE]]+Table1[[#This Row],[UNIT (BUILDING) VALUE FULLY FINISHED]]</f>
        <v>13014993</v>
      </c>
      <c r="AU293" s="233">
        <f>VLOOKUP(I293,'C PHASES'!$I$108:$J$110,2,FALSE)</f>
        <v>46204</v>
      </c>
      <c r="AV293" s="233">
        <f>VLOOKUP(AA293,'C PHASES'!$I$113:$J$125,2,FALSE)</f>
        <v>45383</v>
      </c>
    </row>
    <row r="294" spans="1:48" ht="15" customHeight="1" x14ac:dyDescent="0.25">
      <c r="A294" s="236"/>
      <c r="B294" s="227" t="str">
        <f t="shared" si="40"/>
        <v>B</v>
      </c>
      <c r="C294" s="227" t="s">
        <v>54</v>
      </c>
      <c r="D294" s="227" t="s">
        <v>1147</v>
      </c>
      <c r="E294" s="228">
        <v>3</v>
      </c>
      <c r="F294" s="101">
        <v>4</v>
      </c>
      <c r="G294" s="87" t="str">
        <f t="shared" si="48"/>
        <v>B634</v>
      </c>
      <c r="H294" s="87" t="s">
        <v>1294</v>
      </c>
      <c r="I294" s="89" t="str">
        <f>VLOOKUP(C294,'PREMIUM TABLES'!$G$107:$H$149,2,FALSE)</f>
        <v>C2</v>
      </c>
      <c r="J294" s="89">
        <v>143.911</v>
      </c>
      <c r="K294" s="87">
        <v>159.45048138288794</v>
      </c>
      <c r="L294" s="87">
        <v>176</v>
      </c>
      <c r="M294" s="89"/>
      <c r="N294" s="89"/>
      <c r="O294" s="87" t="s">
        <v>187</v>
      </c>
      <c r="P294" s="87" t="s">
        <v>226</v>
      </c>
      <c r="Q294" s="229" t="s">
        <v>197</v>
      </c>
      <c r="R294" s="87" t="str">
        <f>VLOOKUP(E294,'PREMIUM TABLES'!$F$214:$G$219,2,FALSE)</f>
        <v>THIRD</v>
      </c>
      <c r="S294" s="87" t="str" cm="1">
        <f t="array" ref="S294">IF(AND(L294&gt;0,L294&lt;90),"A",IF(AND(L294&gt;90,L294&lt;123),"B",IF(AND(L294&gt;122,L294&lt;159),"C",IF(AND(L294&gt;159,L294&lt;185),"D",IF(AND(L294&gt;185,L294&lt;230),"E",IF(AND(L294&gt;230,L294&lt;350),"F",NONE))))))</f>
        <v>D</v>
      </c>
      <c r="T294" s="230">
        <f>VLOOKUP(O294,'PREMIUM TABLES'!$G$165:$H$172,2,FALSE)</f>
        <v>0.08</v>
      </c>
      <c r="U294" s="230">
        <f>VLOOKUP(P294,'PREMIUM TABLES'!$G$208:$H$209,2,FALSE)</f>
        <v>0.05</v>
      </c>
      <c r="V294" s="230">
        <f>VLOOKUP(Q294,'PREMIUM TABLES'!$G$175:$H$195,2,FALSE)</f>
        <v>0.16</v>
      </c>
      <c r="W294" s="230">
        <f>VLOOKUP(R294,'PREMIUM TABLES'!$G$214:$H$219,2,FALSE)</f>
        <v>0.15</v>
      </c>
      <c r="X294" s="230">
        <f>VLOOKUP(S294,'PREMIUM TABLES'!$F$199:$H$205,3,FALSE)</f>
        <v>2.5000000000000001E-2</v>
      </c>
      <c r="Y294" s="231">
        <f t="shared" si="43"/>
        <v>0.46500000000000008</v>
      </c>
      <c r="Z294" s="231" t="str" cm="1">
        <f t="array" ref="Z294">IF(AND(Y294&gt;0,Y294&lt;0.5),"C",IF(AND(Y294&gt;=0.5,Y294&lt;0.73),"B",IF(AND(Y294&gt;=0.73,Y294&lt;0.98),"A",NONE)))</f>
        <v>C</v>
      </c>
      <c r="AA294" s="231" t="str">
        <f>VLOOKUP(G294,'ALL (R)'!$N$5:$R$862,5,FALSE)</f>
        <v>R 11</v>
      </c>
      <c r="AB294" s="232">
        <f>VLOOKUP(AA294,FACTS!$B$2:$L$14,10,FALSE)</f>
        <v>58649.999999999993</v>
      </c>
      <c r="AC294" s="232">
        <f>VLOOKUP(AA294,FACTS!$B$2:$L$14,11,FALSE)</f>
        <v>65550</v>
      </c>
      <c r="AD294" s="232">
        <f>VLOOKUP(AA294,FACTS!$B$2:$N$14,13,FALSE)</f>
        <v>6900.0000000000073</v>
      </c>
      <c r="AE294" s="232">
        <f t="shared" si="44"/>
        <v>3208.5000000000041</v>
      </c>
      <c r="AF294" s="232">
        <f t="shared" si="45"/>
        <v>61858.5</v>
      </c>
      <c r="AG294" s="232">
        <f>AF294*FACTS!$T$2</f>
        <v>20413.305</v>
      </c>
      <c r="AH294" s="232">
        <f>Table1[[#This Row],[UNIT (BUILDING) RATE (SEMI FINISHED)]]+4500</f>
        <v>66358.5</v>
      </c>
      <c r="AI294" s="232">
        <f>Table1[[#This Row],[UNIT (BUILDING) RATE (SEMI FINISHED)]]+7500</f>
        <v>69358.5</v>
      </c>
      <c r="AJ294" s="232">
        <f t="shared" si="46"/>
        <v>10887096</v>
      </c>
      <c r="AK294" s="232">
        <f>Table1[[#This Row],[UNIT (BUILDING) RATE (BASIC FINISH)]]*Table1[[#This Row],[Unit Selling Area]]</f>
        <v>11679096</v>
      </c>
      <c r="AL294" s="232">
        <f>Table1[[#This Row],[UNIT (BUILDING) RATE (FULLY FINISH)]]*Table1[[#This Row],[Unit Selling Area]]</f>
        <v>12207096</v>
      </c>
      <c r="AM294" s="232">
        <f t="shared" si="47"/>
        <v>0</v>
      </c>
      <c r="AN294" s="232">
        <f>(AM294+AJ294)*FACTS!$S$2</f>
        <v>925403.16</v>
      </c>
      <c r="AO294" s="101">
        <f>VLOOKUP(S294,FACTS!$A$17:$C$23,3,FALSE)</f>
        <v>2</v>
      </c>
      <c r="AP294" s="232">
        <f>VLOOKUP(AA294,FACTS!$B$2:$J$14,9,FALSE)</f>
        <v>276000</v>
      </c>
      <c r="AQ294" s="232">
        <f>Table1[[#This Row],[PARKING VALUE]]*1</f>
        <v>276000</v>
      </c>
      <c r="AR294" s="232">
        <f t="shared" si="42"/>
        <v>11163096</v>
      </c>
      <c r="AS294" s="440">
        <f>Table1[[#This Row],[TOTAL CARS VALUE]]+Table1[[#This Row],[UNIT (BUILDING) VALUE BASIC FINISHED]]+Table1[[#This Row],[UNIT (GARDEN) VALUE]]</f>
        <v>11955096</v>
      </c>
      <c r="AT294" s="232">
        <f>Table1[[#This Row],[TOTAL CARS VALUE]]+Table1[[#This Row],[UNIT (GARDEN) VALUE]]+Table1[[#This Row],[UNIT (BUILDING) VALUE FULLY FINISHED]]</f>
        <v>12483096</v>
      </c>
      <c r="AU294" s="233">
        <f>VLOOKUP(I294,'C PHASES'!$I$108:$J$110,2,FALSE)</f>
        <v>46204</v>
      </c>
      <c r="AV294" s="233">
        <f>VLOOKUP(AA294,'C PHASES'!$I$113:$J$125,2,FALSE)</f>
        <v>46113</v>
      </c>
    </row>
    <row r="295" spans="1:48" ht="15" customHeight="1" x14ac:dyDescent="0.25">
      <c r="A295" s="236"/>
      <c r="B295" s="227" t="str">
        <f t="shared" si="40"/>
        <v>B</v>
      </c>
      <c r="C295" s="227" t="s">
        <v>54</v>
      </c>
      <c r="D295" s="227" t="s">
        <v>1147</v>
      </c>
      <c r="E295" s="228">
        <v>4</v>
      </c>
      <c r="F295" s="101">
        <v>1</v>
      </c>
      <c r="G295" s="87" t="str">
        <f t="shared" si="48"/>
        <v>B641</v>
      </c>
      <c r="H295" s="87" t="s">
        <v>1294</v>
      </c>
      <c r="I295" s="89" t="str">
        <f>VLOOKUP(C295,'PREMIUM TABLES'!$G$107:$H$149,2,FALSE)</f>
        <v>C2</v>
      </c>
      <c r="J295" s="89">
        <v>139.16499999999999</v>
      </c>
      <c r="K295" s="87">
        <v>154.19200923938823</v>
      </c>
      <c r="L295" s="87">
        <v>170</v>
      </c>
      <c r="M295" s="89"/>
      <c r="N295" s="89"/>
      <c r="O295" s="87" t="s">
        <v>187</v>
      </c>
      <c r="P295" s="87" t="s">
        <v>190</v>
      </c>
      <c r="Q295" s="229" t="s">
        <v>197</v>
      </c>
      <c r="R295" s="87" t="str">
        <f>VLOOKUP(E295,'PREMIUM TABLES'!$F$214:$G$219,2,FALSE)</f>
        <v>FORTH</v>
      </c>
      <c r="S295" s="87" t="str" cm="1">
        <f t="array" ref="S295">IF(AND(L295&gt;0,L295&lt;90),"A",IF(AND(L295&gt;90,L295&lt;123),"B",IF(AND(L295&gt;122,L295&lt;159),"C",IF(AND(L295&gt;159,L295&lt;185),"D",IF(AND(L295&gt;185,L295&lt;230),"E",IF(AND(L295&gt;230,L295&lt;350),"F",NONE))))))</f>
        <v>D</v>
      </c>
      <c r="T295" s="230">
        <f>VLOOKUP(O295,'PREMIUM TABLES'!$G$165:$H$172,2,FALSE)</f>
        <v>0.08</v>
      </c>
      <c r="U295" s="230">
        <f>VLOOKUP(P295,'PREMIUM TABLES'!$G$208:$H$209,2,FALSE)</f>
        <v>2.5000000000000001E-2</v>
      </c>
      <c r="V295" s="230">
        <f>VLOOKUP(Q295,'PREMIUM TABLES'!$G$175:$H$195,2,FALSE)</f>
        <v>0.16</v>
      </c>
      <c r="W295" s="230">
        <f>VLOOKUP(R295,'PREMIUM TABLES'!$G$214:$H$219,2,FALSE)</f>
        <v>0.06</v>
      </c>
      <c r="X295" s="230">
        <f>VLOOKUP(S295,'PREMIUM TABLES'!$F$199:$H$205,3,FALSE)</f>
        <v>2.5000000000000001E-2</v>
      </c>
      <c r="Y295" s="231">
        <f t="shared" si="43"/>
        <v>0.35000000000000003</v>
      </c>
      <c r="Z295" s="231" t="str" cm="1">
        <f t="array" ref="Z295">IF(AND(Y295&gt;0,Y295&lt;0.5),"C",IF(AND(Y295&gt;=0.5,Y295&lt;0.73),"B",IF(AND(Y295&gt;=0.73,Y295&lt;0.98),"A",NONE)))</f>
        <v>C</v>
      </c>
      <c r="AA295" s="231" t="str">
        <f>VLOOKUP(G295,'ALL (R)'!$N$5:$R$862,5,FALSE)</f>
        <v>R 1</v>
      </c>
      <c r="AB295" s="232">
        <f>VLOOKUP(AA295,FACTS!$B$2:$L$14,10,FALSE)</f>
        <v>42500</v>
      </c>
      <c r="AC295" s="232">
        <f>VLOOKUP(AA295,FACTS!$B$2:$L$14,11,FALSE)</f>
        <v>47500</v>
      </c>
      <c r="AD295" s="232">
        <f>VLOOKUP(AA295,FACTS!$B$2:$N$14,13,FALSE)</f>
        <v>5000</v>
      </c>
      <c r="AE295" s="232">
        <f t="shared" si="44"/>
        <v>1750.0000000000002</v>
      </c>
      <c r="AF295" s="232">
        <f t="shared" si="45"/>
        <v>44250</v>
      </c>
      <c r="AG295" s="232">
        <f>AF295*FACTS!$T$2</f>
        <v>14602.5</v>
      </c>
      <c r="AH295" s="232">
        <f>Table1[[#This Row],[UNIT (BUILDING) RATE (SEMI FINISHED)]]+4500</f>
        <v>48750</v>
      </c>
      <c r="AI295" s="232">
        <f>Table1[[#This Row],[UNIT (BUILDING) RATE (SEMI FINISHED)]]+7500</f>
        <v>51750</v>
      </c>
      <c r="AJ295" s="232">
        <f t="shared" si="46"/>
        <v>7522500</v>
      </c>
      <c r="AK295" s="232">
        <f>Table1[[#This Row],[UNIT (BUILDING) RATE (BASIC FINISH)]]*Table1[[#This Row],[Unit Selling Area]]</f>
        <v>8287500</v>
      </c>
      <c r="AL295" s="232">
        <f>Table1[[#This Row],[UNIT (BUILDING) RATE (FULLY FINISH)]]*Table1[[#This Row],[Unit Selling Area]]</f>
        <v>8797500</v>
      </c>
      <c r="AM295" s="232">
        <f t="shared" si="47"/>
        <v>0</v>
      </c>
      <c r="AN295" s="232">
        <f>(AM295+AJ295)*FACTS!$S$2</f>
        <v>639412.5</v>
      </c>
      <c r="AO295" s="101">
        <f>VLOOKUP(S295,FACTS!$A$17:$C$23,3,FALSE)</f>
        <v>2</v>
      </c>
      <c r="AP295" s="232">
        <f>VLOOKUP(AA295,FACTS!$B$2:$J$14,9,FALSE)</f>
        <v>200000</v>
      </c>
      <c r="AQ295" s="232">
        <f>Table1[[#This Row],[PARKING VALUE]]*1</f>
        <v>200000</v>
      </c>
      <c r="AR295" s="232">
        <f t="shared" si="42"/>
        <v>7722500</v>
      </c>
      <c r="AS295" s="440">
        <f>Table1[[#This Row],[TOTAL CARS VALUE]]+Table1[[#This Row],[UNIT (BUILDING) VALUE BASIC FINISHED]]+Table1[[#This Row],[UNIT (GARDEN) VALUE]]</f>
        <v>8487500</v>
      </c>
      <c r="AT295" s="232">
        <f>Table1[[#This Row],[TOTAL CARS VALUE]]+Table1[[#This Row],[UNIT (GARDEN) VALUE]]+Table1[[#This Row],[UNIT (BUILDING) VALUE FULLY FINISHED]]</f>
        <v>8997500</v>
      </c>
      <c r="AU295" s="233">
        <f>VLOOKUP(I295,'C PHASES'!$I$108:$J$110,2,FALSE)</f>
        <v>46204</v>
      </c>
      <c r="AV295" s="233">
        <f>VLOOKUP(AA295,'C PHASES'!$I$113:$J$125,2,FALSE)</f>
        <v>45170</v>
      </c>
    </row>
    <row r="296" spans="1:48" ht="15" customHeight="1" x14ac:dyDescent="0.25">
      <c r="A296" s="236"/>
      <c r="B296" s="227" t="str">
        <f t="shared" si="40"/>
        <v>B</v>
      </c>
      <c r="C296" s="227" t="s">
        <v>54</v>
      </c>
      <c r="D296" s="227" t="s">
        <v>1147</v>
      </c>
      <c r="E296" s="228">
        <v>4</v>
      </c>
      <c r="F296" s="101">
        <v>2</v>
      </c>
      <c r="G296" s="87" t="str">
        <f t="shared" si="48"/>
        <v>B642</v>
      </c>
      <c r="H296" s="87" t="s">
        <v>1294</v>
      </c>
      <c r="I296" s="89" t="str">
        <f>VLOOKUP(C296,'PREMIUM TABLES'!$G$107:$H$149,2,FALSE)</f>
        <v>C2</v>
      </c>
      <c r="J296" s="89">
        <v>162.49</v>
      </c>
      <c r="K296" s="87">
        <v>180.03563813680304</v>
      </c>
      <c r="L296" s="87">
        <v>198</v>
      </c>
      <c r="M296" s="89"/>
      <c r="N296" s="89"/>
      <c r="O296" s="87" t="s">
        <v>180</v>
      </c>
      <c r="P296" s="87" t="s">
        <v>190</v>
      </c>
      <c r="Q296" s="229" t="s">
        <v>210</v>
      </c>
      <c r="R296" s="87" t="str">
        <f>VLOOKUP(E296,'PREMIUM TABLES'!$F$214:$G$219,2,FALSE)</f>
        <v>FORTH</v>
      </c>
      <c r="S296" s="87" t="str" cm="1">
        <f t="array" ref="S296">IF(AND(L296&gt;0,L296&lt;90),"A",IF(AND(L296&gt;90,L296&lt;123),"B",IF(AND(L296&gt;122,L296&lt;159),"C",IF(AND(L296&gt;159,L296&lt;185),"D",IF(AND(L296&gt;185,L296&lt;230),"E",IF(AND(L296&gt;230,L296&lt;350),"F",NONE))))))</f>
        <v>E</v>
      </c>
      <c r="T296" s="230">
        <f>VLOOKUP(O296,'PREMIUM TABLES'!$G$165:$H$172,2,FALSE)</f>
        <v>0.13</v>
      </c>
      <c r="U296" s="230">
        <f>VLOOKUP(P296,'PREMIUM TABLES'!$G$208:$H$209,2,FALSE)</f>
        <v>2.5000000000000001E-2</v>
      </c>
      <c r="V296" s="230">
        <f>VLOOKUP(Q296,'PREMIUM TABLES'!$G$175:$H$195,2,FALSE)</f>
        <v>0.53</v>
      </c>
      <c r="W296" s="230">
        <f>VLOOKUP(R296,'PREMIUM TABLES'!$G$214:$H$219,2,FALSE)</f>
        <v>0.06</v>
      </c>
      <c r="X296" s="230">
        <f>VLOOKUP(S296,'PREMIUM TABLES'!$F$199:$H$205,3,FALSE)</f>
        <v>1.4999999999999999E-2</v>
      </c>
      <c r="Y296" s="231">
        <f t="shared" si="43"/>
        <v>0.76000000000000012</v>
      </c>
      <c r="Z296" s="231" t="str" cm="1">
        <f t="array" ref="Z296">IF(AND(Y296&gt;0,Y296&lt;0.5),"C",IF(AND(Y296&gt;=0.5,Y296&lt;0.73),"B",IF(AND(Y296&gt;=0.73,Y296&lt;0.98),"A",NONE)))</f>
        <v>A</v>
      </c>
      <c r="AA296" s="231" t="str">
        <f>VLOOKUP(G296,'ALL (R)'!$N$5:$R$862,5,FALSE)</f>
        <v>R 3</v>
      </c>
      <c r="AB296" s="232">
        <f>VLOOKUP(AA296,FACTS!$B$2:$L$14,10,FALSE)</f>
        <v>44625</v>
      </c>
      <c r="AC296" s="232">
        <f>VLOOKUP(AA296,FACTS!$B$2:$L$14,11,FALSE)</f>
        <v>49875</v>
      </c>
      <c r="AD296" s="232">
        <f>VLOOKUP(AA296,FACTS!$B$2:$N$14,13,FALSE)</f>
        <v>5250</v>
      </c>
      <c r="AE296" s="232">
        <f t="shared" si="44"/>
        <v>3990.0000000000005</v>
      </c>
      <c r="AF296" s="232">
        <f t="shared" si="45"/>
        <v>48615</v>
      </c>
      <c r="AG296" s="232">
        <f>AF296*FACTS!$T$2</f>
        <v>16042.95</v>
      </c>
      <c r="AH296" s="232">
        <f>Table1[[#This Row],[UNIT (BUILDING) RATE (SEMI FINISHED)]]+4500</f>
        <v>53115</v>
      </c>
      <c r="AI296" s="232">
        <f>Table1[[#This Row],[UNIT (BUILDING) RATE (SEMI FINISHED)]]+7500</f>
        <v>56115</v>
      </c>
      <c r="AJ296" s="232">
        <f t="shared" si="46"/>
        <v>9625770</v>
      </c>
      <c r="AK296" s="232">
        <f>Table1[[#This Row],[UNIT (BUILDING) RATE (BASIC FINISH)]]*Table1[[#This Row],[Unit Selling Area]]</f>
        <v>10516770</v>
      </c>
      <c r="AL296" s="232">
        <f>Table1[[#This Row],[UNIT (BUILDING) RATE (FULLY FINISH)]]*Table1[[#This Row],[Unit Selling Area]]</f>
        <v>11110770</v>
      </c>
      <c r="AM296" s="232">
        <f t="shared" si="47"/>
        <v>0</v>
      </c>
      <c r="AN296" s="232">
        <f>(AM296+AJ296)*FACTS!$S$2</f>
        <v>818190.45000000007</v>
      </c>
      <c r="AO296" s="101">
        <f>VLOOKUP(S296,FACTS!$A$17:$C$23,3,FALSE)</f>
        <v>2</v>
      </c>
      <c r="AP296" s="232">
        <f>VLOOKUP(AA296,FACTS!$B$2:$J$14,9,FALSE)</f>
        <v>210000</v>
      </c>
      <c r="AQ296" s="232">
        <f>Table1[[#This Row],[PARKING VALUE]]*1</f>
        <v>210000</v>
      </c>
      <c r="AR296" s="232">
        <f t="shared" si="42"/>
        <v>9835770</v>
      </c>
      <c r="AS296" s="440">
        <f>Table1[[#This Row],[TOTAL CARS VALUE]]+Table1[[#This Row],[UNIT (BUILDING) VALUE BASIC FINISHED]]+Table1[[#This Row],[UNIT (GARDEN) VALUE]]</f>
        <v>10726770</v>
      </c>
      <c r="AT296" s="232">
        <f>Table1[[#This Row],[TOTAL CARS VALUE]]+Table1[[#This Row],[UNIT (GARDEN) VALUE]]+Table1[[#This Row],[UNIT (BUILDING) VALUE FULLY FINISHED]]</f>
        <v>11320770</v>
      </c>
      <c r="AU296" s="233">
        <f>VLOOKUP(I296,'C PHASES'!$I$108:$J$110,2,FALSE)</f>
        <v>46204</v>
      </c>
      <c r="AV296" s="233">
        <f>VLOOKUP(AA296,'C PHASES'!$I$113:$J$125,2,FALSE)</f>
        <v>45383</v>
      </c>
    </row>
    <row r="297" spans="1:48" ht="15" customHeight="1" x14ac:dyDescent="0.25">
      <c r="A297" s="236"/>
      <c r="B297" s="227" t="str">
        <f t="shared" si="40"/>
        <v>B</v>
      </c>
      <c r="C297" s="227" t="s">
        <v>54</v>
      </c>
      <c r="D297" s="227" t="s">
        <v>1147</v>
      </c>
      <c r="E297" s="228">
        <v>4</v>
      </c>
      <c r="F297" s="101">
        <v>3</v>
      </c>
      <c r="G297" s="87" t="str">
        <f t="shared" si="48"/>
        <v>B643</v>
      </c>
      <c r="H297" s="87" t="s">
        <v>1295</v>
      </c>
      <c r="I297" s="89" t="str">
        <f>VLOOKUP(C297,'PREMIUM TABLES'!$G$107:$H$149,2,FALSE)</f>
        <v>C2</v>
      </c>
      <c r="J297" s="89">
        <v>182.357</v>
      </c>
      <c r="K297" s="87">
        <v>202.04787287656464</v>
      </c>
      <c r="L297" s="87">
        <v>222</v>
      </c>
      <c r="M297" s="89"/>
      <c r="N297" s="89"/>
      <c r="O297" s="87" t="s">
        <v>180</v>
      </c>
      <c r="P297" s="87" t="s">
        <v>226</v>
      </c>
      <c r="Q297" s="229" t="s">
        <v>228</v>
      </c>
      <c r="R297" s="87" t="str">
        <f>VLOOKUP(E297,'PREMIUM TABLES'!$F$214:$G$219,2,FALSE)</f>
        <v>FORTH</v>
      </c>
      <c r="S297" s="87" t="str" cm="1">
        <f t="array" ref="S297">IF(AND(L297&gt;0,L297&lt;90),"A",IF(AND(L297&gt;90,L297&lt;123),"B",IF(AND(L297&gt;122,L297&lt;159),"C",IF(AND(L297&gt;159,L297&lt;185),"D",IF(AND(L297&gt;185,L297&lt;230),"E",IF(AND(L297&gt;230,L297&lt;350),"F",NONE))))))</f>
        <v>E</v>
      </c>
      <c r="T297" s="230">
        <f>VLOOKUP(O297,'PREMIUM TABLES'!$G$165:$H$172,2,FALSE)</f>
        <v>0.13</v>
      </c>
      <c r="U297" s="230">
        <f>VLOOKUP(P297,'PREMIUM TABLES'!$G$208:$H$209,2,FALSE)</f>
        <v>0.05</v>
      </c>
      <c r="V297" s="230">
        <f>VLOOKUP(Q297,'PREMIUM TABLES'!$G$175:$H$195,2,FALSE)</f>
        <v>0.42400000000000004</v>
      </c>
      <c r="W297" s="230">
        <f>VLOOKUP(R297,'PREMIUM TABLES'!$G$214:$H$219,2,FALSE)</f>
        <v>0.06</v>
      </c>
      <c r="X297" s="230">
        <f>VLOOKUP(S297,'PREMIUM TABLES'!$F$199:$H$205,3,FALSE)</f>
        <v>1.4999999999999999E-2</v>
      </c>
      <c r="Y297" s="231">
        <f t="shared" si="43"/>
        <v>0.67900000000000016</v>
      </c>
      <c r="Z297" s="231" t="str" cm="1">
        <f t="array" ref="Z297">IF(AND(Y297&gt;0,Y297&lt;0.5),"C",IF(AND(Y297&gt;=0.5,Y297&lt;0.73),"B",IF(AND(Y297&gt;=0.73,Y297&lt;0.98),"A",NONE)))</f>
        <v>B</v>
      </c>
      <c r="AA297" s="231" t="str">
        <f>VLOOKUP(G297,'ALL (R)'!$N$5:$R$862,5,FALSE)</f>
        <v>R 7</v>
      </c>
      <c r="AB297" s="232">
        <f>VLOOKUP(AA297,FACTS!$B$2:$L$14,10,FALSE)</f>
        <v>50150</v>
      </c>
      <c r="AC297" s="232">
        <f>VLOOKUP(AA297,FACTS!$B$2:$L$14,11,FALSE)</f>
        <v>56050</v>
      </c>
      <c r="AD297" s="232">
        <f>VLOOKUP(AA297,FACTS!$B$2:$N$14,13,FALSE)</f>
        <v>5900</v>
      </c>
      <c r="AE297" s="232">
        <f t="shared" si="44"/>
        <v>4006.1000000000008</v>
      </c>
      <c r="AF297" s="232">
        <f t="shared" si="45"/>
        <v>54156.1</v>
      </c>
      <c r="AG297" s="232">
        <f>AF297*FACTS!$T$2</f>
        <v>17871.512999999999</v>
      </c>
      <c r="AH297" s="232">
        <f>Table1[[#This Row],[UNIT (BUILDING) RATE (SEMI FINISHED)]]+4500</f>
        <v>58656.1</v>
      </c>
      <c r="AI297" s="232">
        <f>Table1[[#This Row],[UNIT (BUILDING) RATE (SEMI FINISHED)]]+7500</f>
        <v>61656.1</v>
      </c>
      <c r="AJ297" s="232">
        <f t="shared" si="46"/>
        <v>12022654.199999999</v>
      </c>
      <c r="AK297" s="232">
        <f>Table1[[#This Row],[UNIT (BUILDING) RATE (BASIC FINISH)]]*Table1[[#This Row],[Unit Selling Area]]</f>
        <v>13021654.199999999</v>
      </c>
      <c r="AL297" s="232">
        <f>Table1[[#This Row],[UNIT (BUILDING) RATE (FULLY FINISH)]]*Table1[[#This Row],[Unit Selling Area]]</f>
        <v>13687654.199999999</v>
      </c>
      <c r="AM297" s="232">
        <f t="shared" si="47"/>
        <v>0</v>
      </c>
      <c r="AN297" s="232">
        <f>(AM297+AJ297)*FACTS!$S$2</f>
        <v>1021925.607</v>
      </c>
      <c r="AO297" s="101">
        <f>VLOOKUP(S297,FACTS!$A$17:$C$23,3,FALSE)</f>
        <v>2</v>
      </c>
      <c r="AP297" s="232">
        <f>VLOOKUP(AA297,FACTS!$B$2:$J$14,9,FALSE)</f>
        <v>236000</v>
      </c>
      <c r="AQ297" s="232">
        <f>Table1[[#This Row],[PARKING VALUE]]*1</f>
        <v>236000</v>
      </c>
      <c r="AR297" s="232">
        <f t="shared" si="42"/>
        <v>12258654.199999999</v>
      </c>
      <c r="AS297" s="440">
        <f>Table1[[#This Row],[TOTAL CARS VALUE]]+Table1[[#This Row],[UNIT (BUILDING) VALUE BASIC FINISHED]]+Table1[[#This Row],[UNIT (GARDEN) VALUE]]</f>
        <v>13257654.199999999</v>
      </c>
      <c r="AT297" s="232">
        <f>Table1[[#This Row],[TOTAL CARS VALUE]]+Table1[[#This Row],[UNIT (GARDEN) VALUE]]+Table1[[#This Row],[UNIT (BUILDING) VALUE FULLY FINISHED]]</f>
        <v>13923654.199999999</v>
      </c>
      <c r="AU297" s="233">
        <f>VLOOKUP(I297,'C PHASES'!$I$108:$J$110,2,FALSE)</f>
        <v>46204</v>
      </c>
      <c r="AV297" s="233">
        <f>VLOOKUP(AA297,'C PHASES'!$I$113:$J$125,2,FALSE)</f>
        <v>45748</v>
      </c>
    </row>
    <row r="298" spans="1:48" ht="15" customHeight="1" x14ac:dyDescent="0.25">
      <c r="A298" s="236"/>
      <c r="B298" s="227" t="str">
        <f t="shared" si="40"/>
        <v>B</v>
      </c>
      <c r="C298" s="227" t="s">
        <v>54</v>
      </c>
      <c r="D298" s="227" t="s">
        <v>1147</v>
      </c>
      <c r="E298" s="228">
        <v>4</v>
      </c>
      <c r="F298" s="101">
        <v>4</v>
      </c>
      <c r="G298" s="87" t="str">
        <f t="shared" si="48"/>
        <v>B644</v>
      </c>
      <c r="H298" s="87" t="s">
        <v>1294</v>
      </c>
      <c r="I298" s="89" t="str">
        <f>VLOOKUP(C298,'PREMIUM TABLES'!$G$107:$H$149,2,FALSE)</f>
        <v>C2</v>
      </c>
      <c r="J298" s="89">
        <v>141.929</v>
      </c>
      <c r="K298" s="87">
        <v>157.25446541398435</v>
      </c>
      <c r="L298" s="87">
        <v>173</v>
      </c>
      <c r="M298" s="89"/>
      <c r="N298" s="89"/>
      <c r="O298" s="87" t="s">
        <v>187</v>
      </c>
      <c r="P298" s="87" t="s">
        <v>226</v>
      </c>
      <c r="Q298" s="229" t="s">
        <v>197</v>
      </c>
      <c r="R298" s="87" t="str">
        <f>VLOOKUP(E298,'PREMIUM TABLES'!$F$214:$G$219,2,FALSE)</f>
        <v>FORTH</v>
      </c>
      <c r="S298" s="87" t="str" cm="1">
        <f t="array" ref="S298">IF(AND(L298&gt;0,L298&lt;90),"A",IF(AND(L298&gt;90,L298&lt;123),"B",IF(AND(L298&gt;122,L298&lt;159),"C",IF(AND(L298&gt;159,L298&lt;185),"D",IF(AND(L298&gt;185,L298&lt;230),"E",IF(AND(L298&gt;230,L298&lt;350),"F",NONE))))))</f>
        <v>D</v>
      </c>
      <c r="T298" s="230">
        <f>VLOOKUP(O298,'PREMIUM TABLES'!$G$165:$H$172,2,FALSE)</f>
        <v>0.08</v>
      </c>
      <c r="U298" s="230">
        <f>VLOOKUP(P298,'PREMIUM TABLES'!$G$208:$H$209,2,FALSE)</f>
        <v>0.05</v>
      </c>
      <c r="V298" s="230">
        <f>VLOOKUP(Q298,'PREMIUM TABLES'!$G$175:$H$195,2,FALSE)</f>
        <v>0.16</v>
      </c>
      <c r="W298" s="230">
        <f>VLOOKUP(R298,'PREMIUM TABLES'!$G$214:$H$219,2,FALSE)</f>
        <v>0.06</v>
      </c>
      <c r="X298" s="230">
        <f>VLOOKUP(S298,'PREMIUM TABLES'!$F$199:$H$205,3,FALSE)</f>
        <v>2.5000000000000001E-2</v>
      </c>
      <c r="Y298" s="231">
        <f t="shared" si="43"/>
        <v>0.37500000000000006</v>
      </c>
      <c r="Z298" s="231" t="str" cm="1">
        <f t="array" ref="Z298">IF(AND(Y298&gt;0,Y298&lt;0.5),"C",IF(AND(Y298&gt;=0.5,Y298&lt;0.73),"B",IF(AND(Y298&gt;=0.73,Y298&lt;0.98),"A",NONE)))</f>
        <v>C</v>
      </c>
      <c r="AA298" s="231" t="str">
        <f>VLOOKUP(G298,'ALL (R)'!$N$5:$R$862,5,FALSE)</f>
        <v>R 3</v>
      </c>
      <c r="AB298" s="232">
        <f>VLOOKUP(AA298,FACTS!$B$2:$L$14,10,FALSE)</f>
        <v>44625</v>
      </c>
      <c r="AC298" s="232">
        <f>VLOOKUP(AA298,FACTS!$B$2:$L$14,11,FALSE)</f>
        <v>49875</v>
      </c>
      <c r="AD298" s="232">
        <f>VLOOKUP(AA298,FACTS!$B$2:$N$14,13,FALSE)</f>
        <v>5250</v>
      </c>
      <c r="AE298" s="232">
        <f t="shared" si="44"/>
        <v>1968.7500000000002</v>
      </c>
      <c r="AF298" s="232">
        <f t="shared" si="45"/>
        <v>46593.75</v>
      </c>
      <c r="AG298" s="232">
        <f>AF298*FACTS!$T$2</f>
        <v>15375.9375</v>
      </c>
      <c r="AH298" s="232">
        <f>Table1[[#This Row],[UNIT (BUILDING) RATE (SEMI FINISHED)]]+4500</f>
        <v>51093.75</v>
      </c>
      <c r="AI298" s="232">
        <f>Table1[[#This Row],[UNIT (BUILDING) RATE (SEMI FINISHED)]]+7500</f>
        <v>54093.75</v>
      </c>
      <c r="AJ298" s="232">
        <f t="shared" si="46"/>
        <v>8060718.75</v>
      </c>
      <c r="AK298" s="232">
        <f>Table1[[#This Row],[UNIT (BUILDING) RATE (BASIC FINISH)]]*Table1[[#This Row],[Unit Selling Area]]</f>
        <v>8839218.75</v>
      </c>
      <c r="AL298" s="232">
        <f>Table1[[#This Row],[UNIT (BUILDING) RATE (FULLY FINISH)]]*Table1[[#This Row],[Unit Selling Area]]</f>
        <v>9358218.75</v>
      </c>
      <c r="AM298" s="232">
        <f t="shared" si="47"/>
        <v>0</v>
      </c>
      <c r="AN298" s="232">
        <f>(AM298+AJ298)*FACTS!$S$2</f>
        <v>685161.09375</v>
      </c>
      <c r="AO298" s="101">
        <f>VLOOKUP(S298,FACTS!$A$17:$C$23,3,FALSE)</f>
        <v>2</v>
      </c>
      <c r="AP298" s="232">
        <f>VLOOKUP(AA298,FACTS!$B$2:$J$14,9,FALSE)</f>
        <v>210000</v>
      </c>
      <c r="AQ298" s="232">
        <f>Table1[[#This Row],[PARKING VALUE]]*1</f>
        <v>210000</v>
      </c>
      <c r="AR298" s="232">
        <f t="shared" si="42"/>
        <v>8270718.75</v>
      </c>
      <c r="AS298" s="440">
        <f>Table1[[#This Row],[TOTAL CARS VALUE]]+Table1[[#This Row],[UNIT (BUILDING) VALUE BASIC FINISHED]]+Table1[[#This Row],[UNIT (GARDEN) VALUE]]</f>
        <v>9049218.75</v>
      </c>
      <c r="AT298" s="232">
        <f>Table1[[#This Row],[TOTAL CARS VALUE]]+Table1[[#This Row],[UNIT (GARDEN) VALUE]]+Table1[[#This Row],[UNIT (BUILDING) VALUE FULLY FINISHED]]</f>
        <v>9568218.75</v>
      </c>
      <c r="AU298" s="233">
        <f>VLOOKUP(I298,'C PHASES'!$I$108:$J$110,2,FALSE)</f>
        <v>46204</v>
      </c>
      <c r="AV298" s="233">
        <f>VLOOKUP(AA298,'C PHASES'!$I$113:$J$125,2,FALSE)</f>
        <v>45383</v>
      </c>
    </row>
    <row r="299" spans="1:48" ht="18.75" customHeight="1" x14ac:dyDescent="0.25">
      <c r="A299" s="236" t="s">
        <v>33</v>
      </c>
      <c r="B299" s="227" t="str">
        <f t="shared" si="40"/>
        <v>B</v>
      </c>
      <c r="C299" s="227" t="s">
        <v>53</v>
      </c>
      <c r="D299" s="227" t="s">
        <v>1147</v>
      </c>
      <c r="E299" s="228">
        <v>0</v>
      </c>
      <c r="F299" s="101">
        <v>1</v>
      </c>
      <c r="G299" s="87" t="str">
        <f>LEFT(C299,2)&amp;E299&amp;F299</f>
        <v>B701</v>
      </c>
      <c r="H299" s="87" t="s">
        <v>1294</v>
      </c>
      <c r="I299" s="89" t="str">
        <f>VLOOKUP(C299,'PREMIUM TABLES'!$G$107:$H$149,2,FALSE)</f>
        <v>C2</v>
      </c>
      <c r="J299" s="89">
        <v>141.82499999999999</v>
      </c>
      <c r="K299" s="87">
        <v>159.04192828545919</v>
      </c>
      <c r="L299" s="87">
        <v>173</v>
      </c>
      <c r="M299" s="87">
        <v>80.092500000000001</v>
      </c>
      <c r="O299" s="87" t="s">
        <v>187</v>
      </c>
      <c r="P299" s="87" t="s">
        <v>190</v>
      </c>
      <c r="Q299" s="229" t="s">
        <v>197</v>
      </c>
      <c r="R299" s="87" t="str">
        <f>VLOOKUP(E299,'PREMIUM TABLES'!$F$214:$G$219,2,FALSE)</f>
        <v>GROUND</v>
      </c>
      <c r="S299" s="87" t="str" cm="1">
        <f t="array" ref="S299">IF(AND(L299&gt;0,L299&lt;90),"A",IF(AND(L299&gt;90,L299&lt;123),"B",IF(AND(L299&gt;122,L299&lt;159),"C",IF(AND(L299&gt;159,L299&lt;185),"D",IF(AND(L299&gt;185,L299&lt;230),"E",IF(AND(L299&gt;230,L299&lt;350),"F",NONE))))))</f>
        <v>D</v>
      </c>
      <c r="T299" s="230">
        <f>VLOOKUP(O299,'PREMIUM TABLES'!$G$165:$H$172,2,FALSE)</f>
        <v>0.08</v>
      </c>
      <c r="U299" s="230">
        <f>VLOOKUP(P299,'PREMIUM TABLES'!$G$208:$H$209,2,FALSE)</f>
        <v>2.5000000000000001E-2</v>
      </c>
      <c r="V299" s="230">
        <f>VLOOKUP(Q299,'PREMIUM TABLES'!$G$175:$H$195,2,FALSE)</f>
        <v>0.16</v>
      </c>
      <c r="W299" s="230">
        <f>VLOOKUP(R299,'PREMIUM TABLES'!$G$214:$H$219,2,FALSE)</f>
        <v>0.05</v>
      </c>
      <c r="X299" s="230">
        <f>VLOOKUP(S299,'PREMIUM TABLES'!$F$199:$H$205,3,FALSE)</f>
        <v>2.5000000000000001E-2</v>
      </c>
      <c r="Y299" s="231">
        <f t="shared" si="43"/>
        <v>0.34</v>
      </c>
      <c r="Z299" s="231" t="str" cm="1">
        <f t="array" ref="Z299">IF(AND(Y299&gt;0,Y299&lt;0.5),"C",IF(AND(Y299&gt;=0.5,Y299&lt;0.73),"B",IF(AND(Y299&gt;=0.73,Y299&lt;0.98),"A",NONE)))</f>
        <v>C</v>
      </c>
      <c r="AA299" s="231" t="str">
        <f>VLOOKUP(G299,'ALL (R)'!$N$5:$R$862,5,FALSE)</f>
        <v>R 1</v>
      </c>
      <c r="AB299" s="232">
        <f>VLOOKUP(AA299,FACTS!$B$2:$L$14,10,FALSE)</f>
        <v>42500</v>
      </c>
      <c r="AC299" s="232">
        <f>VLOOKUP(AA299,FACTS!$B$2:$L$14,11,FALSE)</f>
        <v>47500</v>
      </c>
      <c r="AD299" s="232">
        <f>VLOOKUP(AA299,FACTS!$B$2:$N$14,13,FALSE)</f>
        <v>5000</v>
      </c>
      <c r="AE299" s="232">
        <f t="shared" si="44"/>
        <v>1700.0000000000002</v>
      </c>
      <c r="AF299" s="232">
        <f t="shared" si="45"/>
        <v>44200</v>
      </c>
      <c r="AG299" s="232">
        <f>AF299*FACTS!$T$2</f>
        <v>14586</v>
      </c>
      <c r="AH299" s="232">
        <f>Table1[[#This Row],[UNIT (BUILDING) RATE (SEMI FINISHED)]]+4500</f>
        <v>48700</v>
      </c>
      <c r="AI299" s="232">
        <f>Table1[[#This Row],[UNIT (BUILDING) RATE (SEMI FINISHED)]]+7500</f>
        <v>51700</v>
      </c>
      <c r="AJ299" s="232">
        <f t="shared" si="46"/>
        <v>7646600</v>
      </c>
      <c r="AK299" s="232">
        <f>Table1[[#This Row],[UNIT (BUILDING) RATE (BASIC FINISH)]]*Table1[[#This Row],[Unit Selling Area]]</f>
        <v>8425100</v>
      </c>
      <c r="AL299" s="232">
        <f>Table1[[#This Row],[UNIT (BUILDING) RATE (FULLY FINISH)]]*Table1[[#This Row],[Unit Selling Area]]</f>
        <v>8944100</v>
      </c>
      <c r="AM299" s="232">
        <f t="shared" si="47"/>
        <v>1168229.2050000001</v>
      </c>
      <c r="AN299" s="232">
        <f>(AM299+AJ299)*FACTS!$S$2</f>
        <v>749260.48242500005</v>
      </c>
      <c r="AO299" s="101">
        <f>VLOOKUP(S299,FACTS!$A$17:$C$23,3,FALSE)</f>
        <v>2</v>
      </c>
      <c r="AP299" s="232">
        <f>VLOOKUP(AA299,FACTS!$B$2:$J$14,9,FALSE)</f>
        <v>200000</v>
      </c>
      <c r="AQ299" s="232">
        <f>Table1[[#This Row],[PARKING VALUE]]*1</f>
        <v>200000</v>
      </c>
      <c r="AR299" s="232">
        <f t="shared" si="42"/>
        <v>9014829.2050000001</v>
      </c>
      <c r="AS299" s="440">
        <f>Table1[[#This Row],[TOTAL CARS VALUE]]+Table1[[#This Row],[UNIT (BUILDING) VALUE BASIC FINISHED]]+Table1[[#This Row],[UNIT (GARDEN) VALUE]]</f>
        <v>9793329.2050000001</v>
      </c>
      <c r="AT299" s="232">
        <f>Table1[[#This Row],[TOTAL CARS VALUE]]+Table1[[#This Row],[UNIT (GARDEN) VALUE]]+Table1[[#This Row],[UNIT (BUILDING) VALUE FULLY FINISHED]]</f>
        <v>10312329.205</v>
      </c>
      <c r="AU299" s="233">
        <f>VLOOKUP(I299,'C PHASES'!$I$108:$J$110,2,FALSE)</f>
        <v>46204</v>
      </c>
      <c r="AV299" s="233">
        <f>VLOOKUP(AA299,'C PHASES'!$I$113:$J$125,2,FALSE)</f>
        <v>45170</v>
      </c>
    </row>
    <row r="300" spans="1:48" s="202" customFormat="1" x14ac:dyDescent="0.25">
      <c r="A300" s="236"/>
      <c r="B300" s="227" t="s">
        <v>204</v>
      </c>
      <c r="C300" s="227" t="s">
        <v>53</v>
      </c>
      <c r="D300" s="227" t="s">
        <v>1147</v>
      </c>
      <c r="E300" s="228">
        <v>0</v>
      </c>
      <c r="F300" s="101">
        <v>2</v>
      </c>
      <c r="G300" s="87" t="s">
        <v>954</v>
      </c>
      <c r="H300" s="87" t="s">
        <v>1297</v>
      </c>
      <c r="I300" s="89" t="s">
        <v>37</v>
      </c>
      <c r="J300" s="89">
        <f>'DATA FOR DUPLEX'!H9</f>
        <v>142.05600000000001</v>
      </c>
      <c r="K300" s="89">
        <f>'DATA FOR DUPLEX'!I9</f>
        <v>159.30097066468673</v>
      </c>
      <c r="L300" s="89">
        <v>344</v>
      </c>
      <c r="M300" s="89">
        <f>'DATA FOR DUPLEX'!K9</f>
        <v>97.868200000000002</v>
      </c>
      <c r="N300" s="87"/>
      <c r="O300" s="87" t="s">
        <v>180</v>
      </c>
      <c r="P300" s="87" t="s">
        <v>190</v>
      </c>
      <c r="Q300" s="229" t="s">
        <v>210</v>
      </c>
      <c r="R300" s="87" t="str">
        <f>VLOOKUP(E300,'PREMIUM TABLES'!$F$214:$G$219,2,FALSE)</f>
        <v>GROUND</v>
      </c>
      <c r="S300" s="87" t="str" cm="1">
        <f t="array" ref="S300">IF(AND(L300&gt;0,L300&lt;90),"A",IF(AND(L300&gt;90,L300&lt;123),"B",IF(AND(L300&gt;122,L300&lt;159),"C",IF(AND(L300&gt;159,L300&lt;185),"D",IF(AND(L300&gt;185,L300&lt;230),"E",IF(AND(L300&gt;230,L300&lt;350),"F",NONE))))))</f>
        <v>F</v>
      </c>
      <c r="T300" s="230">
        <f>VLOOKUP(O300,'PREMIUM TABLES'!$G$165:$H$172,2,FALSE)</f>
        <v>0.13</v>
      </c>
      <c r="U300" s="230">
        <f>VLOOKUP(P300,'PREMIUM TABLES'!$G$208:$H$209,2,FALSE)</f>
        <v>2.5000000000000001E-2</v>
      </c>
      <c r="V300" s="230">
        <f>VLOOKUP(Q300,'PREMIUM TABLES'!$G$175:$H$195,2,FALSE)</f>
        <v>0.53</v>
      </c>
      <c r="W300" s="230">
        <f>VLOOKUP(R300,'PREMIUM TABLES'!$G$214:$H$219,2,FALSE)</f>
        <v>0.05</v>
      </c>
      <c r="X300" s="230">
        <f>VLOOKUP(S300,'PREMIUM TABLES'!$F$199:$H$205,3,FALSE)</f>
        <v>0</v>
      </c>
      <c r="Y300" s="231">
        <f t="shared" si="43"/>
        <v>0.7350000000000001</v>
      </c>
      <c r="Z300" s="231" t="str" cm="1">
        <f t="array" ref="Z300">IF(AND(Y300&gt;0,Y300&lt;0.5),"C",IF(AND(Y300&gt;=0.5,Y300&lt;0.73),"B",IF(AND(Y300&gt;=0.73,Y300&lt;0.98),"A",NONE)))</f>
        <v>A</v>
      </c>
      <c r="AA300" s="231" t="str">
        <f>VLOOKUP(G300,'ALL (R)'!$N$5:$R$862,5,FALSE)</f>
        <v>R 1</v>
      </c>
      <c r="AB300" s="232">
        <f>VLOOKUP(AA300,FACTS!$B$2:$L$14,10,FALSE)</f>
        <v>42500</v>
      </c>
      <c r="AC300" s="232">
        <f>VLOOKUP(AA300,FACTS!$B$2:$L$14,11,FALSE)</f>
        <v>47500</v>
      </c>
      <c r="AD300" s="232">
        <f>VLOOKUP(AA300,FACTS!$B$2:$N$14,13,FALSE)</f>
        <v>5000</v>
      </c>
      <c r="AE300" s="232">
        <f t="shared" si="44"/>
        <v>3675.0000000000005</v>
      </c>
      <c r="AF300" s="232">
        <f t="shared" si="45"/>
        <v>46175</v>
      </c>
      <c r="AG300" s="232">
        <f>AF300*FACTS!$T$2</f>
        <v>15237.75</v>
      </c>
      <c r="AH300" s="232">
        <f>Table1[[#This Row],[UNIT (BUILDING) RATE (SEMI FINISHED)]]+4500</f>
        <v>50675</v>
      </c>
      <c r="AI300" s="232">
        <f>Table1[[#This Row],[UNIT (BUILDING) RATE (SEMI FINISHED)]]+7500</f>
        <v>53675</v>
      </c>
      <c r="AJ300" s="232">
        <f t="shared" si="46"/>
        <v>15884200</v>
      </c>
      <c r="AK300" s="232">
        <f>Table1[[#This Row],[UNIT (BUILDING) RATE (BASIC FINISH)]]*Table1[[#This Row],[Unit Selling Area]]</f>
        <v>17432200</v>
      </c>
      <c r="AL300" s="232">
        <f>Table1[[#This Row],[UNIT (BUILDING) RATE (FULLY FINISH)]]*Table1[[#This Row],[Unit Selling Area]]</f>
        <v>18464200</v>
      </c>
      <c r="AM300" s="232">
        <f t="shared" si="47"/>
        <v>1491291.1645500001</v>
      </c>
      <c r="AN300" s="232">
        <f>(AM300+AJ300)*FACTS!$S$2</f>
        <v>1476916.7489867499</v>
      </c>
      <c r="AO300" s="101">
        <f>VLOOKUP(S300,FACTS!$A$17:$C$23,3,FALSE)</f>
        <v>2</v>
      </c>
      <c r="AP300" s="232">
        <f>VLOOKUP(AA300,FACTS!$B$2:$J$14,9,FALSE)</f>
        <v>200000</v>
      </c>
      <c r="AQ300" s="232">
        <f>Table1[[#This Row],[PARKING VALUE]]*1</f>
        <v>200000</v>
      </c>
      <c r="AR300" s="232">
        <f t="shared" si="42"/>
        <v>17575491.164549999</v>
      </c>
      <c r="AS300" s="440">
        <f>Table1[[#This Row],[TOTAL CARS VALUE]]+Table1[[#This Row],[UNIT (BUILDING) VALUE BASIC FINISHED]]+Table1[[#This Row],[UNIT (GARDEN) VALUE]]</f>
        <v>19123491.164549999</v>
      </c>
      <c r="AT300" s="232">
        <f>Table1[[#This Row],[TOTAL CARS VALUE]]+Table1[[#This Row],[UNIT (GARDEN) VALUE]]+Table1[[#This Row],[UNIT (BUILDING) VALUE FULLY FINISHED]]</f>
        <v>20155491.164549999</v>
      </c>
      <c r="AU300" s="233">
        <f>VLOOKUP(I300,'C PHASES'!$I$108:$J$110,2,FALSE)</f>
        <v>46204</v>
      </c>
      <c r="AV300" s="233">
        <f>VLOOKUP(AA300,'C PHASES'!$I$113:$J$125,2,FALSE)</f>
        <v>45170</v>
      </c>
    </row>
    <row r="301" spans="1:48" s="202" customFormat="1" x14ac:dyDescent="0.25">
      <c r="A301" s="236"/>
      <c r="B301" s="227" t="s">
        <v>204</v>
      </c>
      <c r="C301" s="227" t="s">
        <v>53</v>
      </c>
      <c r="D301" s="227" t="s">
        <v>1147</v>
      </c>
      <c r="E301" s="228">
        <v>0</v>
      </c>
      <c r="F301" s="101">
        <v>3</v>
      </c>
      <c r="G301" s="87" t="s">
        <v>955</v>
      </c>
      <c r="H301" s="87" t="s">
        <v>1297</v>
      </c>
      <c r="I301" s="89" t="s">
        <v>37</v>
      </c>
      <c r="J301" s="89">
        <f>'DATA FOR DUPLEX'!H11</f>
        <v>142.197</v>
      </c>
      <c r="K301" s="89">
        <f>'DATA FOR DUPLEX'!I11</f>
        <v>159.45908744161781</v>
      </c>
      <c r="L301" s="89">
        <v>344</v>
      </c>
      <c r="M301" s="89">
        <f>'DATA FOR DUPLEX'!K11</f>
        <v>97.259299999999996</v>
      </c>
      <c r="N301" s="87"/>
      <c r="O301" s="87" t="s">
        <v>180</v>
      </c>
      <c r="P301" s="87" t="s">
        <v>190</v>
      </c>
      <c r="Q301" s="229" t="s">
        <v>210</v>
      </c>
      <c r="R301" s="87" t="str">
        <f>VLOOKUP(E301,'PREMIUM TABLES'!$F$214:$G$219,2,FALSE)</f>
        <v>GROUND</v>
      </c>
      <c r="S301" s="87" t="str" cm="1">
        <f t="array" ref="S301">IF(AND(L301&gt;0,L301&lt;90),"A",IF(AND(L301&gt;90,L301&lt;123),"B",IF(AND(L301&gt;122,L301&lt;159),"C",IF(AND(L301&gt;159,L301&lt;185),"D",IF(AND(L301&gt;185,L301&lt;230),"E",IF(AND(L301&gt;230,L301&lt;350),"F",NONE))))))</f>
        <v>F</v>
      </c>
      <c r="T301" s="230">
        <f>VLOOKUP(O301,'PREMIUM TABLES'!$G$165:$H$172,2,FALSE)</f>
        <v>0.13</v>
      </c>
      <c r="U301" s="230">
        <f>VLOOKUP(P301,'PREMIUM TABLES'!$G$208:$H$209,2,FALSE)</f>
        <v>2.5000000000000001E-2</v>
      </c>
      <c r="V301" s="230">
        <f>VLOOKUP(Q301,'PREMIUM TABLES'!$G$175:$H$195,2,FALSE)</f>
        <v>0.53</v>
      </c>
      <c r="W301" s="230">
        <f>VLOOKUP(R301,'PREMIUM TABLES'!$G$214:$H$219,2,FALSE)</f>
        <v>0.05</v>
      </c>
      <c r="X301" s="230">
        <f>VLOOKUP(S301,'PREMIUM TABLES'!$F$199:$H$205,3,FALSE)</f>
        <v>0</v>
      </c>
      <c r="Y301" s="231">
        <f t="shared" si="43"/>
        <v>0.7350000000000001</v>
      </c>
      <c r="Z301" s="231" t="str" cm="1">
        <f t="array" ref="Z301">IF(AND(Y301&gt;0,Y301&lt;0.5),"C",IF(AND(Y301&gt;=0.5,Y301&lt;0.73),"B",IF(AND(Y301&gt;=0.73,Y301&lt;0.98),"A",NONE)))</f>
        <v>A</v>
      </c>
      <c r="AA301" s="231" t="str">
        <f>VLOOKUP(G301,'ALL (R)'!$N$5:$R$862,5,FALSE)</f>
        <v>R 2</v>
      </c>
      <c r="AB301" s="232">
        <f>VLOOKUP(AA301,FACTS!$B$2:$L$14,10,FALSE)</f>
        <v>43562.499999999993</v>
      </c>
      <c r="AC301" s="232">
        <f>VLOOKUP(AA301,FACTS!$B$2:$L$14,11,FALSE)</f>
        <v>48687.499999999993</v>
      </c>
      <c r="AD301" s="232">
        <f>VLOOKUP(AA301,FACTS!$B$2:$N$14,13,FALSE)</f>
        <v>5125</v>
      </c>
      <c r="AE301" s="232">
        <f t="shared" si="44"/>
        <v>3766.8750000000005</v>
      </c>
      <c r="AF301" s="232">
        <f t="shared" si="45"/>
        <v>47329.374999999993</v>
      </c>
      <c r="AG301" s="232">
        <f>AF301*FACTS!$T$2</f>
        <v>15618.693749999999</v>
      </c>
      <c r="AH301" s="232">
        <f>Table1[[#This Row],[UNIT (BUILDING) RATE (SEMI FINISHED)]]+4500</f>
        <v>51829.374999999993</v>
      </c>
      <c r="AI301" s="232">
        <f>Table1[[#This Row],[UNIT (BUILDING) RATE (SEMI FINISHED)]]+7500</f>
        <v>54829.374999999993</v>
      </c>
      <c r="AJ301" s="232">
        <f t="shared" si="46"/>
        <v>16281304.999999998</v>
      </c>
      <c r="AK301" s="232">
        <f>Table1[[#This Row],[UNIT (BUILDING) RATE (BASIC FINISH)]]*Table1[[#This Row],[Unit Selling Area]]</f>
        <v>17829304.999999996</v>
      </c>
      <c r="AL301" s="232">
        <f>Table1[[#This Row],[UNIT (BUILDING) RATE (FULLY FINISH)]]*Table1[[#This Row],[Unit Selling Area]]</f>
        <v>18861304.999999996</v>
      </c>
      <c r="AM301" s="232">
        <f t="shared" si="47"/>
        <v>1519063.2210393748</v>
      </c>
      <c r="AN301" s="232">
        <f>(AM301+AJ301)*FACTS!$S$2</f>
        <v>1513031.2987883468</v>
      </c>
      <c r="AO301" s="101">
        <f>VLOOKUP(S301,FACTS!$A$17:$C$23,3,FALSE)</f>
        <v>2</v>
      </c>
      <c r="AP301" s="232">
        <f>VLOOKUP(AA301,FACTS!$B$2:$J$14,9,FALSE)</f>
        <v>204999.99999999997</v>
      </c>
      <c r="AQ301" s="232">
        <f>Table1[[#This Row],[PARKING VALUE]]*1</f>
        <v>204999.99999999997</v>
      </c>
      <c r="AR301" s="232">
        <f t="shared" si="42"/>
        <v>18005368.221039373</v>
      </c>
      <c r="AS301" s="440">
        <f>Table1[[#This Row],[TOTAL CARS VALUE]]+Table1[[#This Row],[UNIT (BUILDING) VALUE BASIC FINISHED]]+Table1[[#This Row],[UNIT (GARDEN) VALUE]]</f>
        <v>19553368.22103937</v>
      </c>
      <c r="AT301" s="232">
        <f>Table1[[#This Row],[TOTAL CARS VALUE]]+Table1[[#This Row],[UNIT (GARDEN) VALUE]]+Table1[[#This Row],[UNIT (BUILDING) VALUE FULLY FINISHED]]</f>
        <v>20585368.22103937</v>
      </c>
      <c r="AU301" s="233">
        <f>VLOOKUP(I301,'C PHASES'!$I$108:$J$110,2,FALSE)</f>
        <v>46204</v>
      </c>
      <c r="AV301" s="233">
        <f>VLOOKUP(AA301,'C PHASES'!$I$113:$J$125,2,FALSE)</f>
        <v>45292</v>
      </c>
    </row>
    <row r="302" spans="1:48" x14ac:dyDescent="0.25">
      <c r="A302" s="236"/>
      <c r="B302" s="227" t="str">
        <f t="shared" si="40"/>
        <v>B</v>
      </c>
      <c r="C302" s="227" t="s">
        <v>53</v>
      </c>
      <c r="D302" s="227" t="s">
        <v>1147</v>
      </c>
      <c r="E302" s="228">
        <v>0</v>
      </c>
      <c r="F302" s="101">
        <v>4</v>
      </c>
      <c r="G302" s="87" t="str">
        <f t="shared" ref="G302:G316" si="49">LEFT(C302,2)&amp;E302&amp;F302</f>
        <v>B704</v>
      </c>
      <c r="H302" s="87" t="s">
        <v>1293</v>
      </c>
      <c r="I302" s="89" t="str">
        <f>VLOOKUP(C302,'PREMIUM TABLES'!$G$107:$H$149,2,FALSE)</f>
        <v>C2</v>
      </c>
      <c r="J302" s="89">
        <v>95.254000000000005</v>
      </c>
      <c r="K302" s="87">
        <v>106.81741467938045</v>
      </c>
      <c r="L302" s="87">
        <v>116</v>
      </c>
      <c r="M302" s="87">
        <v>63.675199999999997</v>
      </c>
      <c r="O302" s="87" t="s">
        <v>187</v>
      </c>
      <c r="P302" s="87" t="s">
        <v>190</v>
      </c>
      <c r="Q302" s="229" t="s">
        <v>197</v>
      </c>
      <c r="R302" s="87" t="str">
        <f>VLOOKUP(E302,'PREMIUM TABLES'!$F$214:$G$219,2,FALSE)</f>
        <v>GROUND</v>
      </c>
      <c r="S302" s="87" t="str" cm="1">
        <f t="array" ref="S302">IF(AND(L302&gt;0,L302&lt;90),"A",IF(AND(L302&gt;90,L302&lt;123),"B",IF(AND(L302&gt;122,L302&lt;159),"C",IF(AND(L302&gt;159,L302&lt;185),"D",IF(AND(L302&gt;185,L302&lt;230),"E",IF(AND(L302&gt;230,L302&lt;350),"F",NONE))))))</f>
        <v>B</v>
      </c>
      <c r="T302" s="230">
        <f>VLOOKUP(O302,'PREMIUM TABLES'!$G$165:$H$172,2,FALSE)</f>
        <v>0.08</v>
      </c>
      <c r="U302" s="230">
        <f>VLOOKUP(P302,'PREMIUM TABLES'!$G$208:$H$209,2,FALSE)</f>
        <v>2.5000000000000001E-2</v>
      </c>
      <c r="V302" s="230">
        <f>VLOOKUP(Q302,'PREMIUM TABLES'!$G$175:$H$195,2,FALSE)</f>
        <v>0.16</v>
      </c>
      <c r="W302" s="230">
        <f>VLOOKUP(R302,'PREMIUM TABLES'!$G$214:$H$219,2,FALSE)</f>
        <v>0.05</v>
      </c>
      <c r="X302" s="230">
        <f>VLOOKUP(S302,'PREMIUM TABLES'!$F$199:$H$205,3,FALSE)</f>
        <v>0.04</v>
      </c>
      <c r="Y302" s="231">
        <f t="shared" si="43"/>
        <v>0.35499999999999998</v>
      </c>
      <c r="Z302" s="231" t="str" cm="1">
        <f t="array" ref="Z302">IF(AND(Y302&gt;0,Y302&lt;0.5),"C",IF(AND(Y302&gt;=0.5,Y302&lt;0.73),"B",IF(AND(Y302&gt;=0.73,Y302&lt;0.98),"A",NONE)))</f>
        <v>C</v>
      </c>
      <c r="AA302" s="231" t="str">
        <f>VLOOKUP(G302,'ALL (R)'!$N$5:$R$862,5,FALSE)</f>
        <v>R 1</v>
      </c>
      <c r="AB302" s="232">
        <f>VLOOKUP(AA302,FACTS!$B$2:$L$14,10,FALSE)</f>
        <v>42500</v>
      </c>
      <c r="AC302" s="232">
        <f>VLOOKUP(AA302,FACTS!$B$2:$L$14,11,FALSE)</f>
        <v>47500</v>
      </c>
      <c r="AD302" s="232">
        <f>VLOOKUP(AA302,FACTS!$B$2:$N$14,13,FALSE)</f>
        <v>5000</v>
      </c>
      <c r="AE302" s="232">
        <f t="shared" si="44"/>
        <v>1775</v>
      </c>
      <c r="AF302" s="232">
        <f t="shared" si="45"/>
        <v>44275</v>
      </c>
      <c r="AG302" s="232">
        <f>AF302*FACTS!$T$2</f>
        <v>14610.75</v>
      </c>
      <c r="AH302" s="232">
        <f>Table1[[#This Row],[UNIT (BUILDING) RATE (SEMI FINISHED)]]+4500</f>
        <v>48775</v>
      </c>
      <c r="AI302" s="232">
        <f>Table1[[#This Row],[UNIT (BUILDING) RATE (SEMI FINISHED)]]+7500</f>
        <v>51775</v>
      </c>
      <c r="AJ302" s="232">
        <f t="shared" si="46"/>
        <v>5135900</v>
      </c>
      <c r="AK302" s="232">
        <f>Table1[[#This Row],[UNIT (BUILDING) RATE (BASIC FINISH)]]*Table1[[#This Row],[Unit Selling Area]]</f>
        <v>5657900</v>
      </c>
      <c r="AL302" s="232">
        <f>Table1[[#This Row],[UNIT (BUILDING) RATE (FULLY FINISH)]]*Table1[[#This Row],[Unit Selling Area]]</f>
        <v>6005900</v>
      </c>
      <c r="AM302" s="232">
        <f t="shared" si="47"/>
        <v>930342.42839999998</v>
      </c>
      <c r="AN302" s="232">
        <f>(AM302+AJ302)*FACTS!$S$2</f>
        <v>515630.60641399998</v>
      </c>
      <c r="AO302" s="101">
        <f>VLOOKUP(S302,FACTS!$A$17:$C$23,3,FALSE)</f>
        <v>1</v>
      </c>
      <c r="AP302" s="232">
        <f>VLOOKUP(AA302,FACTS!$B$2:$J$14,9,FALSE)</f>
        <v>200000</v>
      </c>
      <c r="AQ302" s="232">
        <f>Table1[[#This Row],[PARKING VALUE]]*1</f>
        <v>200000</v>
      </c>
      <c r="AR302" s="232">
        <f t="shared" si="42"/>
        <v>6266242.4284000006</v>
      </c>
      <c r="AS302" s="440">
        <f>Table1[[#This Row],[TOTAL CARS VALUE]]+Table1[[#This Row],[UNIT (BUILDING) VALUE BASIC FINISHED]]+Table1[[#This Row],[UNIT (GARDEN) VALUE]]</f>
        <v>6788242.4283999996</v>
      </c>
      <c r="AT302" s="232">
        <f>Table1[[#This Row],[TOTAL CARS VALUE]]+Table1[[#This Row],[UNIT (GARDEN) VALUE]]+Table1[[#This Row],[UNIT (BUILDING) VALUE FULLY FINISHED]]</f>
        <v>7136242.4284000006</v>
      </c>
      <c r="AU302" s="233">
        <f>VLOOKUP(I302,'C PHASES'!$I$108:$J$110,2,FALSE)</f>
        <v>46204</v>
      </c>
      <c r="AV302" s="233">
        <f>VLOOKUP(AA302,'C PHASES'!$I$113:$J$125,2,FALSE)</f>
        <v>45170</v>
      </c>
    </row>
    <row r="303" spans="1:48" ht="26.25" customHeight="1" x14ac:dyDescent="0.25">
      <c r="A303" s="236"/>
      <c r="B303" s="227" t="str">
        <f t="shared" si="40"/>
        <v>B</v>
      </c>
      <c r="C303" s="227" t="s">
        <v>53</v>
      </c>
      <c r="D303" s="227" t="s">
        <v>1147</v>
      </c>
      <c r="E303" s="228">
        <v>1</v>
      </c>
      <c r="F303" s="101">
        <v>1</v>
      </c>
      <c r="G303" s="87" t="str">
        <f t="shared" si="49"/>
        <v>B711</v>
      </c>
      <c r="H303" s="87" t="s">
        <v>1294</v>
      </c>
      <c r="I303" s="89" t="str">
        <f>VLOOKUP(C303,'PREMIUM TABLES'!$G$107:$H$149,2,FALSE)</f>
        <v>C2</v>
      </c>
      <c r="J303" s="89">
        <v>142.977</v>
      </c>
      <c r="K303" s="87">
        <v>160.33377599485354</v>
      </c>
      <c r="L303" s="87">
        <v>174</v>
      </c>
      <c r="M303" s="89"/>
      <c r="N303" s="89"/>
      <c r="O303" s="87" t="s">
        <v>187</v>
      </c>
      <c r="P303" s="87" t="s">
        <v>190</v>
      </c>
      <c r="Q303" s="229" t="s">
        <v>197</v>
      </c>
      <c r="R303" s="87" t="str">
        <f>VLOOKUP(E303,'PREMIUM TABLES'!$F$214:$G$219,2,FALSE)</f>
        <v>FIRST</v>
      </c>
      <c r="S303" s="87" t="str" cm="1">
        <f t="array" ref="S303">IF(AND(L303&gt;0,L303&lt;90),"A",IF(AND(L303&gt;90,L303&lt;123),"B",IF(AND(L303&gt;122,L303&lt;159),"C",IF(AND(L303&gt;159,L303&lt;185),"D",IF(AND(L303&gt;185,L303&lt;230),"E",IF(AND(L303&gt;230,L303&lt;350),"F",NONE))))))</f>
        <v>D</v>
      </c>
      <c r="T303" s="230">
        <f>VLOOKUP(O303,'PREMIUM TABLES'!$G$165:$H$172,2,FALSE)</f>
        <v>0.08</v>
      </c>
      <c r="U303" s="230">
        <f>VLOOKUP(P303,'PREMIUM TABLES'!$G$208:$H$209,2,FALSE)</f>
        <v>2.5000000000000001E-2</v>
      </c>
      <c r="V303" s="230">
        <f>VLOOKUP(Q303,'PREMIUM TABLES'!$G$175:$H$195,2,FALSE)</f>
        <v>0.16</v>
      </c>
      <c r="W303" s="230">
        <f>VLOOKUP(R303,'PREMIUM TABLES'!$G$214:$H$219,2,FALSE)</f>
        <v>7.0000000000000007E-2</v>
      </c>
      <c r="X303" s="230">
        <f>VLOOKUP(S303,'PREMIUM TABLES'!$F$199:$H$205,3,FALSE)</f>
        <v>2.5000000000000001E-2</v>
      </c>
      <c r="Y303" s="231">
        <f t="shared" si="43"/>
        <v>0.36000000000000004</v>
      </c>
      <c r="Z303" s="231" t="str" cm="1">
        <f t="array" ref="Z303">IF(AND(Y303&gt;0,Y303&lt;0.5),"C",IF(AND(Y303&gt;=0.5,Y303&lt;0.73),"B",IF(AND(Y303&gt;=0.73,Y303&lt;0.98),"A",NONE)))</f>
        <v>C</v>
      </c>
      <c r="AA303" s="231" t="str">
        <f>VLOOKUP(G303,'ALL (R)'!$N$5:$R$862,5,FALSE)</f>
        <v>R 2</v>
      </c>
      <c r="AB303" s="232">
        <f>VLOOKUP(AA303,FACTS!$B$2:$L$14,10,FALSE)</f>
        <v>43562.499999999993</v>
      </c>
      <c r="AC303" s="232">
        <f>VLOOKUP(AA303,FACTS!$B$2:$L$14,11,FALSE)</f>
        <v>48687.499999999993</v>
      </c>
      <c r="AD303" s="232">
        <f>VLOOKUP(AA303,FACTS!$B$2:$N$14,13,FALSE)</f>
        <v>5125</v>
      </c>
      <c r="AE303" s="232">
        <f t="shared" si="44"/>
        <v>1845.0000000000002</v>
      </c>
      <c r="AF303" s="232">
        <f t="shared" si="45"/>
        <v>45407.499999999993</v>
      </c>
      <c r="AG303" s="232">
        <f>AF303*FACTS!$T$2</f>
        <v>14984.474999999999</v>
      </c>
      <c r="AH303" s="232">
        <f>Table1[[#This Row],[UNIT (BUILDING) RATE (SEMI FINISHED)]]+4500</f>
        <v>49907.499999999993</v>
      </c>
      <c r="AI303" s="232">
        <f>Table1[[#This Row],[UNIT (BUILDING) RATE (SEMI FINISHED)]]+7500</f>
        <v>52907.499999999993</v>
      </c>
      <c r="AJ303" s="232">
        <f t="shared" si="46"/>
        <v>7900904.9999999991</v>
      </c>
      <c r="AK303" s="232">
        <f>Table1[[#This Row],[UNIT (BUILDING) RATE (BASIC FINISH)]]*Table1[[#This Row],[Unit Selling Area]]</f>
        <v>8683904.9999999981</v>
      </c>
      <c r="AL303" s="232">
        <f>Table1[[#This Row],[UNIT (BUILDING) RATE (FULLY FINISH)]]*Table1[[#This Row],[Unit Selling Area]]</f>
        <v>9205904.9999999981</v>
      </c>
      <c r="AM303" s="232">
        <f t="shared" si="47"/>
        <v>0</v>
      </c>
      <c r="AN303" s="232">
        <f>(AM303+AJ303)*FACTS!$S$2</f>
        <v>671576.92499999993</v>
      </c>
      <c r="AO303" s="101">
        <f>VLOOKUP(S303,FACTS!$A$17:$C$23,3,FALSE)</f>
        <v>2</v>
      </c>
      <c r="AP303" s="232">
        <f>VLOOKUP(AA303,FACTS!$B$2:$J$14,9,FALSE)</f>
        <v>204999.99999999997</v>
      </c>
      <c r="AQ303" s="232">
        <f>Table1[[#This Row],[PARKING VALUE]]*1</f>
        <v>204999.99999999997</v>
      </c>
      <c r="AR303" s="232">
        <f t="shared" si="42"/>
        <v>8105904.9999999991</v>
      </c>
      <c r="AS303" s="440">
        <f>Table1[[#This Row],[TOTAL CARS VALUE]]+Table1[[#This Row],[UNIT (BUILDING) VALUE BASIC FINISHED]]+Table1[[#This Row],[UNIT (GARDEN) VALUE]]</f>
        <v>8888904.9999999981</v>
      </c>
      <c r="AT303" s="232">
        <f>Table1[[#This Row],[TOTAL CARS VALUE]]+Table1[[#This Row],[UNIT (GARDEN) VALUE]]+Table1[[#This Row],[UNIT (BUILDING) VALUE FULLY FINISHED]]</f>
        <v>9410904.9999999981</v>
      </c>
      <c r="AU303" s="233">
        <f>VLOOKUP(I303,'C PHASES'!$I$108:$J$110,2,FALSE)</f>
        <v>46204</v>
      </c>
      <c r="AV303" s="233">
        <f>VLOOKUP(AA303,'C PHASES'!$I$113:$J$125,2,FALSE)</f>
        <v>45292</v>
      </c>
    </row>
    <row r="304" spans="1:48" ht="27" customHeight="1" x14ac:dyDescent="0.25">
      <c r="A304" s="236"/>
      <c r="B304" s="227" t="str">
        <f t="shared" si="40"/>
        <v>B</v>
      </c>
      <c r="C304" s="227" t="s">
        <v>53</v>
      </c>
      <c r="D304" s="227" t="s">
        <v>1147</v>
      </c>
      <c r="E304" s="228">
        <v>1</v>
      </c>
      <c r="F304" s="101">
        <v>4</v>
      </c>
      <c r="G304" s="87" t="str">
        <f t="shared" si="49"/>
        <v>B714</v>
      </c>
      <c r="H304" s="87" t="s">
        <v>1293</v>
      </c>
      <c r="I304" s="89" t="str">
        <f>VLOOKUP(C304,'PREMIUM TABLES'!$G$107:$H$149,2,FALSE)</f>
        <v>C2</v>
      </c>
      <c r="J304" s="89">
        <v>96.311000000000007</v>
      </c>
      <c r="K304" s="87">
        <v>108.00272980857298</v>
      </c>
      <c r="L304" s="87">
        <v>117</v>
      </c>
      <c r="M304" s="89"/>
      <c r="N304" s="89"/>
      <c r="O304" s="87" t="s">
        <v>187</v>
      </c>
      <c r="P304" s="87" t="s">
        <v>190</v>
      </c>
      <c r="Q304" s="229" t="s">
        <v>197</v>
      </c>
      <c r="R304" s="87" t="str">
        <f>VLOOKUP(E304,'PREMIUM TABLES'!$F$214:$G$219,2,FALSE)</f>
        <v>FIRST</v>
      </c>
      <c r="S304" s="87" t="str" cm="1">
        <f t="array" ref="S304">IF(AND(L304&gt;0,L304&lt;90),"A",IF(AND(L304&gt;90,L304&lt;123),"B",IF(AND(L304&gt;122,L304&lt;159),"C",IF(AND(L304&gt;159,L304&lt;185),"D",IF(AND(L304&gt;185,L304&lt;230),"E",IF(AND(L304&gt;230,L304&lt;350),"F",NONE))))))</f>
        <v>B</v>
      </c>
      <c r="T304" s="230">
        <f>VLOOKUP(O304,'PREMIUM TABLES'!$G$165:$H$172,2,FALSE)</f>
        <v>0.08</v>
      </c>
      <c r="U304" s="230">
        <f>VLOOKUP(P304,'PREMIUM TABLES'!$G$208:$H$209,2,FALSE)</f>
        <v>2.5000000000000001E-2</v>
      </c>
      <c r="V304" s="230">
        <f>VLOOKUP(Q304,'PREMIUM TABLES'!$G$175:$H$195,2,FALSE)</f>
        <v>0.16</v>
      </c>
      <c r="W304" s="230">
        <f>VLOOKUP(R304,'PREMIUM TABLES'!$G$214:$H$219,2,FALSE)</f>
        <v>7.0000000000000007E-2</v>
      </c>
      <c r="X304" s="230">
        <f>VLOOKUP(S304,'PREMIUM TABLES'!$F$199:$H$205,3,FALSE)</f>
        <v>0.04</v>
      </c>
      <c r="Y304" s="231">
        <f t="shared" si="43"/>
        <v>0.375</v>
      </c>
      <c r="Z304" s="231" t="str" cm="1">
        <f t="array" ref="Z304">IF(AND(Y304&gt;0,Y304&lt;0.5),"C",IF(AND(Y304&gt;=0.5,Y304&lt;0.73),"B",IF(AND(Y304&gt;=0.73,Y304&lt;0.98),"A",NONE)))</f>
        <v>C</v>
      </c>
      <c r="AA304" s="231" t="str">
        <f>VLOOKUP(G304,'ALL (R)'!$N$5:$R$862,5,FALSE)</f>
        <v>R 3</v>
      </c>
      <c r="AB304" s="232">
        <f>VLOOKUP(AA304,FACTS!$B$2:$L$14,10,FALSE)</f>
        <v>44625</v>
      </c>
      <c r="AC304" s="232">
        <f>VLOOKUP(AA304,FACTS!$B$2:$L$14,11,FALSE)</f>
        <v>49875</v>
      </c>
      <c r="AD304" s="232">
        <f>VLOOKUP(AA304,FACTS!$B$2:$N$14,13,FALSE)</f>
        <v>5250</v>
      </c>
      <c r="AE304" s="232">
        <f t="shared" si="44"/>
        <v>1968.75</v>
      </c>
      <c r="AF304" s="232">
        <f t="shared" si="45"/>
        <v>46593.75</v>
      </c>
      <c r="AG304" s="232">
        <f>AF304*FACTS!$T$2</f>
        <v>15375.9375</v>
      </c>
      <c r="AH304" s="232">
        <f>Table1[[#This Row],[UNIT (BUILDING) RATE (SEMI FINISHED)]]+4500</f>
        <v>51093.75</v>
      </c>
      <c r="AI304" s="232">
        <f>Table1[[#This Row],[UNIT (BUILDING) RATE (SEMI FINISHED)]]+7500</f>
        <v>54093.75</v>
      </c>
      <c r="AJ304" s="232">
        <f t="shared" si="46"/>
        <v>5451468.75</v>
      </c>
      <c r="AK304" s="232">
        <f>Table1[[#This Row],[UNIT (BUILDING) RATE (BASIC FINISH)]]*Table1[[#This Row],[Unit Selling Area]]</f>
        <v>5977968.75</v>
      </c>
      <c r="AL304" s="232">
        <f>Table1[[#This Row],[UNIT (BUILDING) RATE (FULLY FINISH)]]*Table1[[#This Row],[Unit Selling Area]]</f>
        <v>6328968.75</v>
      </c>
      <c r="AM304" s="232">
        <f t="shared" si="47"/>
        <v>0</v>
      </c>
      <c r="AN304" s="232">
        <f>(AM304+AJ304)*FACTS!$S$2</f>
        <v>463374.84375000006</v>
      </c>
      <c r="AO304" s="101">
        <f>VLOOKUP(S304,FACTS!$A$17:$C$23,3,FALSE)</f>
        <v>1</v>
      </c>
      <c r="AP304" s="232">
        <f>VLOOKUP(AA304,FACTS!$B$2:$J$14,9,FALSE)</f>
        <v>210000</v>
      </c>
      <c r="AQ304" s="232">
        <f>Table1[[#This Row],[PARKING VALUE]]*1</f>
        <v>210000</v>
      </c>
      <c r="AR304" s="232">
        <f t="shared" si="42"/>
        <v>5661468.75</v>
      </c>
      <c r="AS304" s="440">
        <f>Table1[[#This Row],[TOTAL CARS VALUE]]+Table1[[#This Row],[UNIT (BUILDING) VALUE BASIC FINISHED]]+Table1[[#This Row],[UNIT (GARDEN) VALUE]]</f>
        <v>6187968.75</v>
      </c>
      <c r="AT304" s="232">
        <f>Table1[[#This Row],[TOTAL CARS VALUE]]+Table1[[#This Row],[UNIT (GARDEN) VALUE]]+Table1[[#This Row],[UNIT (BUILDING) VALUE FULLY FINISHED]]</f>
        <v>6538968.75</v>
      </c>
      <c r="AU304" s="233">
        <f>VLOOKUP(I304,'C PHASES'!$I$108:$J$110,2,FALSE)</f>
        <v>46204</v>
      </c>
      <c r="AV304" s="233">
        <f>VLOOKUP(AA304,'C PHASES'!$I$113:$J$125,2,FALSE)</f>
        <v>45383</v>
      </c>
    </row>
    <row r="305" spans="1:48" ht="26.25" customHeight="1" x14ac:dyDescent="0.25">
      <c r="A305" s="236"/>
      <c r="B305" s="227" t="str">
        <f t="shared" si="40"/>
        <v>B</v>
      </c>
      <c r="C305" s="227" t="s">
        <v>53</v>
      </c>
      <c r="D305" s="227" t="s">
        <v>1147</v>
      </c>
      <c r="E305" s="228">
        <v>2</v>
      </c>
      <c r="F305" s="101">
        <v>1</v>
      </c>
      <c r="G305" s="87" t="str">
        <f t="shared" si="49"/>
        <v>B721</v>
      </c>
      <c r="H305" s="87" t="s">
        <v>1294</v>
      </c>
      <c r="I305" s="89" t="str">
        <f>VLOOKUP(C305,'PREMIUM TABLES'!$G$107:$H$149,2,FALSE)</f>
        <v>C2</v>
      </c>
      <c r="J305" s="89">
        <v>141.18700000000001</v>
      </c>
      <c r="K305" s="87">
        <v>158.32647790473564</v>
      </c>
      <c r="L305" s="87">
        <v>172</v>
      </c>
      <c r="M305" s="89"/>
      <c r="N305" s="89"/>
      <c r="O305" s="87" t="s">
        <v>187</v>
      </c>
      <c r="P305" s="87" t="s">
        <v>190</v>
      </c>
      <c r="Q305" s="229" t="s">
        <v>197</v>
      </c>
      <c r="R305" s="87" t="str">
        <f>VLOOKUP(E305,'PREMIUM TABLES'!$F$214:$G$219,2,FALSE)</f>
        <v>SECOND</v>
      </c>
      <c r="S305" s="87" t="str" cm="1">
        <f t="array" ref="S305">IF(AND(L305&gt;0,L305&lt;90),"A",IF(AND(L305&gt;90,L305&lt;123),"B",IF(AND(L305&gt;122,L305&lt;159),"C",IF(AND(L305&gt;159,L305&lt;185),"D",IF(AND(L305&gt;185,L305&lt;230),"E",IF(AND(L305&gt;230,L305&lt;350),"F",NONE))))))</f>
        <v>D</v>
      </c>
      <c r="T305" s="230">
        <f>VLOOKUP(O305,'PREMIUM TABLES'!$G$165:$H$172,2,FALSE)</f>
        <v>0.08</v>
      </c>
      <c r="U305" s="230">
        <f>VLOOKUP(P305,'PREMIUM TABLES'!$G$208:$H$209,2,FALSE)</f>
        <v>2.5000000000000001E-2</v>
      </c>
      <c r="V305" s="230">
        <f>VLOOKUP(Q305,'PREMIUM TABLES'!$G$175:$H$195,2,FALSE)</f>
        <v>0.16</v>
      </c>
      <c r="W305" s="230">
        <f>VLOOKUP(R305,'PREMIUM TABLES'!$G$214:$H$219,2,FALSE)</f>
        <v>0.11</v>
      </c>
      <c r="X305" s="230">
        <f>VLOOKUP(S305,'PREMIUM TABLES'!$F$199:$H$205,3,FALSE)</f>
        <v>2.5000000000000001E-2</v>
      </c>
      <c r="Y305" s="231">
        <f t="shared" si="43"/>
        <v>0.4</v>
      </c>
      <c r="Z305" s="231" t="str" cm="1">
        <f t="array" ref="Z305">IF(AND(Y305&gt;0,Y305&lt;0.5),"C",IF(AND(Y305&gt;=0.5,Y305&lt;0.73),"B",IF(AND(Y305&gt;=0.73,Y305&lt;0.98),"A",NONE)))</f>
        <v>C</v>
      </c>
      <c r="AA305" s="231" t="str">
        <f>VLOOKUP(G305,'ALL (R)'!$N$5:$R$862,5,FALSE)</f>
        <v>R 5</v>
      </c>
      <c r="AB305" s="232">
        <f>VLOOKUP(AA305,FACTS!$B$2:$L$14,10,FALSE)</f>
        <v>46750.000000000007</v>
      </c>
      <c r="AC305" s="232">
        <f>VLOOKUP(AA305,FACTS!$B$2:$L$14,11,FALSE)</f>
        <v>52250.000000000007</v>
      </c>
      <c r="AD305" s="232">
        <f>VLOOKUP(AA305,FACTS!$B$2:$N$14,13,FALSE)</f>
        <v>5500</v>
      </c>
      <c r="AE305" s="232">
        <f t="shared" si="44"/>
        <v>2200</v>
      </c>
      <c r="AF305" s="232">
        <f t="shared" si="45"/>
        <v>48950.000000000007</v>
      </c>
      <c r="AG305" s="232">
        <f>AF305*FACTS!$T$2</f>
        <v>16153.500000000004</v>
      </c>
      <c r="AH305" s="232">
        <f>Table1[[#This Row],[UNIT (BUILDING) RATE (SEMI FINISHED)]]+4500</f>
        <v>53450.000000000007</v>
      </c>
      <c r="AI305" s="232">
        <f>Table1[[#This Row],[UNIT (BUILDING) RATE (SEMI FINISHED)]]+7500</f>
        <v>56450.000000000007</v>
      </c>
      <c r="AJ305" s="232">
        <f t="shared" si="46"/>
        <v>8419400.0000000019</v>
      </c>
      <c r="AK305" s="232">
        <f>Table1[[#This Row],[UNIT (BUILDING) RATE (BASIC FINISH)]]*Table1[[#This Row],[Unit Selling Area]]</f>
        <v>9193400.0000000019</v>
      </c>
      <c r="AL305" s="232">
        <f>Table1[[#This Row],[UNIT (BUILDING) RATE (FULLY FINISH)]]*Table1[[#This Row],[Unit Selling Area]]</f>
        <v>9709400.0000000019</v>
      </c>
      <c r="AM305" s="232">
        <f t="shared" si="47"/>
        <v>0</v>
      </c>
      <c r="AN305" s="232">
        <f>(AM305+AJ305)*FACTS!$S$2</f>
        <v>715649.00000000023</v>
      </c>
      <c r="AO305" s="101">
        <f>VLOOKUP(S305,FACTS!$A$17:$C$23,3,FALSE)</f>
        <v>2</v>
      </c>
      <c r="AP305" s="232">
        <f>VLOOKUP(AA305,FACTS!$B$2:$J$14,9,FALSE)</f>
        <v>220000.00000000003</v>
      </c>
      <c r="AQ305" s="232">
        <f>Table1[[#This Row],[PARKING VALUE]]*1</f>
        <v>220000.00000000003</v>
      </c>
      <c r="AR305" s="232">
        <f t="shared" si="42"/>
        <v>8639400.0000000019</v>
      </c>
      <c r="AS305" s="440">
        <f>Table1[[#This Row],[TOTAL CARS VALUE]]+Table1[[#This Row],[UNIT (BUILDING) VALUE BASIC FINISHED]]+Table1[[#This Row],[UNIT (GARDEN) VALUE]]</f>
        <v>9413400.0000000019</v>
      </c>
      <c r="AT305" s="232">
        <f>Table1[[#This Row],[TOTAL CARS VALUE]]+Table1[[#This Row],[UNIT (GARDEN) VALUE]]+Table1[[#This Row],[UNIT (BUILDING) VALUE FULLY FINISHED]]</f>
        <v>9929400.0000000019</v>
      </c>
      <c r="AU305" s="233">
        <f>VLOOKUP(I305,'C PHASES'!$I$108:$J$110,2,FALSE)</f>
        <v>46204</v>
      </c>
      <c r="AV305" s="233">
        <f>VLOOKUP(AA305,'C PHASES'!$I$113:$J$125,2,FALSE)</f>
        <v>45566</v>
      </c>
    </row>
    <row r="306" spans="1:48" ht="26.25" customHeight="1" x14ac:dyDescent="0.25">
      <c r="A306" s="236"/>
      <c r="B306" s="227" t="str">
        <f t="shared" si="40"/>
        <v>B</v>
      </c>
      <c r="C306" s="227" t="s">
        <v>53</v>
      </c>
      <c r="D306" s="227" t="s">
        <v>1147</v>
      </c>
      <c r="E306" s="228">
        <v>2</v>
      </c>
      <c r="F306" s="101">
        <v>2</v>
      </c>
      <c r="G306" s="87" t="str">
        <f t="shared" si="49"/>
        <v>B722</v>
      </c>
      <c r="H306" s="87" t="s">
        <v>1294</v>
      </c>
      <c r="I306" s="89" t="str">
        <f>VLOOKUP(C306,'PREMIUM TABLES'!$G$107:$H$149,2,FALSE)</f>
        <v>C2</v>
      </c>
      <c r="J306" s="89">
        <v>141.446</v>
      </c>
      <c r="K306" s="87">
        <v>158.61691936023314</v>
      </c>
      <c r="L306" s="87">
        <v>173</v>
      </c>
      <c r="M306" s="89"/>
      <c r="N306" s="89"/>
      <c r="O306" s="87" t="s">
        <v>180</v>
      </c>
      <c r="P306" s="87" t="s">
        <v>190</v>
      </c>
      <c r="Q306" s="229" t="s">
        <v>210</v>
      </c>
      <c r="R306" s="87" t="str">
        <f>VLOOKUP(E306,'PREMIUM TABLES'!$F$214:$G$219,2,FALSE)</f>
        <v>SECOND</v>
      </c>
      <c r="S306" s="87" t="str" cm="1">
        <f t="array" ref="S306">IF(AND(L306&gt;0,L306&lt;90),"A",IF(AND(L306&gt;90,L306&lt;123),"B",IF(AND(L306&gt;122,L306&lt;159),"C",IF(AND(L306&gt;159,L306&lt;185),"D",IF(AND(L306&gt;185,L306&lt;230),"E",IF(AND(L306&gt;230,L306&lt;350),"F",NONE))))))</f>
        <v>D</v>
      </c>
      <c r="T306" s="230">
        <f>VLOOKUP(O306,'PREMIUM TABLES'!$G$165:$H$172,2,FALSE)</f>
        <v>0.13</v>
      </c>
      <c r="U306" s="230">
        <f>VLOOKUP(P306,'PREMIUM TABLES'!$G$208:$H$209,2,FALSE)</f>
        <v>2.5000000000000001E-2</v>
      </c>
      <c r="V306" s="230">
        <f>VLOOKUP(Q306,'PREMIUM TABLES'!$G$175:$H$195,2,FALSE)</f>
        <v>0.53</v>
      </c>
      <c r="W306" s="230">
        <f>VLOOKUP(R306,'PREMIUM TABLES'!$G$214:$H$219,2,FALSE)</f>
        <v>0.11</v>
      </c>
      <c r="X306" s="230">
        <f>VLOOKUP(S306,'PREMIUM TABLES'!$F$199:$H$205,3,FALSE)</f>
        <v>2.5000000000000001E-2</v>
      </c>
      <c r="Y306" s="231">
        <f t="shared" si="43"/>
        <v>0.82000000000000006</v>
      </c>
      <c r="Z306" s="231" t="str" cm="1">
        <f t="array" ref="Z306">IF(AND(Y306&gt;0,Y306&lt;0.5),"C",IF(AND(Y306&gt;=0.5,Y306&lt;0.73),"B",IF(AND(Y306&gt;=0.73,Y306&lt;0.98),"A",NONE)))</f>
        <v>A</v>
      </c>
      <c r="AA306" s="231" t="str">
        <f>VLOOKUP(G306,'ALL (R)'!$N$5:$R$862,5,FALSE)</f>
        <v>R 7</v>
      </c>
      <c r="AB306" s="232">
        <f>VLOOKUP(AA306,FACTS!$B$2:$L$14,10,FALSE)</f>
        <v>50150</v>
      </c>
      <c r="AC306" s="232">
        <f>VLOOKUP(AA306,FACTS!$B$2:$L$14,11,FALSE)</f>
        <v>56050</v>
      </c>
      <c r="AD306" s="232">
        <f>VLOOKUP(AA306,FACTS!$B$2:$N$14,13,FALSE)</f>
        <v>5900</v>
      </c>
      <c r="AE306" s="232">
        <f t="shared" si="44"/>
        <v>4838</v>
      </c>
      <c r="AF306" s="232">
        <f t="shared" si="45"/>
        <v>54988</v>
      </c>
      <c r="AG306" s="232">
        <f>AF306*FACTS!$T$2</f>
        <v>18146.04</v>
      </c>
      <c r="AH306" s="232">
        <f>Table1[[#This Row],[UNIT (BUILDING) RATE (SEMI FINISHED)]]+4500</f>
        <v>59488</v>
      </c>
      <c r="AI306" s="232">
        <f>Table1[[#This Row],[UNIT (BUILDING) RATE (SEMI FINISHED)]]+7500</f>
        <v>62488</v>
      </c>
      <c r="AJ306" s="232">
        <f t="shared" si="46"/>
        <v>9512924</v>
      </c>
      <c r="AK306" s="232">
        <f>Table1[[#This Row],[UNIT (BUILDING) RATE (BASIC FINISH)]]*Table1[[#This Row],[Unit Selling Area]]</f>
        <v>10291424</v>
      </c>
      <c r="AL306" s="232">
        <f>Table1[[#This Row],[UNIT (BUILDING) RATE (FULLY FINISH)]]*Table1[[#This Row],[Unit Selling Area]]</f>
        <v>10810424</v>
      </c>
      <c r="AM306" s="232">
        <f t="shared" si="47"/>
        <v>0</v>
      </c>
      <c r="AN306" s="232">
        <f>(AM306+AJ306)*FACTS!$S$2</f>
        <v>808598.54</v>
      </c>
      <c r="AO306" s="101">
        <f>VLOOKUP(S306,FACTS!$A$17:$C$23,3,FALSE)</f>
        <v>2</v>
      </c>
      <c r="AP306" s="232">
        <f>VLOOKUP(AA306,FACTS!$B$2:$J$14,9,FALSE)</f>
        <v>236000</v>
      </c>
      <c r="AQ306" s="232">
        <f>Table1[[#This Row],[PARKING VALUE]]*1</f>
        <v>236000</v>
      </c>
      <c r="AR306" s="232">
        <f t="shared" si="42"/>
        <v>9748924</v>
      </c>
      <c r="AS306" s="440">
        <f>Table1[[#This Row],[TOTAL CARS VALUE]]+Table1[[#This Row],[UNIT (BUILDING) VALUE BASIC FINISHED]]+Table1[[#This Row],[UNIT (GARDEN) VALUE]]</f>
        <v>10527424</v>
      </c>
      <c r="AT306" s="232">
        <f>Table1[[#This Row],[TOTAL CARS VALUE]]+Table1[[#This Row],[UNIT (GARDEN) VALUE]]+Table1[[#This Row],[UNIT (BUILDING) VALUE FULLY FINISHED]]</f>
        <v>11046424</v>
      </c>
      <c r="AU306" s="233">
        <f>VLOOKUP(I306,'C PHASES'!$I$108:$J$110,2,FALSE)</f>
        <v>46204</v>
      </c>
      <c r="AV306" s="233">
        <f>VLOOKUP(AA306,'C PHASES'!$I$113:$J$125,2,FALSE)</f>
        <v>45748</v>
      </c>
    </row>
    <row r="307" spans="1:48" ht="26.25" customHeight="1" x14ac:dyDescent="0.25">
      <c r="A307" s="236"/>
      <c r="B307" s="227" t="str">
        <f t="shared" si="40"/>
        <v>B</v>
      </c>
      <c r="C307" s="227" t="s">
        <v>53</v>
      </c>
      <c r="D307" s="227" t="s">
        <v>1147</v>
      </c>
      <c r="E307" s="228">
        <v>2</v>
      </c>
      <c r="F307" s="101">
        <v>3</v>
      </c>
      <c r="G307" s="87" t="str">
        <f t="shared" si="49"/>
        <v>B723</v>
      </c>
      <c r="H307" s="87" t="s">
        <v>1294</v>
      </c>
      <c r="I307" s="89" t="str">
        <f>VLOOKUP(C307,'PREMIUM TABLES'!$G$107:$H$149,2,FALSE)</f>
        <v>C2</v>
      </c>
      <c r="J307" s="89">
        <v>141.572</v>
      </c>
      <c r="K307" s="87">
        <v>158.75821520344815</v>
      </c>
      <c r="L307" s="87">
        <v>173</v>
      </c>
      <c r="M307" s="89"/>
      <c r="N307" s="89"/>
      <c r="O307" s="87" t="s">
        <v>180</v>
      </c>
      <c r="P307" s="87" t="s">
        <v>190</v>
      </c>
      <c r="Q307" s="229" t="s">
        <v>210</v>
      </c>
      <c r="R307" s="87" t="str">
        <f>VLOOKUP(E307,'PREMIUM TABLES'!$F$214:$G$219,2,FALSE)</f>
        <v>SECOND</v>
      </c>
      <c r="S307" s="87" t="str" cm="1">
        <f t="array" ref="S307">IF(AND(L307&gt;0,L307&lt;90),"A",IF(AND(L307&gt;90,L307&lt;123),"B",IF(AND(L307&gt;122,L307&lt;159),"C",IF(AND(L307&gt;159,L307&lt;185),"D",IF(AND(L307&gt;185,L307&lt;230),"E",IF(AND(L307&gt;230,L307&lt;350),"F",NONE))))))</f>
        <v>D</v>
      </c>
      <c r="T307" s="230">
        <f>VLOOKUP(O307,'PREMIUM TABLES'!$G$165:$H$172,2,FALSE)</f>
        <v>0.13</v>
      </c>
      <c r="U307" s="230">
        <f>VLOOKUP(P307,'PREMIUM TABLES'!$G$208:$H$209,2,FALSE)</f>
        <v>2.5000000000000001E-2</v>
      </c>
      <c r="V307" s="230">
        <f>VLOOKUP(Q307,'PREMIUM TABLES'!$G$175:$H$195,2,FALSE)</f>
        <v>0.53</v>
      </c>
      <c r="W307" s="230">
        <f>VLOOKUP(R307,'PREMIUM TABLES'!$G$214:$H$219,2,FALSE)</f>
        <v>0.11</v>
      </c>
      <c r="X307" s="230">
        <f>VLOOKUP(S307,'PREMIUM TABLES'!$F$199:$H$205,3,FALSE)</f>
        <v>2.5000000000000001E-2</v>
      </c>
      <c r="Y307" s="231">
        <f t="shared" si="43"/>
        <v>0.82000000000000006</v>
      </c>
      <c r="Z307" s="231" t="str" cm="1">
        <f t="array" ref="Z307">IF(AND(Y307&gt;0,Y307&lt;0.5),"C",IF(AND(Y307&gt;=0.5,Y307&lt;0.73),"B",IF(AND(Y307&gt;=0.73,Y307&lt;0.98),"A",NONE)))</f>
        <v>A</v>
      </c>
      <c r="AA307" s="231" t="str">
        <f>VLOOKUP(G307,'ALL (R)'!$N$5:$R$862,5,FALSE)</f>
        <v>R 7</v>
      </c>
      <c r="AB307" s="232">
        <f>VLOOKUP(AA307,FACTS!$B$2:$L$14,10,FALSE)</f>
        <v>50150</v>
      </c>
      <c r="AC307" s="232">
        <f>VLOOKUP(AA307,FACTS!$B$2:$L$14,11,FALSE)</f>
        <v>56050</v>
      </c>
      <c r="AD307" s="232">
        <f>VLOOKUP(AA307,FACTS!$B$2:$N$14,13,FALSE)</f>
        <v>5900</v>
      </c>
      <c r="AE307" s="232">
        <f t="shared" si="44"/>
        <v>4838</v>
      </c>
      <c r="AF307" s="232">
        <f t="shared" si="45"/>
        <v>54988</v>
      </c>
      <c r="AG307" s="232">
        <f>AF307*FACTS!$T$2</f>
        <v>18146.04</v>
      </c>
      <c r="AH307" s="232">
        <f>Table1[[#This Row],[UNIT (BUILDING) RATE (SEMI FINISHED)]]+4500</f>
        <v>59488</v>
      </c>
      <c r="AI307" s="232">
        <f>Table1[[#This Row],[UNIT (BUILDING) RATE (SEMI FINISHED)]]+7500</f>
        <v>62488</v>
      </c>
      <c r="AJ307" s="232">
        <f t="shared" si="46"/>
        <v>9512924</v>
      </c>
      <c r="AK307" s="232">
        <f>Table1[[#This Row],[UNIT (BUILDING) RATE (BASIC FINISH)]]*Table1[[#This Row],[Unit Selling Area]]</f>
        <v>10291424</v>
      </c>
      <c r="AL307" s="232">
        <f>Table1[[#This Row],[UNIT (BUILDING) RATE (FULLY FINISH)]]*Table1[[#This Row],[Unit Selling Area]]</f>
        <v>10810424</v>
      </c>
      <c r="AM307" s="232">
        <f t="shared" si="47"/>
        <v>0</v>
      </c>
      <c r="AN307" s="232">
        <f>(AM307+AJ307)*FACTS!$S$2</f>
        <v>808598.54</v>
      </c>
      <c r="AO307" s="101">
        <f>VLOOKUP(S307,FACTS!$A$17:$C$23,3,FALSE)</f>
        <v>2</v>
      </c>
      <c r="AP307" s="232">
        <f>VLOOKUP(AA307,FACTS!$B$2:$J$14,9,FALSE)</f>
        <v>236000</v>
      </c>
      <c r="AQ307" s="232">
        <f>Table1[[#This Row],[PARKING VALUE]]*1</f>
        <v>236000</v>
      </c>
      <c r="AR307" s="232">
        <f t="shared" si="42"/>
        <v>9748924</v>
      </c>
      <c r="AS307" s="440">
        <f>Table1[[#This Row],[TOTAL CARS VALUE]]+Table1[[#This Row],[UNIT (BUILDING) VALUE BASIC FINISHED]]+Table1[[#This Row],[UNIT (GARDEN) VALUE]]</f>
        <v>10527424</v>
      </c>
      <c r="AT307" s="232">
        <f>Table1[[#This Row],[TOTAL CARS VALUE]]+Table1[[#This Row],[UNIT (GARDEN) VALUE]]+Table1[[#This Row],[UNIT (BUILDING) VALUE FULLY FINISHED]]</f>
        <v>11046424</v>
      </c>
      <c r="AU307" s="233">
        <f>VLOOKUP(I307,'C PHASES'!$I$108:$J$110,2,FALSE)</f>
        <v>46204</v>
      </c>
      <c r="AV307" s="233">
        <f>VLOOKUP(AA307,'C PHASES'!$I$113:$J$125,2,FALSE)</f>
        <v>45748</v>
      </c>
    </row>
    <row r="308" spans="1:48" ht="27" customHeight="1" x14ac:dyDescent="0.25">
      <c r="A308" s="236"/>
      <c r="B308" s="227" t="str">
        <f t="shared" si="40"/>
        <v>B</v>
      </c>
      <c r="C308" s="227" t="s">
        <v>53</v>
      </c>
      <c r="D308" s="227" t="s">
        <v>1147</v>
      </c>
      <c r="E308" s="228">
        <v>2</v>
      </c>
      <c r="F308" s="101">
        <v>4</v>
      </c>
      <c r="G308" s="87" t="str">
        <f t="shared" si="49"/>
        <v>B724</v>
      </c>
      <c r="H308" s="87" t="s">
        <v>1294</v>
      </c>
      <c r="I308" s="89" t="str">
        <f>VLOOKUP(C308,'PREMIUM TABLES'!$G$107:$H$149,2,FALSE)</f>
        <v>C2</v>
      </c>
      <c r="J308" s="89">
        <v>141.226</v>
      </c>
      <c r="K308" s="87">
        <v>158.37021233239741</v>
      </c>
      <c r="L308" s="87">
        <v>172</v>
      </c>
      <c r="M308" s="89"/>
      <c r="N308" s="89"/>
      <c r="O308" s="87" t="s">
        <v>187</v>
      </c>
      <c r="P308" s="87" t="s">
        <v>190</v>
      </c>
      <c r="Q308" s="229" t="s">
        <v>197</v>
      </c>
      <c r="R308" s="87" t="str">
        <f>VLOOKUP(E308,'PREMIUM TABLES'!$F$214:$G$219,2,FALSE)</f>
        <v>SECOND</v>
      </c>
      <c r="S308" s="87" t="str" cm="1">
        <f t="array" ref="S308">IF(AND(L308&gt;0,L308&lt;90),"A",IF(AND(L308&gt;90,L308&lt;123),"B",IF(AND(L308&gt;122,L308&lt;159),"C",IF(AND(L308&gt;159,L308&lt;185),"D",IF(AND(L308&gt;185,L308&lt;230),"E",IF(AND(L308&gt;230,L308&lt;350),"F",NONE))))))</f>
        <v>D</v>
      </c>
      <c r="T308" s="230">
        <f>VLOOKUP(O308,'PREMIUM TABLES'!$G$165:$H$172,2,FALSE)</f>
        <v>0.08</v>
      </c>
      <c r="U308" s="230">
        <f>VLOOKUP(P308,'PREMIUM TABLES'!$G$208:$H$209,2,FALSE)</f>
        <v>2.5000000000000001E-2</v>
      </c>
      <c r="V308" s="230">
        <f>VLOOKUP(Q308,'PREMIUM TABLES'!$G$175:$H$195,2,FALSE)</f>
        <v>0.16</v>
      </c>
      <c r="W308" s="230">
        <f>VLOOKUP(R308,'PREMIUM TABLES'!$G$214:$H$219,2,FALSE)</f>
        <v>0.11</v>
      </c>
      <c r="X308" s="230">
        <f>VLOOKUP(S308,'PREMIUM TABLES'!$F$199:$H$205,3,FALSE)</f>
        <v>2.5000000000000001E-2</v>
      </c>
      <c r="Y308" s="231">
        <f t="shared" si="43"/>
        <v>0.4</v>
      </c>
      <c r="Z308" s="231" t="str" cm="1">
        <f t="array" ref="Z308">IF(AND(Y308&gt;0,Y308&lt;0.5),"C",IF(AND(Y308&gt;=0.5,Y308&lt;0.73),"B",IF(AND(Y308&gt;=0.73,Y308&lt;0.98),"A",NONE)))</f>
        <v>C</v>
      </c>
      <c r="AA308" s="231" t="str">
        <f>VLOOKUP(G308,'ALL (R)'!$N$5:$R$862,5,FALSE)</f>
        <v>R 5</v>
      </c>
      <c r="AB308" s="232">
        <f>VLOOKUP(AA308,FACTS!$B$2:$L$14,10,FALSE)</f>
        <v>46750.000000000007</v>
      </c>
      <c r="AC308" s="232">
        <f>VLOOKUP(AA308,FACTS!$B$2:$L$14,11,FALSE)</f>
        <v>52250.000000000007</v>
      </c>
      <c r="AD308" s="232">
        <f>VLOOKUP(AA308,FACTS!$B$2:$N$14,13,FALSE)</f>
        <v>5500</v>
      </c>
      <c r="AE308" s="232">
        <f t="shared" si="44"/>
        <v>2200</v>
      </c>
      <c r="AF308" s="232">
        <f t="shared" si="45"/>
        <v>48950.000000000007</v>
      </c>
      <c r="AG308" s="232">
        <f>AF308*FACTS!$T$2</f>
        <v>16153.500000000004</v>
      </c>
      <c r="AH308" s="232">
        <f>Table1[[#This Row],[UNIT (BUILDING) RATE (SEMI FINISHED)]]+4500</f>
        <v>53450.000000000007</v>
      </c>
      <c r="AI308" s="232">
        <f>Table1[[#This Row],[UNIT (BUILDING) RATE (SEMI FINISHED)]]+7500</f>
        <v>56450.000000000007</v>
      </c>
      <c r="AJ308" s="232">
        <f t="shared" si="46"/>
        <v>8419400.0000000019</v>
      </c>
      <c r="AK308" s="232">
        <f>Table1[[#This Row],[UNIT (BUILDING) RATE (BASIC FINISH)]]*Table1[[#This Row],[Unit Selling Area]]</f>
        <v>9193400.0000000019</v>
      </c>
      <c r="AL308" s="232">
        <f>Table1[[#This Row],[UNIT (BUILDING) RATE (FULLY FINISH)]]*Table1[[#This Row],[Unit Selling Area]]</f>
        <v>9709400.0000000019</v>
      </c>
      <c r="AM308" s="232">
        <f t="shared" si="47"/>
        <v>0</v>
      </c>
      <c r="AN308" s="232">
        <f>(AM308+AJ308)*FACTS!$S$2</f>
        <v>715649.00000000023</v>
      </c>
      <c r="AO308" s="101">
        <f>VLOOKUP(S308,FACTS!$A$17:$C$23,3,FALSE)</f>
        <v>2</v>
      </c>
      <c r="AP308" s="232">
        <f>VLOOKUP(AA308,FACTS!$B$2:$J$14,9,FALSE)</f>
        <v>220000.00000000003</v>
      </c>
      <c r="AQ308" s="232">
        <f>Table1[[#This Row],[PARKING VALUE]]*1</f>
        <v>220000.00000000003</v>
      </c>
      <c r="AR308" s="232">
        <f t="shared" si="42"/>
        <v>8639400.0000000019</v>
      </c>
      <c r="AS308" s="440">
        <f>Table1[[#This Row],[TOTAL CARS VALUE]]+Table1[[#This Row],[UNIT (BUILDING) VALUE BASIC FINISHED]]+Table1[[#This Row],[UNIT (GARDEN) VALUE]]</f>
        <v>9413400.0000000019</v>
      </c>
      <c r="AT308" s="232">
        <f>Table1[[#This Row],[TOTAL CARS VALUE]]+Table1[[#This Row],[UNIT (GARDEN) VALUE]]+Table1[[#This Row],[UNIT (BUILDING) VALUE FULLY FINISHED]]</f>
        <v>9929400.0000000019</v>
      </c>
      <c r="AU308" s="233">
        <f>VLOOKUP(I308,'C PHASES'!$I$108:$J$110,2,FALSE)</f>
        <v>46204</v>
      </c>
      <c r="AV308" s="233">
        <f>VLOOKUP(AA308,'C PHASES'!$I$113:$J$125,2,FALSE)</f>
        <v>45566</v>
      </c>
    </row>
    <row r="309" spans="1:48" ht="26.25" customHeight="1" x14ac:dyDescent="0.25">
      <c r="A309" s="236"/>
      <c r="B309" s="227" t="str">
        <f t="shared" si="40"/>
        <v>B</v>
      </c>
      <c r="C309" s="227" t="s">
        <v>53</v>
      </c>
      <c r="D309" s="227" t="s">
        <v>1147</v>
      </c>
      <c r="E309" s="228">
        <v>3</v>
      </c>
      <c r="F309" s="101">
        <v>1</v>
      </c>
      <c r="G309" s="87" t="str">
        <f t="shared" si="49"/>
        <v>B731</v>
      </c>
      <c r="H309" s="87" t="s">
        <v>1294</v>
      </c>
      <c r="I309" s="89" t="str">
        <f>VLOOKUP(C309,'PREMIUM TABLES'!$G$107:$H$149,2,FALSE)</f>
        <v>C2</v>
      </c>
      <c r="J309" s="89">
        <v>141.48599999999999</v>
      </c>
      <c r="K309" s="87">
        <v>158.66177518347598</v>
      </c>
      <c r="L309" s="87">
        <v>173</v>
      </c>
      <c r="M309" s="89"/>
      <c r="N309" s="89"/>
      <c r="O309" s="87" t="s">
        <v>187</v>
      </c>
      <c r="P309" s="87" t="s">
        <v>190</v>
      </c>
      <c r="Q309" s="229" t="s">
        <v>197</v>
      </c>
      <c r="R309" s="87" t="str">
        <f>VLOOKUP(E309,'PREMIUM TABLES'!$F$214:$G$219,2,FALSE)</f>
        <v>THIRD</v>
      </c>
      <c r="S309" s="87" t="str" cm="1">
        <f t="array" ref="S309">IF(AND(L309&gt;0,L309&lt;90),"A",IF(AND(L309&gt;90,L309&lt;123),"B",IF(AND(L309&gt;122,L309&lt;159),"C",IF(AND(L309&gt;159,L309&lt;185),"D",IF(AND(L309&gt;185,L309&lt;230),"E",IF(AND(L309&gt;230,L309&lt;350),"F",NONE))))))</f>
        <v>D</v>
      </c>
      <c r="T309" s="230">
        <f>VLOOKUP(O309,'PREMIUM TABLES'!$G$165:$H$172,2,FALSE)</f>
        <v>0.08</v>
      </c>
      <c r="U309" s="230">
        <f>VLOOKUP(P309,'PREMIUM TABLES'!$G$208:$H$209,2,FALSE)</f>
        <v>2.5000000000000001E-2</v>
      </c>
      <c r="V309" s="230">
        <f>VLOOKUP(Q309,'PREMIUM TABLES'!$G$175:$H$195,2,FALSE)</f>
        <v>0.16</v>
      </c>
      <c r="W309" s="230">
        <f>VLOOKUP(R309,'PREMIUM TABLES'!$G$214:$H$219,2,FALSE)</f>
        <v>0.15</v>
      </c>
      <c r="X309" s="230">
        <f>VLOOKUP(S309,'PREMIUM TABLES'!$F$199:$H$205,3,FALSE)</f>
        <v>2.5000000000000001E-2</v>
      </c>
      <c r="Y309" s="231">
        <f t="shared" si="43"/>
        <v>0.44000000000000006</v>
      </c>
      <c r="Z309" s="231" t="str" cm="1">
        <f t="array" ref="Z309">IF(AND(Y309&gt;0,Y309&lt;0.5),"C",IF(AND(Y309&gt;=0.5,Y309&lt;0.73),"B",IF(AND(Y309&gt;=0.73,Y309&lt;0.98),"A",NONE)))</f>
        <v>C</v>
      </c>
      <c r="AA309" s="231" t="str">
        <f>VLOOKUP(G309,'ALL (R)'!$N$5:$R$862,5,FALSE)</f>
        <v>R 9</v>
      </c>
      <c r="AB309" s="232">
        <f>VLOOKUP(AA309,FACTS!$B$2:$L$14,10,FALSE)</f>
        <v>53550</v>
      </c>
      <c r="AC309" s="232">
        <f>VLOOKUP(AA309,FACTS!$B$2:$L$14,11,FALSE)</f>
        <v>59850</v>
      </c>
      <c r="AD309" s="232">
        <f>VLOOKUP(AA309,FACTS!$B$2:$N$14,13,FALSE)</f>
        <v>6300</v>
      </c>
      <c r="AE309" s="232">
        <f t="shared" si="44"/>
        <v>2772.0000000000005</v>
      </c>
      <c r="AF309" s="232">
        <f t="shared" si="45"/>
        <v>56322</v>
      </c>
      <c r="AG309" s="232">
        <f>AF309*FACTS!$T$2</f>
        <v>18586.260000000002</v>
      </c>
      <c r="AH309" s="232">
        <f>Table1[[#This Row],[UNIT (BUILDING) RATE (SEMI FINISHED)]]+4500</f>
        <v>60822</v>
      </c>
      <c r="AI309" s="232">
        <f>Table1[[#This Row],[UNIT (BUILDING) RATE (SEMI FINISHED)]]+7500</f>
        <v>63822</v>
      </c>
      <c r="AJ309" s="232">
        <f t="shared" si="46"/>
        <v>9743706</v>
      </c>
      <c r="AK309" s="232">
        <f>Table1[[#This Row],[UNIT (BUILDING) RATE (BASIC FINISH)]]*Table1[[#This Row],[Unit Selling Area]]</f>
        <v>10522206</v>
      </c>
      <c r="AL309" s="232">
        <f>Table1[[#This Row],[UNIT (BUILDING) RATE (FULLY FINISH)]]*Table1[[#This Row],[Unit Selling Area]]</f>
        <v>11041206</v>
      </c>
      <c r="AM309" s="232">
        <f t="shared" si="47"/>
        <v>0</v>
      </c>
      <c r="AN309" s="232">
        <f>(AM309+AJ309)*FACTS!$S$2</f>
        <v>828215.01</v>
      </c>
      <c r="AO309" s="101">
        <f>VLOOKUP(S309,FACTS!$A$17:$C$23,3,FALSE)</f>
        <v>2</v>
      </c>
      <c r="AP309" s="232">
        <f>VLOOKUP(AA309,FACTS!$B$2:$J$14,9,FALSE)</f>
        <v>252000</v>
      </c>
      <c r="AQ309" s="232">
        <f>Table1[[#This Row],[PARKING VALUE]]*1</f>
        <v>252000</v>
      </c>
      <c r="AR309" s="232">
        <f t="shared" si="42"/>
        <v>9995706</v>
      </c>
      <c r="AS309" s="440">
        <f>Table1[[#This Row],[TOTAL CARS VALUE]]+Table1[[#This Row],[UNIT (BUILDING) VALUE BASIC FINISHED]]+Table1[[#This Row],[UNIT (GARDEN) VALUE]]</f>
        <v>10774206</v>
      </c>
      <c r="AT309" s="232">
        <f>Table1[[#This Row],[TOTAL CARS VALUE]]+Table1[[#This Row],[UNIT (GARDEN) VALUE]]+Table1[[#This Row],[UNIT (BUILDING) VALUE FULLY FINISHED]]</f>
        <v>11293206</v>
      </c>
      <c r="AU309" s="233">
        <f>VLOOKUP(I309,'C PHASES'!$I$108:$J$110,2,FALSE)</f>
        <v>46204</v>
      </c>
      <c r="AV309" s="233">
        <f>VLOOKUP(AA309,'C PHASES'!$I$113:$J$125,2,FALSE)</f>
        <v>45931</v>
      </c>
    </row>
    <row r="310" spans="1:48" ht="26.25" customHeight="1" x14ac:dyDescent="0.25">
      <c r="A310" s="236"/>
      <c r="B310" s="227" t="str">
        <f t="shared" si="40"/>
        <v>B</v>
      </c>
      <c r="C310" s="227" t="s">
        <v>53</v>
      </c>
      <c r="D310" s="227" t="s">
        <v>1147</v>
      </c>
      <c r="E310" s="228">
        <v>3</v>
      </c>
      <c r="F310" s="101">
        <v>2</v>
      </c>
      <c r="G310" s="87" t="str">
        <f t="shared" si="49"/>
        <v>B732</v>
      </c>
      <c r="H310" s="87" t="s">
        <v>1294</v>
      </c>
      <c r="I310" s="89" t="str">
        <f>VLOOKUP(C310,'PREMIUM TABLES'!$G$107:$H$149,2,FALSE)</f>
        <v>C2</v>
      </c>
      <c r="J310" s="89">
        <v>142.25399999999999</v>
      </c>
      <c r="K310" s="87">
        <v>159.52300698973886</v>
      </c>
      <c r="L310" s="87">
        <v>174</v>
      </c>
      <c r="M310" s="89"/>
      <c r="N310" s="89"/>
      <c r="O310" s="87" t="s">
        <v>180</v>
      </c>
      <c r="P310" s="87" t="s">
        <v>190</v>
      </c>
      <c r="Q310" s="229" t="s">
        <v>210</v>
      </c>
      <c r="R310" s="87" t="str">
        <f>VLOOKUP(E310,'PREMIUM TABLES'!$F$214:$G$219,2,FALSE)</f>
        <v>THIRD</v>
      </c>
      <c r="S310" s="87" t="str" cm="1">
        <f t="array" ref="S310">IF(AND(L310&gt;0,L310&lt;90),"A",IF(AND(L310&gt;90,L310&lt;123),"B",IF(AND(L310&gt;122,L310&lt;159),"C",IF(AND(L310&gt;159,L310&lt;185),"D",IF(AND(L310&gt;185,L310&lt;230),"E",IF(AND(L310&gt;230,L310&lt;350),"F",NONE))))))</f>
        <v>D</v>
      </c>
      <c r="T310" s="230">
        <f>VLOOKUP(O310,'PREMIUM TABLES'!$G$165:$H$172,2,FALSE)</f>
        <v>0.13</v>
      </c>
      <c r="U310" s="230">
        <f>VLOOKUP(P310,'PREMIUM TABLES'!$G$208:$H$209,2,FALSE)</f>
        <v>2.5000000000000001E-2</v>
      </c>
      <c r="V310" s="230">
        <f>VLOOKUP(Q310,'PREMIUM TABLES'!$G$175:$H$195,2,FALSE)</f>
        <v>0.53</v>
      </c>
      <c r="W310" s="230">
        <f>VLOOKUP(R310,'PREMIUM TABLES'!$G$214:$H$219,2,FALSE)</f>
        <v>0.15</v>
      </c>
      <c r="X310" s="230">
        <f>VLOOKUP(S310,'PREMIUM TABLES'!$F$199:$H$205,3,FALSE)</f>
        <v>2.5000000000000001E-2</v>
      </c>
      <c r="Y310" s="231">
        <f t="shared" si="43"/>
        <v>0.8600000000000001</v>
      </c>
      <c r="Z310" s="231" t="str" cm="1">
        <f t="array" ref="Z310">IF(AND(Y310&gt;0,Y310&lt;0.5),"C",IF(AND(Y310&gt;=0.5,Y310&lt;0.73),"B",IF(AND(Y310&gt;=0.73,Y310&lt;0.98),"A",NONE)))</f>
        <v>A</v>
      </c>
      <c r="AA310" s="231" t="str">
        <f>VLOOKUP(G310,'ALL (R)'!$N$5:$R$862,5,FALSE)</f>
        <v>R 9</v>
      </c>
      <c r="AB310" s="232">
        <f>VLOOKUP(AA310,FACTS!$B$2:$L$14,10,FALSE)</f>
        <v>53550</v>
      </c>
      <c r="AC310" s="232">
        <f>VLOOKUP(AA310,FACTS!$B$2:$L$14,11,FALSE)</f>
        <v>59850</v>
      </c>
      <c r="AD310" s="232">
        <f>VLOOKUP(AA310,FACTS!$B$2:$N$14,13,FALSE)</f>
        <v>6300</v>
      </c>
      <c r="AE310" s="232">
        <f t="shared" si="44"/>
        <v>5418.0000000000009</v>
      </c>
      <c r="AF310" s="232">
        <f t="shared" si="45"/>
        <v>58968</v>
      </c>
      <c r="AG310" s="232">
        <f>AF310*FACTS!$T$2</f>
        <v>19459.440000000002</v>
      </c>
      <c r="AH310" s="232">
        <f>Table1[[#This Row],[UNIT (BUILDING) RATE (SEMI FINISHED)]]+4500</f>
        <v>63468</v>
      </c>
      <c r="AI310" s="232">
        <f>Table1[[#This Row],[UNIT (BUILDING) RATE (SEMI FINISHED)]]+7500</f>
        <v>66468</v>
      </c>
      <c r="AJ310" s="232">
        <f t="shared" si="46"/>
        <v>10260432</v>
      </c>
      <c r="AK310" s="232">
        <f>Table1[[#This Row],[UNIT (BUILDING) RATE (BASIC FINISH)]]*Table1[[#This Row],[Unit Selling Area]]</f>
        <v>11043432</v>
      </c>
      <c r="AL310" s="232">
        <f>Table1[[#This Row],[UNIT (BUILDING) RATE (FULLY FINISH)]]*Table1[[#This Row],[Unit Selling Area]]</f>
        <v>11565432</v>
      </c>
      <c r="AM310" s="232">
        <f t="shared" si="47"/>
        <v>0</v>
      </c>
      <c r="AN310" s="232">
        <f>(AM310+AJ310)*FACTS!$S$2</f>
        <v>872136.72000000009</v>
      </c>
      <c r="AO310" s="101">
        <f>VLOOKUP(S310,FACTS!$A$17:$C$23,3,FALSE)</f>
        <v>2</v>
      </c>
      <c r="AP310" s="232">
        <f>VLOOKUP(AA310,FACTS!$B$2:$J$14,9,FALSE)</f>
        <v>252000</v>
      </c>
      <c r="AQ310" s="232">
        <f>Table1[[#This Row],[PARKING VALUE]]*1</f>
        <v>252000</v>
      </c>
      <c r="AR310" s="232">
        <f t="shared" si="42"/>
        <v>10512432</v>
      </c>
      <c r="AS310" s="440">
        <f>Table1[[#This Row],[TOTAL CARS VALUE]]+Table1[[#This Row],[UNIT (BUILDING) VALUE BASIC FINISHED]]+Table1[[#This Row],[UNIT (GARDEN) VALUE]]</f>
        <v>11295432</v>
      </c>
      <c r="AT310" s="232">
        <f>Table1[[#This Row],[TOTAL CARS VALUE]]+Table1[[#This Row],[UNIT (GARDEN) VALUE]]+Table1[[#This Row],[UNIT (BUILDING) VALUE FULLY FINISHED]]</f>
        <v>11817432</v>
      </c>
      <c r="AU310" s="233">
        <f>VLOOKUP(I310,'C PHASES'!$I$108:$J$110,2,FALSE)</f>
        <v>46204</v>
      </c>
      <c r="AV310" s="233">
        <f>VLOOKUP(AA310,'C PHASES'!$I$113:$J$125,2,FALSE)</f>
        <v>45931</v>
      </c>
    </row>
    <row r="311" spans="1:48" ht="26.25" customHeight="1" x14ac:dyDescent="0.25">
      <c r="A311" s="236"/>
      <c r="B311" s="227" t="str">
        <f t="shared" si="40"/>
        <v>B</v>
      </c>
      <c r="C311" s="227" t="s">
        <v>53</v>
      </c>
      <c r="D311" s="227" t="s">
        <v>1147</v>
      </c>
      <c r="E311" s="228">
        <v>3</v>
      </c>
      <c r="F311" s="101">
        <v>3</v>
      </c>
      <c r="G311" s="87" t="str">
        <f t="shared" si="49"/>
        <v>B733</v>
      </c>
      <c r="H311" s="87" t="s">
        <v>1294</v>
      </c>
      <c r="I311" s="89" t="str">
        <f>VLOOKUP(C311,'PREMIUM TABLES'!$G$107:$H$149,2,FALSE)</f>
        <v>C2</v>
      </c>
      <c r="J311" s="89">
        <v>142.37799999999999</v>
      </c>
      <c r="K311" s="87">
        <v>159.6620600417917</v>
      </c>
      <c r="L311" s="87">
        <v>174</v>
      </c>
      <c r="M311" s="89"/>
      <c r="N311" s="89"/>
      <c r="O311" s="87" t="s">
        <v>180</v>
      </c>
      <c r="P311" s="87" t="s">
        <v>190</v>
      </c>
      <c r="Q311" s="229" t="s">
        <v>210</v>
      </c>
      <c r="R311" s="87" t="str">
        <f>VLOOKUP(E311,'PREMIUM TABLES'!$F$214:$G$219,2,FALSE)</f>
        <v>THIRD</v>
      </c>
      <c r="S311" s="87" t="str" cm="1">
        <f t="array" ref="S311">IF(AND(L311&gt;0,L311&lt;90),"A",IF(AND(L311&gt;90,L311&lt;123),"B",IF(AND(L311&gt;122,L311&lt;159),"C",IF(AND(L311&gt;159,L311&lt;185),"D",IF(AND(L311&gt;185,L311&lt;230),"E",IF(AND(L311&gt;230,L311&lt;350),"F",NONE))))))</f>
        <v>D</v>
      </c>
      <c r="T311" s="230">
        <f>VLOOKUP(O311,'PREMIUM TABLES'!$G$165:$H$172,2,FALSE)</f>
        <v>0.13</v>
      </c>
      <c r="U311" s="230">
        <f>VLOOKUP(P311,'PREMIUM TABLES'!$G$208:$H$209,2,FALSE)</f>
        <v>2.5000000000000001E-2</v>
      </c>
      <c r="V311" s="230">
        <f>VLOOKUP(Q311,'PREMIUM TABLES'!$G$175:$H$195,2,FALSE)</f>
        <v>0.53</v>
      </c>
      <c r="W311" s="230">
        <f>VLOOKUP(R311,'PREMIUM TABLES'!$G$214:$H$219,2,FALSE)</f>
        <v>0.15</v>
      </c>
      <c r="X311" s="230">
        <f>VLOOKUP(S311,'PREMIUM TABLES'!$F$199:$H$205,3,FALSE)</f>
        <v>2.5000000000000001E-2</v>
      </c>
      <c r="Y311" s="231">
        <f t="shared" si="43"/>
        <v>0.8600000000000001</v>
      </c>
      <c r="Z311" s="231" t="str" cm="1">
        <f t="array" ref="Z311">IF(AND(Y311&gt;0,Y311&lt;0.5),"C",IF(AND(Y311&gt;=0.5,Y311&lt;0.73),"B",IF(AND(Y311&gt;=0.73,Y311&lt;0.98),"A",NONE)))</f>
        <v>A</v>
      </c>
      <c r="AA311" s="231" t="str">
        <f>VLOOKUP(G311,'ALL (R)'!$N$5:$R$862,5,FALSE)</f>
        <v>R 9</v>
      </c>
      <c r="AB311" s="232">
        <f>VLOOKUP(AA311,FACTS!$B$2:$L$14,10,FALSE)</f>
        <v>53550</v>
      </c>
      <c r="AC311" s="232">
        <f>VLOOKUP(AA311,FACTS!$B$2:$L$14,11,FALSE)</f>
        <v>59850</v>
      </c>
      <c r="AD311" s="232">
        <f>VLOOKUP(AA311,FACTS!$B$2:$N$14,13,FALSE)</f>
        <v>6300</v>
      </c>
      <c r="AE311" s="232">
        <f t="shared" si="44"/>
        <v>5418.0000000000009</v>
      </c>
      <c r="AF311" s="232">
        <f t="shared" si="45"/>
        <v>58968</v>
      </c>
      <c r="AG311" s="232">
        <f>AF311*FACTS!$T$2</f>
        <v>19459.440000000002</v>
      </c>
      <c r="AH311" s="232">
        <f>Table1[[#This Row],[UNIT (BUILDING) RATE (SEMI FINISHED)]]+4500</f>
        <v>63468</v>
      </c>
      <c r="AI311" s="232">
        <f>Table1[[#This Row],[UNIT (BUILDING) RATE (SEMI FINISHED)]]+7500</f>
        <v>66468</v>
      </c>
      <c r="AJ311" s="232">
        <f t="shared" si="46"/>
        <v>10260432</v>
      </c>
      <c r="AK311" s="232">
        <f>Table1[[#This Row],[UNIT (BUILDING) RATE (BASIC FINISH)]]*Table1[[#This Row],[Unit Selling Area]]</f>
        <v>11043432</v>
      </c>
      <c r="AL311" s="232">
        <f>Table1[[#This Row],[UNIT (BUILDING) RATE (FULLY FINISH)]]*Table1[[#This Row],[Unit Selling Area]]</f>
        <v>11565432</v>
      </c>
      <c r="AM311" s="232">
        <f t="shared" si="47"/>
        <v>0</v>
      </c>
      <c r="AN311" s="232">
        <f>(AM311+AJ311)*FACTS!$S$2</f>
        <v>872136.72000000009</v>
      </c>
      <c r="AO311" s="101">
        <f>VLOOKUP(S311,FACTS!$A$17:$C$23,3,FALSE)</f>
        <v>2</v>
      </c>
      <c r="AP311" s="232">
        <f>VLOOKUP(AA311,FACTS!$B$2:$J$14,9,FALSE)</f>
        <v>252000</v>
      </c>
      <c r="AQ311" s="232">
        <f>Table1[[#This Row],[PARKING VALUE]]*1</f>
        <v>252000</v>
      </c>
      <c r="AR311" s="232">
        <f t="shared" si="42"/>
        <v>10512432</v>
      </c>
      <c r="AS311" s="440">
        <f>Table1[[#This Row],[TOTAL CARS VALUE]]+Table1[[#This Row],[UNIT (BUILDING) VALUE BASIC FINISHED]]+Table1[[#This Row],[UNIT (GARDEN) VALUE]]</f>
        <v>11295432</v>
      </c>
      <c r="AT311" s="232">
        <f>Table1[[#This Row],[TOTAL CARS VALUE]]+Table1[[#This Row],[UNIT (GARDEN) VALUE]]+Table1[[#This Row],[UNIT (BUILDING) VALUE FULLY FINISHED]]</f>
        <v>11817432</v>
      </c>
      <c r="AU311" s="233">
        <f>VLOOKUP(I311,'C PHASES'!$I$108:$J$110,2,FALSE)</f>
        <v>46204</v>
      </c>
      <c r="AV311" s="233">
        <f>VLOOKUP(AA311,'C PHASES'!$I$113:$J$125,2,FALSE)</f>
        <v>45931</v>
      </c>
    </row>
    <row r="312" spans="1:48" ht="27" customHeight="1" x14ac:dyDescent="0.25">
      <c r="A312" s="236"/>
      <c r="B312" s="227" t="str">
        <f t="shared" si="40"/>
        <v>B</v>
      </c>
      <c r="C312" s="227" t="s">
        <v>53</v>
      </c>
      <c r="D312" s="227" t="s">
        <v>1147</v>
      </c>
      <c r="E312" s="228">
        <v>3</v>
      </c>
      <c r="F312" s="101">
        <v>4</v>
      </c>
      <c r="G312" s="87" t="str">
        <f t="shared" si="49"/>
        <v>B734</v>
      </c>
      <c r="H312" s="87" t="s">
        <v>1294</v>
      </c>
      <c r="I312" s="89" t="str">
        <f>VLOOKUP(C312,'PREMIUM TABLES'!$G$107:$H$149,2,FALSE)</f>
        <v>C2</v>
      </c>
      <c r="J312" s="89">
        <v>141.52600000000001</v>
      </c>
      <c r="K312" s="87">
        <v>158.70663100671885</v>
      </c>
      <c r="L312" s="87">
        <v>173</v>
      </c>
      <c r="M312" s="89"/>
      <c r="N312" s="89"/>
      <c r="O312" s="87" t="s">
        <v>187</v>
      </c>
      <c r="P312" s="87" t="s">
        <v>190</v>
      </c>
      <c r="Q312" s="229" t="s">
        <v>197</v>
      </c>
      <c r="R312" s="87" t="str">
        <f>VLOOKUP(E312,'PREMIUM TABLES'!$F$214:$G$219,2,FALSE)</f>
        <v>THIRD</v>
      </c>
      <c r="S312" s="87" t="str" cm="1">
        <f t="array" ref="S312">IF(AND(L312&gt;0,L312&lt;90),"A",IF(AND(L312&gt;90,L312&lt;123),"B",IF(AND(L312&gt;122,L312&lt;159),"C",IF(AND(L312&gt;159,L312&lt;185),"D",IF(AND(L312&gt;185,L312&lt;230),"E",IF(AND(L312&gt;230,L312&lt;350),"F",NONE))))))</f>
        <v>D</v>
      </c>
      <c r="T312" s="230">
        <f>VLOOKUP(O312,'PREMIUM TABLES'!$G$165:$H$172,2,FALSE)</f>
        <v>0.08</v>
      </c>
      <c r="U312" s="230">
        <f>VLOOKUP(P312,'PREMIUM TABLES'!$G$208:$H$209,2,FALSE)</f>
        <v>2.5000000000000001E-2</v>
      </c>
      <c r="V312" s="230">
        <f>VLOOKUP(Q312,'PREMIUM TABLES'!$G$175:$H$195,2,FALSE)</f>
        <v>0.16</v>
      </c>
      <c r="W312" s="230">
        <f>VLOOKUP(R312,'PREMIUM TABLES'!$G$214:$H$219,2,FALSE)</f>
        <v>0.15</v>
      </c>
      <c r="X312" s="230">
        <f>VLOOKUP(S312,'PREMIUM TABLES'!$F$199:$H$205,3,FALSE)</f>
        <v>2.5000000000000001E-2</v>
      </c>
      <c r="Y312" s="231">
        <f t="shared" si="43"/>
        <v>0.44000000000000006</v>
      </c>
      <c r="Z312" s="231" t="str" cm="1">
        <f t="array" ref="Z312">IF(AND(Y312&gt;0,Y312&lt;0.5),"C",IF(AND(Y312&gt;=0.5,Y312&lt;0.73),"B",IF(AND(Y312&gt;=0.73,Y312&lt;0.98),"A",NONE)))</f>
        <v>C</v>
      </c>
      <c r="AA312" s="231" t="str">
        <f>VLOOKUP(G312,'ALL (R)'!$N$5:$R$862,5,FALSE)</f>
        <v>R 9</v>
      </c>
      <c r="AB312" s="232">
        <f>VLOOKUP(AA312,FACTS!$B$2:$L$14,10,FALSE)</f>
        <v>53550</v>
      </c>
      <c r="AC312" s="232">
        <f>VLOOKUP(AA312,FACTS!$B$2:$L$14,11,FALSE)</f>
        <v>59850</v>
      </c>
      <c r="AD312" s="232">
        <f>VLOOKUP(AA312,FACTS!$B$2:$N$14,13,FALSE)</f>
        <v>6300</v>
      </c>
      <c r="AE312" s="232">
        <f t="shared" si="44"/>
        <v>2772.0000000000005</v>
      </c>
      <c r="AF312" s="232">
        <f t="shared" si="45"/>
        <v>56322</v>
      </c>
      <c r="AG312" s="232">
        <f>AF312*FACTS!$T$2</f>
        <v>18586.260000000002</v>
      </c>
      <c r="AH312" s="232">
        <f>Table1[[#This Row],[UNIT (BUILDING) RATE (SEMI FINISHED)]]+4500</f>
        <v>60822</v>
      </c>
      <c r="AI312" s="232">
        <f>Table1[[#This Row],[UNIT (BUILDING) RATE (SEMI FINISHED)]]+7500</f>
        <v>63822</v>
      </c>
      <c r="AJ312" s="232">
        <f t="shared" si="46"/>
        <v>9743706</v>
      </c>
      <c r="AK312" s="232">
        <f>Table1[[#This Row],[UNIT (BUILDING) RATE (BASIC FINISH)]]*Table1[[#This Row],[Unit Selling Area]]</f>
        <v>10522206</v>
      </c>
      <c r="AL312" s="232">
        <f>Table1[[#This Row],[UNIT (BUILDING) RATE (FULLY FINISH)]]*Table1[[#This Row],[Unit Selling Area]]</f>
        <v>11041206</v>
      </c>
      <c r="AM312" s="232">
        <f t="shared" si="47"/>
        <v>0</v>
      </c>
      <c r="AN312" s="232">
        <f>(AM312+AJ312)*FACTS!$S$2</f>
        <v>828215.01</v>
      </c>
      <c r="AO312" s="101">
        <f>VLOOKUP(S312,FACTS!$A$17:$C$23,3,FALSE)</f>
        <v>2</v>
      </c>
      <c r="AP312" s="232">
        <f>VLOOKUP(AA312,FACTS!$B$2:$J$14,9,FALSE)</f>
        <v>252000</v>
      </c>
      <c r="AQ312" s="232">
        <f>Table1[[#This Row],[PARKING VALUE]]*1</f>
        <v>252000</v>
      </c>
      <c r="AR312" s="232">
        <f t="shared" si="42"/>
        <v>9995706</v>
      </c>
      <c r="AS312" s="440">
        <f>Table1[[#This Row],[TOTAL CARS VALUE]]+Table1[[#This Row],[UNIT (BUILDING) VALUE BASIC FINISHED]]+Table1[[#This Row],[UNIT (GARDEN) VALUE]]</f>
        <v>10774206</v>
      </c>
      <c r="AT312" s="232">
        <f>Table1[[#This Row],[TOTAL CARS VALUE]]+Table1[[#This Row],[UNIT (GARDEN) VALUE]]+Table1[[#This Row],[UNIT (BUILDING) VALUE FULLY FINISHED]]</f>
        <v>11293206</v>
      </c>
      <c r="AU312" s="233">
        <f>VLOOKUP(I312,'C PHASES'!$I$108:$J$110,2,FALSE)</f>
        <v>46204</v>
      </c>
      <c r="AV312" s="233">
        <f>VLOOKUP(AA312,'C PHASES'!$I$113:$J$125,2,FALSE)</f>
        <v>45931</v>
      </c>
    </row>
    <row r="313" spans="1:48" ht="26.25" customHeight="1" x14ac:dyDescent="0.25">
      <c r="A313" s="236"/>
      <c r="B313" s="227" t="str">
        <f t="shared" si="40"/>
        <v>B</v>
      </c>
      <c r="C313" s="227" t="s">
        <v>53</v>
      </c>
      <c r="D313" s="227" t="s">
        <v>1147</v>
      </c>
      <c r="E313" s="228">
        <v>4</v>
      </c>
      <c r="F313" s="101">
        <v>1</v>
      </c>
      <c r="G313" s="87" t="str">
        <f t="shared" si="49"/>
        <v>B741</v>
      </c>
      <c r="H313" s="87" t="s">
        <v>1294</v>
      </c>
      <c r="I313" s="89" t="str">
        <f>VLOOKUP(C313,'PREMIUM TABLES'!$G$107:$H$149,2,FALSE)</f>
        <v>C2</v>
      </c>
      <c r="J313" s="89">
        <v>139.12</v>
      </c>
      <c r="K313" s="87">
        <v>156.00855323866094</v>
      </c>
      <c r="L313" s="87">
        <v>170</v>
      </c>
      <c r="M313" s="89"/>
      <c r="N313" s="89"/>
      <c r="O313" s="87" t="s">
        <v>187</v>
      </c>
      <c r="P313" s="87" t="s">
        <v>190</v>
      </c>
      <c r="Q313" s="229" t="s">
        <v>197</v>
      </c>
      <c r="R313" s="87" t="str">
        <f>VLOOKUP(E313,'PREMIUM TABLES'!$F$214:$G$219,2,FALSE)</f>
        <v>FORTH</v>
      </c>
      <c r="S313" s="87" t="str" cm="1">
        <f t="array" ref="S313">IF(AND(L313&gt;0,L313&lt;90),"A",IF(AND(L313&gt;90,L313&lt;123),"B",IF(AND(L313&gt;122,L313&lt;159),"C",IF(AND(L313&gt;159,L313&lt;185),"D",IF(AND(L313&gt;185,L313&lt;230),"E",IF(AND(L313&gt;230,L313&lt;350),"F",NONE))))))</f>
        <v>D</v>
      </c>
      <c r="T313" s="230">
        <f>VLOOKUP(O313,'PREMIUM TABLES'!$G$165:$H$172,2,FALSE)</f>
        <v>0.08</v>
      </c>
      <c r="U313" s="230">
        <f>VLOOKUP(P313,'PREMIUM TABLES'!$G$208:$H$209,2,FALSE)</f>
        <v>2.5000000000000001E-2</v>
      </c>
      <c r="V313" s="230">
        <f>VLOOKUP(Q313,'PREMIUM TABLES'!$G$175:$H$195,2,FALSE)</f>
        <v>0.16</v>
      </c>
      <c r="W313" s="230">
        <f>VLOOKUP(R313,'PREMIUM TABLES'!$G$214:$H$219,2,FALSE)</f>
        <v>0.06</v>
      </c>
      <c r="X313" s="230">
        <f>VLOOKUP(S313,'PREMIUM TABLES'!$F$199:$H$205,3,FALSE)</f>
        <v>2.5000000000000001E-2</v>
      </c>
      <c r="Y313" s="231">
        <f t="shared" si="43"/>
        <v>0.35000000000000003</v>
      </c>
      <c r="Z313" s="231" t="str" cm="1">
        <f t="array" ref="Z313">IF(AND(Y313&gt;0,Y313&lt;0.5),"C",IF(AND(Y313&gt;=0.5,Y313&lt;0.73),"B",IF(AND(Y313&gt;=0.73,Y313&lt;0.98),"A",NONE)))</f>
        <v>C</v>
      </c>
      <c r="AA313" s="231" t="str">
        <f>VLOOKUP(G313,'ALL (R)'!$N$5:$R$862,5,FALSE)</f>
        <v>R 1</v>
      </c>
      <c r="AB313" s="232">
        <f>VLOOKUP(AA313,FACTS!$B$2:$L$14,10,FALSE)</f>
        <v>42500</v>
      </c>
      <c r="AC313" s="232">
        <f>VLOOKUP(AA313,FACTS!$B$2:$L$14,11,FALSE)</f>
        <v>47500</v>
      </c>
      <c r="AD313" s="232">
        <f>VLOOKUP(AA313,FACTS!$B$2:$N$14,13,FALSE)</f>
        <v>5000</v>
      </c>
      <c r="AE313" s="232">
        <f t="shared" si="44"/>
        <v>1750.0000000000002</v>
      </c>
      <c r="AF313" s="232">
        <f t="shared" si="45"/>
        <v>44250</v>
      </c>
      <c r="AG313" s="232">
        <f>AF313*FACTS!$T$2</f>
        <v>14602.5</v>
      </c>
      <c r="AH313" s="232">
        <f>Table1[[#This Row],[UNIT (BUILDING) RATE (SEMI FINISHED)]]+4500</f>
        <v>48750</v>
      </c>
      <c r="AI313" s="232">
        <f>Table1[[#This Row],[UNIT (BUILDING) RATE (SEMI FINISHED)]]+7500</f>
        <v>51750</v>
      </c>
      <c r="AJ313" s="232">
        <f t="shared" si="46"/>
        <v>7522500</v>
      </c>
      <c r="AK313" s="232">
        <f>Table1[[#This Row],[UNIT (BUILDING) RATE (BASIC FINISH)]]*Table1[[#This Row],[Unit Selling Area]]</f>
        <v>8287500</v>
      </c>
      <c r="AL313" s="232">
        <f>Table1[[#This Row],[UNIT (BUILDING) RATE (FULLY FINISH)]]*Table1[[#This Row],[Unit Selling Area]]</f>
        <v>8797500</v>
      </c>
      <c r="AM313" s="232">
        <f t="shared" si="47"/>
        <v>0</v>
      </c>
      <c r="AN313" s="232">
        <f>(AM313+AJ313)*FACTS!$S$2</f>
        <v>639412.5</v>
      </c>
      <c r="AO313" s="101">
        <f>VLOOKUP(S313,FACTS!$A$17:$C$23,3,FALSE)</f>
        <v>2</v>
      </c>
      <c r="AP313" s="232">
        <f>VLOOKUP(AA313,FACTS!$B$2:$J$14,9,FALSE)</f>
        <v>200000</v>
      </c>
      <c r="AQ313" s="232">
        <f>Table1[[#This Row],[PARKING VALUE]]*1</f>
        <v>200000</v>
      </c>
      <c r="AR313" s="232">
        <f t="shared" si="42"/>
        <v>7722500</v>
      </c>
      <c r="AS313" s="440">
        <f>Table1[[#This Row],[TOTAL CARS VALUE]]+Table1[[#This Row],[UNIT (BUILDING) VALUE BASIC FINISHED]]+Table1[[#This Row],[UNIT (GARDEN) VALUE]]</f>
        <v>8487500</v>
      </c>
      <c r="AT313" s="232">
        <f>Table1[[#This Row],[TOTAL CARS VALUE]]+Table1[[#This Row],[UNIT (GARDEN) VALUE]]+Table1[[#This Row],[UNIT (BUILDING) VALUE FULLY FINISHED]]</f>
        <v>8997500</v>
      </c>
      <c r="AU313" s="233">
        <f>VLOOKUP(I313,'C PHASES'!$I$108:$J$110,2,FALSE)</f>
        <v>46204</v>
      </c>
      <c r="AV313" s="233">
        <f>VLOOKUP(AA313,'C PHASES'!$I$113:$J$125,2,FALSE)</f>
        <v>45170</v>
      </c>
    </row>
    <row r="314" spans="1:48" ht="26.25" customHeight="1" x14ac:dyDescent="0.25">
      <c r="A314" s="236"/>
      <c r="B314" s="227" t="str">
        <f t="shared" si="40"/>
        <v>B</v>
      </c>
      <c r="C314" s="227" t="s">
        <v>53</v>
      </c>
      <c r="D314" s="227" t="s">
        <v>1147</v>
      </c>
      <c r="E314" s="228">
        <v>4</v>
      </c>
      <c r="F314" s="101">
        <v>2</v>
      </c>
      <c r="G314" s="87" t="str">
        <f t="shared" si="49"/>
        <v>B742</v>
      </c>
      <c r="H314" s="87" t="s">
        <v>1294</v>
      </c>
      <c r="I314" s="89" t="str">
        <f>VLOOKUP(C314,'PREMIUM TABLES'!$G$107:$H$149,2,FALSE)</f>
        <v>C2</v>
      </c>
      <c r="J314" s="89">
        <v>141.53399999999999</v>
      </c>
      <c r="K314" s="87">
        <v>158.71560217136741</v>
      </c>
      <c r="L314" s="87">
        <v>173</v>
      </c>
      <c r="M314" s="89"/>
      <c r="N314" s="89"/>
      <c r="O314" s="87" t="s">
        <v>180</v>
      </c>
      <c r="P314" s="87" t="s">
        <v>190</v>
      </c>
      <c r="Q314" s="229" t="s">
        <v>210</v>
      </c>
      <c r="R314" s="87" t="str">
        <f>VLOOKUP(E314,'PREMIUM TABLES'!$F$214:$G$219,2,FALSE)</f>
        <v>FORTH</v>
      </c>
      <c r="S314" s="87" t="str" cm="1">
        <f t="array" ref="S314">IF(AND(L314&gt;0,L314&lt;90),"A",IF(AND(L314&gt;90,L314&lt;123),"B",IF(AND(L314&gt;122,L314&lt;159),"C",IF(AND(L314&gt;159,L314&lt;185),"D",IF(AND(L314&gt;185,L314&lt;230),"E",IF(AND(L314&gt;230,L314&lt;350),"F",NONE))))))</f>
        <v>D</v>
      </c>
      <c r="T314" s="230">
        <f>VLOOKUP(O314,'PREMIUM TABLES'!$G$165:$H$172,2,FALSE)</f>
        <v>0.13</v>
      </c>
      <c r="U314" s="230">
        <f>VLOOKUP(P314,'PREMIUM TABLES'!$G$208:$H$209,2,FALSE)</f>
        <v>2.5000000000000001E-2</v>
      </c>
      <c r="V314" s="230">
        <f>VLOOKUP(Q314,'PREMIUM TABLES'!$G$175:$H$195,2,FALSE)</f>
        <v>0.53</v>
      </c>
      <c r="W314" s="230">
        <f>VLOOKUP(R314,'PREMIUM TABLES'!$G$214:$H$219,2,FALSE)</f>
        <v>0.06</v>
      </c>
      <c r="X314" s="230">
        <f>VLOOKUP(S314,'PREMIUM TABLES'!$F$199:$H$205,3,FALSE)</f>
        <v>2.5000000000000001E-2</v>
      </c>
      <c r="Y314" s="231">
        <f t="shared" si="43"/>
        <v>0.77000000000000013</v>
      </c>
      <c r="Z314" s="231" t="str" cm="1">
        <f t="array" ref="Z314">IF(AND(Y314&gt;0,Y314&lt;0.5),"C",IF(AND(Y314&gt;=0.5,Y314&lt;0.73),"B",IF(AND(Y314&gt;=0.73,Y314&lt;0.98),"A",NONE)))</f>
        <v>A</v>
      </c>
      <c r="AA314" s="231" t="str">
        <f>VLOOKUP(G314,'ALL (R)'!$N$5:$R$862,5,FALSE)</f>
        <v>R 4</v>
      </c>
      <c r="AB314" s="232">
        <f>VLOOKUP(AA314,FACTS!$B$2:$L$14,10,FALSE)</f>
        <v>45687.5</v>
      </c>
      <c r="AC314" s="232">
        <f>VLOOKUP(AA314,FACTS!$B$2:$L$14,11,FALSE)</f>
        <v>51062.5</v>
      </c>
      <c r="AD314" s="232">
        <f>VLOOKUP(AA314,FACTS!$B$2:$N$14,13,FALSE)</f>
        <v>5375</v>
      </c>
      <c r="AE314" s="232">
        <f t="shared" si="44"/>
        <v>4138.7500000000009</v>
      </c>
      <c r="AF314" s="232">
        <f t="shared" si="45"/>
        <v>49826.25</v>
      </c>
      <c r="AG314" s="232">
        <f>AF314*FACTS!$T$2</f>
        <v>16442.662500000002</v>
      </c>
      <c r="AH314" s="232">
        <f>Table1[[#This Row],[UNIT (BUILDING) RATE (SEMI FINISHED)]]+4500</f>
        <v>54326.25</v>
      </c>
      <c r="AI314" s="232">
        <f>Table1[[#This Row],[UNIT (BUILDING) RATE (SEMI FINISHED)]]+7500</f>
        <v>57326.25</v>
      </c>
      <c r="AJ314" s="232">
        <f t="shared" si="46"/>
        <v>8619941.25</v>
      </c>
      <c r="AK314" s="232">
        <f>Table1[[#This Row],[UNIT (BUILDING) RATE (BASIC FINISH)]]*Table1[[#This Row],[Unit Selling Area]]</f>
        <v>9398441.25</v>
      </c>
      <c r="AL314" s="232">
        <f>Table1[[#This Row],[UNIT (BUILDING) RATE (FULLY FINISH)]]*Table1[[#This Row],[Unit Selling Area]]</f>
        <v>9917441.25</v>
      </c>
      <c r="AM314" s="232">
        <f t="shared" si="47"/>
        <v>0</v>
      </c>
      <c r="AN314" s="232">
        <f>(AM314+AJ314)*FACTS!$S$2</f>
        <v>732695.00625000009</v>
      </c>
      <c r="AO314" s="101">
        <f>VLOOKUP(S314,FACTS!$A$17:$C$23,3,FALSE)</f>
        <v>2</v>
      </c>
      <c r="AP314" s="232">
        <f>VLOOKUP(AA314,FACTS!$B$2:$J$14,9,FALSE)</f>
        <v>215000</v>
      </c>
      <c r="AQ314" s="232">
        <f>Table1[[#This Row],[PARKING VALUE]]*1</f>
        <v>215000</v>
      </c>
      <c r="AR314" s="232">
        <f t="shared" si="42"/>
        <v>8834941.25</v>
      </c>
      <c r="AS314" s="440">
        <f>Table1[[#This Row],[TOTAL CARS VALUE]]+Table1[[#This Row],[UNIT (BUILDING) VALUE BASIC FINISHED]]+Table1[[#This Row],[UNIT (GARDEN) VALUE]]</f>
        <v>9613441.25</v>
      </c>
      <c r="AT314" s="232">
        <f>Table1[[#This Row],[TOTAL CARS VALUE]]+Table1[[#This Row],[UNIT (GARDEN) VALUE]]+Table1[[#This Row],[UNIT (BUILDING) VALUE FULLY FINISHED]]</f>
        <v>10132441.25</v>
      </c>
      <c r="AU314" s="233">
        <f>VLOOKUP(I314,'C PHASES'!$I$108:$J$110,2,FALSE)</f>
        <v>46204</v>
      </c>
      <c r="AV314" s="233">
        <f>VLOOKUP(AA314,'C PHASES'!$I$113:$J$125,2,FALSE)</f>
        <v>45474</v>
      </c>
    </row>
    <row r="315" spans="1:48" ht="26.25" customHeight="1" x14ac:dyDescent="0.25">
      <c r="A315" s="236"/>
      <c r="B315" s="227" t="str">
        <f t="shared" si="40"/>
        <v>B</v>
      </c>
      <c r="C315" s="227" t="s">
        <v>53</v>
      </c>
      <c r="D315" s="227" t="s">
        <v>1147</v>
      </c>
      <c r="E315" s="228">
        <v>4</v>
      </c>
      <c r="F315" s="101">
        <v>3</v>
      </c>
      <c r="G315" s="87" t="str">
        <f t="shared" si="49"/>
        <v>B743</v>
      </c>
      <c r="H315" s="87" t="s">
        <v>1294</v>
      </c>
      <c r="I315" s="89" t="str">
        <f>VLOOKUP(C315,'PREMIUM TABLES'!$G$107:$H$149,2,FALSE)</f>
        <v>C2</v>
      </c>
      <c r="J315" s="89">
        <v>141.65899999999999</v>
      </c>
      <c r="K315" s="87">
        <v>158.85577661900135</v>
      </c>
      <c r="L315" s="87">
        <v>173</v>
      </c>
      <c r="M315" s="89"/>
      <c r="N315" s="89"/>
      <c r="O315" s="87" t="s">
        <v>180</v>
      </c>
      <c r="P315" s="87" t="s">
        <v>190</v>
      </c>
      <c r="Q315" s="229" t="s">
        <v>210</v>
      </c>
      <c r="R315" s="87" t="str">
        <f>VLOOKUP(E315,'PREMIUM TABLES'!$F$214:$G$219,2,FALSE)</f>
        <v>FORTH</v>
      </c>
      <c r="S315" s="87" t="str" cm="1">
        <f t="array" ref="S315">IF(AND(L315&gt;0,L315&lt;90),"A",IF(AND(L315&gt;90,L315&lt;123),"B",IF(AND(L315&gt;122,L315&lt;159),"C",IF(AND(L315&gt;159,L315&lt;185),"D",IF(AND(L315&gt;185,L315&lt;230),"E",IF(AND(L315&gt;230,L315&lt;350),"F",NONE))))))</f>
        <v>D</v>
      </c>
      <c r="T315" s="230">
        <f>VLOOKUP(O315,'PREMIUM TABLES'!$G$165:$H$172,2,FALSE)</f>
        <v>0.13</v>
      </c>
      <c r="U315" s="230">
        <f>VLOOKUP(P315,'PREMIUM TABLES'!$G$208:$H$209,2,FALSE)</f>
        <v>2.5000000000000001E-2</v>
      </c>
      <c r="V315" s="230">
        <f>VLOOKUP(Q315,'PREMIUM TABLES'!$G$175:$H$195,2,FALSE)</f>
        <v>0.53</v>
      </c>
      <c r="W315" s="230">
        <f>VLOOKUP(R315,'PREMIUM TABLES'!$G$214:$H$219,2,FALSE)</f>
        <v>0.06</v>
      </c>
      <c r="X315" s="230">
        <f>VLOOKUP(S315,'PREMIUM TABLES'!$F$199:$H$205,3,FALSE)</f>
        <v>2.5000000000000001E-2</v>
      </c>
      <c r="Y315" s="231">
        <f t="shared" si="43"/>
        <v>0.77000000000000013</v>
      </c>
      <c r="Z315" s="231" t="str" cm="1">
        <f t="array" ref="Z315">IF(AND(Y315&gt;0,Y315&lt;0.5),"C",IF(AND(Y315&gt;=0.5,Y315&lt;0.73),"B",IF(AND(Y315&gt;=0.73,Y315&lt;0.98),"A",NONE)))</f>
        <v>A</v>
      </c>
      <c r="AA315" s="231" t="str">
        <f>VLOOKUP(G315,'ALL (R)'!$N$5:$R$862,5,FALSE)</f>
        <v>R 4</v>
      </c>
      <c r="AB315" s="232">
        <f>VLOOKUP(AA315,FACTS!$B$2:$L$14,10,FALSE)</f>
        <v>45687.5</v>
      </c>
      <c r="AC315" s="232">
        <f>VLOOKUP(AA315,FACTS!$B$2:$L$14,11,FALSE)</f>
        <v>51062.5</v>
      </c>
      <c r="AD315" s="232">
        <f>VLOOKUP(AA315,FACTS!$B$2:$N$14,13,FALSE)</f>
        <v>5375</v>
      </c>
      <c r="AE315" s="232">
        <f t="shared" si="44"/>
        <v>4138.7500000000009</v>
      </c>
      <c r="AF315" s="232">
        <f t="shared" si="45"/>
        <v>49826.25</v>
      </c>
      <c r="AG315" s="232">
        <f>AF315*FACTS!$T$2</f>
        <v>16442.662500000002</v>
      </c>
      <c r="AH315" s="232">
        <f>Table1[[#This Row],[UNIT (BUILDING) RATE (SEMI FINISHED)]]+4500</f>
        <v>54326.25</v>
      </c>
      <c r="AI315" s="232">
        <f>Table1[[#This Row],[UNIT (BUILDING) RATE (SEMI FINISHED)]]+7500</f>
        <v>57326.25</v>
      </c>
      <c r="AJ315" s="232">
        <f t="shared" si="46"/>
        <v>8619941.25</v>
      </c>
      <c r="AK315" s="232">
        <f>Table1[[#This Row],[UNIT (BUILDING) RATE (BASIC FINISH)]]*Table1[[#This Row],[Unit Selling Area]]</f>
        <v>9398441.25</v>
      </c>
      <c r="AL315" s="232">
        <f>Table1[[#This Row],[UNIT (BUILDING) RATE (FULLY FINISH)]]*Table1[[#This Row],[Unit Selling Area]]</f>
        <v>9917441.25</v>
      </c>
      <c r="AM315" s="232">
        <f t="shared" si="47"/>
        <v>0</v>
      </c>
      <c r="AN315" s="232">
        <f>(AM315+AJ315)*FACTS!$S$2</f>
        <v>732695.00625000009</v>
      </c>
      <c r="AO315" s="101">
        <f>VLOOKUP(S315,FACTS!$A$17:$C$23,3,FALSE)</f>
        <v>2</v>
      </c>
      <c r="AP315" s="232">
        <f>VLOOKUP(AA315,FACTS!$B$2:$J$14,9,FALSE)</f>
        <v>215000</v>
      </c>
      <c r="AQ315" s="232">
        <f>Table1[[#This Row],[PARKING VALUE]]*1</f>
        <v>215000</v>
      </c>
      <c r="AR315" s="232">
        <f t="shared" si="42"/>
        <v>8834941.25</v>
      </c>
      <c r="AS315" s="440">
        <f>Table1[[#This Row],[TOTAL CARS VALUE]]+Table1[[#This Row],[UNIT (BUILDING) VALUE BASIC FINISHED]]+Table1[[#This Row],[UNIT (GARDEN) VALUE]]</f>
        <v>9613441.25</v>
      </c>
      <c r="AT315" s="232">
        <f>Table1[[#This Row],[TOTAL CARS VALUE]]+Table1[[#This Row],[UNIT (GARDEN) VALUE]]+Table1[[#This Row],[UNIT (BUILDING) VALUE FULLY FINISHED]]</f>
        <v>10132441.25</v>
      </c>
      <c r="AU315" s="233">
        <f>VLOOKUP(I315,'C PHASES'!$I$108:$J$110,2,FALSE)</f>
        <v>46204</v>
      </c>
      <c r="AV315" s="233">
        <f>VLOOKUP(AA315,'C PHASES'!$I$113:$J$125,2,FALSE)</f>
        <v>45474</v>
      </c>
    </row>
    <row r="316" spans="1:48" ht="27" customHeight="1" x14ac:dyDescent="0.25">
      <c r="A316" s="236"/>
      <c r="B316" s="227" t="str">
        <f t="shared" si="40"/>
        <v>B</v>
      </c>
      <c r="C316" s="227" t="s">
        <v>53</v>
      </c>
      <c r="D316" s="227" t="s">
        <v>1147</v>
      </c>
      <c r="E316" s="228">
        <v>4</v>
      </c>
      <c r="F316" s="101">
        <v>4</v>
      </c>
      <c r="G316" s="87" t="str">
        <f t="shared" si="49"/>
        <v>B744</v>
      </c>
      <c r="H316" s="87" t="s">
        <v>1294</v>
      </c>
      <c r="I316" s="89" t="str">
        <f>VLOOKUP(C316,'PREMIUM TABLES'!$G$107:$H$149,2,FALSE)</f>
        <v>C2</v>
      </c>
      <c r="J316" s="89">
        <v>139.31659999999999</v>
      </c>
      <c r="K316" s="87">
        <v>156.22901960989958</v>
      </c>
      <c r="L316" s="87">
        <v>170</v>
      </c>
      <c r="M316" s="89"/>
      <c r="N316" s="89"/>
      <c r="O316" s="87" t="s">
        <v>187</v>
      </c>
      <c r="P316" s="87" t="s">
        <v>190</v>
      </c>
      <c r="Q316" s="229" t="s">
        <v>197</v>
      </c>
      <c r="R316" s="87" t="str">
        <f>VLOOKUP(E316,'PREMIUM TABLES'!$F$214:$G$219,2,FALSE)</f>
        <v>FORTH</v>
      </c>
      <c r="S316" s="87" t="str" cm="1">
        <f t="array" ref="S316">IF(AND(L316&gt;0,L316&lt;90),"A",IF(AND(L316&gt;90,L316&lt;123),"B",IF(AND(L316&gt;122,L316&lt;159),"C",IF(AND(L316&gt;159,L316&lt;185),"D",IF(AND(L316&gt;185,L316&lt;230),"E",IF(AND(L316&gt;230,L316&lt;350),"F",NONE))))))</f>
        <v>D</v>
      </c>
      <c r="T316" s="230">
        <f>VLOOKUP(O316,'PREMIUM TABLES'!$G$165:$H$172,2,FALSE)</f>
        <v>0.08</v>
      </c>
      <c r="U316" s="230">
        <f>VLOOKUP(P316,'PREMIUM TABLES'!$G$208:$H$209,2,FALSE)</f>
        <v>2.5000000000000001E-2</v>
      </c>
      <c r="V316" s="230">
        <f>VLOOKUP(Q316,'PREMIUM TABLES'!$G$175:$H$195,2,FALSE)</f>
        <v>0.16</v>
      </c>
      <c r="W316" s="230">
        <f>VLOOKUP(R316,'PREMIUM TABLES'!$G$214:$H$219,2,FALSE)</f>
        <v>0.06</v>
      </c>
      <c r="X316" s="230">
        <f>VLOOKUP(S316,'PREMIUM TABLES'!$F$199:$H$205,3,FALSE)</f>
        <v>2.5000000000000001E-2</v>
      </c>
      <c r="Y316" s="231">
        <f t="shared" si="43"/>
        <v>0.35000000000000003</v>
      </c>
      <c r="Z316" s="231" t="str" cm="1">
        <f t="array" ref="Z316">IF(AND(Y316&gt;0,Y316&lt;0.5),"C",IF(AND(Y316&gt;=0.5,Y316&lt;0.73),"B",IF(AND(Y316&gt;=0.73,Y316&lt;0.98),"A",NONE)))</f>
        <v>C</v>
      </c>
      <c r="AA316" s="231" t="str">
        <f>VLOOKUP(G316,'ALL (R)'!$N$5:$R$862,5,FALSE)</f>
        <v>R 1</v>
      </c>
      <c r="AB316" s="232">
        <f>VLOOKUP(AA316,FACTS!$B$2:$L$14,10,FALSE)</f>
        <v>42500</v>
      </c>
      <c r="AC316" s="232">
        <f>VLOOKUP(AA316,FACTS!$B$2:$L$14,11,FALSE)</f>
        <v>47500</v>
      </c>
      <c r="AD316" s="232">
        <f>VLOOKUP(AA316,FACTS!$B$2:$N$14,13,FALSE)</f>
        <v>5000</v>
      </c>
      <c r="AE316" s="232">
        <f t="shared" si="44"/>
        <v>1750.0000000000002</v>
      </c>
      <c r="AF316" s="232">
        <f t="shared" si="45"/>
        <v>44250</v>
      </c>
      <c r="AG316" s="232">
        <f>AF316*FACTS!$T$2</f>
        <v>14602.5</v>
      </c>
      <c r="AH316" s="232">
        <f>Table1[[#This Row],[UNIT (BUILDING) RATE (SEMI FINISHED)]]+4500</f>
        <v>48750</v>
      </c>
      <c r="AI316" s="232">
        <f>Table1[[#This Row],[UNIT (BUILDING) RATE (SEMI FINISHED)]]+7500</f>
        <v>51750</v>
      </c>
      <c r="AJ316" s="232">
        <f t="shared" si="46"/>
        <v>7522500</v>
      </c>
      <c r="AK316" s="232">
        <f>Table1[[#This Row],[UNIT (BUILDING) RATE (BASIC FINISH)]]*Table1[[#This Row],[Unit Selling Area]]</f>
        <v>8287500</v>
      </c>
      <c r="AL316" s="232">
        <f>Table1[[#This Row],[UNIT (BUILDING) RATE (FULLY FINISH)]]*Table1[[#This Row],[Unit Selling Area]]</f>
        <v>8797500</v>
      </c>
      <c r="AM316" s="232">
        <f t="shared" si="47"/>
        <v>0</v>
      </c>
      <c r="AN316" s="232">
        <f>(AM316+AJ316)*FACTS!$S$2</f>
        <v>639412.5</v>
      </c>
      <c r="AO316" s="101">
        <f>VLOOKUP(S316,FACTS!$A$17:$C$23,3,FALSE)</f>
        <v>2</v>
      </c>
      <c r="AP316" s="232">
        <f>VLOOKUP(AA316,FACTS!$B$2:$J$14,9,FALSE)</f>
        <v>200000</v>
      </c>
      <c r="AQ316" s="232">
        <f>Table1[[#This Row],[PARKING VALUE]]*1</f>
        <v>200000</v>
      </c>
      <c r="AR316" s="232">
        <f t="shared" si="42"/>
        <v>7722500</v>
      </c>
      <c r="AS316" s="440">
        <f>Table1[[#This Row],[TOTAL CARS VALUE]]+Table1[[#This Row],[UNIT (BUILDING) VALUE BASIC FINISHED]]+Table1[[#This Row],[UNIT (GARDEN) VALUE]]</f>
        <v>8487500</v>
      </c>
      <c r="AT316" s="232">
        <f>Table1[[#This Row],[TOTAL CARS VALUE]]+Table1[[#This Row],[UNIT (GARDEN) VALUE]]+Table1[[#This Row],[UNIT (BUILDING) VALUE FULLY FINISHED]]</f>
        <v>8997500</v>
      </c>
      <c r="AU316" s="233">
        <f>VLOOKUP(I316,'C PHASES'!$I$108:$J$110,2,FALSE)</f>
        <v>46204</v>
      </c>
      <c r="AV316" s="233">
        <f>VLOOKUP(AA316,'C PHASES'!$I$113:$J$125,2,FALSE)</f>
        <v>45170</v>
      </c>
    </row>
    <row r="317" spans="1:48" ht="18.75" customHeight="1" x14ac:dyDescent="0.25">
      <c r="A317" s="236" t="s">
        <v>33</v>
      </c>
      <c r="B317" s="227" t="str">
        <f t="shared" si="40"/>
        <v>B</v>
      </c>
      <c r="C317" s="227" t="s">
        <v>52</v>
      </c>
      <c r="D317" s="227" t="s">
        <v>1147</v>
      </c>
      <c r="E317" s="228">
        <v>0</v>
      </c>
      <c r="F317" s="101">
        <v>1</v>
      </c>
      <c r="G317" s="87" t="str">
        <f>LEFT(C317,2)&amp;E317&amp;F317</f>
        <v>B801</v>
      </c>
      <c r="H317" s="87" t="s">
        <v>1294</v>
      </c>
      <c r="I317" s="89" t="str">
        <f>VLOOKUP(C317,'PREMIUM TABLES'!$G$107:$H$149,2,FALSE)</f>
        <v>C2</v>
      </c>
      <c r="J317" s="89">
        <v>144.66300000000001</v>
      </c>
      <c r="K317" s="87">
        <v>160.29970969584483</v>
      </c>
      <c r="L317" s="87">
        <v>176</v>
      </c>
      <c r="M317" s="87">
        <v>84.046400000000006</v>
      </c>
      <c r="O317" s="87" t="s">
        <v>187</v>
      </c>
      <c r="P317" s="87" t="s">
        <v>226</v>
      </c>
      <c r="Q317" s="229" t="s">
        <v>197</v>
      </c>
      <c r="R317" s="87" t="str">
        <f>VLOOKUP(E317,'PREMIUM TABLES'!$F$214:$G$219,2,FALSE)</f>
        <v>GROUND</v>
      </c>
      <c r="S317" s="87" t="str" cm="1">
        <f t="array" ref="S317">IF(AND(L317&gt;0,L317&lt;90),"A",IF(AND(L317&gt;90,L317&lt;123),"B",IF(AND(L317&gt;122,L317&lt;159),"C",IF(AND(L317&gt;159,L317&lt;185),"D",IF(AND(L317&gt;185,L317&lt;230),"E",IF(AND(L317&gt;230,L317&lt;350),"F",NONE))))))</f>
        <v>D</v>
      </c>
      <c r="T317" s="230">
        <f>VLOOKUP(O317,'PREMIUM TABLES'!$G$165:$H$172,2,FALSE)</f>
        <v>0.08</v>
      </c>
      <c r="U317" s="230">
        <f>VLOOKUP(P317,'PREMIUM TABLES'!$G$208:$H$209,2,FALSE)</f>
        <v>0.05</v>
      </c>
      <c r="V317" s="230">
        <f>VLOOKUP(Q317,'PREMIUM TABLES'!$G$175:$H$195,2,FALSE)</f>
        <v>0.16</v>
      </c>
      <c r="W317" s="230">
        <f>VLOOKUP(R317,'PREMIUM TABLES'!$G$214:$H$219,2,FALSE)</f>
        <v>0.05</v>
      </c>
      <c r="X317" s="230">
        <f>VLOOKUP(S317,'PREMIUM TABLES'!$F$199:$H$205,3,FALSE)</f>
        <v>2.5000000000000001E-2</v>
      </c>
      <c r="Y317" s="231">
        <f t="shared" si="43"/>
        <v>0.36500000000000005</v>
      </c>
      <c r="Z317" s="231" t="str" cm="1">
        <f t="array" ref="Z317">IF(AND(Y317&gt;0,Y317&lt;0.5),"C",IF(AND(Y317&gt;=0.5,Y317&lt;0.73),"B",IF(AND(Y317&gt;=0.73,Y317&lt;0.98),"A",NONE)))</f>
        <v>C</v>
      </c>
      <c r="AA317" s="231" t="str">
        <f>VLOOKUP(G317,'ALL (R)'!$N$5:$R$862,5,FALSE)</f>
        <v>R 2</v>
      </c>
      <c r="AB317" s="232">
        <f>VLOOKUP(AA317,FACTS!$B$2:$L$14,10,FALSE)</f>
        <v>43562.499999999993</v>
      </c>
      <c r="AC317" s="232">
        <f>VLOOKUP(AA317,FACTS!$B$2:$L$14,11,FALSE)</f>
        <v>48687.499999999993</v>
      </c>
      <c r="AD317" s="232">
        <f>VLOOKUP(AA317,FACTS!$B$2:$N$14,13,FALSE)</f>
        <v>5125</v>
      </c>
      <c r="AE317" s="232">
        <f t="shared" si="44"/>
        <v>1870.6250000000002</v>
      </c>
      <c r="AF317" s="232">
        <f t="shared" si="45"/>
        <v>45433.124999999993</v>
      </c>
      <c r="AG317" s="232">
        <f>AF317*FACTS!$T$2</f>
        <v>14992.931249999998</v>
      </c>
      <c r="AH317" s="232">
        <f>Table1[[#This Row],[UNIT (BUILDING) RATE (SEMI FINISHED)]]+4500</f>
        <v>49933.124999999993</v>
      </c>
      <c r="AI317" s="232">
        <f>Table1[[#This Row],[UNIT (BUILDING) RATE (SEMI FINISHED)]]+7500</f>
        <v>52933.124999999993</v>
      </c>
      <c r="AJ317" s="232">
        <f t="shared" si="46"/>
        <v>7996229.9999999991</v>
      </c>
      <c r="AK317" s="232">
        <f>Table1[[#This Row],[UNIT (BUILDING) RATE (BASIC FINISH)]]*Table1[[#This Row],[Unit Selling Area]]</f>
        <v>8788229.9999999981</v>
      </c>
      <c r="AL317" s="232">
        <f>Table1[[#This Row],[UNIT (BUILDING) RATE (FULLY FINISH)]]*Table1[[#This Row],[Unit Selling Area]]</f>
        <v>9316229.9999999981</v>
      </c>
      <c r="AM317" s="232">
        <f t="shared" si="47"/>
        <v>1260101.89701</v>
      </c>
      <c r="AN317" s="232">
        <f>(AM317+AJ317)*FACTS!$S$2</f>
        <v>786788.21124584996</v>
      </c>
      <c r="AO317" s="101">
        <f>VLOOKUP(S317,FACTS!$A$17:$C$23,3,FALSE)</f>
        <v>2</v>
      </c>
      <c r="AP317" s="232">
        <f>VLOOKUP(AA317,FACTS!$B$2:$J$14,9,FALSE)</f>
        <v>204999.99999999997</v>
      </c>
      <c r="AQ317" s="232">
        <f>Table1[[#This Row],[PARKING VALUE]]*1</f>
        <v>204999.99999999997</v>
      </c>
      <c r="AR317" s="232">
        <f t="shared" si="42"/>
        <v>9461331.8970099986</v>
      </c>
      <c r="AS317" s="440">
        <f>Table1[[#This Row],[TOTAL CARS VALUE]]+Table1[[#This Row],[UNIT (BUILDING) VALUE BASIC FINISHED]]+Table1[[#This Row],[UNIT (GARDEN) VALUE]]</f>
        <v>10253331.897009999</v>
      </c>
      <c r="AT317" s="232">
        <f>Table1[[#This Row],[TOTAL CARS VALUE]]+Table1[[#This Row],[UNIT (GARDEN) VALUE]]+Table1[[#This Row],[UNIT (BUILDING) VALUE FULLY FINISHED]]</f>
        <v>10781331.897009999</v>
      </c>
      <c r="AU317" s="233">
        <f>VLOOKUP(I317,'C PHASES'!$I$108:$J$110,2,FALSE)</f>
        <v>46204</v>
      </c>
      <c r="AV317" s="233">
        <f>VLOOKUP(AA317,'C PHASES'!$I$113:$J$125,2,FALSE)</f>
        <v>45292</v>
      </c>
    </row>
    <row r="318" spans="1:48" x14ac:dyDescent="0.25">
      <c r="A318" s="236"/>
      <c r="B318" s="227" t="str">
        <f t="shared" si="40"/>
        <v>B</v>
      </c>
      <c r="C318" s="227" t="s">
        <v>52</v>
      </c>
      <c r="D318" s="227" t="s">
        <v>1147</v>
      </c>
      <c r="E318" s="228">
        <v>0</v>
      </c>
      <c r="F318" s="101">
        <v>2</v>
      </c>
      <c r="G318" s="87" t="str">
        <f t="shared" ref="G318:G336" si="50">LEFT(C318,2)&amp;E318&amp;F318</f>
        <v>B802</v>
      </c>
      <c r="H318" s="87" t="s">
        <v>1295</v>
      </c>
      <c r="I318" s="89" t="str">
        <f>VLOOKUP(C318,'PREMIUM TABLES'!$G$107:$H$149,2,FALSE)</f>
        <v>C2</v>
      </c>
      <c r="J318" s="89">
        <v>183.887</v>
      </c>
      <c r="K318" s="87">
        <v>203.76345518093646</v>
      </c>
      <c r="L318" s="87">
        <v>224</v>
      </c>
      <c r="M318" s="87">
        <v>61.522199999999998</v>
      </c>
      <c r="O318" s="87" t="s">
        <v>180</v>
      </c>
      <c r="P318" s="87" t="s">
        <v>226</v>
      </c>
      <c r="Q318" s="229" t="s">
        <v>210</v>
      </c>
      <c r="R318" s="87" t="str">
        <f>VLOOKUP(E318,'PREMIUM TABLES'!$F$214:$G$219,2,FALSE)</f>
        <v>GROUND</v>
      </c>
      <c r="S318" s="87" t="str" cm="1">
        <f t="array" ref="S318">IF(AND(L318&gt;0,L318&lt;90),"A",IF(AND(L318&gt;90,L318&lt;123),"B",IF(AND(L318&gt;122,L318&lt;159),"C",IF(AND(L318&gt;159,L318&lt;185),"D",IF(AND(L318&gt;185,L318&lt;230),"E",IF(AND(L318&gt;230,L318&lt;350),"F",NONE))))))</f>
        <v>E</v>
      </c>
      <c r="T318" s="230">
        <f>VLOOKUP(O318,'PREMIUM TABLES'!$G$165:$H$172,2,FALSE)</f>
        <v>0.13</v>
      </c>
      <c r="U318" s="230">
        <f>VLOOKUP(P318,'PREMIUM TABLES'!$G$208:$H$209,2,FALSE)</f>
        <v>0.05</v>
      </c>
      <c r="V318" s="230">
        <f>VLOOKUP(Q318,'PREMIUM TABLES'!$G$175:$H$195,2,FALSE)</f>
        <v>0.53</v>
      </c>
      <c r="W318" s="230">
        <f>VLOOKUP(R318,'PREMIUM TABLES'!$G$214:$H$219,2,FALSE)</f>
        <v>0.05</v>
      </c>
      <c r="X318" s="230">
        <f>VLOOKUP(S318,'PREMIUM TABLES'!$F$199:$H$205,3,FALSE)</f>
        <v>1.4999999999999999E-2</v>
      </c>
      <c r="Y318" s="231">
        <f t="shared" si="43"/>
        <v>0.77500000000000002</v>
      </c>
      <c r="Z318" s="231" t="str" cm="1">
        <f t="array" ref="Z318">IF(AND(Y318&gt;0,Y318&lt;0.5),"C",IF(AND(Y318&gt;=0.5,Y318&lt;0.73),"B",IF(AND(Y318&gt;=0.73,Y318&lt;0.98),"A",NONE)))</f>
        <v>A</v>
      </c>
      <c r="AA318" s="231" t="str">
        <f>VLOOKUP(G318,'ALL (R)'!$N$5:$R$862,5,FALSE)</f>
        <v>R 4</v>
      </c>
      <c r="AB318" s="232">
        <f>VLOOKUP(AA318,FACTS!$B$2:$L$14,10,FALSE)</f>
        <v>45687.5</v>
      </c>
      <c r="AC318" s="232">
        <f>VLOOKUP(AA318,FACTS!$B$2:$L$14,11,FALSE)</f>
        <v>51062.5</v>
      </c>
      <c r="AD318" s="232">
        <f>VLOOKUP(AA318,FACTS!$B$2:$N$14,13,FALSE)</f>
        <v>5375</v>
      </c>
      <c r="AE318" s="232">
        <f t="shared" si="44"/>
        <v>4165.625</v>
      </c>
      <c r="AF318" s="232">
        <f t="shared" si="45"/>
        <v>49853.125</v>
      </c>
      <c r="AG318" s="232">
        <f>AF318*FACTS!$T$2</f>
        <v>16451.53125</v>
      </c>
      <c r="AH318" s="232">
        <f>Table1[[#This Row],[UNIT (BUILDING) RATE (SEMI FINISHED)]]+4500</f>
        <v>54353.125</v>
      </c>
      <c r="AI318" s="232">
        <f>Table1[[#This Row],[UNIT (BUILDING) RATE (SEMI FINISHED)]]+7500</f>
        <v>57353.125</v>
      </c>
      <c r="AJ318" s="232">
        <f t="shared" si="46"/>
        <v>11167100</v>
      </c>
      <c r="AK318" s="232">
        <f>Table1[[#This Row],[UNIT (BUILDING) RATE (BASIC FINISH)]]*Table1[[#This Row],[Unit Selling Area]]</f>
        <v>12175100</v>
      </c>
      <c r="AL318" s="232">
        <f>Table1[[#This Row],[UNIT (BUILDING) RATE (FULLY FINISH)]]*Table1[[#This Row],[Unit Selling Area]]</f>
        <v>12847100</v>
      </c>
      <c r="AM318" s="232">
        <f t="shared" si="47"/>
        <v>1012134.3958687499</v>
      </c>
      <c r="AN318" s="232">
        <f>(AM318+AJ318)*FACTS!$S$2</f>
        <v>1035234.9236488439</v>
      </c>
      <c r="AO318" s="101">
        <f>VLOOKUP(S318,FACTS!$A$17:$C$23,3,FALSE)</f>
        <v>2</v>
      </c>
      <c r="AP318" s="232">
        <f>VLOOKUP(AA318,FACTS!$B$2:$J$14,9,FALSE)</f>
        <v>215000</v>
      </c>
      <c r="AQ318" s="232">
        <f>Table1[[#This Row],[PARKING VALUE]]*1</f>
        <v>215000</v>
      </c>
      <c r="AR318" s="232">
        <f t="shared" si="42"/>
        <v>12394234.39586875</v>
      </c>
      <c r="AS318" s="440">
        <f>Table1[[#This Row],[TOTAL CARS VALUE]]+Table1[[#This Row],[UNIT (BUILDING) VALUE BASIC FINISHED]]+Table1[[#This Row],[UNIT (GARDEN) VALUE]]</f>
        <v>13402234.39586875</v>
      </c>
      <c r="AT318" s="232">
        <f>Table1[[#This Row],[TOTAL CARS VALUE]]+Table1[[#This Row],[UNIT (GARDEN) VALUE]]+Table1[[#This Row],[UNIT (BUILDING) VALUE FULLY FINISHED]]</f>
        <v>14074234.39586875</v>
      </c>
      <c r="AU318" s="233">
        <f>VLOOKUP(I318,'C PHASES'!$I$108:$J$110,2,FALSE)</f>
        <v>46204</v>
      </c>
      <c r="AV318" s="233">
        <f>VLOOKUP(AA318,'C PHASES'!$I$113:$J$125,2,FALSE)</f>
        <v>45474</v>
      </c>
    </row>
    <row r="319" spans="1:48" x14ac:dyDescent="0.25">
      <c r="A319" s="236"/>
      <c r="B319" s="227" t="str">
        <f t="shared" si="40"/>
        <v>B</v>
      </c>
      <c r="C319" s="227" t="s">
        <v>52</v>
      </c>
      <c r="D319" s="227" t="s">
        <v>1147</v>
      </c>
      <c r="E319" s="228">
        <v>0</v>
      </c>
      <c r="F319" s="101">
        <v>3</v>
      </c>
      <c r="G319" s="87" t="str">
        <f t="shared" si="50"/>
        <v>B803</v>
      </c>
      <c r="H319" s="87" t="s">
        <v>1294</v>
      </c>
      <c r="I319" s="89" t="str">
        <f>VLOOKUP(C319,'PREMIUM TABLES'!$G$107:$H$149,2,FALSE)</f>
        <v>C2</v>
      </c>
      <c r="J319" s="89">
        <v>162.78100000000001</v>
      </c>
      <c r="K319" s="87">
        <v>180.37609508996297</v>
      </c>
      <c r="L319" s="87">
        <v>199</v>
      </c>
      <c r="M319" s="87">
        <v>77.576999999999998</v>
      </c>
      <c r="O319" s="87" t="s">
        <v>180</v>
      </c>
      <c r="P319" s="87" t="s">
        <v>190</v>
      </c>
      <c r="Q319" s="229" t="s">
        <v>210</v>
      </c>
      <c r="R319" s="87" t="str">
        <f>VLOOKUP(E319,'PREMIUM TABLES'!$F$214:$G$219,2,FALSE)</f>
        <v>GROUND</v>
      </c>
      <c r="S319" s="87" t="str" cm="1">
        <f t="array" ref="S319">IF(AND(L319&gt;0,L319&lt;90),"A",IF(AND(L319&gt;90,L319&lt;123),"B",IF(AND(L319&gt;122,L319&lt;159),"C",IF(AND(L319&gt;159,L319&lt;185),"D",IF(AND(L319&gt;185,L319&lt;230),"E",IF(AND(L319&gt;230,L319&lt;350),"F",NONE))))))</f>
        <v>E</v>
      </c>
      <c r="T319" s="230">
        <f>VLOOKUP(O319,'PREMIUM TABLES'!$G$165:$H$172,2,FALSE)</f>
        <v>0.13</v>
      </c>
      <c r="U319" s="230">
        <f>VLOOKUP(P319,'PREMIUM TABLES'!$G$208:$H$209,2,FALSE)</f>
        <v>2.5000000000000001E-2</v>
      </c>
      <c r="V319" s="230">
        <f>VLOOKUP(Q319,'PREMIUM TABLES'!$G$175:$H$195,2,FALSE)</f>
        <v>0.53</v>
      </c>
      <c r="W319" s="230">
        <f>VLOOKUP(R319,'PREMIUM TABLES'!$G$214:$H$219,2,FALSE)</f>
        <v>0.05</v>
      </c>
      <c r="X319" s="230">
        <f>VLOOKUP(S319,'PREMIUM TABLES'!$F$199:$H$205,3,FALSE)</f>
        <v>1.4999999999999999E-2</v>
      </c>
      <c r="Y319" s="231">
        <f t="shared" si="43"/>
        <v>0.75000000000000011</v>
      </c>
      <c r="Z319" s="231" t="str" cm="1">
        <f t="array" ref="Z319">IF(AND(Y319&gt;0,Y319&lt;0.5),"C",IF(AND(Y319&gt;=0.5,Y319&lt;0.73),"B",IF(AND(Y319&gt;=0.73,Y319&lt;0.98),"A",NONE)))</f>
        <v>A</v>
      </c>
      <c r="AA319" s="231" t="str">
        <f>VLOOKUP(G319,'ALL (R)'!$N$5:$R$862,5,FALSE)</f>
        <v>R 2</v>
      </c>
      <c r="AB319" s="232">
        <f>VLOOKUP(AA319,FACTS!$B$2:$L$14,10,FALSE)</f>
        <v>43562.499999999993</v>
      </c>
      <c r="AC319" s="232">
        <f>VLOOKUP(AA319,FACTS!$B$2:$L$14,11,FALSE)</f>
        <v>48687.499999999993</v>
      </c>
      <c r="AD319" s="232">
        <f>VLOOKUP(AA319,FACTS!$B$2:$N$14,13,FALSE)</f>
        <v>5125</v>
      </c>
      <c r="AE319" s="232">
        <f t="shared" si="44"/>
        <v>3843.7500000000005</v>
      </c>
      <c r="AF319" s="232">
        <f t="shared" si="45"/>
        <v>47406.249999999993</v>
      </c>
      <c r="AG319" s="232">
        <f>AF319*FACTS!$T$2</f>
        <v>15644.062499999998</v>
      </c>
      <c r="AH319" s="232">
        <f>Table1[[#This Row],[UNIT (BUILDING) RATE (SEMI FINISHED)]]+4500</f>
        <v>51906.249999999993</v>
      </c>
      <c r="AI319" s="232">
        <f>Table1[[#This Row],[UNIT (BUILDING) RATE (SEMI FINISHED)]]+7500</f>
        <v>54906.249999999993</v>
      </c>
      <c r="AJ319" s="232">
        <f t="shared" si="46"/>
        <v>9433843.7499999981</v>
      </c>
      <c r="AK319" s="232">
        <f>Table1[[#This Row],[UNIT (BUILDING) RATE (BASIC FINISH)]]*Table1[[#This Row],[Unit Selling Area]]</f>
        <v>10329343.749999998</v>
      </c>
      <c r="AL319" s="232">
        <f>Table1[[#This Row],[UNIT (BUILDING) RATE (FULLY FINISH)]]*Table1[[#This Row],[Unit Selling Area]]</f>
        <v>10926343.749999998</v>
      </c>
      <c r="AM319" s="232">
        <f t="shared" si="47"/>
        <v>1213619.4365624997</v>
      </c>
      <c r="AN319" s="232">
        <f>(AM319+AJ319)*FACTS!$S$2</f>
        <v>905034.37085781235</v>
      </c>
      <c r="AO319" s="101">
        <f>VLOOKUP(S319,FACTS!$A$17:$C$23,3,FALSE)</f>
        <v>2</v>
      </c>
      <c r="AP319" s="232">
        <f>VLOOKUP(AA319,FACTS!$B$2:$J$14,9,FALSE)</f>
        <v>204999.99999999997</v>
      </c>
      <c r="AQ319" s="232">
        <f>Table1[[#This Row],[PARKING VALUE]]*1</f>
        <v>204999.99999999997</v>
      </c>
      <c r="AR319" s="232">
        <f t="shared" si="42"/>
        <v>10852463.186562497</v>
      </c>
      <c r="AS319" s="440">
        <f>Table1[[#This Row],[TOTAL CARS VALUE]]+Table1[[#This Row],[UNIT (BUILDING) VALUE BASIC FINISHED]]+Table1[[#This Row],[UNIT (GARDEN) VALUE]]</f>
        <v>11747963.186562497</v>
      </c>
      <c r="AT319" s="232">
        <f>Table1[[#This Row],[TOTAL CARS VALUE]]+Table1[[#This Row],[UNIT (GARDEN) VALUE]]+Table1[[#This Row],[UNIT (BUILDING) VALUE FULLY FINISHED]]</f>
        <v>12344963.186562497</v>
      </c>
      <c r="AU319" s="233">
        <f>VLOOKUP(I319,'C PHASES'!$I$108:$J$110,2,FALSE)</f>
        <v>46204</v>
      </c>
      <c r="AV319" s="233">
        <f>VLOOKUP(AA319,'C PHASES'!$I$113:$J$125,2,FALSE)</f>
        <v>45292</v>
      </c>
    </row>
    <row r="320" spans="1:48" x14ac:dyDescent="0.25">
      <c r="A320" s="236"/>
      <c r="B320" s="227" t="str">
        <f t="shared" si="40"/>
        <v>B</v>
      </c>
      <c r="C320" s="227" t="s">
        <v>52</v>
      </c>
      <c r="D320" s="227" t="s">
        <v>1147</v>
      </c>
      <c r="E320" s="228">
        <v>0</v>
      </c>
      <c r="F320" s="101">
        <v>4</v>
      </c>
      <c r="G320" s="87" t="str">
        <f t="shared" si="50"/>
        <v>B804</v>
      </c>
      <c r="H320" s="87" t="s">
        <v>1293</v>
      </c>
      <c r="I320" s="89" t="str">
        <f>VLOOKUP(C320,'PREMIUM TABLES'!$G$107:$H$149,2,FALSE)</f>
        <v>C2</v>
      </c>
      <c r="J320" s="89">
        <v>95.213999999999999</v>
      </c>
      <c r="K320" s="87">
        <v>105.50573788031609</v>
      </c>
      <c r="L320" s="87">
        <v>116</v>
      </c>
      <c r="M320" s="87">
        <v>63.702300000000001</v>
      </c>
      <c r="O320" s="87" t="s">
        <v>187</v>
      </c>
      <c r="P320" s="87" t="s">
        <v>190</v>
      </c>
      <c r="Q320" s="229" t="s">
        <v>197</v>
      </c>
      <c r="R320" s="87" t="str">
        <f>VLOOKUP(E320,'PREMIUM TABLES'!$F$214:$G$219,2,FALSE)</f>
        <v>GROUND</v>
      </c>
      <c r="S320" s="87" t="str" cm="1">
        <f t="array" ref="S320">IF(AND(L320&gt;0,L320&lt;90),"A",IF(AND(L320&gt;90,L320&lt;123),"B",IF(AND(L320&gt;122,L320&lt;159),"C",IF(AND(L320&gt;159,L320&lt;185),"D",IF(AND(L320&gt;185,L320&lt;230),"E",IF(AND(L320&gt;230,L320&lt;350),"F",NONE))))))</f>
        <v>B</v>
      </c>
      <c r="T320" s="230">
        <f>VLOOKUP(O320,'PREMIUM TABLES'!$G$165:$H$172,2,FALSE)</f>
        <v>0.08</v>
      </c>
      <c r="U320" s="230">
        <f>VLOOKUP(P320,'PREMIUM TABLES'!$G$208:$H$209,2,FALSE)</f>
        <v>2.5000000000000001E-2</v>
      </c>
      <c r="V320" s="230">
        <f>VLOOKUP(Q320,'PREMIUM TABLES'!$G$175:$H$195,2,FALSE)</f>
        <v>0.16</v>
      </c>
      <c r="W320" s="230">
        <f>VLOOKUP(R320,'PREMIUM TABLES'!$G$214:$H$219,2,FALSE)</f>
        <v>0.05</v>
      </c>
      <c r="X320" s="230">
        <f>VLOOKUP(S320,'PREMIUM TABLES'!$F$199:$H$205,3,FALSE)</f>
        <v>0.04</v>
      </c>
      <c r="Y320" s="231">
        <f t="shared" si="43"/>
        <v>0.35499999999999998</v>
      </c>
      <c r="Z320" s="231" t="str" cm="1">
        <f t="array" ref="Z320">IF(AND(Y320&gt;0,Y320&lt;0.5),"C",IF(AND(Y320&gt;=0.5,Y320&lt;0.73),"B",IF(AND(Y320&gt;=0.73,Y320&lt;0.98),"A",NONE)))</f>
        <v>C</v>
      </c>
      <c r="AA320" s="231" t="str">
        <f>VLOOKUP(G320,'ALL (R)'!$N$5:$R$862,5,FALSE)</f>
        <v>R 1</v>
      </c>
      <c r="AB320" s="232">
        <f>VLOOKUP(AA320,FACTS!$B$2:$L$14,10,FALSE)</f>
        <v>42500</v>
      </c>
      <c r="AC320" s="232">
        <f>VLOOKUP(AA320,FACTS!$B$2:$L$14,11,FALSE)</f>
        <v>47500</v>
      </c>
      <c r="AD320" s="232">
        <f>VLOOKUP(AA320,FACTS!$B$2:$N$14,13,FALSE)</f>
        <v>5000</v>
      </c>
      <c r="AE320" s="232">
        <f t="shared" si="44"/>
        <v>1775</v>
      </c>
      <c r="AF320" s="232">
        <f t="shared" si="45"/>
        <v>44275</v>
      </c>
      <c r="AG320" s="232">
        <f>AF320*FACTS!$T$2</f>
        <v>14610.75</v>
      </c>
      <c r="AH320" s="232">
        <f>Table1[[#This Row],[UNIT (BUILDING) RATE (SEMI FINISHED)]]+4500</f>
        <v>48775</v>
      </c>
      <c r="AI320" s="232">
        <f>Table1[[#This Row],[UNIT (BUILDING) RATE (SEMI FINISHED)]]+7500</f>
        <v>51775</v>
      </c>
      <c r="AJ320" s="232">
        <f t="shared" si="46"/>
        <v>5135900</v>
      </c>
      <c r="AK320" s="232">
        <f>Table1[[#This Row],[UNIT (BUILDING) RATE (BASIC FINISH)]]*Table1[[#This Row],[Unit Selling Area]]</f>
        <v>5657900</v>
      </c>
      <c r="AL320" s="232">
        <f>Table1[[#This Row],[UNIT (BUILDING) RATE (FULLY FINISH)]]*Table1[[#This Row],[Unit Selling Area]]</f>
        <v>6005900</v>
      </c>
      <c r="AM320" s="232">
        <f t="shared" si="47"/>
        <v>930738.37972500001</v>
      </c>
      <c r="AN320" s="232">
        <f>(AM320+AJ320)*FACTS!$S$2</f>
        <v>515664.26227662503</v>
      </c>
      <c r="AO320" s="101">
        <f>VLOOKUP(S320,FACTS!$A$17:$C$23,3,FALSE)</f>
        <v>1</v>
      </c>
      <c r="AP320" s="232">
        <f>VLOOKUP(AA320,FACTS!$B$2:$J$14,9,FALSE)</f>
        <v>200000</v>
      </c>
      <c r="AQ320" s="232">
        <f>Table1[[#This Row],[PARKING VALUE]]*1</f>
        <v>200000</v>
      </c>
      <c r="AR320" s="232">
        <f t="shared" si="42"/>
        <v>6266638.3797249999</v>
      </c>
      <c r="AS320" s="440">
        <f>Table1[[#This Row],[TOTAL CARS VALUE]]+Table1[[#This Row],[UNIT (BUILDING) VALUE BASIC FINISHED]]+Table1[[#This Row],[UNIT (GARDEN) VALUE]]</f>
        <v>6788638.3797249999</v>
      </c>
      <c r="AT320" s="232">
        <f>Table1[[#This Row],[TOTAL CARS VALUE]]+Table1[[#This Row],[UNIT (GARDEN) VALUE]]+Table1[[#This Row],[UNIT (BUILDING) VALUE FULLY FINISHED]]</f>
        <v>7136638.3797249999</v>
      </c>
      <c r="AU320" s="233">
        <f>VLOOKUP(I320,'C PHASES'!$I$108:$J$110,2,FALSE)</f>
        <v>46204</v>
      </c>
      <c r="AV320" s="233">
        <f>VLOOKUP(AA320,'C PHASES'!$I$113:$J$125,2,FALSE)</f>
        <v>45170</v>
      </c>
    </row>
    <row r="321" spans="1:48" ht="26.25" customHeight="1" x14ac:dyDescent="0.25">
      <c r="A321" s="236"/>
      <c r="B321" s="227" t="str">
        <f t="shared" si="40"/>
        <v>B</v>
      </c>
      <c r="C321" s="227" t="s">
        <v>52</v>
      </c>
      <c r="D321" s="227" t="s">
        <v>1147</v>
      </c>
      <c r="E321" s="228">
        <v>1</v>
      </c>
      <c r="F321" s="101">
        <v>1</v>
      </c>
      <c r="G321" s="87" t="str">
        <f t="shared" si="50"/>
        <v>B811</v>
      </c>
      <c r="H321" s="87" t="s">
        <v>1294</v>
      </c>
      <c r="I321" s="89" t="str">
        <f>VLOOKUP(C321,'PREMIUM TABLES'!$G$107:$H$149,2,FALSE)</f>
        <v>C2</v>
      </c>
      <c r="J321" s="89">
        <v>141.66300000000001</v>
      </c>
      <c r="K321" s="87">
        <v>156.9754379118535</v>
      </c>
      <c r="L321" s="87">
        <v>173</v>
      </c>
      <c r="M321" s="89"/>
      <c r="N321" s="89"/>
      <c r="O321" s="87" t="s">
        <v>187</v>
      </c>
      <c r="P321" s="87" t="s">
        <v>226</v>
      </c>
      <c r="Q321" s="229" t="s">
        <v>197</v>
      </c>
      <c r="R321" s="87" t="str">
        <f>VLOOKUP(E321,'PREMIUM TABLES'!$F$214:$G$219,2,FALSE)</f>
        <v>FIRST</v>
      </c>
      <c r="S321" s="87" t="str" cm="1">
        <f t="array" ref="S321">IF(AND(L321&gt;0,L321&lt;90),"A",IF(AND(L321&gt;90,L321&lt;123),"B",IF(AND(L321&gt;122,L321&lt;159),"C",IF(AND(L321&gt;159,L321&lt;185),"D",IF(AND(L321&gt;185,L321&lt;230),"E",IF(AND(L321&gt;230,L321&lt;350),"F",NONE))))))</f>
        <v>D</v>
      </c>
      <c r="T321" s="230">
        <f>VLOOKUP(O321,'PREMIUM TABLES'!$G$165:$H$172,2,FALSE)</f>
        <v>0.08</v>
      </c>
      <c r="U321" s="230">
        <f>VLOOKUP(P321,'PREMIUM TABLES'!$G$208:$H$209,2,FALSE)</f>
        <v>0.05</v>
      </c>
      <c r="V321" s="230">
        <f>VLOOKUP(Q321,'PREMIUM TABLES'!$G$175:$H$195,2,FALSE)</f>
        <v>0.16</v>
      </c>
      <c r="W321" s="230">
        <f>VLOOKUP(R321,'PREMIUM TABLES'!$G$214:$H$219,2,FALSE)</f>
        <v>7.0000000000000007E-2</v>
      </c>
      <c r="X321" s="230">
        <f>VLOOKUP(S321,'PREMIUM TABLES'!$F$199:$H$205,3,FALSE)</f>
        <v>2.5000000000000001E-2</v>
      </c>
      <c r="Y321" s="231">
        <f t="shared" si="43"/>
        <v>0.38500000000000006</v>
      </c>
      <c r="Z321" s="231" t="str" cm="1">
        <f t="array" ref="Z321">IF(AND(Y321&gt;0,Y321&lt;0.5),"C",IF(AND(Y321&gt;=0.5,Y321&lt;0.73),"B",IF(AND(Y321&gt;=0.73,Y321&lt;0.98),"A",NONE)))</f>
        <v>C</v>
      </c>
      <c r="AA321" s="231" t="str">
        <f>VLOOKUP(G321,'ALL (R)'!$N$5:$R$862,5,FALSE)</f>
        <v>R 4</v>
      </c>
      <c r="AB321" s="232">
        <f>VLOOKUP(AA321,FACTS!$B$2:$L$14,10,FALSE)</f>
        <v>45687.5</v>
      </c>
      <c r="AC321" s="232">
        <f>VLOOKUP(AA321,FACTS!$B$2:$L$14,11,FALSE)</f>
        <v>51062.5</v>
      </c>
      <c r="AD321" s="232">
        <f>VLOOKUP(AA321,FACTS!$B$2:$N$14,13,FALSE)</f>
        <v>5375</v>
      </c>
      <c r="AE321" s="232">
        <f t="shared" si="44"/>
        <v>2069.3750000000005</v>
      </c>
      <c r="AF321" s="232">
        <f t="shared" si="45"/>
        <v>47756.875</v>
      </c>
      <c r="AG321" s="232">
        <f>AF321*FACTS!$T$2</f>
        <v>15759.768750000001</v>
      </c>
      <c r="AH321" s="232">
        <f>Table1[[#This Row],[UNIT (BUILDING) RATE (SEMI FINISHED)]]+4500</f>
        <v>52256.875</v>
      </c>
      <c r="AI321" s="232">
        <f>Table1[[#This Row],[UNIT (BUILDING) RATE (SEMI FINISHED)]]+7500</f>
        <v>55256.875</v>
      </c>
      <c r="AJ321" s="232">
        <f t="shared" si="46"/>
        <v>8261939.375</v>
      </c>
      <c r="AK321" s="232">
        <f>Table1[[#This Row],[UNIT (BUILDING) RATE (BASIC FINISH)]]*Table1[[#This Row],[Unit Selling Area]]</f>
        <v>9040439.375</v>
      </c>
      <c r="AL321" s="232">
        <f>Table1[[#This Row],[UNIT (BUILDING) RATE (FULLY FINISH)]]*Table1[[#This Row],[Unit Selling Area]]</f>
        <v>9559439.375</v>
      </c>
      <c r="AM321" s="232">
        <f t="shared" si="47"/>
        <v>0</v>
      </c>
      <c r="AN321" s="232">
        <f>(AM321+AJ321)*FACTS!$S$2</f>
        <v>702264.84687500005</v>
      </c>
      <c r="AO321" s="101">
        <f>VLOOKUP(S321,FACTS!$A$17:$C$23,3,FALSE)</f>
        <v>2</v>
      </c>
      <c r="AP321" s="232">
        <f>VLOOKUP(AA321,FACTS!$B$2:$J$14,9,FALSE)</f>
        <v>215000</v>
      </c>
      <c r="AQ321" s="232">
        <f>Table1[[#This Row],[PARKING VALUE]]*1</f>
        <v>215000</v>
      </c>
      <c r="AR321" s="232">
        <f t="shared" si="42"/>
        <v>8476939.375</v>
      </c>
      <c r="AS321" s="440">
        <f>Table1[[#This Row],[TOTAL CARS VALUE]]+Table1[[#This Row],[UNIT (BUILDING) VALUE BASIC FINISHED]]+Table1[[#This Row],[UNIT (GARDEN) VALUE]]</f>
        <v>9255439.375</v>
      </c>
      <c r="AT321" s="232">
        <f>Table1[[#This Row],[TOTAL CARS VALUE]]+Table1[[#This Row],[UNIT (GARDEN) VALUE]]+Table1[[#This Row],[UNIT (BUILDING) VALUE FULLY FINISHED]]</f>
        <v>9774439.375</v>
      </c>
      <c r="AU321" s="233">
        <f>VLOOKUP(I321,'C PHASES'!$I$108:$J$110,2,FALSE)</f>
        <v>46204</v>
      </c>
      <c r="AV321" s="233">
        <f>VLOOKUP(AA321,'C PHASES'!$I$113:$J$125,2,FALSE)</f>
        <v>45474</v>
      </c>
    </row>
    <row r="322" spans="1:48" ht="26.25" customHeight="1" x14ac:dyDescent="0.25">
      <c r="A322" s="236"/>
      <c r="B322" s="227" t="str">
        <f t="shared" ref="B322:B383" si="51">LEFT(C322,1)</f>
        <v>B</v>
      </c>
      <c r="C322" s="227" t="s">
        <v>52</v>
      </c>
      <c r="D322" s="227" t="s">
        <v>1147</v>
      </c>
      <c r="E322" s="228">
        <v>1</v>
      </c>
      <c r="F322" s="101">
        <v>2</v>
      </c>
      <c r="G322" s="87" t="str">
        <f t="shared" si="50"/>
        <v>B812</v>
      </c>
      <c r="H322" s="87" t="s">
        <v>1295</v>
      </c>
      <c r="I322" s="89" t="str">
        <f>VLOOKUP(C322,'PREMIUM TABLES'!$G$107:$H$149,2,FALSE)</f>
        <v>C2</v>
      </c>
      <c r="J322" s="89">
        <v>183.637</v>
      </c>
      <c r="K322" s="87">
        <v>203.48643253227053</v>
      </c>
      <c r="L322" s="87">
        <v>224</v>
      </c>
      <c r="M322" s="89"/>
      <c r="N322" s="89"/>
      <c r="O322" s="87" t="s">
        <v>180</v>
      </c>
      <c r="P322" s="87" t="s">
        <v>226</v>
      </c>
      <c r="Q322" s="229" t="s">
        <v>210</v>
      </c>
      <c r="R322" s="87" t="str">
        <f>VLOOKUP(E322,'PREMIUM TABLES'!$F$214:$G$219,2,FALSE)</f>
        <v>FIRST</v>
      </c>
      <c r="S322" s="87" t="str" cm="1">
        <f t="array" ref="S322">IF(AND(L322&gt;0,L322&lt;90),"A",IF(AND(L322&gt;90,L322&lt;123),"B",IF(AND(L322&gt;122,L322&lt;159),"C",IF(AND(L322&gt;159,L322&lt;185),"D",IF(AND(L322&gt;185,L322&lt;230),"E",IF(AND(L322&gt;230,L322&lt;350),"F",NONE))))))</f>
        <v>E</v>
      </c>
      <c r="T322" s="230">
        <f>VLOOKUP(O322,'PREMIUM TABLES'!$G$165:$H$172,2,FALSE)</f>
        <v>0.13</v>
      </c>
      <c r="U322" s="230">
        <f>VLOOKUP(P322,'PREMIUM TABLES'!$G$208:$H$209,2,FALSE)</f>
        <v>0.05</v>
      </c>
      <c r="V322" s="230">
        <f>VLOOKUP(Q322,'PREMIUM TABLES'!$G$175:$H$195,2,FALSE)</f>
        <v>0.53</v>
      </c>
      <c r="W322" s="230">
        <f>VLOOKUP(R322,'PREMIUM TABLES'!$G$214:$H$219,2,FALSE)</f>
        <v>7.0000000000000007E-2</v>
      </c>
      <c r="X322" s="230">
        <f>VLOOKUP(S322,'PREMIUM TABLES'!$F$199:$H$205,3,FALSE)</f>
        <v>1.4999999999999999E-2</v>
      </c>
      <c r="Y322" s="231">
        <f t="shared" si="43"/>
        <v>0.79500000000000004</v>
      </c>
      <c r="Z322" s="231" t="str" cm="1">
        <f t="array" ref="Z322">IF(AND(Y322&gt;0,Y322&lt;0.5),"C",IF(AND(Y322&gt;=0.5,Y322&lt;0.73),"B",IF(AND(Y322&gt;=0.73,Y322&lt;0.98),"A",NONE)))</f>
        <v>A</v>
      </c>
      <c r="AA322" s="231" t="str">
        <f>VLOOKUP(G322,'ALL (R)'!$N$5:$R$862,5,FALSE)</f>
        <v>R 5</v>
      </c>
      <c r="AB322" s="232">
        <f>VLOOKUP(AA322,FACTS!$B$2:$L$14,10,FALSE)</f>
        <v>46750.000000000007</v>
      </c>
      <c r="AC322" s="232">
        <f>VLOOKUP(AA322,FACTS!$B$2:$L$14,11,FALSE)</f>
        <v>52250.000000000007</v>
      </c>
      <c r="AD322" s="232">
        <f>VLOOKUP(AA322,FACTS!$B$2:$N$14,13,FALSE)</f>
        <v>5500</v>
      </c>
      <c r="AE322" s="232">
        <f t="shared" si="44"/>
        <v>4372.5</v>
      </c>
      <c r="AF322" s="232">
        <f t="shared" si="45"/>
        <v>51122.500000000007</v>
      </c>
      <c r="AG322" s="232">
        <f>AF322*FACTS!$T$2</f>
        <v>16870.425000000003</v>
      </c>
      <c r="AH322" s="232">
        <f>Table1[[#This Row],[UNIT (BUILDING) RATE (SEMI FINISHED)]]+4500</f>
        <v>55622.500000000007</v>
      </c>
      <c r="AI322" s="232">
        <f>Table1[[#This Row],[UNIT (BUILDING) RATE (SEMI FINISHED)]]+7500</f>
        <v>58622.500000000007</v>
      </c>
      <c r="AJ322" s="232">
        <f t="shared" si="46"/>
        <v>11451440.000000002</v>
      </c>
      <c r="AK322" s="232">
        <f>Table1[[#This Row],[UNIT (BUILDING) RATE (BASIC FINISH)]]*Table1[[#This Row],[Unit Selling Area]]</f>
        <v>12459440.000000002</v>
      </c>
      <c r="AL322" s="232">
        <f>Table1[[#This Row],[UNIT (BUILDING) RATE (FULLY FINISH)]]*Table1[[#This Row],[Unit Selling Area]]</f>
        <v>13131440.000000002</v>
      </c>
      <c r="AM322" s="232">
        <f t="shared" si="47"/>
        <v>0</v>
      </c>
      <c r="AN322" s="232">
        <f>(AM322+AJ322)*FACTS!$S$2</f>
        <v>973372.40000000026</v>
      </c>
      <c r="AO322" s="101">
        <f>VLOOKUP(S322,FACTS!$A$17:$C$23,3,FALSE)</f>
        <v>2</v>
      </c>
      <c r="AP322" s="232">
        <f>VLOOKUP(AA322,FACTS!$B$2:$J$14,9,FALSE)</f>
        <v>220000.00000000003</v>
      </c>
      <c r="AQ322" s="232">
        <f>Table1[[#This Row],[PARKING VALUE]]*1</f>
        <v>220000.00000000003</v>
      </c>
      <c r="AR322" s="232">
        <f t="shared" si="42"/>
        <v>11671440.000000002</v>
      </c>
      <c r="AS322" s="440">
        <f>Table1[[#This Row],[TOTAL CARS VALUE]]+Table1[[#This Row],[UNIT (BUILDING) VALUE BASIC FINISHED]]+Table1[[#This Row],[UNIT (GARDEN) VALUE]]</f>
        <v>12679440.000000002</v>
      </c>
      <c r="AT322" s="232">
        <f>Table1[[#This Row],[TOTAL CARS VALUE]]+Table1[[#This Row],[UNIT (GARDEN) VALUE]]+Table1[[#This Row],[UNIT (BUILDING) VALUE FULLY FINISHED]]</f>
        <v>13351440.000000002</v>
      </c>
      <c r="AU322" s="233">
        <f>VLOOKUP(I322,'C PHASES'!$I$108:$J$110,2,FALSE)</f>
        <v>46204</v>
      </c>
      <c r="AV322" s="233">
        <f>VLOOKUP(AA322,'C PHASES'!$I$113:$J$125,2,FALSE)</f>
        <v>45566</v>
      </c>
    </row>
    <row r="323" spans="1:48" ht="26.25" customHeight="1" x14ac:dyDescent="0.25">
      <c r="A323" s="236"/>
      <c r="B323" s="227" t="str">
        <f t="shared" si="51"/>
        <v>B</v>
      </c>
      <c r="C323" s="227" t="s">
        <v>52</v>
      </c>
      <c r="D323" s="227" t="s">
        <v>1147</v>
      </c>
      <c r="E323" s="228">
        <v>1</v>
      </c>
      <c r="F323" s="101">
        <v>3</v>
      </c>
      <c r="G323" s="87" t="str">
        <f t="shared" si="50"/>
        <v>B813</v>
      </c>
      <c r="H323" s="87" t="s">
        <v>1294</v>
      </c>
      <c r="I323" s="89" t="str">
        <f>VLOOKUP(C323,'PREMIUM TABLES'!$G$107:$H$149,2,FALSE)</f>
        <v>C2</v>
      </c>
      <c r="J323" s="89">
        <v>162.53100000000001</v>
      </c>
      <c r="K323" s="87">
        <v>180.09907244129704</v>
      </c>
      <c r="L323" s="87">
        <v>198</v>
      </c>
      <c r="M323" s="89"/>
      <c r="N323" s="89"/>
      <c r="O323" s="87" t="s">
        <v>180</v>
      </c>
      <c r="P323" s="87" t="s">
        <v>190</v>
      </c>
      <c r="Q323" s="229" t="s">
        <v>210</v>
      </c>
      <c r="R323" s="87" t="str">
        <f>VLOOKUP(E323,'PREMIUM TABLES'!$F$214:$G$219,2,FALSE)</f>
        <v>FIRST</v>
      </c>
      <c r="S323" s="87" t="str" cm="1">
        <f t="array" ref="S323">IF(AND(L323&gt;0,L323&lt;90),"A",IF(AND(L323&gt;90,L323&lt;123),"B",IF(AND(L323&gt;122,L323&lt;159),"C",IF(AND(L323&gt;159,L323&lt;185),"D",IF(AND(L323&gt;185,L323&lt;230),"E",IF(AND(L323&gt;230,L323&lt;350),"F",NONE))))))</f>
        <v>E</v>
      </c>
      <c r="T323" s="230">
        <f>VLOOKUP(O323,'PREMIUM TABLES'!$G$165:$H$172,2,FALSE)</f>
        <v>0.13</v>
      </c>
      <c r="U323" s="230">
        <f>VLOOKUP(P323,'PREMIUM TABLES'!$G$208:$H$209,2,FALSE)</f>
        <v>2.5000000000000001E-2</v>
      </c>
      <c r="V323" s="230">
        <f>VLOOKUP(Q323,'PREMIUM TABLES'!$G$175:$H$195,2,FALSE)</f>
        <v>0.53</v>
      </c>
      <c r="W323" s="230">
        <f>VLOOKUP(R323,'PREMIUM TABLES'!$G$214:$H$219,2,FALSE)</f>
        <v>7.0000000000000007E-2</v>
      </c>
      <c r="X323" s="230">
        <f>VLOOKUP(S323,'PREMIUM TABLES'!$F$199:$H$205,3,FALSE)</f>
        <v>1.4999999999999999E-2</v>
      </c>
      <c r="Y323" s="231">
        <f t="shared" si="43"/>
        <v>0.77000000000000013</v>
      </c>
      <c r="Z323" s="231" t="str" cm="1">
        <f t="array" ref="Z323">IF(AND(Y323&gt;0,Y323&lt;0.5),"C",IF(AND(Y323&gt;=0.5,Y323&lt;0.73),"B",IF(AND(Y323&gt;=0.73,Y323&lt;0.98),"A",NONE)))</f>
        <v>A</v>
      </c>
      <c r="AA323" s="231" t="str">
        <f>VLOOKUP(G323,'ALL (R)'!$N$5:$R$862,5,FALSE)</f>
        <v>R 4</v>
      </c>
      <c r="AB323" s="232">
        <f>VLOOKUP(AA323,FACTS!$B$2:$L$14,10,FALSE)</f>
        <v>45687.5</v>
      </c>
      <c r="AC323" s="232">
        <f>VLOOKUP(AA323,FACTS!$B$2:$L$14,11,FALSE)</f>
        <v>51062.5</v>
      </c>
      <c r="AD323" s="232">
        <f>VLOOKUP(AA323,FACTS!$B$2:$N$14,13,FALSE)</f>
        <v>5375</v>
      </c>
      <c r="AE323" s="232">
        <f t="shared" si="44"/>
        <v>4138.7500000000009</v>
      </c>
      <c r="AF323" s="232">
        <f t="shared" si="45"/>
        <v>49826.25</v>
      </c>
      <c r="AG323" s="232">
        <f>AF323*FACTS!$T$2</f>
        <v>16442.662500000002</v>
      </c>
      <c r="AH323" s="232">
        <f>Table1[[#This Row],[UNIT (BUILDING) RATE (SEMI FINISHED)]]+4500</f>
        <v>54326.25</v>
      </c>
      <c r="AI323" s="232">
        <f>Table1[[#This Row],[UNIT (BUILDING) RATE (SEMI FINISHED)]]+7500</f>
        <v>57326.25</v>
      </c>
      <c r="AJ323" s="232">
        <f t="shared" si="46"/>
        <v>9865597.5</v>
      </c>
      <c r="AK323" s="232">
        <f>Table1[[#This Row],[UNIT (BUILDING) RATE (BASIC FINISH)]]*Table1[[#This Row],[Unit Selling Area]]</f>
        <v>10756597.5</v>
      </c>
      <c r="AL323" s="232">
        <f>Table1[[#This Row],[UNIT (BUILDING) RATE (FULLY FINISH)]]*Table1[[#This Row],[Unit Selling Area]]</f>
        <v>11350597.5</v>
      </c>
      <c r="AM323" s="232">
        <f t="shared" si="47"/>
        <v>0</v>
      </c>
      <c r="AN323" s="232">
        <f>(AM323+AJ323)*FACTS!$S$2</f>
        <v>838575.78750000009</v>
      </c>
      <c r="AO323" s="101">
        <f>VLOOKUP(S323,FACTS!$A$17:$C$23,3,FALSE)</f>
        <v>2</v>
      </c>
      <c r="AP323" s="232">
        <f>VLOOKUP(AA323,FACTS!$B$2:$J$14,9,FALSE)</f>
        <v>215000</v>
      </c>
      <c r="AQ323" s="232">
        <f>Table1[[#This Row],[PARKING VALUE]]*1</f>
        <v>215000</v>
      </c>
      <c r="AR323" s="232">
        <f t="shared" si="42"/>
        <v>10080597.5</v>
      </c>
      <c r="AS323" s="440">
        <f>Table1[[#This Row],[TOTAL CARS VALUE]]+Table1[[#This Row],[UNIT (BUILDING) VALUE BASIC FINISHED]]+Table1[[#This Row],[UNIT (GARDEN) VALUE]]</f>
        <v>10971597.5</v>
      </c>
      <c r="AT323" s="232">
        <f>Table1[[#This Row],[TOTAL CARS VALUE]]+Table1[[#This Row],[UNIT (GARDEN) VALUE]]+Table1[[#This Row],[UNIT (BUILDING) VALUE FULLY FINISHED]]</f>
        <v>11565597.5</v>
      </c>
      <c r="AU323" s="233">
        <f>VLOOKUP(I323,'C PHASES'!$I$108:$J$110,2,FALSE)</f>
        <v>46204</v>
      </c>
      <c r="AV323" s="233">
        <f>VLOOKUP(AA323,'C PHASES'!$I$113:$J$125,2,FALSE)</f>
        <v>45474</v>
      </c>
    </row>
    <row r="324" spans="1:48" ht="27" customHeight="1" x14ac:dyDescent="0.25">
      <c r="A324" s="236"/>
      <c r="B324" s="227" t="str">
        <f t="shared" si="51"/>
        <v>B</v>
      </c>
      <c r="C324" s="227" t="s">
        <v>52</v>
      </c>
      <c r="D324" s="227" t="s">
        <v>1147</v>
      </c>
      <c r="E324" s="228">
        <v>1</v>
      </c>
      <c r="F324" s="101">
        <v>4</v>
      </c>
      <c r="G324" s="87" t="str">
        <f t="shared" si="50"/>
        <v>B814</v>
      </c>
      <c r="H324" s="87" t="s">
        <v>1293</v>
      </c>
      <c r="I324" s="89" t="str">
        <f>VLOOKUP(C324,'PREMIUM TABLES'!$G$107:$H$149,2,FALSE)</f>
        <v>C2</v>
      </c>
      <c r="J324" s="89">
        <v>96.271000000000001</v>
      </c>
      <c r="K324" s="87">
        <v>106.6769896388757</v>
      </c>
      <c r="L324" s="87">
        <v>117</v>
      </c>
      <c r="M324" s="89"/>
      <c r="N324" s="89"/>
      <c r="O324" s="87" t="s">
        <v>187</v>
      </c>
      <c r="P324" s="87" t="s">
        <v>190</v>
      </c>
      <c r="Q324" s="229" t="s">
        <v>197</v>
      </c>
      <c r="R324" s="87" t="str">
        <f>VLOOKUP(E324,'PREMIUM TABLES'!$F$214:$G$219,2,FALSE)</f>
        <v>FIRST</v>
      </c>
      <c r="S324" s="87" t="str" cm="1">
        <f t="array" ref="S324">IF(AND(L324&gt;0,L324&lt;90),"A",IF(AND(L324&gt;90,L324&lt;123),"B",IF(AND(L324&gt;122,L324&lt;159),"C",IF(AND(L324&gt;159,L324&lt;185),"D",IF(AND(L324&gt;185,L324&lt;230),"E",IF(AND(L324&gt;230,L324&lt;350),"F",NONE))))))</f>
        <v>B</v>
      </c>
      <c r="T324" s="230">
        <f>VLOOKUP(O324,'PREMIUM TABLES'!$G$165:$H$172,2,FALSE)</f>
        <v>0.08</v>
      </c>
      <c r="U324" s="230">
        <f>VLOOKUP(P324,'PREMIUM TABLES'!$G$208:$H$209,2,FALSE)</f>
        <v>2.5000000000000001E-2</v>
      </c>
      <c r="V324" s="230">
        <f>VLOOKUP(Q324,'PREMIUM TABLES'!$G$175:$H$195,2,FALSE)</f>
        <v>0.16</v>
      </c>
      <c r="W324" s="230">
        <f>VLOOKUP(R324,'PREMIUM TABLES'!$G$214:$H$219,2,FALSE)</f>
        <v>7.0000000000000007E-2</v>
      </c>
      <c r="X324" s="230">
        <f>VLOOKUP(S324,'PREMIUM TABLES'!$F$199:$H$205,3,FALSE)</f>
        <v>0.04</v>
      </c>
      <c r="Y324" s="231">
        <f t="shared" si="43"/>
        <v>0.375</v>
      </c>
      <c r="Z324" s="231" t="str" cm="1">
        <f t="array" ref="Z324">IF(AND(Y324&gt;0,Y324&lt;0.5),"C",IF(AND(Y324&gt;=0.5,Y324&lt;0.73),"B",IF(AND(Y324&gt;=0.73,Y324&lt;0.98),"A",NONE)))</f>
        <v>C</v>
      </c>
      <c r="AA324" s="231" t="str">
        <f>VLOOKUP(G324,'ALL (R)'!$N$5:$R$862,5,FALSE)</f>
        <v>R 3</v>
      </c>
      <c r="AB324" s="232">
        <f>VLOOKUP(AA324,FACTS!$B$2:$L$14,10,FALSE)</f>
        <v>44625</v>
      </c>
      <c r="AC324" s="232">
        <f>VLOOKUP(AA324,FACTS!$B$2:$L$14,11,FALSE)</f>
        <v>49875</v>
      </c>
      <c r="AD324" s="232">
        <f>VLOOKUP(AA324,FACTS!$B$2:$N$14,13,FALSE)</f>
        <v>5250</v>
      </c>
      <c r="AE324" s="232">
        <f t="shared" si="44"/>
        <v>1968.75</v>
      </c>
      <c r="AF324" s="232">
        <f t="shared" si="45"/>
        <v>46593.75</v>
      </c>
      <c r="AG324" s="232">
        <f>AF324*FACTS!$T$2</f>
        <v>15375.9375</v>
      </c>
      <c r="AH324" s="232">
        <f>Table1[[#This Row],[UNIT (BUILDING) RATE (SEMI FINISHED)]]+4500</f>
        <v>51093.75</v>
      </c>
      <c r="AI324" s="232">
        <f>Table1[[#This Row],[UNIT (BUILDING) RATE (SEMI FINISHED)]]+7500</f>
        <v>54093.75</v>
      </c>
      <c r="AJ324" s="232">
        <f t="shared" si="46"/>
        <v>5451468.75</v>
      </c>
      <c r="AK324" s="232">
        <f>Table1[[#This Row],[UNIT (BUILDING) RATE (BASIC FINISH)]]*Table1[[#This Row],[Unit Selling Area]]</f>
        <v>5977968.75</v>
      </c>
      <c r="AL324" s="232">
        <f>Table1[[#This Row],[UNIT (BUILDING) RATE (FULLY FINISH)]]*Table1[[#This Row],[Unit Selling Area]]</f>
        <v>6328968.75</v>
      </c>
      <c r="AM324" s="232">
        <f t="shared" si="47"/>
        <v>0</v>
      </c>
      <c r="AN324" s="232">
        <f>(AM324+AJ324)*FACTS!$S$2</f>
        <v>463374.84375000006</v>
      </c>
      <c r="AO324" s="101">
        <f>VLOOKUP(S324,FACTS!$A$17:$C$23,3,FALSE)</f>
        <v>1</v>
      </c>
      <c r="AP324" s="232">
        <f>VLOOKUP(AA324,FACTS!$B$2:$J$14,9,FALSE)</f>
        <v>210000</v>
      </c>
      <c r="AQ324" s="232">
        <f>Table1[[#This Row],[PARKING VALUE]]*1</f>
        <v>210000</v>
      </c>
      <c r="AR324" s="232">
        <f t="shared" si="42"/>
        <v>5661468.75</v>
      </c>
      <c r="AS324" s="440">
        <f>Table1[[#This Row],[TOTAL CARS VALUE]]+Table1[[#This Row],[UNIT (BUILDING) VALUE BASIC FINISHED]]+Table1[[#This Row],[UNIT (GARDEN) VALUE]]</f>
        <v>6187968.75</v>
      </c>
      <c r="AT324" s="232">
        <f>Table1[[#This Row],[TOTAL CARS VALUE]]+Table1[[#This Row],[UNIT (GARDEN) VALUE]]+Table1[[#This Row],[UNIT (BUILDING) VALUE FULLY FINISHED]]</f>
        <v>6538968.75</v>
      </c>
      <c r="AU324" s="233">
        <f>VLOOKUP(I324,'C PHASES'!$I$108:$J$110,2,FALSE)</f>
        <v>46204</v>
      </c>
      <c r="AV324" s="233">
        <f>VLOOKUP(AA324,'C PHASES'!$I$113:$J$125,2,FALSE)</f>
        <v>45383</v>
      </c>
    </row>
    <row r="325" spans="1:48" ht="26.25" customHeight="1" x14ac:dyDescent="0.25">
      <c r="A325" s="236"/>
      <c r="B325" s="227" t="str">
        <f t="shared" si="51"/>
        <v>B</v>
      </c>
      <c r="C325" s="227" t="s">
        <v>52</v>
      </c>
      <c r="D325" s="227" t="s">
        <v>1147</v>
      </c>
      <c r="E325" s="228">
        <v>2</v>
      </c>
      <c r="F325" s="101">
        <v>1</v>
      </c>
      <c r="G325" s="87" t="str">
        <f t="shared" si="50"/>
        <v>B821</v>
      </c>
      <c r="H325" s="87" t="s">
        <v>1294</v>
      </c>
      <c r="I325" s="89" t="str">
        <f>VLOOKUP(C325,'PREMIUM TABLES'!$G$107:$H$149,2,FALSE)</f>
        <v>C2</v>
      </c>
      <c r="J325" s="89">
        <v>143.989</v>
      </c>
      <c r="K325" s="87">
        <v>159.55285663504142</v>
      </c>
      <c r="L325" s="87">
        <v>176</v>
      </c>
      <c r="M325" s="89"/>
      <c r="N325" s="89"/>
      <c r="O325" s="87" t="s">
        <v>187</v>
      </c>
      <c r="P325" s="87" t="s">
        <v>226</v>
      </c>
      <c r="Q325" s="229" t="s">
        <v>197</v>
      </c>
      <c r="R325" s="87" t="str">
        <f>VLOOKUP(E325,'PREMIUM TABLES'!$F$214:$G$219,2,FALSE)</f>
        <v>SECOND</v>
      </c>
      <c r="S325" s="87" t="str" cm="1">
        <f t="array" ref="S325">IF(AND(L325&gt;0,L325&lt;90),"A",IF(AND(L325&gt;90,L325&lt;123),"B",IF(AND(L325&gt;122,L325&lt;159),"C",IF(AND(L325&gt;159,L325&lt;185),"D",IF(AND(L325&gt;185,L325&lt;230),"E",IF(AND(L325&gt;230,L325&lt;350),"F",NONE))))))</f>
        <v>D</v>
      </c>
      <c r="T325" s="230">
        <f>VLOOKUP(O325,'PREMIUM TABLES'!$G$165:$H$172,2,FALSE)</f>
        <v>0.08</v>
      </c>
      <c r="U325" s="230">
        <f>VLOOKUP(P325,'PREMIUM TABLES'!$G$208:$H$209,2,FALSE)</f>
        <v>0.05</v>
      </c>
      <c r="V325" s="230">
        <f>VLOOKUP(Q325,'PREMIUM TABLES'!$G$175:$H$195,2,FALSE)</f>
        <v>0.16</v>
      </c>
      <c r="W325" s="230">
        <f>VLOOKUP(R325,'PREMIUM TABLES'!$G$214:$H$219,2,FALSE)</f>
        <v>0.11</v>
      </c>
      <c r="X325" s="230">
        <f>VLOOKUP(S325,'PREMIUM TABLES'!$F$199:$H$205,3,FALSE)</f>
        <v>2.5000000000000001E-2</v>
      </c>
      <c r="Y325" s="231">
        <f t="shared" si="43"/>
        <v>0.42500000000000004</v>
      </c>
      <c r="Z325" s="231" t="str" cm="1">
        <f t="array" ref="Z325">IF(AND(Y325&gt;0,Y325&lt;0.5),"C",IF(AND(Y325&gt;=0.5,Y325&lt;0.73),"B",IF(AND(Y325&gt;=0.73,Y325&lt;0.98),"A",NONE)))</f>
        <v>C</v>
      </c>
      <c r="AA325" s="231" t="str">
        <f>VLOOKUP(G325,'ALL (R)'!$N$5:$R$862,5,FALSE)</f>
        <v>R 8</v>
      </c>
      <c r="AB325" s="232">
        <f>VLOOKUP(AA325,FACTS!$B$2:$L$14,10,FALSE)</f>
        <v>51850</v>
      </c>
      <c r="AC325" s="232">
        <f>VLOOKUP(AA325,FACTS!$B$2:$L$14,11,FALSE)</f>
        <v>57950</v>
      </c>
      <c r="AD325" s="232">
        <f>VLOOKUP(AA325,FACTS!$B$2:$N$14,13,FALSE)</f>
        <v>6100</v>
      </c>
      <c r="AE325" s="232">
        <f t="shared" si="44"/>
        <v>2592.5000000000005</v>
      </c>
      <c r="AF325" s="232">
        <f t="shared" si="45"/>
        <v>54442.5</v>
      </c>
      <c r="AG325" s="232">
        <f>AF325*FACTS!$T$2</f>
        <v>17966.025000000001</v>
      </c>
      <c r="AH325" s="232">
        <f>Table1[[#This Row],[UNIT (BUILDING) RATE (SEMI FINISHED)]]+4500</f>
        <v>58942.5</v>
      </c>
      <c r="AI325" s="232">
        <f>Table1[[#This Row],[UNIT (BUILDING) RATE (SEMI FINISHED)]]+7500</f>
        <v>61942.5</v>
      </c>
      <c r="AJ325" s="232">
        <f t="shared" si="46"/>
        <v>9581880</v>
      </c>
      <c r="AK325" s="232">
        <f>Table1[[#This Row],[UNIT (BUILDING) RATE (BASIC FINISH)]]*Table1[[#This Row],[Unit Selling Area]]</f>
        <v>10373880</v>
      </c>
      <c r="AL325" s="232">
        <f>Table1[[#This Row],[UNIT (BUILDING) RATE (FULLY FINISH)]]*Table1[[#This Row],[Unit Selling Area]]</f>
        <v>10901880</v>
      </c>
      <c r="AM325" s="232">
        <f t="shared" si="47"/>
        <v>0</v>
      </c>
      <c r="AN325" s="232">
        <f>(AM325+AJ325)*FACTS!$S$2</f>
        <v>814459.8</v>
      </c>
      <c r="AO325" s="101">
        <f>VLOOKUP(S325,FACTS!$A$17:$C$23,3,FALSE)</f>
        <v>2</v>
      </c>
      <c r="AP325" s="232">
        <f>VLOOKUP(AA325,FACTS!$B$2:$J$14,9,FALSE)</f>
        <v>244000</v>
      </c>
      <c r="AQ325" s="232">
        <f>Table1[[#This Row],[PARKING VALUE]]*1</f>
        <v>244000</v>
      </c>
      <c r="AR325" s="232">
        <f t="shared" ref="AR325:AR388" si="52">AQ325+AM325+AJ325</f>
        <v>9825880</v>
      </c>
      <c r="AS325" s="440">
        <f>Table1[[#This Row],[TOTAL CARS VALUE]]+Table1[[#This Row],[UNIT (BUILDING) VALUE BASIC FINISHED]]+Table1[[#This Row],[UNIT (GARDEN) VALUE]]</f>
        <v>10617880</v>
      </c>
      <c r="AT325" s="232">
        <f>Table1[[#This Row],[TOTAL CARS VALUE]]+Table1[[#This Row],[UNIT (GARDEN) VALUE]]+Table1[[#This Row],[UNIT (BUILDING) VALUE FULLY FINISHED]]</f>
        <v>11145880</v>
      </c>
      <c r="AU325" s="233">
        <f>VLOOKUP(I325,'C PHASES'!$I$108:$J$110,2,FALSE)</f>
        <v>46204</v>
      </c>
      <c r="AV325" s="233">
        <f>VLOOKUP(AA325,'C PHASES'!$I$113:$J$125,2,FALSE)</f>
        <v>45839</v>
      </c>
    </row>
    <row r="326" spans="1:48" ht="26.25" customHeight="1" x14ac:dyDescent="0.25">
      <c r="A326" s="236"/>
      <c r="B326" s="227" t="str">
        <f t="shared" si="51"/>
        <v>B</v>
      </c>
      <c r="C326" s="227" t="s">
        <v>52</v>
      </c>
      <c r="D326" s="227" t="s">
        <v>1147</v>
      </c>
      <c r="E326" s="228">
        <v>2</v>
      </c>
      <c r="F326" s="101">
        <v>2</v>
      </c>
      <c r="G326" s="87" t="str">
        <f t="shared" si="50"/>
        <v>B822</v>
      </c>
      <c r="H326" s="87" t="s">
        <v>1295</v>
      </c>
      <c r="I326" s="89" t="str">
        <f>VLOOKUP(C326,'PREMIUM TABLES'!$G$107:$H$149,2,FALSE)</f>
        <v>C2</v>
      </c>
      <c r="J326" s="89">
        <v>187.1</v>
      </c>
      <c r="K326" s="87">
        <v>207.32375026159116</v>
      </c>
      <c r="L326" s="87">
        <v>228</v>
      </c>
      <c r="M326" s="89"/>
      <c r="N326" s="89"/>
      <c r="O326" s="87" t="s">
        <v>180</v>
      </c>
      <c r="P326" s="87" t="s">
        <v>226</v>
      </c>
      <c r="Q326" s="229" t="s">
        <v>210</v>
      </c>
      <c r="R326" s="87" t="str">
        <f>VLOOKUP(E326,'PREMIUM TABLES'!$F$214:$G$219,2,FALSE)</f>
        <v>SECOND</v>
      </c>
      <c r="S326" s="87" t="str" cm="1">
        <f t="array" ref="S326">IF(AND(L326&gt;0,L326&lt;90),"A",IF(AND(L326&gt;90,L326&lt;123),"B",IF(AND(L326&gt;122,L326&lt;159),"C",IF(AND(L326&gt;159,L326&lt;185),"D",IF(AND(L326&gt;185,L326&lt;230),"E",IF(AND(L326&gt;230,L326&lt;350),"F",NONE))))))</f>
        <v>E</v>
      </c>
      <c r="T326" s="230">
        <f>VLOOKUP(O326,'PREMIUM TABLES'!$G$165:$H$172,2,FALSE)</f>
        <v>0.13</v>
      </c>
      <c r="U326" s="230">
        <f>VLOOKUP(P326,'PREMIUM TABLES'!$G$208:$H$209,2,FALSE)</f>
        <v>0.05</v>
      </c>
      <c r="V326" s="230">
        <f>VLOOKUP(Q326,'PREMIUM TABLES'!$G$175:$H$195,2,FALSE)</f>
        <v>0.53</v>
      </c>
      <c r="W326" s="230">
        <f>VLOOKUP(R326,'PREMIUM TABLES'!$G$214:$H$219,2,FALSE)</f>
        <v>0.11</v>
      </c>
      <c r="X326" s="230">
        <f>VLOOKUP(S326,'PREMIUM TABLES'!$F$199:$H$205,3,FALSE)</f>
        <v>1.4999999999999999E-2</v>
      </c>
      <c r="Y326" s="231">
        <f t="shared" ref="Y326:Y389" si="53">SUM(T326:X326)</f>
        <v>0.83499999999999996</v>
      </c>
      <c r="Z326" s="231" t="str" cm="1">
        <f t="array" ref="Z326">IF(AND(Y326&gt;0,Y326&lt;0.5),"C",IF(AND(Y326&gt;=0.5,Y326&lt;0.73),"B",IF(AND(Y326&gt;=0.73,Y326&lt;0.98),"A",NONE)))</f>
        <v>A</v>
      </c>
      <c r="AA326" s="231" t="str">
        <f>VLOOKUP(G326,'ALL (R)'!$N$5:$R$862,5,FALSE)</f>
        <v>R 8</v>
      </c>
      <c r="AB326" s="232">
        <f>VLOOKUP(AA326,FACTS!$B$2:$L$14,10,FALSE)</f>
        <v>51850</v>
      </c>
      <c r="AC326" s="232">
        <f>VLOOKUP(AA326,FACTS!$B$2:$L$14,11,FALSE)</f>
        <v>57950</v>
      </c>
      <c r="AD326" s="232">
        <f>VLOOKUP(AA326,FACTS!$B$2:$N$14,13,FALSE)</f>
        <v>6100</v>
      </c>
      <c r="AE326" s="232">
        <f t="shared" ref="AE326:AE389" si="54">AD326*Y326</f>
        <v>5093.5</v>
      </c>
      <c r="AF326" s="232">
        <f t="shared" ref="AF326:AF389" si="55">AE326+AB326</f>
        <v>56943.5</v>
      </c>
      <c r="AG326" s="232">
        <f>AF326*FACTS!$T$2</f>
        <v>18791.355</v>
      </c>
      <c r="AH326" s="232">
        <f>Table1[[#This Row],[UNIT (BUILDING) RATE (SEMI FINISHED)]]+4500</f>
        <v>61443.5</v>
      </c>
      <c r="AI326" s="232">
        <f>Table1[[#This Row],[UNIT (BUILDING) RATE (SEMI FINISHED)]]+7500</f>
        <v>64443.5</v>
      </c>
      <c r="AJ326" s="232">
        <f t="shared" ref="AJ326:AJ389" si="56">AF326*L326</f>
        <v>12983118</v>
      </c>
      <c r="AK326" s="232">
        <f>Table1[[#This Row],[UNIT (BUILDING) RATE (BASIC FINISH)]]*Table1[[#This Row],[Unit Selling Area]]</f>
        <v>14009118</v>
      </c>
      <c r="AL326" s="232">
        <f>Table1[[#This Row],[UNIT (BUILDING) RATE (FULLY FINISH)]]*Table1[[#This Row],[Unit Selling Area]]</f>
        <v>14693118</v>
      </c>
      <c r="AM326" s="232">
        <f t="shared" ref="AM326:AM389" si="57">AG326*M326</f>
        <v>0</v>
      </c>
      <c r="AN326" s="232">
        <f>(AM326+AJ326)*FACTS!$S$2</f>
        <v>1103565.03</v>
      </c>
      <c r="AO326" s="101">
        <f>VLOOKUP(S326,FACTS!$A$17:$C$23,3,FALSE)</f>
        <v>2</v>
      </c>
      <c r="AP326" s="232">
        <f>VLOOKUP(AA326,FACTS!$B$2:$J$14,9,FALSE)</f>
        <v>244000</v>
      </c>
      <c r="AQ326" s="232">
        <f>Table1[[#This Row],[PARKING VALUE]]*1</f>
        <v>244000</v>
      </c>
      <c r="AR326" s="232">
        <f t="shared" si="52"/>
        <v>13227118</v>
      </c>
      <c r="AS326" s="440">
        <f>Table1[[#This Row],[TOTAL CARS VALUE]]+Table1[[#This Row],[UNIT (BUILDING) VALUE BASIC FINISHED]]+Table1[[#This Row],[UNIT (GARDEN) VALUE]]</f>
        <v>14253118</v>
      </c>
      <c r="AT326" s="232">
        <f>Table1[[#This Row],[TOTAL CARS VALUE]]+Table1[[#This Row],[UNIT (GARDEN) VALUE]]+Table1[[#This Row],[UNIT (BUILDING) VALUE FULLY FINISHED]]</f>
        <v>14937118</v>
      </c>
      <c r="AU326" s="233">
        <f>VLOOKUP(I326,'C PHASES'!$I$108:$J$110,2,FALSE)</f>
        <v>46204</v>
      </c>
      <c r="AV326" s="233">
        <f>VLOOKUP(AA326,'C PHASES'!$I$113:$J$125,2,FALSE)</f>
        <v>45839</v>
      </c>
    </row>
    <row r="327" spans="1:48" ht="26.25" customHeight="1" x14ac:dyDescent="0.25">
      <c r="A327" s="236"/>
      <c r="B327" s="227" t="str">
        <f t="shared" si="51"/>
        <v>B</v>
      </c>
      <c r="C327" s="227" t="s">
        <v>52</v>
      </c>
      <c r="D327" s="227" t="s">
        <v>1147</v>
      </c>
      <c r="E327" s="228">
        <v>2</v>
      </c>
      <c r="F327" s="101">
        <v>3</v>
      </c>
      <c r="G327" s="87" t="str">
        <f t="shared" si="50"/>
        <v>B823</v>
      </c>
      <c r="H327" s="87" t="s">
        <v>1294</v>
      </c>
      <c r="I327" s="89" t="str">
        <f>VLOOKUP(C327,'PREMIUM TABLES'!$G$107:$H$149,2,FALSE)</f>
        <v>C2</v>
      </c>
      <c r="J327" s="89">
        <v>167.16900000000001</v>
      </c>
      <c r="K327" s="87">
        <v>185.23839661934761</v>
      </c>
      <c r="L327" s="87">
        <v>204</v>
      </c>
      <c r="M327" s="89"/>
      <c r="N327" s="89"/>
      <c r="O327" s="87" t="s">
        <v>180</v>
      </c>
      <c r="P327" s="87" t="s">
        <v>190</v>
      </c>
      <c r="Q327" s="229" t="s">
        <v>210</v>
      </c>
      <c r="R327" s="87" t="str">
        <f>VLOOKUP(E327,'PREMIUM TABLES'!$F$214:$G$219,2,FALSE)</f>
        <v>SECOND</v>
      </c>
      <c r="S327" s="87" t="str" cm="1">
        <f t="array" ref="S327">IF(AND(L327&gt;0,L327&lt;90),"A",IF(AND(L327&gt;90,L327&lt;123),"B",IF(AND(L327&gt;122,L327&lt;159),"C",IF(AND(L327&gt;159,L327&lt;185),"D",IF(AND(L327&gt;185,L327&lt;230),"E",IF(AND(L327&gt;230,L327&lt;350),"F",NONE))))))</f>
        <v>E</v>
      </c>
      <c r="T327" s="230">
        <f>VLOOKUP(O327,'PREMIUM TABLES'!$G$165:$H$172,2,FALSE)</f>
        <v>0.13</v>
      </c>
      <c r="U327" s="230">
        <f>VLOOKUP(P327,'PREMIUM TABLES'!$G$208:$H$209,2,FALSE)</f>
        <v>2.5000000000000001E-2</v>
      </c>
      <c r="V327" s="230">
        <f>VLOOKUP(Q327,'PREMIUM TABLES'!$G$175:$H$195,2,FALSE)</f>
        <v>0.53</v>
      </c>
      <c r="W327" s="230">
        <f>VLOOKUP(R327,'PREMIUM TABLES'!$G$214:$H$219,2,FALSE)</f>
        <v>0.11</v>
      </c>
      <c r="X327" s="230">
        <f>VLOOKUP(S327,'PREMIUM TABLES'!$F$199:$H$205,3,FALSE)</f>
        <v>1.4999999999999999E-2</v>
      </c>
      <c r="Y327" s="231">
        <f t="shared" si="53"/>
        <v>0.81</v>
      </c>
      <c r="Z327" s="231" t="str" cm="1">
        <f t="array" ref="Z327">IF(AND(Y327&gt;0,Y327&lt;0.5),"C",IF(AND(Y327&gt;=0.5,Y327&lt;0.73),"B",IF(AND(Y327&gt;=0.73,Y327&lt;0.98),"A",NONE)))</f>
        <v>A</v>
      </c>
      <c r="AA327" s="231" t="str">
        <f>VLOOKUP(G327,'ALL (R)'!$N$5:$R$862,5,FALSE)</f>
        <v>R 7</v>
      </c>
      <c r="AB327" s="232">
        <f>VLOOKUP(AA327,FACTS!$B$2:$L$14,10,FALSE)</f>
        <v>50150</v>
      </c>
      <c r="AC327" s="232">
        <f>VLOOKUP(AA327,FACTS!$B$2:$L$14,11,FALSE)</f>
        <v>56050</v>
      </c>
      <c r="AD327" s="232">
        <f>VLOOKUP(AA327,FACTS!$B$2:$N$14,13,FALSE)</f>
        <v>5900</v>
      </c>
      <c r="AE327" s="232">
        <f t="shared" si="54"/>
        <v>4779</v>
      </c>
      <c r="AF327" s="232">
        <f t="shared" si="55"/>
        <v>54929</v>
      </c>
      <c r="AG327" s="232">
        <f>AF327*FACTS!$T$2</f>
        <v>18126.57</v>
      </c>
      <c r="AH327" s="232">
        <f>Table1[[#This Row],[UNIT (BUILDING) RATE (SEMI FINISHED)]]+4500</f>
        <v>59429</v>
      </c>
      <c r="AI327" s="232">
        <f>Table1[[#This Row],[UNIT (BUILDING) RATE (SEMI FINISHED)]]+7500</f>
        <v>62429</v>
      </c>
      <c r="AJ327" s="232">
        <f t="shared" si="56"/>
        <v>11205516</v>
      </c>
      <c r="AK327" s="232">
        <f>Table1[[#This Row],[UNIT (BUILDING) RATE (BASIC FINISH)]]*Table1[[#This Row],[Unit Selling Area]]</f>
        <v>12123516</v>
      </c>
      <c r="AL327" s="232">
        <f>Table1[[#This Row],[UNIT (BUILDING) RATE (FULLY FINISH)]]*Table1[[#This Row],[Unit Selling Area]]</f>
        <v>12735516</v>
      </c>
      <c r="AM327" s="232">
        <f t="shared" si="57"/>
        <v>0</v>
      </c>
      <c r="AN327" s="232">
        <f>(AM327+AJ327)*FACTS!$S$2</f>
        <v>952468.8600000001</v>
      </c>
      <c r="AO327" s="101">
        <f>VLOOKUP(S327,FACTS!$A$17:$C$23,3,FALSE)</f>
        <v>2</v>
      </c>
      <c r="AP327" s="232">
        <f>VLOOKUP(AA327,FACTS!$B$2:$J$14,9,FALSE)</f>
        <v>236000</v>
      </c>
      <c r="AQ327" s="232">
        <f>Table1[[#This Row],[PARKING VALUE]]*1</f>
        <v>236000</v>
      </c>
      <c r="AR327" s="232">
        <f t="shared" si="52"/>
        <v>11441516</v>
      </c>
      <c r="AS327" s="440">
        <f>Table1[[#This Row],[TOTAL CARS VALUE]]+Table1[[#This Row],[UNIT (BUILDING) VALUE BASIC FINISHED]]+Table1[[#This Row],[UNIT (GARDEN) VALUE]]</f>
        <v>12359516</v>
      </c>
      <c r="AT327" s="232">
        <f>Table1[[#This Row],[TOTAL CARS VALUE]]+Table1[[#This Row],[UNIT (GARDEN) VALUE]]+Table1[[#This Row],[UNIT (BUILDING) VALUE FULLY FINISHED]]</f>
        <v>12971516</v>
      </c>
      <c r="AU327" s="233">
        <f>VLOOKUP(I327,'C PHASES'!$I$108:$J$110,2,FALSE)</f>
        <v>46204</v>
      </c>
      <c r="AV327" s="233">
        <f>VLOOKUP(AA327,'C PHASES'!$I$113:$J$125,2,FALSE)</f>
        <v>45748</v>
      </c>
    </row>
    <row r="328" spans="1:48" ht="27" customHeight="1" x14ac:dyDescent="0.25">
      <c r="A328" s="236"/>
      <c r="B328" s="227" t="str">
        <f t="shared" si="51"/>
        <v>B</v>
      </c>
      <c r="C328" s="227" t="s">
        <v>52</v>
      </c>
      <c r="D328" s="227" t="s">
        <v>1147</v>
      </c>
      <c r="E328" s="228">
        <v>2</v>
      </c>
      <c r="F328" s="101">
        <v>4</v>
      </c>
      <c r="G328" s="87" t="str">
        <f t="shared" si="50"/>
        <v>B824</v>
      </c>
      <c r="H328" s="87" t="s">
        <v>1294</v>
      </c>
      <c r="I328" s="89" t="str">
        <f>VLOOKUP(C328,'PREMIUM TABLES'!$G$107:$H$149,2,FALSE)</f>
        <v>C2</v>
      </c>
      <c r="J328" s="89">
        <v>141.18700000000001</v>
      </c>
      <c r="K328" s="87">
        <v>156.44798678879354</v>
      </c>
      <c r="L328" s="87">
        <v>172</v>
      </c>
      <c r="M328" s="89"/>
      <c r="N328" s="89"/>
      <c r="O328" s="87" t="s">
        <v>187</v>
      </c>
      <c r="P328" s="87" t="s">
        <v>190</v>
      </c>
      <c r="Q328" s="229" t="s">
        <v>197</v>
      </c>
      <c r="R328" s="87" t="str">
        <f>VLOOKUP(E328,'PREMIUM TABLES'!$F$214:$G$219,2,FALSE)</f>
        <v>SECOND</v>
      </c>
      <c r="S328" s="87" t="str" cm="1">
        <f t="array" ref="S328">IF(AND(L328&gt;0,L328&lt;90),"A",IF(AND(L328&gt;90,L328&lt;123),"B",IF(AND(L328&gt;122,L328&lt;159),"C",IF(AND(L328&gt;159,L328&lt;185),"D",IF(AND(L328&gt;185,L328&lt;230),"E",IF(AND(L328&gt;230,L328&lt;350),"F",NONE))))))</f>
        <v>D</v>
      </c>
      <c r="T328" s="230">
        <f>VLOOKUP(O328,'PREMIUM TABLES'!$G$165:$H$172,2,FALSE)</f>
        <v>0.08</v>
      </c>
      <c r="U328" s="230">
        <f>VLOOKUP(P328,'PREMIUM TABLES'!$G$208:$H$209,2,FALSE)</f>
        <v>2.5000000000000001E-2</v>
      </c>
      <c r="V328" s="230">
        <f>VLOOKUP(Q328,'PREMIUM TABLES'!$G$175:$H$195,2,FALSE)</f>
        <v>0.16</v>
      </c>
      <c r="W328" s="230">
        <f>VLOOKUP(R328,'PREMIUM TABLES'!$G$214:$H$219,2,FALSE)</f>
        <v>0.11</v>
      </c>
      <c r="X328" s="230">
        <f>VLOOKUP(S328,'PREMIUM TABLES'!$F$199:$H$205,3,FALSE)</f>
        <v>2.5000000000000001E-2</v>
      </c>
      <c r="Y328" s="231">
        <f t="shared" si="53"/>
        <v>0.4</v>
      </c>
      <c r="Z328" s="231" t="str" cm="1">
        <f t="array" ref="Z328">IF(AND(Y328&gt;0,Y328&lt;0.5),"C",IF(AND(Y328&gt;=0.5,Y328&lt;0.73),"B",IF(AND(Y328&gt;=0.73,Y328&lt;0.98),"A",NONE)))</f>
        <v>C</v>
      </c>
      <c r="AA328" s="231" t="str">
        <f>VLOOKUP(G328,'ALL (R)'!$N$5:$R$862,5,FALSE)</f>
        <v>R 5</v>
      </c>
      <c r="AB328" s="232">
        <f>VLOOKUP(AA328,FACTS!$B$2:$L$14,10,FALSE)</f>
        <v>46750.000000000007</v>
      </c>
      <c r="AC328" s="232">
        <f>VLOOKUP(AA328,FACTS!$B$2:$L$14,11,FALSE)</f>
        <v>52250.000000000007</v>
      </c>
      <c r="AD328" s="232">
        <f>VLOOKUP(AA328,FACTS!$B$2:$N$14,13,FALSE)</f>
        <v>5500</v>
      </c>
      <c r="AE328" s="232">
        <f t="shared" si="54"/>
        <v>2200</v>
      </c>
      <c r="AF328" s="232">
        <f t="shared" si="55"/>
        <v>48950.000000000007</v>
      </c>
      <c r="AG328" s="232">
        <f>AF328*FACTS!$T$2</f>
        <v>16153.500000000004</v>
      </c>
      <c r="AH328" s="232">
        <f>Table1[[#This Row],[UNIT (BUILDING) RATE (SEMI FINISHED)]]+4500</f>
        <v>53450.000000000007</v>
      </c>
      <c r="AI328" s="232">
        <f>Table1[[#This Row],[UNIT (BUILDING) RATE (SEMI FINISHED)]]+7500</f>
        <v>56450.000000000007</v>
      </c>
      <c r="AJ328" s="232">
        <f t="shared" si="56"/>
        <v>8419400.0000000019</v>
      </c>
      <c r="AK328" s="232">
        <f>Table1[[#This Row],[UNIT (BUILDING) RATE (BASIC FINISH)]]*Table1[[#This Row],[Unit Selling Area]]</f>
        <v>9193400.0000000019</v>
      </c>
      <c r="AL328" s="232">
        <f>Table1[[#This Row],[UNIT (BUILDING) RATE (FULLY FINISH)]]*Table1[[#This Row],[Unit Selling Area]]</f>
        <v>9709400.0000000019</v>
      </c>
      <c r="AM328" s="232">
        <f t="shared" si="57"/>
        <v>0</v>
      </c>
      <c r="AN328" s="232">
        <f>(AM328+AJ328)*FACTS!$S$2</f>
        <v>715649.00000000023</v>
      </c>
      <c r="AO328" s="101">
        <f>VLOOKUP(S328,FACTS!$A$17:$C$23,3,FALSE)</f>
        <v>2</v>
      </c>
      <c r="AP328" s="232">
        <f>VLOOKUP(AA328,FACTS!$B$2:$J$14,9,FALSE)</f>
        <v>220000.00000000003</v>
      </c>
      <c r="AQ328" s="232">
        <f>Table1[[#This Row],[PARKING VALUE]]*1</f>
        <v>220000.00000000003</v>
      </c>
      <c r="AR328" s="232">
        <f t="shared" si="52"/>
        <v>8639400.0000000019</v>
      </c>
      <c r="AS328" s="440">
        <f>Table1[[#This Row],[TOTAL CARS VALUE]]+Table1[[#This Row],[UNIT (BUILDING) VALUE BASIC FINISHED]]+Table1[[#This Row],[UNIT (GARDEN) VALUE]]</f>
        <v>9413400.0000000019</v>
      </c>
      <c r="AT328" s="232">
        <f>Table1[[#This Row],[TOTAL CARS VALUE]]+Table1[[#This Row],[UNIT (GARDEN) VALUE]]+Table1[[#This Row],[UNIT (BUILDING) VALUE FULLY FINISHED]]</f>
        <v>9929400.0000000019</v>
      </c>
      <c r="AU328" s="233">
        <f>VLOOKUP(I328,'C PHASES'!$I$108:$J$110,2,FALSE)</f>
        <v>46204</v>
      </c>
      <c r="AV328" s="233">
        <f>VLOOKUP(AA328,'C PHASES'!$I$113:$J$125,2,FALSE)</f>
        <v>45566</v>
      </c>
    </row>
    <row r="329" spans="1:48" ht="26.25" customHeight="1" x14ac:dyDescent="0.25">
      <c r="A329" s="236"/>
      <c r="B329" s="227" t="str">
        <f t="shared" si="51"/>
        <v>B</v>
      </c>
      <c r="C329" s="227" t="s">
        <v>52</v>
      </c>
      <c r="D329" s="227" t="s">
        <v>1147</v>
      </c>
      <c r="E329" s="228">
        <v>3</v>
      </c>
      <c r="F329" s="101">
        <v>1</v>
      </c>
      <c r="G329" s="87" t="str">
        <f t="shared" si="50"/>
        <v>B831</v>
      </c>
      <c r="H329" s="87" t="s">
        <v>1294</v>
      </c>
      <c r="I329" s="89" t="str">
        <f>VLOOKUP(C329,'PREMIUM TABLES'!$G$107:$H$149,2,FALSE)</f>
        <v>C2</v>
      </c>
      <c r="J329" s="89">
        <v>143.89599999999999</v>
      </c>
      <c r="K329" s="87">
        <v>159.44980420973766</v>
      </c>
      <c r="L329" s="87">
        <v>176</v>
      </c>
      <c r="M329" s="89"/>
      <c r="N329" s="89"/>
      <c r="O329" s="87" t="s">
        <v>187</v>
      </c>
      <c r="P329" s="87" t="s">
        <v>226</v>
      </c>
      <c r="Q329" s="229" t="s">
        <v>197</v>
      </c>
      <c r="R329" s="87" t="str">
        <f>VLOOKUP(E329,'PREMIUM TABLES'!$F$214:$G$219,2,FALSE)</f>
        <v>THIRD</v>
      </c>
      <c r="S329" s="87" t="str" cm="1">
        <f t="array" ref="S329">IF(AND(L329&gt;0,L329&lt;90),"A",IF(AND(L329&gt;90,L329&lt;123),"B",IF(AND(L329&gt;122,L329&lt;159),"C",IF(AND(L329&gt;159,L329&lt;185),"D",IF(AND(L329&gt;185,L329&lt;230),"E",IF(AND(L329&gt;230,L329&lt;350),"F",NONE))))))</f>
        <v>D</v>
      </c>
      <c r="T329" s="230">
        <f>VLOOKUP(O329,'PREMIUM TABLES'!$G$165:$H$172,2,FALSE)</f>
        <v>0.08</v>
      </c>
      <c r="U329" s="230">
        <f>VLOOKUP(P329,'PREMIUM TABLES'!$G$208:$H$209,2,FALSE)</f>
        <v>0.05</v>
      </c>
      <c r="V329" s="230">
        <f>VLOOKUP(Q329,'PREMIUM TABLES'!$G$175:$H$195,2,FALSE)</f>
        <v>0.16</v>
      </c>
      <c r="W329" s="230">
        <f>VLOOKUP(R329,'PREMIUM TABLES'!$G$214:$H$219,2,FALSE)</f>
        <v>0.15</v>
      </c>
      <c r="X329" s="230">
        <f>VLOOKUP(S329,'PREMIUM TABLES'!$F$199:$H$205,3,FALSE)</f>
        <v>2.5000000000000001E-2</v>
      </c>
      <c r="Y329" s="231">
        <f t="shared" si="53"/>
        <v>0.46500000000000008</v>
      </c>
      <c r="Z329" s="231" t="str" cm="1">
        <f t="array" ref="Z329">IF(AND(Y329&gt;0,Y329&lt;0.5),"C",IF(AND(Y329&gt;=0.5,Y329&lt;0.73),"B",IF(AND(Y329&gt;=0.73,Y329&lt;0.98),"A",NONE)))</f>
        <v>C</v>
      </c>
      <c r="AA329" s="231" t="str">
        <f>VLOOKUP(G329,'ALL (R)'!$N$5:$R$862,5,FALSE)</f>
        <v>R 11</v>
      </c>
      <c r="AB329" s="232">
        <f>VLOOKUP(AA329,FACTS!$B$2:$L$14,10,FALSE)</f>
        <v>58649.999999999993</v>
      </c>
      <c r="AC329" s="232">
        <f>VLOOKUP(AA329,FACTS!$B$2:$L$14,11,FALSE)</f>
        <v>65550</v>
      </c>
      <c r="AD329" s="232">
        <f>VLOOKUP(AA329,FACTS!$B$2:$N$14,13,FALSE)</f>
        <v>6900.0000000000073</v>
      </c>
      <c r="AE329" s="232">
        <f t="shared" si="54"/>
        <v>3208.5000000000041</v>
      </c>
      <c r="AF329" s="232">
        <f t="shared" si="55"/>
        <v>61858.5</v>
      </c>
      <c r="AG329" s="232">
        <f>AF329*FACTS!$T$2</f>
        <v>20413.305</v>
      </c>
      <c r="AH329" s="232">
        <f>Table1[[#This Row],[UNIT (BUILDING) RATE (SEMI FINISHED)]]+4500</f>
        <v>66358.5</v>
      </c>
      <c r="AI329" s="232">
        <f>Table1[[#This Row],[UNIT (BUILDING) RATE (SEMI FINISHED)]]+7500</f>
        <v>69358.5</v>
      </c>
      <c r="AJ329" s="232">
        <f t="shared" si="56"/>
        <v>10887096</v>
      </c>
      <c r="AK329" s="232">
        <f>Table1[[#This Row],[UNIT (BUILDING) RATE (BASIC FINISH)]]*Table1[[#This Row],[Unit Selling Area]]</f>
        <v>11679096</v>
      </c>
      <c r="AL329" s="232">
        <f>Table1[[#This Row],[UNIT (BUILDING) RATE (FULLY FINISH)]]*Table1[[#This Row],[Unit Selling Area]]</f>
        <v>12207096</v>
      </c>
      <c r="AM329" s="232">
        <f t="shared" si="57"/>
        <v>0</v>
      </c>
      <c r="AN329" s="232">
        <f>(AM329+AJ329)*FACTS!$S$2</f>
        <v>925403.16</v>
      </c>
      <c r="AO329" s="101">
        <f>VLOOKUP(S329,FACTS!$A$17:$C$23,3,FALSE)</f>
        <v>2</v>
      </c>
      <c r="AP329" s="232">
        <f>VLOOKUP(AA329,FACTS!$B$2:$J$14,9,FALSE)</f>
        <v>276000</v>
      </c>
      <c r="AQ329" s="232">
        <f>Table1[[#This Row],[PARKING VALUE]]*1</f>
        <v>276000</v>
      </c>
      <c r="AR329" s="232">
        <f t="shared" si="52"/>
        <v>11163096</v>
      </c>
      <c r="AS329" s="440">
        <f>Table1[[#This Row],[TOTAL CARS VALUE]]+Table1[[#This Row],[UNIT (BUILDING) VALUE BASIC FINISHED]]+Table1[[#This Row],[UNIT (GARDEN) VALUE]]</f>
        <v>11955096</v>
      </c>
      <c r="AT329" s="232">
        <f>Table1[[#This Row],[TOTAL CARS VALUE]]+Table1[[#This Row],[UNIT (GARDEN) VALUE]]+Table1[[#This Row],[UNIT (BUILDING) VALUE FULLY FINISHED]]</f>
        <v>12483096</v>
      </c>
      <c r="AU329" s="233">
        <f>VLOOKUP(I329,'C PHASES'!$I$108:$J$110,2,FALSE)</f>
        <v>46204</v>
      </c>
      <c r="AV329" s="233">
        <f>VLOOKUP(AA329,'C PHASES'!$I$113:$J$125,2,FALSE)</f>
        <v>46113</v>
      </c>
    </row>
    <row r="330" spans="1:48" ht="26.25" customHeight="1" x14ac:dyDescent="0.25">
      <c r="A330" s="236"/>
      <c r="B330" s="227" t="str">
        <f t="shared" si="51"/>
        <v>B</v>
      </c>
      <c r="C330" s="227" t="s">
        <v>52</v>
      </c>
      <c r="D330" s="227" t="s">
        <v>1147</v>
      </c>
      <c r="E330" s="228">
        <v>3</v>
      </c>
      <c r="F330" s="101">
        <v>2</v>
      </c>
      <c r="G330" s="87" t="str">
        <f t="shared" si="50"/>
        <v>B832</v>
      </c>
      <c r="H330" s="87" t="s">
        <v>1295</v>
      </c>
      <c r="I330" s="89" t="str">
        <f>VLOOKUP(C330,'PREMIUM TABLES'!$G$107:$H$149,2,FALSE)</f>
        <v>C2</v>
      </c>
      <c r="J330" s="89">
        <v>187.20400000000001</v>
      </c>
      <c r="K330" s="87">
        <v>207.4389916834362</v>
      </c>
      <c r="L330" s="87">
        <v>228</v>
      </c>
      <c r="M330" s="89"/>
      <c r="N330" s="89"/>
      <c r="O330" s="87" t="s">
        <v>180</v>
      </c>
      <c r="P330" s="87" t="s">
        <v>226</v>
      </c>
      <c r="Q330" s="229" t="s">
        <v>210</v>
      </c>
      <c r="R330" s="87" t="str">
        <f>VLOOKUP(E330,'PREMIUM TABLES'!$F$214:$G$219,2,FALSE)</f>
        <v>THIRD</v>
      </c>
      <c r="S330" s="87" t="str" cm="1">
        <f t="array" ref="S330">IF(AND(L330&gt;0,L330&lt;90),"A",IF(AND(L330&gt;90,L330&lt;123),"B",IF(AND(L330&gt;122,L330&lt;159),"C",IF(AND(L330&gt;159,L330&lt;185),"D",IF(AND(L330&gt;185,L330&lt;230),"E",IF(AND(L330&gt;230,L330&lt;350),"F",NONE))))))</f>
        <v>E</v>
      </c>
      <c r="T330" s="230">
        <f>VLOOKUP(O330,'PREMIUM TABLES'!$G$165:$H$172,2,FALSE)</f>
        <v>0.13</v>
      </c>
      <c r="U330" s="230">
        <f>VLOOKUP(P330,'PREMIUM TABLES'!$G$208:$H$209,2,FALSE)</f>
        <v>0.05</v>
      </c>
      <c r="V330" s="230">
        <f>VLOOKUP(Q330,'PREMIUM TABLES'!$G$175:$H$195,2,FALSE)</f>
        <v>0.53</v>
      </c>
      <c r="W330" s="230">
        <f>VLOOKUP(R330,'PREMIUM TABLES'!$G$214:$H$219,2,FALSE)</f>
        <v>0.15</v>
      </c>
      <c r="X330" s="230">
        <f>VLOOKUP(S330,'PREMIUM TABLES'!$F$199:$H$205,3,FALSE)</f>
        <v>1.4999999999999999E-2</v>
      </c>
      <c r="Y330" s="231">
        <f t="shared" si="53"/>
        <v>0.875</v>
      </c>
      <c r="Z330" s="231" t="str" cm="1">
        <f t="array" ref="Z330">IF(AND(Y330&gt;0,Y330&lt;0.5),"C",IF(AND(Y330&gt;=0.5,Y330&lt;0.73),"B",IF(AND(Y330&gt;=0.73,Y330&lt;0.98),"A",NONE)))</f>
        <v>A</v>
      </c>
      <c r="AA330" s="231" t="str">
        <f>VLOOKUP(G330,'ALL (R)'!$N$5:$R$862,5,FALSE)</f>
        <v>R 9</v>
      </c>
      <c r="AB330" s="232">
        <f>VLOOKUP(AA330,FACTS!$B$2:$L$14,10,FALSE)</f>
        <v>53550</v>
      </c>
      <c r="AC330" s="232">
        <f>VLOOKUP(AA330,FACTS!$B$2:$L$14,11,FALSE)</f>
        <v>59850</v>
      </c>
      <c r="AD330" s="232">
        <f>VLOOKUP(AA330,FACTS!$B$2:$N$14,13,FALSE)</f>
        <v>6300</v>
      </c>
      <c r="AE330" s="232">
        <f t="shared" si="54"/>
        <v>5512.5</v>
      </c>
      <c r="AF330" s="232">
        <f t="shared" si="55"/>
        <v>59062.5</v>
      </c>
      <c r="AG330" s="232">
        <f>AF330*FACTS!$T$2</f>
        <v>19490.625</v>
      </c>
      <c r="AH330" s="232">
        <f>Table1[[#This Row],[UNIT (BUILDING) RATE (SEMI FINISHED)]]+4500</f>
        <v>63562.5</v>
      </c>
      <c r="AI330" s="232">
        <f>Table1[[#This Row],[UNIT (BUILDING) RATE (SEMI FINISHED)]]+7500</f>
        <v>66562.5</v>
      </c>
      <c r="AJ330" s="232">
        <f t="shared" si="56"/>
        <v>13466250</v>
      </c>
      <c r="AK330" s="232">
        <f>Table1[[#This Row],[UNIT (BUILDING) RATE (BASIC FINISH)]]*Table1[[#This Row],[Unit Selling Area]]</f>
        <v>14492250</v>
      </c>
      <c r="AL330" s="232">
        <f>Table1[[#This Row],[UNIT (BUILDING) RATE (FULLY FINISH)]]*Table1[[#This Row],[Unit Selling Area]]</f>
        <v>15176250</v>
      </c>
      <c r="AM330" s="232">
        <f t="shared" si="57"/>
        <v>0</v>
      </c>
      <c r="AN330" s="232">
        <f>(AM330+AJ330)*FACTS!$S$2</f>
        <v>1144631.25</v>
      </c>
      <c r="AO330" s="101">
        <f>VLOOKUP(S330,FACTS!$A$17:$C$23,3,FALSE)</f>
        <v>2</v>
      </c>
      <c r="AP330" s="232">
        <f>VLOOKUP(AA330,FACTS!$B$2:$J$14,9,FALSE)</f>
        <v>252000</v>
      </c>
      <c r="AQ330" s="232">
        <f>Table1[[#This Row],[PARKING VALUE]]*1</f>
        <v>252000</v>
      </c>
      <c r="AR330" s="232">
        <f t="shared" si="52"/>
        <v>13718250</v>
      </c>
      <c r="AS330" s="440">
        <f>Table1[[#This Row],[TOTAL CARS VALUE]]+Table1[[#This Row],[UNIT (BUILDING) VALUE BASIC FINISHED]]+Table1[[#This Row],[UNIT (GARDEN) VALUE]]</f>
        <v>14744250</v>
      </c>
      <c r="AT330" s="232">
        <f>Table1[[#This Row],[TOTAL CARS VALUE]]+Table1[[#This Row],[UNIT (GARDEN) VALUE]]+Table1[[#This Row],[UNIT (BUILDING) VALUE FULLY FINISHED]]</f>
        <v>15428250</v>
      </c>
      <c r="AU330" s="233">
        <f>VLOOKUP(I330,'C PHASES'!$I$108:$J$110,2,FALSE)</f>
        <v>46204</v>
      </c>
      <c r="AV330" s="233">
        <f>VLOOKUP(AA330,'C PHASES'!$I$113:$J$125,2,FALSE)</f>
        <v>45931</v>
      </c>
    </row>
    <row r="331" spans="1:48" ht="26.25" customHeight="1" x14ac:dyDescent="0.25">
      <c r="A331" s="236"/>
      <c r="B331" s="227" t="str">
        <f t="shared" si="51"/>
        <v>B</v>
      </c>
      <c r="C331" s="227" t="s">
        <v>52</v>
      </c>
      <c r="D331" s="227" t="s">
        <v>1147</v>
      </c>
      <c r="E331" s="228">
        <v>3</v>
      </c>
      <c r="F331" s="101">
        <v>3</v>
      </c>
      <c r="G331" s="87" t="str">
        <f t="shared" si="50"/>
        <v>B833</v>
      </c>
      <c r="H331" s="87" t="s">
        <v>1294</v>
      </c>
      <c r="I331" s="89" t="str">
        <f>VLOOKUP(C331,'PREMIUM TABLES'!$G$107:$H$149,2,FALSE)</f>
        <v>C2</v>
      </c>
      <c r="J331" s="89">
        <v>164.417</v>
      </c>
      <c r="K331" s="87">
        <v>182.18893130283288</v>
      </c>
      <c r="L331" s="87">
        <v>201</v>
      </c>
      <c r="M331" s="89"/>
      <c r="N331" s="89"/>
      <c r="O331" s="87" t="s">
        <v>180</v>
      </c>
      <c r="P331" s="87" t="s">
        <v>190</v>
      </c>
      <c r="Q331" s="229" t="s">
        <v>210</v>
      </c>
      <c r="R331" s="87" t="str">
        <f>VLOOKUP(E331,'PREMIUM TABLES'!$F$214:$G$219,2,FALSE)</f>
        <v>THIRD</v>
      </c>
      <c r="S331" s="87" t="str" cm="1">
        <f t="array" ref="S331">IF(AND(L331&gt;0,L331&lt;90),"A",IF(AND(L331&gt;90,L331&lt;123),"B",IF(AND(L331&gt;122,L331&lt;159),"C",IF(AND(L331&gt;159,L331&lt;185),"D",IF(AND(L331&gt;185,L331&lt;230),"E",IF(AND(L331&gt;230,L331&lt;350),"F",NONE))))))</f>
        <v>E</v>
      </c>
      <c r="T331" s="230">
        <f>VLOOKUP(O331,'PREMIUM TABLES'!$G$165:$H$172,2,FALSE)</f>
        <v>0.13</v>
      </c>
      <c r="U331" s="230">
        <f>VLOOKUP(P331,'PREMIUM TABLES'!$G$208:$H$209,2,FALSE)</f>
        <v>2.5000000000000001E-2</v>
      </c>
      <c r="V331" s="230">
        <f>VLOOKUP(Q331,'PREMIUM TABLES'!$G$175:$H$195,2,FALSE)</f>
        <v>0.53</v>
      </c>
      <c r="W331" s="230">
        <f>VLOOKUP(R331,'PREMIUM TABLES'!$G$214:$H$219,2,FALSE)</f>
        <v>0.15</v>
      </c>
      <c r="X331" s="230">
        <f>VLOOKUP(S331,'PREMIUM TABLES'!$F$199:$H$205,3,FALSE)</f>
        <v>1.4999999999999999E-2</v>
      </c>
      <c r="Y331" s="231">
        <f t="shared" si="53"/>
        <v>0.85000000000000009</v>
      </c>
      <c r="Z331" s="231" t="str" cm="1">
        <f t="array" ref="Z331">IF(AND(Y331&gt;0,Y331&lt;0.5),"C",IF(AND(Y331&gt;=0.5,Y331&lt;0.73),"B",IF(AND(Y331&gt;=0.73,Y331&lt;0.98),"A",NONE)))</f>
        <v>A</v>
      </c>
      <c r="AA331" s="231" t="str">
        <f>VLOOKUP(G331,'ALL (R)'!$N$5:$R$862,5,FALSE)</f>
        <v>R 8</v>
      </c>
      <c r="AB331" s="232">
        <f>VLOOKUP(AA331,FACTS!$B$2:$L$14,10,FALSE)</f>
        <v>51850</v>
      </c>
      <c r="AC331" s="232">
        <f>VLOOKUP(AA331,FACTS!$B$2:$L$14,11,FALSE)</f>
        <v>57950</v>
      </c>
      <c r="AD331" s="232">
        <f>VLOOKUP(AA331,FACTS!$B$2:$N$14,13,FALSE)</f>
        <v>6100</v>
      </c>
      <c r="AE331" s="232">
        <f t="shared" si="54"/>
        <v>5185.0000000000009</v>
      </c>
      <c r="AF331" s="232">
        <f t="shared" si="55"/>
        <v>57035</v>
      </c>
      <c r="AG331" s="232">
        <f>AF331*FACTS!$T$2</f>
        <v>18821.55</v>
      </c>
      <c r="AH331" s="232">
        <f>Table1[[#This Row],[UNIT (BUILDING) RATE (SEMI FINISHED)]]+4500</f>
        <v>61535</v>
      </c>
      <c r="AI331" s="232">
        <f>Table1[[#This Row],[UNIT (BUILDING) RATE (SEMI FINISHED)]]+7500</f>
        <v>64535</v>
      </c>
      <c r="AJ331" s="232">
        <f t="shared" si="56"/>
        <v>11464035</v>
      </c>
      <c r="AK331" s="232">
        <f>Table1[[#This Row],[UNIT (BUILDING) RATE (BASIC FINISH)]]*Table1[[#This Row],[Unit Selling Area]]</f>
        <v>12368535</v>
      </c>
      <c r="AL331" s="232">
        <f>Table1[[#This Row],[UNIT (BUILDING) RATE (FULLY FINISH)]]*Table1[[#This Row],[Unit Selling Area]]</f>
        <v>12971535</v>
      </c>
      <c r="AM331" s="232">
        <f t="shared" si="57"/>
        <v>0</v>
      </c>
      <c r="AN331" s="232">
        <f>(AM331+AJ331)*FACTS!$S$2</f>
        <v>974442.97500000009</v>
      </c>
      <c r="AO331" s="101">
        <f>VLOOKUP(S331,FACTS!$A$17:$C$23,3,FALSE)</f>
        <v>2</v>
      </c>
      <c r="AP331" s="232">
        <f>VLOOKUP(AA331,FACTS!$B$2:$J$14,9,FALSE)</f>
        <v>244000</v>
      </c>
      <c r="AQ331" s="232">
        <f>Table1[[#This Row],[PARKING VALUE]]*1</f>
        <v>244000</v>
      </c>
      <c r="AR331" s="232">
        <f t="shared" si="52"/>
        <v>11708035</v>
      </c>
      <c r="AS331" s="440">
        <f>Table1[[#This Row],[TOTAL CARS VALUE]]+Table1[[#This Row],[UNIT (BUILDING) VALUE BASIC FINISHED]]+Table1[[#This Row],[UNIT (GARDEN) VALUE]]</f>
        <v>12612535</v>
      </c>
      <c r="AT331" s="232">
        <f>Table1[[#This Row],[TOTAL CARS VALUE]]+Table1[[#This Row],[UNIT (GARDEN) VALUE]]+Table1[[#This Row],[UNIT (BUILDING) VALUE FULLY FINISHED]]</f>
        <v>13215535</v>
      </c>
      <c r="AU331" s="233">
        <f>VLOOKUP(I331,'C PHASES'!$I$108:$J$110,2,FALSE)</f>
        <v>46204</v>
      </c>
      <c r="AV331" s="233">
        <f>VLOOKUP(AA331,'C PHASES'!$I$113:$J$125,2,FALSE)</f>
        <v>45839</v>
      </c>
    </row>
    <row r="332" spans="1:48" ht="27" customHeight="1" x14ac:dyDescent="0.25">
      <c r="A332" s="236"/>
      <c r="B332" s="227" t="str">
        <f t="shared" si="51"/>
        <v>B</v>
      </c>
      <c r="C332" s="227" t="s">
        <v>52</v>
      </c>
      <c r="D332" s="227" t="s">
        <v>1147</v>
      </c>
      <c r="E332" s="228">
        <v>3</v>
      </c>
      <c r="F332" s="101">
        <v>4</v>
      </c>
      <c r="G332" s="87" t="str">
        <f t="shared" si="50"/>
        <v>B834</v>
      </c>
      <c r="H332" s="87" t="s">
        <v>1294</v>
      </c>
      <c r="I332" s="89" t="str">
        <f>VLOOKUP(C332,'PREMIUM TABLES'!$G$107:$H$149,2,FALSE)</f>
        <v>C2</v>
      </c>
      <c r="J332" s="89">
        <v>141.07300000000001</v>
      </c>
      <c r="K332" s="87">
        <v>156.32166446100189</v>
      </c>
      <c r="L332" s="87">
        <v>172</v>
      </c>
      <c r="M332" s="89"/>
      <c r="N332" s="89"/>
      <c r="O332" s="87" t="s">
        <v>187</v>
      </c>
      <c r="P332" s="87" t="s">
        <v>190</v>
      </c>
      <c r="Q332" s="229" t="s">
        <v>197</v>
      </c>
      <c r="R332" s="87" t="str">
        <f>VLOOKUP(E332,'PREMIUM TABLES'!$F$214:$G$219,2,FALSE)</f>
        <v>THIRD</v>
      </c>
      <c r="S332" s="87" t="str" cm="1">
        <f t="array" ref="S332">IF(AND(L332&gt;0,L332&lt;90),"A",IF(AND(L332&gt;90,L332&lt;123),"B",IF(AND(L332&gt;122,L332&lt;159),"C",IF(AND(L332&gt;159,L332&lt;185),"D",IF(AND(L332&gt;185,L332&lt;230),"E",IF(AND(L332&gt;230,L332&lt;350),"F",NONE))))))</f>
        <v>D</v>
      </c>
      <c r="T332" s="230">
        <f>VLOOKUP(O332,'PREMIUM TABLES'!$G$165:$H$172,2,FALSE)</f>
        <v>0.08</v>
      </c>
      <c r="U332" s="230">
        <f>VLOOKUP(P332,'PREMIUM TABLES'!$G$208:$H$209,2,FALSE)</f>
        <v>2.5000000000000001E-2</v>
      </c>
      <c r="V332" s="230">
        <f>VLOOKUP(Q332,'PREMIUM TABLES'!$G$175:$H$195,2,FALSE)</f>
        <v>0.16</v>
      </c>
      <c r="W332" s="230">
        <f>VLOOKUP(R332,'PREMIUM TABLES'!$G$214:$H$219,2,FALSE)</f>
        <v>0.15</v>
      </c>
      <c r="X332" s="230">
        <f>VLOOKUP(S332,'PREMIUM TABLES'!$F$199:$H$205,3,FALSE)</f>
        <v>2.5000000000000001E-2</v>
      </c>
      <c r="Y332" s="231">
        <f t="shared" si="53"/>
        <v>0.44000000000000006</v>
      </c>
      <c r="Z332" s="231" t="str" cm="1">
        <f t="array" ref="Z332">IF(AND(Y332&gt;0,Y332&lt;0.5),"C",IF(AND(Y332&gt;=0.5,Y332&lt;0.73),"B",IF(AND(Y332&gt;=0.73,Y332&lt;0.98),"A",NONE)))</f>
        <v>C</v>
      </c>
      <c r="AA332" s="231" t="str">
        <f>VLOOKUP(G332,'ALL (R)'!$N$5:$R$862,5,FALSE)</f>
        <v>R 9</v>
      </c>
      <c r="AB332" s="232">
        <f>VLOOKUP(AA332,FACTS!$B$2:$L$14,10,FALSE)</f>
        <v>53550</v>
      </c>
      <c r="AC332" s="232">
        <f>VLOOKUP(AA332,FACTS!$B$2:$L$14,11,FALSE)</f>
        <v>59850</v>
      </c>
      <c r="AD332" s="232">
        <f>VLOOKUP(AA332,FACTS!$B$2:$N$14,13,FALSE)</f>
        <v>6300</v>
      </c>
      <c r="AE332" s="232">
        <f t="shared" si="54"/>
        <v>2772.0000000000005</v>
      </c>
      <c r="AF332" s="232">
        <f t="shared" si="55"/>
        <v>56322</v>
      </c>
      <c r="AG332" s="232">
        <f>AF332*FACTS!$T$2</f>
        <v>18586.260000000002</v>
      </c>
      <c r="AH332" s="232">
        <f>Table1[[#This Row],[UNIT (BUILDING) RATE (SEMI FINISHED)]]+4500</f>
        <v>60822</v>
      </c>
      <c r="AI332" s="232">
        <f>Table1[[#This Row],[UNIT (BUILDING) RATE (SEMI FINISHED)]]+7500</f>
        <v>63822</v>
      </c>
      <c r="AJ332" s="232">
        <f t="shared" si="56"/>
        <v>9687384</v>
      </c>
      <c r="AK332" s="232">
        <f>Table1[[#This Row],[UNIT (BUILDING) RATE (BASIC FINISH)]]*Table1[[#This Row],[Unit Selling Area]]</f>
        <v>10461384</v>
      </c>
      <c r="AL332" s="232">
        <f>Table1[[#This Row],[UNIT (BUILDING) RATE (FULLY FINISH)]]*Table1[[#This Row],[Unit Selling Area]]</f>
        <v>10977384</v>
      </c>
      <c r="AM332" s="232">
        <f t="shared" si="57"/>
        <v>0</v>
      </c>
      <c r="AN332" s="232">
        <f>(AM332+AJ332)*FACTS!$S$2</f>
        <v>823427.64</v>
      </c>
      <c r="AO332" s="101">
        <f>VLOOKUP(S332,FACTS!$A$17:$C$23,3,FALSE)</f>
        <v>2</v>
      </c>
      <c r="AP332" s="232">
        <f>VLOOKUP(AA332,FACTS!$B$2:$J$14,9,FALSE)</f>
        <v>252000</v>
      </c>
      <c r="AQ332" s="232">
        <f>Table1[[#This Row],[PARKING VALUE]]*1</f>
        <v>252000</v>
      </c>
      <c r="AR332" s="232">
        <f t="shared" si="52"/>
        <v>9939384</v>
      </c>
      <c r="AS332" s="440">
        <f>Table1[[#This Row],[TOTAL CARS VALUE]]+Table1[[#This Row],[UNIT (BUILDING) VALUE BASIC FINISHED]]+Table1[[#This Row],[UNIT (GARDEN) VALUE]]</f>
        <v>10713384</v>
      </c>
      <c r="AT332" s="232">
        <f>Table1[[#This Row],[TOTAL CARS VALUE]]+Table1[[#This Row],[UNIT (GARDEN) VALUE]]+Table1[[#This Row],[UNIT (BUILDING) VALUE FULLY FINISHED]]</f>
        <v>11229384</v>
      </c>
      <c r="AU332" s="233">
        <f>VLOOKUP(I332,'C PHASES'!$I$108:$J$110,2,FALSE)</f>
        <v>46204</v>
      </c>
      <c r="AV332" s="233">
        <f>VLOOKUP(AA332,'C PHASES'!$I$113:$J$125,2,FALSE)</f>
        <v>45931</v>
      </c>
    </row>
    <row r="333" spans="1:48" ht="26.25" customHeight="1" x14ac:dyDescent="0.25">
      <c r="A333" s="236"/>
      <c r="B333" s="227" t="str">
        <f t="shared" si="51"/>
        <v>B</v>
      </c>
      <c r="C333" s="227" t="s">
        <v>52</v>
      </c>
      <c r="D333" s="227" t="s">
        <v>1147</v>
      </c>
      <c r="E333" s="228">
        <v>4</v>
      </c>
      <c r="F333" s="101">
        <v>1</v>
      </c>
      <c r="G333" s="87" t="str">
        <f t="shared" si="50"/>
        <v>B841</v>
      </c>
      <c r="H333" s="87" t="s">
        <v>1294</v>
      </c>
      <c r="I333" s="89" t="str">
        <f>VLOOKUP(C333,'PREMIUM TABLES'!$G$107:$H$149,2,FALSE)</f>
        <v>C2</v>
      </c>
      <c r="J333" s="89">
        <v>141.929</v>
      </c>
      <c r="K333" s="87">
        <v>157.27019001003407</v>
      </c>
      <c r="L333" s="87">
        <v>173</v>
      </c>
      <c r="M333" s="89"/>
      <c r="N333" s="89"/>
      <c r="O333" s="87" t="s">
        <v>187</v>
      </c>
      <c r="P333" s="87" t="s">
        <v>226</v>
      </c>
      <c r="Q333" s="229" t="s">
        <v>197</v>
      </c>
      <c r="R333" s="87" t="str">
        <f>VLOOKUP(E333,'PREMIUM TABLES'!$F$214:$G$219,2,FALSE)</f>
        <v>FORTH</v>
      </c>
      <c r="S333" s="87" t="str" cm="1">
        <f t="array" ref="S333">IF(AND(L333&gt;0,L333&lt;90),"A",IF(AND(L333&gt;90,L333&lt;123),"B",IF(AND(L333&gt;122,L333&lt;159),"C",IF(AND(L333&gt;159,L333&lt;185),"D",IF(AND(L333&gt;185,L333&lt;230),"E",IF(AND(L333&gt;230,L333&lt;350),"F",NONE))))))</f>
        <v>D</v>
      </c>
      <c r="T333" s="230">
        <f>VLOOKUP(O333,'PREMIUM TABLES'!$G$165:$H$172,2,FALSE)</f>
        <v>0.08</v>
      </c>
      <c r="U333" s="230">
        <f>VLOOKUP(P333,'PREMIUM TABLES'!$G$208:$H$209,2,FALSE)</f>
        <v>0.05</v>
      </c>
      <c r="V333" s="230">
        <f>VLOOKUP(Q333,'PREMIUM TABLES'!$G$175:$H$195,2,FALSE)</f>
        <v>0.16</v>
      </c>
      <c r="W333" s="230">
        <f>VLOOKUP(R333,'PREMIUM TABLES'!$G$214:$H$219,2,FALSE)</f>
        <v>0.06</v>
      </c>
      <c r="X333" s="230">
        <f>VLOOKUP(S333,'PREMIUM TABLES'!$F$199:$H$205,3,FALSE)</f>
        <v>2.5000000000000001E-2</v>
      </c>
      <c r="Y333" s="231">
        <f t="shared" si="53"/>
        <v>0.37500000000000006</v>
      </c>
      <c r="Z333" s="231" t="str" cm="1">
        <f t="array" ref="Z333">IF(AND(Y333&gt;0,Y333&lt;0.5),"C",IF(AND(Y333&gt;=0.5,Y333&lt;0.73),"B",IF(AND(Y333&gt;=0.73,Y333&lt;0.98),"A",NONE)))</f>
        <v>C</v>
      </c>
      <c r="AA333" s="231" t="str">
        <f>VLOOKUP(G333,'ALL (R)'!$N$5:$R$862,5,FALSE)</f>
        <v>R 3</v>
      </c>
      <c r="AB333" s="232">
        <f>VLOOKUP(AA333,FACTS!$B$2:$L$14,10,FALSE)</f>
        <v>44625</v>
      </c>
      <c r="AC333" s="232">
        <f>VLOOKUP(AA333,FACTS!$B$2:$L$14,11,FALSE)</f>
        <v>49875</v>
      </c>
      <c r="AD333" s="232">
        <f>VLOOKUP(AA333,FACTS!$B$2:$N$14,13,FALSE)</f>
        <v>5250</v>
      </c>
      <c r="AE333" s="232">
        <f t="shared" si="54"/>
        <v>1968.7500000000002</v>
      </c>
      <c r="AF333" s="232">
        <f t="shared" si="55"/>
        <v>46593.75</v>
      </c>
      <c r="AG333" s="232">
        <f>AF333*FACTS!$T$2</f>
        <v>15375.9375</v>
      </c>
      <c r="AH333" s="232">
        <f>Table1[[#This Row],[UNIT (BUILDING) RATE (SEMI FINISHED)]]+4500</f>
        <v>51093.75</v>
      </c>
      <c r="AI333" s="232">
        <f>Table1[[#This Row],[UNIT (BUILDING) RATE (SEMI FINISHED)]]+7500</f>
        <v>54093.75</v>
      </c>
      <c r="AJ333" s="232">
        <f t="shared" si="56"/>
        <v>8060718.75</v>
      </c>
      <c r="AK333" s="232">
        <f>Table1[[#This Row],[UNIT (BUILDING) RATE (BASIC FINISH)]]*Table1[[#This Row],[Unit Selling Area]]</f>
        <v>8839218.75</v>
      </c>
      <c r="AL333" s="232">
        <f>Table1[[#This Row],[UNIT (BUILDING) RATE (FULLY FINISH)]]*Table1[[#This Row],[Unit Selling Area]]</f>
        <v>9358218.75</v>
      </c>
      <c r="AM333" s="232">
        <f t="shared" si="57"/>
        <v>0</v>
      </c>
      <c r="AN333" s="232">
        <f>(AM333+AJ333)*FACTS!$S$2</f>
        <v>685161.09375</v>
      </c>
      <c r="AO333" s="101">
        <f>VLOOKUP(S333,FACTS!$A$17:$C$23,3,FALSE)</f>
        <v>2</v>
      </c>
      <c r="AP333" s="232">
        <f>VLOOKUP(AA333,FACTS!$B$2:$J$14,9,FALSE)</f>
        <v>210000</v>
      </c>
      <c r="AQ333" s="232">
        <f>Table1[[#This Row],[PARKING VALUE]]*1</f>
        <v>210000</v>
      </c>
      <c r="AR333" s="232">
        <f t="shared" si="52"/>
        <v>8270718.75</v>
      </c>
      <c r="AS333" s="440">
        <f>Table1[[#This Row],[TOTAL CARS VALUE]]+Table1[[#This Row],[UNIT (BUILDING) VALUE BASIC FINISHED]]+Table1[[#This Row],[UNIT (GARDEN) VALUE]]</f>
        <v>9049218.75</v>
      </c>
      <c r="AT333" s="232">
        <f>Table1[[#This Row],[TOTAL CARS VALUE]]+Table1[[#This Row],[UNIT (GARDEN) VALUE]]+Table1[[#This Row],[UNIT (BUILDING) VALUE FULLY FINISHED]]</f>
        <v>9568218.75</v>
      </c>
      <c r="AU333" s="233">
        <f>VLOOKUP(I333,'C PHASES'!$I$108:$J$110,2,FALSE)</f>
        <v>46204</v>
      </c>
      <c r="AV333" s="233">
        <f>VLOOKUP(AA333,'C PHASES'!$I$113:$J$125,2,FALSE)</f>
        <v>45383</v>
      </c>
    </row>
    <row r="334" spans="1:48" ht="26.25" customHeight="1" x14ac:dyDescent="0.25">
      <c r="A334" s="236"/>
      <c r="B334" s="227" t="str">
        <f t="shared" si="51"/>
        <v>B</v>
      </c>
      <c r="C334" s="227" t="s">
        <v>52</v>
      </c>
      <c r="D334" s="227" t="s">
        <v>1147</v>
      </c>
      <c r="E334" s="228">
        <v>4</v>
      </c>
      <c r="F334" s="101">
        <v>2</v>
      </c>
      <c r="G334" s="87" t="str">
        <f t="shared" si="50"/>
        <v>B842</v>
      </c>
      <c r="H334" s="87" t="s">
        <v>1295</v>
      </c>
      <c r="I334" s="89" t="str">
        <f>VLOOKUP(C334,'PREMIUM TABLES'!$G$107:$H$149,2,FALSE)</f>
        <v>C2</v>
      </c>
      <c r="J334" s="89">
        <v>182.36099999999999</v>
      </c>
      <c r="K334" s="87">
        <v>202.07250893347955</v>
      </c>
      <c r="L334" s="87">
        <v>222</v>
      </c>
      <c r="M334" s="89"/>
      <c r="N334" s="89"/>
      <c r="O334" s="87" t="s">
        <v>180</v>
      </c>
      <c r="P334" s="87" t="s">
        <v>226</v>
      </c>
      <c r="Q334" s="229" t="s">
        <v>210</v>
      </c>
      <c r="R334" s="87" t="str">
        <f>VLOOKUP(E334,'PREMIUM TABLES'!$F$214:$G$219,2,FALSE)</f>
        <v>FORTH</v>
      </c>
      <c r="S334" s="87" t="str" cm="1">
        <f t="array" ref="S334">IF(AND(L334&gt;0,L334&lt;90),"A",IF(AND(L334&gt;90,L334&lt;123),"B",IF(AND(L334&gt;122,L334&lt;159),"C",IF(AND(L334&gt;159,L334&lt;185),"D",IF(AND(L334&gt;185,L334&lt;230),"E",IF(AND(L334&gt;230,L334&lt;350),"F",NONE))))))</f>
        <v>E</v>
      </c>
      <c r="T334" s="230">
        <f>VLOOKUP(O334,'PREMIUM TABLES'!$G$165:$H$172,2,FALSE)</f>
        <v>0.13</v>
      </c>
      <c r="U334" s="230">
        <f>VLOOKUP(P334,'PREMIUM TABLES'!$G$208:$H$209,2,FALSE)</f>
        <v>0.05</v>
      </c>
      <c r="V334" s="230">
        <f>VLOOKUP(Q334,'PREMIUM TABLES'!$G$175:$H$195,2,FALSE)</f>
        <v>0.53</v>
      </c>
      <c r="W334" s="230">
        <f>VLOOKUP(R334,'PREMIUM TABLES'!$G$214:$H$219,2,FALSE)</f>
        <v>0.06</v>
      </c>
      <c r="X334" s="230">
        <f>VLOOKUP(S334,'PREMIUM TABLES'!$F$199:$H$205,3,FALSE)</f>
        <v>1.4999999999999999E-2</v>
      </c>
      <c r="Y334" s="231">
        <f t="shared" si="53"/>
        <v>0.78500000000000003</v>
      </c>
      <c r="Z334" s="231" t="str" cm="1">
        <f t="array" ref="Z334">IF(AND(Y334&gt;0,Y334&lt;0.5),"C",IF(AND(Y334&gt;=0.5,Y334&lt;0.73),"B",IF(AND(Y334&gt;=0.73,Y334&lt;0.98),"A",NONE)))</f>
        <v>A</v>
      </c>
      <c r="AA334" s="231" t="str">
        <f>VLOOKUP(G334,'ALL (R)'!$N$5:$R$862,5,FALSE)</f>
        <v>R 4</v>
      </c>
      <c r="AB334" s="232">
        <f>VLOOKUP(AA334,FACTS!$B$2:$L$14,10,FALSE)</f>
        <v>45687.5</v>
      </c>
      <c r="AC334" s="232">
        <f>VLOOKUP(AA334,FACTS!$B$2:$L$14,11,FALSE)</f>
        <v>51062.5</v>
      </c>
      <c r="AD334" s="232">
        <f>VLOOKUP(AA334,FACTS!$B$2:$N$14,13,FALSE)</f>
        <v>5375</v>
      </c>
      <c r="AE334" s="232">
        <f t="shared" si="54"/>
        <v>4219.375</v>
      </c>
      <c r="AF334" s="232">
        <f t="shared" si="55"/>
        <v>49906.875</v>
      </c>
      <c r="AG334" s="232">
        <f>AF334*FACTS!$T$2</f>
        <v>16469.268749999999</v>
      </c>
      <c r="AH334" s="232">
        <f>Table1[[#This Row],[UNIT (BUILDING) RATE (SEMI FINISHED)]]+4500</f>
        <v>54406.875</v>
      </c>
      <c r="AI334" s="232">
        <f>Table1[[#This Row],[UNIT (BUILDING) RATE (SEMI FINISHED)]]+7500</f>
        <v>57406.875</v>
      </c>
      <c r="AJ334" s="232">
        <f t="shared" si="56"/>
        <v>11079326.25</v>
      </c>
      <c r="AK334" s="232">
        <f>Table1[[#This Row],[UNIT (BUILDING) RATE (BASIC FINISH)]]*Table1[[#This Row],[Unit Selling Area]]</f>
        <v>12078326.25</v>
      </c>
      <c r="AL334" s="232">
        <f>Table1[[#This Row],[UNIT (BUILDING) RATE (FULLY FINISH)]]*Table1[[#This Row],[Unit Selling Area]]</f>
        <v>12744326.25</v>
      </c>
      <c r="AM334" s="232">
        <f t="shared" si="57"/>
        <v>0</v>
      </c>
      <c r="AN334" s="232">
        <f>(AM334+AJ334)*FACTS!$S$2</f>
        <v>941742.73125000007</v>
      </c>
      <c r="AO334" s="101">
        <f>VLOOKUP(S334,FACTS!$A$17:$C$23,3,FALSE)</f>
        <v>2</v>
      </c>
      <c r="AP334" s="232">
        <f>VLOOKUP(AA334,FACTS!$B$2:$J$14,9,FALSE)</f>
        <v>215000</v>
      </c>
      <c r="AQ334" s="232">
        <f>Table1[[#This Row],[PARKING VALUE]]*1</f>
        <v>215000</v>
      </c>
      <c r="AR334" s="232">
        <f t="shared" si="52"/>
        <v>11294326.25</v>
      </c>
      <c r="AS334" s="440">
        <f>Table1[[#This Row],[TOTAL CARS VALUE]]+Table1[[#This Row],[UNIT (BUILDING) VALUE BASIC FINISHED]]+Table1[[#This Row],[UNIT (GARDEN) VALUE]]</f>
        <v>12293326.25</v>
      </c>
      <c r="AT334" s="232">
        <f>Table1[[#This Row],[TOTAL CARS VALUE]]+Table1[[#This Row],[UNIT (GARDEN) VALUE]]+Table1[[#This Row],[UNIT (BUILDING) VALUE FULLY FINISHED]]</f>
        <v>12959326.25</v>
      </c>
      <c r="AU334" s="233">
        <f>VLOOKUP(I334,'C PHASES'!$I$108:$J$110,2,FALSE)</f>
        <v>46204</v>
      </c>
      <c r="AV334" s="233">
        <f>VLOOKUP(AA334,'C PHASES'!$I$113:$J$125,2,FALSE)</f>
        <v>45474</v>
      </c>
    </row>
    <row r="335" spans="1:48" ht="26.25" customHeight="1" x14ac:dyDescent="0.25">
      <c r="A335" s="236"/>
      <c r="B335" s="227" t="str">
        <f t="shared" si="51"/>
        <v>B</v>
      </c>
      <c r="C335" s="227" t="s">
        <v>52</v>
      </c>
      <c r="D335" s="227" t="s">
        <v>1147</v>
      </c>
      <c r="E335" s="228">
        <v>4</v>
      </c>
      <c r="F335" s="101">
        <v>3</v>
      </c>
      <c r="G335" s="87" t="str">
        <f t="shared" si="50"/>
        <v>B843</v>
      </c>
      <c r="H335" s="87" t="s">
        <v>1294</v>
      </c>
      <c r="I335" s="89" t="str">
        <f>VLOOKUP(C335,'PREMIUM TABLES'!$G$107:$H$149,2,FALSE)</f>
        <v>C2</v>
      </c>
      <c r="J335" s="89">
        <v>162.44399999999999</v>
      </c>
      <c r="K335" s="87">
        <v>180.00266855956127</v>
      </c>
      <c r="L335" s="87">
        <v>198</v>
      </c>
      <c r="M335" s="89"/>
      <c r="N335" s="89"/>
      <c r="O335" s="87" t="s">
        <v>180</v>
      </c>
      <c r="P335" s="87" t="s">
        <v>190</v>
      </c>
      <c r="Q335" s="229" t="s">
        <v>210</v>
      </c>
      <c r="R335" s="87" t="str">
        <f>VLOOKUP(E335,'PREMIUM TABLES'!$F$214:$G$219,2,FALSE)</f>
        <v>FORTH</v>
      </c>
      <c r="S335" s="87" t="str" cm="1">
        <f t="array" ref="S335">IF(AND(L335&gt;0,L335&lt;90),"A",IF(AND(L335&gt;90,L335&lt;123),"B",IF(AND(L335&gt;122,L335&lt;159),"C",IF(AND(L335&gt;159,L335&lt;185),"D",IF(AND(L335&gt;185,L335&lt;230),"E",IF(AND(L335&gt;230,L335&lt;350),"F",NONE))))))</f>
        <v>E</v>
      </c>
      <c r="T335" s="230">
        <f>VLOOKUP(O335,'PREMIUM TABLES'!$G$165:$H$172,2,FALSE)</f>
        <v>0.13</v>
      </c>
      <c r="U335" s="230">
        <f>VLOOKUP(P335,'PREMIUM TABLES'!$G$208:$H$209,2,FALSE)</f>
        <v>2.5000000000000001E-2</v>
      </c>
      <c r="V335" s="230">
        <f>VLOOKUP(Q335,'PREMIUM TABLES'!$G$175:$H$195,2,FALSE)</f>
        <v>0.53</v>
      </c>
      <c r="W335" s="230">
        <f>VLOOKUP(R335,'PREMIUM TABLES'!$G$214:$H$219,2,FALSE)</f>
        <v>0.06</v>
      </c>
      <c r="X335" s="230">
        <f>VLOOKUP(S335,'PREMIUM TABLES'!$F$199:$H$205,3,FALSE)</f>
        <v>1.4999999999999999E-2</v>
      </c>
      <c r="Y335" s="231">
        <f t="shared" si="53"/>
        <v>0.76000000000000012</v>
      </c>
      <c r="Z335" s="231" t="str" cm="1">
        <f t="array" ref="Z335">IF(AND(Y335&gt;0,Y335&lt;0.5),"C",IF(AND(Y335&gt;=0.5,Y335&lt;0.73),"B",IF(AND(Y335&gt;=0.73,Y335&lt;0.98),"A",NONE)))</f>
        <v>A</v>
      </c>
      <c r="AA335" s="231" t="str">
        <f>VLOOKUP(G335,'ALL (R)'!$N$5:$R$862,5,FALSE)</f>
        <v>R 2</v>
      </c>
      <c r="AB335" s="232">
        <f>VLOOKUP(AA335,FACTS!$B$2:$L$14,10,FALSE)</f>
        <v>43562.499999999993</v>
      </c>
      <c r="AC335" s="232">
        <f>VLOOKUP(AA335,FACTS!$B$2:$L$14,11,FALSE)</f>
        <v>48687.499999999993</v>
      </c>
      <c r="AD335" s="232">
        <f>VLOOKUP(AA335,FACTS!$B$2:$N$14,13,FALSE)</f>
        <v>5125</v>
      </c>
      <c r="AE335" s="232">
        <f t="shared" si="54"/>
        <v>3895.0000000000005</v>
      </c>
      <c r="AF335" s="232">
        <f t="shared" si="55"/>
        <v>47457.499999999993</v>
      </c>
      <c r="AG335" s="232">
        <f>AF335*FACTS!$T$2</f>
        <v>15660.974999999999</v>
      </c>
      <c r="AH335" s="232">
        <f>Table1[[#This Row],[UNIT (BUILDING) RATE (SEMI FINISHED)]]+4500</f>
        <v>51957.499999999993</v>
      </c>
      <c r="AI335" s="232">
        <f>Table1[[#This Row],[UNIT (BUILDING) RATE (SEMI FINISHED)]]+7500</f>
        <v>54957.499999999993</v>
      </c>
      <c r="AJ335" s="232">
        <f t="shared" si="56"/>
        <v>9396584.9999999981</v>
      </c>
      <c r="AK335" s="232">
        <f>Table1[[#This Row],[UNIT (BUILDING) RATE (BASIC FINISH)]]*Table1[[#This Row],[Unit Selling Area]]</f>
        <v>10287584.999999998</v>
      </c>
      <c r="AL335" s="232">
        <f>Table1[[#This Row],[UNIT (BUILDING) RATE (FULLY FINISH)]]*Table1[[#This Row],[Unit Selling Area]]</f>
        <v>10881584.999999998</v>
      </c>
      <c r="AM335" s="232">
        <f t="shared" si="57"/>
        <v>0</v>
      </c>
      <c r="AN335" s="232">
        <f>(AM335+AJ335)*FACTS!$S$2</f>
        <v>798709.72499999986</v>
      </c>
      <c r="AO335" s="101">
        <f>VLOOKUP(S335,FACTS!$A$17:$C$23,3,FALSE)</f>
        <v>2</v>
      </c>
      <c r="AP335" s="232">
        <f>VLOOKUP(AA335,FACTS!$B$2:$J$14,9,FALSE)</f>
        <v>204999.99999999997</v>
      </c>
      <c r="AQ335" s="232">
        <f>Table1[[#This Row],[PARKING VALUE]]*1</f>
        <v>204999.99999999997</v>
      </c>
      <c r="AR335" s="232">
        <f t="shared" si="52"/>
        <v>9601584.9999999981</v>
      </c>
      <c r="AS335" s="440">
        <f>Table1[[#This Row],[TOTAL CARS VALUE]]+Table1[[#This Row],[UNIT (BUILDING) VALUE BASIC FINISHED]]+Table1[[#This Row],[UNIT (GARDEN) VALUE]]</f>
        <v>10492584.999999998</v>
      </c>
      <c r="AT335" s="232">
        <f>Table1[[#This Row],[TOTAL CARS VALUE]]+Table1[[#This Row],[UNIT (GARDEN) VALUE]]+Table1[[#This Row],[UNIT (BUILDING) VALUE FULLY FINISHED]]</f>
        <v>11086584.999999998</v>
      </c>
      <c r="AU335" s="233">
        <f>VLOOKUP(I335,'C PHASES'!$I$108:$J$110,2,FALSE)</f>
        <v>46204</v>
      </c>
      <c r="AV335" s="233">
        <f>VLOOKUP(AA335,'C PHASES'!$I$113:$J$125,2,FALSE)</f>
        <v>45292</v>
      </c>
    </row>
    <row r="336" spans="1:48" ht="27" customHeight="1" x14ac:dyDescent="0.25">
      <c r="A336" s="236"/>
      <c r="B336" s="227" t="str">
        <f t="shared" si="51"/>
        <v>B</v>
      </c>
      <c r="C336" s="227" t="s">
        <v>52</v>
      </c>
      <c r="D336" s="227" t="s">
        <v>1147</v>
      </c>
      <c r="E336" s="228">
        <v>4</v>
      </c>
      <c r="F336" s="101">
        <v>4</v>
      </c>
      <c r="G336" s="87" t="str">
        <f t="shared" si="50"/>
        <v>B844</v>
      </c>
      <c r="H336" s="87" t="s">
        <v>1294</v>
      </c>
      <c r="I336" s="89" t="str">
        <f>VLOOKUP(C336,'PREMIUM TABLES'!$G$107:$H$149,2,FALSE)</f>
        <v>C2</v>
      </c>
      <c r="J336" s="89">
        <v>139.12700000000001</v>
      </c>
      <c r="K336" s="87">
        <v>154.16532016378619</v>
      </c>
      <c r="L336" s="87">
        <v>170</v>
      </c>
      <c r="M336" s="89"/>
      <c r="N336" s="89"/>
      <c r="O336" s="87" t="s">
        <v>187</v>
      </c>
      <c r="P336" s="87" t="s">
        <v>190</v>
      </c>
      <c r="Q336" s="229" t="s">
        <v>197</v>
      </c>
      <c r="R336" s="87" t="str">
        <f>VLOOKUP(E336,'PREMIUM TABLES'!$F$214:$G$219,2,FALSE)</f>
        <v>FORTH</v>
      </c>
      <c r="S336" s="87" t="str" cm="1">
        <f t="array" ref="S336">IF(AND(L336&gt;0,L336&lt;90),"A",IF(AND(L336&gt;90,L336&lt;123),"B",IF(AND(L336&gt;122,L336&lt;159),"C",IF(AND(L336&gt;159,L336&lt;185),"D",IF(AND(L336&gt;185,L336&lt;230),"E",IF(AND(L336&gt;230,L336&lt;350),"F",NONE))))))</f>
        <v>D</v>
      </c>
      <c r="T336" s="230">
        <f>VLOOKUP(O336,'PREMIUM TABLES'!$G$165:$H$172,2,FALSE)</f>
        <v>0.08</v>
      </c>
      <c r="U336" s="230">
        <f>VLOOKUP(P336,'PREMIUM TABLES'!$G$208:$H$209,2,FALSE)</f>
        <v>2.5000000000000001E-2</v>
      </c>
      <c r="V336" s="230">
        <f>VLOOKUP(Q336,'PREMIUM TABLES'!$G$175:$H$195,2,FALSE)</f>
        <v>0.16</v>
      </c>
      <c r="W336" s="230">
        <f>VLOOKUP(R336,'PREMIUM TABLES'!$G$214:$H$219,2,FALSE)</f>
        <v>0.06</v>
      </c>
      <c r="X336" s="230">
        <f>VLOOKUP(S336,'PREMIUM TABLES'!$F$199:$H$205,3,FALSE)</f>
        <v>2.5000000000000001E-2</v>
      </c>
      <c r="Y336" s="231">
        <f t="shared" si="53"/>
        <v>0.35000000000000003</v>
      </c>
      <c r="Z336" s="231" t="str" cm="1">
        <f t="array" ref="Z336">IF(AND(Y336&gt;0,Y336&lt;0.5),"C",IF(AND(Y336&gt;=0.5,Y336&lt;0.73),"B",IF(AND(Y336&gt;=0.73,Y336&lt;0.98),"A",NONE)))</f>
        <v>C</v>
      </c>
      <c r="AA336" s="231" t="str">
        <f>VLOOKUP(G336,'ALL (R)'!$N$5:$R$862,5,FALSE)</f>
        <v>R 1</v>
      </c>
      <c r="AB336" s="232">
        <f>VLOOKUP(AA336,FACTS!$B$2:$L$14,10,FALSE)</f>
        <v>42500</v>
      </c>
      <c r="AC336" s="232">
        <f>VLOOKUP(AA336,FACTS!$B$2:$L$14,11,FALSE)</f>
        <v>47500</v>
      </c>
      <c r="AD336" s="232">
        <f>VLOOKUP(AA336,FACTS!$B$2:$N$14,13,FALSE)</f>
        <v>5000</v>
      </c>
      <c r="AE336" s="232">
        <f t="shared" si="54"/>
        <v>1750.0000000000002</v>
      </c>
      <c r="AF336" s="232">
        <f t="shared" si="55"/>
        <v>44250</v>
      </c>
      <c r="AG336" s="232">
        <f>AF336*FACTS!$T$2</f>
        <v>14602.5</v>
      </c>
      <c r="AH336" s="232">
        <f>Table1[[#This Row],[UNIT (BUILDING) RATE (SEMI FINISHED)]]+4500</f>
        <v>48750</v>
      </c>
      <c r="AI336" s="232">
        <f>Table1[[#This Row],[UNIT (BUILDING) RATE (SEMI FINISHED)]]+7500</f>
        <v>51750</v>
      </c>
      <c r="AJ336" s="232">
        <f t="shared" si="56"/>
        <v>7522500</v>
      </c>
      <c r="AK336" s="232">
        <f>Table1[[#This Row],[UNIT (BUILDING) RATE (BASIC FINISH)]]*Table1[[#This Row],[Unit Selling Area]]</f>
        <v>8287500</v>
      </c>
      <c r="AL336" s="232">
        <f>Table1[[#This Row],[UNIT (BUILDING) RATE (FULLY FINISH)]]*Table1[[#This Row],[Unit Selling Area]]</f>
        <v>8797500</v>
      </c>
      <c r="AM336" s="232">
        <f t="shared" si="57"/>
        <v>0</v>
      </c>
      <c r="AN336" s="232">
        <f>(AM336+AJ336)*FACTS!$S$2</f>
        <v>639412.5</v>
      </c>
      <c r="AO336" s="101">
        <f>VLOOKUP(S336,FACTS!$A$17:$C$23,3,FALSE)</f>
        <v>2</v>
      </c>
      <c r="AP336" s="232">
        <f>VLOOKUP(AA336,FACTS!$B$2:$J$14,9,FALSE)</f>
        <v>200000</v>
      </c>
      <c r="AQ336" s="232">
        <f>Table1[[#This Row],[PARKING VALUE]]*1</f>
        <v>200000</v>
      </c>
      <c r="AR336" s="232">
        <f t="shared" si="52"/>
        <v>7722500</v>
      </c>
      <c r="AS336" s="440">
        <f>Table1[[#This Row],[TOTAL CARS VALUE]]+Table1[[#This Row],[UNIT (BUILDING) VALUE BASIC FINISHED]]+Table1[[#This Row],[UNIT (GARDEN) VALUE]]</f>
        <v>8487500</v>
      </c>
      <c r="AT336" s="232">
        <f>Table1[[#This Row],[TOTAL CARS VALUE]]+Table1[[#This Row],[UNIT (GARDEN) VALUE]]+Table1[[#This Row],[UNIT (BUILDING) VALUE FULLY FINISHED]]</f>
        <v>8997500</v>
      </c>
      <c r="AU336" s="233">
        <f>VLOOKUP(I336,'C PHASES'!$I$108:$J$110,2,FALSE)</f>
        <v>46204</v>
      </c>
      <c r="AV336" s="233">
        <f>VLOOKUP(AA336,'C PHASES'!$I$113:$J$125,2,FALSE)</f>
        <v>45170</v>
      </c>
    </row>
    <row r="337" spans="1:48" ht="22.5" x14ac:dyDescent="0.25">
      <c r="A337" s="236" t="s">
        <v>33</v>
      </c>
      <c r="B337" s="227" t="str">
        <f t="shared" si="51"/>
        <v>B</v>
      </c>
      <c r="C337" s="227" t="s">
        <v>69</v>
      </c>
      <c r="D337" s="227" t="s">
        <v>1147</v>
      </c>
      <c r="E337" s="228">
        <v>0</v>
      </c>
      <c r="F337" s="101">
        <v>1</v>
      </c>
      <c r="G337" s="87" t="str">
        <f>LEFT(C337,2)&amp;E337&amp;F337</f>
        <v>B901</v>
      </c>
      <c r="H337" s="87" t="s">
        <v>1293</v>
      </c>
      <c r="I337" s="89" t="str">
        <f>VLOOKUP(C337,'PREMIUM TABLES'!$G$107:$H$149,2,FALSE)</f>
        <v>C2</v>
      </c>
      <c r="J337" s="89">
        <v>95.254000000000005</v>
      </c>
      <c r="K337" s="87">
        <v>105.53950812408786</v>
      </c>
      <c r="L337" s="87">
        <v>116</v>
      </c>
      <c r="M337" s="87">
        <v>42.259599999999999</v>
      </c>
      <c r="O337" s="87" t="s">
        <v>184</v>
      </c>
      <c r="P337" s="87" t="s">
        <v>190</v>
      </c>
      <c r="Q337" s="229" t="s">
        <v>229</v>
      </c>
      <c r="R337" s="87" t="str">
        <f>VLOOKUP(E337,'PREMIUM TABLES'!$F$214:$G$219,2,FALSE)</f>
        <v>GROUND</v>
      </c>
      <c r="S337" s="87" t="str" cm="1">
        <f t="array" ref="S337">IF(AND(L337&gt;0,L337&lt;90),"A",IF(AND(L337&gt;90,L337&lt;123),"B",IF(AND(L337&gt;122,L337&lt;159),"C",IF(AND(L337&gt;159,L337&lt;185),"D",IF(AND(L337&gt;185,L337&lt;230),"E",IF(AND(L337&gt;230,L337&lt;350),"F",NONE))))))</f>
        <v>B</v>
      </c>
      <c r="T337" s="230">
        <f>VLOOKUP(O337,'PREMIUM TABLES'!$G$165:$H$172,2,FALSE)</f>
        <v>0.15</v>
      </c>
      <c r="U337" s="230">
        <f>VLOOKUP(P337,'PREMIUM TABLES'!$G$208:$H$209,2,FALSE)</f>
        <v>2.5000000000000001E-2</v>
      </c>
      <c r="V337" s="230">
        <f>VLOOKUP(Q337,'PREMIUM TABLES'!$G$175:$H$195,2,FALSE)</f>
        <v>0.32250000000000001</v>
      </c>
      <c r="W337" s="230">
        <f>VLOOKUP(R337,'PREMIUM TABLES'!$G$214:$H$219,2,FALSE)</f>
        <v>0.05</v>
      </c>
      <c r="X337" s="230">
        <f>VLOOKUP(S337,'PREMIUM TABLES'!$F$199:$H$205,3,FALSE)</f>
        <v>0.04</v>
      </c>
      <c r="Y337" s="231">
        <f t="shared" si="53"/>
        <v>0.58750000000000002</v>
      </c>
      <c r="Z337" s="231" t="str" cm="1">
        <f t="array" ref="Z337">IF(AND(Y337&gt;0,Y337&lt;0.5),"C",IF(AND(Y337&gt;=0.5,Y337&lt;0.73),"B",IF(AND(Y337&gt;=0.73,Y337&lt;0.98),"A",NONE)))</f>
        <v>B</v>
      </c>
      <c r="AA337" s="231" t="str">
        <f>VLOOKUP(G337,'ALL (R)'!$N$5:$R$862,5,FALSE)</f>
        <v>R 2</v>
      </c>
      <c r="AB337" s="232">
        <f>VLOOKUP(AA337,FACTS!$B$2:$L$14,10,FALSE)</f>
        <v>43562.499999999993</v>
      </c>
      <c r="AC337" s="232">
        <f>VLOOKUP(AA337,FACTS!$B$2:$L$14,11,FALSE)</f>
        <v>48687.499999999993</v>
      </c>
      <c r="AD337" s="232">
        <f>VLOOKUP(AA337,FACTS!$B$2:$N$14,13,FALSE)</f>
        <v>5125</v>
      </c>
      <c r="AE337" s="232">
        <f t="shared" si="54"/>
        <v>3010.9375</v>
      </c>
      <c r="AF337" s="232">
        <f t="shared" si="55"/>
        <v>46573.437499999993</v>
      </c>
      <c r="AG337" s="232">
        <f>AF337*FACTS!$T$2</f>
        <v>15369.234374999998</v>
      </c>
      <c r="AH337" s="232">
        <f>Table1[[#This Row],[UNIT (BUILDING) RATE (SEMI FINISHED)]]+4500</f>
        <v>51073.437499999993</v>
      </c>
      <c r="AI337" s="232">
        <f>Table1[[#This Row],[UNIT (BUILDING) RATE (SEMI FINISHED)]]+7500</f>
        <v>54073.437499999993</v>
      </c>
      <c r="AJ337" s="232">
        <f t="shared" si="56"/>
        <v>5402518.7499999991</v>
      </c>
      <c r="AK337" s="232">
        <f>Table1[[#This Row],[UNIT (BUILDING) RATE (BASIC FINISH)]]*Table1[[#This Row],[Unit Selling Area]]</f>
        <v>5924518.7499999991</v>
      </c>
      <c r="AL337" s="232">
        <f>Table1[[#This Row],[UNIT (BUILDING) RATE (FULLY FINISH)]]*Table1[[#This Row],[Unit Selling Area]]</f>
        <v>6272518.7499999991</v>
      </c>
      <c r="AM337" s="232">
        <f t="shared" si="57"/>
        <v>649497.69699374994</v>
      </c>
      <c r="AN337" s="232">
        <f>(AM337+AJ337)*FACTS!$S$2</f>
        <v>514421.39799446869</v>
      </c>
      <c r="AO337" s="101">
        <f>VLOOKUP(S337,FACTS!$A$17:$C$23,3,FALSE)</f>
        <v>1</v>
      </c>
      <c r="AP337" s="232">
        <f>VLOOKUP(AA337,FACTS!$B$2:$J$14,9,FALSE)</f>
        <v>204999.99999999997</v>
      </c>
      <c r="AQ337" s="232">
        <f>Table1[[#This Row],[PARKING VALUE]]*1</f>
        <v>204999.99999999997</v>
      </c>
      <c r="AR337" s="232">
        <f t="shared" si="52"/>
        <v>6257016.4469937487</v>
      </c>
      <c r="AS337" s="440">
        <f>Table1[[#This Row],[TOTAL CARS VALUE]]+Table1[[#This Row],[UNIT (BUILDING) VALUE BASIC FINISHED]]+Table1[[#This Row],[UNIT (GARDEN) VALUE]]</f>
        <v>6779016.4469937487</v>
      </c>
      <c r="AT337" s="232">
        <f>Table1[[#This Row],[TOTAL CARS VALUE]]+Table1[[#This Row],[UNIT (GARDEN) VALUE]]+Table1[[#This Row],[UNIT (BUILDING) VALUE FULLY FINISHED]]</f>
        <v>7127016.4469937487</v>
      </c>
      <c r="AU337" s="233">
        <f>VLOOKUP(I337,'C PHASES'!$I$108:$J$110,2,FALSE)</f>
        <v>46204</v>
      </c>
      <c r="AV337" s="233">
        <f>VLOOKUP(AA337,'C PHASES'!$I$113:$J$125,2,FALSE)</f>
        <v>45292</v>
      </c>
    </row>
    <row r="338" spans="1:48" x14ac:dyDescent="0.25">
      <c r="A338" s="236"/>
      <c r="B338" s="227" t="str">
        <f t="shared" si="51"/>
        <v>B</v>
      </c>
      <c r="C338" s="227" t="s">
        <v>69</v>
      </c>
      <c r="D338" s="227" t="s">
        <v>1147</v>
      </c>
      <c r="E338" s="228">
        <v>0</v>
      </c>
      <c r="F338" s="101">
        <v>2</v>
      </c>
      <c r="G338" s="87" t="str">
        <f t="shared" ref="G338:G356" si="58">LEFT(C338,2)&amp;E338&amp;F338</f>
        <v>B902</v>
      </c>
      <c r="H338" s="87" t="s">
        <v>1294</v>
      </c>
      <c r="I338" s="89" t="str">
        <f>VLOOKUP(C338,'PREMIUM TABLES'!$G$107:$H$149,2,FALSE)</f>
        <v>C2</v>
      </c>
      <c r="J338" s="89">
        <v>162.82599999999999</v>
      </c>
      <c r="K338" s="87">
        <v>180.40791935050211</v>
      </c>
      <c r="L338" s="87">
        <v>199</v>
      </c>
      <c r="M338" s="87">
        <v>77.610299999999995</v>
      </c>
      <c r="O338" s="87" t="s">
        <v>185</v>
      </c>
      <c r="P338" s="87" t="s">
        <v>190</v>
      </c>
      <c r="Q338" s="229" t="s">
        <v>210</v>
      </c>
      <c r="R338" s="87" t="str">
        <f>VLOOKUP(E338,'PREMIUM TABLES'!$F$214:$G$219,2,FALSE)</f>
        <v>GROUND</v>
      </c>
      <c r="S338" s="87" t="str" cm="1">
        <f t="array" ref="S338">IF(AND(L338&gt;0,L338&lt;90),"A",IF(AND(L338&gt;90,L338&lt;123),"B",IF(AND(L338&gt;122,L338&lt;159),"C",IF(AND(L338&gt;159,L338&lt;185),"D",IF(AND(L338&gt;185,L338&lt;230),"E",IF(AND(L338&gt;230,L338&lt;350),"F",NONE))))))</f>
        <v>E</v>
      </c>
      <c r="T338" s="230">
        <f>VLOOKUP(O338,'PREMIUM TABLES'!$G$165:$H$172,2,FALSE)</f>
        <v>0.06</v>
      </c>
      <c r="U338" s="230">
        <f>VLOOKUP(P338,'PREMIUM TABLES'!$G$208:$H$209,2,FALSE)</f>
        <v>2.5000000000000001E-2</v>
      </c>
      <c r="V338" s="230">
        <f>VLOOKUP(Q338,'PREMIUM TABLES'!$G$175:$H$195,2,FALSE)</f>
        <v>0.53</v>
      </c>
      <c r="W338" s="230">
        <f>VLOOKUP(R338,'PREMIUM TABLES'!$G$214:$H$219,2,FALSE)</f>
        <v>0.05</v>
      </c>
      <c r="X338" s="230">
        <f>VLOOKUP(S338,'PREMIUM TABLES'!$F$199:$H$205,3,FALSE)</f>
        <v>1.4999999999999999E-2</v>
      </c>
      <c r="Y338" s="231">
        <f t="shared" si="53"/>
        <v>0.68</v>
      </c>
      <c r="Z338" s="231" t="str" cm="1">
        <f t="array" ref="Z338">IF(AND(Y338&gt;0,Y338&lt;0.5),"C",IF(AND(Y338&gt;=0.5,Y338&lt;0.73),"B",IF(AND(Y338&gt;=0.73,Y338&lt;0.98),"A",NONE)))</f>
        <v>B</v>
      </c>
      <c r="AA338" s="231" t="str">
        <f>VLOOKUP(G338,'ALL (R)'!$N$5:$R$862,5,FALSE)</f>
        <v>R 7</v>
      </c>
      <c r="AB338" s="232">
        <f>VLOOKUP(AA338,FACTS!$B$2:$L$14,10,FALSE)</f>
        <v>50150</v>
      </c>
      <c r="AC338" s="232">
        <f>VLOOKUP(AA338,FACTS!$B$2:$L$14,11,FALSE)</f>
        <v>56050</v>
      </c>
      <c r="AD338" s="232">
        <f>VLOOKUP(AA338,FACTS!$B$2:$N$14,13,FALSE)</f>
        <v>5900</v>
      </c>
      <c r="AE338" s="232">
        <f t="shared" si="54"/>
        <v>4012.0000000000005</v>
      </c>
      <c r="AF338" s="232">
        <f t="shared" si="55"/>
        <v>54162</v>
      </c>
      <c r="AG338" s="232">
        <f>AF338*FACTS!$T$2</f>
        <v>17873.46</v>
      </c>
      <c r="AH338" s="232">
        <f>Table1[[#This Row],[UNIT (BUILDING) RATE (SEMI FINISHED)]]+4500</f>
        <v>58662</v>
      </c>
      <c r="AI338" s="232">
        <f>Table1[[#This Row],[UNIT (BUILDING) RATE (SEMI FINISHED)]]+7500</f>
        <v>61662</v>
      </c>
      <c r="AJ338" s="232">
        <f t="shared" si="56"/>
        <v>10778238</v>
      </c>
      <c r="AK338" s="232">
        <f>Table1[[#This Row],[UNIT (BUILDING) RATE (BASIC FINISH)]]*Table1[[#This Row],[Unit Selling Area]]</f>
        <v>11673738</v>
      </c>
      <c r="AL338" s="232">
        <f>Table1[[#This Row],[UNIT (BUILDING) RATE (FULLY FINISH)]]*Table1[[#This Row],[Unit Selling Area]]</f>
        <v>12270738</v>
      </c>
      <c r="AM338" s="232">
        <f t="shared" si="57"/>
        <v>1387164.5926379999</v>
      </c>
      <c r="AN338" s="232">
        <f>(AM338+AJ338)*FACTS!$S$2</f>
        <v>1034059.2203742302</v>
      </c>
      <c r="AO338" s="101">
        <f>VLOOKUP(S338,FACTS!$A$17:$C$23,3,FALSE)</f>
        <v>2</v>
      </c>
      <c r="AP338" s="232">
        <f>VLOOKUP(AA338,FACTS!$B$2:$J$14,9,FALSE)</f>
        <v>236000</v>
      </c>
      <c r="AQ338" s="232">
        <f>Table1[[#This Row],[PARKING VALUE]]*1</f>
        <v>236000</v>
      </c>
      <c r="AR338" s="232">
        <f t="shared" si="52"/>
        <v>12401402.592638001</v>
      </c>
      <c r="AS338" s="440">
        <f>Table1[[#This Row],[TOTAL CARS VALUE]]+Table1[[#This Row],[UNIT (BUILDING) VALUE BASIC FINISHED]]+Table1[[#This Row],[UNIT (GARDEN) VALUE]]</f>
        <v>13296902.592638001</v>
      </c>
      <c r="AT338" s="232">
        <f>Table1[[#This Row],[TOTAL CARS VALUE]]+Table1[[#This Row],[UNIT (GARDEN) VALUE]]+Table1[[#This Row],[UNIT (BUILDING) VALUE FULLY FINISHED]]</f>
        <v>13893902.592638001</v>
      </c>
      <c r="AU338" s="233">
        <f>VLOOKUP(I338,'C PHASES'!$I$108:$J$110,2,FALSE)</f>
        <v>46204</v>
      </c>
      <c r="AV338" s="233">
        <f>VLOOKUP(AA338,'C PHASES'!$I$113:$J$125,2,FALSE)</f>
        <v>45748</v>
      </c>
    </row>
    <row r="339" spans="1:48" x14ac:dyDescent="0.25">
      <c r="A339" s="236"/>
      <c r="B339" s="227" t="str">
        <f t="shared" si="51"/>
        <v>B</v>
      </c>
      <c r="C339" s="227" t="s">
        <v>69</v>
      </c>
      <c r="D339" s="227" t="s">
        <v>1147</v>
      </c>
      <c r="E339" s="228">
        <v>0</v>
      </c>
      <c r="F339" s="101">
        <v>3</v>
      </c>
      <c r="G339" s="87" t="str">
        <f t="shared" si="58"/>
        <v>B903</v>
      </c>
      <c r="H339" s="87" t="s">
        <v>1295</v>
      </c>
      <c r="I339" s="89" t="str">
        <f>VLOOKUP(C339,'PREMIUM TABLES'!$G$107:$H$149,2,FALSE)</f>
        <v>C2</v>
      </c>
      <c r="J339" s="89">
        <v>183.887</v>
      </c>
      <c r="K339" s="87">
        <v>203.74308197465874</v>
      </c>
      <c r="L339" s="87">
        <v>224</v>
      </c>
      <c r="M339" s="87">
        <v>61.527700000000003</v>
      </c>
      <c r="O339" s="87" t="s">
        <v>185</v>
      </c>
      <c r="P339" s="87" t="s">
        <v>226</v>
      </c>
      <c r="Q339" s="229" t="s">
        <v>210</v>
      </c>
      <c r="R339" s="87" t="str">
        <f>VLOOKUP(E339,'PREMIUM TABLES'!$F$214:$G$219,2,FALSE)</f>
        <v>GROUND</v>
      </c>
      <c r="S339" s="87" t="str" cm="1">
        <f t="array" ref="S339">IF(AND(L339&gt;0,L339&lt;90),"A",IF(AND(L339&gt;90,L339&lt;123),"B",IF(AND(L339&gt;122,L339&lt;159),"C",IF(AND(L339&gt;159,L339&lt;185),"D",IF(AND(L339&gt;185,L339&lt;230),"E",IF(AND(L339&gt;230,L339&lt;350),"F",NONE))))))</f>
        <v>E</v>
      </c>
      <c r="T339" s="230">
        <f>VLOOKUP(O339,'PREMIUM TABLES'!$G$165:$H$172,2,FALSE)</f>
        <v>0.06</v>
      </c>
      <c r="U339" s="230">
        <f>VLOOKUP(P339,'PREMIUM TABLES'!$G$208:$H$209,2,FALSE)</f>
        <v>0.05</v>
      </c>
      <c r="V339" s="230">
        <f>VLOOKUP(Q339,'PREMIUM TABLES'!$G$175:$H$195,2,FALSE)</f>
        <v>0.53</v>
      </c>
      <c r="W339" s="230">
        <f>VLOOKUP(R339,'PREMIUM TABLES'!$G$214:$H$219,2,FALSE)</f>
        <v>0.05</v>
      </c>
      <c r="X339" s="230">
        <f>VLOOKUP(S339,'PREMIUM TABLES'!$F$199:$H$205,3,FALSE)</f>
        <v>1.4999999999999999E-2</v>
      </c>
      <c r="Y339" s="231">
        <f t="shared" si="53"/>
        <v>0.70500000000000007</v>
      </c>
      <c r="Z339" s="231" t="str" cm="1">
        <f t="array" ref="Z339">IF(AND(Y339&gt;0,Y339&lt;0.5),"C",IF(AND(Y339&gt;=0.5,Y339&lt;0.73),"B",IF(AND(Y339&gt;=0.73,Y339&lt;0.98),"A",NONE)))</f>
        <v>B</v>
      </c>
      <c r="AA339" s="231" t="str">
        <f>VLOOKUP(G339,'ALL (R)'!$N$5:$R$862,5,FALSE)</f>
        <v>R 10</v>
      </c>
      <c r="AB339" s="232">
        <f>VLOOKUP(AA339,FACTS!$B$2:$L$14,10,FALSE)</f>
        <v>56100</v>
      </c>
      <c r="AC339" s="232">
        <f>VLOOKUP(AA339,FACTS!$B$2:$L$14,11,FALSE)</f>
        <v>62700</v>
      </c>
      <c r="AD339" s="232">
        <f>VLOOKUP(AA339,FACTS!$B$2:$N$14,13,FALSE)</f>
        <v>6600</v>
      </c>
      <c r="AE339" s="232">
        <f t="shared" si="54"/>
        <v>4653.0000000000009</v>
      </c>
      <c r="AF339" s="232">
        <f t="shared" si="55"/>
        <v>60753</v>
      </c>
      <c r="AG339" s="232">
        <f>AF339*FACTS!$T$2</f>
        <v>20048.490000000002</v>
      </c>
      <c r="AH339" s="232">
        <f>Table1[[#This Row],[UNIT (BUILDING) RATE (SEMI FINISHED)]]+4500</f>
        <v>65253</v>
      </c>
      <c r="AI339" s="232">
        <f>Table1[[#This Row],[UNIT (BUILDING) RATE (SEMI FINISHED)]]+7500</f>
        <v>68253</v>
      </c>
      <c r="AJ339" s="232">
        <f t="shared" si="56"/>
        <v>13608672</v>
      </c>
      <c r="AK339" s="232">
        <f>Table1[[#This Row],[UNIT (BUILDING) RATE (BASIC FINISH)]]*Table1[[#This Row],[Unit Selling Area]]</f>
        <v>14616672</v>
      </c>
      <c r="AL339" s="232">
        <f>Table1[[#This Row],[UNIT (BUILDING) RATE (FULLY FINISH)]]*Table1[[#This Row],[Unit Selling Area]]</f>
        <v>15288672</v>
      </c>
      <c r="AM339" s="232">
        <f t="shared" si="57"/>
        <v>1233537.4781730003</v>
      </c>
      <c r="AN339" s="232">
        <f>(AM339+AJ339)*FACTS!$S$2</f>
        <v>1261587.8056447052</v>
      </c>
      <c r="AO339" s="101">
        <f>VLOOKUP(S339,FACTS!$A$17:$C$23,3,FALSE)</f>
        <v>2</v>
      </c>
      <c r="AP339" s="232">
        <f>VLOOKUP(AA339,FACTS!$B$2:$J$14,9,FALSE)</f>
        <v>264000</v>
      </c>
      <c r="AQ339" s="232">
        <f>Table1[[#This Row],[PARKING VALUE]]*1</f>
        <v>264000</v>
      </c>
      <c r="AR339" s="232">
        <f t="shared" si="52"/>
        <v>15106209.478173001</v>
      </c>
      <c r="AS339" s="440">
        <f>Table1[[#This Row],[TOTAL CARS VALUE]]+Table1[[#This Row],[UNIT (BUILDING) VALUE BASIC FINISHED]]+Table1[[#This Row],[UNIT (GARDEN) VALUE]]</f>
        <v>16114209.478173001</v>
      </c>
      <c r="AT339" s="232">
        <f>Table1[[#This Row],[TOTAL CARS VALUE]]+Table1[[#This Row],[UNIT (GARDEN) VALUE]]+Table1[[#This Row],[UNIT (BUILDING) VALUE FULLY FINISHED]]</f>
        <v>16786209.478172999</v>
      </c>
      <c r="AU339" s="233">
        <f>VLOOKUP(I339,'C PHASES'!$I$108:$J$110,2,FALSE)</f>
        <v>46204</v>
      </c>
      <c r="AV339" s="233">
        <f>VLOOKUP(AA339,'C PHASES'!$I$113:$J$125,2,FALSE)</f>
        <v>46023</v>
      </c>
    </row>
    <row r="340" spans="1:48" x14ac:dyDescent="0.25">
      <c r="A340" s="236"/>
      <c r="B340" s="227" t="str">
        <f t="shared" si="51"/>
        <v>B</v>
      </c>
      <c r="C340" s="227" t="s">
        <v>69</v>
      </c>
      <c r="D340" s="227" t="s">
        <v>1147</v>
      </c>
      <c r="E340" s="228">
        <v>0</v>
      </c>
      <c r="F340" s="101">
        <v>4</v>
      </c>
      <c r="G340" s="87" t="str">
        <f t="shared" si="58"/>
        <v>B904</v>
      </c>
      <c r="H340" s="87" t="s">
        <v>1294</v>
      </c>
      <c r="I340" s="89" t="str">
        <f>VLOOKUP(C340,'PREMIUM TABLES'!$G$107:$H$149,2,FALSE)</f>
        <v>C2</v>
      </c>
      <c r="J340" s="89">
        <v>147.54499999999999</v>
      </c>
      <c r="K340" s="87">
        <v>163.47687998581205</v>
      </c>
      <c r="L340" s="87">
        <v>180</v>
      </c>
      <c r="M340" s="87">
        <v>51.884399999999999</v>
      </c>
      <c r="O340" s="87" t="s">
        <v>184</v>
      </c>
      <c r="P340" s="87" t="s">
        <v>226</v>
      </c>
      <c r="Q340" s="229" t="s">
        <v>211</v>
      </c>
      <c r="R340" s="87" t="str">
        <f>VLOOKUP(E340,'PREMIUM TABLES'!$F$214:$G$219,2,FALSE)</f>
        <v>GROUND</v>
      </c>
      <c r="S340" s="87" t="str" cm="1">
        <f t="array" ref="S340">IF(AND(L340&gt;0,L340&lt;90),"A",IF(AND(L340&gt;90,L340&lt;123),"B",IF(AND(L340&gt;122,L340&lt;159),"C",IF(AND(L340&gt;159,L340&lt;185),"D",IF(AND(L340&gt;185,L340&lt;230),"E",IF(AND(L340&gt;230,L340&lt;350),"F",NONE))))))</f>
        <v>D</v>
      </c>
      <c r="T340" s="230">
        <f>VLOOKUP(O340,'PREMIUM TABLES'!$G$165:$H$172,2,FALSE)</f>
        <v>0.15</v>
      </c>
      <c r="U340" s="230">
        <f>VLOOKUP(P340,'PREMIUM TABLES'!$G$208:$H$209,2,FALSE)</f>
        <v>0.05</v>
      </c>
      <c r="V340" s="230">
        <f>VLOOKUP(Q340,'PREMIUM TABLES'!$G$175:$H$195,2,FALSE)</f>
        <v>0.43</v>
      </c>
      <c r="W340" s="230">
        <f>VLOOKUP(R340,'PREMIUM TABLES'!$G$214:$H$219,2,FALSE)</f>
        <v>0.05</v>
      </c>
      <c r="X340" s="230">
        <f>VLOOKUP(S340,'PREMIUM TABLES'!$F$199:$H$205,3,FALSE)</f>
        <v>2.5000000000000001E-2</v>
      </c>
      <c r="Y340" s="231">
        <f t="shared" si="53"/>
        <v>0.70500000000000007</v>
      </c>
      <c r="Z340" s="231" t="str" cm="1">
        <f t="array" ref="Z340">IF(AND(Y340&gt;0,Y340&lt;0.5),"C",IF(AND(Y340&gt;=0.5,Y340&lt;0.73),"B",IF(AND(Y340&gt;=0.73,Y340&lt;0.98),"A",NONE)))</f>
        <v>B</v>
      </c>
      <c r="AA340" s="231" t="str">
        <f>VLOOKUP(G340,'ALL (R)'!$N$5:$R$862,5,FALSE)</f>
        <v>R 10</v>
      </c>
      <c r="AB340" s="232">
        <f>VLOOKUP(AA340,FACTS!$B$2:$L$14,10,FALSE)</f>
        <v>56100</v>
      </c>
      <c r="AC340" s="232">
        <f>VLOOKUP(AA340,FACTS!$B$2:$L$14,11,FALSE)</f>
        <v>62700</v>
      </c>
      <c r="AD340" s="232">
        <f>VLOOKUP(AA340,FACTS!$B$2:$N$14,13,FALSE)</f>
        <v>6600</v>
      </c>
      <c r="AE340" s="232">
        <f t="shared" si="54"/>
        <v>4653.0000000000009</v>
      </c>
      <c r="AF340" s="232">
        <f t="shared" si="55"/>
        <v>60753</v>
      </c>
      <c r="AG340" s="232">
        <f>AF340*FACTS!$T$2</f>
        <v>20048.490000000002</v>
      </c>
      <c r="AH340" s="232">
        <f>Table1[[#This Row],[UNIT (BUILDING) RATE (SEMI FINISHED)]]+4500</f>
        <v>65253</v>
      </c>
      <c r="AI340" s="232">
        <f>Table1[[#This Row],[UNIT (BUILDING) RATE (SEMI FINISHED)]]+7500</f>
        <v>68253</v>
      </c>
      <c r="AJ340" s="232">
        <f t="shared" si="56"/>
        <v>10935540</v>
      </c>
      <c r="AK340" s="232">
        <f>Table1[[#This Row],[UNIT (BUILDING) RATE (BASIC FINISH)]]*Table1[[#This Row],[Unit Selling Area]]</f>
        <v>11745540</v>
      </c>
      <c r="AL340" s="232">
        <f>Table1[[#This Row],[UNIT (BUILDING) RATE (FULLY FINISH)]]*Table1[[#This Row],[Unit Selling Area]]</f>
        <v>12285540</v>
      </c>
      <c r="AM340" s="232">
        <f t="shared" si="57"/>
        <v>1040203.8745560001</v>
      </c>
      <c r="AN340" s="232">
        <f>(AM340+AJ340)*FACTS!$S$2</f>
        <v>1017938.22933726</v>
      </c>
      <c r="AO340" s="101">
        <f>VLOOKUP(S340,FACTS!$A$17:$C$23,3,FALSE)</f>
        <v>2</v>
      </c>
      <c r="AP340" s="232">
        <f>VLOOKUP(AA340,FACTS!$B$2:$J$14,9,FALSE)</f>
        <v>264000</v>
      </c>
      <c r="AQ340" s="232">
        <f>Table1[[#This Row],[PARKING VALUE]]*1</f>
        <v>264000</v>
      </c>
      <c r="AR340" s="232">
        <f t="shared" si="52"/>
        <v>12239743.874555999</v>
      </c>
      <c r="AS340" s="440">
        <f>Table1[[#This Row],[TOTAL CARS VALUE]]+Table1[[#This Row],[UNIT (BUILDING) VALUE BASIC FINISHED]]+Table1[[#This Row],[UNIT (GARDEN) VALUE]]</f>
        <v>13049743.874555999</v>
      </c>
      <c r="AT340" s="232">
        <f>Table1[[#This Row],[TOTAL CARS VALUE]]+Table1[[#This Row],[UNIT (GARDEN) VALUE]]+Table1[[#This Row],[UNIT (BUILDING) VALUE FULLY FINISHED]]</f>
        <v>13589743.874555999</v>
      </c>
      <c r="AU340" s="233">
        <f>VLOOKUP(I340,'C PHASES'!$I$108:$J$110,2,FALSE)</f>
        <v>46204</v>
      </c>
      <c r="AV340" s="233">
        <f>VLOOKUP(AA340,'C PHASES'!$I$113:$J$125,2,FALSE)</f>
        <v>46023</v>
      </c>
    </row>
    <row r="341" spans="1:48" x14ac:dyDescent="0.25">
      <c r="A341" s="236"/>
      <c r="B341" s="227" t="str">
        <f t="shared" si="51"/>
        <v>B</v>
      </c>
      <c r="C341" s="227" t="s">
        <v>69</v>
      </c>
      <c r="D341" s="227" t="s">
        <v>1147</v>
      </c>
      <c r="E341" s="228">
        <v>1</v>
      </c>
      <c r="F341" s="101">
        <v>1</v>
      </c>
      <c r="G341" s="87" t="str">
        <f t="shared" si="58"/>
        <v>B911</v>
      </c>
      <c r="H341" s="87" t="s">
        <v>1293</v>
      </c>
      <c r="I341" s="89" t="str">
        <f>VLOOKUP(C341,'PREMIUM TABLES'!$G$107:$H$149,2,FALSE)</f>
        <v>C2</v>
      </c>
      <c r="J341" s="89">
        <v>96.311000000000007</v>
      </c>
      <c r="K341" s="87">
        <v>106.71064277551626</v>
      </c>
      <c r="L341" s="87">
        <v>117</v>
      </c>
      <c r="M341" s="89"/>
      <c r="N341" s="89"/>
      <c r="O341" s="87" t="s">
        <v>184</v>
      </c>
      <c r="P341" s="87" t="s">
        <v>190</v>
      </c>
      <c r="Q341" s="229" t="s">
        <v>229</v>
      </c>
      <c r="R341" s="87" t="str">
        <f>VLOOKUP(E341,'PREMIUM TABLES'!$F$214:$G$219,2,FALSE)</f>
        <v>FIRST</v>
      </c>
      <c r="S341" s="87" t="str" cm="1">
        <f t="array" ref="S341">IF(AND(L341&gt;0,L341&lt;90),"A",IF(AND(L341&gt;90,L341&lt;123),"B",IF(AND(L341&gt;122,L341&lt;159),"C",IF(AND(L341&gt;159,L341&lt;185),"D",IF(AND(L341&gt;185,L341&lt;230),"E",IF(AND(L341&gt;230,L341&lt;350),"F",NONE))))))</f>
        <v>B</v>
      </c>
      <c r="T341" s="230">
        <f>VLOOKUP(O341,'PREMIUM TABLES'!$G$165:$H$172,2,FALSE)</f>
        <v>0.15</v>
      </c>
      <c r="U341" s="230">
        <f>VLOOKUP(P341,'PREMIUM TABLES'!$G$208:$H$209,2,FALSE)</f>
        <v>2.5000000000000001E-2</v>
      </c>
      <c r="V341" s="230">
        <f>VLOOKUP(Q341,'PREMIUM TABLES'!$G$175:$H$195,2,FALSE)</f>
        <v>0.32250000000000001</v>
      </c>
      <c r="W341" s="230">
        <f>VLOOKUP(R341,'PREMIUM TABLES'!$G$214:$H$219,2,FALSE)</f>
        <v>7.0000000000000007E-2</v>
      </c>
      <c r="X341" s="230">
        <f>VLOOKUP(S341,'PREMIUM TABLES'!$F$199:$H$205,3,FALSE)</f>
        <v>0.04</v>
      </c>
      <c r="Y341" s="231">
        <f t="shared" si="53"/>
        <v>0.60750000000000004</v>
      </c>
      <c r="Z341" s="231" t="str" cm="1">
        <f t="array" ref="Z341">IF(AND(Y341&gt;0,Y341&lt;0.5),"C",IF(AND(Y341&gt;=0.5,Y341&lt;0.73),"B",IF(AND(Y341&gt;=0.73,Y341&lt;0.98),"A",NONE)))</f>
        <v>B</v>
      </c>
      <c r="AA341" s="231" t="str">
        <f>VLOOKUP(G341,'ALL (R)'!$N$5:$R$862,5,FALSE)</f>
        <v>R 2</v>
      </c>
      <c r="AB341" s="232">
        <f>VLOOKUP(AA341,FACTS!$B$2:$L$14,10,FALSE)</f>
        <v>43562.499999999993</v>
      </c>
      <c r="AC341" s="232">
        <f>VLOOKUP(AA341,FACTS!$B$2:$L$14,11,FALSE)</f>
        <v>48687.499999999993</v>
      </c>
      <c r="AD341" s="232">
        <f>VLOOKUP(AA341,FACTS!$B$2:$N$14,13,FALSE)</f>
        <v>5125</v>
      </c>
      <c r="AE341" s="232">
        <f t="shared" si="54"/>
        <v>3113.4375</v>
      </c>
      <c r="AF341" s="232">
        <f t="shared" si="55"/>
        <v>46675.937499999993</v>
      </c>
      <c r="AG341" s="232">
        <f>AF341*FACTS!$T$2</f>
        <v>15403.059374999999</v>
      </c>
      <c r="AH341" s="232">
        <f>Table1[[#This Row],[UNIT (BUILDING) RATE (SEMI FINISHED)]]+4500</f>
        <v>51175.937499999993</v>
      </c>
      <c r="AI341" s="232">
        <f>Table1[[#This Row],[UNIT (BUILDING) RATE (SEMI FINISHED)]]+7500</f>
        <v>54175.937499999993</v>
      </c>
      <c r="AJ341" s="232">
        <f t="shared" si="56"/>
        <v>5461084.6874999991</v>
      </c>
      <c r="AK341" s="232">
        <f>Table1[[#This Row],[UNIT (BUILDING) RATE (BASIC FINISH)]]*Table1[[#This Row],[Unit Selling Area]]</f>
        <v>5987584.6874999991</v>
      </c>
      <c r="AL341" s="232">
        <f>Table1[[#This Row],[UNIT (BUILDING) RATE (FULLY FINISH)]]*Table1[[#This Row],[Unit Selling Area]]</f>
        <v>6338584.6874999991</v>
      </c>
      <c r="AM341" s="232">
        <f t="shared" si="57"/>
        <v>0</v>
      </c>
      <c r="AN341" s="232">
        <f>(AM341+AJ341)*FACTS!$S$2</f>
        <v>464192.19843749993</v>
      </c>
      <c r="AO341" s="101">
        <f>VLOOKUP(S341,FACTS!$A$17:$C$23,3,FALSE)</f>
        <v>1</v>
      </c>
      <c r="AP341" s="232">
        <f>VLOOKUP(AA341,FACTS!$B$2:$J$14,9,FALSE)</f>
        <v>204999.99999999997</v>
      </c>
      <c r="AQ341" s="232">
        <f>Table1[[#This Row],[PARKING VALUE]]*1</f>
        <v>204999.99999999997</v>
      </c>
      <c r="AR341" s="232">
        <f t="shared" si="52"/>
        <v>5666084.6874999991</v>
      </c>
      <c r="AS341" s="440">
        <f>Table1[[#This Row],[TOTAL CARS VALUE]]+Table1[[#This Row],[UNIT (BUILDING) VALUE BASIC FINISHED]]+Table1[[#This Row],[UNIT (GARDEN) VALUE]]</f>
        <v>6192584.6874999991</v>
      </c>
      <c r="AT341" s="232">
        <f>Table1[[#This Row],[TOTAL CARS VALUE]]+Table1[[#This Row],[UNIT (GARDEN) VALUE]]+Table1[[#This Row],[UNIT (BUILDING) VALUE FULLY FINISHED]]</f>
        <v>6543584.6874999991</v>
      </c>
      <c r="AU341" s="233">
        <f>VLOOKUP(I341,'C PHASES'!$I$108:$J$110,2,FALSE)</f>
        <v>46204</v>
      </c>
      <c r="AV341" s="233">
        <f>VLOOKUP(AA341,'C PHASES'!$I$113:$J$125,2,FALSE)</f>
        <v>45292</v>
      </c>
    </row>
    <row r="342" spans="1:48" x14ac:dyDescent="0.25">
      <c r="A342" s="236"/>
      <c r="B342" s="227" t="str">
        <f t="shared" si="51"/>
        <v>B</v>
      </c>
      <c r="C342" s="227" t="s">
        <v>69</v>
      </c>
      <c r="D342" s="227" t="s">
        <v>1147</v>
      </c>
      <c r="E342" s="228">
        <v>1</v>
      </c>
      <c r="F342" s="101">
        <v>2</v>
      </c>
      <c r="G342" s="87" t="str">
        <f t="shared" si="58"/>
        <v>B912</v>
      </c>
      <c r="H342" s="87" t="s">
        <v>1294</v>
      </c>
      <c r="I342" s="89" t="str">
        <f>VLOOKUP(C342,'PREMIUM TABLES'!$G$107:$H$149,2,FALSE)</f>
        <v>C2</v>
      </c>
      <c r="J342" s="89">
        <v>162.57599999999999</v>
      </c>
      <c r="K342" s="87">
        <v>180.13092439983313</v>
      </c>
      <c r="L342" s="87">
        <v>198</v>
      </c>
      <c r="M342" s="89"/>
      <c r="N342" s="89"/>
      <c r="O342" s="87" t="s">
        <v>185</v>
      </c>
      <c r="P342" s="87" t="s">
        <v>190</v>
      </c>
      <c r="Q342" s="229" t="s">
        <v>210</v>
      </c>
      <c r="R342" s="87" t="str">
        <f>VLOOKUP(E342,'PREMIUM TABLES'!$F$214:$G$219,2,FALSE)</f>
        <v>FIRST</v>
      </c>
      <c r="S342" s="87" t="str" cm="1">
        <f t="array" ref="S342">IF(AND(L342&gt;0,L342&lt;90),"A",IF(AND(L342&gt;90,L342&lt;123),"B",IF(AND(L342&gt;122,L342&lt;159),"C",IF(AND(L342&gt;159,L342&lt;185),"D",IF(AND(L342&gt;185,L342&lt;230),"E",IF(AND(L342&gt;230,L342&lt;350),"F",NONE))))))</f>
        <v>E</v>
      </c>
      <c r="T342" s="230">
        <f>VLOOKUP(O342,'PREMIUM TABLES'!$G$165:$H$172,2,FALSE)</f>
        <v>0.06</v>
      </c>
      <c r="U342" s="230">
        <f>VLOOKUP(P342,'PREMIUM TABLES'!$G$208:$H$209,2,FALSE)</f>
        <v>2.5000000000000001E-2</v>
      </c>
      <c r="V342" s="230">
        <f>VLOOKUP(Q342,'PREMIUM TABLES'!$G$175:$H$195,2,FALSE)</f>
        <v>0.53</v>
      </c>
      <c r="W342" s="230">
        <f>VLOOKUP(R342,'PREMIUM TABLES'!$G$214:$H$219,2,FALSE)</f>
        <v>7.0000000000000007E-2</v>
      </c>
      <c r="X342" s="230">
        <f>VLOOKUP(S342,'PREMIUM TABLES'!$F$199:$H$205,3,FALSE)</f>
        <v>1.4999999999999999E-2</v>
      </c>
      <c r="Y342" s="231">
        <f t="shared" si="53"/>
        <v>0.70000000000000007</v>
      </c>
      <c r="Z342" s="231" t="str" cm="1">
        <f t="array" ref="Z342">IF(AND(Y342&gt;0,Y342&lt;0.5),"C",IF(AND(Y342&gt;=0.5,Y342&lt;0.73),"B",IF(AND(Y342&gt;=0.73,Y342&lt;0.98),"A",NONE)))</f>
        <v>B</v>
      </c>
      <c r="AA342" s="231" t="str">
        <f>VLOOKUP(G342,'ALL (R)'!$N$5:$R$862,5,FALSE)</f>
        <v>R 9</v>
      </c>
      <c r="AB342" s="232">
        <f>VLOOKUP(AA342,FACTS!$B$2:$L$14,10,FALSE)</f>
        <v>53550</v>
      </c>
      <c r="AC342" s="232">
        <f>VLOOKUP(AA342,FACTS!$B$2:$L$14,11,FALSE)</f>
        <v>59850</v>
      </c>
      <c r="AD342" s="232">
        <f>VLOOKUP(AA342,FACTS!$B$2:$N$14,13,FALSE)</f>
        <v>6300</v>
      </c>
      <c r="AE342" s="232">
        <f t="shared" si="54"/>
        <v>4410</v>
      </c>
      <c r="AF342" s="232">
        <f t="shared" si="55"/>
        <v>57960</v>
      </c>
      <c r="AG342" s="232">
        <f>AF342*FACTS!$T$2</f>
        <v>19126.8</v>
      </c>
      <c r="AH342" s="232">
        <f>Table1[[#This Row],[UNIT (BUILDING) RATE (SEMI FINISHED)]]+4500</f>
        <v>62460</v>
      </c>
      <c r="AI342" s="232">
        <f>Table1[[#This Row],[UNIT (BUILDING) RATE (SEMI FINISHED)]]+7500</f>
        <v>65460</v>
      </c>
      <c r="AJ342" s="232">
        <f t="shared" si="56"/>
        <v>11476080</v>
      </c>
      <c r="AK342" s="232">
        <f>Table1[[#This Row],[UNIT (BUILDING) RATE (BASIC FINISH)]]*Table1[[#This Row],[Unit Selling Area]]</f>
        <v>12367080</v>
      </c>
      <c r="AL342" s="232">
        <f>Table1[[#This Row],[UNIT (BUILDING) RATE (FULLY FINISH)]]*Table1[[#This Row],[Unit Selling Area]]</f>
        <v>12961080</v>
      </c>
      <c r="AM342" s="232">
        <f t="shared" si="57"/>
        <v>0</v>
      </c>
      <c r="AN342" s="232">
        <f>(AM342+AJ342)*FACTS!$S$2</f>
        <v>975466.8</v>
      </c>
      <c r="AO342" s="101">
        <f>VLOOKUP(S342,FACTS!$A$17:$C$23,3,FALSE)</f>
        <v>2</v>
      </c>
      <c r="AP342" s="232">
        <f>VLOOKUP(AA342,FACTS!$B$2:$J$14,9,FALSE)</f>
        <v>252000</v>
      </c>
      <c r="AQ342" s="232">
        <f>Table1[[#This Row],[PARKING VALUE]]*1</f>
        <v>252000</v>
      </c>
      <c r="AR342" s="232">
        <f t="shared" si="52"/>
        <v>11728080</v>
      </c>
      <c r="AS342" s="440">
        <f>Table1[[#This Row],[TOTAL CARS VALUE]]+Table1[[#This Row],[UNIT (BUILDING) VALUE BASIC FINISHED]]+Table1[[#This Row],[UNIT (GARDEN) VALUE]]</f>
        <v>12619080</v>
      </c>
      <c r="AT342" s="232">
        <f>Table1[[#This Row],[TOTAL CARS VALUE]]+Table1[[#This Row],[UNIT (GARDEN) VALUE]]+Table1[[#This Row],[UNIT (BUILDING) VALUE FULLY FINISHED]]</f>
        <v>13213080</v>
      </c>
      <c r="AU342" s="233">
        <f>VLOOKUP(I342,'C PHASES'!$I$108:$J$110,2,FALSE)</f>
        <v>46204</v>
      </c>
      <c r="AV342" s="233">
        <f>VLOOKUP(AA342,'C PHASES'!$I$113:$J$125,2,FALSE)</f>
        <v>45931</v>
      </c>
    </row>
    <row r="343" spans="1:48" x14ac:dyDescent="0.25">
      <c r="A343" s="236"/>
      <c r="B343" s="227" t="str">
        <f t="shared" si="51"/>
        <v>B</v>
      </c>
      <c r="C343" s="227" t="s">
        <v>69</v>
      </c>
      <c r="D343" s="227" t="s">
        <v>1147</v>
      </c>
      <c r="E343" s="228">
        <v>1</v>
      </c>
      <c r="F343" s="101">
        <v>3</v>
      </c>
      <c r="G343" s="87" t="str">
        <f t="shared" si="58"/>
        <v>B913</v>
      </c>
      <c r="H343" s="87" t="s">
        <v>1295</v>
      </c>
      <c r="I343" s="89" t="str">
        <f>VLOOKUP(C343,'PREMIUM TABLES'!$G$107:$H$149,2,FALSE)</f>
        <v>C2</v>
      </c>
      <c r="J343" s="89">
        <v>183.637</v>
      </c>
      <c r="K343" s="87">
        <v>203.46608702398976</v>
      </c>
      <c r="L343" s="87">
        <v>224</v>
      </c>
      <c r="M343" s="89"/>
      <c r="N343" s="89"/>
      <c r="O343" s="87" t="s">
        <v>185</v>
      </c>
      <c r="P343" s="87" t="s">
        <v>226</v>
      </c>
      <c r="Q343" s="229" t="s">
        <v>210</v>
      </c>
      <c r="R343" s="87" t="str">
        <f>VLOOKUP(E343,'PREMIUM TABLES'!$F$214:$G$219,2,FALSE)</f>
        <v>FIRST</v>
      </c>
      <c r="S343" s="87" t="str" cm="1">
        <f t="array" ref="S343">IF(AND(L343&gt;0,L343&lt;90),"A",IF(AND(L343&gt;90,L343&lt;123),"B",IF(AND(L343&gt;122,L343&lt;159),"C",IF(AND(L343&gt;159,L343&lt;185),"D",IF(AND(L343&gt;185,L343&lt;230),"E",IF(AND(L343&gt;230,L343&lt;350),"F",NONE))))))</f>
        <v>E</v>
      </c>
      <c r="T343" s="230">
        <f>VLOOKUP(O343,'PREMIUM TABLES'!$G$165:$H$172,2,FALSE)</f>
        <v>0.06</v>
      </c>
      <c r="U343" s="230">
        <f>VLOOKUP(P343,'PREMIUM TABLES'!$G$208:$H$209,2,FALSE)</f>
        <v>0.05</v>
      </c>
      <c r="V343" s="230">
        <f>VLOOKUP(Q343,'PREMIUM TABLES'!$G$175:$H$195,2,FALSE)</f>
        <v>0.53</v>
      </c>
      <c r="W343" s="230">
        <f>VLOOKUP(R343,'PREMIUM TABLES'!$G$214:$H$219,2,FALSE)</f>
        <v>7.0000000000000007E-2</v>
      </c>
      <c r="X343" s="230">
        <f>VLOOKUP(S343,'PREMIUM TABLES'!$F$199:$H$205,3,FALSE)</f>
        <v>1.4999999999999999E-2</v>
      </c>
      <c r="Y343" s="231">
        <f t="shared" si="53"/>
        <v>0.72499999999999998</v>
      </c>
      <c r="Z343" s="231" t="str" cm="1">
        <f t="array" ref="Z343">IF(AND(Y343&gt;0,Y343&lt;0.5),"C",IF(AND(Y343&gt;=0.5,Y343&lt;0.73),"B",IF(AND(Y343&gt;=0.73,Y343&lt;0.98),"A",NONE)))</f>
        <v>B</v>
      </c>
      <c r="AA343" s="231" t="str">
        <f>VLOOKUP(G343,'ALL (R)'!$N$5:$R$862,5,FALSE)</f>
        <v>R 12</v>
      </c>
      <c r="AB343" s="232">
        <f>VLOOKUP(AA343,FACTS!$B$2:$L$14,10,FALSE)</f>
        <v>61625</v>
      </c>
      <c r="AC343" s="232">
        <f>VLOOKUP(AA343,FACTS!$B$2:$L$14,11,FALSE)</f>
        <v>68875</v>
      </c>
      <c r="AD343" s="232">
        <f>VLOOKUP(AA343,FACTS!$B$2:$N$14,13,FALSE)</f>
        <v>7250</v>
      </c>
      <c r="AE343" s="232">
        <f t="shared" si="54"/>
        <v>5256.25</v>
      </c>
      <c r="AF343" s="232">
        <f t="shared" si="55"/>
        <v>66881.25</v>
      </c>
      <c r="AG343" s="232">
        <f>AF343*FACTS!$T$2</f>
        <v>22070.8125</v>
      </c>
      <c r="AH343" s="232">
        <f>Table1[[#This Row],[UNIT (BUILDING) RATE (SEMI FINISHED)]]+4500</f>
        <v>71381.25</v>
      </c>
      <c r="AI343" s="232">
        <f>Table1[[#This Row],[UNIT (BUILDING) RATE (SEMI FINISHED)]]+7500</f>
        <v>74381.25</v>
      </c>
      <c r="AJ343" s="232">
        <f t="shared" si="56"/>
        <v>14981400</v>
      </c>
      <c r="AK343" s="232">
        <f>Table1[[#This Row],[UNIT (BUILDING) RATE (BASIC FINISH)]]*Table1[[#This Row],[Unit Selling Area]]</f>
        <v>15989400</v>
      </c>
      <c r="AL343" s="232">
        <f>Table1[[#This Row],[UNIT (BUILDING) RATE (FULLY FINISH)]]*Table1[[#This Row],[Unit Selling Area]]</f>
        <v>16661400</v>
      </c>
      <c r="AM343" s="232">
        <f t="shared" si="57"/>
        <v>0</v>
      </c>
      <c r="AN343" s="232">
        <f>(AM343+AJ343)*FACTS!$S$2</f>
        <v>1273419</v>
      </c>
      <c r="AO343" s="101">
        <f>VLOOKUP(S343,FACTS!$A$17:$C$23,3,FALSE)</f>
        <v>2</v>
      </c>
      <c r="AP343" s="232">
        <f>VLOOKUP(AA343,FACTS!$B$2:$J$14,9,FALSE)</f>
        <v>290000</v>
      </c>
      <c r="AQ343" s="232">
        <f>Table1[[#This Row],[PARKING VALUE]]*1</f>
        <v>290000</v>
      </c>
      <c r="AR343" s="232">
        <f t="shared" si="52"/>
        <v>15271400</v>
      </c>
      <c r="AS343" s="440">
        <f>Table1[[#This Row],[TOTAL CARS VALUE]]+Table1[[#This Row],[UNIT (BUILDING) VALUE BASIC FINISHED]]+Table1[[#This Row],[UNIT (GARDEN) VALUE]]</f>
        <v>16279400</v>
      </c>
      <c r="AT343" s="232">
        <f>Table1[[#This Row],[TOTAL CARS VALUE]]+Table1[[#This Row],[UNIT (GARDEN) VALUE]]+Table1[[#This Row],[UNIT (BUILDING) VALUE FULLY FINISHED]]</f>
        <v>16951400</v>
      </c>
      <c r="AU343" s="233">
        <f>VLOOKUP(I343,'C PHASES'!$I$108:$J$110,2,FALSE)</f>
        <v>46204</v>
      </c>
      <c r="AV343" s="233">
        <f>VLOOKUP(AA343,'C PHASES'!$I$113:$J$125,2,FALSE)</f>
        <v>46204</v>
      </c>
    </row>
    <row r="344" spans="1:48" x14ac:dyDescent="0.25">
      <c r="A344" s="236"/>
      <c r="B344" s="227" t="str">
        <f t="shared" si="51"/>
        <v>B</v>
      </c>
      <c r="C344" s="227" t="s">
        <v>69</v>
      </c>
      <c r="D344" s="227" t="s">
        <v>1147</v>
      </c>
      <c r="E344" s="228">
        <v>1</v>
      </c>
      <c r="F344" s="101">
        <v>4</v>
      </c>
      <c r="G344" s="87" t="str">
        <f t="shared" si="58"/>
        <v>B914</v>
      </c>
      <c r="H344" s="87" t="s">
        <v>1294</v>
      </c>
      <c r="I344" s="89" t="str">
        <f>VLOOKUP(C344,'PREMIUM TABLES'!$G$107:$H$149,2,FALSE)</f>
        <v>C2</v>
      </c>
      <c r="J344" s="89">
        <v>141.66300000000001</v>
      </c>
      <c r="K344" s="87">
        <v>156.95974278647259</v>
      </c>
      <c r="L344" s="87">
        <v>173</v>
      </c>
      <c r="M344" s="89"/>
      <c r="N344" s="89"/>
      <c r="O344" s="87" t="s">
        <v>184</v>
      </c>
      <c r="P344" s="87" t="s">
        <v>226</v>
      </c>
      <c r="Q344" s="229" t="s">
        <v>211</v>
      </c>
      <c r="R344" s="87" t="str">
        <f>VLOOKUP(E344,'PREMIUM TABLES'!$F$214:$G$219,2,FALSE)</f>
        <v>FIRST</v>
      </c>
      <c r="S344" s="87" t="str" cm="1">
        <f t="array" ref="S344">IF(AND(L344&gt;0,L344&lt;90),"A",IF(AND(L344&gt;90,L344&lt;123),"B",IF(AND(L344&gt;122,L344&lt;159),"C",IF(AND(L344&gt;159,L344&lt;185),"D",IF(AND(L344&gt;185,L344&lt;230),"E",IF(AND(L344&gt;230,L344&lt;350),"F",NONE))))))</f>
        <v>D</v>
      </c>
      <c r="T344" s="230">
        <f>VLOOKUP(O344,'PREMIUM TABLES'!$G$165:$H$172,2,FALSE)</f>
        <v>0.15</v>
      </c>
      <c r="U344" s="230">
        <f>VLOOKUP(P344,'PREMIUM TABLES'!$G$208:$H$209,2,FALSE)</f>
        <v>0.05</v>
      </c>
      <c r="V344" s="230">
        <f>VLOOKUP(Q344,'PREMIUM TABLES'!$G$175:$H$195,2,FALSE)</f>
        <v>0.43</v>
      </c>
      <c r="W344" s="230">
        <f>VLOOKUP(R344,'PREMIUM TABLES'!$G$214:$H$219,2,FALSE)</f>
        <v>7.0000000000000007E-2</v>
      </c>
      <c r="X344" s="230">
        <f>VLOOKUP(S344,'PREMIUM TABLES'!$F$199:$H$205,3,FALSE)</f>
        <v>2.5000000000000001E-2</v>
      </c>
      <c r="Y344" s="231">
        <f t="shared" si="53"/>
        <v>0.72499999999999998</v>
      </c>
      <c r="Z344" s="231" t="str" cm="1">
        <f t="array" ref="Z344">IF(AND(Y344&gt;0,Y344&lt;0.5),"C",IF(AND(Y344&gt;=0.5,Y344&lt;0.73),"B",IF(AND(Y344&gt;=0.73,Y344&lt;0.98),"A",NONE)))</f>
        <v>B</v>
      </c>
      <c r="AA344" s="231" t="str">
        <f>VLOOKUP(G344,'ALL (R)'!$N$5:$R$862,5,FALSE)</f>
        <v>R 12</v>
      </c>
      <c r="AB344" s="232">
        <f>VLOOKUP(AA344,FACTS!$B$2:$L$14,10,FALSE)</f>
        <v>61625</v>
      </c>
      <c r="AC344" s="232">
        <f>VLOOKUP(AA344,FACTS!$B$2:$L$14,11,FALSE)</f>
        <v>68875</v>
      </c>
      <c r="AD344" s="232">
        <f>VLOOKUP(AA344,FACTS!$B$2:$N$14,13,FALSE)</f>
        <v>7250</v>
      </c>
      <c r="AE344" s="232">
        <f t="shared" si="54"/>
        <v>5256.25</v>
      </c>
      <c r="AF344" s="232">
        <f t="shared" si="55"/>
        <v>66881.25</v>
      </c>
      <c r="AG344" s="232">
        <f>AF344*FACTS!$T$2</f>
        <v>22070.8125</v>
      </c>
      <c r="AH344" s="232">
        <f>Table1[[#This Row],[UNIT (BUILDING) RATE (SEMI FINISHED)]]+4500</f>
        <v>71381.25</v>
      </c>
      <c r="AI344" s="232">
        <f>Table1[[#This Row],[UNIT (BUILDING) RATE (SEMI FINISHED)]]+7500</f>
        <v>74381.25</v>
      </c>
      <c r="AJ344" s="232">
        <f t="shared" si="56"/>
        <v>11570456.25</v>
      </c>
      <c r="AK344" s="232">
        <f>Table1[[#This Row],[UNIT (BUILDING) RATE (BASIC FINISH)]]*Table1[[#This Row],[Unit Selling Area]]</f>
        <v>12348956.25</v>
      </c>
      <c r="AL344" s="232">
        <f>Table1[[#This Row],[UNIT (BUILDING) RATE (FULLY FINISH)]]*Table1[[#This Row],[Unit Selling Area]]</f>
        <v>12867956.25</v>
      </c>
      <c r="AM344" s="232">
        <f t="shared" si="57"/>
        <v>0</v>
      </c>
      <c r="AN344" s="232">
        <f>(AM344+AJ344)*FACTS!$S$2</f>
        <v>983488.78125000012</v>
      </c>
      <c r="AO344" s="101">
        <f>VLOOKUP(S344,FACTS!$A$17:$C$23,3,FALSE)</f>
        <v>2</v>
      </c>
      <c r="AP344" s="232">
        <f>VLOOKUP(AA344,FACTS!$B$2:$J$14,9,FALSE)</f>
        <v>290000</v>
      </c>
      <c r="AQ344" s="232">
        <f>Table1[[#This Row],[PARKING VALUE]]*1</f>
        <v>290000</v>
      </c>
      <c r="AR344" s="232">
        <f t="shared" si="52"/>
        <v>11860456.25</v>
      </c>
      <c r="AS344" s="440">
        <f>Table1[[#This Row],[TOTAL CARS VALUE]]+Table1[[#This Row],[UNIT (BUILDING) VALUE BASIC FINISHED]]+Table1[[#This Row],[UNIT (GARDEN) VALUE]]</f>
        <v>12638956.25</v>
      </c>
      <c r="AT344" s="232">
        <f>Table1[[#This Row],[TOTAL CARS VALUE]]+Table1[[#This Row],[UNIT (GARDEN) VALUE]]+Table1[[#This Row],[UNIT (BUILDING) VALUE FULLY FINISHED]]</f>
        <v>13157956.25</v>
      </c>
      <c r="AU344" s="233">
        <f>VLOOKUP(I344,'C PHASES'!$I$108:$J$110,2,FALSE)</f>
        <v>46204</v>
      </c>
      <c r="AV344" s="233">
        <f>VLOOKUP(AA344,'C PHASES'!$I$113:$J$125,2,FALSE)</f>
        <v>46204</v>
      </c>
    </row>
    <row r="345" spans="1:48" x14ac:dyDescent="0.25">
      <c r="A345" s="236"/>
      <c r="B345" s="227" t="str">
        <f t="shared" si="51"/>
        <v>B</v>
      </c>
      <c r="C345" s="227" t="s">
        <v>69</v>
      </c>
      <c r="D345" s="227" t="s">
        <v>1147</v>
      </c>
      <c r="E345" s="228">
        <v>2</v>
      </c>
      <c r="F345" s="101">
        <v>1</v>
      </c>
      <c r="G345" s="87" t="str">
        <f t="shared" si="58"/>
        <v>B921</v>
      </c>
      <c r="H345" s="87" t="s">
        <v>1294</v>
      </c>
      <c r="I345" s="89" t="str">
        <f>VLOOKUP(C345,'PREMIUM TABLES'!$G$107:$H$149,2,FALSE)</f>
        <v>C2</v>
      </c>
      <c r="J345" s="89">
        <v>141.22499999999999</v>
      </c>
      <c r="K345" s="87">
        <v>156.47444763290054</v>
      </c>
      <c r="L345" s="87">
        <v>172</v>
      </c>
      <c r="M345" s="89"/>
      <c r="N345" s="89"/>
      <c r="O345" s="87" t="s">
        <v>184</v>
      </c>
      <c r="P345" s="87" t="s">
        <v>190</v>
      </c>
      <c r="Q345" s="229" t="s">
        <v>229</v>
      </c>
      <c r="R345" s="87" t="str">
        <f>VLOOKUP(E345,'PREMIUM TABLES'!$F$214:$G$219,2,FALSE)</f>
        <v>SECOND</v>
      </c>
      <c r="S345" s="87" t="str" cm="1">
        <f t="array" ref="S345">IF(AND(L345&gt;0,L345&lt;90),"A",IF(AND(L345&gt;90,L345&lt;123),"B",IF(AND(L345&gt;122,L345&lt;159),"C",IF(AND(L345&gt;159,L345&lt;185),"D",IF(AND(L345&gt;185,L345&lt;230),"E",IF(AND(L345&gt;230,L345&lt;350),"F",NONE))))))</f>
        <v>D</v>
      </c>
      <c r="T345" s="230">
        <f>VLOOKUP(O345,'PREMIUM TABLES'!$G$165:$H$172,2,FALSE)</f>
        <v>0.15</v>
      </c>
      <c r="U345" s="230">
        <f>VLOOKUP(P345,'PREMIUM TABLES'!$G$208:$H$209,2,FALSE)</f>
        <v>2.5000000000000001E-2</v>
      </c>
      <c r="V345" s="230">
        <f>VLOOKUP(Q345,'PREMIUM TABLES'!$G$175:$H$195,2,FALSE)</f>
        <v>0.32250000000000001</v>
      </c>
      <c r="W345" s="230">
        <f>VLOOKUP(R345,'PREMIUM TABLES'!$G$214:$H$219,2,FALSE)</f>
        <v>0.11</v>
      </c>
      <c r="X345" s="230">
        <f>VLOOKUP(S345,'PREMIUM TABLES'!$F$199:$H$205,3,FALSE)</f>
        <v>2.5000000000000001E-2</v>
      </c>
      <c r="Y345" s="231">
        <f t="shared" si="53"/>
        <v>0.63250000000000006</v>
      </c>
      <c r="Z345" s="231" t="str" cm="1">
        <f t="array" ref="Z345">IF(AND(Y345&gt;0,Y345&lt;0.5),"C",IF(AND(Y345&gt;=0.5,Y345&lt;0.73),"B",IF(AND(Y345&gt;=0.73,Y345&lt;0.98),"A",NONE)))</f>
        <v>B</v>
      </c>
      <c r="AA345" s="231" t="str">
        <f>VLOOKUP(G345,'ALL (R)'!$N$5:$R$862,5,FALSE)</f>
        <v>R 4</v>
      </c>
      <c r="AB345" s="232">
        <f>VLOOKUP(AA345,FACTS!$B$2:$L$14,10,FALSE)</f>
        <v>45687.5</v>
      </c>
      <c r="AC345" s="232">
        <f>VLOOKUP(AA345,FACTS!$B$2:$L$14,11,FALSE)</f>
        <v>51062.5</v>
      </c>
      <c r="AD345" s="232">
        <f>VLOOKUP(AA345,FACTS!$B$2:$N$14,13,FALSE)</f>
        <v>5375</v>
      </c>
      <c r="AE345" s="232">
        <f t="shared" si="54"/>
        <v>3399.6875000000005</v>
      </c>
      <c r="AF345" s="232">
        <f t="shared" si="55"/>
        <v>49087.1875</v>
      </c>
      <c r="AG345" s="232">
        <f>AF345*FACTS!$T$2</f>
        <v>16198.771875</v>
      </c>
      <c r="AH345" s="232">
        <f>Table1[[#This Row],[UNIT (BUILDING) RATE (SEMI FINISHED)]]+4500</f>
        <v>53587.1875</v>
      </c>
      <c r="AI345" s="232">
        <f>Table1[[#This Row],[UNIT (BUILDING) RATE (SEMI FINISHED)]]+7500</f>
        <v>56587.1875</v>
      </c>
      <c r="AJ345" s="232">
        <f t="shared" si="56"/>
        <v>8442996.25</v>
      </c>
      <c r="AK345" s="232">
        <f>Table1[[#This Row],[UNIT (BUILDING) RATE (BASIC FINISH)]]*Table1[[#This Row],[Unit Selling Area]]</f>
        <v>9216996.25</v>
      </c>
      <c r="AL345" s="232">
        <f>Table1[[#This Row],[UNIT (BUILDING) RATE (FULLY FINISH)]]*Table1[[#This Row],[Unit Selling Area]]</f>
        <v>9732996.25</v>
      </c>
      <c r="AM345" s="232">
        <f t="shared" si="57"/>
        <v>0</v>
      </c>
      <c r="AN345" s="232">
        <f>(AM345+AJ345)*FACTS!$S$2</f>
        <v>717654.68125000002</v>
      </c>
      <c r="AO345" s="101">
        <f>VLOOKUP(S345,FACTS!$A$17:$C$23,3,FALSE)</f>
        <v>2</v>
      </c>
      <c r="AP345" s="232">
        <f>VLOOKUP(AA345,FACTS!$B$2:$J$14,9,FALSE)</f>
        <v>215000</v>
      </c>
      <c r="AQ345" s="232">
        <f>Table1[[#This Row],[PARKING VALUE]]*1</f>
        <v>215000</v>
      </c>
      <c r="AR345" s="232">
        <f t="shared" si="52"/>
        <v>8657996.25</v>
      </c>
      <c r="AS345" s="440">
        <f>Table1[[#This Row],[TOTAL CARS VALUE]]+Table1[[#This Row],[UNIT (BUILDING) VALUE BASIC FINISHED]]+Table1[[#This Row],[UNIT (GARDEN) VALUE]]</f>
        <v>9431996.25</v>
      </c>
      <c r="AT345" s="232">
        <f>Table1[[#This Row],[TOTAL CARS VALUE]]+Table1[[#This Row],[UNIT (GARDEN) VALUE]]+Table1[[#This Row],[UNIT (BUILDING) VALUE FULLY FINISHED]]</f>
        <v>9947996.25</v>
      </c>
      <c r="AU345" s="233">
        <f>VLOOKUP(I345,'C PHASES'!$I$108:$J$110,2,FALSE)</f>
        <v>46204</v>
      </c>
      <c r="AV345" s="233">
        <f>VLOOKUP(AA345,'C PHASES'!$I$113:$J$125,2,FALSE)</f>
        <v>45474</v>
      </c>
    </row>
    <row r="346" spans="1:48" x14ac:dyDescent="0.25">
      <c r="A346" s="236"/>
      <c r="B346" s="227" t="str">
        <f t="shared" si="51"/>
        <v>B</v>
      </c>
      <c r="C346" s="227" t="s">
        <v>69</v>
      </c>
      <c r="D346" s="227" t="s">
        <v>1147</v>
      </c>
      <c r="E346" s="228">
        <v>2</v>
      </c>
      <c r="F346" s="101">
        <v>2</v>
      </c>
      <c r="G346" s="87" t="str">
        <f t="shared" si="58"/>
        <v>B922</v>
      </c>
      <c r="H346" s="87" t="s">
        <v>1294</v>
      </c>
      <c r="I346" s="89" t="str">
        <f>VLOOKUP(C346,'PREMIUM TABLES'!$G$107:$H$149,2,FALSE)</f>
        <v>C2</v>
      </c>
      <c r="J346" s="89">
        <v>167.214</v>
      </c>
      <c r="K346" s="87">
        <v>185.26973472464385</v>
      </c>
      <c r="L346" s="87">
        <v>204</v>
      </c>
      <c r="M346" s="89"/>
      <c r="N346" s="89"/>
      <c r="O346" s="87" t="s">
        <v>185</v>
      </c>
      <c r="P346" s="87" t="s">
        <v>190</v>
      </c>
      <c r="Q346" s="229" t="s">
        <v>210</v>
      </c>
      <c r="R346" s="87" t="str">
        <f>VLOOKUP(E346,'PREMIUM TABLES'!$F$214:$G$219,2,FALSE)</f>
        <v>SECOND</v>
      </c>
      <c r="S346" s="87" t="str" cm="1">
        <f t="array" ref="S346">IF(AND(L346&gt;0,L346&lt;90),"A",IF(AND(L346&gt;90,L346&lt;123),"B",IF(AND(L346&gt;122,L346&lt;159),"C",IF(AND(L346&gt;159,L346&lt;185),"D",IF(AND(L346&gt;185,L346&lt;230),"E",IF(AND(L346&gt;230,L346&lt;350),"F",NONE))))))</f>
        <v>E</v>
      </c>
      <c r="T346" s="230">
        <f>VLOOKUP(O346,'PREMIUM TABLES'!$G$165:$H$172,2,FALSE)</f>
        <v>0.06</v>
      </c>
      <c r="U346" s="230">
        <f>VLOOKUP(P346,'PREMIUM TABLES'!$G$208:$H$209,2,FALSE)</f>
        <v>2.5000000000000001E-2</v>
      </c>
      <c r="V346" s="230">
        <f>VLOOKUP(Q346,'PREMIUM TABLES'!$G$175:$H$195,2,FALSE)</f>
        <v>0.53</v>
      </c>
      <c r="W346" s="230">
        <f>VLOOKUP(R346,'PREMIUM TABLES'!$G$214:$H$219,2,FALSE)</f>
        <v>0.11</v>
      </c>
      <c r="X346" s="230">
        <f>VLOOKUP(S346,'PREMIUM TABLES'!$F$199:$H$205,3,FALSE)</f>
        <v>1.4999999999999999E-2</v>
      </c>
      <c r="Y346" s="231">
        <f t="shared" si="53"/>
        <v>0.74</v>
      </c>
      <c r="Z346" s="231" t="str" cm="1">
        <f t="array" ref="Z346">IF(AND(Y346&gt;0,Y346&lt;0.5),"C",IF(AND(Y346&gt;=0.5,Y346&lt;0.73),"B",IF(AND(Y346&gt;=0.73,Y346&lt;0.98),"A",NONE)))</f>
        <v>A</v>
      </c>
      <c r="AA346" s="231" t="str">
        <f>VLOOKUP(G346,'ALL (R)'!$N$5:$R$862,5,FALSE)</f>
        <v>R 1</v>
      </c>
      <c r="AB346" s="232">
        <f>VLOOKUP(AA346,FACTS!$B$2:$L$14,10,FALSE)</f>
        <v>42500</v>
      </c>
      <c r="AC346" s="232">
        <f>VLOOKUP(AA346,FACTS!$B$2:$L$14,11,FALSE)</f>
        <v>47500</v>
      </c>
      <c r="AD346" s="232">
        <f>VLOOKUP(AA346,FACTS!$B$2:$N$14,13,FALSE)</f>
        <v>5000</v>
      </c>
      <c r="AE346" s="232">
        <f t="shared" si="54"/>
        <v>3700</v>
      </c>
      <c r="AF346" s="232">
        <f t="shared" si="55"/>
        <v>46200</v>
      </c>
      <c r="AG346" s="232">
        <f>AF346*FACTS!$T$2</f>
        <v>15246</v>
      </c>
      <c r="AH346" s="232">
        <f>Table1[[#This Row],[UNIT (BUILDING) RATE (SEMI FINISHED)]]+4500</f>
        <v>50700</v>
      </c>
      <c r="AI346" s="232">
        <f>Table1[[#This Row],[UNIT (BUILDING) RATE (SEMI FINISHED)]]+7500</f>
        <v>53700</v>
      </c>
      <c r="AJ346" s="232">
        <f t="shared" si="56"/>
        <v>9424800</v>
      </c>
      <c r="AK346" s="232">
        <f>Table1[[#This Row],[UNIT (BUILDING) RATE (BASIC FINISH)]]*Table1[[#This Row],[Unit Selling Area]]</f>
        <v>10342800</v>
      </c>
      <c r="AL346" s="232">
        <f>Table1[[#This Row],[UNIT (BUILDING) RATE (FULLY FINISH)]]*Table1[[#This Row],[Unit Selling Area]]</f>
        <v>10954800</v>
      </c>
      <c r="AM346" s="232">
        <f t="shared" si="57"/>
        <v>0</v>
      </c>
      <c r="AN346" s="232">
        <f>(AM346+AJ346)*FACTS!$S$2</f>
        <v>801108</v>
      </c>
      <c r="AO346" s="101">
        <f>VLOOKUP(S346,FACTS!$A$17:$C$23,3,FALSE)</f>
        <v>2</v>
      </c>
      <c r="AP346" s="232">
        <f>VLOOKUP(AA346,FACTS!$B$2:$J$14,9,FALSE)</f>
        <v>200000</v>
      </c>
      <c r="AQ346" s="232">
        <f>Table1[[#This Row],[PARKING VALUE]]*1</f>
        <v>200000</v>
      </c>
      <c r="AR346" s="232">
        <f t="shared" si="52"/>
        <v>9624800</v>
      </c>
      <c r="AS346" s="440">
        <f>Table1[[#This Row],[TOTAL CARS VALUE]]+Table1[[#This Row],[UNIT (BUILDING) VALUE BASIC FINISHED]]+Table1[[#This Row],[UNIT (GARDEN) VALUE]]</f>
        <v>10542800</v>
      </c>
      <c r="AT346" s="232">
        <f>Table1[[#This Row],[TOTAL CARS VALUE]]+Table1[[#This Row],[UNIT (GARDEN) VALUE]]+Table1[[#This Row],[UNIT (BUILDING) VALUE FULLY FINISHED]]</f>
        <v>11154800</v>
      </c>
      <c r="AU346" s="233">
        <f>VLOOKUP(I346,'C PHASES'!$I$108:$J$110,2,FALSE)</f>
        <v>46204</v>
      </c>
      <c r="AV346" s="233">
        <f>VLOOKUP(AA346,'C PHASES'!$I$113:$J$125,2,FALSE)</f>
        <v>45170</v>
      </c>
    </row>
    <row r="347" spans="1:48" x14ac:dyDescent="0.25">
      <c r="A347" s="236"/>
      <c r="B347" s="227" t="str">
        <f t="shared" si="51"/>
        <v>B</v>
      </c>
      <c r="C347" s="227" t="s">
        <v>69</v>
      </c>
      <c r="D347" s="227" t="s">
        <v>1147</v>
      </c>
      <c r="E347" s="228">
        <v>2</v>
      </c>
      <c r="F347" s="101">
        <v>3</v>
      </c>
      <c r="G347" s="87" t="str">
        <f t="shared" si="58"/>
        <v>B923</v>
      </c>
      <c r="H347" s="87" t="s">
        <v>1295</v>
      </c>
      <c r="I347" s="89" t="str">
        <f>VLOOKUP(C347,'PREMIUM TABLES'!$G$107:$H$149,2,FALSE)</f>
        <v>C2</v>
      </c>
      <c r="J347" s="89">
        <v>187.10300000000001</v>
      </c>
      <c r="K347" s="87">
        <v>207.30634502006436</v>
      </c>
      <c r="L347" s="87">
        <v>228</v>
      </c>
      <c r="M347" s="89"/>
      <c r="N347" s="89"/>
      <c r="O347" s="87" t="s">
        <v>185</v>
      </c>
      <c r="P347" s="87" t="s">
        <v>226</v>
      </c>
      <c r="Q347" s="229" t="s">
        <v>210</v>
      </c>
      <c r="R347" s="87" t="str">
        <f>VLOOKUP(E347,'PREMIUM TABLES'!$F$214:$G$219,2,FALSE)</f>
        <v>SECOND</v>
      </c>
      <c r="S347" s="87" t="str" cm="1">
        <f t="array" ref="S347">IF(AND(L347&gt;0,L347&lt;90),"A",IF(AND(L347&gt;90,L347&lt;123),"B",IF(AND(L347&gt;122,L347&lt;159),"C",IF(AND(L347&gt;159,L347&lt;185),"D",IF(AND(L347&gt;185,L347&lt;230),"E",IF(AND(L347&gt;230,L347&lt;350),"F",NONE))))))</f>
        <v>E</v>
      </c>
      <c r="T347" s="230">
        <f>VLOOKUP(O347,'PREMIUM TABLES'!$G$165:$H$172,2,FALSE)</f>
        <v>0.06</v>
      </c>
      <c r="U347" s="230">
        <f>VLOOKUP(P347,'PREMIUM TABLES'!$G$208:$H$209,2,FALSE)</f>
        <v>0.05</v>
      </c>
      <c r="V347" s="230">
        <f>VLOOKUP(Q347,'PREMIUM TABLES'!$G$175:$H$195,2,FALSE)</f>
        <v>0.53</v>
      </c>
      <c r="W347" s="230">
        <f>VLOOKUP(R347,'PREMIUM TABLES'!$G$214:$H$219,2,FALSE)</f>
        <v>0.11</v>
      </c>
      <c r="X347" s="230">
        <f>VLOOKUP(S347,'PREMIUM TABLES'!$F$199:$H$205,3,FALSE)</f>
        <v>1.4999999999999999E-2</v>
      </c>
      <c r="Y347" s="231">
        <f t="shared" si="53"/>
        <v>0.76500000000000001</v>
      </c>
      <c r="Z347" s="231" t="str" cm="1">
        <f t="array" ref="Z347">IF(AND(Y347&gt;0,Y347&lt;0.5),"C",IF(AND(Y347&gt;=0.5,Y347&lt;0.73),"B",IF(AND(Y347&gt;=0.73,Y347&lt;0.98),"A",NONE)))</f>
        <v>A</v>
      </c>
      <c r="AA347" s="231" t="str">
        <f>VLOOKUP(G347,'ALL (R)'!$N$5:$R$862,5,FALSE)</f>
        <v>R 3</v>
      </c>
      <c r="AB347" s="232">
        <f>VLOOKUP(AA347,FACTS!$B$2:$L$14,10,FALSE)</f>
        <v>44625</v>
      </c>
      <c r="AC347" s="232">
        <f>VLOOKUP(AA347,FACTS!$B$2:$L$14,11,FALSE)</f>
        <v>49875</v>
      </c>
      <c r="AD347" s="232">
        <f>VLOOKUP(AA347,FACTS!$B$2:$N$14,13,FALSE)</f>
        <v>5250</v>
      </c>
      <c r="AE347" s="232">
        <f t="shared" si="54"/>
        <v>4016.25</v>
      </c>
      <c r="AF347" s="232">
        <f t="shared" si="55"/>
        <v>48641.25</v>
      </c>
      <c r="AG347" s="232">
        <f>AF347*FACTS!$T$2</f>
        <v>16051.612500000001</v>
      </c>
      <c r="AH347" s="232">
        <f>Table1[[#This Row],[UNIT (BUILDING) RATE (SEMI FINISHED)]]+4500</f>
        <v>53141.25</v>
      </c>
      <c r="AI347" s="232">
        <f>Table1[[#This Row],[UNIT (BUILDING) RATE (SEMI FINISHED)]]+7500</f>
        <v>56141.25</v>
      </c>
      <c r="AJ347" s="232">
        <f t="shared" si="56"/>
        <v>11090205</v>
      </c>
      <c r="AK347" s="232">
        <f>Table1[[#This Row],[UNIT (BUILDING) RATE (BASIC FINISH)]]*Table1[[#This Row],[Unit Selling Area]]</f>
        <v>12116205</v>
      </c>
      <c r="AL347" s="232">
        <f>Table1[[#This Row],[UNIT (BUILDING) RATE (FULLY FINISH)]]*Table1[[#This Row],[Unit Selling Area]]</f>
        <v>12800205</v>
      </c>
      <c r="AM347" s="232">
        <f t="shared" si="57"/>
        <v>0</v>
      </c>
      <c r="AN347" s="232">
        <f>(AM347+AJ347)*FACTS!$S$2</f>
        <v>942667.42500000005</v>
      </c>
      <c r="AO347" s="101">
        <f>VLOOKUP(S347,FACTS!$A$17:$C$23,3,FALSE)</f>
        <v>2</v>
      </c>
      <c r="AP347" s="232">
        <f>VLOOKUP(AA347,FACTS!$B$2:$J$14,9,FALSE)</f>
        <v>210000</v>
      </c>
      <c r="AQ347" s="232">
        <f>Table1[[#This Row],[PARKING VALUE]]*1</f>
        <v>210000</v>
      </c>
      <c r="AR347" s="232">
        <f t="shared" si="52"/>
        <v>11300205</v>
      </c>
      <c r="AS347" s="440">
        <f>Table1[[#This Row],[TOTAL CARS VALUE]]+Table1[[#This Row],[UNIT (BUILDING) VALUE BASIC FINISHED]]+Table1[[#This Row],[UNIT (GARDEN) VALUE]]</f>
        <v>12326205</v>
      </c>
      <c r="AT347" s="232">
        <f>Table1[[#This Row],[TOTAL CARS VALUE]]+Table1[[#This Row],[UNIT (GARDEN) VALUE]]+Table1[[#This Row],[UNIT (BUILDING) VALUE FULLY FINISHED]]</f>
        <v>13010205</v>
      </c>
      <c r="AU347" s="233">
        <f>VLOOKUP(I347,'C PHASES'!$I$108:$J$110,2,FALSE)</f>
        <v>46204</v>
      </c>
      <c r="AV347" s="233">
        <f>VLOOKUP(AA347,'C PHASES'!$I$113:$J$125,2,FALSE)</f>
        <v>45383</v>
      </c>
    </row>
    <row r="348" spans="1:48" x14ac:dyDescent="0.25">
      <c r="A348" s="236"/>
      <c r="B348" s="227" t="str">
        <f t="shared" si="51"/>
        <v>B</v>
      </c>
      <c r="C348" s="227" t="s">
        <v>69</v>
      </c>
      <c r="D348" s="227" t="s">
        <v>1147</v>
      </c>
      <c r="E348" s="228">
        <v>2</v>
      </c>
      <c r="F348" s="101">
        <v>4</v>
      </c>
      <c r="G348" s="87" t="str">
        <f t="shared" si="58"/>
        <v>B924</v>
      </c>
      <c r="H348" s="87" t="s">
        <v>1294</v>
      </c>
      <c r="I348" s="89" t="str">
        <f>VLOOKUP(C348,'PREMIUM TABLES'!$G$107:$H$149,2,FALSE)</f>
        <v>C2</v>
      </c>
      <c r="J348" s="89">
        <v>143.989</v>
      </c>
      <c r="K348" s="87">
        <v>159.53690380749666</v>
      </c>
      <c r="L348" s="87">
        <v>176</v>
      </c>
      <c r="M348" s="89"/>
      <c r="N348" s="89"/>
      <c r="O348" s="87" t="s">
        <v>184</v>
      </c>
      <c r="P348" s="87" t="s">
        <v>226</v>
      </c>
      <c r="Q348" s="229" t="s">
        <v>211</v>
      </c>
      <c r="R348" s="87" t="str">
        <f>VLOOKUP(E348,'PREMIUM TABLES'!$F$214:$G$219,2,FALSE)</f>
        <v>SECOND</v>
      </c>
      <c r="S348" s="87" t="str" cm="1">
        <f t="array" ref="S348">IF(AND(L348&gt;0,L348&lt;90),"A",IF(AND(L348&gt;90,L348&lt;123),"B",IF(AND(L348&gt;122,L348&lt;159),"C",IF(AND(L348&gt;159,L348&lt;185),"D",IF(AND(L348&gt;185,L348&lt;230),"E",IF(AND(L348&gt;230,L348&lt;350),"F",NONE))))))</f>
        <v>D</v>
      </c>
      <c r="T348" s="230">
        <f>VLOOKUP(O348,'PREMIUM TABLES'!$G$165:$H$172,2,FALSE)</f>
        <v>0.15</v>
      </c>
      <c r="U348" s="230">
        <f>VLOOKUP(P348,'PREMIUM TABLES'!$G$208:$H$209,2,FALSE)</f>
        <v>0.05</v>
      </c>
      <c r="V348" s="230">
        <f>VLOOKUP(Q348,'PREMIUM TABLES'!$G$175:$H$195,2,FALSE)</f>
        <v>0.43</v>
      </c>
      <c r="W348" s="230">
        <f>VLOOKUP(R348,'PREMIUM TABLES'!$G$214:$H$219,2,FALSE)</f>
        <v>0.11</v>
      </c>
      <c r="X348" s="230">
        <f>VLOOKUP(S348,'PREMIUM TABLES'!$F$199:$H$205,3,FALSE)</f>
        <v>2.5000000000000001E-2</v>
      </c>
      <c r="Y348" s="231">
        <f t="shared" si="53"/>
        <v>0.76500000000000001</v>
      </c>
      <c r="Z348" s="231" t="str" cm="1">
        <f t="array" ref="Z348">IF(AND(Y348&gt;0,Y348&lt;0.5),"C",IF(AND(Y348&gt;=0.5,Y348&lt;0.73),"B",IF(AND(Y348&gt;=0.73,Y348&lt;0.98),"A",NONE)))</f>
        <v>A</v>
      </c>
      <c r="AA348" s="231" t="str">
        <f>VLOOKUP(G348,'ALL (R)'!$N$5:$R$862,5,FALSE)</f>
        <v>R 3</v>
      </c>
      <c r="AB348" s="232">
        <f>VLOOKUP(AA348,FACTS!$B$2:$L$14,10,FALSE)</f>
        <v>44625</v>
      </c>
      <c r="AC348" s="232">
        <f>VLOOKUP(AA348,FACTS!$B$2:$L$14,11,FALSE)</f>
        <v>49875</v>
      </c>
      <c r="AD348" s="232">
        <f>VLOOKUP(AA348,FACTS!$B$2:$N$14,13,FALSE)</f>
        <v>5250</v>
      </c>
      <c r="AE348" s="232">
        <f t="shared" si="54"/>
        <v>4016.25</v>
      </c>
      <c r="AF348" s="232">
        <f t="shared" si="55"/>
        <v>48641.25</v>
      </c>
      <c r="AG348" s="232">
        <f>AF348*FACTS!$T$2</f>
        <v>16051.612500000001</v>
      </c>
      <c r="AH348" s="232">
        <f>Table1[[#This Row],[UNIT (BUILDING) RATE (SEMI FINISHED)]]+4500</f>
        <v>53141.25</v>
      </c>
      <c r="AI348" s="232">
        <f>Table1[[#This Row],[UNIT (BUILDING) RATE (SEMI FINISHED)]]+7500</f>
        <v>56141.25</v>
      </c>
      <c r="AJ348" s="232">
        <f t="shared" si="56"/>
        <v>8560860</v>
      </c>
      <c r="AK348" s="232">
        <f>Table1[[#This Row],[UNIT (BUILDING) RATE (BASIC FINISH)]]*Table1[[#This Row],[Unit Selling Area]]</f>
        <v>9352860</v>
      </c>
      <c r="AL348" s="232">
        <f>Table1[[#This Row],[UNIT (BUILDING) RATE (FULLY FINISH)]]*Table1[[#This Row],[Unit Selling Area]]</f>
        <v>9880860</v>
      </c>
      <c r="AM348" s="232">
        <f t="shared" si="57"/>
        <v>0</v>
      </c>
      <c r="AN348" s="232">
        <f>(AM348+AJ348)*FACTS!$S$2</f>
        <v>727673.10000000009</v>
      </c>
      <c r="AO348" s="101">
        <f>VLOOKUP(S348,FACTS!$A$17:$C$23,3,FALSE)</f>
        <v>2</v>
      </c>
      <c r="AP348" s="232">
        <f>VLOOKUP(AA348,FACTS!$B$2:$J$14,9,FALSE)</f>
        <v>210000</v>
      </c>
      <c r="AQ348" s="232">
        <f>Table1[[#This Row],[PARKING VALUE]]*1</f>
        <v>210000</v>
      </c>
      <c r="AR348" s="232">
        <f t="shared" si="52"/>
        <v>8770860</v>
      </c>
      <c r="AS348" s="440">
        <f>Table1[[#This Row],[TOTAL CARS VALUE]]+Table1[[#This Row],[UNIT (BUILDING) VALUE BASIC FINISHED]]+Table1[[#This Row],[UNIT (GARDEN) VALUE]]</f>
        <v>9562860</v>
      </c>
      <c r="AT348" s="232">
        <f>Table1[[#This Row],[TOTAL CARS VALUE]]+Table1[[#This Row],[UNIT (GARDEN) VALUE]]+Table1[[#This Row],[UNIT (BUILDING) VALUE FULLY FINISHED]]</f>
        <v>10090860</v>
      </c>
      <c r="AU348" s="233">
        <f>VLOOKUP(I348,'C PHASES'!$I$108:$J$110,2,FALSE)</f>
        <v>46204</v>
      </c>
      <c r="AV348" s="233">
        <f>VLOOKUP(AA348,'C PHASES'!$I$113:$J$125,2,FALSE)</f>
        <v>45383</v>
      </c>
    </row>
    <row r="349" spans="1:48" x14ac:dyDescent="0.25">
      <c r="A349" s="236"/>
      <c r="B349" s="227" t="str">
        <f t="shared" si="51"/>
        <v>B</v>
      </c>
      <c r="C349" s="227" t="s">
        <v>69</v>
      </c>
      <c r="D349" s="227" t="s">
        <v>1147</v>
      </c>
      <c r="E349" s="228">
        <v>3</v>
      </c>
      <c r="F349" s="101">
        <v>1</v>
      </c>
      <c r="G349" s="87" t="str">
        <f t="shared" si="58"/>
        <v>B931</v>
      </c>
      <c r="H349" s="87" t="s">
        <v>1294</v>
      </c>
      <c r="I349" s="89" t="str">
        <f>VLOOKUP(C349,'PREMIUM TABLES'!$G$107:$H$149,2,FALSE)</f>
        <v>C2</v>
      </c>
      <c r="J349" s="89">
        <v>141.131</v>
      </c>
      <c r="K349" s="87">
        <v>156.37029753144901</v>
      </c>
      <c r="L349" s="87">
        <v>172</v>
      </c>
      <c r="M349" s="89"/>
      <c r="N349" s="89"/>
      <c r="O349" s="87" t="s">
        <v>184</v>
      </c>
      <c r="P349" s="87" t="s">
        <v>190</v>
      </c>
      <c r="Q349" s="229" t="s">
        <v>229</v>
      </c>
      <c r="R349" s="87" t="str">
        <f>VLOOKUP(E349,'PREMIUM TABLES'!$F$214:$G$219,2,FALSE)</f>
        <v>THIRD</v>
      </c>
      <c r="S349" s="87" t="str" cm="1">
        <f t="array" ref="S349">IF(AND(L349&gt;0,L349&lt;90),"A",IF(AND(L349&gt;90,L349&lt;123),"B",IF(AND(L349&gt;122,L349&lt;159),"C",IF(AND(L349&gt;159,L349&lt;185),"D",IF(AND(L349&gt;185,L349&lt;230),"E",IF(AND(L349&gt;230,L349&lt;350),"F",NONE))))))</f>
        <v>D</v>
      </c>
      <c r="T349" s="230">
        <f>VLOOKUP(O349,'PREMIUM TABLES'!$G$165:$H$172,2,FALSE)</f>
        <v>0.15</v>
      </c>
      <c r="U349" s="230">
        <f>VLOOKUP(P349,'PREMIUM TABLES'!$G$208:$H$209,2,FALSE)</f>
        <v>2.5000000000000001E-2</v>
      </c>
      <c r="V349" s="230">
        <f>VLOOKUP(Q349,'PREMIUM TABLES'!$G$175:$H$195,2,FALSE)</f>
        <v>0.32250000000000001</v>
      </c>
      <c r="W349" s="230">
        <f>VLOOKUP(R349,'PREMIUM TABLES'!$G$214:$H$219,2,FALSE)</f>
        <v>0.15</v>
      </c>
      <c r="X349" s="230">
        <f>VLOOKUP(S349,'PREMIUM TABLES'!$F$199:$H$205,3,FALSE)</f>
        <v>2.5000000000000001E-2</v>
      </c>
      <c r="Y349" s="231">
        <f t="shared" si="53"/>
        <v>0.67249999999999999</v>
      </c>
      <c r="Z349" s="231" t="str" cm="1">
        <f t="array" ref="Z349">IF(AND(Y349&gt;0,Y349&lt;0.5),"C",IF(AND(Y349&gt;=0.5,Y349&lt;0.73),"B",IF(AND(Y349&gt;=0.73,Y349&lt;0.98),"A",NONE)))</f>
        <v>B</v>
      </c>
      <c r="AA349" s="231" t="str">
        <f>VLOOKUP(G349,'ALL (R)'!$N$5:$R$862,5,FALSE)</f>
        <v>R 6</v>
      </c>
      <c r="AB349" s="232">
        <f>VLOOKUP(AA349,FACTS!$B$2:$L$14,10,FALSE)</f>
        <v>48450.000000000007</v>
      </c>
      <c r="AC349" s="232">
        <f>VLOOKUP(AA349,FACTS!$B$2:$L$14,11,FALSE)</f>
        <v>54150.000000000007</v>
      </c>
      <c r="AD349" s="232">
        <f>VLOOKUP(AA349,FACTS!$B$2:$N$14,13,FALSE)</f>
        <v>5700</v>
      </c>
      <c r="AE349" s="232">
        <f t="shared" si="54"/>
        <v>3833.25</v>
      </c>
      <c r="AF349" s="232">
        <f t="shared" si="55"/>
        <v>52283.250000000007</v>
      </c>
      <c r="AG349" s="232">
        <f>AF349*FACTS!$T$2</f>
        <v>17253.472500000003</v>
      </c>
      <c r="AH349" s="232">
        <f>Table1[[#This Row],[UNIT (BUILDING) RATE (SEMI FINISHED)]]+4500</f>
        <v>56783.250000000007</v>
      </c>
      <c r="AI349" s="232">
        <f>Table1[[#This Row],[UNIT (BUILDING) RATE (SEMI FINISHED)]]+7500</f>
        <v>59783.250000000007</v>
      </c>
      <c r="AJ349" s="232">
        <f t="shared" si="56"/>
        <v>8992719.0000000019</v>
      </c>
      <c r="AK349" s="232">
        <f>Table1[[#This Row],[UNIT (BUILDING) RATE (BASIC FINISH)]]*Table1[[#This Row],[Unit Selling Area]]</f>
        <v>9766719.0000000019</v>
      </c>
      <c r="AL349" s="232">
        <f>Table1[[#This Row],[UNIT (BUILDING) RATE (FULLY FINISH)]]*Table1[[#This Row],[Unit Selling Area]]</f>
        <v>10282719.000000002</v>
      </c>
      <c r="AM349" s="232">
        <f t="shared" si="57"/>
        <v>0</v>
      </c>
      <c r="AN349" s="232">
        <f>(AM349+AJ349)*FACTS!$S$2</f>
        <v>764381.11500000022</v>
      </c>
      <c r="AO349" s="101">
        <f>VLOOKUP(S349,FACTS!$A$17:$C$23,3,FALSE)</f>
        <v>2</v>
      </c>
      <c r="AP349" s="232">
        <f>VLOOKUP(AA349,FACTS!$B$2:$J$14,9,FALSE)</f>
        <v>228000.00000000003</v>
      </c>
      <c r="AQ349" s="232">
        <f>Table1[[#This Row],[PARKING VALUE]]*1</f>
        <v>228000.00000000003</v>
      </c>
      <c r="AR349" s="232">
        <f t="shared" si="52"/>
        <v>9220719.0000000019</v>
      </c>
      <c r="AS349" s="440">
        <f>Table1[[#This Row],[TOTAL CARS VALUE]]+Table1[[#This Row],[UNIT (BUILDING) VALUE BASIC FINISHED]]+Table1[[#This Row],[UNIT (GARDEN) VALUE]]</f>
        <v>9994719.0000000019</v>
      </c>
      <c r="AT349" s="232">
        <f>Table1[[#This Row],[TOTAL CARS VALUE]]+Table1[[#This Row],[UNIT (GARDEN) VALUE]]+Table1[[#This Row],[UNIT (BUILDING) VALUE FULLY FINISHED]]</f>
        <v>10510719.000000002</v>
      </c>
      <c r="AU349" s="233">
        <f>VLOOKUP(I349,'C PHASES'!$I$108:$J$110,2,FALSE)</f>
        <v>46204</v>
      </c>
      <c r="AV349" s="233">
        <f>VLOOKUP(AA349,'C PHASES'!$I$113:$J$125,2,FALSE)</f>
        <v>45658</v>
      </c>
    </row>
    <row r="350" spans="1:48" x14ac:dyDescent="0.25">
      <c r="A350" s="236"/>
      <c r="B350" s="227" t="str">
        <f t="shared" si="51"/>
        <v>B</v>
      </c>
      <c r="C350" s="227" t="s">
        <v>69</v>
      </c>
      <c r="D350" s="227" t="s">
        <v>1147</v>
      </c>
      <c r="E350" s="228">
        <v>3</v>
      </c>
      <c r="F350" s="101">
        <v>2</v>
      </c>
      <c r="G350" s="87" t="str">
        <f t="shared" si="58"/>
        <v>B932</v>
      </c>
      <c r="H350" s="87" t="s">
        <v>1294</v>
      </c>
      <c r="I350" s="89" t="str">
        <f>VLOOKUP(C350,'PREMIUM TABLES'!$G$107:$H$149,2,FALSE)</f>
        <v>C2</v>
      </c>
      <c r="J350" s="89">
        <v>164.43600000000001</v>
      </c>
      <c r="K350" s="87">
        <v>182.19176683281029</v>
      </c>
      <c r="L350" s="87">
        <v>201</v>
      </c>
      <c r="M350" s="89"/>
      <c r="N350" s="89"/>
      <c r="O350" s="87" t="s">
        <v>185</v>
      </c>
      <c r="P350" s="87" t="s">
        <v>190</v>
      </c>
      <c r="Q350" s="229" t="s">
        <v>210</v>
      </c>
      <c r="R350" s="87" t="str">
        <f>VLOOKUP(E350,'PREMIUM TABLES'!$F$214:$G$219,2,FALSE)</f>
        <v>THIRD</v>
      </c>
      <c r="S350" s="87" t="str" cm="1">
        <f t="array" ref="S350">IF(AND(L350&gt;0,L350&lt;90),"A",IF(AND(L350&gt;90,L350&lt;123),"B",IF(AND(L350&gt;122,L350&lt;159),"C",IF(AND(L350&gt;159,L350&lt;185),"D",IF(AND(L350&gt;185,L350&lt;230),"E",IF(AND(L350&gt;230,L350&lt;350),"F",NONE))))))</f>
        <v>E</v>
      </c>
      <c r="T350" s="230">
        <f>VLOOKUP(O350,'PREMIUM TABLES'!$G$165:$H$172,2,FALSE)</f>
        <v>0.06</v>
      </c>
      <c r="U350" s="230">
        <f>VLOOKUP(P350,'PREMIUM TABLES'!$G$208:$H$209,2,FALSE)</f>
        <v>2.5000000000000001E-2</v>
      </c>
      <c r="V350" s="230">
        <f>VLOOKUP(Q350,'PREMIUM TABLES'!$G$175:$H$195,2,FALSE)</f>
        <v>0.53</v>
      </c>
      <c r="W350" s="230">
        <f>VLOOKUP(R350,'PREMIUM TABLES'!$G$214:$H$219,2,FALSE)</f>
        <v>0.15</v>
      </c>
      <c r="X350" s="230">
        <f>VLOOKUP(S350,'PREMIUM TABLES'!$F$199:$H$205,3,FALSE)</f>
        <v>1.4999999999999999E-2</v>
      </c>
      <c r="Y350" s="231">
        <f t="shared" si="53"/>
        <v>0.78</v>
      </c>
      <c r="Z350" s="231" t="str" cm="1">
        <f t="array" ref="Z350">IF(AND(Y350&gt;0,Y350&lt;0.5),"C",IF(AND(Y350&gt;=0.5,Y350&lt;0.73),"B",IF(AND(Y350&gt;=0.73,Y350&lt;0.98),"A",NONE)))</f>
        <v>A</v>
      </c>
      <c r="AA350" s="231" t="str">
        <f>VLOOKUP(G350,'ALL (R)'!$N$5:$R$862,5,FALSE)</f>
        <v>R 4</v>
      </c>
      <c r="AB350" s="232">
        <f>VLOOKUP(AA350,FACTS!$B$2:$L$14,10,FALSE)</f>
        <v>45687.5</v>
      </c>
      <c r="AC350" s="232">
        <f>VLOOKUP(AA350,FACTS!$B$2:$L$14,11,FALSE)</f>
        <v>51062.5</v>
      </c>
      <c r="AD350" s="232">
        <f>VLOOKUP(AA350,FACTS!$B$2:$N$14,13,FALSE)</f>
        <v>5375</v>
      </c>
      <c r="AE350" s="232">
        <f t="shared" si="54"/>
        <v>4192.5</v>
      </c>
      <c r="AF350" s="232">
        <f t="shared" si="55"/>
        <v>49880</v>
      </c>
      <c r="AG350" s="232">
        <f>AF350*FACTS!$T$2</f>
        <v>16460.400000000001</v>
      </c>
      <c r="AH350" s="232">
        <f>Table1[[#This Row],[UNIT (BUILDING) RATE (SEMI FINISHED)]]+4500</f>
        <v>54380</v>
      </c>
      <c r="AI350" s="232">
        <f>Table1[[#This Row],[UNIT (BUILDING) RATE (SEMI FINISHED)]]+7500</f>
        <v>57380</v>
      </c>
      <c r="AJ350" s="232">
        <f t="shared" si="56"/>
        <v>10025880</v>
      </c>
      <c r="AK350" s="232">
        <f>Table1[[#This Row],[UNIT (BUILDING) RATE (BASIC FINISH)]]*Table1[[#This Row],[Unit Selling Area]]</f>
        <v>10930380</v>
      </c>
      <c r="AL350" s="232">
        <f>Table1[[#This Row],[UNIT (BUILDING) RATE (FULLY FINISH)]]*Table1[[#This Row],[Unit Selling Area]]</f>
        <v>11533380</v>
      </c>
      <c r="AM350" s="232">
        <f t="shared" si="57"/>
        <v>0</v>
      </c>
      <c r="AN350" s="232">
        <f>(AM350+AJ350)*FACTS!$S$2</f>
        <v>852199.8</v>
      </c>
      <c r="AO350" s="101">
        <f>VLOOKUP(S350,FACTS!$A$17:$C$23,3,FALSE)</f>
        <v>2</v>
      </c>
      <c r="AP350" s="232">
        <f>VLOOKUP(AA350,FACTS!$B$2:$J$14,9,FALSE)</f>
        <v>215000</v>
      </c>
      <c r="AQ350" s="232">
        <f>Table1[[#This Row],[PARKING VALUE]]*1</f>
        <v>215000</v>
      </c>
      <c r="AR350" s="232">
        <f t="shared" si="52"/>
        <v>10240880</v>
      </c>
      <c r="AS350" s="440">
        <f>Table1[[#This Row],[TOTAL CARS VALUE]]+Table1[[#This Row],[UNIT (BUILDING) VALUE BASIC FINISHED]]+Table1[[#This Row],[UNIT (GARDEN) VALUE]]</f>
        <v>11145380</v>
      </c>
      <c r="AT350" s="232">
        <f>Table1[[#This Row],[TOTAL CARS VALUE]]+Table1[[#This Row],[UNIT (GARDEN) VALUE]]+Table1[[#This Row],[UNIT (BUILDING) VALUE FULLY FINISHED]]</f>
        <v>11748380</v>
      </c>
      <c r="AU350" s="233">
        <f>VLOOKUP(I350,'C PHASES'!$I$108:$J$110,2,FALSE)</f>
        <v>46204</v>
      </c>
      <c r="AV350" s="233">
        <f>VLOOKUP(AA350,'C PHASES'!$I$113:$J$125,2,FALSE)</f>
        <v>45474</v>
      </c>
    </row>
    <row r="351" spans="1:48" x14ac:dyDescent="0.25">
      <c r="A351" s="236"/>
      <c r="B351" s="227" t="str">
        <f t="shared" si="51"/>
        <v>B</v>
      </c>
      <c r="C351" s="227" t="s">
        <v>69</v>
      </c>
      <c r="D351" s="227" t="s">
        <v>1147</v>
      </c>
      <c r="E351" s="228">
        <v>3</v>
      </c>
      <c r="F351" s="101">
        <v>3</v>
      </c>
      <c r="G351" s="87" t="str">
        <f t="shared" si="58"/>
        <v>B933</v>
      </c>
      <c r="H351" s="87" t="s">
        <v>1295</v>
      </c>
      <c r="I351" s="89" t="str">
        <f>VLOOKUP(C351,'PREMIUM TABLES'!$G$107:$H$149,2,FALSE)</f>
        <v>C2</v>
      </c>
      <c r="J351" s="89">
        <v>187.20400000000001</v>
      </c>
      <c r="K351" s="87">
        <v>207.41825098013462</v>
      </c>
      <c r="L351" s="87">
        <v>228</v>
      </c>
      <c r="M351" s="89"/>
      <c r="N351" s="89"/>
      <c r="O351" s="87" t="s">
        <v>185</v>
      </c>
      <c r="P351" s="87" t="s">
        <v>226</v>
      </c>
      <c r="Q351" s="229" t="s">
        <v>210</v>
      </c>
      <c r="R351" s="87" t="str">
        <f>VLOOKUP(E351,'PREMIUM TABLES'!$F$214:$G$219,2,FALSE)</f>
        <v>THIRD</v>
      </c>
      <c r="S351" s="87" t="str" cm="1">
        <f t="array" ref="S351">IF(AND(L351&gt;0,L351&lt;90),"A",IF(AND(L351&gt;90,L351&lt;123),"B",IF(AND(L351&gt;122,L351&lt;159),"C",IF(AND(L351&gt;159,L351&lt;185),"D",IF(AND(L351&gt;185,L351&lt;230),"E",IF(AND(L351&gt;230,L351&lt;350),"F",NONE))))))</f>
        <v>E</v>
      </c>
      <c r="T351" s="230">
        <f>VLOOKUP(O351,'PREMIUM TABLES'!$G$165:$H$172,2,FALSE)</f>
        <v>0.06</v>
      </c>
      <c r="U351" s="230">
        <f>VLOOKUP(P351,'PREMIUM TABLES'!$G$208:$H$209,2,FALSE)</f>
        <v>0.05</v>
      </c>
      <c r="V351" s="230">
        <f>VLOOKUP(Q351,'PREMIUM TABLES'!$G$175:$H$195,2,FALSE)</f>
        <v>0.53</v>
      </c>
      <c r="W351" s="230">
        <f>VLOOKUP(R351,'PREMIUM TABLES'!$G$214:$H$219,2,FALSE)</f>
        <v>0.15</v>
      </c>
      <c r="X351" s="230">
        <f>VLOOKUP(S351,'PREMIUM TABLES'!$F$199:$H$205,3,FALSE)</f>
        <v>1.4999999999999999E-2</v>
      </c>
      <c r="Y351" s="231">
        <f t="shared" si="53"/>
        <v>0.80500000000000005</v>
      </c>
      <c r="Z351" s="231" t="str" cm="1">
        <f t="array" ref="Z351">IF(AND(Y351&gt;0,Y351&lt;0.5),"C",IF(AND(Y351&gt;=0.5,Y351&lt;0.73),"B",IF(AND(Y351&gt;=0.73,Y351&lt;0.98),"A",NONE)))</f>
        <v>A</v>
      </c>
      <c r="AA351" s="231" t="str">
        <f>VLOOKUP(G351,'ALL (R)'!$N$5:$R$862,5,FALSE)</f>
        <v>R 6</v>
      </c>
      <c r="AB351" s="232">
        <f>VLOOKUP(AA351,FACTS!$B$2:$L$14,10,FALSE)</f>
        <v>48450.000000000007</v>
      </c>
      <c r="AC351" s="232">
        <f>VLOOKUP(AA351,FACTS!$B$2:$L$14,11,FALSE)</f>
        <v>54150.000000000007</v>
      </c>
      <c r="AD351" s="232">
        <f>VLOOKUP(AA351,FACTS!$B$2:$N$14,13,FALSE)</f>
        <v>5700</v>
      </c>
      <c r="AE351" s="232">
        <f t="shared" si="54"/>
        <v>4588.5</v>
      </c>
      <c r="AF351" s="232">
        <f t="shared" si="55"/>
        <v>53038.500000000007</v>
      </c>
      <c r="AG351" s="232">
        <f>AF351*FACTS!$T$2</f>
        <v>17502.705000000002</v>
      </c>
      <c r="AH351" s="232">
        <f>Table1[[#This Row],[UNIT (BUILDING) RATE (SEMI FINISHED)]]+4500</f>
        <v>57538.500000000007</v>
      </c>
      <c r="AI351" s="232">
        <f>Table1[[#This Row],[UNIT (BUILDING) RATE (SEMI FINISHED)]]+7500</f>
        <v>60538.500000000007</v>
      </c>
      <c r="AJ351" s="232">
        <f t="shared" si="56"/>
        <v>12092778.000000002</v>
      </c>
      <c r="AK351" s="232">
        <f>Table1[[#This Row],[UNIT (BUILDING) RATE (BASIC FINISH)]]*Table1[[#This Row],[Unit Selling Area]]</f>
        <v>13118778.000000002</v>
      </c>
      <c r="AL351" s="232">
        <f>Table1[[#This Row],[UNIT (BUILDING) RATE (FULLY FINISH)]]*Table1[[#This Row],[Unit Selling Area]]</f>
        <v>13802778.000000002</v>
      </c>
      <c r="AM351" s="232">
        <f t="shared" si="57"/>
        <v>0</v>
      </c>
      <c r="AN351" s="232">
        <f>(AM351+AJ351)*FACTS!$S$2</f>
        <v>1027886.1300000002</v>
      </c>
      <c r="AO351" s="101">
        <f>VLOOKUP(S351,FACTS!$A$17:$C$23,3,FALSE)</f>
        <v>2</v>
      </c>
      <c r="AP351" s="232">
        <f>VLOOKUP(AA351,FACTS!$B$2:$J$14,9,FALSE)</f>
        <v>228000.00000000003</v>
      </c>
      <c r="AQ351" s="232">
        <f>Table1[[#This Row],[PARKING VALUE]]*1</f>
        <v>228000.00000000003</v>
      </c>
      <c r="AR351" s="232">
        <f t="shared" si="52"/>
        <v>12320778.000000002</v>
      </c>
      <c r="AS351" s="440">
        <f>Table1[[#This Row],[TOTAL CARS VALUE]]+Table1[[#This Row],[UNIT (BUILDING) VALUE BASIC FINISHED]]+Table1[[#This Row],[UNIT (GARDEN) VALUE]]</f>
        <v>13346778.000000002</v>
      </c>
      <c r="AT351" s="232">
        <f>Table1[[#This Row],[TOTAL CARS VALUE]]+Table1[[#This Row],[UNIT (GARDEN) VALUE]]+Table1[[#This Row],[UNIT (BUILDING) VALUE FULLY FINISHED]]</f>
        <v>14030778.000000002</v>
      </c>
      <c r="AU351" s="233">
        <f>VLOOKUP(I351,'C PHASES'!$I$108:$J$110,2,FALSE)</f>
        <v>46204</v>
      </c>
      <c r="AV351" s="233">
        <f>VLOOKUP(AA351,'C PHASES'!$I$113:$J$125,2,FALSE)</f>
        <v>45658</v>
      </c>
    </row>
    <row r="352" spans="1:48" x14ac:dyDescent="0.25">
      <c r="A352" s="236"/>
      <c r="B352" s="227" t="str">
        <f t="shared" si="51"/>
        <v>B</v>
      </c>
      <c r="C352" s="227" t="s">
        <v>69</v>
      </c>
      <c r="D352" s="227" t="s">
        <v>1147</v>
      </c>
      <c r="E352" s="228">
        <v>3</v>
      </c>
      <c r="F352" s="101">
        <v>4</v>
      </c>
      <c r="G352" s="87" t="str">
        <f t="shared" si="58"/>
        <v>B934</v>
      </c>
      <c r="H352" s="87" t="s">
        <v>1294</v>
      </c>
      <c r="I352" s="89" t="str">
        <f>VLOOKUP(C352,'PREMIUM TABLES'!$G$107:$H$149,2,FALSE)</f>
        <v>C2</v>
      </c>
      <c r="J352" s="89">
        <v>143.911</v>
      </c>
      <c r="K352" s="87">
        <v>159.45048138288794</v>
      </c>
      <c r="L352" s="87">
        <v>176</v>
      </c>
      <c r="M352" s="89"/>
      <c r="N352" s="89"/>
      <c r="O352" s="87" t="s">
        <v>184</v>
      </c>
      <c r="P352" s="87" t="s">
        <v>226</v>
      </c>
      <c r="Q352" s="229" t="s">
        <v>211</v>
      </c>
      <c r="R352" s="87" t="str">
        <f>VLOOKUP(E352,'PREMIUM TABLES'!$F$214:$G$219,2,FALSE)</f>
        <v>THIRD</v>
      </c>
      <c r="S352" s="87" t="str" cm="1">
        <f t="array" ref="S352">IF(AND(L352&gt;0,L352&lt;90),"A",IF(AND(L352&gt;90,L352&lt;123),"B",IF(AND(L352&gt;122,L352&lt;159),"C",IF(AND(L352&gt;159,L352&lt;185),"D",IF(AND(L352&gt;185,L352&lt;230),"E",IF(AND(L352&gt;230,L352&lt;350),"F",NONE))))))</f>
        <v>D</v>
      </c>
      <c r="T352" s="230">
        <f>VLOOKUP(O352,'PREMIUM TABLES'!$G$165:$H$172,2,FALSE)</f>
        <v>0.15</v>
      </c>
      <c r="U352" s="230">
        <f>VLOOKUP(P352,'PREMIUM TABLES'!$G$208:$H$209,2,FALSE)</f>
        <v>0.05</v>
      </c>
      <c r="V352" s="230">
        <f>VLOOKUP(Q352,'PREMIUM TABLES'!$G$175:$H$195,2,FALSE)</f>
        <v>0.43</v>
      </c>
      <c r="W352" s="230">
        <f>VLOOKUP(R352,'PREMIUM TABLES'!$G$214:$H$219,2,FALSE)</f>
        <v>0.15</v>
      </c>
      <c r="X352" s="230">
        <f>VLOOKUP(S352,'PREMIUM TABLES'!$F$199:$H$205,3,FALSE)</f>
        <v>2.5000000000000001E-2</v>
      </c>
      <c r="Y352" s="231">
        <f t="shared" si="53"/>
        <v>0.80500000000000005</v>
      </c>
      <c r="Z352" s="231" t="str" cm="1">
        <f t="array" ref="Z352">IF(AND(Y352&gt;0,Y352&lt;0.5),"C",IF(AND(Y352&gt;=0.5,Y352&lt;0.73),"B",IF(AND(Y352&gt;=0.73,Y352&lt;0.98),"A",NONE)))</f>
        <v>A</v>
      </c>
      <c r="AA352" s="231" t="str">
        <f>VLOOKUP(G352,'ALL (R)'!$N$5:$R$862,5,FALSE)</f>
        <v>R 6</v>
      </c>
      <c r="AB352" s="232">
        <f>VLOOKUP(AA352,FACTS!$B$2:$L$14,10,FALSE)</f>
        <v>48450.000000000007</v>
      </c>
      <c r="AC352" s="232">
        <f>VLOOKUP(AA352,FACTS!$B$2:$L$14,11,FALSE)</f>
        <v>54150.000000000007</v>
      </c>
      <c r="AD352" s="232">
        <f>VLOOKUP(AA352,FACTS!$B$2:$N$14,13,FALSE)</f>
        <v>5700</v>
      </c>
      <c r="AE352" s="232">
        <f t="shared" si="54"/>
        <v>4588.5</v>
      </c>
      <c r="AF352" s="232">
        <f t="shared" si="55"/>
        <v>53038.500000000007</v>
      </c>
      <c r="AG352" s="232">
        <f>AF352*FACTS!$T$2</f>
        <v>17502.705000000002</v>
      </c>
      <c r="AH352" s="232">
        <f>Table1[[#This Row],[UNIT (BUILDING) RATE (SEMI FINISHED)]]+4500</f>
        <v>57538.500000000007</v>
      </c>
      <c r="AI352" s="232">
        <f>Table1[[#This Row],[UNIT (BUILDING) RATE (SEMI FINISHED)]]+7500</f>
        <v>60538.500000000007</v>
      </c>
      <c r="AJ352" s="232">
        <f t="shared" si="56"/>
        <v>9334776.0000000019</v>
      </c>
      <c r="AK352" s="232">
        <f>Table1[[#This Row],[UNIT (BUILDING) RATE (BASIC FINISH)]]*Table1[[#This Row],[Unit Selling Area]]</f>
        <v>10126776.000000002</v>
      </c>
      <c r="AL352" s="232">
        <f>Table1[[#This Row],[UNIT (BUILDING) RATE (FULLY FINISH)]]*Table1[[#This Row],[Unit Selling Area]]</f>
        <v>10654776.000000002</v>
      </c>
      <c r="AM352" s="232">
        <f t="shared" si="57"/>
        <v>0</v>
      </c>
      <c r="AN352" s="232">
        <f>(AM352+AJ352)*FACTS!$S$2</f>
        <v>793455.9600000002</v>
      </c>
      <c r="AO352" s="101">
        <f>VLOOKUP(S352,FACTS!$A$17:$C$23,3,FALSE)</f>
        <v>2</v>
      </c>
      <c r="AP352" s="232">
        <f>VLOOKUP(AA352,FACTS!$B$2:$J$14,9,FALSE)</f>
        <v>228000.00000000003</v>
      </c>
      <c r="AQ352" s="232">
        <f>Table1[[#This Row],[PARKING VALUE]]*1</f>
        <v>228000.00000000003</v>
      </c>
      <c r="AR352" s="232">
        <f t="shared" si="52"/>
        <v>9562776.0000000019</v>
      </c>
      <c r="AS352" s="440">
        <f>Table1[[#This Row],[TOTAL CARS VALUE]]+Table1[[#This Row],[UNIT (BUILDING) VALUE BASIC FINISHED]]+Table1[[#This Row],[UNIT (GARDEN) VALUE]]</f>
        <v>10354776.000000002</v>
      </c>
      <c r="AT352" s="232">
        <f>Table1[[#This Row],[TOTAL CARS VALUE]]+Table1[[#This Row],[UNIT (GARDEN) VALUE]]+Table1[[#This Row],[UNIT (BUILDING) VALUE FULLY FINISHED]]</f>
        <v>10882776.000000002</v>
      </c>
      <c r="AU352" s="233">
        <f>VLOOKUP(I352,'C PHASES'!$I$108:$J$110,2,FALSE)</f>
        <v>46204</v>
      </c>
      <c r="AV352" s="233">
        <f>VLOOKUP(AA352,'C PHASES'!$I$113:$J$125,2,FALSE)</f>
        <v>45658</v>
      </c>
    </row>
    <row r="353" spans="1:48" x14ac:dyDescent="0.25">
      <c r="A353" s="236"/>
      <c r="B353" s="227" t="str">
        <f t="shared" si="51"/>
        <v>B</v>
      </c>
      <c r="C353" s="227" t="s">
        <v>69</v>
      </c>
      <c r="D353" s="227" t="s">
        <v>1147</v>
      </c>
      <c r="E353" s="228">
        <v>4</v>
      </c>
      <c r="F353" s="101">
        <v>1</v>
      </c>
      <c r="G353" s="87" t="str">
        <f t="shared" si="58"/>
        <v>B941</v>
      </c>
      <c r="H353" s="87" t="s">
        <v>1294</v>
      </c>
      <c r="I353" s="89" t="str">
        <f>VLOOKUP(C353,'PREMIUM TABLES'!$G$107:$H$149,2,FALSE)</f>
        <v>C2</v>
      </c>
      <c r="J353" s="89">
        <v>139.16499999999999</v>
      </c>
      <c r="K353" s="87">
        <v>154.19200923938823</v>
      </c>
      <c r="L353" s="87">
        <v>170</v>
      </c>
      <c r="M353" s="89"/>
      <c r="N353" s="89"/>
      <c r="O353" s="87" t="s">
        <v>184</v>
      </c>
      <c r="P353" s="87" t="s">
        <v>190</v>
      </c>
      <c r="Q353" s="229" t="s">
        <v>229</v>
      </c>
      <c r="R353" s="87" t="str">
        <f>VLOOKUP(E353,'PREMIUM TABLES'!$F$214:$G$219,2,FALSE)</f>
        <v>FORTH</v>
      </c>
      <c r="S353" s="87" t="str" cm="1">
        <f t="array" ref="S353">IF(AND(L353&gt;0,L353&lt;90),"A",IF(AND(L353&gt;90,L353&lt;123),"B",IF(AND(L353&gt;122,L353&lt;159),"C",IF(AND(L353&gt;159,L353&lt;185),"D",IF(AND(L353&gt;185,L353&lt;230),"E",IF(AND(L353&gt;230,L353&lt;350),"F",NONE))))))</f>
        <v>D</v>
      </c>
      <c r="T353" s="230">
        <f>VLOOKUP(O353,'PREMIUM TABLES'!$G$165:$H$172,2,FALSE)</f>
        <v>0.15</v>
      </c>
      <c r="U353" s="230">
        <f>VLOOKUP(P353,'PREMIUM TABLES'!$G$208:$H$209,2,FALSE)</f>
        <v>2.5000000000000001E-2</v>
      </c>
      <c r="V353" s="230">
        <f>VLOOKUP(Q353,'PREMIUM TABLES'!$G$175:$H$195,2,FALSE)</f>
        <v>0.32250000000000001</v>
      </c>
      <c r="W353" s="230">
        <f>VLOOKUP(R353,'PREMIUM TABLES'!$G$214:$H$219,2,FALSE)</f>
        <v>0.06</v>
      </c>
      <c r="X353" s="230">
        <f>VLOOKUP(S353,'PREMIUM TABLES'!$F$199:$H$205,3,FALSE)</f>
        <v>2.5000000000000001E-2</v>
      </c>
      <c r="Y353" s="231">
        <f t="shared" si="53"/>
        <v>0.58250000000000002</v>
      </c>
      <c r="Z353" s="231" t="str" cm="1">
        <f t="array" ref="Z353">IF(AND(Y353&gt;0,Y353&lt;0.5),"C",IF(AND(Y353&gt;=0.5,Y353&lt;0.73),"B",IF(AND(Y353&gt;=0.73,Y353&lt;0.98),"A",NONE)))</f>
        <v>B</v>
      </c>
      <c r="AA353" s="231" t="str">
        <f>VLOOKUP(G353,'ALL (R)'!$N$5:$R$862,5,FALSE)</f>
        <v>R 1</v>
      </c>
      <c r="AB353" s="232">
        <f>VLOOKUP(AA353,FACTS!$B$2:$L$14,10,FALSE)</f>
        <v>42500</v>
      </c>
      <c r="AC353" s="232">
        <f>VLOOKUP(AA353,FACTS!$B$2:$L$14,11,FALSE)</f>
        <v>47500</v>
      </c>
      <c r="AD353" s="232">
        <f>VLOOKUP(AA353,FACTS!$B$2:$N$14,13,FALSE)</f>
        <v>5000</v>
      </c>
      <c r="AE353" s="232">
        <f t="shared" si="54"/>
        <v>2912.5</v>
      </c>
      <c r="AF353" s="232">
        <f t="shared" si="55"/>
        <v>45412.5</v>
      </c>
      <c r="AG353" s="232">
        <f>AF353*FACTS!$T$2</f>
        <v>14986.125</v>
      </c>
      <c r="AH353" s="232">
        <f>Table1[[#This Row],[UNIT (BUILDING) RATE (SEMI FINISHED)]]+4500</f>
        <v>49912.5</v>
      </c>
      <c r="AI353" s="232">
        <f>Table1[[#This Row],[UNIT (BUILDING) RATE (SEMI FINISHED)]]+7500</f>
        <v>52912.5</v>
      </c>
      <c r="AJ353" s="232">
        <f t="shared" si="56"/>
        <v>7720125</v>
      </c>
      <c r="AK353" s="232">
        <f>Table1[[#This Row],[UNIT (BUILDING) RATE (BASIC FINISH)]]*Table1[[#This Row],[Unit Selling Area]]</f>
        <v>8485125</v>
      </c>
      <c r="AL353" s="232">
        <f>Table1[[#This Row],[UNIT (BUILDING) RATE (FULLY FINISH)]]*Table1[[#This Row],[Unit Selling Area]]</f>
        <v>8995125</v>
      </c>
      <c r="AM353" s="232">
        <f t="shared" si="57"/>
        <v>0</v>
      </c>
      <c r="AN353" s="232">
        <f>(AM353+AJ353)*FACTS!$S$2</f>
        <v>656210.625</v>
      </c>
      <c r="AO353" s="101">
        <f>VLOOKUP(S353,FACTS!$A$17:$C$23,3,FALSE)</f>
        <v>2</v>
      </c>
      <c r="AP353" s="232">
        <f>VLOOKUP(AA353,FACTS!$B$2:$J$14,9,FALSE)</f>
        <v>200000</v>
      </c>
      <c r="AQ353" s="232">
        <f>Table1[[#This Row],[PARKING VALUE]]*1</f>
        <v>200000</v>
      </c>
      <c r="AR353" s="232">
        <f t="shared" si="52"/>
        <v>7920125</v>
      </c>
      <c r="AS353" s="440">
        <f>Table1[[#This Row],[TOTAL CARS VALUE]]+Table1[[#This Row],[UNIT (BUILDING) VALUE BASIC FINISHED]]+Table1[[#This Row],[UNIT (GARDEN) VALUE]]</f>
        <v>8685125</v>
      </c>
      <c r="AT353" s="232">
        <f>Table1[[#This Row],[TOTAL CARS VALUE]]+Table1[[#This Row],[UNIT (GARDEN) VALUE]]+Table1[[#This Row],[UNIT (BUILDING) VALUE FULLY FINISHED]]</f>
        <v>9195125</v>
      </c>
      <c r="AU353" s="233">
        <f>VLOOKUP(I353,'C PHASES'!$I$108:$J$110,2,FALSE)</f>
        <v>46204</v>
      </c>
      <c r="AV353" s="233">
        <f>VLOOKUP(AA353,'C PHASES'!$I$113:$J$125,2,FALSE)</f>
        <v>45170</v>
      </c>
    </row>
    <row r="354" spans="1:48" x14ac:dyDescent="0.25">
      <c r="A354" s="236"/>
      <c r="B354" s="227" t="str">
        <f t="shared" si="51"/>
        <v>B</v>
      </c>
      <c r="C354" s="227" t="s">
        <v>69</v>
      </c>
      <c r="D354" s="227" t="s">
        <v>1147</v>
      </c>
      <c r="E354" s="228">
        <v>4</v>
      </c>
      <c r="F354" s="101">
        <v>2</v>
      </c>
      <c r="G354" s="87" t="str">
        <f t="shared" si="58"/>
        <v>B942</v>
      </c>
      <c r="H354" s="87" t="s">
        <v>1294</v>
      </c>
      <c r="I354" s="89" t="str">
        <f>VLOOKUP(C354,'PREMIUM TABLES'!$G$107:$H$149,2,FALSE)</f>
        <v>C2</v>
      </c>
      <c r="J354" s="89">
        <v>162.49</v>
      </c>
      <c r="K354" s="87">
        <v>180.03563813680304</v>
      </c>
      <c r="L354" s="87">
        <v>198</v>
      </c>
      <c r="M354" s="89"/>
      <c r="N354" s="89"/>
      <c r="O354" s="87" t="s">
        <v>185</v>
      </c>
      <c r="P354" s="87" t="s">
        <v>190</v>
      </c>
      <c r="Q354" s="229" t="s">
        <v>210</v>
      </c>
      <c r="R354" s="87" t="str">
        <f>VLOOKUP(E354,'PREMIUM TABLES'!$F$214:$G$219,2,FALSE)</f>
        <v>FORTH</v>
      </c>
      <c r="S354" s="87" t="str" cm="1">
        <f t="array" ref="S354">IF(AND(L354&gt;0,L354&lt;90),"A",IF(AND(L354&gt;90,L354&lt;123),"B",IF(AND(L354&gt;122,L354&lt;159),"C",IF(AND(L354&gt;159,L354&lt;185),"D",IF(AND(L354&gt;185,L354&lt;230),"E",IF(AND(L354&gt;230,L354&lt;350),"F",NONE))))))</f>
        <v>E</v>
      </c>
      <c r="T354" s="230">
        <f>VLOOKUP(O354,'PREMIUM TABLES'!$G$165:$H$172,2,FALSE)</f>
        <v>0.06</v>
      </c>
      <c r="U354" s="230">
        <f>VLOOKUP(P354,'PREMIUM TABLES'!$G$208:$H$209,2,FALSE)</f>
        <v>2.5000000000000001E-2</v>
      </c>
      <c r="V354" s="230">
        <f>VLOOKUP(Q354,'PREMIUM TABLES'!$G$175:$H$195,2,FALSE)</f>
        <v>0.53</v>
      </c>
      <c r="W354" s="230">
        <f>VLOOKUP(R354,'PREMIUM TABLES'!$G$214:$H$219,2,FALSE)</f>
        <v>0.06</v>
      </c>
      <c r="X354" s="230">
        <f>VLOOKUP(S354,'PREMIUM TABLES'!$F$199:$H$205,3,FALSE)</f>
        <v>1.4999999999999999E-2</v>
      </c>
      <c r="Y354" s="231">
        <f t="shared" si="53"/>
        <v>0.69000000000000006</v>
      </c>
      <c r="Z354" s="231" t="str" cm="1">
        <f t="array" ref="Z354">IF(AND(Y354&gt;0,Y354&lt;0.5),"C",IF(AND(Y354&gt;=0.5,Y354&lt;0.73),"B",IF(AND(Y354&gt;=0.73,Y354&lt;0.98),"A",NONE)))</f>
        <v>B</v>
      </c>
      <c r="AA354" s="231" t="str">
        <f>VLOOKUP(G354,'ALL (R)'!$N$5:$R$862,5,FALSE)</f>
        <v>R 8</v>
      </c>
      <c r="AB354" s="232">
        <f>VLOOKUP(AA354,FACTS!$B$2:$L$14,10,FALSE)</f>
        <v>51850</v>
      </c>
      <c r="AC354" s="232">
        <f>VLOOKUP(AA354,FACTS!$B$2:$L$14,11,FALSE)</f>
        <v>57950</v>
      </c>
      <c r="AD354" s="232">
        <f>VLOOKUP(AA354,FACTS!$B$2:$N$14,13,FALSE)</f>
        <v>6100</v>
      </c>
      <c r="AE354" s="232">
        <f t="shared" si="54"/>
        <v>4209</v>
      </c>
      <c r="AF354" s="232">
        <f t="shared" si="55"/>
        <v>56059</v>
      </c>
      <c r="AG354" s="232">
        <f>AF354*FACTS!$T$2</f>
        <v>18499.47</v>
      </c>
      <c r="AH354" s="232">
        <f>Table1[[#This Row],[UNIT (BUILDING) RATE (SEMI FINISHED)]]+4500</f>
        <v>60559</v>
      </c>
      <c r="AI354" s="232">
        <f>Table1[[#This Row],[UNIT (BUILDING) RATE (SEMI FINISHED)]]+7500</f>
        <v>63559</v>
      </c>
      <c r="AJ354" s="232">
        <f t="shared" si="56"/>
        <v>11099682</v>
      </c>
      <c r="AK354" s="232">
        <f>Table1[[#This Row],[UNIT (BUILDING) RATE (BASIC FINISH)]]*Table1[[#This Row],[Unit Selling Area]]</f>
        <v>11990682</v>
      </c>
      <c r="AL354" s="232">
        <f>Table1[[#This Row],[UNIT (BUILDING) RATE (FULLY FINISH)]]*Table1[[#This Row],[Unit Selling Area]]</f>
        <v>12584682</v>
      </c>
      <c r="AM354" s="232">
        <f t="shared" si="57"/>
        <v>0</v>
      </c>
      <c r="AN354" s="232">
        <f>(AM354+AJ354)*FACTS!$S$2</f>
        <v>943472.97000000009</v>
      </c>
      <c r="AO354" s="101">
        <f>VLOOKUP(S354,FACTS!$A$17:$C$23,3,FALSE)</f>
        <v>2</v>
      </c>
      <c r="AP354" s="232">
        <f>VLOOKUP(AA354,FACTS!$B$2:$J$14,9,FALSE)</f>
        <v>244000</v>
      </c>
      <c r="AQ354" s="232">
        <f>Table1[[#This Row],[PARKING VALUE]]*1</f>
        <v>244000</v>
      </c>
      <c r="AR354" s="232">
        <f t="shared" si="52"/>
        <v>11343682</v>
      </c>
      <c r="AS354" s="440">
        <f>Table1[[#This Row],[TOTAL CARS VALUE]]+Table1[[#This Row],[UNIT (BUILDING) VALUE BASIC FINISHED]]+Table1[[#This Row],[UNIT (GARDEN) VALUE]]</f>
        <v>12234682</v>
      </c>
      <c r="AT354" s="232">
        <f>Table1[[#This Row],[TOTAL CARS VALUE]]+Table1[[#This Row],[UNIT (GARDEN) VALUE]]+Table1[[#This Row],[UNIT (BUILDING) VALUE FULLY FINISHED]]</f>
        <v>12828682</v>
      </c>
      <c r="AU354" s="233">
        <f>VLOOKUP(I354,'C PHASES'!$I$108:$J$110,2,FALSE)</f>
        <v>46204</v>
      </c>
      <c r="AV354" s="233">
        <f>VLOOKUP(AA354,'C PHASES'!$I$113:$J$125,2,FALSE)</f>
        <v>45839</v>
      </c>
    </row>
    <row r="355" spans="1:48" x14ac:dyDescent="0.25">
      <c r="A355" s="236"/>
      <c r="B355" s="227" t="str">
        <f t="shared" si="51"/>
        <v>B</v>
      </c>
      <c r="C355" s="227" t="s">
        <v>69</v>
      </c>
      <c r="D355" s="227" t="s">
        <v>1147</v>
      </c>
      <c r="E355" s="228">
        <v>4</v>
      </c>
      <c r="F355" s="101">
        <v>3</v>
      </c>
      <c r="G355" s="87" t="str">
        <f t="shared" si="58"/>
        <v>B943</v>
      </c>
      <c r="H355" s="87" t="s">
        <v>1295</v>
      </c>
      <c r="I355" s="89" t="str">
        <f>VLOOKUP(C355,'PREMIUM TABLES'!$G$107:$H$149,2,FALSE)</f>
        <v>C2</v>
      </c>
      <c r="J355" s="89">
        <v>182.357</v>
      </c>
      <c r="K355" s="87">
        <v>202.04787287656464</v>
      </c>
      <c r="L355" s="87">
        <v>222</v>
      </c>
      <c r="M355" s="89"/>
      <c r="N355" s="89"/>
      <c r="O355" s="87" t="s">
        <v>185</v>
      </c>
      <c r="P355" s="87" t="s">
        <v>226</v>
      </c>
      <c r="Q355" s="229" t="s">
        <v>210</v>
      </c>
      <c r="R355" s="87" t="str">
        <f>VLOOKUP(E355,'PREMIUM TABLES'!$F$214:$G$219,2,FALSE)</f>
        <v>FORTH</v>
      </c>
      <c r="S355" s="87" t="str" cm="1">
        <f t="array" ref="S355">IF(AND(L355&gt;0,L355&lt;90),"A",IF(AND(L355&gt;90,L355&lt;123),"B",IF(AND(L355&gt;122,L355&lt;159),"C",IF(AND(L355&gt;159,L355&lt;185),"D",IF(AND(L355&gt;185,L355&lt;230),"E",IF(AND(L355&gt;230,L355&lt;350),"F",NONE))))))</f>
        <v>E</v>
      </c>
      <c r="T355" s="230">
        <f>VLOOKUP(O355,'PREMIUM TABLES'!$G$165:$H$172,2,FALSE)</f>
        <v>0.06</v>
      </c>
      <c r="U355" s="230">
        <f>VLOOKUP(P355,'PREMIUM TABLES'!$G$208:$H$209,2,FALSE)</f>
        <v>0.05</v>
      </c>
      <c r="V355" s="230">
        <f>VLOOKUP(Q355,'PREMIUM TABLES'!$G$175:$H$195,2,FALSE)</f>
        <v>0.53</v>
      </c>
      <c r="W355" s="230">
        <f>VLOOKUP(R355,'PREMIUM TABLES'!$G$214:$H$219,2,FALSE)</f>
        <v>0.06</v>
      </c>
      <c r="X355" s="230">
        <f>VLOOKUP(S355,'PREMIUM TABLES'!$F$199:$H$205,3,FALSE)</f>
        <v>1.4999999999999999E-2</v>
      </c>
      <c r="Y355" s="231">
        <f t="shared" si="53"/>
        <v>0.71499999999999997</v>
      </c>
      <c r="Z355" s="231" t="str" cm="1">
        <f t="array" ref="Z355">IF(AND(Y355&gt;0,Y355&lt;0.5),"C",IF(AND(Y355&gt;=0.5,Y355&lt;0.73),"B",IF(AND(Y355&gt;=0.73,Y355&lt;0.98),"A",NONE)))</f>
        <v>B</v>
      </c>
      <c r="AA355" s="231" t="str">
        <f>VLOOKUP(G355,'ALL (R)'!$N$5:$R$862,5,FALSE)</f>
        <v>R 11</v>
      </c>
      <c r="AB355" s="232">
        <f>VLOOKUP(AA355,FACTS!$B$2:$L$14,10,FALSE)</f>
        <v>58649.999999999993</v>
      </c>
      <c r="AC355" s="232">
        <f>VLOOKUP(AA355,FACTS!$B$2:$L$14,11,FALSE)</f>
        <v>65550</v>
      </c>
      <c r="AD355" s="232">
        <f>VLOOKUP(AA355,FACTS!$B$2:$N$14,13,FALSE)</f>
        <v>6900.0000000000073</v>
      </c>
      <c r="AE355" s="232">
        <f t="shared" si="54"/>
        <v>4933.5000000000045</v>
      </c>
      <c r="AF355" s="232">
        <f t="shared" si="55"/>
        <v>63583.5</v>
      </c>
      <c r="AG355" s="232">
        <f>AF355*FACTS!$T$2</f>
        <v>20982.555</v>
      </c>
      <c r="AH355" s="232">
        <f>Table1[[#This Row],[UNIT (BUILDING) RATE (SEMI FINISHED)]]+4500</f>
        <v>68083.5</v>
      </c>
      <c r="AI355" s="232">
        <f>Table1[[#This Row],[UNIT (BUILDING) RATE (SEMI FINISHED)]]+7500</f>
        <v>71083.5</v>
      </c>
      <c r="AJ355" s="232">
        <f t="shared" si="56"/>
        <v>14115537</v>
      </c>
      <c r="AK355" s="232">
        <f>Table1[[#This Row],[UNIT (BUILDING) RATE (BASIC FINISH)]]*Table1[[#This Row],[Unit Selling Area]]</f>
        <v>15114537</v>
      </c>
      <c r="AL355" s="232">
        <f>Table1[[#This Row],[UNIT (BUILDING) RATE (FULLY FINISH)]]*Table1[[#This Row],[Unit Selling Area]]</f>
        <v>15780537</v>
      </c>
      <c r="AM355" s="232">
        <f t="shared" si="57"/>
        <v>0</v>
      </c>
      <c r="AN355" s="232">
        <f>(AM355+AJ355)*FACTS!$S$2</f>
        <v>1199820.645</v>
      </c>
      <c r="AO355" s="101">
        <f>VLOOKUP(S355,FACTS!$A$17:$C$23,3,FALSE)</f>
        <v>2</v>
      </c>
      <c r="AP355" s="232">
        <f>VLOOKUP(AA355,FACTS!$B$2:$J$14,9,FALSE)</f>
        <v>276000</v>
      </c>
      <c r="AQ355" s="232">
        <f>Table1[[#This Row],[PARKING VALUE]]*1</f>
        <v>276000</v>
      </c>
      <c r="AR355" s="232">
        <f t="shared" si="52"/>
        <v>14391537</v>
      </c>
      <c r="AS355" s="440">
        <f>Table1[[#This Row],[TOTAL CARS VALUE]]+Table1[[#This Row],[UNIT (BUILDING) VALUE BASIC FINISHED]]+Table1[[#This Row],[UNIT (GARDEN) VALUE]]</f>
        <v>15390537</v>
      </c>
      <c r="AT355" s="232">
        <f>Table1[[#This Row],[TOTAL CARS VALUE]]+Table1[[#This Row],[UNIT (GARDEN) VALUE]]+Table1[[#This Row],[UNIT (BUILDING) VALUE FULLY FINISHED]]</f>
        <v>16056537</v>
      </c>
      <c r="AU355" s="233">
        <f>VLOOKUP(I355,'C PHASES'!$I$108:$J$110,2,FALSE)</f>
        <v>46204</v>
      </c>
      <c r="AV355" s="233">
        <f>VLOOKUP(AA355,'C PHASES'!$I$113:$J$125,2,FALSE)</f>
        <v>46113</v>
      </c>
    </row>
    <row r="356" spans="1:48" x14ac:dyDescent="0.25">
      <c r="A356" s="236"/>
      <c r="B356" s="227" t="str">
        <f t="shared" si="51"/>
        <v>B</v>
      </c>
      <c r="C356" s="227" t="s">
        <v>69</v>
      </c>
      <c r="D356" s="227" t="s">
        <v>1147</v>
      </c>
      <c r="E356" s="228">
        <v>4</v>
      </c>
      <c r="F356" s="101">
        <v>4</v>
      </c>
      <c r="G356" s="87" t="str">
        <f t="shared" si="58"/>
        <v>B944</v>
      </c>
      <c r="H356" s="87" t="s">
        <v>1294</v>
      </c>
      <c r="I356" s="89" t="str">
        <f>VLOOKUP(C356,'PREMIUM TABLES'!$G$107:$H$149,2,FALSE)</f>
        <v>C2</v>
      </c>
      <c r="J356" s="89">
        <v>141.929</v>
      </c>
      <c r="K356" s="87">
        <v>157.25446541398435</v>
      </c>
      <c r="L356" s="87">
        <v>173</v>
      </c>
      <c r="M356" s="89"/>
      <c r="N356" s="89"/>
      <c r="O356" s="87" t="s">
        <v>184</v>
      </c>
      <c r="P356" s="87" t="s">
        <v>226</v>
      </c>
      <c r="Q356" s="229" t="s">
        <v>211</v>
      </c>
      <c r="R356" s="87" t="str">
        <f>VLOOKUP(E356,'PREMIUM TABLES'!$F$214:$G$219,2,FALSE)</f>
        <v>FORTH</v>
      </c>
      <c r="S356" s="87" t="str" cm="1">
        <f t="array" ref="S356">IF(AND(L356&gt;0,L356&lt;90),"A",IF(AND(L356&gt;90,L356&lt;123),"B",IF(AND(L356&gt;122,L356&lt;159),"C",IF(AND(L356&gt;159,L356&lt;185),"D",IF(AND(L356&gt;185,L356&lt;230),"E",IF(AND(L356&gt;230,L356&lt;350),"F",NONE))))))</f>
        <v>D</v>
      </c>
      <c r="T356" s="230">
        <f>VLOOKUP(O356,'PREMIUM TABLES'!$G$165:$H$172,2,FALSE)</f>
        <v>0.15</v>
      </c>
      <c r="U356" s="230">
        <f>VLOOKUP(P356,'PREMIUM TABLES'!$G$208:$H$209,2,FALSE)</f>
        <v>0.05</v>
      </c>
      <c r="V356" s="230">
        <f>VLOOKUP(Q356,'PREMIUM TABLES'!$G$175:$H$195,2,FALSE)</f>
        <v>0.43</v>
      </c>
      <c r="W356" s="230">
        <f>VLOOKUP(R356,'PREMIUM TABLES'!$G$214:$H$219,2,FALSE)</f>
        <v>0.06</v>
      </c>
      <c r="X356" s="230">
        <f>VLOOKUP(S356,'PREMIUM TABLES'!$F$199:$H$205,3,FALSE)</f>
        <v>2.5000000000000001E-2</v>
      </c>
      <c r="Y356" s="231">
        <f t="shared" si="53"/>
        <v>0.71499999999999997</v>
      </c>
      <c r="Z356" s="231" t="str" cm="1">
        <f t="array" ref="Z356">IF(AND(Y356&gt;0,Y356&lt;0.5),"C",IF(AND(Y356&gt;=0.5,Y356&lt;0.73),"B",IF(AND(Y356&gt;=0.73,Y356&lt;0.98),"A",NONE)))</f>
        <v>B</v>
      </c>
      <c r="AA356" s="231" t="str">
        <f>VLOOKUP(G356,'ALL (R)'!$N$5:$R$862,5,FALSE)</f>
        <v>R 11</v>
      </c>
      <c r="AB356" s="232">
        <f>VLOOKUP(AA356,FACTS!$B$2:$L$14,10,FALSE)</f>
        <v>58649.999999999993</v>
      </c>
      <c r="AC356" s="232">
        <f>VLOOKUP(AA356,FACTS!$B$2:$L$14,11,FALSE)</f>
        <v>65550</v>
      </c>
      <c r="AD356" s="232">
        <f>VLOOKUP(AA356,FACTS!$B$2:$N$14,13,FALSE)</f>
        <v>6900.0000000000073</v>
      </c>
      <c r="AE356" s="232">
        <f t="shared" si="54"/>
        <v>4933.5000000000045</v>
      </c>
      <c r="AF356" s="232">
        <f t="shared" si="55"/>
        <v>63583.5</v>
      </c>
      <c r="AG356" s="232">
        <f>AF356*FACTS!$T$2</f>
        <v>20982.555</v>
      </c>
      <c r="AH356" s="232">
        <f>Table1[[#This Row],[UNIT (BUILDING) RATE (SEMI FINISHED)]]+4500</f>
        <v>68083.5</v>
      </c>
      <c r="AI356" s="232">
        <f>Table1[[#This Row],[UNIT (BUILDING) RATE (SEMI FINISHED)]]+7500</f>
        <v>71083.5</v>
      </c>
      <c r="AJ356" s="232">
        <f t="shared" si="56"/>
        <v>10999945.5</v>
      </c>
      <c r="AK356" s="232">
        <f>Table1[[#This Row],[UNIT (BUILDING) RATE (BASIC FINISH)]]*Table1[[#This Row],[Unit Selling Area]]</f>
        <v>11778445.5</v>
      </c>
      <c r="AL356" s="232">
        <f>Table1[[#This Row],[UNIT (BUILDING) RATE (FULLY FINISH)]]*Table1[[#This Row],[Unit Selling Area]]</f>
        <v>12297445.5</v>
      </c>
      <c r="AM356" s="232">
        <f t="shared" si="57"/>
        <v>0</v>
      </c>
      <c r="AN356" s="232">
        <f>(AM356+AJ356)*FACTS!$S$2</f>
        <v>934995.36750000005</v>
      </c>
      <c r="AO356" s="101">
        <f>VLOOKUP(S356,FACTS!$A$17:$C$23,3,FALSE)</f>
        <v>2</v>
      </c>
      <c r="AP356" s="232">
        <f>VLOOKUP(AA356,FACTS!$B$2:$J$14,9,FALSE)</f>
        <v>276000</v>
      </c>
      <c r="AQ356" s="232">
        <f>Table1[[#This Row],[PARKING VALUE]]*1</f>
        <v>276000</v>
      </c>
      <c r="AR356" s="232">
        <f t="shared" si="52"/>
        <v>11275945.5</v>
      </c>
      <c r="AS356" s="440">
        <f>Table1[[#This Row],[TOTAL CARS VALUE]]+Table1[[#This Row],[UNIT (BUILDING) VALUE BASIC FINISHED]]+Table1[[#This Row],[UNIT (GARDEN) VALUE]]</f>
        <v>12054445.5</v>
      </c>
      <c r="AT356" s="232">
        <f>Table1[[#This Row],[TOTAL CARS VALUE]]+Table1[[#This Row],[UNIT (GARDEN) VALUE]]+Table1[[#This Row],[UNIT (BUILDING) VALUE FULLY FINISHED]]</f>
        <v>12573445.5</v>
      </c>
      <c r="AU356" s="233">
        <f>VLOOKUP(I356,'C PHASES'!$I$108:$J$110,2,FALSE)</f>
        <v>46204</v>
      </c>
      <c r="AV356" s="233">
        <f>VLOOKUP(AA356,'C PHASES'!$I$113:$J$125,2,FALSE)</f>
        <v>46113</v>
      </c>
    </row>
    <row r="357" spans="1:48" ht="22.5" x14ac:dyDescent="0.25">
      <c r="A357" s="236" t="s">
        <v>33</v>
      </c>
      <c r="B357" s="227" t="str">
        <f t="shared" si="51"/>
        <v>B</v>
      </c>
      <c r="C357" s="227" t="s">
        <v>105</v>
      </c>
      <c r="D357" s="227" t="s">
        <v>1147</v>
      </c>
      <c r="E357" s="228">
        <v>0</v>
      </c>
      <c r="F357" s="101">
        <v>1</v>
      </c>
      <c r="G357" s="87" t="str">
        <f>LEFT(C357,3)&amp;E357&amp;F357</f>
        <v>B1001</v>
      </c>
      <c r="H357" s="87" t="s">
        <v>1294</v>
      </c>
      <c r="I357" s="89" t="str">
        <f>VLOOKUP(C357,'PREMIUM TABLES'!$G$107:$H$149,2,FALSE)</f>
        <v>C2</v>
      </c>
      <c r="J357" s="89">
        <v>141.82499999999999</v>
      </c>
      <c r="K357" s="87">
        <v>159.04192828545919</v>
      </c>
      <c r="L357" s="87">
        <v>173</v>
      </c>
      <c r="M357" s="87">
        <v>49.875</v>
      </c>
      <c r="O357" s="87" t="s">
        <v>184</v>
      </c>
      <c r="P357" s="87" t="s">
        <v>190</v>
      </c>
      <c r="Q357" s="229" t="s">
        <v>198</v>
      </c>
      <c r="R357" s="87" t="str">
        <f>VLOOKUP(E357,'PREMIUM TABLES'!$F$214:$G$219,2,FALSE)</f>
        <v>GROUND</v>
      </c>
      <c r="S357" s="87" t="str" cm="1">
        <f t="array" ref="S357">IF(AND(L357&gt;0,L357&lt;90),"A",IF(AND(L357&gt;90,L357&lt;123),"B",IF(AND(L357&gt;122,L357&lt;159),"C",IF(AND(L357&gt;159,L357&lt;185),"D",IF(AND(L357&gt;185,L357&lt;230),"E",IF(AND(L357&gt;230,L357&lt;350),"F",NONE))))))</f>
        <v>D</v>
      </c>
      <c r="T357" s="230">
        <f>VLOOKUP(O357,'PREMIUM TABLES'!$G$165:$H$172,2,FALSE)</f>
        <v>0.15</v>
      </c>
      <c r="U357" s="230">
        <f>VLOOKUP(P357,'PREMIUM TABLES'!$G$208:$H$209,2,FALSE)</f>
        <v>2.5000000000000001E-2</v>
      </c>
      <c r="V357" s="230">
        <f>VLOOKUP(Q357,'PREMIUM TABLES'!$G$175:$H$195,2,FALSE)</f>
        <v>0.15</v>
      </c>
      <c r="W357" s="230">
        <f>VLOOKUP(R357,'PREMIUM TABLES'!$G$214:$H$219,2,FALSE)</f>
        <v>0.05</v>
      </c>
      <c r="X357" s="230">
        <f>VLOOKUP(S357,'PREMIUM TABLES'!$F$199:$H$205,3,FALSE)</f>
        <v>2.5000000000000001E-2</v>
      </c>
      <c r="Y357" s="231">
        <f t="shared" si="53"/>
        <v>0.39999999999999997</v>
      </c>
      <c r="Z357" s="231" t="str" cm="1">
        <f t="array" ref="Z357">IF(AND(Y357&gt;0,Y357&lt;0.5),"C",IF(AND(Y357&gt;=0.5,Y357&lt;0.73),"B",IF(AND(Y357&gt;=0.73,Y357&lt;0.98),"A",NONE)))</f>
        <v>C</v>
      </c>
      <c r="AA357" s="231" t="str">
        <f>VLOOKUP(G357,'ALL (R)'!$N$5:$R$862,5,FALSE)</f>
        <v>R 5</v>
      </c>
      <c r="AB357" s="232">
        <f>VLOOKUP(AA357,FACTS!$B$2:$L$14,10,FALSE)</f>
        <v>46750.000000000007</v>
      </c>
      <c r="AC357" s="232">
        <f>VLOOKUP(AA357,FACTS!$B$2:$L$14,11,FALSE)</f>
        <v>52250.000000000007</v>
      </c>
      <c r="AD357" s="232">
        <f>VLOOKUP(AA357,FACTS!$B$2:$N$14,13,FALSE)</f>
        <v>5500</v>
      </c>
      <c r="AE357" s="232">
        <f t="shared" si="54"/>
        <v>2200</v>
      </c>
      <c r="AF357" s="232">
        <f t="shared" si="55"/>
        <v>48950.000000000007</v>
      </c>
      <c r="AG357" s="232">
        <f>AF357*FACTS!$T$2</f>
        <v>16153.500000000004</v>
      </c>
      <c r="AH357" s="232">
        <f>Table1[[#This Row],[UNIT (BUILDING) RATE (SEMI FINISHED)]]+4500</f>
        <v>53450.000000000007</v>
      </c>
      <c r="AI357" s="232">
        <f>Table1[[#This Row],[UNIT (BUILDING) RATE (SEMI FINISHED)]]+7500</f>
        <v>56450.000000000007</v>
      </c>
      <c r="AJ357" s="232">
        <f t="shared" si="56"/>
        <v>8468350.0000000019</v>
      </c>
      <c r="AK357" s="232">
        <f>Table1[[#This Row],[UNIT (BUILDING) RATE (BASIC FINISH)]]*Table1[[#This Row],[Unit Selling Area]]</f>
        <v>9246850.0000000019</v>
      </c>
      <c r="AL357" s="232">
        <f>Table1[[#This Row],[UNIT (BUILDING) RATE (FULLY FINISH)]]*Table1[[#This Row],[Unit Selling Area]]</f>
        <v>9765850.0000000019</v>
      </c>
      <c r="AM357" s="232">
        <f t="shared" si="57"/>
        <v>805655.81250000023</v>
      </c>
      <c r="AN357" s="232">
        <f>(AM357+AJ357)*FACTS!$S$2</f>
        <v>788290.49406250019</v>
      </c>
      <c r="AO357" s="101">
        <f>VLOOKUP(S357,FACTS!$A$17:$C$23,3,FALSE)</f>
        <v>2</v>
      </c>
      <c r="AP357" s="232">
        <f>VLOOKUP(AA357,FACTS!$B$2:$J$14,9,FALSE)</f>
        <v>220000.00000000003</v>
      </c>
      <c r="AQ357" s="232">
        <f>Table1[[#This Row],[PARKING VALUE]]*1</f>
        <v>220000.00000000003</v>
      </c>
      <c r="AR357" s="232">
        <f t="shared" si="52"/>
        <v>9494005.8125000019</v>
      </c>
      <c r="AS357" s="440">
        <f>Table1[[#This Row],[TOTAL CARS VALUE]]+Table1[[#This Row],[UNIT (BUILDING) VALUE BASIC FINISHED]]+Table1[[#This Row],[UNIT (GARDEN) VALUE]]</f>
        <v>10272505.812500002</v>
      </c>
      <c r="AT357" s="232">
        <f>Table1[[#This Row],[TOTAL CARS VALUE]]+Table1[[#This Row],[UNIT (GARDEN) VALUE]]+Table1[[#This Row],[UNIT (BUILDING) VALUE FULLY FINISHED]]</f>
        <v>10791505.812500002</v>
      </c>
      <c r="AU357" s="233">
        <f>VLOOKUP(I357,'C PHASES'!$I$108:$J$110,2,FALSE)</f>
        <v>46204</v>
      </c>
      <c r="AV357" s="233">
        <f>VLOOKUP(AA357,'C PHASES'!$I$113:$J$125,2,FALSE)</f>
        <v>45566</v>
      </c>
    </row>
    <row r="358" spans="1:48" s="202" customFormat="1" x14ac:dyDescent="0.25">
      <c r="A358" s="236"/>
      <c r="B358" s="227" t="s">
        <v>204</v>
      </c>
      <c r="C358" s="227" t="s">
        <v>105</v>
      </c>
      <c r="D358" s="227" t="s">
        <v>1147</v>
      </c>
      <c r="E358" s="228">
        <v>0</v>
      </c>
      <c r="F358" s="101">
        <v>2</v>
      </c>
      <c r="G358" s="87" t="s">
        <v>787</v>
      </c>
      <c r="H358" s="87" t="s">
        <v>1297</v>
      </c>
      <c r="I358" s="89" t="s">
        <v>37</v>
      </c>
      <c r="J358" s="89">
        <f>'DATA FOR DUPLEX'!H13</f>
        <v>142.05600000000001</v>
      </c>
      <c r="K358" s="89">
        <f>'DATA FOR DUPLEX'!I13</f>
        <v>159.30097066468673</v>
      </c>
      <c r="L358" s="89">
        <v>344</v>
      </c>
      <c r="M358" s="89">
        <f>'DATA FOR DUPLEX'!K13</f>
        <v>97.868200000000002</v>
      </c>
      <c r="N358" s="87"/>
      <c r="O358" s="87" t="s">
        <v>185</v>
      </c>
      <c r="P358" s="87" t="s">
        <v>190</v>
      </c>
      <c r="Q358" s="229" t="s">
        <v>210</v>
      </c>
      <c r="R358" s="87" t="str">
        <f>VLOOKUP(E358,'PREMIUM TABLES'!$F$214:$G$219,2,FALSE)</f>
        <v>GROUND</v>
      </c>
      <c r="S358" s="87" t="str" cm="1">
        <f t="array" ref="S358">IF(AND(L358&gt;0,L358&lt;90),"A",IF(AND(L358&gt;90,L358&lt;123),"B",IF(AND(L358&gt;122,L358&lt;159),"C",IF(AND(L358&gt;159,L358&lt;185),"D",IF(AND(L358&gt;185,L358&lt;230),"E",IF(AND(L358&gt;230,L358&lt;350),"F",NONE))))))</f>
        <v>F</v>
      </c>
      <c r="T358" s="230">
        <f>VLOOKUP(O358,'PREMIUM TABLES'!$G$165:$H$172,2,FALSE)</f>
        <v>0.06</v>
      </c>
      <c r="U358" s="230">
        <f>VLOOKUP(P358,'PREMIUM TABLES'!$G$208:$H$209,2,FALSE)</f>
        <v>2.5000000000000001E-2</v>
      </c>
      <c r="V358" s="230">
        <f>VLOOKUP(Q358,'PREMIUM TABLES'!$G$175:$H$195,2,FALSE)</f>
        <v>0.53</v>
      </c>
      <c r="W358" s="230">
        <f>VLOOKUP(R358,'PREMIUM TABLES'!$G$214:$H$219,2,FALSE)</f>
        <v>0.05</v>
      </c>
      <c r="X358" s="230">
        <f>VLOOKUP(S358,'PREMIUM TABLES'!$F$199:$H$205,3,FALSE)</f>
        <v>0</v>
      </c>
      <c r="Y358" s="231">
        <f t="shared" si="53"/>
        <v>0.66500000000000004</v>
      </c>
      <c r="Z358" s="231" t="str" cm="1">
        <f t="array" ref="Z358">IF(AND(Y358&gt;0,Y358&lt;0.5),"C",IF(AND(Y358&gt;=0.5,Y358&lt;0.73),"B",IF(AND(Y358&gt;=0.73,Y358&lt;0.98),"A",NONE)))</f>
        <v>B</v>
      </c>
      <c r="AA358" s="231" t="str">
        <f>VLOOKUP(G358,'ALL (R)'!$N$5:$R$862,5,FALSE)</f>
        <v>R 5</v>
      </c>
      <c r="AB358" s="232">
        <f>VLOOKUP(AA358,FACTS!$B$2:$L$14,10,FALSE)</f>
        <v>46750.000000000007</v>
      </c>
      <c r="AC358" s="232">
        <f>VLOOKUP(AA358,FACTS!$B$2:$L$14,11,FALSE)</f>
        <v>52250.000000000007</v>
      </c>
      <c r="AD358" s="232">
        <f>VLOOKUP(AA358,FACTS!$B$2:$N$14,13,FALSE)</f>
        <v>5500</v>
      </c>
      <c r="AE358" s="232">
        <f t="shared" si="54"/>
        <v>3657.5</v>
      </c>
      <c r="AF358" s="232">
        <f t="shared" si="55"/>
        <v>50407.500000000007</v>
      </c>
      <c r="AG358" s="232">
        <f>AF358*FACTS!$T$2</f>
        <v>16634.475000000002</v>
      </c>
      <c r="AH358" s="232">
        <f>Table1[[#This Row],[UNIT (BUILDING) RATE (SEMI FINISHED)]]+4500</f>
        <v>54907.500000000007</v>
      </c>
      <c r="AI358" s="232">
        <f>Table1[[#This Row],[UNIT (BUILDING) RATE (SEMI FINISHED)]]+7500</f>
        <v>57907.500000000007</v>
      </c>
      <c r="AJ358" s="232">
        <f t="shared" si="56"/>
        <v>17340180.000000004</v>
      </c>
      <c r="AK358" s="232">
        <f>Table1[[#This Row],[UNIT (BUILDING) RATE (BASIC FINISH)]]*Table1[[#This Row],[Unit Selling Area]]</f>
        <v>18888180.000000004</v>
      </c>
      <c r="AL358" s="232">
        <f>Table1[[#This Row],[UNIT (BUILDING) RATE (FULLY FINISH)]]*Table1[[#This Row],[Unit Selling Area]]</f>
        <v>19920180.000000004</v>
      </c>
      <c r="AM358" s="232">
        <f t="shared" si="57"/>
        <v>1627986.1261950003</v>
      </c>
      <c r="AN358" s="232">
        <f>(AM358+AJ358)*FACTS!$S$2</f>
        <v>1612294.1207265754</v>
      </c>
      <c r="AO358" s="101">
        <f>VLOOKUP(S358,FACTS!$A$17:$C$23,3,FALSE)</f>
        <v>2</v>
      </c>
      <c r="AP358" s="232">
        <f>VLOOKUP(AA358,FACTS!$B$2:$J$14,9,FALSE)</f>
        <v>220000.00000000003</v>
      </c>
      <c r="AQ358" s="232">
        <f>Table1[[#This Row],[PARKING VALUE]]*1</f>
        <v>220000.00000000003</v>
      </c>
      <c r="AR358" s="232">
        <f t="shared" si="52"/>
        <v>19188166.126195002</v>
      </c>
      <c r="AS358" s="440">
        <f>Table1[[#This Row],[TOTAL CARS VALUE]]+Table1[[#This Row],[UNIT (BUILDING) VALUE BASIC FINISHED]]+Table1[[#This Row],[UNIT (GARDEN) VALUE]]</f>
        <v>20736166.126195002</v>
      </c>
      <c r="AT358" s="232">
        <f>Table1[[#This Row],[TOTAL CARS VALUE]]+Table1[[#This Row],[UNIT (GARDEN) VALUE]]+Table1[[#This Row],[UNIT (BUILDING) VALUE FULLY FINISHED]]</f>
        <v>21768166.126195002</v>
      </c>
      <c r="AU358" s="233">
        <f>VLOOKUP(I358,'C PHASES'!$I$108:$J$110,2,FALSE)</f>
        <v>46204</v>
      </c>
      <c r="AV358" s="233">
        <f>VLOOKUP(AA358,'C PHASES'!$I$113:$J$125,2,FALSE)</f>
        <v>45566</v>
      </c>
    </row>
    <row r="359" spans="1:48" s="202" customFormat="1" x14ac:dyDescent="0.25">
      <c r="A359" s="236"/>
      <c r="B359" s="227" t="s">
        <v>204</v>
      </c>
      <c r="C359" s="227" t="s">
        <v>105</v>
      </c>
      <c r="D359" s="227" t="s">
        <v>1147</v>
      </c>
      <c r="E359" s="228">
        <v>0</v>
      </c>
      <c r="F359" s="101">
        <v>3</v>
      </c>
      <c r="G359" s="87" t="s">
        <v>788</v>
      </c>
      <c r="H359" s="87" t="s">
        <v>1297</v>
      </c>
      <c r="I359" s="89" t="s">
        <v>37</v>
      </c>
      <c r="J359" s="89">
        <f>'DATA FOR DUPLEX'!H15</f>
        <v>142.197</v>
      </c>
      <c r="K359" s="89">
        <f>'DATA FOR DUPLEX'!I15</f>
        <v>159.45908744161781</v>
      </c>
      <c r="L359" s="89">
        <v>344</v>
      </c>
      <c r="M359" s="89">
        <f>'DATA FOR DUPLEX'!K15</f>
        <v>97.259299999999996</v>
      </c>
      <c r="N359" s="87"/>
      <c r="O359" s="87" t="s">
        <v>185</v>
      </c>
      <c r="P359" s="87" t="s">
        <v>190</v>
      </c>
      <c r="Q359" s="229" t="s">
        <v>210</v>
      </c>
      <c r="R359" s="87" t="str">
        <f>VLOOKUP(E359,'PREMIUM TABLES'!$F$214:$G$219,2,FALSE)</f>
        <v>GROUND</v>
      </c>
      <c r="S359" s="87" t="str" cm="1">
        <f t="array" ref="S359">IF(AND(L359&gt;0,L359&lt;90),"A",IF(AND(L359&gt;90,L359&lt;123),"B",IF(AND(L359&gt;122,L359&lt;159),"C",IF(AND(L359&gt;159,L359&lt;185),"D",IF(AND(L359&gt;185,L359&lt;230),"E",IF(AND(L359&gt;230,L359&lt;350),"F",NONE))))))</f>
        <v>F</v>
      </c>
      <c r="T359" s="230">
        <f>VLOOKUP(O359,'PREMIUM TABLES'!$G$165:$H$172,2,FALSE)</f>
        <v>0.06</v>
      </c>
      <c r="U359" s="230">
        <f>VLOOKUP(P359,'PREMIUM TABLES'!$G$208:$H$209,2,FALSE)</f>
        <v>2.5000000000000001E-2</v>
      </c>
      <c r="V359" s="230">
        <f>VLOOKUP(Q359,'PREMIUM TABLES'!$G$175:$H$195,2,FALSE)</f>
        <v>0.53</v>
      </c>
      <c r="W359" s="230">
        <f>VLOOKUP(R359,'PREMIUM TABLES'!$G$214:$H$219,2,FALSE)</f>
        <v>0.05</v>
      </c>
      <c r="X359" s="230">
        <f>VLOOKUP(S359,'PREMIUM TABLES'!$F$199:$H$205,3,FALSE)</f>
        <v>0</v>
      </c>
      <c r="Y359" s="231">
        <f t="shared" si="53"/>
        <v>0.66500000000000004</v>
      </c>
      <c r="Z359" s="231" t="str" cm="1">
        <f t="array" ref="Z359">IF(AND(Y359&gt;0,Y359&lt;0.5),"C",IF(AND(Y359&gt;=0.5,Y359&lt;0.73),"B",IF(AND(Y359&gt;=0.73,Y359&lt;0.98),"A",NONE)))</f>
        <v>B</v>
      </c>
      <c r="AA359" s="231" t="str">
        <f>VLOOKUP(G359,'ALL (R)'!$N$5:$R$862,5,FALSE)</f>
        <v>R 5</v>
      </c>
      <c r="AB359" s="232">
        <f>VLOOKUP(AA359,FACTS!$B$2:$L$14,10,FALSE)</f>
        <v>46750.000000000007</v>
      </c>
      <c r="AC359" s="232">
        <f>VLOOKUP(AA359,FACTS!$B$2:$L$14,11,FALSE)</f>
        <v>52250.000000000007</v>
      </c>
      <c r="AD359" s="232">
        <f>VLOOKUP(AA359,FACTS!$B$2:$N$14,13,FALSE)</f>
        <v>5500</v>
      </c>
      <c r="AE359" s="232">
        <f t="shared" si="54"/>
        <v>3657.5</v>
      </c>
      <c r="AF359" s="232">
        <f t="shared" si="55"/>
        <v>50407.500000000007</v>
      </c>
      <c r="AG359" s="232">
        <f>AF359*FACTS!$T$2</f>
        <v>16634.475000000002</v>
      </c>
      <c r="AH359" s="232">
        <f>Table1[[#This Row],[UNIT (BUILDING) RATE (SEMI FINISHED)]]+4500</f>
        <v>54907.500000000007</v>
      </c>
      <c r="AI359" s="232">
        <f>Table1[[#This Row],[UNIT (BUILDING) RATE (SEMI FINISHED)]]+7500</f>
        <v>57907.500000000007</v>
      </c>
      <c r="AJ359" s="232">
        <f t="shared" si="56"/>
        <v>17340180.000000004</v>
      </c>
      <c r="AK359" s="232">
        <f>Table1[[#This Row],[UNIT (BUILDING) RATE (BASIC FINISH)]]*Table1[[#This Row],[Unit Selling Area]]</f>
        <v>18888180.000000004</v>
      </c>
      <c r="AL359" s="232">
        <f>Table1[[#This Row],[UNIT (BUILDING) RATE (FULLY FINISH)]]*Table1[[#This Row],[Unit Selling Area]]</f>
        <v>19920180.000000004</v>
      </c>
      <c r="AM359" s="232">
        <f t="shared" si="57"/>
        <v>1617857.3943675002</v>
      </c>
      <c r="AN359" s="232">
        <f>(AM359+AJ359)*FACTS!$S$2</f>
        <v>1611433.178521238</v>
      </c>
      <c r="AO359" s="101">
        <f>VLOOKUP(S359,FACTS!$A$17:$C$23,3,FALSE)</f>
        <v>2</v>
      </c>
      <c r="AP359" s="232">
        <f>VLOOKUP(AA359,FACTS!$B$2:$J$14,9,FALSE)</f>
        <v>220000.00000000003</v>
      </c>
      <c r="AQ359" s="232">
        <f>Table1[[#This Row],[PARKING VALUE]]*1</f>
        <v>220000.00000000003</v>
      </c>
      <c r="AR359" s="232">
        <f t="shared" si="52"/>
        <v>19178037.394367505</v>
      </c>
      <c r="AS359" s="440">
        <f>Table1[[#This Row],[TOTAL CARS VALUE]]+Table1[[#This Row],[UNIT (BUILDING) VALUE BASIC FINISHED]]+Table1[[#This Row],[UNIT (GARDEN) VALUE]]</f>
        <v>20726037.394367505</v>
      </c>
      <c r="AT359" s="232">
        <f>Table1[[#This Row],[TOTAL CARS VALUE]]+Table1[[#This Row],[UNIT (GARDEN) VALUE]]+Table1[[#This Row],[UNIT (BUILDING) VALUE FULLY FINISHED]]</f>
        <v>21758037.394367505</v>
      </c>
      <c r="AU359" s="233">
        <f>VLOOKUP(I359,'C PHASES'!$I$108:$J$110,2,FALSE)</f>
        <v>46204</v>
      </c>
      <c r="AV359" s="233">
        <f>VLOOKUP(AA359,'C PHASES'!$I$113:$J$125,2,FALSE)</f>
        <v>45566</v>
      </c>
    </row>
    <row r="360" spans="1:48" x14ac:dyDescent="0.25">
      <c r="A360" s="236"/>
      <c r="B360" s="227" t="str">
        <f t="shared" si="51"/>
        <v>B</v>
      </c>
      <c r="C360" s="227" t="s">
        <v>105</v>
      </c>
      <c r="D360" s="227" t="s">
        <v>1147</v>
      </c>
      <c r="E360" s="228">
        <v>0</v>
      </c>
      <c r="F360" s="101">
        <v>4</v>
      </c>
      <c r="G360" s="87" t="str">
        <f t="shared" ref="G360:G374" si="59">LEFT(C360,3)&amp;E360&amp;F360</f>
        <v>B1004</v>
      </c>
      <c r="H360" s="87" t="s">
        <v>1293</v>
      </c>
      <c r="I360" s="89" t="str">
        <f>VLOOKUP(C360,'PREMIUM TABLES'!$G$107:$H$149,2,FALSE)</f>
        <v>C2</v>
      </c>
      <c r="J360" s="89">
        <v>95.254000000000005</v>
      </c>
      <c r="K360" s="87">
        <v>106.81741467938045</v>
      </c>
      <c r="L360" s="87">
        <v>116</v>
      </c>
      <c r="M360" s="87">
        <v>42.098799999999997</v>
      </c>
      <c r="O360" s="87" t="s">
        <v>184</v>
      </c>
      <c r="P360" s="87" t="s">
        <v>190</v>
      </c>
      <c r="Q360" s="229" t="s">
        <v>198</v>
      </c>
      <c r="R360" s="87" t="str">
        <f>VLOOKUP(E360,'PREMIUM TABLES'!$F$214:$G$219,2,FALSE)</f>
        <v>GROUND</v>
      </c>
      <c r="S360" s="87" t="str" cm="1">
        <f t="array" ref="S360">IF(AND(L360&gt;0,L360&lt;90),"A",IF(AND(L360&gt;90,L360&lt;123),"B",IF(AND(L360&gt;122,L360&lt;159),"C",IF(AND(L360&gt;159,L360&lt;185),"D",IF(AND(L360&gt;185,L360&lt;230),"E",IF(AND(L360&gt;230,L360&lt;350),"F",NONE))))))</f>
        <v>B</v>
      </c>
      <c r="T360" s="230">
        <f>VLOOKUP(O360,'PREMIUM TABLES'!$G$165:$H$172,2,FALSE)</f>
        <v>0.15</v>
      </c>
      <c r="U360" s="230">
        <f>VLOOKUP(P360,'PREMIUM TABLES'!$G$208:$H$209,2,FALSE)</f>
        <v>2.5000000000000001E-2</v>
      </c>
      <c r="V360" s="230">
        <f>VLOOKUP(Q360,'PREMIUM TABLES'!$G$175:$H$195,2,FALSE)</f>
        <v>0.15</v>
      </c>
      <c r="W360" s="230">
        <f>VLOOKUP(R360,'PREMIUM TABLES'!$G$214:$H$219,2,FALSE)</f>
        <v>0.05</v>
      </c>
      <c r="X360" s="230">
        <f>VLOOKUP(S360,'PREMIUM TABLES'!$F$199:$H$205,3,FALSE)</f>
        <v>0.04</v>
      </c>
      <c r="Y360" s="231">
        <f t="shared" si="53"/>
        <v>0.41499999999999992</v>
      </c>
      <c r="Z360" s="231" t="str" cm="1">
        <f t="array" ref="Z360">IF(AND(Y360&gt;0,Y360&lt;0.5),"C",IF(AND(Y360&gt;=0.5,Y360&lt;0.73),"B",IF(AND(Y360&gt;=0.73,Y360&lt;0.98),"A",NONE)))</f>
        <v>C</v>
      </c>
      <c r="AA360" s="231" t="str">
        <f>VLOOKUP(G360,'ALL (R)'!$N$5:$R$862,5,FALSE)</f>
        <v>R 6</v>
      </c>
      <c r="AB360" s="232">
        <f>VLOOKUP(AA360,FACTS!$B$2:$L$14,10,FALSE)</f>
        <v>48450.000000000007</v>
      </c>
      <c r="AC360" s="232">
        <f>VLOOKUP(AA360,FACTS!$B$2:$L$14,11,FALSE)</f>
        <v>54150.000000000007</v>
      </c>
      <c r="AD360" s="232">
        <f>VLOOKUP(AA360,FACTS!$B$2:$N$14,13,FALSE)</f>
        <v>5700</v>
      </c>
      <c r="AE360" s="232">
        <f t="shared" si="54"/>
        <v>2365.4999999999995</v>
      </c>
      <c r="AF360" s="232">
        <f t="shared" si="55"/>
        <v>50815.500000000007</v>
      </c>
      <c r="AG360" s="232">
        <f>AF360*FACTS!$T$2</f>
        <v>16769.115000000002</v>
      </c>
      <c r="AH360" s="232">
        <f>Table1[[#This Row],[UNIT (BUILDING) RATE (SEMI FINISHED)]]+4500</f>
        <v>55315.500000000007</v>
      </c>
      <c r="AI360" s="232">
        <f>Table1[[#This Row],[UNIT (BUILDING) RATE (SEMI FINISHED)]]+7500</f>
        <v>58315.500000000007</v>
      </c>
      <c r="AJ360" s="232">
        <f t="shared" si="56"/>
        <v>5894598.0000000009</v>
      </c>
      <c r="AK360" s="232">
        <f>Table1[[#This Row],[UNIT (BUILDING) RATE (BASIC FINISH)]]*Table1[[#This Row],[Unit Selling Area]]</f>
        <v>6416598.0000000009</v>
      </c>
      <c r="AL360" s="232">
        <f>Table1[[#This Row],[UNIT (BUILDING) RATE (FULLY FINISH)]]*Table1[[#This Row],[Unit Selling Area]]</f>
        <v>6764598.0000000009</v>
      </c>
      <c r="AM360" s="232">
        <f t="shared" si="57"/>
        <v>705959.61856199999</v>
      </c>
      <c r="AN360" s="232">
        <f>(AM360+AJ360)*FACTS!$S$2</f>
        <v>561047.39757777005</v>
      </c>
      <c r="AO360" s="101">
        <f>VLOOKUP(S360,FACTS!$A$17:$C$23,3,FALSE)</f>
        <v>1</v>
      </c>
      <c r="AP360" s="232">
        <f>VLOOKUP(AA360,FACTS!$B$2:$J$14,9,FALSE)</f>
        <v>228000.00000000003</v>
      </c>
      <c r="AQ360" s="232">
        <f>Table1[[#This Row],[PARKING VALUE]]*1</f>
        <v>228000.00000000003</v>
      </c>
      <c r="AR360" s="232">
        <f t="shared" si="52"/>
        <v>6828557.6185620008</v>
      </c>
      <c r="AS360" s="440">
        <f>Table1[[#This Row],[TOTAL CARS VALUE]]+Table1[[#This Row],[UNIT (BUILDING) VALUE BASIC FINISHED]]+Table1[[#This Row],[UNIT (GARDEN) VALUE]]</f>
        <v>7350557.6185620008</v>
      </c>
      <c r="AT360" s="232">
        <f>Table1[[#This Row],[TOTAL CARS VALUE]]+Table1[[#This Row],[UNIT (GARDEN) VALUE]]+Table1[[#This Row],[UNIT (BUILDING) VALUE FULLY FINISHED]]</f>
        <v>7698557.6185620008</v>
      </c>
      <c r="AU360" s="233">
        <f>VLOOKUP(I360,'C PHASES'!$I$108:$J$110,2,FALSE)</f>
        <v>46204</v>
      </c>
      <c r="AV360" s="233">
        <f>VLOOKUP(AA360,'C PHASES'!$I$113:$J$125,2,FALSE)</f>
        <v>45658</v>
      </c>
    </row>
    <row r="361" spans="1:48" x14ac:dyDescent="0.25">
      <c r="A361" s="236"/>
      <c r="B361" s="227" t="str">
        <f t="shared" si="51"/>
        <v>B</v>
      </c>
      <c r="C361" s="227" t="s">
        <v>105</v>
      </c>
      <c r="D361" s="227" t="s">
        <v>1147</v>
      </c>
      <c r="E361" s="228">
        <v>1</v>
      </c>
      <c r="F361" s="101">
        <v>1</v>
      </c>
      <c r="G361" s="87" t="str">
        <f t="shared" si="59"/>
        <v>B1011</v>
      </c>
      <c r="H361" s="87" t="s">
        <v>1294</v>
      </c>
      <c r="I361" s="89" t="str">
        <f>VLOOKUP(C361,'PREMIUM TABLES'!$G$107:$H$149,2,FALSE)</f>
        <v>C2</v>
      </c>
      <c r="J361" s="89">
        <v>142.977</v>
      </c>
      <c r="K361" s="87">
        <v>160.33377599485354</v>
      </c>
      <c r="L361" s="87">
        <v>174</v>
      </c>
      <c r="M361" s="89"/>
      <c r="N361" s="89"/>
      <c r="O361" s="87" t="s">
        <v>184</v>
      </c>
      <c r="P361" s="87" t="s">
        <v>190</v>
      </c>
      <c r="Q361" s="229" t="s">
        <v>193</v>
      </c>
      <c r="R361" s="87" t="str">
        <f>VLOOKUP(E361,'PREMIUM TABLES'!$F$214:$G$219,2,FALSE)</f>
        <v>FIRST</v>
      </c>
      <c r="S361" s="87" t="str" cm="1">
        <f t="array" ref="S361">IF(AND(L361&gt;0,L361&lt;90),"A",IF(AND(L361&gt;90,L361&lt;123),"B",IF(AND(L361&gt;122,L361&lt;159),"C",IF(AND(L361&gt;159,L361&lt;185),"D",IF(AND(L361&gt;185,L361&lt;230),"E",IF(AND(L361&gt;230,L361&lt;350),"F",NONE))))))</f>
        <v>D</v>
      </c>
      <c r="T361" s="230">
        <f>VLOOKUP(O361,'PREMIUM TABLES'!$G$165:$H$172,2,FALSE)</f>
        <v>0.15</v>
      </c>
      <c r="U361" s="230">
        <f>VLOOKUP(P361,'PREMIUM TABLES'!$G$208:$H$209,2,FALSE)</f>
        <v>2.5000000000000001E-2</v>
      </c>
      <c r="V361" s="230">
        <f>VLOOKUP(Q361,'PREMIUM TABLES'!$G$175:$H$195,2,FALSE)</f>
        <v>0.3</v>
      </c>
      <c r="W361" s="230">
        <f>VLOOKUP(R361,'PREMIUM TABLES'!$G$214:$H$219,2,FALSE)</f>
        <v>7.0000000000000007E-2</v>
      </c>
      <c r="X361" s="230">
        <f>VLOOKUP(S361,'PREMIUM TABLES'!$F$199:$H$205,3,FALSE)</f>
        <v>2.5000000000000001E-2</v>
      </c>
      <c r="Y361" s="231">
        <f t="shared" si="53"/>
        <v>0.56999999999999995</v>
      </c>
      <c r="Z361" s="231" t="str" cm="1">
        <f t="array" ref="Z361">IF(AND(Y361&gt;0,Y361&lt;0.5),"C",IF(AND(Y361&gt;=0.5,Y361&lt;0.73),"B",IF(AND(Y361&gt;=0.73,Y361&lt;0.98),"A",NONE)))</f>
        <v>B</v>
      </c>
      <c r="AA361" s="231" t="str">
        <f>VLOOKUP(G361,'ALL (R)'!$N$5:$R$862,5,FALSE)</f>
        <v>R 1</v>
      </c>
      <c r="AB361" s="232">
        <f>VLOOKUP(AA361,FACTS!$B$2:$L$14,10,FALSE)</f>
        <v>42500</v>
      </c>
      <c r="AC361" s="232">
        <f>VLOOKUP(AA361,FACTS!$B$2:$L$14,11,FALSE)</f>
        <v>47500</v>
      </c>
      <c r="AD361" s="232">
        <f>VLOOKUP(AA361,FACTS!$B$2:$N$14,13,FALSE)</f>
        <v>5000</v>
      </c>
      <c r="AE361" s="232">
        <f t="shared" si="54"/>
        <v>2849.9999999999995</v>
      </c>
      <c r="AF361" s="232">
        <f t="shared" si="55"/>
        <v>45350</v>
      </c>
      <c r="AG361" s="232">
        <f>AF361*FACTS!$T$2</f>
        <v>14965.5</v>
      </c>
      <c r="AH361" s="232">
        <f>Table1[[#This Row],[UNIT (BUILDING) RATE (SEMI FINISHED)]]+4500</f>
        <v>49850</v>
      </c>
      <c r="AI361" s="232">
        <f>Table1[[#This Row],[UNIT (BUILDING) RATE (SEMI FINISHED)]]+7500</f>
        <v>52850</v>
      </c>
      <c r="AJ361" s="232">
        <f t="shared" si="56"/>
        <v>7890900</v>
      </c>
      <c r="AK361" s="232">
        <f>Table1[[#This Row],[UNIT (BUILDING) RATE (BASIC FINISH)]]*Table1[[#This Row],[Unit Selling Area]]</f>
        <v>8673900</v>
      </c>
      <c r="AL361" s="232">
        <f>Table1[[#This Row],[UNIT (BUILDING) RATE (FULLY FINISH)]]*Table1[[#This Row],[Unit Selling Area]]</f>
        <v>9195900</v>
      </c>
      <c r="AM361" s="232">
        <f t="shared" si="57"/>
        <v>0</v>
      </c>
      <c r="AN361" s="232">
        <f>(AM361+AJ361)*FACTS!$S$2</f>
        <v>670726.5</v>
      </c>
      <c r="AO361" s="101">
        <f>VLOOKUP(S361,FACTS!$A$17:$C$23,3,FALSE)</f>
        <v>2</v>
      </c>
      <c r="AP361" s="232">
        <f>VLOOKUP(AA361,FACTS!$B$2:$J$14,9,FALSE)</f>
        <v>200000</v>
      </c>
      <c r="AQ361" s="232">
        <f>Table1[[#This Row],[PARKING VALUE]]*1</f>
        <v>200000</v>
      </c>
      <c r="AR361" s="232">
        <f t="shared" si="52"/>
        <v>8090900</v>
      </c>
      <c r="AS361" s="440">
        <f>Table1[[#This Row],[TOTAL CARS VALUE]]+Table1[[#This Row],[UNIT (BUILDING) VALUE BASIC FINISHED]]+Table1[[#This Row],[UNIT (GARDEN) VALUE]]</f>
        <v>8873900</v>
      </c>
      <c r="AT361" s="232">
        <f>Table1[[#This Row],[TOTAL CARS VALUE]]+Table1[[#This Row],[UNIT (GARDEN) VALUE]]+Table1[[#This Row],[UNIT (BUILDING) VALUE FULLY FINISHED]]</f>
        <v>9395900</v>
      </c>
      <c r="AU361" s="233">
        <f>VLOOKUP(I361,'C PHASES'!$I$108:$J$110,2,FALSE)</f>
        <v>46204</v>
      </c>
      <c r="AV361" s="233">
        <f>VLOOKUP(AA361,'C PHASES'!$I$113:$J$125,2,FALSE)</f>
        <v>45170</v>
      </c>
    </row>
    <row r="362" spans="1:48" x14ac:dyDescent="0.25">
      <c r="A362" s="236"/>
      <c r="B362" s="227" t="str">
        <f t="shared" si="51"/>
        <v>B</v>
      </c>
      <c r="C362" s="227" t="s">
        <v>105</v>
      </c>
      <c r="D362" s="227" t="s">
        <v>1147</v>
      </c>
      <c r="E362" s="228">
        <v>1</v>
      </c>
      <c r="F362" s="101">
        <v>4</v>
      </c>
      <c r="G362" s="87" t="str">
        <f t="shared" si="59"/>
        <v>B1014</v>
      </c>
      <c r="H362" s="87" t="s">
        <v>1293</v>
      </c>
      <c r="I362" s="89" t="str">
        <f>VLOOKUP(C362,'PREMIUM TABLES'!$G$107:$H$149,2,FALSE)</f>
        <v>C2</v>
      </c>
      <c r="J362" s="89">
        <v>96.311000000000007</v>
      </c>
      <c r="K362" s="87">
        <v>108.00272980857298</v>
      </c>
      <c r="L362" s="87">
        <v>117</v>
      </c>
      <c r="M362" s="89"/>
      <c r="N362" s="89"/>
      <c r="O362" s="87" t="s">
        <v>184</v>
      </c>
      <c r="P362" s="87" t="s">
        <v>190</v>
      </c>
      <c r="Q362" s="229" t="s">
        <v>193</v>
      </c>
      <c r="R362" s="87" t="str">
        <f>VLOOKUP(E362,'PREMIUM TABLES'!$F$214:$G$219,2,FALSE)</f>
        <v>FIRST</v>
      </c>
      <c r="S362" s="87" t="str" cm="1">
        <f t="array" ref="S362">IF(AND(L362&gt;0,L362&lt;90),"A",IF(AND(L362&gt;90,L362&lt;123),"B",IF(AND(L362&gt;122,L362&lt;159),"C",IF(AND(L362&gt;159,L362&lt;185),"D",IF(AND(L362&gt;185,L362&lt;230),"E",IF(AND(L362&gt;230,L362&lt;350),"F",NONE))))))</f>
        <v>B</v>
      </c>
      <c r="T362" s="230">
        <f>VLOOKUP(O362,'PREMIUM TABLES'!$G$165:$H$172,2,FALSE)</f>
        <v>0.15</v>
      </c>
      <c r="U362" s="230">
        <f>VLOOKUP(P362,'PREMIUM TABLES'!$G$208:$H$209,2,FALSE)</f>
        <v>2.5000000000000001E-2</v>
      </c>
      <c r="V362" s="230">
        <f>VLOOKUP(Q362,'PREMIUM TABLES'!$G$175:$H$195,2,FALSE)</f>
        <v>0.3</v>
      </c>
      <c r="W362" s="230">
        <f>VLOOKUP(R362,'PREMIUM TABLES'!$G$214:$H$219,2,FALSE)</f>
        <v>7.0000000000000007E-2</v>
      </c>
      <c r="X362" s="230">
        <f>VLOOKUP(S362,'PREMIUM TABLES'!$F$199:$H$205,3,FALSE)</f>
        <v>0.04</v>
      </c>
      <c r="Y362" s="231">
        <f t="shared" si="53"/>
        <v>0.58499999999999996</v>
      </c>
      <c r="Z362" s="231" t="str" cm="1">
        <f t="array" ref="Z362">IF(AND(Y362&gt;0,Y362&lt;0.5),"C",IF(AND(Y362&gt;=0.5,Y362&lt;0.73),"B",IF(AND(Y362&gt;=0.73,Y362&lt;0.98),"A",NONE)))</f>
        <v>B</v>
      </c>
      <c r="AA362" s="231" t="str">
        <f>VLOOKUP(G362,'ALL (R)'!$N$5:$R$862,5,FALSE)</f>
        <v>R 1</v>
      </c>
      <c r="AB362" s="232">
        <f>VLOOKUP(AA362,FACTS!$B$2:$L$14,10,FALSE)</f>
        <v>42500</v>
      </c>
      <c r="AC362" s="232">
        <f>VLOOKUP(AA362,FACTS!$B$2:$L$14,11,FALSE)</f>
        <v>47500</v>
      </c>
      <c r="AD362" s="232">
        <f>VLOOKUP(AA362,FACTS!$B$2:$N$14,13,FALSE)</f>
        <v>5000</v>
      </c>
      <c r="AE362" s="232">
        <f t="shared" si="54"/>
        <v>2925</v>
      </c>
      <c r="AF362" s="232">
        <f t="shared" si="55"/>
        <v>45425</v>
      </c>
      <c r="AG362" s="232">
        <f>AF362*FACTS!$T$2</f>
        <v>14990.25</v>
      </c>
      <c r="AH362" s="232">
        <f>Table1[[#This Row],[UNIT (BUILDING) RATE (SEMI FINISHED)]]+4500</f>
        <v>49925</v>
      </c>
      <c r="AI362" s="232">
        <f>Table1[[#This Row],[UNIT (BUILDING) RATE (SEMI FINISHED)]]+7500</f>
        <v>52925</v>
      </c>
      <c r="AJ362" s="232">
        <f t="shared" si="56"/>
        <v>5314725</v>
      </c>
      <c r="AK362" s="232">
        <f>Table1[[#This Row],[UNIT (BUILDING) RATE (BASIC FINISH)]]*Table1[[#This Row],[Unit Selling Area]]</f>
        <v>5841225</v>
      </c>
      <c r="AL362" s="232">
        <f>Table1[[#This Row],[UNIT (BUILDING) RATE (FULLY FINISH)]]*Table1[[#This Row],[Unit Selling Area]]</f>
        <v>6192225</v>
      </c>
      <c r="AM362" s="232">
        <f t="shared" si="57"/>
        <v>0</v>
      </c>
      <c r="AN362" s="232">
        <f>(AM362+AJ362)*FACTS!$S$2</f>
        <v>451751.62500000006</v>
      </c>
      <c r="AO362" s="101">
        <f>VLOOKUP(S362,FACTS!$A$17:$C$23,3,FALSE)</f>
        <v>1</v>
      </c>
      <c r="AP362" s="232">
        <f>VLOOKUP(AA362,FACTS!$B$2:$J$14,9,FALSE)</f>
        <v>200000</v>
      </c>
      <c r="AQ362" s="232">
        <f>Table1[[#This Row],[PARKING VALUE]]*1</f>
        <v>200000</v>
      </c>
      <c r="AR362" s="232">
        <f t="shared" si="52"/>
        <v>5514725</v>
      </c>
      <c r="AS362" s="440">
        <f>Table1[[#This Row],[TOTAL CARS VALUE]]+Table1[[#This Row],[UNIT (BUILDING) VALUE BASIC FINISHED]]+Table1[[#This Row],[UNIT (GARDEN) VALUE]]</f>
        <v>6041225</v>
      </c>
      <c r="AT362" s="232">
        <f>Table1[[#This Row],[TOTAL CARS VALUE]]+Table1[[#This Row],[UNIT (GARDEN) VALUE]]+Table1[[#This Row],[UNIT (BUILDING) VALUE FULLY FINISHED]]</f>
        <v>6392225</v>
      </c>
      <c r="AU362" s="233">
        <f>VLOOKUP(I362,'C PHASES'!$I$108:$J$110,2,FALSE)</f>
        <v>46204</v>
      </c>
      <c r="AV362" s="233">
        <f>VLOOKUP(AA362,'C PHASES'!$I$113:$J$125,2,FALSE)</f>
        <v>45170</v>
      </c>
    </row>
    <row r="363" spans="1:48" x14ac:dyDescent="0.25">
      <c r="A363" s="236"/>
      <c r="B363" s="227" t="str">
        <f t="shared" si="51"/>
        <v>B</v>
      </c>
      <c r="C363" s="227" t="s">
        <v>105</v>
      </c>
      <c r="D363" s="227" t="s">
        <v>1147</v>
      </c>
      <c r="E363" s="228">
        <v>2</v>
      </c>
      <c r="F363" s="101">
        <v>1</v>
      </c>
      <c r="G363" s="87" t="str">
        <f t="shared" si="59"/>
        <v>B1021</v>
      </c>
      <c r="H363" s="87" t="s">
        <v>1294</v>
      </c>
      <c r="I363" s="89" t="str">
        <f>VLOOKUP(C363,'PREMIUM TABLES'!$G$107:$H$149,2,FALSE)</f>
        <v>C2</v>
      </c>
      <c r="J363" s="89">
        <v>141.18700000000001</v>
      </c>
      <c r="K363" s="87">
        <v>158.32647790473564</v>
      </c>
      <c r="L363" s="87">
        <v>172</v>
      </c>
      <c r="M363" s="89"/>
      <c r="N363" s="89"/>
      <c r="O363" s="87" t="s">
        <v>184</v>
      </c>
      <c r="P363" s="87" t="s">
        <v>190</v>
      </c>
      <c r="Q363" s="229" t="s">
        <v>193</v>
      </c>
      <c r="R363" s="87" t="str">
        <f>VLOOKUP(E363,'PREMIUM TABLES'!$F$214:$G$219,2,FALSE)</f>
        <v>SECOND</v>
      </c>
      <c r="S363" s="87" t="str" cm="1">
        <f t="array" ref="S363">IF(AND(L363&gt;0,L363&lt;90),"A",IF(AND(L363&gt;90,L363&lt;123),"B",IF(AND(L363&gt;122,L363&lt;159),"C",IF(AND(L363&gt;159,L363&lt;185),"D",IF(AND(L363&gt;185,L363&lt;230),"E",IF(AND(L363&gt;230,L363&lt;350),"F",NONE))))))</f>
        <v>D</v>
      </c>
      <c r="T363" s="230">
        <f>VLOOKUP(O363,'PREMIUM TABLES'!$G$165:$H$172,2,FALSE)</f>
        <v>0.15</v>
      </c>
      <c r="U363" s="230">
        <f>VLOOKUP(P363,'PREMIUM TABLES'!$G$208:$H$209,2,FALSE)</f>
        <v>2.5000000000000001E-2</v>
      </c>
      <c r="V363" s="230">
        <f>VLOOKUP(Q363,'PREMIUM TABLES'!$G$175:$H$195,2,FALSE)</f>
        <v>0.3</v>
      </c>
      <c r="W363" s="230">
        <f>VLOOKUP(R363,'PREMIUM TABLES'!$G$214:$H$219,2,FALSE)</f>
        <v>0.11</v>
      </c>
      <c r="X363" s="230">
        <f>VLOOKUP(S363,'PREMIUM TABLES'!$F$199:$H$205,3,FALSE)</f>
        <v>2.5000000000000001E-2</v>
      </c>
      <c r="Y363" s="231">
        <f t="shared" si="53"/>
        <v>0.61</v>
      </c>
      <c r="Z363" s="231" t="str" cm="1">
        <f t="array" ref="Z363">IF(AND(Y363&gt;0,Y363&lt;0.5),"C",IF(AND(Y363&gt;=0.5,Y363&lt;0.73),"B",IF(AND(Y363&gt;=0.73,Y363&lt;0.98),"A",NONE)))</f>
        <v>B</v>
      </c>
      <c r="AA363" s="231" t="str">
        <f>VLOOKUP(G363,'ALL (R)'!$N$5:$R$862,5,FALSE)</f>
        <v>R 2</v>
      </c>
      <c r="AB363" s="232">
        <f>VLOOKUP(AA363,FACTS!$B$2:$L$14,10,FALSE)</f>
        <v>43562.499999999993</v>
      </c>
      <c r="AC363" s="232">
        <f>VLOOKUP(AA363,FACTS!$B$2:$L$14,11,FALSE)</f>
        <v>48687.499999999993</v>
      </c>
      <c r="AD363" s="232">
        <f>VLOOKUP(AA363,FACTS!$B$2:$N$14,13,FALSE)</f>
        <v>5125</v>
      </c>
      <c r="AE363" s="232">
        <f t="shared" si="54"/>
        <v>3126.25</v>
      </c>
      <c r="AF363" s="232">
        <f t="shared" si="55"/>
        <v>46688.749999999993</v>
      </c>
      <c r="AG363" s="232">
        <f>AF363*FACTS!$T$2</f>
        <v>15407.287499999999</v>
      </c>
      <c r="AH363" s="232">
        <f>Table1[[#This Row],[UNIT (BUILDING) RATE (SEMI FINISHED)]]+4500</f>
        <v>51188.749999999993</v>
      </c>
      <c r="AI363" s="232">
        <f>Table1[[#This Row],[UNIT (BUILDING) RATE (SEMI FINISHED)]]+7500</f>
        <v>54188.749999999993</v>
      </c>
      <c r="AJ363" s="232">
        <f t="shared" si="56"/>
        <v>8030464.9999999991</v>
      </c>
      <c r="AK363" s="232">
        <f>Table1[[#This Row],[UNIT (BUILDING) RATE (BASIC FINISH)]]*Table1[[#This Row],[Unit Selling Area]]</f>
        <v>8804464.9999999981</v>
      </c>
      <c r="AL363" s="232">
        <f>Table1[[#This Row],[UNIT (BUILDING) RATE (FULLY FINISH)]]*Table1[[#This Row],[Unit Selling Area]]</f>
        <v>9320464.9999999981</v>
      </c>
      <c r="AM363" s="232">
        <f t="shared" si="57"/>
        <v>0</v>
      </c>
      <c r="AN363" s="232">
        <f>(AM363+AJ363)*FACTS!$S$2</f>
        <v>682589.52500000002</v>
      </c>
      <c r="AO363" s="101">
        <f>VLOOKUP(S363,FACTS!$A$17:$C$23,3,FALSE)</f>
        <v>2</v>
      </c>
      <c r="AP363" s="232">
        <f>VLOOKUP(AA363,FACTS!$B$2:$J$14,9,FALSE)</f>
        <v>204999.99999999997</v>
      </c>
      <c r="AQ363" s="232">
        <f>Table1[[#This Row],[PARKING VALUE]]*1</f>
        <v>204999.99999999997</v>
      </c>
      <c r="AR363" s="232">
        <f t="shared" si="52"/>
        <v>8235464.9999999991</v>
      </c>
      <c r="AS363" s="440">
        <f>Table1[[#This Row],[TOTAL CARS VALUE]]+Table1[[#This Row],[UNIT (BUILDING) VALUE BASIC FINISHED]]+Table1[[#This Row],[UNIT (GARDEN) VALUE]]</f>
        <v>9009464.9999999981</v>
      </c>
      <c r="AT363" s="232">
        <f>Table1[[#This Row],[TOTAL CARS VALUE]]+Table1[[#This Row],[UNIT (GARDEN) VALUE]]+Table1[[#This Row],[UNIT (BUILDING) VALUE FULLY FINISHED]]</f>
        <v>9525464.9999999981</v>
      </c>
      <c r="AU363" s="233">
        <f>VLOOKUP(I363,'C PHASES'!$I$108:$J$110,2,FALSE)</f>
        <v>46204</v>
      </c>
      <c r="AV363" s="233">
        <f>VLOOKUP(AA363,'C PHASES'!$I$113:$J$125,2,FALSE)</f>
        <v>45292</v>
      </c>
    </row>
    <row r="364" spans="1:48" x14ac:dyDescent="0.25">
      <c r="A364" s="236"/>
      <c r="B364" s="227" t="str">
        <f t="shared" si="51"/>
        <v>B</v>
      </c>
      <c r="C364" s="227" t="s">
        <v>105</v>
      </c>
      <c r="D364" s="227" t="s">
        <v>1147</v>
      </c>
      <c r="E364" s="228">
        <v>2</v>
      </c>
      <c r="F364" s="101">
        <v>2</v>
      </c>
      <c r="G364" s="87" t="str">
        <f t="shared" si="59"/>
        <v>B1022</v>
      </c>
      <c r="H364" s="87" t="s">
        <v>1294</v>
      </c>
      <c r="I364" s="89" t="str">
        <f>VLOOKUP(C364,'PREMIUM TABLES'!$G$107:$H$149,2,FALSE)</f>
        <v>C2</v>
      </c>
      <c r="J364" s="89">
        <v>141.446</v>
      </c>
      <c r="K364" s="87">
        <v>158.61691936023314</v>
      </c>
      <c r="L364" s="87">
        <v>173</v>
      </c>
      <c r="M364" s="89"/>
      <c r="N364" s="89"/>
      <c r="O364" s="87" t="s">
        <v>185</v>
      </c>
      <c r="P364" s="87" t="s">
        <v>190</v>
      </c>
      <c r="Q364" s="229" t="s">
        <v>210</v>
      </c>
      <c r="R364" s="87" t="str">
        <f>VLOOKUP(E364,'PREMIUM TABLES'!$F$214:$G$219,2,FALSE)</f>
        <v>SECOND</v>
      </c>
      <c r="S364" s="87" t="str" cm="1">
        <f t="array" ref="S364">IF(AND(L364&gt;0,L364&lt;90),"A",IF(AND(L364&gt;90,L364&lt;123),"B",IF(AND(L364&gt;122,L364&lt;159),"C",IF(AND(L364&gt;159,L364&lt;185),"D",IF(AND(L364&gt;185,L364&lt;230),"E",IF(AND(L364&gt;230,L364&lt;350),"F",NONE))))))</f>
        <v>D</v>
      </c>
      <c r="T364" s="230">
        <f>VLOOKUP(O364,'PREMIUM TABLES'!$G$165:$H$172,2,FALSE)</f>
        <v>0.06</v>
      </c>
      <c r="U364" s="230">
        <f>VLOOKUP(P364,'PREMIUM TABLES'!$G$208:$H$209,2,FALSE)</f>
        <v>2.5000000000000001E-2</v>
      </c>
      <c r="V364" s="230">
        <f>VLOOKUP(Q364,'PREMIUM TABLES'!$G$175:$H$195,2,FALSE)</f>
        <v>0.53</v>
      </c>
      <c r="W364" s="230">
        <f>VLOOKUP(R364,'PREMIUM TABLES'!$G$214:$H$219,2,FALSE)</f>
        <v>0.11</v>
      </c>
      <c r="X364" s="230">
        <f>VLOOKUP(S364,'PREMIUM TABLES'!$F$199:$H$205,3,FALSE)</f>
        <v>2.5000000000000001E-2</v>
      </c>
      <c r="Y364" s="231">
        <f t="shared" si="53"/>
        <v>0.75</v>
      </c>
      <c r="Z364" s="231" t="str" cm="1">
        <f t="array" ref="Z364">IF(AND(Y364&gt;0,Y364&lt;0.5),"C",IF(AND(Y364&gt;=0.5,Y364&lt;0.73),"B",IF(AND(Y364&gt;=0.73,Y364&lt;0.98),"A",NONE)))</f>
        <v>A</v>
      </c>
      <c r="AA364" s="231" t="str">
        <f>VLOOKUP(G364,'ALL (R)'!$N$5:$R$862,5,FALSE)</f>
        <v>R 2</v>
      </c>
      <c r="AB364" s="232">
        <f>VLOOKUP(AA364,FACTS!$B$2:$L$14,10,FALSE)</f>
        <v>43562.499999999993</v>
      </c>
      <c r="AC364" s="232">
        <f>VLOOKUP(AA364,FACTS!$B$2:$L$14,11,FALSE)</f>
        <v>48687.499999999993</v>
      </c>
      <c r="AD364" s="232">
        <f>VLOOKUP(AA364,FACTS!$B$2:$N$14,13,FALSE)</f>
        <v>5125</v>
      </c>
      <c r="AE364" s="232">
        <f t="shared" si="54"/>
        <v>3843.75</v>
      </c>
      <c r="AF364" s="232">
        <f t="shared" si="55"/>
        <v>47406.249999999993</v>
      </c>
      <c r="AG364" s="232">
        <f>AF364*FACTS!$T$2</f>
        <v>15644.062499999998</v>
      </c>
      <c r="AH364" s="232">
        <f>Table1[[#This Row],[UNIT (BUILDING) RATE (SEMI FINISHED)]]+4500</f>
        <v>51906.249999999993</v>
      </c>
      <c r="AI364" s="232">
        <f>Table1[[#This Row],[UNIT (BUILDING) RATE (SEMI FINISHED)]]+7500</f>
        <v>54906.249999999993</v>
      </c>
      <c r="AJ364" s="232">
        <f t="shared" si="56"/>
        <v>8201281.2499999991</v>
      </c>
      <c r="AK364" s="232">
        <f>Table1[[#This Row],[UNIT (BUILDING) RATE (BASIC FINISH)]]*Table1[[#This Row],[Unit Selling Area]]</f>
        <v>8979781.2499999981</v>
      </c>
      <c r="AL364" s="232">
        <f>Table1[[#This Row],[UNIT (BUILDING) RATE (FULLY FINISH)]]*Table1[[#This Row],[Unit Selling Area]]</f>
        <v>9498781.2499999981</v>
      </c>
      <c r="AM364" s="232">
        <f t="shared" si="57"/>
        <v>0</v>
      </c>
      <c r="AN364" s="232">
        <f>(AM364+AJ364)*FACTS!$S$2</f>
        <v>697108.90625</v>
      </c>
      <c r="AO364" s="101">
        <f>VLOOKUP(S364,FACTS!$A$17:$C$23,3,FALSE)</f>
        <v>2</v>
      </c>
      <c r="AP364" s="232">
        <f>VLOOKUP(AA364,FACTS!$B$2:$J$14,9,FALSE)</f>
        <v>204999.99999999997</v>
      </c>
      <c r="AQ364" s="232">
        <f>Table1[[#This Row],[PARKING VALUE]]*1</f>
        <v>204999.99999999997</v>
      </c>
      <c r="AR364" s="232">
        <f t="shared" si="52"/>
        <v>8406281.2499999981</v>
      </c>
      <c r="AS364" s="440">
        <f>Table1[[#This Row],[TOTAL CARS VALUE]]+Table1[[#This Row],[UNIT (BUILDING) VALUE BASIC FINISHED]]+Table1[[#This Row],[UNIT (GARDEN) VALUE]]</f>
        <v>9184781.2499999981</v>
      </c>
      <c r="AT364" s="232">
        <f>Table1[[#This Row],[TOTAL CARS VALUE]]+Table1[[#This Row],[UNIT (GARDEN) VALUE]]+Table1[[#This Row],[UNIT (BUILDING) VALUE FULLY FINISHED]]</f>
        <v>9703781.2499999981</v>
      </c>
      <c r="AU364" s="233">
        <f>VLOOKUP(I364,'C PHASES'!$I$108:$J$110,2,FALSE)</f>
        <v>46204</v>
      </c>
      <c r="AV364" s="233">
        <f>VLOOKUP(AA364,'C PHASES'!$I$113:$J$125,2,FALSE)</f>
        <v>45292</v>
      </c>
    </row>
    <row r="365" spans="1:48" x14ac:dyDescent="0.25">
      <c r="A365" s="236"/>
      <c r="B365" s="227" t="str">
        <f t="shared" si="51"/>
        <v>B</v>
      </c>
      <c r="C365" s="227" t="s">
        <v>105</v>
      </c>
      <c r="D365" s="227" t="s">
        <v>1147</v>
      </c>
      <c r="E365" s="228">
        <v>2</v>
      </c>
      <c r="F365" s="101">
        <v>3</v>
      </c>
      <c r="G365" s="87" t="str">
        <f t="shared" si="59"/>
        <v>B1023</v>
      </c>
      <c r="H365" s="87" t="s">
        <v>1294</v>
      </c>
      <c r="I365" s="89" t="str">
        <f>VLOOKUP(C365,'PREMIUM TABLES'!$G$107:$H$149,2,FALSE)</f>
        <v>C2</v>
      </c>
      <c r="J365" s="89">
        <v>141.572</v>
      </c>
      <c r="K365" s="87">
        <v>158.75821520344815</v>
      </c>
      <c r="L365" s="87">
        <v>173</v>
      </c>
      <c r="M365" s="89"/>
      <c r="N365" s="89"/>
      <c r="O365" s="87" t="s">
        <v>185</v>
      </c>
      <c r="P365" s="87" t="s">
        <v>190</v>
      </c>
      <c r="Q365" s="229" t="s">
        <v>210</v>
      </c>
      <c r="R365" s="87" t="str">
        <f>VLOOKUP(E365,'PREMIUM TABLES'!$F$214:$G$219,2,FALSE)</f>
        <v>SECOND</v>
      </c>
      <c r="S365" s="87" t="str" cm="1">
        <f t="array" ref="S365">IF(AND(L365&gt;0,L365&lt;90),"A",IF(AND(L365&gt;90,L365&lt;123),"B",IF(AND(L365&gt;122,L365&lt;159),"C",IF(AND(L365&gt;159,L365&lt;185),"D",IF(AND(L365&gt;185,L365&lt;230),"E",IF(AND(L365&gt;230,L365&lt;350),"F",NONE))))))</f>
        <v>D</v>
      </c>
      <c r="T365" s="230">
        <f>VLOOKUP(O365,'PREMIUM TABLES'!$G$165:$H$172,2,FALSE)</f>
        <v>0.06</v>
      </c>
      <c r="U365" s="230">
        <f>VLOOKUP(P365,'PREMIUM TABLES'!$G$208:$H$209,2,FALSE)</f>
        <v>2.5000000000000001E-2</v>
      </c>
      <c r="V365" s="230">
        <f>VLOOKUP(Q365,'PREMIUM TABLES'!$G$175:$H$195,2,FALSE)</f>
        <v>0.53</v>
      </c>
      <c r="W365" s="230">
        <f>VLOOKUP(R365,'PREMIUM TABLES'!$G$214:$H$219,2,FALSE)</f>
        <v>0.11</v>
      </c>
      <c r="X365" s="230">
        <f>VLOOKUP(S365,'PREMIUM TABLES'!$F$199:$H$205,3,FALSE)</f>
        <v>2.5000000000000001E-2</v>
      </c>
      <c r="Y365" s="231">
        <f t="shared" si="53"/>
        <v>0.75</v>
      </c>
      <c r="Z365" s="231" t="str" cm="1">
        <f t="array" ref="Z365">IF(AND(Y365&gt;0,Y365&lt;0.5),"C",IF(AND(Y365&gt;=0.5,Y365&lt;0.73),"B",IF(AND(Y365&gt;=0.73,Y365&lt;0.98),"A",NONE)))</f>
        <v>A</v>
      </c>
      <c r="AA365" s="231" t="str">
        <f>VLOOKUP(G365,'ALL (R)'!$N$5:$R$862,5,FALSE)</f>
        <v>R 2</v>
      </c>
      <c r="AB365" s="232">
        <f>VLOOKUP(AA365,FACTS!$B$2:$L$14,10,FALSE)</f>
        <v>43562.499999999993</v>
      </c>
      <c r="AC365" s="232">
        <f>VLOOKUP(AA365,FACTS!$B$2:$L$14,11,FALSE)</f>
        <v>48687.499999999993</v>
      </c>
      <c r="AD365" s="232">
        <f>VLOOKUP(AA365,FACTS!$B$2:$N$14,13,FALSE)</f>
        <v>5125</v>
      </c>
      <c r="AE365" s="232">
        <f t="shared" si="54"/>
        <v>3843.75</v>
      </c>
      <c r="AF365" s="232">
        <f t="shared" si="55"/>
        <v>47406.249999999993</v>
      </c>
      <c r="AG365" s="232">
        <f>AF365*FACTS!$T$2</f>
        <v>15644.062499999998</v>
      </c>
      <c r="AH365" s="232">
        <f>Table1[[#This Row],[UNIT (BUILDING) RATE (SEMI FINISHED)]]+4500</f>
        <v>51906.249999999993</v>
      </c>
      <c r="AI365" s="232">
        <f>Table1[[#This Row],[UNIT (BUILDING) RATE (SEMI FINISHED)]]+7500</f>
        <v>54906.249999999993</v>
      </c>
      <c r="AJ365" s="232">
        <f t="shared" si="56"/>
        <v>8201281.2499999991</v>
      </c>
      <c r="AK365" s="232">
        <f>Table1[[#This Row],[UNIT (BUILDING) RATE (BASIC FINISH)]]*Table1[[#This Row],[Unit Selling Area]]</f>
        <v>8979781.2499999981</v>
      </c>
      <c r="AL365" s="232">
        <f>Table1[[#This Row],[UNIT (BUILDING) RATE (FULLY FINISH)]]*Table1[[#This Row],[Unit Selling Area]]</f>
        <v>9498781.2499999981</v>
      </c>
      <c r="AM365" s="232">
        <f t="shared" si="57"/>
        <v>0</v>
      </c>
      <c r="AN365" s="232">
        <f>(AM365+AJ365)*FACTS!$S$2</f>
        <v>697108.90625</v>
      </c>
      <c r="AO365" s="101">
        <f>VLOOKUP(S365,FACTS!$A$17:$C$23,3,FALSE)</f>
        <v>2</v>
      </c>
      <c r="AP365" s="232">
        <f>VLOOKUP(AA365,FACTS!$B$2:$J$14,9,FALSE)</f>
        <v>204999.99999999997</v>
      </c>
      <c r="AQ365" s="232">
        <f>Table1[[#This Row],[PARKING VALUE]]*1</f>
        <v>204999.99999999997</v>
      </c>
      <c r="AR365" s="232">
        <f t="shared" si="52"/>
        <v>8406281.2499999981</v>
      </c>
      <c r="AS365" s="440">
        <f>Table1[[#This Row],[TOTAL CARS VALUE]]+Table1[[#This Row],[UNIT (BUILDING) VALUE BASIC FINISHED]]+Table1[[#This Row],[UNIT (GARDEN) VALUE]]</f>
        <v>9184781.2499999981</v>
      </c>
      <c r="AT365" s="232">
        <f>Table1[[#This Row],[TOTAL CARS VALUE]]+Table1[[#This Row],[UNIT (GARDEN) VALUE]]+Table1[[#This Row],[UNIT (BUILDING) VALUE FULLY FINISHED]]</f>
        <v>9703781.2499999981</v>
      </c>
      <c r="AU365" s="233">
        <f>VLOOKUP(I365,'C PHASES'!$I$108:$J$110,2,FALSE)</f>
        <v>46204</v>
      </c>
      <c r="AV365" s="233">
        <f>VLOOKUP(AA365,'C PHASES'!$I$113:$J$125,2,FALSE)</f>
        <v>45292</v>
      </c>
    </row>
    <row r="366" spans="1:48" x14ac:dyDescent="0.25">
      <c r="A366" s="236"/>
      <c r="B366" s="227" t="str">
        <f t="shared" si="51"/>
        <v>B</v>
      </c>
      <c r="C366" s="227" t="s">
        <v>105</v>
      </c>
      <c r="D366" s="227" t="s">
        <v>1147</v>
      </c>
      <c r="E366" s="228">
        <v>2</v>
      </c>
      <c r="F366" s="101">
        <v>4</v>
      </c>
      <c r="G366" s="87" t="str">
        <f t="shared" si="59"/>
        <v>B1024</v>
      </c>
      <c r="H366" s="87" t="s">
        <v>1294</v>
      </c>
      <c r="I366" s="89" t="str">
        <f>VLOOKUP(C366,'PREMIUM TABLES'!$G$107:$H$149,2,FALSE)</f>
        <v>C2</v>
      </c>
      <c r="J366" s="89">
        <v>141.226</v>
      </c>
      <c r="K366" s="87">
        <v>158.37021233239741</v>
      </c>
      <c r="L366" s="87">
        <v>172</v>
      </c>
      <c r="M366" s="89"/>
      <c r="N366" s="89"/>
      <c r="O366" s="87" t="s">
        <v>184</v>
      </c>
      <c r="P366" s="87" t="s">
        <v>190</v>
      </c>
      <c r="Q366" s="229" t="s">
        <v>193</v>
      </c>
      <c r="R366" s="87" t="str">
        <f>VLOOKUP(E366,'PREMIUM TABLES'!$F$214:$G$219,2,FALSE)</f>
        <v>SECOND</v>
      </c>
      <c r="S366" s="87" t="str" cm="1">
        <f t="array" ref="S366">IF(AND(L366&gt;0,L366&lt;90),"A",IF(AND(L366&gt;90,L366&lt;123),"B",IF(AND(L366&gt;122,L366&lt;159),"C",IF(AND(L366&gt;159,L366&lt;185),"D",IF(AND(L366&gt;185,L366&lt;230),"E",IF(AND(L366&gt;230,L366&lt;350),"F",NONE))))))</f>
        <v>D</v>
      </c>
      <c r="T366" s="230">
        <f>VLOOKUP(O366,'PREMIUM TABLES'!$G$165:$H$172,2,FALSE)</f>
        <v>0.15</v>
      </c>
      <c r="U366" s="230">
        <f>VLOOKUP(P366,'PREMIUM TABLES'!$G$208:$H$209,2,FALSE)</f>
        <v>2.5000000000000001E-2</v>
      </c>
      <c r="V366" s="230">
        <f>VLOOKUP(Q366,'PREMIUM TABLES'!$G$175:$H$195,2,FALSE)</f>
        <v>0.3</v>
      </c>
      <c r="W366" s="230">
        <f>VLOOKUP(R366,'PREMIUM TABLES'!$G$214:$H$219,2,FALSE)</f>
        <v>0.11</v>
      </c>
      <c r="X366" s="230">
        <f>VLOOKUP(S366,'PREMIUM TABLES'!$F$199:$H$205,3,FALSE)</f>
        <v>2.5000000000000001E-2</v>
      </c>
      <c r="Y366" s="231">
        <f t="shared" si="53"/>
        <v>0.61</v>
      </c>
      <c r="Z366" s="231" t="str" cm="1">
        <f t="array" ref="Z366">IF(AND(Y366&gt;0,Y366&lt;0.5),"C",IF(AND(Y366&gt;=0.5,Y366&lt;0.73),"B",IF(AND(Y366&gt;=0.73,Y366&lt;0.98),"A",NONE)))</f>
        <v>B</v>
      </c>
      <c r="AA366" s="231" t="str">
        <f>VLOOKUP(G366,'ALL (R)'!$N$5:$R$862,5,FALSE)</f>
        <v>R 2</v>
      </c>
      <c r="AB366" s="232">
        <f>VLOOKUP(AA366,FACTS!$B$2:$L$14,10,FALSE)</f>
        <v>43562.499999999993</v>
      </c>
      <c r="AC366" s="232">
        <f>VLOOKUP(AA366,FACTS!$B$2:$L$14,11,FALSE)</f>
        <v>48687.499999999993</v>
      </c>
      <c r="AD366" s="232">
        <f>VLOOKUP(AA366,FACTS!$B$2:$N$14,13,FALSE)</f>
        <v>5125</v>
      </c>
      <c r="AE366" s="232">
        <f t="shared" si="54"/>
        <v>3126.25</v>
      </c>
      <c r="AF366" s="232">
        <f t="shared" si="55"/>
        <v>46688.749999999993</v>
      </c>
      <c r="AG366" s="232">
        <f>AF366*FACTS!$T$2</f>
        <v>15407.287499999999</v>
      </c>
      <c r="AH366" s="232">
        <f>Table1[[#This Row],[UNIT (BUILDING) RATE (SEMI FINISHED)]]+4500</f>
        <v>51188.749999999993</v>
      </c>
      <c r="AI366" s="232">
        <f>Table1[[#This Row],[UNIT (BUILDING) RATE (SEMI FINISHED)]]+7500</f>
        <v>54188.749999999993</v>
      </c>
      <c r="AJ366" s="232">
        <f t="shared" si="56"/>
        <v>8030464.9999999991</v>
      </c>
      <c r="AK366" s="232">
        <f>Table1[[#This Row],[UNIT (BUILDING) RATE (BASIC FINISH)]]*Table1[[#This Row],[Unit Selling Area]]</f>
        <v>8804464.9999999981</v>
      </c>
      <c r="AL366" s="232">
        <f>Table1[[#This Row],[UNIT (BUILDING) RATE (FULLY FINISH)]]*Table1[[#This Row],[Unit Selling Area]]</f>
        <v>9320464.9999999981</v>
      </c>
      <c r="AM366" s="232">
        <f t="shared" si="57"/>
        <v>0</v>
      </c>
      <c r="AN366" s="232">
        <f>(AM366+AJ366)*FACTS!$S$2</f>
        <v>682589.52500000002</v>
      </c>
      <c r="AO366" s="101">
        <f>VLOOKUP(S366,FACTS!$A$17:$C$23,3,FALSE)</f>
        <v>2</v>
      </c>
      <c r="AP366" s="232">
        <f>VLOOKUP(AA366,FACTS!$B$2:$J$14,9,FALSE)</f>
        <v>204999.99999999997</v>
      </c>
      <c r="AQ366" s="232">
        <f>Table1[[#This Row],[PARKING VALUE]]*1</f>
        <v>204999.99999999997</v>
      </c>
      <c r="AR366" s="232">
        <f t="shared" si="52"/>
        <v>8235464.9999999991</v>
      </c>
      <c r="AS366" s="440">
        <f>Table1[[#This Row],[TOTAL CARS VALUE]]+Table1[[#This Row],[UNIT (BUILDING) VALUE BASIC FINISHED]]+Table1[[#This Row],[UNIT (GARDEN) VALUE]]</f>
        <v>9009464.9999999981</v>
      </c>
      <c r="AT366" s="232">
        <f>Table1[[#This Row],[TOTAL CARS VALUE]]+Table1[[#This Row],[UNIT (GARDEN) VALUE]]+Table1[[#This Row],[UNIT (BUILDING) VALUE FULLY FINISHED]]</f>
        <v>9525464.9999999981</v>
      </c>
      <c r="AU366" s="233">
        <f>VLOOKUP(I366,'C PHASES'!$I$108:$J$110,2,FALSE)</f>
        <v>46204</v>
      </c>
      <c r="AV366" s="233">
        <f>VLOOKUP(AA366,'C PHASES'!$I$113:$J$125,2,FALSE)</f>
        <v>45292</v>
      </c>
    </row>
    <row r="367" spans="1:48" x14ac:dyDescent="0.25">
      <c r="A367" s="236"/>
      <c r="B367" s="227" t="str">
        <f t="shared" si="51"/>
        <v>B</v>
      </c>
      <c r="C367" s="227" t="s">
        <v>105</v>
      </c>
      <c r="D367" s="227" t="s">
        <v>1147</v>
      </c>
      <c r="E367" s="228">
        <v>3</v>
      </c>
      <c r="F367" s="101">
        <v>1</v>
      </c>
      <c r="G367" s="87" t="str">
        <f t="shared" si="59"/>
        <v>B1031</v>
      </c>
      <c r="H367" s="87" t="s">
        <v>1294</v>
      </c>
      <c r="I367" s="89" t="str">
        <f>VLOOKUP(C367,'PREMIUM TABLES'!$G$107:$H$149,2,FALSE)</f>
        <v>C2</v>
      </c>
      <c r="J367" s="89">
        <v>141.48599999999999</v>
      </c>
      <c r="K367" s="87">
        <v>158.66177518347598</v>
      </c>
      <c r="L367" s="87">
        <v>173</v>
      </c>
      <c r="M367" s="89"/>
      <c r="N367" s="89"/>
      <c r="O367" s="87" t="s">
        <v>184</v>
      </c>
      <c r="P367" s="87" t="s">
        <v>190</v>
      </c>
      <c r="Q367" s="229" t="s">
        <v>193</v>
      </c>
      <c r="R367" s="87" t="str">
        <f>VLOOKUP(E367,'PREMIUM TABLES'!$F$214:$G$219,2,FALSE)</f>
        <v>THIRD</v>
      </c>
      <c r="S367" s="87" t="str" cm="1">
        <f t="array" ref="S367">IF(AND(L367&gt;0,L367&lt;90),"A",IF(AND(L367&gt;90,L367&lt;123),"B",IF(AND(L367&gt;122,L367&lt;159),"C",IF(AND(L367&gt;159,L367&lt;185),"D",IF(AND(L367&gt;185,L367&lt;230),"E",IF(AND(L367&gt;230,L367&lt;350),"F",NONE))))))</f>
        <v>D</v>
      </c>
      <c r="T367" s="230">
        <f>VLOOKUP(O367,'PREMIUM TABLES'!$G$165:$H$172,2,FALSE)</f>
        <v>0.15</v>
      </c>
      <c r="U367" s="230">
        <f>VLOOKUP(P367,'PREMIUM TABLES'!$G$208:$H$209,2,FALSE)</f>
        <v>2.5000000000000001E-2</v>
      </c>
      <c r="V367" s="230">
        <f>VLOOKUP(Q367,'PREMIUM TABLES'!$G$175:$H$195,2,FALSE)</f>
        <v>0.3</v>
      </c>
      <c r="W367" s="230">
        <f>VLOOKUP(R367,'PREMIUM TABLES'!$G$214:$H$219,2,FALSE)</f>
        <v>0.15</v>
      </c>
      <c r="X367" s="230">
        <f>VLOOKUP(S367,'PREMIUM TABLES'!$F$199:$H$205,3,FALSE)</f>
        <v>2.5000000000000001E-2</v>
      </c>
      <c r="Y367" s="231">
        <f t="shared" si="53"/>
        <v>0.65</v>
      </c>
      <c r="Z367" s="231" t="str" cm="1">
        <f t="array" ref="Z367">IF(AND(Y367&gt;0,Y367&lt;0.5),"C",IF(AND(Y367&gt;=0.5,Y367&lt;0.73),"B",IF(AND(Y367&gt;=0.73,Y367&lt;0.98),"A",NONE)))</f>
        <v>B</v>
      </c>
      <c r="AA367" s="231" t="str">
        <f>VLOOKUP(G367,'ALL (R)'!$N$5:$R$862,5,FALSE)</f>
        <v>R 5</v>
      </c>
      <c r="AB367" s="232">
        <f>VLOOKUP(AA367,FACTS!$B$2:$L$14,10,FALSE)</f>
        <v>46750.000000000007</v>
      </c>
      <c r="AC367" s="232">
        <f>VLOOKUP(AA367,FACTS!$B$2:$L$14,11,FALSE)</f>
        <v>52250.000000000007</v>
      </c>
      <c r="AD367" s="232">
        <f>VLOOKUP(AA367,FACTS!$B$2:$N$14,13,FALSE)</f>
        <v>5500</v>
      </c>
      <c r="AE367" s="232">
        <f t="shared" si="54"/>
        <v>3575</v>
      </c>
      <c r="AF367" s="232">
        <f t="shared" si="55"/>
        <v>50325.000000000007</v>
      </c>
      <c r="AG367" s="232">
        <f>AF367*FACTS!$T$2</f>
        <v>16607.250000000004</v>
      </c>
      <c r="AH367" s="232">
        <f>Table1[[#This Row],[UNIT (BUILDING) RATE (SEMI FINISHED)]]+4500</f>
        <v>54825.000000000007</v>
      </c>
      <c r="AI367" s="232">
        <f>Table1[[#This Row],[UNIT (BUILDING) RATE (SEMI FINISHED)]]+7500</f>
        <v>57825.000000000007</v>
      </c>
      <c r="AJ367" s="232">
        <f t="shared" si="56"/>
        <v>8706225.0000000019</v>
      </c>
      <c r="AK367" s="232">
        <f>Table1[[#This Row],[UNIT (BUILDING) RATE (BASIC FINISH)]]*Table1[[#This Row],[Unit Selling Area]]</f>
        <v>9484725.0000000019</v>
      </c>
      <c r="AL367" s="232">
        <f>Table1[[#This Row],[UNIT (BUILDING) RATE (FULLY FINISH)]]*Table1[[#This Row],[Unit Selling Area]]</f>
        <v>10003725.000000002</v>
      </c>
      <c r="AM367" s="232">
        <f t="shared" si="57"/>
        <v>0</v>
      </c>
      <c r="AN367" s="232">
        <f>(AM367+AJ367)*FACTS!$S$2</f>
        <v>740029.12500000023</v>
      </c>
      <c r="AO367" s="101">
        <f>VLOOKUP(S367,FACTS!$A$17:$C$23,3,FALSE)</f>
        <v>2</v>
      </c>
      <c r="AP367" s="232">
        <f>VLOOKUP(AA367,FACTS!$B$2:$J$14,9,FALSE)</f>
        <v>220000.00000000003</v>
      </c>
      <c r="AQ367" s="232">
        <f>Table1[[#This Row],[PARKING VALUE]]*1</f>
        <v>220000.00000000003</v>
      </c>
      <c r="AR367" s="232">
        <f t="shared" si="52"/>
        <v>8926225.0000000019</v>
      </c>
      <c r="AS367" s="440">
        <f>Table1[[#This Row],[TOTAL CARS VALUE]]+Table1[[#This Row],[UNIT (BUILDING) VALUE BASIC FINISHED]]+Table1[[#This Row],[UNIT (GARDEN) VALUE]]</f>
        <v>9704725.0000000019</v>
      </c>
      <c r="AT367" s="232">
        <f>Table1[[#This Row],[TOTAL CARS VALUE]]+Table1[[#This Row],[UNIT (GARDEN) VALUE]]+Table1[[#This Row],[UNIT (BUILDING) VALUE FULLY FINISHED]]</f>
        <v>10223725.000000002</v>
      </c>
      <c r="AU367" s="233">
        <f>VLOOKUP(I367,'C PHASES'!$I$108:$J$110,2,FALSE)</f>
        <v>46204</v>
      </c>
      <c r="AV367" s="233">
        <f>VLOOKUP(AA367,'C PHASES'!$I$113:$J$125,2,FALSE)</f>
        <v>45566</v>
      </c>
    </row>
    <row r="368" spans="1:48" x14ac:dyDescent="0.25">
      <c r="A368" s="236"/>
      <c r="B368" s="227" t="str">
        <f t="shared" si="51"/>
        <v>B</v>
      </c>
      <c r="C368" s="227" t="s">
        <v>105</v>
      </c>
      <c r="D368" s="227" t="s">
        <v>1147</v>
      </c>
      <c r="E368" s="228">
        <v>3</v>
      </c>
      <c r="F368" s="101">
        <v>2</v>
      </c>
      <c r="G368" s="87" t="str">
        <f t="shared" si="59"/>
        <v>B1032</v>
      </c>
      <c r="H368" s="87" t="s">
        <v>1294</v>
      </c>
      <c r="I368" s="89" t="str">
        <f>VLOOKUP(C368,'PREMIUM TABLES'!$G$107:$H$149,2,FALSE)</f>
        <v>C2</v>
      </c>
      <c r="J368" s="89">
        <v>142.25399999999999</v>
      </c>
      <c r="K368" s="87">
        <v>159.52300698973886</v>
      </c>
      <c r="L368" s="87">
        <v>174</v>
      </c>
      <c r="M368" s="89"/>
      <c r="N368" s="89"/>
      <c r="O368" s="87" t="s">
        <v>185</v>
      </c>
      <c r="P368" s="87" t="s">
        <v>190</v>
      </c>
      <c r="Q368" s="229" t="s">
        <v>210</v>
      </c>
      <c r="R368" s="87" t="str">
        <f>VLOOKUP(E368,'PREMIUM TABLES'!$F$214:$G$219,2,FALSE)</f>
        <v>THIRD</v>
      </c>
      <c r="S368" s="87" t="str" cm="1">
        <f t="array" ref="S368">IF(AND(L368&gt;0,L368&lt;90),"A",IF(AND(L368&gt;90,L368&lt;123),"B",IF(AND(L368&gt;122,L368&lt;159),"C",IF(AND(L368&gt;159,L368&lt;185),"D",IF(AND(L368&gt;185,L368&lt;230),"E",IF(AND(L368&gt;230,L368&lt;350),"F",NONE))))))</f>
        <v>D</v>
      </c>
      <c r="T368" s="230">
        <f>VLOOKUP(O368,'PREMIUM TABLES'!$G$165:$H$172,2,FALSE)</f>
        <v>0.06</v>
      </c>
      <c r="U368" s="230">
        <f>VLOOKUP(P368,'PREMIUM TABLES'!$G$208:$H$209,2,FALSE)</f>
        <v>2.5000000000000001E-2</v>
      </c>
      <c r="V368" s="230">
        <f>VLOOKUP(Q368,'PREMIUM TABLES'!$G$175:$H$195,2,FALSE)</f>
        <v>0.53</v>
      </c>
      <c r="W368" s="230">
        <f>VLOOKUP(R368,'PREMIUM TABLES'!$G$214:$H$219,2,FALSE)</f>
        <v>0.15</v>
      </c>
      <c r="X368" s="230">
        <f>VLOOKUP(S368,'PREMIUM TABLES'!$F$199:$H$205,3,FALSE)</f>
        <v>2.5000000000000001E-2</v>
      </c>
      <c r="Y368" s="231">
        <f t="shared" si="53"/>
        <v>0.79</v>
      </c>
      <c r="Z368" s="231" t="str" cm="1">
        <f t="array" ref="Z368">IF(AND(Y368&gt;0,Y368&lt;0.5),"C",IF(AND(Y368&gt;=0.5,Y368&lt;0.73),"B",IF(AND(Y368&gt;=0.73,Y368&lt;0.98),"A",NONE)))</f>
        <v>A</v>
      </c>
      <c r="AA368" s="231" t="str">
        <f>VLOOKUP(G368,'ALL (R)'!$N$5:$R$862,5,FALSE)</f>
        <v>R 5</v>
      </c>
      <c r="AB368" s="232">
        <f>VLOOKUP(AA368,FACTS!$B$2:$L$14,10,FALSE)</f>
        <v>46750.000000000007</v>
      </c>
      <c r="AC368" s="232">
        <f>VLOOKUP(AA368,FACTS!$B$2:$L$14,11,FALSE)</f>
        <v>52250.000000000007</v>
      </c>
      <c r="AD368" s="232">
        <f>VLOOKUP(AA368,FACTS!$B$2:$N$14,13,FALSE)</f>
        <v>5500</v>
      </c>
      <c r="AE368" s="232">
        <f t="shared" si="54"/>
        <v>4345</v>
      </c>
      <c r="AF368" s="232">
        <f t="shared" si="55"/>
        <v>51095.000000000007</v>
      </c>
      <c r="AG368" s="232">
        <f>AF368*FACTS!$T$2</f>
        <v>16861.350000000002</v>
      </c>
      <c r="AH368" s="232">
        <f>Table1[[#This Row],[UNIT (BUILDING) RATE (SEMI FINISHED)]]+4500</f>
        <v>55595.000000000007</v>
      </c>
      <c r="AI368" s="232">
        <f>Table1[[#This Row],[UNIT (BUILDING) RATE (SEMI FINISHED)]]+7500</f>
        <v>58595.000000000007</v>
      </c>
      <c r="AJ368" s="232">
        <f t="shared" si="56"/>
        <v>8890530.0000000019</v>
      </c>
      <c r="AK368" s="232">
        <f>Table1[[#This Row],[UNIT (BUILDING) RATE (BASIC FINISH)]]*Table1[[#This Row],[Unit Selling Area]]</f>
        <v>9673530.0000000019</v>
      </c>
      <c r="AL368" s="232">
        <f>Table1[[#This Row],[UNIT (BUILDING) RATE (FULLY FINISH)]]*Table1[[#This Row],[Unit Selling Area]]</f>
        <v>10195530.000000002</v>
      </c>
      <c r="AM368" s="232">
        <f t="shared" si="57"/>
        <v>0</v>
      </c>
      <c r="AN368" s="232">
        <f>(AM368+AJ368)*FACTS!$S$2</f>
        <v>755695.05000000016</v>
      </c>
      <c r="AO368" s="101">
        <f>VLOOKUP(S368,FACTS!$A$17:$C$23,3,FALSE)</f>
        <v>2</v>
      </c>
      <c r="AP368" s="232">
        <f>VLOOKUP(AA368,FACTS!$B$2:$J$14,9,FALSE)</f>
        <v>220000.00000000003</v>
      </c>
      <c r="AQ368" s="232">
        <f>Table1[[#This Row],[PARKING VALUE]]*1</f>
        <v>220000.00000000003</v>
      </c>
      <c r="AR368" s="232">
        <f t="shared" si="52"/>
        <v>9110530.0000000019</v>
      </c>
      <c r="AS368" s="440">
        <f>Table1[[#This Row],[TOTAL CARS VALUE]]+Table1[[#This Row],[UNIT (BUILDING) VALUE BASIC FINISHED]]+Table1[[#This Row],[UNIT (GARDEN) VALUE]]</f>
        <v>9893530.0000000019</v>
      </c>
      <c r="AT368" s="232">
        <f>Table1[[#This Row],[TOTAL CARS VALUE]]+Table1[[#This Row],[UNIT (GARDEN) VALUE]]+Table1[[#This Row],[UNIT (BUILDING) VALUE FULLY FINISHED]]</f>
        <v>10415530.000000002</v>
      </c>
      <c r="AU368" s="233">
        <f>VLOOKUP(I368,'C PHASES'!$I$108:$J$110,2,FALSE)</f>
        <v>46204</v>
      </c>
      <c r="AV368" s="233">
        <f>VLOOKUP(AA368,'C PHASES'!$I$113:$J$125,2,FALSE)</f>
        <v>45566</v>
      </c>
    </row>
    <row r="369" spans="1:48" x14ac:dyDescent="0.25">
      <c r="A369" s="236"/>
      <c r="B369" s="227" t="str">
        <f t="shared" si="51"/>
        <v>B</v>
      </c>
      <c r="C369" s="227" t="s">
        <v>105</v>
      </c>
      <c r="D369" s="227" t="s">
        <v>1147</v>
      </c>
      <c r="E369" s="228">
        <v>3</v>
      </c>
      <c r="F369" s="101">
        <v>3</v>
      </c>
      <c r="G369" s="87" t="str">
        <f t="shared" si="59"/>
        <v>B1033</v>
      </c>
      <c r="H369" s="87" t="s">
        <v>1294</v>
      </c>
      <c r="I369" s="89" t="str">
        <f>VLOOKUP(C369,'PREMIUM TABLES'!$G$107:$H$149,2,FALSE)</f>
        <v>C2</v>
      </c>
      <c r="J369" s="89">
        <v>142.37799999999999</v>
      </c>
      <c r="K369" s="87">
        <v>159.6620600417917</v>
      </c>
      <c r="L369" s="87">
        <v>174</v>
      </c>
      <c r="M369" s="89"/>
      <c r="N369" s="89"/>
      <c r="O369" s="87" t="s">
        <v>185</v>
      </c>
      <c r="P369" s="87" t="s">
        <v>190</v>
      </c>
      <c r="Q369" s="229" t="s">
        <v>210</v>
      </c>
      <c r="R369" s="87" t="str">
        <f>VLOOKUP(E369,'PREMIUM TABLES'!$F$214:$G$219,2,FALSE)</f>
        <v>THIRD</v>
      </c>
      <c r="S369" s="87" t="str" cm="1">
        <f t="array" ref="S369">IF(AND(L369&gt;0,L369&lt;90),"A",IF(AND(L369&gt;90,L369&lt;123),"B",IF(AND(L369&gt;122,L369&lt;159),"C",IF(AND(L369&gt;159,L369&lt;185),"D",IF(AND(L369&gt;185,L369&lt;230),"E",IF(AND(L369&gt;230,L369&lt;350),"F",NONE))))))</f>
        <v>D</v>
      </c>
      <c r="T369" s="230">
        <f>VLOOKUP(O369,'PREMIUM TABLES'!$G$165:$H$172,2,FALSE)</f>
        <v>0.06</v>
      </c>
      <c r="U369" s="230">
        <f>VLOOKUP(P369,'PREMIUM TABLES'!$G$208:$H$209,2,FALSE)</f>
        <v>2.5000000000000001E-2</v>
      </c>
      <c r="V369" s="230">
        <f>VLOOKUP(Q369,'PREMIUM TABLES'!$G$175:$H$195,2,FALSE)</f>
        <v>0.53</v>
      </c>
      <c r="W369" s="230">
        <f>VLOOKUP(R369,'PREMIUM TABLES'!$G$214:$H$219,2,FALSE)</f>
        <v>0.15</v>
      </c>
      <c r="X369" s="230">
        <f>VLOOKUP(S369,'PREMIUM TABLES'!$F$199:$H$205,3,FALSE)</f>
        <v>2.5000000000000001E-2</v>
      </c>
      <c r="Y369" s="231">
        <f t="shared" si="53"/>
        <v>0.79</v>
      </c>
      <c r="Z369" s="231" t="str" cm="1">
        <f t="array" ref="Z369">IF(AND(Y369&gt;0,Y369&lt;0.5),"C",IF(AND(Y369&gt;=0.5,Y369&lt;0.73),"B",IF(AND(Y369&gt;=0.73,Y369&lt;0.98),"A",NONE)))</f>
        <v>A</v>
      </c>
      <c r="AA369" s="231" t="str">
        <f>VLOOKUP(G369,'ALL (R)'!$N$5:$R$862,5,FALSE)</f>
        <v>R 5</v>
      </c>
      <c r="AB369" s="232">
        <f>VLOOKUP(AA369,FACTS!$B$2:$L$14,10,FALSE)</f>
        <v>46750.000000000007</v>
      </c>
      <c r="AC369" s="232">
        <f>VLOOKUP(AA369,FACTS!$B$2:$L$14,11,FALSE)</f>
        <v>52250.000000000007</v>
      </c>
      <c r="AD369" s="232">
        <f>VLOOKUP(AA369,FACTS!$B$2:$N$14,13,FALSE)</f>
        <v>5500</v>
      </c>
      <c r="AE369" s="232">
        <f t="shared" si="54"/>
        <v>4345</v>
      </c>
      <c r="AF369" s="232">
        <f t="shared" si="55"/>
        <v>51095.000000000007</v>
      </c>
      <c r="AG369" s="232">
        <f>AF369*FACTS!$T$2</f>
        <v>16861.350000000002</v>
      </c>
      <c r="AH369" s="232">
        <f>Table1[[#This Row],[UNIT (BUILDING) RATE (SEMI FINISHED)]]+4500</f>
        <v>55595.000000000007</v>
      </c>
      <c r="AI369" s="232">
        <f>Table1[[#This Row],[UNIT (BUILDING) RATE (SEMI FINISHED)]]+7500</f>
        <v>58595.000000000007</v>
      </c>
      <c r="AJ369" s="232">
        <f t="shared" si="56"/>
        <v>8890530.0000000019</v>
      </c>
      <c r="AK369" s="232">
        <f>Table1[[#This Row],[UNIT (BUILDING) RATE (BASIC FINISH)]]*Table1[[#This Row],[Unit Selling Area]]</f>
        <v>9673530.0000000019</v>
      </c>
      <c r="AL369" s="232">
        <f>Table1[[#This Row],[UNIT (BUILDING) RATE (FULLY FINISH)]]*Table1[[#This Row],[Unit Selling Area]]</f>
        <v>10195530.000000002</v>
      </c>
      <c r="AM369" s="232">
        <f t="shared" si="57"/>
        <v>0</v>
      </c>
      <c r="AN369" s="232">
        <f>(AM369+AJ369)*FACTS!$S$2</f>
        <v>755695.05000000016</v>
      </c>
      <c r="AO369" s="101">
        <f>VLOOKUP(S369,FACTS!$A$17:$C$23,3,FALSE)</f>
        <v>2</v>
      </c>
      <c r="AP369" s="232">
        <f>VLOOKUP(AA369,FACTS!$B$2:$J$14,9,FALSE)</f>
        <v>220000.00000000003</v>
      </c>
      <c r="AQ369" s="232">
        <f>Table1[[#This Row],[PARKING VALUE]]*1</f>
        <v>220000.00000000003</v>
      </c>
      <c r="AR369" s="232">
        <f t="shared" si="52"/>
        <v>9110530.0000000019</v>
      </c>
      <c r="AS369" s="440">
        <f>Table1[[#This Row],[TOTAL CARS VALUE]]+Table1[[#This Row],[UNIT (BUILDING) VALUE BASIC FINISHED]]+Table1[[#This Row],[UNIT (GARDEN) VALUE]]</f>
        <v>9893530.0000000019</v>
      </c>
      <c r="AT369" s="232">
        <f>Table1[[#This Row],[TOTAL CARS VALUE]]+Table1[[#This Row],[UNIT (GARDEN) VALUE]]+Table1[[#This Row],[UNIT (BUILDING) VALUE FULLY FINISHED]]</f>
        <v>10415530.000000002</v>
      </c>
      <c r="AU369" s="233">
        <f>VLOOKUP(I369,'C PHASES'!$I$108:$J$110,2,FALSE)</f>
        <v>46204</v>
      </c>
      <c r="AV369" s="233">
        <f>VLOOKUP(AA369,'C PHASES'!$I$113:$J$125,2,FALSE)</f>
        <v>45566</v>
      </c>
    </row>
    <row r="370" spans="1:48" x14ac:dyDescent="0.25">
      <c r="A370" s="236"/>
      <c r="B370" s="227" t="str">
        <f t="shared" si="51"/>
        <v>B</v>
      </c>
      <c r="C370" s="227" t="s">
        <v>105</v>
      </c>
      <c r="D370" s="227" t="s">
        <v>1147</v>
      </c>
      <c r="E370" s="228">
        <v>3</v>
      </c>
      <c r="F370" s="101">
        <v>4</v>
      </c>
      <c r="G370" s="87" t="str">
        <f t="shared" si="59"/>
        <v>B1034</v>
      </c>
      <c r="H370" s="87" t="s">
        <v>1294</v>
      </c>
      <c r="I370" s="89" t="str">
        <f>VLOOKUP(C370,'PREMIUM TABLES'!$G$107:$H$149,2,FALSE)</f>
        <v>C2</v>
      </c>
      <c r="J370" s="89">
        <v>141.52600000000001</v>
      </c>
      <c r="K370" s="87">
        <v>158.70663100671885</v>
      </c>
      <c r="L370" s="87">
        <v>173</v>
      </c>
      <c r="M370" s="89"/>
      <c r="N370" s="89"/>
      <c r="O370" s="87" t="s">
        <v>184</v>
      </c>
      <c r="P370" s="87" t="s">
        <v>190</v>
      </c>
      <c r="Q370" s="229" t="s">
        <v>193</v>
      </c>
      <c r="R370" s="87" t="str">
        <f>VLOOKUP(E370,'PREMIUM TABLES'!$F$214:$G$219,2,FALSE)</f>
        <v>THIRD</v>
      </c>
      <c r="S370" s="87" t="str" cm="1">
        <f t="array" ref="S370">IF(AND(L370&gt;0,L370&lt;90),"A",IF(AND(L370&gt;90,L370&lt;123),"B",IF(AND(L370&gt;122,L370&lt;159),"C",IF(AND(L370&gt;159,L370&lt;185),"D",IF(AND(L370&gt;185,L370&lt;230),"E",IF(AND(L370&gt;230,L370&lt;350),"F",NONE))))))</f>
        <v>D</v>
      </c>
      <c r="T370" s="230">
        <f>VLOOKUP(O370,'PREMIUM TABLES'!$G$165:$H$172,2,FALSE)</f>
        <v>0.15</v>
      </c>
      <c r="U370" s="230">
        <f>VLOOKUP(P370,'PREMIUM TABLES'!$G$208:$H$209,2,FALSE)</f>
        <v>2.5000000000000001E-2</v>
      </c>
      <c r="V370" s="230">
        <f>VLOOKUP(Q370,'PREMIUM TABLES'!$G$175:$H$195,2,FALSE)</f>
        <v>0.3</v>
      </c>
      <c r="W370" s="230">
        <f>VLOOKUP(R370,'PREMIUM TABLES'!$G$214:$H$219,2,FALSE)</f>
        <v>0.15</v>
      </c>
      <c r="X370" s="230">
        <f>VLOOKUP(S370,'PREMIUM TABLES'!$F$199:$H$205,3,FALSE)</f>
        <v>2.5000000000000001E-2</v>
      </c>
      <c r="Y370" s="231">
        <f t="shared" si="53"/>
        <v>0.65</v>
      </c>
      <c r="Z370" s="231" t="str" cm="1">
        <f t="array" ref="Z370">IF(AND(Y370&gt;0,Y370&lt;0.5),"C",IF(AND(Y370&gt;=0.5,Y370&lt;0.73),"B",IF(AND(Y370&gt;=0.73,Y370&lt;0.98),"A",NONE)))</f>
        <v>B</v>
      </c>
      <c r="AA370" s="231" t="str">
        <f>VLOOKUP(G370,'ALL (R)'!$N$5:$R$862,5,FALSE)</f>
        <v>R 5</v>
      </c>
      <c r="AB370" s="232">
        <f>VLOOKUP(AA370,FACTS!$B$2:$L$14,10,FALSE)</f>
        <v>46750.000000000007</v>
      </c>
      <c r="AC370" s="232">
        <f>VLOOKUP(AA370,FACTS!$B$2:$L$14,11,FALSE)</f>
        <v>52250.000000000007</v>
      </c>
      <c r="AD370" s="232">
        <f>VLOOKUP(AA370,FACTS!$B$2:$N$14,13,FALSE)</f>
        <v>5500</v>
      </c>
      <c r="AE370" s="232">
        <f t="shared" si="54"/>
        <v>3575</v>
      </c>
      <c r="AF370" s="232">
        <f t="shared" si="55"/>
        <v>50325.000000000007</v>
      </c>
      <c r="AG370" s="232">
        <f>AF370*FACTS!$T$2</f>
        <v>16607.250000000004</v>
      </c>
      <c r="AH370" s="232">
        <f>Table1[[#This Row],[UNIT (BUILDING) RATE (SEMI FINISHED)]]+4500</f>
        <v>54825.000000000007</v>
      </c>
      <c r="AI370" s="232">
        <f>Table1[[#This Row],[UNIT (BUILDING) RATE (SEMI FINISHED)]]+7500</f>
        <v>57825.000000000007</v>
      </c>
      <c r="AJ370" s="232">
        <f t="shared" si="56"/>
        <v>8706225.0000000019</v>
      </c>
      <c r="AK370" s="232">
        <f>Table1[[#This Row],[UNIT (BUILDING) RATE (BASIC FINISH)]]*Table1[[#This Row],[Unit Selling Area]]</f>
        <v>9484725.0000000019</v>
      </c>
      <c r="AL370" s="232">
        <f>Table1[[#This Row],[UNIT (BUILDING) RATE (FULLY FINISH)]]*Table1[[#This Row],[Unit Selling Area]]</f>
        <v>10003725.000000002</v>
      </c>
      <c r="AM370" s="232">
        <f t="shared" si="57"/>
        <v>0</v>
      </c>
      <c r="AN370" s="232">
        <f>(AM370+AJ370)*FACTS!$S$2</f>
        <v>740029.12500000023</v>
      </c>
      <c r="AO370" s="101">
        <f>VLOOKUP(S370,FACTS!$A$17:$C$23,3,FALSE)</f>
        <v>2</v>
      </c>
      <c r="AP370" s="232">
        <f>VLOOKUP(AA370,FACTS!$B$2:$J$14,9,FALSE)</f>
        <v>220000.00000000003</v>
      </c>
      <c r="AQ370" s="232">
        <f>Table1[[#This Row],[PARKING VALUE]]*1</f>
        <v>220000.00000000003</v>
      </c>
      <c r="AR370" s="232">
        <f t="shared" si="52"/>
        <v>8926225.0000000019</v>
      </c>
      <c r="AS370" s="440">
        <f>Table1[[#This Row],[TOTAL CARS VALUE]]+Table1[[#This Row],[UNIT (BUILDING) VALUE BASIC FINISHED]]+Table1[[#This Row],[UNIT (GARDEN) VALUE]]</f>
        <v>9704725.0000000019</v>
      </c>
      <c r="AT370" s="232">
        <f>Table1[[#This Row],[TOTAL CARS VALUE]]+Table1[[#This Row],[UNIT (GARDEN) VALUE]]+Table1[[#This Row],[UNIT (BUILDING) VALUE FULLY FINISHED]]</f>
        <v>10223725.000000002</v>
      </c>
      <c r="AU370" s="233">
        <f>VLOOKUP(I370,'C PHASES'!$I$108:$J$110,2,FALSE)</f>
        <v>46204</v>
      </c>
      <c r="AV370" s="233">
        <f>VLOOKUP(AA370,'C PHASES'!$I$113:$J$125,2,FALSE)</f>
        <v>45566</v>
      </c>
    </row>
    <row r="371" spans="1:48" x14ac:dyDescent="0.25">
      <c r="A371" s="236"/>
      <c r="B371" s="227" t="str">
        <f t="shared" si="51"/>
        <v>B</v>
      </c>
      <c r="C371" s="227" t="s">
        <v>105</v>
      </c>
      <c r="D371" s="227" t="s">
        <v>1147</v>
      </c>
      <c r="E371" s="228">
        <v>4</v>
      </c>
      <c r="F371" s="101">
        <v>1</v>
      </c>
      <c r="G371" s="87" t="str">
        <f t="shared" si="59"/>
        <v>B1041</v>
      </c>
      <c r="H371" s="87" t="s">
        <v>1294</v>
      </c>
      <c r="I371" s="89" t="str">
        <f>VLOOKUP(C371,'PREMIUM TABLES'!$G$107:$H$149,2,FALSE)</f>
        <v>C2</v>
      </c>
      <c r="J371" s="89">
        <v>139.12</v>
      </c>
      <c r="K371" s="87">
        <v>156.00855323866094</v>
      </c>
      <c r="L371" s="87">
        <v>170</v>
      </c>
      <c r="M371" s="89"/>
      <c r="N371" s="89"/>
      <c r="O371" s="87" t="s">
        <v>184</v>
      </c>
      <c r="P371" s="87" t="s">
        <v>190</v>
      </c>
      <c r="Q371" s="229" t="s">
        <v>193</v>
      </c>
      <c r="R371" s="87" t="str">
        <f>VLOOKUP(E371,'PREMIUM TABLES'!$F$214:$G$219,2,FALSE)</f>
        <v>FORTH</v>
      </c>
      <c r="S371" s="87" t="str" cm="1">
        <f t="array" ref="S371">IF(AND(L371&gt;0,L371&lt;90),"A",IF(AND(L371&gt;90,L371&lt;123),"B",IF(AND(L371&gt;122,L371&lt;159),"C",IF(AND(L371&gt;159,L371&lt;185),"D",IF(AND(L371&gt;185,L371&lt;230),"E",IF(AND(L371&gt;230,L371&lt;350),"F",NONE))))))</f>
        <v>D</v>
      </c>
      <c r="T371" s="230">
        <f>VLOOKUP(O371,'PREMIUM TABLES'!$G$165:$H$172,2,FALSE)</f>
        <v>0.15</v>
      </c>
      <c r="U371" s="230">
        <f>VLOOKUP(P371,'PREMIUM TABLES'!$G$208:$H$209,2,FALSE)</f>
        <v>2.5000000000000001E-2</v>
      </c>
      <c r="V371" s="230">
        <f>VLOOKUP(Q371,'PREMIUM TABLES'!$G$175:$H$195,2,FALSE)</f>
        <v>0.3</v>
      </c>
      <c r="W371" s="230">
        <f>VLOOKUP(R371,'PREMIUM TABLES'!$G$214:$H$219,2,FALSE)</f>
        <v>0.06</v>
      </c>
      <c r="X371" s="230">
        <f>VLOOKUP(S371,'PREMIUM TABLES'!$F$199:$H$205,3,FALSE)</f>
        <v>2.5000000000000001E-2</v>
      </c>
      <c r="Y371" s="231">
        <f t="shared" si="53"/>
        <v>0.55999999999999994</v>
      </c>
      <c r="Z371" s="231" t="str" cm="1">
        <f t="array" ref="Z371">IF(AND(Y371&gt;0,Y371&lt;0.5),"C",IF(AND(Y371&gt;=0.5,Y371&lt;0.73),"B",IF(AND(Y371&gt;=0.73,Y371&lt;0.98),"A",NONE)))</f>
        <v>B</v>
      </c>
      <c r="AA371" s="231" t="str">
        <f>VLOOKUP(G371,'ALL (R)'!$N$5:$R$862,5,FALSE)</f>
        <v>R 1</v>
      </c>
      <c r="AB371" s="232">
        <f>VLOOKUP(AA371,FACTS!$B$2:$L$14,10,FALSE)</f>
        <v>42500</v>
      </c>
      <c r="AC371" s="232">
        <f>VLOOKUP(AA371,FACTS!$B$2:$L$14,11,FALSE)</f>
        <v>47500</v>
      </c>
      <c r="AD371" s="232">
        <f>VLOOKUP(AA371,FACTS!$B$2:$N$14,13,FALSE)</f>
        <v>5000</v>
      </c>
      <c r="AE371" s="232">
        <f t="shared" si="54"/>
        <v>2799.9999999999995</v>
      </c>
      <c r="AF371" s="232">
        <f t="shared" si="55"/>
        <v>45300</v>
      </c>
      <c r="AG371" s="232">
        <f>AF371*FACTS!$T$2</f>
        <v>14949</v>
      </c>
      <c r="AH371" s="232">
        <f>Table1[[#This Row],[UNIT (BUILDING) RATE (SEMI FINISHED)]]+4500</f>
        <v>49800</v>
      </c>
      <c r="AI371" s="232">
        <f>Table1[[#This Row],[UNIT (BUILDING) RATE (SEMI FINISHED)]]+7500</f>
        <v>52800</v>
      </c>
      <c r="AJ371" s="232">
        <f t="shared" si="56"/>
        <v>7701000</v>
      </c>
      <c r="AK371" s="232">
        <f>Table1[[#This Row],[UNIT (BUILDING) RATE (BASIC FINISH)]]*Table1[[#This Row],[Unit Selling Area]]</f>
        <v>8466000</v>
      </c>
      <c r="AL371" s="232">
        <f>Table1[[#This Row],[UNIT (BUILDING) RATE (FULLY FINISH)]]*Table1[[#This Row],[Unit Selling Area]]</f>
        <v>8976000</v>
      </c>
      <c r="AM371" s="232">
        <f t="shared" si="57"/>
        <v>0</v>
      </c>
      <c r="AN371" s="232">
        <f>(AM371+AJ371)*FACTS!$S$2</f>
        <v>654585</v>
      </c>
      <c r="AO371" s="101">
        <f>VLOOKUP(S371,FACTS!$A$17:$C$23,3,FALSE)</f>
        <v>2</v>
      </c>
      <c r="AP371" s="232">
        <f>VLOOKUP(AA371,FACTS!$B$2:$J$14,9,FALSE)</f>
        <v>200000</v>
      </c>
      <c r="AQ371" s="232">
        <f>Table1[[#This Row],[PARKING VALUE]]*1</f>
        <v>200000</v>
      </c>
      <c r="AR371" s="232">
        <f t="shared" si="52"/>
        <v>7901000</v>
      </c>
      <c r="AS371" s="440">
        <f>Table1[[#This Row],[TOTAL CARS VALUE]]+Table1[[#This Row],[UNIT (BUILDING) VALUE BASIC FINISHED]]+Table1[[#This Row],[UNIT (GARDEN) VALUE]]</f>
        <v>8666000</v>
      </c>
      <c r="AT371" s="232">
        <f>Table1[[#This Row],[TOTAL CARS VALUE]]+Table1[[#This Row],[UNIT (GARDEN) VALUE]]+Table1[[#This Row],[UNIT (BUILDING) VALUE FULLY FINISHED]]</f>
        <v>9176000</v>
      </c>
      <c r="AU371" s="233">
        <f>VLOOKUP(I371,'C PHASES'!$I$108:$J$110,2,FALSE)</f>
        <v>46204</v>
      </c>
      <c r="AV371" s="233">
        <f>VLOOKUP(AA371,'C PHASES'!$I$113:$J$125,2,FALSE)</f>
        <v>45170</v>
      </c>
    </row>
    <row r="372" spans="1:48" x14ac:dyDescent="0.25">
      <c r="A372" s="236"/>
      <c r="B372" s="227" t="str">
        <f t="shared" si="51"/>
        <v>B</v>
      </c>
      <c r="C372" s="227" t="s">
        <v>105</v>
      </c>
      <c r="D372" s="227" t="s">
        <v>1147</v>
      </c>
      <c r="E372" s="228">
        <v>4</v>
      </c>
      <c r="F372" s="101">
        <v>2</v>
      </c>
      <c r="G372" s="87" t="str">
        <f t="shared" si="59"/>
        <v>B1042</v>
      </c>
      <c r="H372" s="87" t="s">
        <v>1294</v>
      </c>
      <c r="I372" s="89" t="str">
        <f>VLOOKUP(C372,'PREMIUM TABLES'!$G$107:$H$149,2,FALSE)</f>
        <v>C2</v>
      </c>
      <c r="J372" s="89">
        <v>141.53399999999999</v>
      </c>
      <c r="K372" s="87">
        <v>158.71560217136741</v>
      </c>
      <c r="L372" s="87">
        <v>173</v>
      </c>
      <c r="M372" s="89"/>
      <c r="N372" s="89"/>
      <c r="O372" s="87" t="s">
        <v>185</v>
      </c>
      <c r="P372" s="87" t="s">
        <v>190</v>
      </c>
      <c r="Q372" s="229" t="s">
        <v>210</v>
      </c>
      <c r="R372" s="87" t="str">
        <f>VLOOKUP(E372,'PREMIUM TABLES'!$F$214:$G$219,2,FALSE)</f>
        <v>FORTH</v>
      </c>
      <c r="S372" s="87" t="str" cm="1">
        <f t="array" ref="S372">IF(AND(L372&gt;0,L372&lt;90),"A",IF(AND(L372&gt;90,L372&lt;123),"B",IF(AND(L372&gt;122,L372&lt;159),"C",IF(AND(L372&gt;159,L372&lt;185),"D",IF(AND(L372&gt;185,L372&lt;230),"E",IF(AND(L372&gt;230,L372&lt;350),"F",NONE))))))</f>
        <v>D</v>
      </c>
      <c r="T372" s="230">
        <f>VLOOKUP(O372,'PREMIUM TABLES'!$G$165:$H$172,2,FALSE)</f>
        <v>0.06</v>
      </c>
      <c r="U372" s="230">
        <f>VLOOKUP(P372,'PREMIUM TABLES'!$G$208:$H$209,2,FALSE)</f>
        <v>2.5000000000000001E-2</v>
      </c>
      <c r="V372" s="230">
        <f>VLOOKUP(Q372,'PREMIUM TABLES'!$G$175:$H$195,2,FALSE)</f>
        <v>0.53</v>
      </c>
      <c r="W372" s="230">
        <f>VLOOKUP(R372,'PREMIUM TABLES'!$G$214:$H$219,2,FALSE)</f>
        <v>0.06</v>
      </c>
      <c r="X372" s="230">
        <f>VLOOKUP(S372,'PREMIUM TABLES'!$F$199:$H$205,3,FALSE)</f>
        <v>2.5000000000000001E-2</v>
      </c>
      <c r="Y372" s="231">
        <f t="shared" si="53"/>
        <v>0.70000000000000007</v>
      </c>
      <c r="Z372" s="231" t="str" cm="1">
        <f t="array" ref="Z372">IF(AND(Y372&gt;0,Y372&lt;0.5),"C",IF(AND(Y372&gt;=0.5,Y372&lt;0.73),"B",IF(AND(Y372&gt;=0.73,Y372&lt;0.98),"A",NONE)))</f>
        <v>B</v>
      </c>
      <c r="AA372" s="231" t="str">
        <f>VLOOKUP(G372,'ALL (R)'!$N$5:$R$862,5,FALSE)</f>
        <v>R 9</v>
      </c>
      <c r="AB372" s="232">
        <f>VLOOKUP(AA372,FACTS!$B$2:$L$14,10,FALSE)</f>
        <v>53550</v>
      </c>
      <c r="AC372" s="232">
        <f>VLOOKUP(AA372,FACTS!$B$2:$L$14,11,FALSE)</f>
        <v>59850</v>
      </c>
      <c r="AD372" s="232">
        <f>VLOOKUP(AA372,FACTS!$B$2:$N$14,13,FALSE)</f>
        <v>6300</v>
      </c>
      <c r="AE372" s="232">
        <f t="shared" si="54"/>
        <v>4410</v>
      </c>
      <c r="AF372" s="232">
        <f t="shared" si="55"/>
        <v>57960</v>
      </c>
      <c r="AG372" s="232">
        <f>AF372*FACTS!$T$2</f>
        <v>19126.8</v>
      </c>
      <c r="AH372" s="232">
        <f>Table1[[#This Row],[UNIT (BUILDING) RATE (SEMI FINISHED)]]+4500</f>
        <v>62460</v>
      </c>
      <c r="AI372" s="232">
        <f>Table1[[#This Row],[UNIT (BUILDING) RATE (SEMI FINISHED)]]+7500</f>
        <v>65460</v>
      </c>
      <c r="AJ372" s="232">
        <f t="shared" si="56"/>
        <v>10027080</v>
      </c>
      <c r="AK372" s="232">
        <f>Table1[[#This Row],[UNIT (BUILDING) RATE (BASIC FINISH)]]*Table1[[#This Row],[Unit Selling Area]]</f>
        <v>10805580</v>
      </c>
      <c r="AL372" s="232">
        <f>Table1[[#This Row],[UNIT (BUILDING) RATE (FULLY FINISH)]]*Table1[[#This Row],[Unit Selling Area]]</f>
        <v>11324580</v>
      </c>
      <c r="AM372" s="232">
        <f t="shared" si="57"/>
        <v>0</v>
      </c>
      <c r="AN372" s="232">
        <f>(AM372+AJ372)*FACTS!$S$2</f>
        <v>852301.8</v>
      </c>
      <c r="AO372" s="101">
        <f>VLOOKUP(S372,FACTS!$A$17:$C$23,3,FALSE)</f>
        <v>2</v>
      </c>
      <c r="AP372" s="232">
        <f>VLOOKUP(AA372,FACTS!$B$2:$J$14,9,FALSE)</f>
        <v>252000</v>
      </c>
      <c r="AQ372" s="232">
        <f>Table1[[#This Row],[PARKING VALUE]]*1</f>
        <v>252000</v>
      </c>
      <c r="AR372" s="232">
        <f t="shared" si="52"/>
        <v>10279080</v>
      </c>
      <c r="AS372" s="440">
        <f>Table1[[#This Row],[TOTAL CARS VALUE]]+Table1[[#This Row],[UNIT (BUILDING) VALUE BASIC FINISHED]]+Table1[[#This Row],[UNIT (GARDEN) VALUE]]</f>
        <v>11057580</v>
      </c>
      <c r="AT372" s="232">
        <f>Table1[[#This Row],[TOTAL CARS VALUE]]+Table1[[#This Row],[UNIT (GARDEN) VALUE]]+Table1[[#This Row],[UNIT (BUILDING) VALUE FULLY FINISHED]]</f>
        <v>11576580</v>
      </c>
      <c r="AU372" s="233">
        <f>VLOOKUP(I372,'C PHASES'!$I$108:$J$110,2,FALSE)</f>
        <v>46204</v>
      </c>
      <c r="AV372" s="233">
        <f>VLOOKUP(AA372,'C PHASES'!$I$113:$J$125,2,FALSE)</f>
        <v>45931</v>
      </c>
    </row>
    <row r="373" spans="1:48" x14ac:dyDescent="0.25">
      <c r="A373" s="236"/>
      <c r="B373" s="227" t="str">
        <f t="shared" si="51"/>
        <v>B</v>
      </c>
      <c r="C373" s="227" t="s">
        <v>105</v>
      </c>
      <c r="D373" s="227" t="s">
        <v>1147</v>
      </c>
      <c r="E373" s="228">
        <v>4</v>
      </c>
      <c r="F373" s="101">
        <v>3</v>
      </c>
      <c r="G373" s="87" t="str">
        <f t="shared" si="59"/>
        <v>B1043</v>
      </c>
      <c r="H373" s="87" t="s">
        <v>1294</v>
      </c>
      <c r="I373" s="89" t="str">
        <f>VLOOKUP(C373,'PREMIUM TABLES'!$G$107:$H$149,2,FALSE)</f>
        <v>C2</v>
      </c>
      <c r="J373" s="89">
        <v>141.65899999999999</v>
      </c>
      <c r="K373" s="87">
        <v>158.85577661900135</v>
      </c>
      <c r="L373" s="87">
        <v>173</v>
      </c>
      <c r="M373" s="89"/>
      <c r="N373" s="89"/>
      <c r="O373" s="87" t="s">
        <v>185</v>
      </c>
      <c r="P373" s="87" t="s">
        <v>190</v>
      </c>
      <c r="Q373" s="229" t="s">
        <v>210</v>
      </c>
      <c r="R373" s="87" t="str">
        <f>VLOOKUP(E373,'PREMIUM TABLES'!$F$214:$G$219,2,FALSE)</f>
        <v>FORTH</v>
      </c>
      <c r="S373" s="87" t="str" cm="1">
        <f t="array" ref="S373">IF(AND(L373&gt;0,L373&lt;90),"A",IF(AND(L373&gt;90,L373&lt;123),"B",IF(AND(L373&gt;122,L373&lt;159),"C",IF(AND(L373&gt;159,L373&lt;185),"D",IF(AND(L373&gt;185,L373&lt;230),"E",IF(AND(L373&gt;230,L373&lt;350),"F",NONE))))))</f>
        <v>D</v>
      </c>
      <c r="T373" s="230">
        <f>VLOOKUP(O373,'PREMIUM TABLES'!$G$165:$H$172,2,FALSE)</f>
        <v>0.06</v>
      </c>
      <c r="U373" s="230">
        <f>VLOOKUP(P373,'PREMIUM TABLES'!$G$208:$H$209,2,FALSE)</f>
        <v>2.5000000000000001E-2</v>
      </c>
      <c r="V373" s="230">
        <f>VLOOKUP(Q373,'PREMIUM TABLES'!$G$175:$H$195,2,FALSE)</f>
        <v>0.53</v>
      </c>
      <c r="W373" s="230">
        <f>VLOOKUP(R373,'PREMIUM TABLES'!$G$214:$H$219,2,FALSE)</f>
        <v>0.06</v>
      </c>
      <c r="X373" s="230">
        <f>VLOOKUP(S373,'PREMIUM TABLES'!$F$199:$H$205,3,FALSE)</f>
        <v>2.5000000000000001E-2</v>
      </c>
      <c r="Y373" s="231">
        <f t="shared" si="53"/>
        <v>0.70000000000000007</v>
      </c>
      <c r="Z373" s="231" t="str" cm="1">
        <f t="array" ref="Z373">IF(AND(Y373&gt;0,Y373&lt;0.5),"C",IF(AND(Y373&gt;=0.5,Y373&lt;0.73),"B",IF(AND(Y373&gt;=0.73,Y373&lt;0.98),"A",NONE)))</f>
        <v>B</v>
      </c>
      <c r="AA373" s="231" t="str">
        <f>VLOOKUP(G373,'ALL (R)'!$N$5:$R$862,5,FALSE)</f>
        <v>R 9</v>
      </c>
      <c r="AB373" s="232">
        <f>VLOOKUP(AA373,FACTS!$B$2:$L$14,10,FALSE)</f>
        <v>53550</v>
      </c>
      <c r="AC373" s="232">
        <f>VLOOKUP(AA373,FACTS!$B$2:$L$14,11,FALSE)</f>
        <v>59850</v>
      </c>
      <c r="AD373" s="232">
        <f>VLOOKUP(AA373,FACTS!$B$2:$N$14,13,FALSE)</f>
        <v>6300</v>
      </c>
      <c r="AE373" s="232">
        <f t="shared" si="54"/>
        <v>4410</v>
      </c>
      <c r="AF373" s="232">
        <f t="shared" si="55"/>
        <v>57960</v>
      </c>
      <c r="AG373" s="232">
        <f>AF373*FACTS!$T$2</f>
        <v>19126.8</v>
      </c>
      <c r="AH373" s="232">
        <f>Table1[[#This Row],[UNIT (BUILDING) RATE (SEMI FINISHED)]]+4500</f>
        <v>62460</v>
      </c>
      <c r="AI373" s="232">
        <f>Table1[[#This Row],[UNIT (BUILDING) RATE (SEMI FINISHED)]]+7500</f>
        <v>65460</v>
      </c>
      <c r="AJ373" s="232">
        <f t="shared" si="56"/>
        <v>10027080</v>
      </c>
      <c r="AK373" s="232">
        <f>Table1[[#This Row],[UNIT (BUILDING) RATE (BASIC FINISH)]]*Table1[[#This Row],[Unit Selling Area]]</f>
        <v>10805580</v>
      </c>
      <c r="AL373" s="232">
        <f>Table1[[#This Row],[UNIT (BUILDING) RATE (FULLY FINISH)]]*Table1[[#This Row],[Unit Selling Area]]</f>
        <v>11324580</v>
      </c>
      <c r="AM373" s="232">
        <f t="shared" si="57"/>
        <v>0</v>
      </c>
      <c r="AN373" s="232">
        <f>(AM373+AJ373)*FACTS!$S$2</f>
        <v>852301.8</v>
      </c>
      <c r="AO373" s="101">
        <f>VLOOKUP(S373,FACTS!$A$17:$C$23,3,FALSE)</f>
        <v>2</v>
      </c>
      <c r="AP373" s="232">
        <f>VLOOKUP(AA373,FACTS!$B$2:$J$14,9,FALSE)</f>
        <v>252000</v>
      </c>
      <c r="AQ373" s="232">
        <f>Table1[[#This Row],[PARKING VALUE]]*1</f>
        <v>252000</v>
      </c>
      <c r="AR373" s="232">
        <f t="shared" si="52"/>
        <v>10279080</v>
      </c>
      <c r="AS373" s="440">
        <f>Table1[[#This Row],[TOTAL CARS VALUE]]+Table1[[#This Row],[UNIT (BUILDING) VALUE BASIC FINISHED]]+Table1[[#This Row],[UNIT (GARDEN) VALUE]]</f>
        <v>11057580</v>
      </c>
      <c r="AT373" s="232">
        <f>Table1[[#This Row],[TOTAL CARS VALUE]]+Table1[[#This Row],[UNIT (GARDEN) VALUE]]+Table1[[#This Row],[UNIT (BUILDING) VALUE FULLY FINISHED]]</f>
        <v>11576580</v>
      </c>
      <c r="AU373" s="233">
        <f>VLOOKUP(I373,'C PHASES'!$I$108:$J$110,2,FALSE)</f>
        <v>46204</v>
      </c>
      <c r="AV373" s="233">
        <f>VLOOKUP(AA373,'C PHASES'!$I$113:$J$125,2,FALSE)</f>
        <v>45931</v>
      </c>
    </row>
    <row r="374" spans="1:48" x14ac:dyDescent="0.25">
      <c r="A374" s="236"/>
      <c r="B374" s="227" t="str">
        <f t="shared" si="51"/>
        <v>B</v>
      </c>
      <c r="C374" s="227" t="s">
        <v>105</v>
      </c>
      <c r="D374" s="227" t="s">
        <v>1147</v>
      </c>
      <c r="E374" s="228">
        <v>4</v>
      </c>
      <c r="F374" s="101">
        <v>4</v>
      </c>
      <c r="G374" s="87" t="str">
        <f t="shared" si="59"/>
        <v>B1044</v>
      </c>
      <c r="H374" s="87" t="s">
        <v>1294</v>
      </c>
      <c r="I374" s="89" t="str">
        <f>VLOOKUP(C374,'PREMIUM TABLES'!$G$107:$H$149,2,FALSE)</f>
        <v>C2</v>
      </c>
      <c r="J374" s="89">
        <v>139.31659999999999</v>
      </c>
      <c r="K374" s="87">
        <v>156.22901960989958</v>
      </c>
      <c r="L374" s="87">
        <v>170</v>
      </c>
      <c r="M374" s="89"/>
      <c r="N374" s="89"/>
      <c r="O374" s="87" t="s">
        <v>184</v>
      </c>
      <c r="P374" s="87" t="s">
        <v>190</v>
      </c>
      <c r="Q374" s="229" t="s">
        <v>193</v>
      </c>
      <c r="R374" s="87" t="str">
        <f>VLOOKUP(E374,'PREMIUM TABLES'!$F$214:$G$219,2,FALSE)</f>
        <v>FORTH</v>
      </c>
      <c r="S374" s="87" t="str" cm="1">
        <f t="array" ref="S374">IF(AND(L374&gt;0,L374&lt;90),"A",IF(AND(L374&gt;90,L374&lt;123),"B",IF(AND(L374&gt;122,L374&lt;159),"C",IF(AND(L374&gt;159,L374&lt;185),"D",IF(AND(L374&gt;185,L374&lt;230),"E",IF(AND(L374&gt;230,L374&lt;350),"F",NONE))))))</f>
        <v>D</v>
      </c>
      <c r="T374" s="230">
        <f>VLOOKUP(O374,'PREMIUM TABLES'!$G$165:$H$172,2,FALSE)</f>
        <v>0.15</v>
      </c>
      <c r="U374" s="230">
        <f>VLOOKUP(P374,'PREMIUM TABLES'!$G$208:$H$209,2,FALSE)</f>
        <v>2.5000000000000001E-2</v>
      </c>
      <c r="V374" s="230">
        <f>VLOOKUP(Q374,'PREMIUM TABLES'!$G$175:$H$195,2,FALSE)</f>
        <v>0.3</v>
      </c>
      <c r="W374" s="230">
        <f>VLOOKUP(R374,'PREMIUM TABLES'!$G$214:$H$219,2,FALSE)</f>
        <v>0.06</v>
      </c>
      <c r="X374" s="230">
        <f>VLOOKUP(S374,'PREMIUM TABLES'!$F$199:$H$205,3,FALSE)</f>
        <v>2.5000000000000001E-2</v>
      </c>
      <c r="Y374" s="231">
        <f t="shared" si="53"/>
        <v>0.55999999999999994</v>
      </c>
      <c r="Z374" s="231" t="str" cm="1">
        <f t="array" ref="Z374">IF(AND(Y374&gt;0,Y374&lt;0.5),"C",IF(AND(Y374&gt;=0.5,Y374&lt;0.73),"B",IF(AND(Y374&gt;=0.73,Y374&lt;0.98),"A",NONE)))</f>
        <v>B</v>
      </c>
      <c r="AA374" s="231" t="str">
        <f>VLOOKUP(G374,'ALL (R)'!$N$5:$R$862,5,FALSE)</f>
        <v>R 1</v>
      </c>
      <c r="AB374" s="232">
        <f>VLOOKUP(AA374,FACTS!$B$2:$L$14,10,FALSE)</f>
        <v>42500</v>
      </c>
      <c r="AC374" s="232">
        <f>VLOOKUP(AA374,FACTS!$B$2:$L$14,11,FALSE)</f>
        <v>47500</v>
      </c>
      <c r="AD374" s="232">
        <f>VLOOKUP(AA374,FACTS!$B$2:$N$14,13,FALSE)</f>
        <v>5000</v>
      </c>
      <c r="AE374" s="232">
        <f t="shared" si="54"/>
        <v>2799.9999999999995</v>
      </c>
      <c r="AF374" s="232">
        <f t="shared" si="55"/>
        <v>45300</v>
      </c>
      <c r="AG374" s="232">
        <f>AF374*FACTS!$T$2</f>
        <v>14949</v>
      </c>
      <c r="AH374" s="232">
        <f>Table1[[#This Row],[UNIT (BUILDING) RATE (SEMI FINISHED)]]+4500</f>
        <v>49800</v>
      </c>
      <c r="AI374" s="232">
        <f>Table1[[#This Row],[UNIT (BUILDING) RATE (SEMI FINISHED)]]+7500</f>
        <v>52800</v>
      </c>
      <c r="AJ374" s="232">
        <f t="shared" si="56"/>
        <v>7701000</v>
      </c>
      <c r="AK374" s="232">
        <f>Table1[[#This Row],[UNIT (BUILDING) RATE (BASIC FINISH)]]*Table1[[#This Row],[Unit Selling Area]]</f>
        <v>8466000</v>
      </c>
      <c r="AL374" s="232">
        <f>Table1[[#This Row],[UNIT (BUILDING) RATE (FULLY FINISH)]]*Table1[[#This Row],[Unit Selling Area]]</f>
        <v>8976000</v>
      </c>
      <c r="AM374" s="232">
        <f t="shared" si="57"/>
        <v>0</v>
      </c>
      <c r="AN374" s="232">
        <f>(AM374+AJ374)*FACTS!$S$2</f>
        <v>654585</v>
      </c>
      <c r="AO374" s="101">
        <f>VLOOKUP(S374,FACTS!$A$17:$C$23,3,FALSE)</f>
        <v>2</v>
      </c>
      <c r="AP374" s="232">
        <f>VLOOKUP(AA374,FACTS!$B$2:$J$14,9,FALSE)</f>
        <v>200000</v>
      </c>
      <c r="AQ374" s="232">
        <f>Table1[[#This Row],[PARKING VALUE]]*1</f>
        <v>200000</v>
      </c>
      <c r="AR374" s="232">
        <f t="shared" si="52"/>
        <v>7901000</v>
      </c>
      <c r="AS374" s="440">
        <f>Table1[[#This Row],[TOTAL CARS VALUE]]+Table1[[#This Row],[UNIT (BUILDING) VALUE BASIC FINISHED]]+Table1[[#This Row],[UNIT (GARDEN) VALUE]]</f>
        <v>8666000</v>
      </c>
      <c r="AT374" s="232">
        <f>Table1[[#This Row],[TOTAL CARS VALUE]]+Table1[[#This Row],[UNIT (GARDEN) VALUE]]+Table1[[#This Row],[UNIT (BUILDING) VALUE FULLY FINISHED]]</f>
        <v>9176000</v>
      </c>
      <c r="AU374" s="233">
        <f>VLOOKUP(I374,'C PHASES'!$I$108:$J$110,2,FALSE)</f>
        <v>46204</v>
      </c>
      <c r="AV374" s="233">
        <f>VLOOKUP(AA374,'C PHASES'!$I$113:$J$125,2,FALSE)</f>
        <v>45170</v>
      </c>
    </row>
    <row r="375" spans="1:48" ht="22.5" x14ac:dyDescent="0.25">
      <c r="A375" s="236" t="s">
        <v>33</v>
      </c>
      <c r="B375" s="227" t="str">
        <f t="shared" si="51"/>
        <v>B</v>
      </c>
      <c r="C375" s="227" t="s">
        <v>67</v>
      </c>
      <c r="D375" s="227" t="s">
        <v>1147</v>
      </c>
      <c r="E375" s="228">
        <v>0</v>
      </c>
      <c r="F375" s="101">
        <v>1</v>
      </c>
      <c r="G375" s="87" t="str">
        <f>LEFT(C375,3)&amp;E375&amp;F375</f>
        <v>B1101</v>
      </c>
      <c r="H375" s="87" t="s">
        <v>1294</v>
      </c>
      <c r="I375" s="89" t="str">
        <f>VLOOKUP(C375,'PREMIUM TABLES'!$G$107:$H$149,2,FALSE)</f>
        <v>C2</v>
      </c>
      <c r="J375" s="89">
        <v>144.66300000000001</v>
      </c>
      <c r="K375" s="87">
        <v>160.29970969584483</v>
      </c>
      <c r="L375" s="87">
        <v>176</v>
      </c>
      <c r="M375" s="87">
        <v>50.369199999999999</v>
      </c>
      <c r="O375" s="87" t="s">
        <v>184</v>
      </c>
      <c r="P375" s="87" t="s">
        <v>226</v>
      </c>
      <c r="Q375" s="229" t="s">
        <v>212</v>
      </c>
      <c r="R375" s="87" t="str">
        <f>VLOOKUP(E375,'PREMIUM TABLES'!$F$214:$G$219,2,FALSE)</f>
        <v>GROUND</v>
      </c>
      <c r="S375" s="87" t="str" cm="1">
        <f t="array" ref="S375">IF(AND(L375&gt;0,L375&lt;90),"A",IF(AND(L375&gt;90,L375&lt;123),"B",IF(AND(L375&gt;122,L375&lt;159),"C",IF(AND(L375&gt;159,L375&lt;185),"D",IF(AND(L375&gt;185,L375&lt;230),"E",IF(AND(L375&gt;230,L375&lt;350),"F",NONE))))))</f>
        <v>D</v>
      </c>
      <c r="T375" s="230">
        <f>VLOOKUP(O375,'PREMIUM TABLES'!$G$165:$H$172,2,FALSE)</f>
        <v>0.15</v>
      </c>
      <c r="U375" s="230">
        <f>VLOOKUP(P375,'PREMIUM TABLES'!$G$208:$H$209,2,FALSE)</f>
        <v>0.05</v>
      </c>
      <c r="V375" s="230">
        <f>VLOOKUP(Q375,'PREMIUM TABLES'!$G$175:$H$195,2,FALSE)</f>
        <v>0.43</v>
      </c>
      <c r="W375" s="230">
        <f>VLOOKUP(R375,'PREMIUM TABLES'!$G$214:$H$219,2,FALSE)</f>
        <v>0.05</v>
      </c>
      <c r="X375" s="230">
        <f>VLOOKUP(S375,'PREMIUM TABLES'!$F$199:$H$205,3,FALSE)</f>
        <v>2.5000000000000001E-2</v>
      </c>
      <c r="Y375" s="231">
        <f t="shared" si="53"/>
        <v>0.70500000000000007</v>
      </c>
      <c r="Z375" s="231" t="str" cm="1">
        <f t="array" ref="Z375">IF(AND(Y375&gt;0,Y375&lt;0.5),"C",IF(AND(Y375&gt;=0.5,Y375&lt;0.73),"B",IF(AND(Y375&gt;=0.73,Y375&lt;0.98),"A",NONE)))</f>
        <v>B</v>
      </c>
      <c r="AA375" s="231" t="str">
        <f>VLOOKUP(G375,'ALL (R)'!$N$5:$R$862,5,FALSE)</f>
        <v>R 10</v>
      </c>
      <c r="AB375" s="232">
        <f>VLOOKUP(AA375,FACTS!$B$2:$L$14,10,FALSE)</f>
        <v>56100</v>
      </c>
      <c r="AC375" s="232">
        <f>VLOOKUP(AA375,FACTS!$B$2:$L$14,11,FALSE)</f>
        <v>62700</v>
      </c>
      <c r="AD375" s="232">
        <f>VLOOKUP(AA375,FACTS!$B$2:$N$14,13,FALSE)</f>
        <v>6600</v>
      </c>
      <c r="AE375" s="232">
        <f t="shared" si="54"/>
        <v>4653.0000000000009</v>
      </c>
      <c r="AF375" s="232">
        <f t="shared" si="55"/>
        <v>60753</v>
      </c>
      <c r="AG375" s="232">
        <f>AF375*FACTS!$T$2</f>
        <v>20048.490000000002</v>
      </c>
      <c r="AH375" s="232">
        <f>Table1[[#This Row],[UNIT (BUILDING) RATE (SEMI FINISHED)]]+4500</f>
        <v>65253</v>
      </c>
      <c r="AI375" s="232">
        <f>Table1[[#This Row],[UNIT (BUILDING) RATE (SEMI FINISHED)]]+7500</f>
        <v>68253</v>
      </c>
      <c r="AJ375" s="232">
        <f t="shared" si="56"/>
        <v>10692528</v>
      </c>
      <c r="AK375" s="232">
        <f>Table1[[#This Row],[UNIT (BUILDING) RATE (BASIC FINISH)]]*Table1[[#This Row],[Unit Selling Area]]</f>
        <v>11484528</v>
      </c>
      <c r="AL375" s="232">
        <f>Table1[[#This Row],[UNIT (BUILDING) RATE (FULLY FINISH)]]*Table1[[#This Row],[Unit Selling Area]]</f>
        <v>12012528</v>
      </c>
      <c r="AM375" s="232">
        <f t="shared" si="57"/>
        <v>1009826.402508</v>
      </c>
      <c r="AN375" s="232">
        <f>(AM375+AJ375)*FACTS!$S$2</f>
        <v>994700.12421318004</v>
      </c>
      <c r="AO375" s="101">
        <f>VLOOKUP(S375,FACTS!$A$17:$C$23,3,FALSE)</f>
        <v>2</v>
      </c>
      <c r="AP375" s="232">
        <f>VLOOKUP(AA375,FACTS!$B$2:$J$14,9,FALSE)</f>
        <v>264000</v>
      </c>
      <c r="AQ375" s="232">
        <f>Table1[[#This Row],[PARKING VALUE]]*1</f>
        <v>264000</v>
      </c>
      <c r="AR375" s="232">
        <f t="shared" si="52"/>
        <v>11966354.402508</v>
      </c>
      <c r="AS375" s="440">
        <f>Table1[[#This Row],[TOTAL CARS VALUE]]+Table1[[#This Row],[UNIT (BUILDING) VALUE BASIC FINISHED]]+Table1[[#This Row],[UNIT (GARDEN) VALUE]]</f>
        <v>12758354.402508</v>
      </c>
      <c r="AT375" s="232">
        <f>Table1[[#This Row],[TOTAL CARS VALUE]]+Table1[[#This Row],[UNIT (GARDEN) VALUE]]+Table1[[#This Row],[UNIT (BUILDING) VALUE FULLY FINISHED]]</f>
        <v>13286354.402508</v>
      </c>
      <c r="AU375" s="233">
        <f>VLOOKUP(I375,'C PHASES'!$I$108:$J$110,2,FALSE)</f>
        <v>46204</v>
      </c>
      <c r="AV375" s="233">
        <f>VLOOKUP(AA375,'C PHASES'!$I$113:$J$125,2,FALSE)</f>
        <v>46023</v>
      </c>
    </row>
    <row r="376" spans="1:48" x14ac:dyDescent="0.25">
      <c r="A376" s="236"/>
      <c r="B376" s="227" t="str">
        <f t="shared" si="51"/>
        <v>B</v>
      </c>
      <c r="C376" s="227" t="s">
        <v>67</v>
      </c>
      <c r="D376" s="227" t="s">
        <v>1147</v>
      </c>
      <c r="E376" s="228">
        <v>0</v>
      </c>
      <c r="F376" s="101">
        <v>2</v>
      </c>
      <c r="G376" s="87" t="str">
        <f t="shared" ref="G376:G394" si="60">LEFT(C376,3)&amp;E376&amp;F376</f>
        <v>B1102</v>
      </c>
      <c r="H376" s="87" t="s">
        <v>1295</v>
      </c>
      <c r="I376" s="89" t="str">
        <f>VLOOKUP(C376,'PREMIUM TABLES'!$G$107:$H$149,2,FALSE)</f>
        <v>C2</v>
      </c>
      <c r="J376" s="89">
        <v>183.887</v>
      </c>
      <c r="K376" s="87">
        <v>203.76345518093646</v>
      </c>
      <c r="L376" s="87">
        <v>224</v>
      </c>
      <c r="M376" s="87">
        <v>61.522199999999998</v>
      </c>
      <c r="O376" s="87" t="s">
        <v>185</v>
      </c>
      <c r="P376" s="87" t="s">
        <v>226</v>
      </c>
      <c r="Q376" s="229" t="s">
        <v>210</v>
      </c>
      <c r="R376" s="87" t="str">
        <f>VLOOKUP(E376,'PREMIUM TABLES'!$F$214:$G$219,2,FALSE)</f>
        <v>GROUND</v>
      </c>
      <c r="S376" s="87" t="str" cm="1">
        <f t="array" ref="S376">IF(AND(L376&gt;0,L376&lt;90),"A",IF(AND(L376&gt;90,L376&lt;123),"B",IF(AND(L376&gt;122,L376&lt;159),"C",IF(AND(L376&gt;159,L376&lt;185),"D",IF(AND(L376&gt;185,L376&lt;230),"E",IF(AND(L376&gt;230,L376&lt;350),"F",NONE))))))</f>
        <v>E</v>
      </c>
      <c r="T376" s="230">
        <f>VLOOKUP(O376,'PREMIUM TABLES'!$G$165:$H$172,2,FALSE)</f>
        <v>0.06</v>
      </c>
      <c r="U376" s="230">
        <f>VLOOKUP(P376,'PREMIUM TABLES'!$G$208:$H$209,2,FALSE)</f>
        <v>0.05</v>
      </c>
      <c r="V376" s="230">
        <f>VLOOKUP(Q376,'PREMIUM TABLES'!$G$175:$H$195,2,FALSE)</f>
        <v>0.53</v>
      </c>
      <c r="W376" s="230">
        <f>VLOOKUP(R376,'PREMIUM TABLES'!$G$214:$H$219,2,FALSE)</f>
        <v>0.05</v>
      </c>
      <c r="X376" s="230">
        <f>VLOOKUP(S376,'PREMIUM TABLES'!$F$199:$H$205,3,FALSE)</f>
        <v>1.4999999999999999E-2</v>
      </c>
      <c r="Y376" s="231">
        <f t="shared" si="53"/>
        <v>0.70500000000000007</v>
      </c>
      <c r="Z376" s="231" t="str" cm="1">
        <f t="array" ref="Z376">IF(AND(Y376&gt;0,Y376&lt;0.5),"C",IF(AND(Y376&gt;=0.5,Y376&lt;0.73),"B",IF(AND(Y376&gt;=0.73,Y376&lt;0.98),"A",NONE)))</f>
        <v>B</v>
      </c>
      <c r="AA376" s="231" t="str">
        <f>VLOOKUP(G376,'ALL (R)'!$N$5:$R$862,5,FALSE)</f>
        <v>R 10</v>
      </c>
      <c r="AB376" s="232">
        <f>VLOOKUP(AA376,FACTS!$B$2:$L$14,10,FALSE)</f>
        <v>56100</v>
      </c>
      <c r="AC376" s="232">
        <f>VLOOKUP(AA376,FACTS!$B$2:$L$14,11,FALSE)</f>
        <v>62700</v>
      </c>
      <c r="AD376" s="232">
        <f>VLOOKUP(AA376,FACTS!$B$2:$N$14,13,FALSE)</f>
        <v>6600</v>
      </c>
      <c r="AE376" s="232">
        <f t="shared" si="54"/>
        <v>4653.0000000000009</v>
      </c>
      <c r="AF376" s="232">
        <f t="shared" si="55"/>
        <v>60753</v>
      </c>
      <c r="AG376" s="232">
        <f>AF376*FACTS!$T$2</f>
        <v>20048.490000000002</v>
      </c>
      <c r="AH376" s="232">
        <f>Table1[[#This Row],[UNIT (BUILDING) RATE (SEMI FINISHED)]]+4500</f>
        <v>65253</v>
      </c>
      <c r="AI376" s="232">
        <f>Table1[[#This Row],[UNIT (BUILDING) RATE (SEMI FINISHED)]]+7500</f>
        <v>68253</v>
      </c>
      <c r="AJ376" s="232">
        <f t="shared" si="56"/>
        <v>13608672</v>
      </c>
      <c r="AK376" s="232">
        <f>Table1[[#This Row],[UNIT (BUILDING) RATE (BASIC FINISH)]]*Table1[[#This Row],[Unit Selling Area]]</f>
        <v>14616672</v>
      </c>
      <c r="AL376" s="232">
        <f>Table1[[#This Row],[UNIT (BUILDING) RATE (FULLY FINISH)]]*Table1[[#This Row],[Unit Selling Area]]</f>
        <v>15288672</v>
      </c>
      <c r="AM376" s="232">
        <f t="shared" si="57"/>
        <v>1233427.211478</v>
      </c>
      <c r="AN376" s="232">
        <f>(AM376+AJ376)*FACTS!$S$2</f>
        <v>1261578.43297563</v>
      </c>
      <c r="AO376" s="101">
        <f>VLOOKUP(S376,FACTS!$A$17:$C$23,3,FALSE)</f>
        <v>2</v>
      </c>
      <c r="AP376" s="232">
        <f>VLOOKUP(AA376,FACTS!$B$2:$J$14,9,FALSE)</f>
        <v>264000</v>
      </c>
      <c r="AQ376" s="232">
        <f>Table1[[#This Row],[PARKING VALUE]]*1</f>
        <v>264000</v>
      </c>
      <c r="AR376" s="232">
        <f t="shared" si="52"/>
        <v>15106099.211478001</v>
      </c>
      <c r="AS376" s="440">
        <f>Table1[[#This Row],[TOTAL CARS VALUE]]+Table1[[#This Row],[UNIT (BUILDING) VALUE BASIC FINISHED]]+Table1[[#This Row],[UNIT (GARDEN) VALUE]]</f>
        <v>16114099.211478001</v>
      </c>
      <c r="AT376" s="232">
        <f>Table1[[#This Row],[TOTAL CARS VALUE]]+Table1[[#This Row],[UNIT (GARDEN) VALUE]]+Table1[[#This Row],[UNIT (BUILDING) VALUE FULLY FINISHED]]</f>
        <v>16786099.211477999</v>
      </c>
      <c r="AU376" s="233">
        <f>VLOOKUP(I376,'C PHASES'!$I$108:$J$110,2,FALSE)</f>
        <v>46204</v>
      </c>
      <c r="AV376" s="233">
        <f>VLOOKUP(AA376,'C PHASES'!$I$113:$J$125,2,FALSE)</f>
        <v>46023</v>
      </c>
    </row>
    <row r="377" spans="1:48" x14ac:dyDescent="0.25">
      <c r="A377" s="236"/>
      <c r="B377" s="227" t="str">
        <f t="shared" si="51"/>
        <v>B</v>
      </c>
      <c r="C377" s="227" t="s">
        <v>67</v>
      </c>
      <c r="D377" s="227" t="s">
        <v>1147</v>
      </c>
      <c r="E377" s="228">
        <v>0</v>
      </c>
      <c r="F377" s="101">
        <v>3</v>
      </c>
      <c r="G377" s="87" t="str">
        <f t="shared" si="60"/>
        <v>B1103</v>
      </c>
      <c r="H377" s="87" t="s">
        <v>1294</v>
      </c>
      <c r="I377" s="89" t="str">
        <f>VLOOKUP(C377,'PREMIUM TABLES'!$G$107:$H$149,2,FALSE)</f>
        <v>C2</v>
      </c>
      <c r="J377" s="89">
        <v>162.78100000000001</v>
      </c>
      <c r="K377" s="87">
        <v>180.37609508996297</v>
      </c>
      <c r="L377" s="87">
        <v>199</v>
      </c>
      <c r="M377" s="87">
        <v>77.576999999999998</v>
      </c>
      <c r="O377" s="87" t="s">
        <v>185</v>
      </c>
      <c r="P377" s="87" t="s">
        <v>190</v>
      </c>
      <c r="Q377" s="229" t="s">
        <v>210</v>
      </c>
      <c r="R377" s="87" t="str">
        <f>VLOOKUP(E377,'PREMIUM TABLES'!$F$214:$G$219,2,FALSE)</f>
        <v>GROUND</v>
      </c>
      <c r="S377" s="87" t="str" cm="1">
        <f t="array" ref="S377">IF(AND(L377&gt;0,L377&lt;90),"A",IF(AND(L377&gt;90,L377&lt;123),"B",IF(AND(L377&gt;122,L377&lt;159),"C",IF(AND(L377&gt;159,L377&lt;185),"D",IF(AND(L377&gt;185,L377&lt;230),"E",IF(AND(L377&gt;230,L377&lt;350),"F",NONE))))))</f>
        <v>E</v>
      </c>
      <c r="T377" s="230">
        <f>VLOOKUP(O377,'PREMIUM TABLES'!$G$165:$H$172,2,FALSE)</f>
        <v>0.06</v>
      </c>
      <c r="U377" s="230">
        <f>VLOOKUP(P377,'PREMIUM TABLES'!$G$208:$H$209,2,FALSE)</f>
        <v>2.5000000000000001E-2</v>
      </c>
      <c r="V377" s="230">
        <f>VLOOKUP(Q377,'PREMIUM TABLES'!$G$175:$H$195,2,FALSE)</f>
        <v>0.53</v>
      </c>
      <c r="W377" s="230">
        <f>VLOOKUP(R377,'PREMIUM TABLES'!$G$214:$H$219,2,FALSE)</f>
        <v>0.05</v>
      </c>
      <c r="X377" s="230">
        <f>VLOOKUP(S377,'PREMIUM TABLES'!$F$199:$H$205,3,FALSE)</f>
        <v>1.4999999999999999E-2</v>
      </c>
      <c r="Y377" s="231">
        <f t="shared" si="53"/>
        <v>0.68</v>
      </c>
      <c r="Z377" s="231" t="str" cm="1">
        <f t="array" ref="Z377">IF(AND(Y377&gt;0,Y377&lt;0.5),"C",IF(AND(Y377&gt;=0.5,Y377&lt;0.73),"B",IF(AND(Y377&gt;=0.73,Y377&lt;0.98),"A",NONE)))</f>
        <v>B</v>
      </c>
      <c r="AA377" s="231" t="str">
        <f>VLOOKUP(G377,'ALL (R)'!$N$5:$R$862,5,FALSE)</f>
        <v>R 7</v>
      </c>
      <c r="AB377" s="232">
        <f>VLOOKUP(AA377,FACTS!$B$2:$L$14,10,FALSE)</f>
        <v>50150</v>
      </c>
      <c r="AC377" s="232">
        <f>VLOOKUP(AA377,FACTS!$B$2:$L$14,11,FALSE)</f>
        <v>56050</v>
      </c>
      <c r="AD377" s="232">
        <f>VLOOKUP(AA377,FACTS!$B$2:$N$14,13,FALSE)</f>
        <v>5900</v>
      </c>
      <c r="AE377" s="232">
        <f t="shared" si="54"/>
        <v>4012.0000000000005</v>
      </c>
      <c r="AF377" s="232">
        <f t="shared" si="55"/>
        <v>54162</v>
      </c>
      <c r="AG377" s="232">
        <f>AF377*FACTS!$T$2</f>
        <v>17873.46</v>
      </c>
      <c r="AH377" s="232">
        <f>Table1[[#This Row],[UNIT (BUILDING) RATE (SEMI FINISHED)]]+4500</f>
        <v>58662</v>
      </c>
      <c r="AI377" s="232">
        <f>Table1[[#This Row],[UNIT (BUILDING) RATE (SEMI FINISHED)]]+7500</f>
        <v>61662</v>
      </c>
      <c r="AJ377" s="232">
        <f t="shared" si="56"/>
        <v>10778238</v>
      </c>
      <c r="AK377" s="232">
        <f>Table1[[#This Row],[UNIT (BUILDING) RATE (BASIC FINISH)]]*Table1[[#This Row],[Unit Selling Area]]</f>
        <v>11673738</v>
      </c>
      <c r="AL377" s="232">
        <f>Table1[[#This Row],[UNIT (BUILDING) RATE (FULLY FINISH)]]*Table1[[#This Row],[Unit Selling Area]]</f>
        <v>12270738</v>
      </c>
      <c r="AM377" s="232">
        <f t="shared" si="57"/>
        <v>1386569.4064199999</v>
      </c>
      <c r="AN377" s="232">
        <f>(AM377+AJ377)*FACTS!$S$2</f>
        <v>1034008.6295457</v>
      </c>
      <c r="AO377" s="101">
        <f>VLOOKUP(S377,FACTS!$A$17:$C$23,3,FALSE)</f>
        <v>2</v>
      </c>
      <c r="AP377" s="232">
        <f>VLOOKUP(AA377,FACTS!$B$2:$J$14,9,FALSE)</f>
        <v>236000</v>
      </c>
      <c r="AQ377" s="232">
        <f>Table1[[#This Row],[PARKING VALUE]]*1</f>
        <v>236000</v>
      </c>
      <c r="AR377" s="232">
        <f t="shared" si="52"/>
        <v>12400807.40642</v>
      </c>
      <c r="AS377" s="440">
        <f>Table1[[#This Row],[TOTAL CARS VALUE]]+Table1[[#This Row],[UNIT (BUILDING) VALUE BASIC FINISHED]]+Table1[[#This Row],[UNIT (GARDEN) VALUE]]</f>
        <v>13296307.40642</v>
      </c>
      <c r="AT377" s="232">
        <f>Table1[[#This Row],[TOTAL CARS VALUE]]+Table1[[#This Row],[UNIT (GARDEN) VALUE]]+Table1[[#This Row],[UNIT (BUILDING) VALUE FULLY FINISHED]]</f>
        <v>13893307.40642</v>
      </c>
      <c r="AU377" s="233">
        <f>VLOOKUP(I377,'C PHASES'!$I$108:$J$110,2,FALSE)</f>
        <v>46204</v>
      </c>
      <c r="AV377" s="233">
        <f>VLOOKUP(AA377,'C PHASES'!$I$113:$J$125,2,FALSE)</f>
        <v>45748</v>
      </c>
    </row>
    <row r="378" spans="1:48" x14ac:dyDescent="0.25">
      <c r="A378" s="236"/>
      <c r="B378" s="227" t="str">
        <f t="shared" si="51"/>
        <v>B</v>
      </c>
      <c r="C378" s="227" t="s">
        <v>67</v>
      </c>
      <c r="D378" s="227" t="s">
        <v>1147</v>
      </c>
      <c r="E378" s="228">
        <v>0</v>
      </c>
      <c r="F378" s="101">
        <v>4</v>
      </c>
      <c r="G378" s="87" t="str">
        <f t="shared" si="60"/>
        <v>B1104</v>
      </c>
      <c r="H378" s="87" t="s">
        <v>1293</v>
      </c>
      <c r="I378" s="89" t="str">
        <f>VLOOKUP(C378,'PREMIUM TABLES'!$G$107:$H$149,2,FALSE)</f>
        <v>C2</v>
      </c>
      <c r="J378" s="89">
        <v>95.213999999999999</v>
      </c>
      <c r="K378" s="87">
        <v>105.50573788031609</v>
      </c>
      <c r="L378" s="87">
        <v>116</v>
      </c>
      <c r="M378" s="87">
        <v>41.666899999999998</v>
      </c>
      <c r="O378" s="87" t="s">
        <v>184</v>
      </c>
      <c r="P378" s="87" t="s">
        <v>190</v>
      </c>
      <c r="Q378" s="229" t="s">
        <v>230</v>
      </c>
      <c r="R378" s="87" t="str">
        <f>VLOOKUP(E378,'PREMIUM TABLES'!$F$214:$G$219,2,FALSE)</f>
        <v>GROUND</v>
      </c>
      <c r="S378" s="87" t="str" cm="1">
        <f t="array" ref="S378">IF(AND(L378&gt;0,L378&lt;90),"A",IF(AND(L378&gt;90,L378&lt;123),"B",IF(AND(L378&gt;122,L378&lt;159),"C",IF(AND(L378&gt;159,L378&lt;185),"D",IF(AND(L378&gt;185,L378&lt;230),"E",IF(AND(L378&gt;230,L378&lt;350),"F",NONE))))))</f>
        <v>B</v>
      </c>
      <c r="T378" s="230">
        <f>VLOOKUP(O378,'PREMIUM TABLES'!$G$165:$H$172,2,FALSE)</f>
        <v>0.15</v>
      </c>
      <c r="U378" s="230">
        <f>VLOOKUP(P378,'PREMIUM TABLES'!$G$208:$H$209,2,FALSE)</f>
        <v>2.5000000000000001E-2</v>
      </c>
      <c r="V378" s="230">
        <f>VLOOKUP(Q378,'PREMIUM TABLES'!$G$175:$H$195,2,FALSE)</f>
        <v>0.32250000000000001</v>
      </c>
      <c r="W378" s="230">
        <f>VLOOKUP(R378,'PREMIUM TABLES'!$G$214:$H$219,2,FALSE)</f>
        <v>0.05</v>
      </c>
      <c r="X378" s="230">
        <f>VLOOKUP(S378,'PREMIUM TABLES'!$F$199:$H$205,3,FALSE)</f>
        <v>0.04</v>
      </c>
      <c r="Y378" s="231">
        <f t="shared" si="53"/>
        <v>0.58750000000000002</v>
      </c>
      <c r="Z378" s="231" t="str" cm="1">
        <f t="array" ref="Z378">IF(AND(Y378&gt;0,Y378&lt;0.5),"C",IF(AND(Y378&gt;=0.5,Y378&lt;0.73),"B",IF(AND(Y378&gt;=0.73,Y378&lt;0.98),"A",NONE)))</f>
        <v>B</v>
      </c>
      <c r="AA378" s="231" t="str">
        <f>VLOOKUP(G378,'ALL (R)'!$N$5:$R$862,5,FALSE)</f>
        <v>R 2</v>
      </c>
      <c r="AB378" s="232">
        <f>VLOOKUP(AA378,FACTS!$B$2:$L$14,10,FALSE)</f>
        <v>43562.499999999993</v>
      </c>
      <c r="AC378" s="232">
        <f>VLOOKUP(AA378,FACTS!$B$2:$L$14,11,FALSE)</f>
        <v>48687.499999999993</v>
      </c>
      <c r="AD378" s="232">
        <f>VLOOKUP(AA378,FACTS!$B$2:$N$14,13,FALSE)</f>
        <v>5125</v>
      </c>
      <c r="AE378" s="232">
        <f t="shared" si="54"/>
        <v>3010.9375</v>
      </c>
      <c r="AF378" s="232">
        <f t="shared" si="55"/>
        <v>46573.437499999993</v>
      </c>
      <c r="AG378" s="232">
        <f>AF378*FACTS!$T$2</f>
        <v>15369.234374999998</v>
      </c>
      <c r="AH378" s="232">
        <f>Table1[[#This Row],[UNIT (BUILDING) RATE (SEMI FINISHED)]]+4500</f>
        <v>51073.437499999993</v>
      </c>
      <c r="AI378" s="232">
        <f>Table1[[#This Row],[UNIT (BUILDING) RATE (SEMI FINISHED)]]+7500</f>
        <v>54073.437499999993</v>
      </c>
      <c r="AJ378" s="232">
        <f t="shared" si="56"/>
        <v>5402518.7499999991</v>
      </c>
      <c r="AK378" s="232">
        <f>Table1[[#This Row],[UNIT (BUILDING) RATE (BASIC FINISH)]]*Table1[[#This Row],[Unit Selling Area]]</f>
        <v>5924518.7499999991</v>
      </c>
      <c r="AL378" s="232">
        <f>Table1[[#This Row],[UNIT (BUILDING) RATE (FULLY FINISH)]]*Table1[[#This Row],[Unit Selling Area]]</f>
        <v>6272518.7499999991</v>
      </c>
      <c r="AM378" s="232">
        <f t="shared" si="57"/>
        <v>640388.35177968745</v>
      </c>
      <c r="AN378" s="232">
        <f>(AM378+AJ378)*FACTS!$S$2</f>
        <v>513647.10365127336</v>
      </c>
      <c r="AO378" s="101">
        <f>VLOOKUP(S378,FACTS!$A$17:$C$23,3,FALSE)</f>
        <v>1</v>
      </c>
      <c r="AP378" s="232">
        <f>VLOOKUP(AA378,FACTS!$B$2:$J$14,9,FALSE)</f>
        <v>204999.99999999997</v>
      </c>
      <c r="AQ378" s="232">
        <f>Table1[[#This Row],[PARKING VALUE]]*1</f>
        <v>204999.99999999997</v>
      </c>
      <c r="AR378" s="232">
        <f t="shared" si="52"/>
        <v>6247907.1017796863</v>
      </c>
      <c r="AS378" s="440">
        <f>Table1[[#This Row],[TOTAL CARS VALUE]]+Table1[[#This Row],[UNIT (BUILDING) VALUE BASIC FINISHED]]+Table1[[#This Row],[UNIT (GARDEN) VALUE]]</f>
        <v>6769907.1017796863</v>
      </c>
      <c r="AT378" s="232">
        <f>Table1[[#This Row],[TOTAL CARS VALUE]]+Table1[[#This Row],[UNIT (GARDEN) VALUE]]+Table1[[#This Row],[UNIT (BUILDING) VALUE FULLY FINISHED]]</f>
        <v>7117907.1017796863</v>
      </c>
      <c r="AU378" s="233">
        <f>VLOOKUP(I378,'C PHASES'!$I$108:$J$110,2,FALSE)</f>
        <v>46204</v>
      </c>
      <c r="AV378" s="233">
        <f>VLOOKUP(AA378,'C PHASES'!$I$113:$J$125,2,FALSE)</f>
        <v>45292</v>
      </c>
    </row>
    <row r="379" spans="1:48" x14ac:dyDescent="0.25">
      <c r="A379" s="236"/>
      <c r="B379" s="227" t="str">
        <f t="shared" si="51"/>
        <v>B</v>
      </c>
      <c r="C379" s="227" t="s">
        <v>67</v>
      </c>
      <c r="D379" s="227" t="s">
        <v>1147</v>
      </c>
      <c r="E379" s="228">
        <v>1</v>
      </c>
      <c r="F379" s="101">
        <v>1</v>
      </c>
      <c r="G379" s="87" t="str">
        <f t="shared" si="60"/>
        <v>B1111</v>
      </c>
      <c r="H379" s="87" t="s">
        <v>1294</v>
      </c>
      <c r="I379" s="89" t="str">
        <f>VLOOKUP(C379,'PREMIUM TABLES'!$G$107:$H$149,2,FALSE)</f>
        <v>C2</v>
      </c>
      <c r="J379" s="89">
        <v>141.66300000000001</v>
      </c>
      <c r="K379" s="87">
        <v>156.9754379118535</v>
      </c>
      <c r="L379" s="87">
        <v>173</v>
      </c>
      <c r="M379" s="89"/>
      <c r="N379" s="89"/>
      <c r="O379" s="87" t="s">
        <v>184</v>
      </c>
      <c r="P379" s="87" t="s">
        <v>226</v>
      </c>
      <c r="Q379" s="229" t="s">
        <v>212</v>
      </c>
      <c r="R379" s="87" t="str">
        <f>VLOOKUP(E379,'PREMIUM TABLES'!$F$214:$G$219,2,FALSE)</f>
        <v>FIRST</v>
      </c>
      <c r="S379" s="87" t="str" cm="1">
        <f t="array" ref="S379">IF(AND(L379&gt;0,L379&lt;90),"A",IF(AND(L379&gt;90,L379&lt;123),"B",IF(AND(L379&gt;122,L379&lt;159),"C",IF(AND(L379&gt;159,L379&lt;185),"D",IF(AND(L379&gt;185,L379&lt;230),"E",IF(AND(L379&gt;230,L379&lt;350),"F",NONE))))))</f>
        <v>D</v>
      </c>
      <c r="T379" s="230">
        <f>VLOOKUP(O379,'PREMIUM TABLES'!$G$165:$H$172,2,FALSE)</f>
        <v>0.15</v>
      </c>
      <c r="U379" s="230">
        <f>VLOOKUP(P379,'PREMIUM TABLES'!$G$208:$H$209,2,FALSE)</f>
        <v>0.05</v>
      </c>
      <c r="V379" s="230">
        <f>VLOOKUP(Q379,'PREMIUM TABLES'!$G$175:$H$195,2,FALSE)</f>
        <v>0.43</v>
      </c>
      <c r="W379" s="230">
        <f>VLOOKUP(R379,'PREMIUM TABLES'!$G$214:$H$219,2,FALSE)</f>
        <v>7.0000000000000007E-2</v>
      </c>
      <c r="X379" s="230">
        <f>VLOOKUP(S379,'PREMIUM TABLES'!$F$199:$H$205,3,FALSE)</f>
        <v>2.5000000000000001E-2</v>
      </c>
      <c r="Y379" s="231">
        <f t="shared" si="53"/>
        <v>0.72499999999999998</v>
      </c>
      <c r="Z379" s="231" t="str" cm="1">
        <f t="array" ref="Z379">IF(AND(Y379&gt;0,Y379&lt;0.5),"C",IF(AND(Y379&gt;=0.5,Y379&lt;0.73),"B",IF(AND(Y379&gt;=0.73,Y379&lt;0.98),"A",NONE)))</f>
        <v>B</v>
      </c>
      <c r="AA379" s="231" t="str">
        <f>VLOOKUP(G379,'ALL (R)'!$N$5:$R$862,5,FALSE)</f>
        <v>R 12</v>
      </c>
      <c r="AB379" s="232">
        <f>VLOOKUP(AA379,FACTS!$B$2:$L$14,10,FALSE)</f>
        <v>61625</v>
      </c>
      <c r="AC379" s="232">
        <f>VLOOKUP(AA379,FACTS!$B$2:$L$14,11,FALSE)</f>
        <v>68875</v>
      </c>
      <c r="AD379" s="232">
        <f>VLOOKUP(AA379,FACTS!$B$2:$N$14,13,FALSE)</f>
        <v>7250</v>
      </c>
      <c r="AE379" s="232">
        <f t="shared" si="54"/>
        <v>5256.25</v>
      </c>
      <c r="AF379" s="232">
        <f t="shared" si="55"/>
        <v>66881.25</v>
      </c>
      <c r="AG379" s="232">
        <f>AF379*FACTS!$T$2</f>
        <v>22070.8125</v>
      </c>
      <c r="AH379" s="232">
        <f>Table1[[#This Row],[UNIT (BUILDING) RATE (SEMI FINISHED)]]+4500</f>
        <v>71381.25</v>
      </c>
      <c r="AI379" s="232">
        <f>Table1[[#This Row],[UNIT (BUILDING) RATE (SEMI FINISHED)]]+7500</f>
        <v>74381.25</v>
      </c>
      <c r="AJ379" s="232">
        <f t="shared" si="56"/>
        <v>11570456.25</v>
      </c>
      <c r="AK379" s="232">
        <f>Table1[[#This Row],[UNIT (BUILDING) RATE (BASIC FINISH)]]*Table1[[#This Row],[Unit Selling Area]]</f>
        <v>12348956.25</v>
      </c>
      <c r="AL379" s="232">
        <f>Table1[[#This Row],[UNIT (BUILDING) RATE (FULLY FINISH)]]*Table1[[#This Row],[Unit Selling Area]]</f>
        <v>12867956.25</v>
      </c>
      <c r="AM379" s="232">
        <f t="shared" si="57"/>
        <v>0</v>
      </c>
      <c r="AN379" s="232">
        <f>(AM379+AJ379)*FACTS!$S$2</f>
        <v>983488.78125000012</v>
      </c>
      <c r="AO379" s="101">
        <f>VLOOKUP(S379,FACTS!$A$17:$C$23,3,FALSE)</f>
        <v>2</v>
      </c>
      <c r="AP379" s="232">
        <f>VLOOKUP(AA379,FACTS!$B$2:$J$14,9,FALSE)</f>
        <v>290000</v>
      </c>
      <c r="AQ379" s="232">
        <f>Table1[[#This Row],[PARKING VALUE]]*1</f>
        <v>290000</v>
      </c>
      <c r="AR379" s="232">
        <f t="shared" si="52"/>
        <v>11860456.25</v>
      </c>
      <c r="AS379" s="440">
        <f>Table1[[#This Row],[TOTAL CARS VALUE]]+Table1[[#This Row],[UNIT (BUILDING) VALUE BASIC FINISHED]]+Table1[[#This Row],[UNIT (GARDEN) VALUE]]</f>
        <v>12638956.25</v>
      </c>
      <c r="AT379" s="232">
        <f>Table1[[#This Row],[TOTAL CARS VALUE]]+Table1[[#This Row],[UNIT (GARDEN) VALUE]]+Table1[[#This Row],[UNIT (BUILDING) VALUE FULLY FINISHED]]</f>
        <v>13157956.25</v>
      </c>
      <c r="AU379" s="233">
        <f>VLOOKUP(I379,'C PHASES'!$I$108:$J$110,2,FALSE)</f>
        <v>46204</v>
      </c>
      <c r="AV379" s="233">
        <f>VLOOKUP(AA379,'C PHASES'!$I$113:$J$125,2,FALSE)</f>
        <v>46204</v>
      </c>
    </row>
    <row r="380" spans="1:48" x14ac:dyDescent="0.25">
      <c r="A380" s="236"/>
      <c r="B380" s="227" t="str">
        <f t="shared" si="51"/>
        <v>B</v>
      </c>
      <c r="C380" s="227" t="s">
        <v>67</v>
      </c>
      <c r="D380" s="227" t="s">
        <v>1147</v>
      </c>
      <c r="E380" s="228">
        <v>1</v>
      </c>
      <c r="F380" s="101">
        <v>2</v>
      </c>
      <c r="G380" s="87" t="str">
        <f t="shared" si="60"/>
        <v>B1112</v>
      </c>
      <c r="H380" s="87" t="s">
        <v>1295</v>
      </c>
      <c r="I380" s="89" t="str">
        <f>VLOOKUP(C380,'PREMIUM TABLES'!$G$107:$H$149,2,FALSE)</f>
        <v>C2</v>
      </c>
      <c r="J380" s="89">
        <v>183.637</v>
      </c>
      <c r="K380" s="87">
        <v>203.48643253227053</v>
      </c>
      <c r="L380" s="87">
        <v>224</v>
      </c>
      <c r="M380" s="89"/>
      <c r="N380" s="89"/>
      <c r="O380" s="87" t="s">
        <v>185</v>
      </c>
      <c r="P380" s="87" t="s">
        <v>226</v>
      </c>
      <c r="Q380" s="229" t="s">
        <v>210</v>
      </c>
      <c r="R380" s="87" t="str">
        <f>VLOOKUP(E380,'PREMIUM TABLES'!$F$214:$G$219,2,FALSE)</f>
        <v>FIRST</v>
      </c>
      <c r="S380" s="87" t="str" cm="1">
        <f t="array" ref="S380">IF(AND(L380&gt;0,L380&lt;90),"A",IF(AND(L380&gt;90,L380&lt;123),"B",IF(AND(L380&gt;122,L380&lt;159),"C",IF(AND(L380&gt;159,L380&lt;185),"D",IF(AND(L380&gt;185,L380&lt;230),"E",IF(AND(L380&gt;230,L380&lt;350),"F",NONE))))))</f>
        <v>E</v>
      </c>
      <c r="T380" s="230">
        <f>VLOOKUP(O380,'PREMIUM TABLES'!$G$165:$H$172,2,FALSE)</f>
        <v>0.06</v>
      </c>
      <c r="U380" s="230">
        <f>VLOOKUP(P380,'PREMIUM TABLES'!$G$208:$H$209,2,FALSE)</f>
        <v>0.05</v>
      </c>
      <c r="V380" s="230">
        <f>VLOOKUP(Q380,'PREMIUM TABLES'!$G$175:$H$195,2,FALSE)</f>
        <v>0.53</v>
      </c>
      <c r="W380" s="230">
        <f>VLOOKUP(R380,'PREMIUM TABLES'!$G$214:$H$219,2,FALSE)</f>
        <v>7.0000000000000007E-2</v>
      </c>
      <c r="X380" s="230">
        <f>VLOOKUP(S380,'PREMIUM TABLES'!$F$199:$H$205,3,FALSE)</f>
        <v>1.4999999999999999E-2</v>
      </c>
      <c r="Y380" s="231">
        <f t="shared" si="53"/>
        <v>0.72499999999999998</v>
      </c>
      <c r="Z380" s="231" t="str" cm="1">
        <f t="array" ref="Z380">IF(AND(Y380&gt;0,Y380&lt;0.5),"C",IF(AND(Y380&gt;=0.5,Y380&lt;0.73),"B",IF(AND(Y380&gt;=0.73,Y380&lt;0.98),"A",NONE)))</f>
        <v>B</v>
      </c>
      <c r="AA380" s="231" t="str">
        <f>VLOOKUP(G380,'ALL (R)'!$N$5:$R$862,5,FALSE)</f>
        <v>R 12</v>
      </c>
      <c r="AB380" s="232">
        <f>VLOOKUP(AA380,FACTS!$B$2:$L$14,10,FALSE)</f>
        <v>61625</v>
      </c>
      <c r="AC380" s="232">
        <f>VLOOKUP(AA380,FACTS!$B$2:$L$14,11,FALSE)</f>
        <v>68875</v>
      </c>
      <c r="AD380" s="232">
        <f>VLOOKUP(AA380,FACTS!$B$2:$N$14,13,FALSE)</f>
        <v>7250</v>
      </c>
      <c r="AE380" s="232">
        <f t="shared" si="54"/>
        <v>5256.25</v>
      </c>
      <c r="AF380" s="232">
        <f t="shared" si="55"/>
        <v>66881.25</v>
      </c>
      <c r="AG380" s="232">
        <f>AF380*FACTS!$T$2</f>
        <v>22070.8125</v>
      </c>
      <c r="AH380" s="232">
        <f>Table1[[#This Row],[UNIT (BUILDING) RATE (SEMI FINISHED)]]+4500</f>
        <v>71381.25</v>
      </c>
      <c r="AI380" s="232">
        <f>Table1[[#This Row],[UNIT (BUILDING) RATE (SEMI FINISHED)]]+7500</f>
        <v>74381.25</v>
      </c>
      <c r="AJ380" s="232">
        <f t="shared" si="56"/>
        <v>14981400</v>
      </c>
      <c r="AK380" s="232">
        <f>Table1[[#This Row],[UNIT (BUILDING) RATE (BASIC FINISH)]]*Table1[[#This Row],[Unit Selling Area]]</f>
        <v>15989400</v>
      </c>
      <c r="AL380" s="232">
        <f>Table1[[#This Row],[UNIT (BUILDING) RATE (FULLY FINISH)]]*Table1[[#This Row],[Unit Selling Area]]</f>
        <v>16661400</v>
      </c>
      <c r="AM380" s="232">
        <f t="shared" si="57"/>
        <v>0</v>
      </c>
      <c r="AN380" s="232">
        <f>(AM380+AJ380)*FACTS!$S$2</f>
        <v>1273419</v>
      </c>
      <c r="AO380" s="101">
        <f>VLOOKUP(S380,FACTS!$A$17:$C$23,3,FALSE)</f>
        <v>2</v>
      </c>
      <c r="AP380" s="232">
        <f>VLOOKUP(AA380,FACTS!$B$2:$J$14,9,FALSE)</f>
        <v>290000</v>
      </c>
      <c r="AQ380" s="232">
        <f>Table1[[#This Row],[PARKING VALUE]]*1</f>
        <v>290000</v>
      </c>
      <c r="AR380" s="232">
        <f t="shared" si="52"/>
        <v>15271400</v>
      </c>
      <c r="AS380" s="440">
        <f>Table1[[#This Row],[TOTAL CARS VALUE]]+Table1[[#This Row],[UNIT (BUILDING) VALUE BASIC FINISHED]]+Table1[[#This Row],[UNIT (GARDEN) VALUE]]</f>
        <v>16279400</v>
      </c>
      <c r="AT380" s="232">
        <f>Table1[[#This Row],[TOTAL CARS VALUE]]+Table1[[#This Row],[UNIT (GARDEN) VALUE]]+Table1[[#This Row],[UNIT (BUILDING) VALUE FULLY FINISHED]]</f>
        <v>16951400</v>
      </c>
      <c r="AU380" s="233">
        <f>VLOOKUP(I380,'C PHASES'!$I$108:$J$110,2,FALSE)</f>
        <v>46204</v>
      </c>
      <c r="AV380" s="233">
        <f>VLOOKUP(AA380,'C PHASES'!$I$113:$J$125,2,FALSE)</f>
        <v>46204</v>
      </c>
    </row>
    <row r="381" spans="1:48" x14ac:dyDescent="0.25">
      <c r="A381" s="236"/>
      <c r="B381" s="227" t="str">
        <f t="shared" si="51"/>
        <v>B</v>
      </c>
      <c r="C381" s="227" t="s">
        <v>67</v>
      </c>
      <c r="D381" s="227" t="s">
        <v>1147</v>
      </c>
      <c r="E381" s="228">
        <v>1</v>
      </c>
      <c r="F381" s="101">
        <v>3</v>
      </c>
      <c r="G381" s="87" t="str">
        <f t="shared" si="60"/>
        <v>B1113</v>
      </c>
      <c r="H381" s="87" t="s">
        <v>1294</v>
      </c>
      <c r="I381" s="89" t="str">
        <f>VLOOKUP(C381,'PREMIUM TABLES'!$G$107:$H$149,2,FALSE)</f>
        <v>C2</v>
      </c>
      <c r="J381" s="89">
        <v>162.53100000000001</v>
      </c>
      <c r="K381" s="87">
        <v>180.09907244129704</v>
      </c>
      <c r="L381" s="87">
        <v>198</v>
      </c>
      <c r="M381" s="89"/>
      <c r="N381" s="89"/>
      <c r="O381" s="87" t="s">
        <v>185</v>
      </c>
      <c r="P381" s="87" t="s">
        <v>190</v>
      </c>
      <c r="Q381" s="229" t="s">
        <v>210</v>
      </c>
      <c r="R381" s="87" t="str">
        <f>VLOOKUP(E381,'PREMIUM TABLES'!$F$214:$G$219,2,FALSE)</f>
        <v>FIRST</v>
      </c>
      <c r="S381" s="87" t="str" cm="1">
        <f t="array" ref="S381">IF(AND(L381&gt;0,L381&lt;90),"A",IF(AND(L381&gt;90,L381&lt;123),"B",IF(AND(L381&gt;122,L381&lt;159),"C",IF(AND(L381&gt;159,L381&lt;185),"D",IF(AND(L381&gt;185,L381&lt;230),"E",IF(AND(L381&gt;230,L381&lt;350),"F",NONE))))))</f>
        <v>E</v>
      </c>
      <c r="T381" s="230">
        <f>VLOOKUP(O381,'PREMIUM TABLES'!$G$165:$H$172,2,FALSE)</f>
        <v>0.06</v>
      </c>
      <c r="U381" s="230">
        <f>VLOOKUP(P381,'PREMIUM TABLES'!$G$208:$H$209,2,FALSE)</f>
        <v>2.5000000000000001E-2</v>
      </c>
      <c r="V381" s="230">
        <f>VLOOKUP(Q381,'PREMIUM TABLES'!$G$175:$H$195,2,FALSE)</f>
        <v>0.53</v>
      </c>
      <c r="W381" s="230">
        <f>VLOOKUP(R381,'PREMIUM TABLES'!$G$214:$H$219,2,FALSE)</f>
        <v>7.0000000000000007E-2</v>
      </c>
      <c r="X381" s="230">
        <f>VLOOKUP(S381,'PREMIUM TABLES'!$F$199:$H$205,3,FALSE)</f>
        <v>1.4999999999999999E-2</v>
      </c>
      <c r="Y381" s="231">
        <f t="shared" si="53"/>
        <v>0.70000000000000007</v>
      </c>
      <c r="Z381" s="231" t="str" cm="1">
        <f t="array" ref="Z381">IF(AND(Y381&gt;0,Y381&lt;0.5),"C",IF(AND(Y381&gt;=0.5,Y381&lt;0.73),"B",IF(AND(Y381&gt;=0.73,Y381&lt;0.98),"A",NONE)))</f>
        <v>B</v>
      </c>
      <c r="AA381" s="231" t="str">
        <f>VLOOKUP(G381,'ALL (R)'!$N$5:$R$862,5,FALSE)</f>
        <v>R 9</v>
      </c>
      <c r="AB381" s="232">
        <f>VLOOKUP(AA381,FACTS!$B$2:$L$14,10,FALSE)</f>
        <v>53550</v>
      </c>
      <c r="AC381" s="232">
        <f>VLOOKUP(AA381,FACTS!$B$2:$L$14,11,FALSE)</f>
        <v>59850</v>
      </c>
      <c r="AD381" s="232">
        <f>VLOOKUP(AA381,FACTS!$B$2:$N$14,13,FALSE)</f>
        <v>6300</v>
      </c>
      <c r="AE381" s="232">
        <f t="shared" si="54"/>
        <v>4410</v>
      </c>
      <c r="AF381" s="232">
        <f t="shared" si="55"/>
        <v>57960</v>
      </c>
      <c r="AG381" s="232">
        <f>AF381*FACTS!$T$2</f>
        <v>19126.8</v>
      </c>
      <c r="AH381" s="232">
        <f>Table1[[#This Row],[UNIT (BUILDING) RATE (SEMI FINISHED)]]+4500</f>
        <v>62460</v>
      </c>
      <c r="AI381" s="232">
        <f>Table1[[#This Row],[UNIT (BUILDING) RATE (SEMI FINISHED)]]+7500</f>
        <v>65460</v>
      </c>
      <c r="AJ381" s="232">
        <f t="shared" si="56"/>
        <v>11476080</v>
      </c>
      <c r="AK381" s="232">
        <f>Table1[[#This Row],[UNIT (BUILDING) RATE (BASIC FINISH)]]*Table1[[#This Row],[Unit Selling Area]]</f>
        <v>12367080</v>
      </c>
      <c r="AL381" s="232">
        <f>Table1[[#This Row],[UNIT (BUILDING) RATE (FULLY FINISH)]]*Table1[[#This Row],[Unit Selling Area]]</f>
        <v>12961080</v>
      </c>
      <c r="AM381" s="232">
        <f t="shared" si="57"/>
        <v>0</v>
      </c>
      <c r="AN381" s="232">
        <f>(AM381+AJ381)*FACTS!$S$2</f>
        <v>975466.8</v>
      </c>
      <c r="AO381" s="101">
        <f>VLOOKUP(S381,FACTS!$A$17:$C$23,3,FALSE)</f>
        <v>2</v>
      </c>
      <c r="AP381" s="232">
        <f>VLOOKUP(AA381,FACTS!$B$2:$J$14,9,FALSE)</f>
        <v>252000</v>
      </c>
      <c r="AQ381" s="232">
        <f>Table1[[#This Row],[PARKING VALUE]]*1</f>
        <v>252000</v>
      </c>
      <c r="AR381" s="232">
        <f t="shared" si="52"/>
        <v>11728080</v>
      </c>
      <c r="AS381" s="440">
        <f>Table1[[#This Row],[TOTAL CARS VALUE]]+Table1[[#This Row],[UNIT (BUILDING) VALUE BASIC FINISHED]]+Table1[[#This Row],[UNIT (GARDEN) VALUE]]</f>
        <v>12619080</v>
      </c>
      <c r="AT381" s="232">
        <f>Table1[[#This Row],[TOTAL CARS VALUE]]+Table1[[#This Row],[UNIT (GARDEN) VALUE]]+Table1[[#This Row],[UNIT (BUILDING) VALUE FULLY FINISHED]]</f>
        <v>13213080</v>
      </c>
      <c r="AU381" s="233">
        <f>VLOOKUP(I381,'C PHASES'!$I$108:$J$110,2,FALSE)</f>
        <v>46204</v>
      </c>
      <c r="AV381" s="233">
        <f>VLOOKUP(AA381,'C PHASES'!$I$113:$J$125,2,FALSE)</f>
        <v>45931</v>
      </c>
    </row>
    <row r="382" spans="1:48" x14ac:dyDescent="0.25">
      <c r="A382" s="236"/>
      <c r="B382" s="227" t="str">
        <f t="shared" si="51"/>
        <v>B</v>
      </c>
      <c r="C382" s="227" t="s">
        <v>67</v>
      </c>
      <c r="D382" s="227" t="s">
        <v>1147</v>
      </c>
      <c r="E382" s="228">
        <v>1</v>
      </c>
      <c r="F382" s="101">
        <v>4</v>
      </c>
      <c r="G382" s="87" t="str">
        <f t="shared" si="60"/>
        <v>B1114</v>
      </c>
      <c r="H382" s="87" t="s">
        <v>1293</v>
      </c>
      <c r="I382" s="89" t="str">
        <f>VLOOKUP(C382,'PREMIUM TABLES'!$G$107:$H$149,2,FALSE)</f>
        <v>C2</v>
      </c>
      <c r="J382" s="89">
        <v>96.271000000000001</v>
      </c>
      <c r="K382" s="87">
        <v>106.6769896388757</v>
      </c>
      <c r="L382" s="87">
        <v>117</v>
      </c>
      <c r="M382" s="89"/>
      <c r="N382" s="89"/>
      <c r="O382" s="87" t="s">
        <v>184</v>
      </c>
      <c r="P382" s="87" t="s">
        <v>190</v>
      </c>
      <c r="Q382" s="229" t="s">
        <v>230</v>
      </c>
      <c r="R382" s="87" t="str">
        <f>VLOOKUP(E382,'PREMIUM TABLES'!$F$214:$G$219,2,FALSE)</f>
        <v>FIRST</v>
      </c>
      <c r="S382" s="87" t="str" cm="1">
        <f t="array" ref="S382">IF(AND(L382&gt;0,L382&lt;90),"A",IF(AND(L382&gt;90,L382&lt;123),"B",IF(AND(L382&gt;122,L382&lt;159),"C",IF(AND(L382&gt;159,L382&lt;185),"D",IF(AND(L382&gt;185,L382&lt;230),"E",IF(AND(L382&gt;230,L382&lt;350),"F",NONE))))))</f>
        <v>B</v>
      </c>
      <c r="T382" s="230">
        <f>VLOOKUP(O382,'PREMIUM TABLES'!$G$165:$H$172,2,FALSE)</f>
        <v>0.15</v>
      </c>
      <c r="U382" s="230">
        <f>VLOOKUP(P382,'PREMIUM TABLES'!$G$208:$H$209,2,FALSE)</f>
        <v>2.5000000000000001E-2</v>
      </c>
      <c r="V382" s="230">
        <f>VLOOKUP(Q382,'PREMIUM TABLES'!$G$175:$H$195,2,FALSE)</f>
        <v>0.32250000000000001</v>
      </c>
      <c r="W382" s="230">
        <f>VLOOKUP(R382,'PREMIUM TABLES'!$G$214:$H$219,2,FALSE)</f>
        <v>7.0000000000000007E-2</v>
      </c>
      <c r="X382" s="230">
        <f>VLOOKUP(S382,'PREMIUM TABLES'!$F$199:$H$205,3,FALSE)</f>
        <v>0.04</v>
      </c>
      <c r="Y382" s="231">
        <f t="shared" si="53"/>
        <v>0.60750000000000004</v>
      </c>
      <c r="Z382" s="231" t="str" cm="1">
        <f t="array" ref="Z382">IF(AND(Y382&gt;0,Y382&lt;0.5),"C",IF(AND(Y382&gt;=0.5,Y382&lt;0.73),"B",IF(AND(Y382&gt;=0.73,Y382&lt;0.98),"A",NONE)))</f>
        <v>B</v>
      </c>
      <c r="AA382" s="231" t="str">
        <f>VLOOKUP(G382,'ALL (R)'!$N$5:$R$862,5,FALSE)</f>
        <v>R 2</v>
      </c>
      <c r="AB382" s="232">
        <f>VLOOKUP(AA382,FACTS!$B$2:$L$14,10,FALSE)</f>
        <v>43562.499999999993</v>
      </c>
      <c r="AC382" s="232">
        <f>VLOOKUP(AA382,FACTS!$B$2:$L$14,11,FALSE)</f>
        <v>48687.499999999993</v>
      </c>
      <c r="AD382" s="232">
        <f>VLOOKUP(AA382,FACTS!$B$2:$N$14,13,FALSE)</f>
        <v>5125</v>
      </c>
      <c r="AE382" s="232">
        <f t="shared" si="54"/>
        <v>3113.4375</v>
      </c>
      <c r="AF382" s="232">
        <f t="shared" si="55"/>
        <v>46675.937499999993</v>
      </c>
      <c r="AG382" s="232">
        <f>AF382*FACTS!$T$2</f>
        <v>15403.059374999999</v>
      </c>
      <c r="AH382" s="232">
        <f>Table1[[#This Row],[UNIT (BUILDING) RATE (SEMI FINISHED)]]+4500</f>
        <v>51175.937499999993</v>
      </c>
      <c r="AI382" s="232">
        <f>Table1[[#This Row],[UNIT (BUILDING) RATE (SEMI FINISHED)]]+7500</f>
        <v>54175.937499999993</v>
      </c>
      <c r="AJ382" s="232">
        <f t="shared" si="56"/>
        <v>5461084.6874999991</v>
      </c>
      <c r="AK382" s="232">
        <f>Table1[[#This Row],[UNIT (BUILDING) RATE (BASIC FINISH)]]*Table1[[#This Row],[Unit Selling Area]]</f>
        <v>5987584.6874999991</v>
      </c>
      <c r="AL382" s="232">
        <f>Table1[[#This Row],[UNIT (BUILDING) RATE (FULLY FINISH)]]*Table1[[#This Row],[Unit Selling Area]]</f>
        <v>6338584.6874999991</v>
      </c>
      <c r="AM382" s="232">
        <f t="shared" si="57"/>
        <v>0</v>
      </c>
      <c r="AN382" s="232">
        <f>(AM382+AJ382)*FACTS!$S$2</f>
        <v>464192.19843749993</v>
      </c>
      <c r="AO382" s="101">
        <f>VLOOKUP(S382,FACTS!$A$17:$C$23,3,FALSE)</f>
        <v>1</v>
      </c>
      <c r="AP382" s="232">
        <f>VLOOKUP(AA382,FACTS!$B$2:$J$14,9,FALSE)</f>
        <v>204999.99999999997</v>
      </c>
      <c r="AQ382" s="232">
        <f>Table1[[#This Row],[PARKING VALUE]]*1</f>
        <v>204999.99999999997</v>
      </c>
      <c r="AR382" s="232">
        <f t="shared" si="52"/>
        <v>5666084.6874999991</v>
      </c>
      <c r="AS382" s="440">
        <f>Table1[[#This Row],[TOTAL CARS VALUE]]+Table1[[#This Row],[UNIT (BUILDING) VALUE BASIC FINISHED]]+Table1[[#This Row],[UNIT (GARDEN) VALUE]]</f>
        <v>6192584.6874999991</v>
      </c>
      <c r="AT382" s="232">
        <f>Table1[[#This Row],[TOTAL CARS VALUE]]+Table1[[#This Row],[UNIT (GARDEN) VALUE]]+Table1[[#This Row],[UNIT (BUILDING) VALUE FULLY FINISHED]]</f>
        <v>6543584.6874999991</v>
      </c>
      <c r="AU382" s="233">
        <f>VLOOKUP(I382,'C PHASES'!$I$108:$J$110,2,FALSE)</f>
        <v>46204</v>
      </c>
      <c r="AV382" s="233">
        <f>VLOOKUP(AA382,'C PHASES'!$I$113:$J$125,2,FALSE)</f>
        <v>45292</v>
      </c>
    </row>
    <row r="383" spans="1:48" x14ac:dyDescent="0.25">
      <c r="A383" s="236"/>
      <c r="B383" s="227" t="str">
        <f t="shared" si="51"/>
        <v>B</v>
      </c>
      <c r="C383" s="227" t="s">
        <v>67</v>
      </c>
      <c r="D383" s="227" t="s">
        <v>1147</v>
      </c>
      <c r="E383" s="228">
        <v>2</v>
      </c>
      <c r="F383" s="101">
        <v>1</v>
      </c>
      <c r="G383" s="87" t="str">
        <f t="shared" si="60"/>
        <v>B1121</v>
      </c>
      <c r="H383" s="87" t="s">
        <v>1294</v>
      </c>
      <c r="I383" s="89" t="str">
        <f>VLOOKUP(C383,'PREMIUM TABLES'!$G$107:$H$149,2,FALSE)</f>
        <v>C2</v>
      </c>
      <c r="J383" s="89">
        <v>143.989</v>
      </c>
      <c r="K383" s="87">
        <v>159.55285663504142</v>
      </c>
      <c r="L383" s="87">
        <v>176</v>
      </c>
      <c r="M383" s="89"/>
      <c r="N383" s="89"/>
      <c r="O383" s="87" t="s">
        <v>184</v>
      </c>
      <c r="P383" s="87" t="s">
        <v>226</v>
      </c>
      <c r="Q383" s="229" t="s">
        <v>212</v>
      </c>
      <c r="R383" s="87" t="str">
        <f>VLOOKUP(E383,'PREMIUM TABLES'!$F$214:$G$219,2,FALSE)</f>
        <v>SECOND</v>
      </c>
      <c r="S383" s="87" t="str" cm="1">
        <f t="array" ref="S383">IF(AND(L383&gt;0,L383&lt;90),"A",IF(AND(L383&gt;90,L383&lt;123),"B",IF(AND(L383&gt;122,L383&lt;159),"C",IF(AND(L383&gt;159,L383&lt;185),"D",IF(AND(L383&gt;185,L383&lt;230),"E",IF(AND(L383&gt;230,L383&lt;350),"F",NONE))))))</f>
        <v>D</v>
      </c>
      <c r="T383" s="230">
        <f>VLOOKUP(O383,'PREMIUM TABLES'!$G$165:$H$172,2,FALSE)</f>
        <v>0.15</v>
      </c>
      <c r="U383" s="230">
        <f>VLOOKUP(P383,'PREMIUM TABLES'!$G$208:$H$209,2,FALSE)</f>
        <v>0.05</v>
      </c>
      <c r="V383" s="230">
        <f>VLOOKUP(Q383,'PREMIUM TABLES'!$G$175:$H$195,2,FALSE)</f>
        <v>0.43</v>
      </c>
      <c r="W383" s="230">
        <f>VLOOKUP(R383,'PREMIUM TABLES'!$G$214:$H$219,2,FALSE)</f>
        <v>0.11</v>
      </c>
      <c r="X383" s="230">
        <f>VLOOKUP(S383,'PREMIUM TABLES'!$F$199:$H$205,3,FALSE)</f>
        <v>2.5000000000000001E-2</v>
      </c>
      <c r="Y383" s="231">
        <f t="shared" si="53"/>
        <v>0.76500000000000001</v>
      </c>
      <c r="Z383" s="231" t="str" cm="1">
        <f t="array" ref="Z383">IF(AND(Y383&gt;0,Y383&lt;0.5),"C",IF(AND(Y383&gt;=0.5,Y383&lt;0.73),"B",IF(AND(Y383&gt;=0.73,Y383&lt;0.98),"A",NONE)))</f>
        <v>A</v>
      </c>
      <c r="AA383" s="231" t="str">
        <f>VLOOKUP(G383,'ALL (R)'!$N$5:$R$862,5,FALSE)</f>
        <v>R 3</v>
      </c>
      <c r="AB383" s="232">
        <f>VLOOKUP(AA383,FACTS!$B$2:$L$14,10,FALSE)</f>
        <v>44625</v>
      </c>
      <c r="AC383" s="232">
        <f>VLOOKUP(AA383,FACTS!$B$2:$L$14,11,FALSE)</f>
        <v>49875</v>
      </c>
      <c r="AD383" s="232">
        <f>VLOOKUP(AA383,FACTS!$B$2:$N$14,13,FALSE)</f>
        <v>5250</v>
      </c>
      <c r="AE383" s="232">
        <f t="shared" si="54"/>
        <v>4016.25</v>
      </c>
      <c r="AF383" s="232">
        <f t="shared" si="55"/>
        <v>48641.25</v>
      </c>
      <c r="AG383" s="232">
        <f>AF383*FACTS!$T$2</f>
        <v>16051.612500000001</v>
      </c>
      <c r="AH383" s="232">
        <f>Table1[[#This Row],[UNIT (BUILDING) RATE (SEMI FINISHED)]]+4500</f>
        <v>53141.25</v>
      </c>
      <c r="AI383" s="232">
        <f>Table1[[#This Row],[UNIT (BUILDING) RATE (SEMI FINISHED)]]+7500</f>
        <v>56141.25</v>
      </c>
      <c r="AJ383" s="232">
        <f t="shared" si="56"/>
        <v>8560860</v>
      </c>
      <c r="AK383" s="232">
        <f>Table1[[#This Row],[UNIT (BUILDING) RATE (BASIC FINISH)]]*Table1[[#This Row],[Unit Selling Area]]</f>
        <v>9352860</v>
      </c>
      <c r="AL383" s="232">
        <f>Table1[[#This Row],[UNIT (BUILDING) RATE (FULLY FINISH)]]*Table1[[#This Row],[Unit Selling Area]]</f>
        <v>9880860</v>
      </c>
      <c r="AM383" s="232">
        <f t="shared" si="57"/>
        <v>0</v>
      </c>
      <c r="AN383" s="232">
        <f>(AM383+AJ383)*FACTS!$S$2</f>
        <v>727673.10000000009</v>
      </c>
      <c r="AO383" s="101">
        <f>VLOOKUP(S383,FACTS!$A$17:$C$23,3,FALSE)</f>
        <v>2</v>
      </c>
      <c r="AP383" s="232">
        <f>VLOOKUP(AA383,FACTS!$B$2:$J$14,9,FALSE)</f>
        <v>210000</v>
      </c>
      <c r="AQ383" s="232">
        <f>Table1[[#This Row],[PARKING VALUE]]*1</f>
        <v>210000</v>
      </c>
      <c r="AR383" s="232">
        <f t="shared" si="52"/>
        <v>8770860</v>
      </c>
      <c r="AS383" s="440">
        <f>Table1[[#This Row],[TOTAL CARS VALUE]]+Table1[[#This Row],[UNIT (BUILDING) VALUE BASIC FINISHED]]+Table1[[#This Row],[UNIT (GARDEN) VALUE]]</f>
        <v>9562860</v>
      </c>
      <c r="AT383" s="232">
        <f>Table1[[#This Row],[TOTAL CARS VALUE]]+Table1[[#This Row],[UNIT (GARDEN) VALUE]]+Table1[[#This Row],[UNIT (BUILDING) VALUE FULLY FINISHED]]</f>
        <v>10090860</v>
      </c>
      <c r="AU383" s="233">
        <f>VLOOKUP(I383,'C PHASES'!$I$108:$J$110,2,FALSE)</f>
        <v>46204</v>
      </c>
      <c r="AV383" s="233">
        <f>VLOOKUP(AA383,'C PHASES'!$I$113:$J$125,2,FALSE)</f>
        <v>45383</v>
      </c>
    </row>
    <row r="384" spans="1:48" x14ac:dyDescent="0.25">
      <c r="A384" s="236"/>
      <c r="B384" s="227" t="str">
        <f t="shared" ref="B384:B445" si="61">LEFT(C384,1)</f>
        <v>B</v>
      </c>
      <c r="C384" s="227" t="s">
        <v>67</v>
      </c>
      <c r="D384" s="227" t="s">
        <v>1147</v>
      </c>
      <c r="E384" s="228">
        <v>2</v>
      </c>
      <c r="F384" s="101">
        <v>2</v>
      </c>
      <c r="G384" s="87" t="str">
        <f t="shared" si="60"/>
        <v>B1122</v>
      </c>
      <c r="H384" s="87" t="s">
        <v>1295</v>
      </c>
      <c r="I384" s="89" t="str">
        <f>VLOOKUP(C384,'PREMIUM TABLES'!$G$107:$H$149,2,FALSE)</f>
        <v>C2</v>
      </c>
      <c r="J384" s="89">
        <v>187.1</v>
      </c>
      <c r="K384" s="87">
        <v>207.32375026159116</v>
      </c>
      <c r="L384" s="87">
        <v>228</v>
      </c>
      <c r="M384" s="89"/>
      <c r="N384" s="89"/>
      <c r="O384" s="87" t="s">
        <v>185</v>
      </c>
      <c r="P384" s="87" t="s">
        <v>226</v>
      </c>
      <c r="Q384" s="229" t="s">
        <v>210</v>
      </c>
      <c r="R384" s="87" t="str">
        <f>VLOOKUP(E384,'PREMIUM TABLES'!$F$214:$G$219,2,FALSE)</f>
        <v>SECOND</v>
      </c>
      <c r="S384" s="87" t="str" cm="1">
        <f t="array" ref="S384">IF(AND(L384&gt;0,L384&lt;90),"A",IF(AND(L384&gt;90,L384&lt;123),"B",IF(AND(L384&gt;122,L384&lt;159),"C",IF(AND(L384&gt;159,L384&lt;185),"D",IF(AND(L384&gt;185,L384&lt;230),"E",IF(AND(L384&gt;230,L384&lt;350),"F",NONE))))))</f>
        <v>E</v>
      </c>
      <c r="T384" s="230">
        <f>VLOOKUP(O384,'PREMIUM TABLES'!$G$165:$H$172,2,FALSE)</f>
        <v>0.06</v>
      </c>
      <c r="U384" s="230">
        <f>VLOOKUP(P384,'PREMIUM TABLES'!$G$208:$H$209,2,FALSE)</f>
        <v>0.05</v>
      </c>
      <c r="V384" s="230">
        <f>VLOOKUP(Q384,'PREMIUM TABLES'!$G$175:$H$195,2,FALSE)</f>
        <v>0.53</v>
      </c>
      <c r="W384" s="230">
        <f>VLOOKUP(R384,'PREMIUM TABLES'!$G$214:$H$219,2,FALSE)</f>
        <v>0.11</v>
      </c>
      <c r="X384" s="230">
        <f>VLOOKUP(S384,'PREMIUM TABLES'!$F$199:$H$205,3,FALSE)</f>
        <v>1.4999999999999999E-2</v>
      </c>
      <c r="Y384" s="231">
        <f t="shared" si="53"/>
        <v>0.76500000000000001</v>
      </c>
      <c r="Z384" s="231" t="str" cm="1">
        <f t="array" ref="Z384">IF(AND(Y384&gt;0,Y384&lt;0.5),"C",IF(AND(Y384&gt;=0.5,Y384&lt;0.73),"B",IF(AND(Y384&gt;=0.73,Y384&lt;0.98),"A",NONE)))</f>
        <v>A</v>
      </c>
      <c r="AA384" s="231" t="str">
        <f>VLOOKUP(G384,'ALL (R)'!$N$5:$R$862,5,FALSE)</f>
        <v>R 3</v>
      </c>
      <c r="AB384" s="232">
        <f>VLOOKUP(AA384,FACTS!$B$2:$L$14,10,FALSE)</f>
        <v>44625</v>
      </c>
      <c r="AC384" s="232">
        <f>VLOOKUP(AA384,FACTS!$B$2:$L$14,11,FALSE)</f>
        <v>49875</v>
      </c>
      <c r="AD384" s="232">
        <f>VLOOKUP(AA384,FACTS!$B$2:$N$14,13,FALSE)</f>
        <v>5250</v>
      </c>
      <c r="AE384" s="232">
        <f t="shared" si="54"/>
        <v>4016.25</v>
      </c>
      <c r="AF384" s="232">
        <f t="shared" si="55"/>
        <v>48641.25</v>
      </c>
      <c r="AG384" s="232">
        <f>AF384*FACTS!$T$2</f>
        <v>16051.612500000001</v>
      </c>
      <c r="AH384" s="232">
        <f>Table1[[#This Row],[UNIT (BUILDING) RATE (SEMI FINISHED)]]+4500</f>
        <v>53141.25</v>
      </c>
      <c r="AI384" s="232">
        <f>Table1[[#This Row],[UNIT (BUILDING) RATE (SEMI FINISHED)]]+7500</f>
        <v>56141.25</v>
      </c>
      <c r="AJ384" s="232">
        <f t="shared" si="56"/>
        <v>11090205</v>
      </c>
      <c r="AK384" s="232">
        <f>Table1[[#This Row],[UNIT (BUILDING) RATE (BASIC FINISH)]]*Table1[[#This Row],[Unit Selling Area]]</f>
        <v>12116205</v>
      </c>
      <c r="AL384" s="232">
        <f>Table1[[#This Row],[UNIT (BUILDING) RATE (FULLY FINISH)]]*Table1[[#This Row],[Unit Selling Area]]</f>
        <v>12800205</v>
      </c>
      <c r="AM384" s="232">
        <f t="shared" si="57"/>
        <v>0</v>
      </c>
      <c r="AN384" s="232">
        <f>(AM384+AJ384)*FACTS!$S$2</f>
        <v>942667.42500000005</v>
      </c>
      <c r="AO384" s="101">
        <f>VLOOKUP(S384,FACTS!$A$17:$C$23,3,FALSE)</f>
        <v>2</v>
      </c>
      <c r="AP384" s="232">
        <f>VLOOKUP(AA384,FACTS!$B$2:$J$14,9,FALSE)</f>
        <v>210000</v>
      </c>
      <c r="AQ384" s="232">
        <f>Table1[[#This Row],[PARKING VALUE]]*1</f>
        <v>210000</v>
      </c>
      <c r="AR384" s="232">
        <f t="shared" si="52"/>
        <v>11300205</v>
      </c>
      <c r="AS384" s="440">
        <f>Table1[[#This Row],[TOTAL CARS VALUE]]+Table1[[#This Row],[UNIT (BUILDING) VALUE BASIC FINISHED]]+Table1[[#This Row],[UNIT (GARDEN) VALUE]]</f>
        <v>12326205</v>
      </c>
      <c r="AT384" s="232">
        <f>Table1[[#This Row],[TOTAL CARS VALUE]]+Table1[[#This Row],[UNIT (GARDEN) VALUE]]+Table1[[#This Row],[UNIT (BUILDING) VALUE FULLY FINISHED]]</f>
        <v>13010205</v>
      </c>
      <c r="AU384" s="233">
        <f>VLOOKUP(I384,'C PHASES'!$I$108:$J$110,2,FALSE)</f>
        <v>46204</v>
      </c>
      <c r="AV384" s="233">
        <f>VLOOKUP(AA384,'C PHASES'!$I$113:$J$125,2,FALSE)</f>
        <v>45383</v>
      </c>
    </row>
    <row r="385" spans="1:48" x14ac:dyDescent="0.25">
      <c r="A385" s="236"/>
      <c r="B385" s="227" t="str">
        <f t="shared" si="61"/>
        <v>B</v>
      </c>
      <c r="C385" s="227" t="s">
        <v>67</v>
      </c>
      <c r="D385" s="227" t="s">
        <v>1147</v>
      </c>
      <c r="E385" s="228">
        <v>2</v>
      </c>
      <c r="F385" s="101">
        <v>3</v>
      </c>
      <c r="G385" s="87" t="str">
        <f t="shared" si="60"/>
        <v>B1123</v>
      </c>
      <c r="H385" s="87" t="s">
        <v>1294</v>
      </c>
      <c r="I385" s="89" t="str">
        <f>VLOOKUP(C385,'PREMIUM TABLES'!$G$107:$H$149,2,FALSE)</f>
        <v>C2</v>
      </c>
      <c r="J385" s="89">
        <v>167.16900000000001</v>
      </c>
      <c r="K385" s="87">
        <v>185.23839661934761</v>
      </c>
      <c r="L385" s="87">
        <v>204</v>
      </c>
      <c r="M385" s="89"/>
      <c r="N385" s="89"/>
      <c r="O385" s="87" t="s">
        <v>185</v>
      </c>
      <c r="P385" s="87" t="s">
        <v>190</v>
      </c>
      <c r="Q385" s="229" t="s">
        <v>210</v>
      </c>
      <c r="R385" s="87" t="str">
        <f>VLOOKUP(E385,'PREMIUM TABLES'!$F$214:$G$219,2,FALSE)</f>
        <v>SECOND</v>
      </c>
      <c r="S385" s="87" t="str" cm="1">
        <f t="array" ref="S385">IF(AND(L385&gt;0,L385&lt;90),"A",IF(AND(L385&gt;90,L385&lt;123),"B",IF(AND(L385&gt;122,L385&lt;159),"C",IF(AND(L385&gt;159,L385&lt;185),"D",IF(AND(L385&gt;185,L385&lt;230),"E",IF(AND(L385&gt;230,L385&lt;350),"F",NONE))))))</f>
        <v>E</v>
      </c>
      <c r="T385" s="230">
        <f>VLOOKUP(O385,'PREMIUM TABLES'!$G$165:$H$172,2,FALSE)</f>
        <v>0.06</v>
      </c>
      <c r="U385" s="230">
        <f>VLOOKUP(P385,'PREMIUM TABLES'!$G$208:$H$209,2,FALSE)</f>
        <v>2.5000000000000001E-2</v>
      </c>
      <c r="V385" s="230">
        <f>VLOOKUP(Q385,'PREMIUM TABLES'!$G$175:$H$195,2,FALSE)</f>
        <v>0.53</v>
      </c>
      <c r="W385" s="230">
        <f>VLOOKUP(R385,'PREMIUM TABLES'!$G$214:$H$219,2,FALSE)</f>
        <v>0.11</v>
      </c>
      <c r="X385" s="230">
        <f>VLOOKUP(S385,'PREMIUM TABLES'!$F$199:$H$205,3,FALSE)</f>
        <v>1.4999999999999999E-2</v>
      </c>
      <c r="Y385" s="231">
        <f t="shared" si="53"/>
        <v>0.74</v>
      </c>
      <c r="Z385" s="231" t="str" cm="1">
        <f t="array" ref="Z385">IF(AND(Y385&gt;0,Y385&lt;0.5),"C",IF(AND(Y385&gt;=0.5,Y385&lt;0.73),"B",IF(AND(Y385&gt;=0.73,Y385&lt;0.98),"A",NONE)))</f>
        <v>A</v>
      </c>
      <c r="AA385" s="231" t="str">
        <f>VLOOKUP(G385,'ALL (R)'!$N$5:$R$862,5,FALSE)</f>
        <v>R 1</v>
      </c>
      <c r="AB385" s="232">
        <f>VLOOKUP(AA385,FACTS!$B$2:$L$14,10,FALSE)</f>
        <v>42500</v>
      </c>
      <c r="AC385" s="232">
        <f>VLOOKUP(AA385,FACTS!$B$2:$L$14,11,FALSE)</f>
        <v>47500</v>
      </c>
      <c r="AD385" s="232">
        <f>VLOOKUP(AA385,FACTS!$B$2:$N$14,13,FALSE)</f>
        <v>5000</v>
      </c>
      <c r="AE385" s="232">
        <f t="shared" si="54"/>
        <v>3700</v>
      </c>
      <c r="AF385" s="232">
        <f t="shared" si="55"/>
        <v>46200</v>
      </c>
      <c r="AG385" s="232">
        <f>AF385*FACTS!$T$2</f>
        <v>15246</v>
      </c>
      <c r="AH385" s="232">
        <f>Table1[[#This Row],[UNIT (BUILDING) RATE (SEMI FINISHED)]]+4500</f>
        <v>50700</v>
      </c>
      <c r="AI385" s="232">
        <f>Table1[[#This Row],[UNIT (BUILDING) RATE (SEMI FINISHED)]]+7500</f>
        <v>53700</v>
      </c>
      <c r="AJ385" s="232">
        <f t="shared" si="56"/>
        <v>9424800</v>
      </c>
      <c r="AK385" s="232">
        <f>Table1[[#This Row],[UNIT (BUILDING) RATE (BASIC FINISH)]]*Table1[[#This Row],[Unit Selling Area]]</f>
        <v>10342800</v>
      </c>
      <c r="AL385" s="232">
        <f>Table1[[#This Row],[UNIT (BUILDING) RATE (FULLY FINISH)]]*Table1[[#This Row],[Unit Selling Area]]</f>
        <v>10954800</v>
      </c>
      <c r="AM385" s="232">
        <f t="shared" si="57"/>
        <v>0</v>
      </c>
      <c r="AN385" s="232">
        <f>(AM385+AJ385)*FACTS!$S$2</f>
        <v>801108</v>
      </c>
      <c r="AO385" s="101">
        <f>VLOOKUP(S385,FACTS!$A$17:$C$23,3,FALSE)</f>
        <v>2</v>
      </c>
      <c r="AP385" s="232">
        <f>VLOOKUP(AA385,FACTS!$B$2:$J$14,9,FALSE)</f>
        <v>200000</v>
      </c>
      <c r="AQ385" s="232">
        <f>Table1[[#This Row],[PARKING VALUE]]*1</f>
        <v>200000</v>
      </c>
      <c r="AR385" s="232">
        <f t="shared" si="52"/>
        <v>9624800</v>
      </c>
      <c r="AS385" s="440">
        <f>Table1[[#This Row],[TOTAL CARS VALUE]]+Table1[[#This Row],[UNIT (BUILDING) VALUE BASIC FINISHED]]+Table1[[#This Row],[UNIT (GARDEN) VALUE]]</f>
        <v>10542800</v>
      </c>
      <c r="AT385" s="232">
        <f>Table1[[#This Row],[TOTAL CARS VALUE]]+Table1[[#This Row],[UNIT (GARDEN) VALUE]]+Table1[[#This Row],[UNIT (BUILDING) VALUE FULLY FINISHED]]</f>
        <v>11154800</v>
      </c>
      <c r="AU385" s="233">
        <f>VLOOKUP(I385,'C PHASES'!$I$108:$J$110,2,FALSE)</f>
        <v>46204</v>
      </c>
      <c r="AV385" s="233">
        <f>VLOOKUP(AA385,'C PHASES'!$I$113:$J$125,2,FALSE)</f>
        <v>45170</v>
      </c>
    </row>
    <row r="386" spans="1:48" x14ac:dyDescent="0.25">
      <c r="A386" s="236"/>
      <c r="B386" s="227" t="str">
        <f t="shared" si="61"/>
        <v>B</v>
      </c>
      <c r="C386" s="227" t="s">
        <v>67</v>
      </c>
      <c r="D386" s="227" t="s">
        <v>1147</v>
      </c>
      <c r="E386" s="228">
        <v>2</v>
      </c>
      <c r="F386" s="101">
        <v>4</v>
      </c>
      <c r="G386" s="87" t="str">
        <f t="shared" si="60"/>
        <v>B1124</v>
      </c>
      <c r="H386" s="87" t="s">
        <v>1294</v>
      </c>
      <c r="I386" s="89" t="str">
        <f>VLOOKUP(C386,'PREMIUM TABLES'!$G$107:$H$149,2,FALSE)</f>
        <v>C2</v>
      </c>
      <c r="J386" s="89">
        <v>141.18700000000001</v>
      </c>
      <c r="K386" s="87">
        <v>156.44798678879354</v>
      </c>
      <c r="L386" s="87">
        <v>172</v>
      </c>
      <c r="M386" s="89"/>
      <c r="N386" s="89"/>
      <c r="O386" s="87" t="s">
        <v>184</v>
      </c>
      <c r="P386" s="87" t="s">
        <v>190</v>
      </c>
      <c r="Q386" s="229" t="s">
        <v>230</v>
      </c>
      <c r="R386" s="87" t="str">
        <f>VLOOKUP(E386,'PREMIUM TABLES'!$F$214:$G$219,2,FALSE)</f>
        <v>SECOND</v>
      </c>
      <c r="S386" s="87" t="str" cm="1">
        <f t="array" ref="S386">IF(AND(L386&gt;0,L386&lt;90),"A",IF(AND(L386&gt;90,L386&lt;123),"B",IF(AND(L386&gt;122,L386&lt;159),"C",IF(AND(L386&gt;159,L386&lt;185),"D",IF(AND(L386&gt;185,L386&lt;230),"E",IF(AND(L386&gt;230,L386&lt;350),"F",NONE))))))</f>
        <v>D</v>
      </c>
      <c r="T386" s="230">
        <f>VLOOKUP(O386,'PREMIUM TABLES'!$G$165:$H$172,2,FALSE)</f>
        <v>0.15</v>
      </c>
      <c r="U386" s="230">
        <f>VLOOKUP(P386,'PREMIUM TABLES'!$G$208:$H$209,2,FALSE)</f>
        <v>2.5000000000000001E-2</v>
      </c>
      <c r="V386" s="230">
        <f>VLOOKUP(Q386,'PREMIUM TABLES'!$G$175:$H$195,2,FALSE)</f>
        <v>0.32250000000000001</v>
      </c>
      <c r="W386" s="230">
        <f>VLOOKUP(R386,'PREMIUM TABLES'!$G$214:$H$219,2,FALSE)</f>
        <v>0.11</v>
      </c>
      <c r="X386" s="230">
        <f>VLOOKUP(S386,'PREMIUM TABLES'!$F$199:$H$205,3,FALSE)</f>
        <v>2.5000000000000001E-2</v>
      </c>
      <c r="Y386" s="231">
        <f t="shared" si="53"/>
        <v>0.63250000000000006</v>
      </c>
      <c r="Z386" s="231" t="str" cm="1">
        <f t="array" ref="Z386">IF(AND(Y386&gt;0,Y386&lt;0.5),"C",IF(AND(Y386&gt;=0.5,Y386&lt;0.73),"B",IF(AND(Y386&gt;=0.73,Y386&lt;0.98),"A",NONE)))</f>
        <v>B</v>
      </c>
      <c r="AA386" s="231" t="str">
        <f>VLOOKUP(G386,'ALL (R)'!$N$5:$R$862,5,FALSE)</f>
        <v>R 4</v>
      </c>
      <c r="AB386" s="232">
        <f>VLOOKUP(AA386,FACTS!$B$2:$L$14,10,FALSE)</f>
        <v>45687.5</v>
      </c>
      <c r="AC386" s="232">
        <f>VLOOKUP(AA386,FACTS!$B$2:$L$14,11,FALSE)</f>
        <v>51062.5</v>
      </c>
      <c r="AD386" s="232">
        <f>VLOOKUP(AA386,FACTS!$B$2:$N$14,13,FALSE)</f>
        <v>5375</v>
      </c>
      <c r="AE386" s="232">
        <f t="shared" si="54"/>
        <v>3399.6875000000005</v>
      </c>
      <c r="AF386" s="232">
        <f t="shared" si="55"/>
        <v>49087.1875</v>
      </c>
      <c r="AG386" s="232">
        <f>AF386*FACTS!$T$2</f>
        <v>16198.771875</v>
      </c>
      <c r="AH386" s="232">
        <f>Table1[[#This Row],[UNIT (BUILDING) RATE (SEMI FINISHED)]]+4500</f>
        <v>53587.1875</v>
      </c>
      <c r="AI386" s="232">
        <f>Table1[[#This Row],[UNIT (BUILDING) RATE (SEMI FINISHED)]]+7500</f>
        <v>56587.1875</v>
      </c>
      <c r="AJ386" s="232">
        <f t="shared" si="56"/>
        <v>8442996.25</v>
      </c>
      <c r="AK386" s="232">
        <f>Table1[[#This Row],[UNIT (BUILDING) RATE (BASIC FINISH)]]*Table1[[#This Row],[Unit Selling Area]]</f>
        <v>9216996.25</v>
      </c>
      <c r="AL386" s="232">
        <f>Table1[[#This Row],[UNIT (BUILDING) RATE (FULLY FINISH)]]*Table1[[#This Row],[Unit Selling Area]]</f>
        <v>9732996.25</v>
      </c>
      <c r="AM386" s="232">
        <f t="shared" si="57"/>
        <v>0</v>
      </c>
      <c r="AN386" s="232">
        <f>(AM386+AJ386)*FACTS!$S$2</f>
        <v>717654.68125000002</v>
      </c>
      <c r="AO386" s="101">
        <f>VLOOKUP(S386,FACTS!$A$17:$C$23,3,FALSE)</f>
        <v>2</v>
      </c>
      <c r="AP386" s="232">
        <f>VLOOKUP(AA386,FACTS!$B$2:$J$14,9,FALSE)</f>
        <v>215000</v>
      </c>
      <c r="AQ386" s="232">
        <f>Table1[[#This Row],[PARKING VALUE]]*1</f>
        <v>215000</v>
      </c>
      <c r="AR386" s="232">
        <f t="shared" si="52"/>
        <v>8657996.25</v>
      </c>
      <c r="AS386" s="440">
        <f>Table1[[#This Row],[TOTAL CARS VALUE]]+Table1[[#This Row],[UNIT (BUILDING) VALUE BASIC FINISHED]]+Table1[[#This Row],[UNIT (GARDEN) VALUE]]</f>
        <v>9431996.25</v>
      </c>
      <c r="AT386" s="232">
        <f>Table1[[#This Row],[TOTAL CARS VALUE]]+Table1[[#This Row],[UNIT (GARDEN) VALUE]]+Table1[[#This Row],[UNIT (BUILDING) VALUE FULLY FINISHED]]</f>
        <v>9947996.25</v>
      </c>
      <c r="AU386" s="233">
        <f>VLOOKUP(I386,'C PHASES'!$I$108:$J$110,2,FALSE)</f>
        <v>46204</v>
      </c>
      <c r="AV386" s="233">
        <f>VLOOKUP(AA386,'C PHASES'!$I$113:$J$125,2,FALSE)</f>
        <v>45474</v>
      </c>
    </row>
    <row r="387" spans="1:48" x14ac:dyDescent="0.25">
      <c r="A387" s="236"/>
      <c r="B387" s="227" t="str">
        <f t="shared" si="61"/>
        <v>B</v>
      </c>
      <c r="C387" s="227" t="s">
        <v>67</v>
      </c>
      <c r="D387" s="227" t="s">
        <v>1147</v>
      </c>
      <c r="E387" s="228">
        <v>3</v>
      </c>
      <c r="F387" s="101">
        <v>1</v>
      </c>
      <c r="G387" s="87" t="str">
        <f t="shared" si="60"/>
        <v>B1131</v>
      </c>
      <c r="H387" s="87" t="s">
        <v>1294</v>
      </c>
      <c r="I387" s="89" t="str">
        <f>VLOOKUP(C387,'PREMIUM TABLES'!$G$107:$H$149,2,FALSE)</f>
        <v>C2</v>
      </c>
      <c r="J387" s="89">
        <v>143.89599999999999</v>
      </c>
      <c r="K387" s="87">
        <v>159.44980420973766</v>
      </c>
      <c r="L387" s="87">
        <v>176</v>
      </c>
      <c r="M387" s="89"/>
      <c r="N387" s="89"/>
      <c r="O387" s="87" t="s">
        <v>184</v>
      </c>
      <c r="P387" s="87" t="s">
        <v>226</v>
      </c>
      <c r="Q387" s="229" t="s">
        <v>212</v>
      </c>
      <c r="R387" s="87" t="str">
        <f>VLOOKUP(E387,'PREMIUM TABLES'!$F$214:$G$219,2,FALSE)</f>
        <v>THIRD</v>
      </c>
      <c r="S387" s="87" t="str" cm="1">
        <f t="array" ref="S387">IF(AND(L387&gt;0,L387&lt;90),"A",IF(AND(L387&gt;90,L387&lt;123),"B",IF(AND(L387&gt;122,L387&lt;159),"C",IF(AND(L387&gt;159,L387&lt;185),"D",IF(AND(L387&gt;185,L387&lt;230),"E",IF(AND(L387&gt;230,L387&lt;350),"F",NONE))))))</f>
        <v>D</v>
      </c>
      <c r="T387" s="230">
        <f>VLOOKUP(O387,'PREMIUM TABLES'!$G$165:$H$172,2,FALSE)</f>
        <v>0.15</v>
      </c>
      <c r="U387" s="230">
        <f>VLOOKUP(P387,'PREMIUM TABLES'!$G$208:$H$209,2,FALSE)</f>
        <v>0.05</v>
      </c>
      <c r="V387" s="230">
        <f>VLOOKUP(Q387,'PREMIUM TABLES'!$G$175:$H$195,2,FALSE)</f>
        <v>0.43</v>
      </c>
      <c r="W387" s="230">
        <f>VLOOKUP(R387,'PREMIUM TABLES'!$G$214:$H$219,2,FALSE)</f>
        <v>0.15</v>
      </c>
      <c r="X387" s="230">
        <f>VLOOKUP(S387,'PREMIUM TABLES'!$F$199:$H$205,3,FALSE)</f>
        <v>2.5000000000000001E-2</v>
      </c>
      <c r="Y387" s="231">
        <f t="shared" si="53"/>
        <v>0.80500000000000005</v>
      </c>
      <c r="Z387" s="231" t="str" cm="1">
        <f t="array" ref="Z387">IF(AND(Y387&gt;0,Y387&lt;0.5),"C",IF(AND(Y387&gt;=0.5,Y387&lt;0.73),"B",IF(AND(Y387&gt;=0.73,Y387&lt;0.98),"A",NONE)))</f>
        <v>A</v>
      </c>
      <c r="AA387" s="231" t="str">
        <f>VLOOKUP(G387,'ALL (R)'!$N$5:$R$862,5,FALSE)</f>
        <v>R 6</v>
      </c>
      <c r="AB387" s="232">
        <f>VLOOKUP(AA387,FACTS!$B$2:$L$14,10,FALSE)</f>
        <v>48450.000000000007</v>
      </c>
      <c r="AC387" s="232">
        <f>VLOOKUP(AA387,FACTS!$B$2:$L$14,11,FALSE)</f>
        <v>54150.000000000007</v>
      </c>
      <c r="AD387" s="232">
        <f>VLOOKUP(AA387,FACTS!$B$2:$N$14,13,FALSE)</f>
        <v>5700</v>
      </c>
      <c r="AE387" s="232">
        <f t="shared" si="54"/>
        <v>4588.5</v>
      </c>
      <c r="AF387" s="232">
        <f t="shared" si="55"/>
        <v>53038.500000000007</v>
      </c>
      <c r="AG387" s="232">
        <f>AF387*FACTS!$T$2</f>
        <v>17502.705000000002</v>
      </c>
      <c r="AH387" s="232">
        <f>Table1[[#This Row],[UNIT (BUILDING) RATE (SEMI FINISHED)]]+4500</f>
        <v>57538.500000000007</v>
      </c>
      <c r="AI387" s="232">
        <f>Table1[[#This Row],[UNIT (BUILDING) RATE (SEMI FINISHED)]]+7500</f>
        <v>60538.500000000007</v>
      </c>
      <c r="AJ387" s="232">
        <f t="shared" si="56"/>
        <v>9334776.0000000019</v>
      </c>
      <c r="AK387" s="232">
        <f>Table1[[#This Row],[UNIT (BUILDING) RATE (BASIC FINISH)]]*Table1[[#This Row],[Unit Selling Area]]</f>
        <v>10126776.000000002</v>
      </c>
      <c r="AL387" s="232">
        <f>Table1[[#This Row],[UNIT (BUILDING) RATE (FULLY FINISH)]]*Table1[[#This Row],[Unit Selling Area]]</f>
        <v>10654776.000000002</v>
      </c>
      <c r="AM387" s="232">
        <f t="shared" si="57"/>
        <v>0</v>
      </c>
      <c r="AN387" s="232">
        <f>(AM387+AJ387)*FACTS!$S$2</f>
        <v>793455.9600000002</v>
      </c>
      <c r="AO387" s="101">
        <f>VLOOKUP(S387,FACTS!$A$17:$C$23,3,FALSE)</f>
        <v>2</v>
      </c>
      <c r="AP387" s="232">
        <f>VLOOKUP(AA387,FACTS!$B$2:$J$14,9,FALSE)</f>
        <v>228000.00000000003</v>
      </c>
      <c r="AQ387" s="232">
        <f>Table1[[#This Row],[PARKING VALUE]]*1</f>
        <v>228000.00000000003</v>
      </c>
      <c r="AR387" s="232">
        <f t="shared" si="52"/>
        <v>9562776.0000000019</v>
      </c>
      <c r="AS387" s="440">
        <f>Table1[[#This Row],[TOTAL CARS VALUE]]+Table1[[#This Row],[UNIT (BUILDING) VALUE BASIC FINISHED]]+Table1[[#This Row],[UNIT (GARDEN) VALUE]]</f>
        <v>10354776.000000002</v>
      </c>
      <c r="AT387" s="232">
        <f>Table1[[#This Row],[TOTAL CARS VALUE]]+Table1[[#This Row],[UNIT (GARDEN) VALUE]]+Table1[[#This Row],[UNIT (BUILDING) VALUE FULLY FINISHED]]</f>
        <v>10882776.000000002</v>
      </c>
      <c r="AU387" s="233">
        <f>VLOOKUP(I387,'C PHASES'!$I$108:$J$110,2,FALSE)</f>
        <v>46204</v>
      </c>
      <c r="AV387" s="233">
        <f>VLOOKUP(AA387,'C PHASES'!$I$113:$J$125,2,FALSE)</f>
        <v>45658</v>
      </c>
    </row>
    <row r="388" spans="1:48" x14ac:dyDescent="0.25">
      <c r="A388" s="236"/>
      <c r="B388" s="227" t="str">
        <f t="shared" si="61"/>
        <v>B</v>
      </c>
      <c r="C388" s="227" t="s">
        <v>67</v>
      </c>
      <c r="D388" s="227" t="s">
        <v>1147</v>
      </c>
      <c r="E388" s="228">
        <v>3</v>
      </c>
      <c r="F388" s="101">
        <v>2</v>
      </c>
      <c r="G388" s="87" t="str">
        <f t="shared" si="60"/>
        <v>B1132</v>
      </c>
      <c r="H388" s="87" t="s">
        <v>1295</v>
      </c>
      <c r="I388" s="89" t="str">
        <f>VLOOKUP(C388,'PREMIUM TABLES'!$G$107:$H$149,2,FALSE)</f>
        <v>C2</v>
      </c>
      <c r="J388" s="89">
        <v>187.20400000000001</v>
      </c>
      <c r="K388" s="87">
        <v>207.4389916834362</v>
      </c>
      <c r="L388" s="87">
        <v>228</v>
      </c>
      <c r="M388" s="89"/>
      <c r="N388" s="89"/>
      <c r="O388" s="87" t="s">
        <v>185</v>
      </c>
      <c r="P388" s="87" t="s">
        <v>226</v>
      </c>
      <c r="Q388" s="229" t="s">
        <v>210</v>
      </c>
      <c r="R388" s="87" t="str">
        <f>VLOOKUP(E388,'PREMIUM TABLES'!$F$214:$G$219,2,FALSE)</f>
        <v>THIRD</v>
      </c>
      <c r="S388" s="87" t="str" cm="1">
        <f t="array" ref="S388">IF(AND(L388&gt;0,L388&lt;90),"A",IF(AND(L388&gt;90,L388&lt;123),"B",IF(AND(L388&gt;122,L388&lt;159),"C",IF(AND(L388&gt;159,L388&lt;185),"D",IF(AND(L388&gt;185,L388&lt;230),"E",IF(AND(L388&gt;230,L388&lt;350),"F",NONE))))))</f>
        <v>E</v>
      </c>
      <c r="T388" s="230">
        <f>VLOOKUP(O388,'PREMIUM TABLES'!$G$165:$H$172,2,FALSE)</f>
        <v>0.06</v>
      </c>
      <c r="U388" s="230">
        <f>VLOOKUP(P388,'PREMIUM TABLES'!$G$208:$H$209,2,FALSE)</f>
        <v>0.05</v>
      </c>
      <c r="V388" s="230">
        <f>VLOOKUP(Q388,'PREMIUM TABLES'!$G$175:$H$195,2,FALSE)</f>
        <v>0.53</v>
      </c>
      <c r="W388" s="230">
        <f>VLOOKUP(R388,'PREMIUM TABLES'!$G$214:$H$219,2,FALSE)</f>
        <v>0.15</v>
      </c>
      <c r="X388" s="230">
        <f>VLOOKUP(S388,'PREMIUM TABLES'!$F$199:$H$205,3,FALSE)</f>
        <v>1.4999999999999999E-2</v>
      </c>
      <c r="Y388" s="231">
        <f t="shared" si="53"/>
        <v>0.80500000000000005</v>
      </c>
      <c r="Z388" s="231" t="str" cm="1">
        <f t="array" ref="Z388">IF(AND(Y388&gt;0,Y388&lt;0.5),"C",IF(AND(Y388&gt;=0.5,Y388&lt;0.73),"B",IF(AND(Y388&gt;=0.73,Y388&lt;0.98),"A",NONE)))</f>
        <v>A</v>
      </c>
      <c r="AA388" s="231" t="str">
        <f>VLOOKUP(G388,'ALL (R)'!$N$5:$R$862,5,FALSE)</f>
        <v>R 6</v>
      </c>
      <c r="AB388" s="232">
        <f>VLOOKUP(AA388,FACTS!$B$2:$L$14,10,FALSE)</f>
        <v>48450.000000000007</v>
      </c>
      <c r="AC388" s="232">
        <f>VLOOKUP(AA388,FACTS!$B$2:$L$14,11,FALSE)</f>
        <v>54150.000000000007</v>
      </c>
      <c r="AD388" s="232">
        <f>VLOOKUP(AA388,FACTS!$B$2:$N$14,13,FALSE)</f>
        <v>5700</v>
      </c>
      <c r="AE388" s="232">
        <f t="shared" si="54"/>
        <v>4588.5</v>
      </c>
      <c r="AF388" s="232">
        <f t="shared" si="55"/>
        <v>53038.500000000007</v>
      </c>
      <c r="AG388" s="232">
        <f>AF388*FACTS!$T$2</f>
        <v>17502.705000000002</v>
      </c>
      <c r="AH388" s="232">
        <f>Table1[[#This Row],[UNIT (BUILDING) RATE (SEMI FINISHED)]]+4500</f>
        <v>57538.500000000007</v>
      </c>
      <c r="AI388" s="232">
        <f>Table1[[#This Row],[UNIT (BUILDING) RATE (SEMI FINISHED)]]+7500</f>
        <v>60538.500000000007</v>
      </c>
      <c r="AJ388" s="232">
        <f t="shared" si="56"/>
        <v>12092778.000000002</v>
      </c>
      <c r="AK388" s="232">
        <f>Table1[[#This Row],[UNIT (BUILDING) RATE (BASIC FINISH)]]*Table1[[#This Row],[Unit Selling Area]]</f>
        <v>13118778.000000002</v>
      </c>
      <c r="AL388" s="232">
        <f>Table1[[#This Row],[UNIT (BUILDING) RATE (FULLY FINISH)]]*Table1[[#This Row],[Unit Selling Area]]</f>
        <v>13802778.000000002</v>
      </c>
      <c r="AM388" s="232">
        <f t="shared" si="57"/>
        <v>0</v>
      </c>
      <c r="AN388" s="232">
        <f>(AM388+AJ388)*FACTS!$S$2</f>
        <v>1027886.1300000002</v>
      </c>
      <c r="AO388" s="101">
        <f>VLOOKUP(S388,FACTS!$A$17:$C$23,3,FALSE)</f>
        <v>2</v>
      </c>
      <c r="AP388" s="232">
        <f>VLOOKUP(AA388,FACTS!$B$2:$J$14,9,FALSE)</f>
        <v>228000.00000000003</v>
      </c>
      <c r="AQ388" s="232">
        <f>Table1[[#This Row],[PARKING VALUE]]*1</f>
        <v>228000.00000000003</v>
      </c>
      <c r="AR388" s="232">
        <f t="shared" si="52"/>
        <v>12320778.000000002</v>
      </c>
      <c r="AS388" s="440">
        <f>Table1[[#This Row],[TOTAL CARS VALUE]]+Table1[[#This Row],[UNIT (BUILDING) VALUE BASIC FINISHED]]+Table1[[#This Row],[UNIT (GARDEN) VALUE]]</f>
        <v>13346778.000000002</v>
      </c>
      <c r="AT388" s="232">
        <f>Table1[[#This Row],[TOTAL CARS VALUE]]+Table1[[#This Row],[UNIT (GARDEN) VALUE]]+Table1[[#This Row],[UNIT (BUILDING) VALUE FULLY FINISHED]]</f>
        <v>14030778.000000002</v>
      </c>
      <c r="AU388" s="233">
        <f>VLOOKUP(I388,'C PHASES'!$I$108:$J$110,2,FALSE)</f>
        <v>46204</v>
      </c>
      <c r="AV388" s="233">
        <f>VLOOKUP(AA388,'C PHASES'!$I$113:$J$125,2,FALSE)</f>
        <v>45658</v>
      </c>
    </row>
    <row r="389" spans="1:48" x14ac:dyDescent="0.25">
      <c r="A389" s="236"/>
      <c r="B389" s="227" t="str">
        <f t="shared" si="61"/>
        <v>B</v>
      </c>
      <c r="C389" s="227" t="s">
        <v>67</v>
      </c>
      <c r="D389" s="227" t="s">
        <v>1147</v>
      </c>
      <c r="E389" s="228">
        <v>3</v>
      </c>
      <c r="F389" s="101">
        <v>3</v>
      </c>
      <c r="G389" s="87" t="str">
        <f t="shared" si="60"/>
        <v>B1133</v>
      </c>
      <c r="H389" s="87" t="s">
        <v>1294</v>
      </c>
      <c r="I389" s="89" t="str">
        <f>VLOOKUP(C389,'PREMIUM TABLES'!$G$107:$H$149,2,FALSE)</f>
        <v>C2</v>
      </c>
      <c r="J389" s="89">
        <v>164.417</v>
      </c>
      <c r="K389" s="87">
        <v>182.18893130283288</v>
      </c>
      <c r="L389" s="87">
        <v>201</v>
      </c>
      <c r="M389" s="89"/>
      <c r="N389" s="89"/>
      <c r="O389" s="87" t="s">
        <v>185</v>
      </c>
      <c r="P389" s="87" t="s">
        <v>190</v>
      </c>
      <c r="Q389" s="229" t="s">
        <v>210</v>
      </c>
      <c r="R389" s="87" t="str">
        <f>VLOOKUP(E389,'PREMIUM TABLES'!$F$214:$G$219,2,FALSE)</f>
        <v>THIRD</v>
      </c>
      <c r="S389" s="87" t="str" cm="1">
        <f t="array" ref="S389">IF(AND(L389&gt;0,L389&lt;90),"A",IF(AND(L389&gt;90,L389&lt;123),"B",IF(AND(L389&gt;122,L389&lt;159),"C",IF(AND(L389&gt;159,L389&lt;185),"D",IF(AND(L389&gt;185,L389&lt;230),"E",IF(AND(L389&gt;230,L389&lt;350),"F",NONE))))))</f>
        <v>E</v>
      </c>
      <c r="T389" s="230">
        <f>VLOOKUP(O389,'PREMIUM TABLES'!$G$165:$H$172,2,FALSE)</f>
        <v>0.06</v>
      </c>
      <c r="U389" s="230">
        <f>VLOOKUP(P389,'PREMIUM TABLES'!$G$208:$H$209,2,FALSE)</f>
        <v>2.5000000000000001E-2</v>
      </c>
      <c r="V389" s="230">
        <f>VLOOKUP(Q389,'PREMIUM TABLES'!$G$175:$H$195,2,FALSE)</f>
        <v>0.53</v>
      </c>
      <c r="W389" s="230">
        <f>VLOOKUP(R389,'PREMIUM TABLES'!$G$214:$H$219,2,FALSE)</f>
        <v>0.15</v>
      </c>
      <c r="X389" s="230">
        <f>VLOOKUP(S389,'PREMIUM TABLES'!$F$199:$H$205,3,FALSE)</f>
        <v>1.4999999999999999E-2</v>
      </c>
      <c r="Y389" s="231">
        <f t="shared" si="53"/>
        <v>0.78</v>
      </c>
      <c r="Z389" s="231" t="str" cm="1">
        <f t="array" ref="Z389">IF(AND(Y389&gt;0,Y389&lt;0.5),"C",IF(AND(Y389&gt;=0.5,Y389&lt;0.73),"B",IF(AND(Y389&gt;=0.73,Y389&lt;0.98),"A",NONE)))</f>
        <v>A</v>
      </c>
      <c r="AA389" s="231" t="str">
        <f>VLOOKUP(G389,'ALL (R)'!$N$5:$R$862,5,FALSE)</f>
        <v>R 4</v>
      </c>
      <c r="AB389" s="232">
        <f>VLOOKUP(AA389,FACTS!$B$2:$L$14,10,FALSE)</f>
        <v>45687.5</v>
      </c>
      <c r="AC389" s="232">
        <f>VLOOKUP(AA389,FACTS!$B$2:$L$14,11,FALSE)</f>
        <v>51062.5</v>
      </c>
      <c r="AD389" s="232">
        <f>VLOOKUP(AA389,FACTS!$B$2:$N$14,13,FALSE)</f>
        <v>5375</v>
      </c>
      <c r="AE389" s="232">
        <f t="shared" si="54"/>
        <v>4192.5</v>
      </c>
      <c r="AF389" s="232">
        <f t="shared" si="55"/>
        <v>49880</v>
      </c>
      <c r="AG389" s="232">
        <f>AF389*FACTS!$T$2</f>
        <v>16460.400000000001</v>
      </c>
      <c r="AH389" s="232">
        <f>Table1[[#This Row],[UNIT (BUILDING) RATE (SEMI FINISHED)]]+4500</f>
        <v>54380</v>
      </c>
      <c r="AI389" s="232">
        <f>Table1[[#This Row],[UNIT (BUILDING) RATE (SEMI FINISHED)]]+7500</f>
        <v>57380</v>
      </c>
      <c r="AJ389" s="232">
        <f t="shared" si="56"/>
        <v>10025880</v>
      </c>
      <c r="AK389" s="232">
        <f>Table1[[#This Row],[UNIT (BUILDING) RATE (BASIC FINISH)]]*Table1[[#This Row],[Unit Selling Area]]</f>
        <v>10930380</v>
      </c>
      <c r="AL389" s="232">
        <f>Table1[[#This Row],[UNIT (BUILDING) RATE (FULLY FINISH)]]*Table1[[#This Row],[Unit Selling Area]]</f>
        <v>11533380</v>
      </c>
      <c r="AM389" s="232">
        <f t="shared" si="57"/>
        <v>0</v>
      </c>
      <c r="AN389" s="232">
        <f>(AM389+AJ389)*FACTS!$S$2</f>
        <v>852199.8</v>
      </c>
      <c r="AO389" s="101">
        <f>VLOOKUP(S389,FACTS!$A$17:$C$23,3,FALSE)</f>
        <v>2</v>
      </c>
      <c r="AP389" s="232">
        <f>VLOOKUP(AA389,FACTS!$B$2:$J$14,9,FALSE)</f>
        <v>215000</v>
      </c>
      <c r="AQ389" s="232">
        <f>Table1[[#This Row],[PARKING VALUE]]*1</f>
        <v>215000</v>
      </c>
      <c r="AR389" s="232">
        <f t="shared" ref="AR389:AR452" si="62">AQ389+AM389+AJ389</f>
        <v>10240880</v>
      </c>
      <c r="AS389" s="440">
        <f>Table1[[#This Row],[TOTAL CARS VALUE]]+Table1[[#This Row],[UNIT (BUILDING) VALUE BASIC FINISHED]]+Table1[[#This Row],[UNIT (GARDEN) VALUE]]</f>
        <v>11145380</v>
      </c>
      <c r="AT389" s="232">
        <f>Table1[[#This Row],[TOTAL CARS VALUE]]+Table1[[#This Row],[UNIT (GARDEN) VALUE]]+Table1[[#This Row],[UNIT (BUILDING) VALUE FULLY FINISHED]]</f>
        <v>11748380</v>
      </c>
      <c r="AU389" s="233">
        <f>VLOOKUP(I389,'C PHASES'!$I$108:$J$110,2,FALSE)</f>
        <v>46204</v>
      </c>
      <c r="AV389" s="233">
        <f>VLOOKUP(AA389,'C PHASES'!$I$113:$J$125,2,FALSE)</f>
        <v>45474</v>
      </c>
    </row>
    <row r="390" spans="1:48" x14ac:dyDescent="0.25">
      <c r="A390" s="236"/>
      <c r="B390" s="227" t="str">
        <f t="shared" si="61"/>
        <v>B</v>
      </c>
      <c r="C390" s="227" t="s">
        <v>67</v>
      </c>
      <c r="D390" s="227" t="s">
        <v>1147</v>
      </c>
      <c r="E390" s="228">
        <v>3</v>
      </c>
      <c r="F390" s="101">
        <v>4</v>
      </c>
      <c r="G390" s="87" t="str">
        <f t="shared" si="60"/>
        <v>B1134</v>
      </c>
      <c r="H390" s="87" t="s">
        <v>1294</v>
      </c>
      <c r="I390" s="89" t="str">
        <f>VLOOKUP(C390,'PREMIUM TABLES'!$G$107:$H$149,2,FALSE)</f>
        <v>C2</v>
      </c>
      <c r="J390" s="89">
        <v>141.07300000000001</v>
      </c>
      <c r="K390" s="87">
        <v>156.32166446100189</v>
      </c>
      <c r="L390" s="87">
        <v>172</v>
      </c>
      <c r="M390" s="89"/>
      <c r="N390" s="89"/>
      <c r="O390" s="87" t="s">
        <v>184</v>
      </c>
      <c r="P390" s="87" t="s">
        <v>190</v>
      </c>
      <c r="Q390" s="229" t="s">
        <v>230</v>
      </c>
      <c r="R390" s="87" t="str">
        <f>VLOOKUP(E390,'PREMIUM TABLES'!$F$214:$G$219,2,FALSE)</f>
        <v>THIRD</v>
      </c>
      <c r="S390" s="87" t="str" cm="1">
        <f t="array" ref="S390">IF(AND(L390&gt;0,L390&lt;90),"A",IF(AND(L390&gt;90,L390&lt;123),"B",IF(AND(L390&gt;122,L390&lt;159),"C",IF(AND(L390&gt;159,L390&lt;185),"D",IF(AND(L390&gt;185,L390&lt;230),"E",IF(AND(L390&gt;230,L390&lt;350),"F",NONE))))))</f>
        <v>D</v>
      </c>
      <c r="T390" s="230">
        <f>VLOOKUP(O390,'PREMIUM TABLES'!$G$165:$H$172,2,FALSE)</f>
        <v>0.15</v>
      </c>
      <c r="U390" s="230">
        <f>VLOOKUP(P390,'PREMIUM TABLES'!$G$208:$H$209,2,FALSE)</f>
        <v>2.5000000000000001E-2</v>
      </c>
      <c r="V390" s="230">
        <f>VLOOKUP(Q390,'PREMIUM TABLES'!$G$175:$H$195,2,FALSE)</f>
        <v>0.32250000000000001</v>
      </c>
      <c r="W390" s="230">
        <f>VLOOKUP(R390,'PREMIUM TABLES'!$G$214:$H$219,2,FALSE)</f>
        <v>0.15</v>
      </c>
      <c r="X390" s="230">
        <f>VLOOKUP(S390,'PREMIUM TABLES'!$F$199:$H$205,3,FALSE)</f>
        <v>2.5000000000000001E-2</v>
      </c>
      <c r="Y390" s="231">
        <f t="shared" ref="Y390:Y453" si="63">SUM(T390:X390)</f>
        <v>0.67249999999999999</v>
      </c>
      <c r="Z390" s="231" t="str" cm="1">
        <f t="array" ref="Z390">IF(AND(Y390&gt;0,Y390&lt;0.5),"C",IF(AND(Y390&gt;=0.5,Y390&lt;0.73),"B",IF(AND(Y390&gt;=0.73,Y390&lt;0.98),"A",NONE)))</f>
        <v>B</v>
      </c>
      <c r="AA390" s="231" t="str">
        <f>VLOOKUP(G390,'ALL (R)'!$N$5:$R$862,5,FALSE)</f>
        <v>R 6</v>
      </c>
      <c r="AB390" s="232">
        <f>VLOOKUP(AA390,FACTS!$B$2:$L$14,10,FALSE)</f>
        <v>48450.000000000007</v>
      </c>
      <c r="AC390" s="232">
        <f>VLOOKUP(AA390,FACTS!$B$2:$L$14,11,FALSE)</f>
        <v>54150.000000000007</v>
      </c>
      <c r="AD390" s="232">
        <f>VLOOKUP(AA390,FACTS!$B$2:$N$14,13,FALSE)</f>
        <v>5700</v>
      </c>
      <c r="AE390" s="232">
        <f t="shared" ref="AE390:AE453" si="64">AD390*Y390</f>
        <v>3833.25</v>
      </c>
      <c r="AF390" s="232">
        <f t="shared" ref="AF390:AF453" si="65">AE390+AB390</f>
        <v>52283.250000000007</v>
      </c>
      <c r="AG390" s="232">
        <f>AF390*FACTS!$T$2</f>
        <v>17253.472500000003</v>
      </c>
      <c r="AH390" s="232">
        <f>Table1[[#This Row],[UNIT (BUILDING) RATE (SEMI FINISHED)]]+4500</f>
        <v>56783.250000000007</v>
      </c>
      <c r="AI390" s="232">
        <f>Table1[[#This Row],[UNIT (BUILDING) RATE (SEMI FINISHED)]]+7500</f>
        <v>59783.250000000007</v>
      </c>
      <c r="AJ390" s="232">
        <f t="shared" ref="AJ390:AJ453" si="66">AF390*L390</f>
        <v>8992719.0000000019</v>
      </c>
      <c r="AK390" s="232">
        <f>Table1[[#This Row],[UNIT (BUILDING) RATE (BASIC FINISH)]]*Table1[[#This Row],[Unit Selling Area]]</f>
        <v>9766719.0000000019</v>
      </c>
      <c r="AL390" s="232">
        <f>Table1[[#This Row],[UNIT (BUILDING) RATE (FULLY FINISH)]]*Table1[[#This Row],[Unit Selling Area]]</f>
        <v>10282719.000000002</v>
      </c>
      <c r="AM390" s="232">
        <f t="shared" ref="AM390:AM453" si="67">AG390*M390</f>
        <v>0</v>
      </c>
      <c r="AN390" s="232">
        <f>(AM390+AJ390)*FACTS!$S$2</f>
        <v>764381.11500000022</v>
      </c>
      <c r="AO390" s="101">
        <f>VLOOKUP(S390,FACTS!$A$17:$C$23,3,FALSE)</f>
        <v>2</v>
      </c>
      <c r="AP390" s="232">
        <f>VLOOKUP(AA390,FACTS!$B$2:$J$14,9,FALSE)</f>
        <v>228000.00000000003</v>
      </c>
      <c r="AQ390" s="232">
        <f>Table1[[#This Row],[PARKING VALUE]]*1</f>
        <v>228000.00000000003</v>
      </c>
      <c r="AR390" s="232">
        <f t="shared" si="62"/>
        <v>9220719.0000000019</v>
      </c>
      <c r="AS390" s="440">
        <f>Table1[[#This Row],[TOTAL CARS VALUE]]+Table1[[#This Row],[UNIT (BUILDING) VALUE BASIC FINISHED]]+Table1[[#This Row],[UNIT (GARDEN) VALUE]]</f>
        <v>9994719.0000000019</v>
      </c>
      <c r="AT390" s="232">
        <f>Table1[[#This Row],[TOTAL CARS VALUE]]+Table1[[#This Row],[UNIT (GARDEN) VALUE]]+Table1[[#This Row],[UNIT (BUILDING) VALUE FULLY FINISHED]]</f>
        <v>10510719.000000002</v>
      </c>
      <c r="AU390" s="233">
        <f>VLOOKUP(I390,'C PHASES'!$I$108:$J$110,2,FALSE)</f>
        <v>46204</v>
      </c>
      <c r="AV390" s="233">
        <f>VLOOKUP(AA390,'C PHASES'!$I$113:$J$125,2,FALSE)</f>
        <v>45658</v>
      </c>
    </row>
    <row r="391" spans="1:48" x14ac:dyDescent="0.25">
      <c r="A391" s="236"/>
      <c r="B391" s="227" t="str">
        <f t="shared" si="61"/>
        <v>B</v>
      </c>
      <c r="C391" s="227" t="s">
        <v>67</v>
      </c>
      <c r="D391" s="227" t="s">
        <v>1147</v>
      </c>
      <c r="E391" s="228">
        <v>4</v>
      </c>
      <c r="F391" s="101">
        <v>1</v>
      </c>
      <c r="G391" s="87" t="str">
        <f t="shared" si="60"/>
        <v>B1141</v>
      </c>
      <c r="H391" s="87" t="s">
        <v>1294</v>
      </c>
      <c r="I391" s="89" t="str">
        <f>VLOOKUP(C391,'PREMIUM TABLES'!$G$107:$H$149,2,FALSE)</f>
        <v>C2</v>
      </c>
      <c r="J391" s="89">
        <v>141.929</v>
      </c>
      <c r="K391" s="87">
        <v>157.27019001003407</v>
      </c>
      <c r="L391" s="87">
        <v>173</v>
      </c>
      <c r="M391" s="89"/>
      <c r="N391" s="89"/>
      <c r="O391" s="87" t="s">
        <v>184</v>
      </c>
      <c r="P391" s="87" t="s">
        <v>226</v>
      </c>
      <c r="Q391" s="229" t="s">
        <v>212</v>
      </c>
      <c r="R391" s="87" t="str">
        <f>VLOOKUP(E391,'PREMIUM TABLES'!$F$214:$G$219,2,FALSE)</f>
        <v>FORTH</v>
      </c>
      <c r="S391" s="87" t="str" cm="1">
        <f t="array" ref="S391">IF(AND(L391&gt;0,L391&lt;90),"A",IF(AND(L391&gt;90,L391&lt;123),"B",IF(AND(L391&gt;122,L391&lt;159),"C",IF(AND(L391&gt;159,L391&lt;185),"D",IF(AND(L391&gt;185,L391&lt;230),"E",IF(AND(L391&gt;230,L391&lt;350),"F",NONE))))))</f>
        <v>D</v>
      </c>
      <c r="T391" s="230">
        <f>VLOOKUP(O391,'PREMIUM TABLES'!$G$165:$H$172,2,FALSE)</f>
        <v>0.15</v>
      </c>
      <c r="U391" s="230">
        <f>VLOOKUP(P391,'PREMIUM TABLES'!$G$208:$H$209,2,FALSE)</f>
        <v>0.05</v>
      </c>
      <c r="V391" s="230">
        <f>VLOOKUP(Q391,'PREMIUM TABLES'!$G$175:$H$195,2,FALSE)</f>
        <v>0.43</v>
      </c>
      <c r="W391" s="230">
        <f>VLOOKUP(R391,'PREMIUM TABLES'!$G$214:$H$219,2,FALSE)</f>
        <v>0.06</v>
      </c>
      <c r="X391" s="230">
        <f>VLOOKUP(S391,'PREMIUM TABLES'!$F$199:$H$205,3,FALSE)</f>
        <v>2.5000000000000001E-2</v>
      </c>
      <c r="Y391" s="231">
        <f t="shared" si="63"/>
        <v>0.71499999999999997</v>
      </c>
      <c r="Z391" s="231" t="str" cm="1">
        <f t="array" ref="Z391">IF(AND(Y391&gt;0,Y391&lt;0.5),"C",IF(AND(Y391&gt;=0.5,Y391&lt;0.73),"B",IF(AND(Y391&gt;=0.73,Y391&lt;0.98),"A",NONE)))</f>
        <v>B</v>
      </c>
      <c r="AA391" s="231" t="str">
        <f>VLOOKUP(G391,'ALL (R)'!$N$5:$R$862,5,FALSE)</f>
        <v>R 11</v>
      </c>
      <c r="AB391" s="232">
        <f>VLOOKUP(AA391,FACTS!$B$2:$L$14,10,FALSE)</f>
        <v>58649.999999999993</v>
      </c>
      <c r="AC391" s="232">
        <f>VLOOKUP(AA391,FACTS!$B$2:$L$14,11,FALSE)</f>
        <v>65550</v>
      </c>
      <c r="AD391" s="232">
        <f>VLOOKUP(AA391,FACTS!$B$2:$N$14,13,FALSE)</f>
        <v>6900.0000000000073</v>
      </c>
      <c r="AE391" s="232">
        <f t="shared" si="64"/>
        <v>4933.5000000000045</v>
      </c>
      <c r="AF391" s="232">
        <f t="shared" si="65"/>
        <v>63583.5</v>
      </c>
      <c r="AG391" s="232">
        <f>AF391*FACTS!$T$2</f>
        <v>20982.555</v>
      </c>
      <c r="AH391" s="232">
        <f>Table1[[#This Row],[UNIT (BUILDING) RATE (SEMI FINISHED)]]+4500</f>
        <v>68083.5</v>
      </c>
      <c r="AI391" s="232">
        <f>Table1[[#This Row],[UNIT (BUILDING) RATE (SEMI FINISHED)]]+7500</f>
        <v>71083.5</v>
      </c>
      <c r="AJ391" s="232">
        <f t="shared" si="66"/>
        <v>10999945.5</v>
      </c>
      <c r="AK391" s="232">
        <f>Table1[[#This Row],[UNIT (BUILDING) RATE (BASIC FINISH)]]*Table1[[#This Row],[Unit Selling Area]]</f>
        <v>11778445.5</v>
      </c>
      <c r="AL391" s="232">
        <f>Table1[[#This Row],[UNIT (BUILDING) RATE (FULLY FINISH)]]*Table1[[#This Row],[Unit Selling Area]]</f>
        <v>12297445.5</v>
      </c>
      <c r="AM391" s="232">
        <f t="shared" si="67"/>
        <v>0</v>
      </c>
      <c r="AN391" s="232">
        <f>(AM391+AJ391)*FACTS!$S$2</f>
        <v>934995.36750000005</v>
      </c>
      <c r="AO391" s="101">
        <f>VLOOKUP(S391,FACTS!$A$17:$C$23,3,FALSE)</f>
        <v>2</v>
      </c>
      <c r="AP391" s="232">
        <f>VLOOKUP(AA391,FACTS!$B$2:$J$14,9,FALSE)</f>
        <v>276000</v>
      </c>
      <c r="AQ391" s="232">
        <f>Table1[[#This Row],[PARKING VALUE]]*1</f>
        <v>276000</v>
      </c>
      <c r="AR391" s="232">
        <f t="shared" si="62"/>
        <v>11275945.5</v>
      </c>
      <c r="AS391" s="440">
        <f>Table1[[#This Row],[TOTAL CARS VALUE]]+Table1[[#This Row],[UNIT (BUILDING) VALUE BASIC FINISHED]]+Table1[[#This Row],[UNIT (GARDEN) VALUE]]</f>
        <v>12054445.5</v>
      </c>
      <c r="AT391" s="232">
        <f>Table1[[#This Row],[TOTAL CARS VALUE]]+Table1[[#This Row],[UNIT (GARDEN) VALUE]]+Table1[[#This Row],[UNIT (BUILDING) VALUE FULLY FINISHED]]</f>
        <v>12573445.5</v>
      </c>
      <c r="AU391" s="233">
        <f>VLOOKUP(I391,'C PHASES'!$I$108:$J$110,2,FALSE)</f>
        <v>46204</v>
      </c>
      <c r="AV391" s="233">
        <f>VLOOKUP(AA391,'C PHASES'!$I$113:$J$125,2,FALSE)</f>
        <v>46113</v>
      </c>
    </row>
    <row r="392" spans="1:48" x14ac:dyDescent="0.25">
      <c r="A392" s="236"/>
      <c r="B392" s="227" t="str">
        <f t="shared" si="61"/>
        <v>B</v>
      </c>
      <c r="C392" s="227" t="s">
        <v>67</v>
      </c>
      <c r="D392" s="227" t="s">
        <v>1147</v>
      </c>
      <c r="E392" s="228">
        <v>4</v>
      </c>
      <c r="F392" s="101">
        <v>2</v>
      </c>
      <c r="G392" s="87" t="str">
        <f t="shared" si="60"/>
        <v>B1142</v>
      </c>
      <c r="H392" s="87" t="s">
        <v>1295</v>
      </c>
      <c r="I392" s="89" t="str">
        <f>VLOOKUP(C392,'PREMIUM TABLES'!$G$107:$H$149,2,FALSE)</f>
        <v>C2</v>
      </c>
      <c r="J392" s="89">
        <v>182.36099999999999</v>
      </c>
      <c r="K392" s="87">
        <v>202.07250893347955</v>
      </c>
      <c r="L392" s="87">
        <v>222</v>
      </c>
      <c r="M392" s="89"/>
      <c r="N392" s="89"/>
      <c r="O392" s="87" t="s">
        <v>185</v>
      </c>
      <c r="P392" s="87" t="s">
        <v>226</v>
      </c>
      <c r="Q392" s="229" t="s">
        <v>210</v>
      </c>
      <c r="R392" s="87" t="str">
        <f>VLOOKUP(E392,'PREMIUM TABLES'!$F$214:$G$219,2,FALSE)</f>
        <v>FORTH</v>
      </c>
      <c r="S392" s="87" t="str" cm="1">
        <f t="array" ref="S392">IF(AND(L392&gt;0,L392&lt;90),"A",IF(AND(L392&gt;90,L392&lt;123),"B",IF(AND(L392&gt;122,L392&lt;159),"C",IF(AND(L392&gt;159,L392&lt;185),"D",IF(AND(L392&gt;185,L392&lt;230),"E",IF(AND(L392&gt;230,L392&lt;350),"F",NONE))))))</f>
        <v>E</v>
      </c>
      <c r="T392" s="230">
        <f>VLOOKUP(O392,'PREMIUM TABLES'!$G$165:$H$172,2,FALSE)</f>
        <v>0.06</v>
      </c>
      <c r="U392" s="230">
        <f>VLOOKUP(P392,'PREMIUM TABLES'!$G$208:$H$209,2,FALSE)</f>
        <v>0.05</v>
      </c>
      <c r="V392" s="230">
        <f>VLOOKUP(Q392,'PREMIUM TABLES'!$G$175:$H$195,2,FALSE)</f>
        <v>0.53</v>
      </c>
      <c r="W392" s="230">
        <f>VLOOKUP(R392,'PREMIUM TABLES'!$G$214:$H$219,2,FALSE)</f>
        <v>0.06</v>
      </c>
      <c r="X392" s="230">
        <f>VLOOKUP(S392,'PREMIUM TABLES'!$F$199:$H$205,3,FALSE)</f>
        <v>1.4999999999999999E-2</v>
      </c>
      <c r="Y392" s="231">
        <f t="shared" si="63"/>
        <v>0.71499999999999997</v>
      </c>
      <c r="Z392" s="231" t="str" cm="1">
        <f t="array" ref="Z392">IF(AND(Y392&gt;0,Y392&lt;0.5),"C",IF(AND(Y392&gt;=0.5,Y392&lt;0.73),"B",IF(AND(Y392&gt;=0.73,Y392&lt;0.98),"A",NONE)))</f>
        <v>B</v>
      </c>
      <c r="AA392" s="231" t="str">
        <f>VLOOKUP(G392,'ALL (R)'!$N$5:$R$862,5,FALSE)</f>
        <v>R 11</v>
      </c>
      <c r="AB392" s="232">
        <f>VLOOKUP(AA392,FACTS!$B$2:$L$14,10,FALSE)</f>
        <v>58649.999999999993</v>
      </c>
      <c r="AC392" s="232">
        <f>VLOOKUP(AA392,FACTS!$B$2:$L$14,11,FALSE)</f>
        <v>65550</v>
      </c>
      <c r="AD392" s="232">
        <f>VLOOKUP(AA392,FACTS!$B$2:$N$14,13,FALSE)</f>
        <v>6900.0000000000073</v>
      </c>
      <c r="AE392" s="232">
        <f t="shared" si="64"/>
        <v>4933.5000000000045</v>
      </c>
      <c r="AF392" s="232">
        <f t="shared" si="65"/>
        <v>63583.5</v>
      </c>
      <c r="AG392" s="232">
        <f>AF392*FACTS!$T$2</f>
        <v>20982.555</v>
      </c>
      <c r="AH392" s="232">
        <f>Table1[[#This Row],[UNIT (BUILDING) RATE (SEMI FINISHED)]]+4500</f>
        <v>68083.5</v>
      </c>
      <c r="AI392" s="232">
        <f>Table1[[#This Row],[UNIT (BUILDING) RATE (SEMI FINISHED)]]+7500</f>
        <v>71083.5</v>
      </c>
      <c r="AJ392" s="232">
        <f t="shared" si="66"/>
        <v>14115537</v>
      </c>
      <c r="AK392" s="232">
        <f>Table1[[#This Row],[UNIT (BUILDING) RATE (BASIC FINISH)]]*Table1[[#This Row],[Unit Selling Area]]</f>
        <v>15114537</v>
      </c>
      <c r="AL392" s="232">
        <f>Table1[[#This Row],[UNIT (BUILDING) RATE (FULLY FINISH)]]*Table1[[#This Row],[Unit Selling Area]]</f>
        <v>15780537</v>
      </c>
      <c r="AM392" s="232">
        <f t="shared" si="67"/>
        <v>0</v>
      </c>
      <c r="AN392" s="232">
        <f>(AM392+AJ392)*FACTS!$S$2</f>
        <v>1199820.645</v>
      </c>
      <c r="AO392" s="101">
        <f>VLOOKUP(S392,FACTS!$A$17:$C$23,3,FALSE)</f>
        <v>2</v>
      </c>
      <c r="AP392" s="232">
        <f>VLOOKUP(AA392,FACTS!$B$2:$J$14,9,FALSE)</f>
        <v>276000</v>
      </c>
      <c r="AQ392" s="232">
        <f>Table1[[#This Row],[PARKING VALUE]]*1</f>
        <v>276000</v>
      </c>
      <c r="AR392" s="232">
        <f t="shared" si="62"/>
        <v>14391537</v>
      </c>
      <c r="AS392" s="440">
        <f>Table1[[#This Row],[TOTAL CARS VALUE]]+Table1[[#This Row],[UNIT (BUILDING) VALUE BASIC FINISHED]]+Table1[[#This Row],[UNIT (GARDEN) VALUE]]</f>
        <v>15390537</v>
      </c>
      <c r="AT392" s="232">
        <f>Table1[[#This Row],[TOTAL CARS VALUE]]+Table1[[#This Row],[UNIT (GARDEN) VALUE]]+Table1[[#This Row],[UNIT (BUILDING) VALUE FULLY FINISHED]]</f>
        <v>16056537</v>
      </c>
      <c r="AU392" s="233">
        <f>VLOOKUP(I392,'C PHASES'!$I$108:$J$110,2,FALSE)</f>
        <v>46204</v>
      </c>
      <c r="AV392" s="233">
        <f>VLOOKUP(AA392,'C PHASES'!$I$113:$J$125,2,FALSE)</f>
        <v>46113</v>
      </c>
    </row>
    <row r="393" spans="1:48" x14ac:dyDescent="0.25">
      <c r="A393" s="236"/>
      <c r="B393" s="227" t="str">
        <f t="shared" si="61"/>
        <v>B</v>
      </c>
      <c r="C393" s="227" t="s">
        <v>67</v>
      </c>
      <c r="D393" s="227" t="s">
        <v>1147</v>
      </c>
      <c r="E393" s="228">
        <v>4</v>
      </c>
      <c r="F393" s="101">
        <v>3</v>
      </c>
      <c r="G393" s="87" t="str">
        <f t="shared" si="60"/>
        <v>B1143</v>
      </c>
      <c r="H393" s="87" t="s">
        <v>1294</v>
      </c>
      <c r="I393" s="89" t="str">
        <f>VLOOKUP(C393,'PREMIUM TABLES'!$G$107:$H$149,2,FALSE)</f>
        <v>C2</v>
      </c>
      <c r="J393" s="89">
        <v>162.44399999999999</v>
      </c>
      <c r="K393" s="87">
        <v>180.00266855956127</v>
      </c>
      <c r="L393" s="87">
        <v>198</v>
      </c>
      <c r="M393" s="89"/>
      <c r="N393" s="89"/>
      <c r="O393" s="87" t="s">
        <v>185</v>
      </c>
      <c r="P393" s="87" t="s">
        <v>190</v>
      </c>
      <c r="Q393" s="229" t="s">
        <v>210</v>
      </c>
      <c r="R393" s="87" t="str">
        <f>VLOOKUP(E393,'PREMIUM TABLES'!$F$214:$G$219,2,FALSE)</f>
        <v>FORTH</v>
      </c>
      <c r="S393" s="87" t="str" cm="1">
        <f t="array" ref="S393">IF(AND(L393&gt;0,L393&lt;90),"A",IF(AND(L393&gt;90,L393&lt;123),"B",IF(AND(L393&gt;122,L393&lt;159),"C",IF(AND(L393&gt;159,L393&lt;185),"D",IF(AND(L393&gt;185,L393&lt;230),"E",IF(AND(L393&gt;230,L393&lt;350),"F",NONE))))))</f>
        <v>E</v>
      </c>
      <c r="T393" s="230">
        <f>VLOOKUP(O393,'PREMIUM TABLES'!$G$165:$H$172,2,FALSE)</f>
        <v>0.06</v>
      </c>
      <c r="U393" s="230">
        <f>VLOOKUP(P393,'PREMIUM TABLES'!$G$208:$H$209,2,FALSE)</f>
        <v>2.5000000000000001E-2</v>
      </c>
      <c r="V393" s="230">
        <f>VLOOKUP(Q393,'PREMIUM TABLES'!$G$175:$H$195,2,FALSE)</f>
        <v>0.53</v>
      </c>
      <c r="W393" s="230">
        <f>VLOOKUP(R393,'PREMIUM TABLES'!$G$214:$H$219,2,FALSE)</f>
        <v>0.06</v>
      </c>
      <c r="X393" s="230">
        <f>VLOOKUP(S393,'PREMIUM TABLES'!$F$199:$H$205,3,FALSE)</f>
        <v>1.4999999999999999E-2</v>
      </c>
      <c r="Y393" s="231">
        <f t="shared" si="63"/>
        <v>0.69000000000000006</v>
      </c>
      <c r="Z393" s="231" t="str" cm="1">
        <f t="array" ref="Z393">IF(AND(Y393&gt;0,Y393&lt;0.5),"C",IF(AND(Y393&gt;=0.5,Y393&lt;0.73),"B",IF(AND(Y393&gt;=0.73,Y393&lt;0.98),"A",NONE)))</f>
        <v>B</v>
      </c>
      <c r="AA393" s="231" t="str">
        <f>VLOOKUP(G393,'ALL (R)'!$N$5:$R$862,5,FALSE)</f>
        <v>R 8</v>
      </c>
      <c r="AB393" s="232">
        <f>VLOOKUP(AA393,FACTS!$B$2:$L$14,10,FALSE)</f>
        <v>51850</v>
      </c>
      <c r="AC393" s="232">
        <f>VLOOKUP(AA393,FACTS!$B$2:$L$14,11,FALSE)</f>
        <v>57950</v>
      </c>
      <c r="AD393" s="232">
        <f>VLOOKUP(AA393,FACTS!$B$2:$N$14,13,FALSE)</f>
        <v>6100</v>
      </c>
      <c r="AE393" s="232">
        <f t="shared" si="64"/>
        <v>4209</v>
      </c>
      <c r="AF393" s="232">
        <f t="shared" si="65"/>
        <v>56059</v>
      </c>
      <c r="AG393" s="232">
        <f>AF393*FACTS!$T$2</f>
        <v>18499.47</v>
      </c>
      <c r="AH393" s="232">
        <f>Table1[[#This Row],[UNIT (BUILDING) RATE (SEMI FINISHED)]]+4500</f>
        <v>60559</v>
      </c>
      <c r="AI393" s="232">
        <f>Table1[[#This Row],[UNIT (BUILDING) RATE (SEMI FINISHED)]]+7500</f>
        <v>63559</v>
      </c>
      <c r="AJ393" s="232">
        <f t="shared" si="66"/>
        <v>11099682</v>
      </c>
      <c r="AK393" s="232">
        <f>Table1[[#This Row],[UNIT (BUILDING) RATE (BASIC FINISH)]]*Table1[[#This Row],[Unit Selling Area]]</f>
        <v>11990682</v>
      </c>
      <c r="AL393" s="232">
        <f>Table1[[#This Row],[UNIT (BUILDING) RATE (FULLY FINISH)]]*Table1[[#This Row],[Unit Selling Area]]</f>
        <v>12584682</v>
      </c>
      <c r="AM393" s="232">
        <f t="shared" si="67"/>
        <v>0</v>
      </c>
      <c r="AN393" s="232">
        <f>(AM393+AJ393)*FACTS!$S$2</f>
        <v>943472.97000000009</v>
      </c>
      <c r="AO393" s="101">
        <f>VLOOKUP(S393,FACTS!$A$17:$C$23,3,FALSE)</f>
        <v>2</v>
      </c>
      <c r="AP393" s="232">
        <f>VLOOKUP(AA393,FACTS!$B$2:$J$14,9,FALSE)</f>
        <v>244000</v>
      </c>
      <c r="AQ393" s="232">
        <f>Table1[[#This Row],[PARKING VALUE]]*1</f>
        <v>244000</v>
      </c>
      <c r="AR393" s="232">
        <f t="shared" si="62"/>
        <v>11343682</v>
      </c>
      <c r="AS393" s="440">
        <f>Table1[[#This Row],[TOTAL CARS VALUE]]+Table1[[#This Row],[UNIT (BUILDING) VALUE BASIC FINISHED]]+Table1[[#This Row],[UNIT (GARDEN) VALUE]]</f>
        <v>12234682</v>
      </c>
      <c r="AT393" s="232">
        <f>Table1[[#This Row],[TOTAL CARS VALUE]]+Table1[[#This Row],[UNIT (GARDEN) VALUE]]+Table1[[#This Row],[UNIT (BUILDING) VALUE FULLY FINISHED]]</f>
        <v>12828682</v>
      </c>
      <c r="AU393" s="233">
        <f>VLOOKUP(I393,'C PHASES'!$I$108:$J$110,2,FALSE)</f>
        <v>46204</v>
      </c>
      <c r="AV393" s="233">
        <f>VLOOKUP(AA393,'C PHASES'!$I$113:$J$125,2,FALSE)</f>
        <v>45839</v>
      </c>
    </row>
    <row r="394" spans="1:48" x14ac:dyDescent="0.25">
      <c r="A394" s="236"/>
      <c r="B394" s="227" t="str">
        <f t="shared" si="61"/>
        <v>B</v>
      </c>
      <c r="C394" s="227" t="s">
        <v>67</v>
      </c>
      <c r="D394" s="227" t="s">
        <v>1147</v>
      </c>
      <c r="E394" s="228">
        <v>4</v>
      </c>
      <c r="F394" s="101">
        <v>4</v>
      </c>
      <c r="G394" s="87" t="str">
        <f t="shared" si="60"/>
        <v>B1144</v>
      </c>
      <c r="H394" s="87" t="s">
        <v>1294</v>
      </c>
      <c r="I394" s="89" t="str">
        <f>VLOOKUP(C394,'PREMIUM TABLES'!$G$107:$H$149,2,FALSE)</f>
        <v>C2</v>
      </c>
      <c r="J394" s="89">
        <v>139.12700000000001</v>
      </c>
      <c r="K394" s="87">
        <v>154.16532016378619</v>
      </c>
      <c r="L394" s="87">
        <v>170</v>
      </c>
      <c r="M394" s="89"/>
      <c r="N394" s="89"/>
      <c r="O394" s="87" t="s">
        <v>184</v>
      </c>
      <c r="P394" s="87" t="s">
        <v>190</v>
      </c>
      <c r="Q394" s="229" t="s">
        <v>230</v>
      </c>
      <c r="R394" s="87" t="str">
        <f>VLOOKUP(E394,'PREMIUM TABLES'!$F$214:$G$219,2,FALSE)</f>
        <v>FORTH</v>
      </c>
      <c r="S394" s="87" t="str" cm="1">
        <f t="array" ref="S394">IF(AND(L394&gt;0,L394&lt;90),"A",IF(AND(L394&gt;90,L394&lt;123),"B",IF(AND(L394&gt;122,L394&lt;159),"C",IF(AND(L394&gt;159,L394&lt;185),"D",IF(AND(L394&gt;185,L394&lt;230),"E",IF(AND(L394&gt;230,L394&lt;350),"F",NONE))))))</f>
        <v>D</v>
      </c>
      <c r="T394" s="230">
        <f>VLOOKUP(O394,'PREMIUM TABLES'!$G$165:$H$172,2,FALSE)</f>
        <v>0.15</v>
      </c>
      <c r="U394" s="230">
        <f>VLOOKUP(P394,'PREMIUM TABLES'!$G$208:$H$209,2,FALSE)</f>
        <v>2.5000000000000001E-2</v>
      </c>
      <c r="V394" s="230">
        <f>VLOOKUP(Q394,'PREMIUM TABLES'!$G$175:$H$195,2,FALSE)</f>
        <v>0.32250000000000001</v>
      </c>
      <c r="W394" s="230">
        <f>VLOOKUP(R394,'PREMIUM TABLES'!$G$214:$H$219,2,FALSE)</f>
        <v>0.06</v>
      </c>
      <c r="X394" s="230">
        <f>VLOOKUP(S394,'PREMIUM TABLES'!$F$199:$H$205,3,FALSE)</f>
        <v>2.5000000000000001E-2</v>
      </c>
      <c r="Y394" s="231">
        <f t="shared" si="63"/>
        <v>0.58250000000000002</v>
      </c>
      <c r="Z394" s="231" t="str" cm="1">
        <f t="array" ref="Z394">IF(AND(Y394&gt;0,Y394&lt;0.5),"C",IF(AND(Y394&gt;=0.5,Y394&lt;0.73),"B",IF(AND(Y394&gt;=0.73,Y394&lt;0.98),"A",NONE)))</f>
        <v>B</v>
      </c>
      <c r="AA394" s="231" t="str">
        <f>VLOOKUP(G394,'ALL (R)'!$N$5:$R$862,5,FALSE)</f>
        <v>R 1</v>
      </c>
      <c r="AB394" s="232">
        <f>VLOOKUP(AA394,FACTS!$B$2:$L$14,10,FALSE)</f>
        <v>42500</v>
      </c>
      <c r="AC394" s="232">
        <f>VLOOKUP(AA394,FACTS!$B$2:$L$14,11,FALSE)</f>
        <v>47500</v>
      </c>
      <c r="AD394" s="232">
        <f>VLOOKUP(AA394,FACTS!$B$2:$N$14,13,FALSE)</f>
        <v>5000</v>
      </c>
      <c r="AE394" s="232">
        <f t="shared" si="64"/>
        <v>2912.5</v>
      </c>
      <c r="AF394" s="232">
        <f t="shared" si="65"/>
        <v>45412.5</v>
      </c>
      <c r="AG394" s="232">
        <f>AF394*FACTS!$T$2</f>
        <v>14986.125</v>
      </c>
      <c r="AH394" s="232">
        <f>Table1[[#This Row],[UNIT (BUILDING) RATE (SEMI FINISHED)]]+4500</f>
        <v>49912.5</v>
      </c>
      <c r="AI394" s="232">
        <f>Table1[[#This Row],[UNIT (BUILDING) RATE (SEMI FINISHED)]]+7500</f>
        <v>52912.5</v>
      </c>
      <c r="AJ394" s="232">
        <f t="shared" si="66"/>
        <v>7720125</v>
      </c>
      <c r="AK394" s="232">
        <f>Table1[[#This Row],[UNIT (BUILDING) RATE (BASIC FINISH)]]*Table1[[#This Row],[Unit Selling Area]]</f>
        <v>8485125</v>
      </c>
      <c r="AL394" s="232">
        <f>Table1[[#This Row],[UNIT (BUILDING) RATE (FULLY FINISH)]]*Table1[[#This Row],[Unit Selling Area]]</f>
        <v>8995125</v>
      </c>
      <c r="AM394" s="232">
        <f t="shared" si="67"/>
        <v>0</v>
      </c>
      <c r="AN394" s="232">
        <f>(AM394+AJ394)*FACTS!$S$2</f>
        <v>656210.625</v>
      </c>
      <c r="AO394" s="101">
        <f>VLOOKUP(S394,FACTS!$A$17:$C$23,3,FALSE)</f>
        <v>2</v>
      </c>
      <c r="AP394" s="232">
        <f>VLOOKUP(AA394,FACTS!$B$2:$J$14,9,FALSE)</f>
        <v>200000</v>
      </c>
      <c r="AQ394" s="232">
        <f>Table1[[#This Row],[PARKING VALUE]]*1</f>
        <v>200000</v>
      </c>
      <c r="AR394" s="232">
        <f t="shared" si="62"/>
        <v>7920125</v>
      </c>
      <c r="AS394" s="440">
        <f>Table1[[#This Row],[TOTAL CARS VALUE]]+Table1[[#This Row],[UNIT (BUILDING) VALUE BASIC FINISHED]]+Table1[[#This Row],[UNIT (GARDEN) VALUE]]</f>
        <v>8685125</v>
      </c>
      <c r="AT394" s="232">
        <f>Table1[[#This Row],[TOTAL CARS VALUE]]+Table1[[#This Row],[UNIT (GARDEN) VALUE]]+Table1[[#This Row],[UNIT (BUILDING) VALUE FULLY FINISHED]]</f>
        <v>9195125</v>
      </c>
      <c r="AU394" s="233">
        <f>VLOOKUP(I394,'C PHASES'!$I$108:$J$110,2,FALSE)</f>
        <v>46204</v>
      </c>
      <c r="AV394" s="233">
        <f>VLOOKUP(AA394,'C PHASES'!$I$113:$J$125,2,FALSE)</f>
        <v>45170</v>
      </c>
    </row>
    <row r="395" spans="1:48" ht="22.5" x14ac:dyDescent="0.25">
      <c r="A395" s="236" t="s">
        <v>33</v>
      </c>
      <c r="B395" s="227" t="str">
        <f t="shared" si="61"/>
        <v>B</v>
      </c>
      <c r="C395" s="227" t="s">
        <v>83</v>
      </c>
      <c r="D395" s="227" t="s">
        <v>1147</v>
      </c>
      <c r="E395" s="228">
        <v>0</v>
      </c>
      <c r="F395" s="101">
        <v>1</v>
      </c>
      <c r="G395" s="87" t="str">
        <f>LEFT(C395,3)&amp;E395&amp;F395</f>
        <v>B1201</v>
      </c>
      <c r="H395" s="87" t="s">
        <v>1293</v>
      </c>
      <c r="I395" s="89" t="str">
        <f>VLOOKUP(C395,'PREMIUM TABLES'!$G$107:$H$149,2,FALSE)</f>
        <v>C2</v>
      </c>
      <c r="J395" s="89">
        <v>95.254000000000005</v>
      </c>
      <c r="K395" s="87">
        <v>105.53950812408786</v>
      </c>
      <c r="L395" s="87">
        <v>116</v>
      </c>
      <c r="M395" s="87">
        <v>63.930199999999999</v>
      </c>
      <c r="O395" s="87" t="s">
        <v>180</v>
      </c>
      <c r="P395" s="87" t="s">
        <v>190</v>
      </c>
      <c r="Q395" s="229" t="s">
        <v>198</v>
      </c>
      <c r="R395" s="87" t="str">
        <f>VLOOKUP(E395,'PREMIUM TABLES'!$F$214:$G$219,2,FALSE)</f>
        <v>GROUND</v>
      </c>
      <c r="S395" s="87" t="str" cm="1">
        <f t="array" ref="S395">IF(AND(L395&gt;0,L395&lt;90),"A",IF(AND(L395&gt;90,L395&lt;123),"B",IF(AND(L395&gt;122,L395&lt;159),"C",IF(AND(L395&gt;159,L395&lt;185),"D",IF(AND(L395&gt;185,L395&lt;230),"E",IF(AND(L395&gt;230,L395&lt;350),"F",NONE))))))</f>
        <v>B</v>
      </c>
      <c r="T395" s="230">
        <f>VLOOKUP(O395,'PREMIUM TABLES'!$G$165:$H$172,2,FALSE)</f>
        <v>0.13</v>
      </c>
      <c r="U395" s="230">
        <f>VLOOKUP(P395,'PREMIUM TABLES'!$G$208:$H$209,2,FALSE)</f>
        <v>2.5000000000000001E-2</v>
      </c>
      <c r="V395" s="230">
        <f>VLOOKUP(Q395,'PREMIUM TABLES'!$G$175:$H$195,2,FALSE)</f>
        <v>0.15</v>
      </c>
      <c r="W395" s="230">
        <f>VLOOKUP(R395,'PREMIUM TABLES'!$G$214:$H$219,2,FALSE)</f>
        <v>0.05</v>
      </c>
      <c r="X395" s="230">
        <f>VLOOKUP(S395,'PREMIUM TABLES'!$F$199:$H$205,3,FALSE)</f>
        <v>0.04</v>
      </c>
      <c r="Y395" s="231">
        <f t="shared" si="63"/>
        <v>0.39499999999999996</v>
      </c>
      <c r="Z395" s="231" t="str" cm="1">
        <f t="array" ref="Z395">IF(AND(Y395&gt;0,Y395&lt;0.5),"C",IF(AND(Y395&gt;=0.5,Y395&lt;0.73),"B",IF(AND(Y395&gt;=0.73,Y395&lt;0.98),"A",NONE)))</f>
        <v>C</v>
      </c>
      <c r="AA395" s="231" t="str">
        <f>VLOOKUP(G395,'ALL (R)'!$N$5:$R$862,5,FALSE)</f>
        <v>R 4</v>
      </c>
      <c r="AB395" s="232">
        <f>VLOOKUP(AA395,FACTS!$B$2:$L$14,10,FALSE)</f>
        <v>45687.5</v>
      </c>
      <c r="AC395" s="232">
        <f>VLOOKUP(AA395,FACTS!$B$2:$L$14,11,FALSE)</f>
        <v>51062.5</v>
      </c>
      <c r="AD395" s="232">
        <f>VLOOKUP(AA395,FACTS!$B$2:$N$14,13,FALSE)</f>
        <v>5375</v>
      </c>
      <c r="AE395" s="232">
        <f t="shared" si="64"/>
        <v>2123.125</v>
      </c>
      <c r="AF395" s="232">
        <f t="shared" si="65"/>
        <v>47810.625</v>
      </c>
      <c r="AG395" s="232">
        <f>AF395*FACTS!$T$2</f>
        <v>15777.50625</v>
      </c>
      <c r="AH395" s="232">
        <f>Table1[[#This Row],[UNIT (BUILDING) RATE (SEMI FINISHED)]]+4500</f>
        <v>52310.625</v>
      </c>
      <c r="AI395" s="232">
        <f>Table1[[#This Row],[UNIT (BUILDING) RATE (SEMI FINISHED)]]+7500</f>
        <v>55310.625</v>
      </c>
      <c r="AJ395" s="232">
        <f t="shared" si="66"/>
        <v>5546032.5</v>
      </c>
      <c r="AK395" s="232">
        <f>Table1[[#This Row],[UNIT (BUILDING) RATE (BASIC FINISH)]]*Table1[[#This Row],[Unit Selling Area]]</f>
        <v>6068032.5</v>
      </c>
      <c r="AL395" s="232">
        <f>Table1[[#This Row],[UNIT (BUILDING) RATE (FULLY FINISH)]]*Table1[[#This Row],[Unit Selling Area]]</f>
        <v>6416032.5</v>
      </c>
      <c r="AM395" s="232">
        <f t="shared" si="67"/>
        <v>1008659.13006375</v>
      </c>
      <c r="AN395" s="232">
        <f>(AM395+AJ395)*FACTS!$S$2</f>
        <v>557148.78855541872</v>
      </c>
      <c r="AO395" s="101">
        <f>VLOOKUP(S395,FACTS!$A$17:$C$23,3,FALSE)</f>
        <v>1</v>
      </c>
      <c r="AP395" s="232">
        <f>VLOOKUP(AA395,FACTS!$B$2:$J$14,9,FALSE)</f>
        <v>215000</v>
      </c>
      <c r="AQ395" s="232">
        <f>Table1[[#This Row],[PARKING VALUE]]*1</f>
        <v>215000</v>
      </c>
      <c r="AR395" s="232">
        <f t="shared" si="62"/>
        <v>6769691.6300637498</v>
      </c>
      <c r="AS395" s="440">
        <f>Table1[[#This Row],[TOTAL CARS VALUE]]+Table1[[#This Row],[UNIT (BUILDING) VALUE BASIC FINISHED]]+Table1[[#This Row],[UNIT (GARDEN) VALUE]]</f>
        <v>7291691.6300637498</v>
      </c>
      <c r="AT395" s="232">
        <f>Table1[[#This Row],[TOTAL CARS VALUE]]+Table1[[#This Row],[UNIT (GARDEN) VALUE]]+Table1[[#This Row],[UNIT (BUILDING) VALUE FULLY FINISHED]]</f>
        <v>7639691.6300637498</v>
      </c>
      <c r="AU395" s="233">
        <f>VLOOKUP(I395,'C PHASES'!$I$108:$J$110,2,FALSE)</f>
        <v>46204</v>
      </c>
      <c r="AV395" s="233">
        <f>VLOOKUP(AA395,'C PHASES'!$I$113:$J$125,2,FALSE)</f>
        <v>45474</v>
      </c>
    </row>
    <row r="396" spans="1:48" x14ac:dyDescent="0.25">
      <c r="A396" s="236"/>
      <c r="B396" s="227" t="str">
        <f t="shared" si="61"/>
        <v>B</v>
      </c>
      <c r="C396" s="227" t="s">
        <v>83</v>
      </c>
      <c r="D396" s="227" t="s">
        <v>1147</v>
      </c>
      <c r="E396" s="228">
        <v>0</v>
      </c>
      <c r="F396" s="101">
        <v>2</v>
      </c>
      <c r="G396" s="87" t="str">
        <f t="shared" ref="G396:G414" si="68">LEFT(C396,3)&amp;E396&amp;F396</f>
        <v>B1202</v>
      </c>
      <c r="H396" s="87" t="s">
        <v>1294</v>
      </c>
      <c r="I396" s="89" t="str">
        <f>VLOOKUP(C396,'PREMIUM TABLES'!$G$107:$H$149,2,FALSE)</f>
        <v>C2</v>
      </c>
      <c r="J396" s="89">
        <v>162.82599999999999</v>
      </c>
      <c r="K396" s="87">
        <v>180.40791935050211</v>
      </c>
      <c r="L396" s="87">
        <v>199</v>
      </c>
      <c r="M396" s="87">
        <v>77.610299999999995</v>
      </c>
      <c r="O396" s="87" t="s">
        <v>187</v>
      </c>
      <c r="P396" s="87" t="s">
        <v>190</v>
      </c>
      <c r="Q396" s="229" t="s">
        <v>210</v>
      </c>
      <c r="R396" s="87" t="str">
        <f>VLOOKUP(E396,'PREMIUM TABLES'!$F$214:$G$219,2,FALSE)</f>
        <v>GROUND</v>
      </c>
      <c r="S396" s="87" t="str" cm="1">
        <f t="array" ref="S396">IF(AND(L396&gt;0,L396&lt;90),"A",IF(AND(L396&gt;90,L396&lt;123),"B",IF(AND(L396&gt;122,L396&lt;159),"C",IF(AND(L396&gt;159,L396&lt;185),"D",IF(AND(L396&gt;185,L396&lt;230),"E",IF(AND(L396&gt;230,L396&lt;350),"F",NONE))))))</f>
        <v>E</v>
      </c>
      <c r="T396" s="230">
        <f>VLOOKUP(O396,'PREMIUM TABLES'!$G$165:$H$172,2,FALSE)</f>
        <v>0.08</v>
      </c>
      <c r="U396" s="230">
        <f>VLOOKUP(P396,'PREMIUM TABLES'!$G$208:$H$209,2,FALSE)</f>
        <v>2.5000000000000001E-2</v>
      </c>
      <c r="V396" s="230">
        <f>VLOOKUP(Q396,'PREMIUM TABLES'!$G$175:$H$195,2,FALSE)</f>
        <v>0.53</v>
      </c>
      <c r="W396" s="230">
        <f>VLOOKUP(R396,'PREMIUM TABLES'!$G$214:$H$219,2,FALSE)</f>
        <v>0.05</v>
      </c>
      <c r="X396" s="230">
        <f>VLOOKUP(S396,'PREMIUM TABLES'!$F$199:$H$205,3,FALSE)</f>
        <v>1.4999999999999999E-2</v>
      </c>
      <c r="Y396" s="231">
        <f t="shared" si="63"/>
        <v>0.70000000000000007</v>
      </c>
      <c r="Z396" s="231" t="str" cm="1">
        <f t="array" ref="Z396">IF(AND(Y396&gt;0,Y396&lt;0.5),"C",IF(AND(Y396&gt;=0.5,Y396&lt;0.73),"B",IF(AND(Y396&gt;=0.73,Y396&lt;0.98),"A",NONE)))</f>
        <v>B</v>
      </c>
      <c r="AA396" s="231" t="str">
        <f>VLOOKUP(G396,'ALL (R)'!$N$5:$R$862,5,FALSE)</f>
        <v>R 9</v>
      </c>
      <c r="AB396" s="232">
        <f>VLOOKUP(AA396,FACTS!$B$2:$L$14,10,FALSE)</f>
        <v>53550</v>
      </c>
      <c r="AC396" s="232">
        <f>VLOOKUP(AA396,FACTS!$B$2:$L$14,11,FALSE)</f>
        <v>59850</v>
      </c>
      <c r="AD396" s="232">
        <f>VLOOKUP(AA396,FACTS!$B$2:$N$14,13,FALSE)</f>
        <v>6300</v>
      </c>
      <c r="AE396" s="232">
        <f t="shared" si="64"/>
        <v>4410</v>
      </c>
      <c r="AF396" s="232">
        <f t="shared" si="65"/>
        <v>57960</v>
      </c>
      <c r="AG396" s="232">
        <f>AF396*FACTS!$T$2</f>
        <v>19126.8</v>
      </c>
      <c r="AH396" s="232">
        <f>Table1[[#This Row],[UNIT (BUILDING) RATE (SEMI FINISHED)]]+4500</f>
        <v>62460</v>
      </c>
      <c r="AI396" s="232">
        <f>Table1[[#This Row],[UNIT (BUILDING) RATE (SEMI FINISHED)]]+7500</f>
        <v>65460</v>
      </c>
      <c r="AJ396" s="232">
        <f t="shared" si="66"/>
        <v>11534040</v>
      </c>
      <c r="AK396" s="232">
        <f>Table1[[#This Row],[UNIT (BUILDING) RATE (BASIC FINISH)]]*Table1[[#This Row],[Unit Selling Area]]</f>
        <v>12429540</v>
      </c>
      <c r="AL396" s="232">
        <f>Table1[[#This Row],[UNIT (BUILDING) RATE (FULLY FINISH)]]*Table1[[#This Row],[Unit Selling Area]]</f>
        <v>13026540</v>
      </c>
      <c r="AM396" s="232">
        <f t="shared" si="67"/>
        <v>1484436.6860399998</v>
      </c>
      <c r="AN396" s="232">
        <f>(AM396+AJ396)*FACTS!$S$2</f>
        <v>1106570.5183134</v>
      </c>
      <c r="AO396" s="101">
        <f>VLOOKUP(S396,FACTS!$A$17:$C$23,3,FALSE)</f>
        <v>2</v>
      </c>
      <c r="AP396" s="232">
        <f>VLOOKUP(AA396,FACTS!$B$2:$J$14,9,FALSE)</f>
        <v>252000</v>
      </c>
      <c r="AQ396" s="232">
        <f>Table1[[#This Row],[PARKING VALUE]]*1</f>
        <v>252000</v>
      </c>
      <c r="AR396" s="232">
        <f t="shared" si="62"/>
        <v>13270476.686039999</v>
      </c>
      <c r="AS396" s="440">
        <f>Table1[[#This Row],[TOTAL CARS VALUE]]+Table1[[#This Row],[UNIT (BUILDING) VALUE BASIC FINISHED]]+Table1[[#This Row],[UNIT (GARDEN) VALUE]]</f>
        <v>14165976.686039999</v>
      </c>
      <c r="AT396" s="232">
        <f>Table1[[#This Row],[TOTAL CARS VALUE]]+Table1[[#This Row],[UNIT (GARDEN) VALUE]]+Table1[[#This Row],[UNIT (BUILDING) VALUE FULLY FINISHED]]</f>
        <v>14762976.686039999</v>
      </c>
      <c r="AU396" s="233">
        <f>VLOOKUP(I396,'C PHASES'!$I$108:$J$110,2,FALSE)</f>
        <v>46204</v>
      </c>
      <c r="AV396" s="233">
        <f>VLOOKUP(AA396,'C PHASES'!$I$113:$J$125,2,FALSE)</f>
        <v>45931</v>
      </c>
    </row>
    <row r="397" spans="1:48" x14ac:dyDescent="0.25">
      <c r="A397" s="236"/>
      <c r="B397" s="227" t="str">
        <f t="shared" si="61"/>
        <v>B</v>
      </c>
      <c r="C397" s="227" t="s">
        <v>83</v>
      </c>
      <c r="D397" s="227" t="s">
        <v>1147</v>
      </c>
      <c r="E397" s="228">
        <v>0</v>
      </c>
      <c r="F397" s="101">
        <v>3</v>
      </c>
      <c r="G397" s="87" t="str">
        <f t="shared" si="68"/>
        <v>B1203</v>
      </c>
      <c r="H397" s="87" t="s">
        <v>1295</v>
      </c>
      <c r="I397" s="89" t="str">
        <f>VLOOKUP(C397,'PREMIUM TABLES'!$G$107:$H$149,2,FALSE)</f>
        <v>C2</v>
      </c>
      <c r="J397" s="89">
        <v>183.887</v>
      </c>
      <c r="K397" s="87">
        <v>203.74308197465874</v>
      </c>
      <c r="L397" s="87">
        <v>224</v>
      </c>
      <c r="M397" s="87">
        <v>61.527700000000003</v>
      </c>
      <c r="O397" s="87" t="s">
        <v>187</v>
      </c>
      <c r="P397" s="87" t="s">
        <v>226</v>
      </c>
      <c r="Q397" s="229" t="s">
        <v>210</v>
      </c>
      <c r="R397" s="87" t="str">
        <f>VLOOKUP(E397,'PREMIUM TABLES'!$F$214:$G$219,2,FALSE)</f>
        <v>GROUND</v>
      </c>
      <c r="S397" s="87" t="str" cm="1">
        <f t="array" ref="S397">IF(AND(L397&gt;0,L397&lt;90),"A",IF(AND(L397&gt;90,L397&lt;123),"B",IF(AND(L397&gt;122,L397&lt;159),"C",IF(AND(L397&gt;159,L397&lt;185),"D",IF(AND(L397&gt;185,L397&lt;230),"E",IF(AND(L397&gt;230,L397&lt;350),"F",NONE))))))</f>
        <v>E</v>
      </c>
      <c r="T397" s="230">
        <f>VLOOKUP(O397,'PREMIUM TABLES'!$G$165:$H$172,2,FALSE)</f>
        <v>0.08</v>
      </c>
      <c r="U397" s="230">
        <f>VLOOKUP(P397,'PREMIUM TABLES'!$G$208:$H$209,2,FALSE)</f>
        <v>0.05</v>
      </c>
      <c r="V397" s="230">
        <f>VLOOKUP(Q397,'PREMIUM TABLES'!$G$175:$H$195,2,FALSE)</f>
        <v>0.53</v>
      </c>
      <c r="W397" s="230">
        <f>VLOOKUP(R397,'PREMIUM TABLES'!$G$214:$H$219,2,FALSE)</f>
        <v>0.05</v>
      </c>
      <c r="X397" s="230">
        <f>VLOOKUP(S397,'PREMIUM TABLES'!$F$199:$H$205,3,FALSE)</f>
        <v>1.4999999999999999E-2</v>
      </c>
      <c r="Y397" s="231">
        <f t="shared" si="63"/>
        <v>0.72500000000000009</v>
      </c>
      <c r="Z397" s="231" t="str" cm="1">
        <f t="array" ref="Z397">IF(AND(Y397&gt;0,Y397&lt;0.5),"C",IF(AND(Y397&gt;=0.5,Y397&lt;0.73),"B",IF(AND(Y397&gt;=0.73,Y397&lt;0.98),"A",NONE)))</f>
        <v>B</v>
      </c>
      <c r="AA397" s="231" t="str">
        <f>VLOOKUP(G397,'ALL (R)'!$N$5:$R$862,5,FALSE)</f>
        <v>R 12</v>
      </c>
      <c r="AB397" s="232">
        <f>VLOOKUP(AA397,FACTS!$B$2:$L$14,10,FALSE)</f>
        <v>61625</v>
      </c>
      <c r="AC397" s="232">
        <f>VLOOKUP(AA397,FACTS!$B$2:$L$14,11,FALSE)</f>
        <v>68875</v>
      </c>
      <c r="AD397" s="232">
        <f>VLOOKUP(AA397,FACTS!$B$2:$N$14,13,FALSE)</f>
        <v>7250</v>
      </c>
      <c r="AE397" s="232">
        <f t="shared" si="64"/>
        <v>5256.2500000000009</v>
      </c>
      <c r="AF397" s="232">
        <f t="shared" si="65"/>
        <v>66881.25</v>
      </c>
      <c r="AG397" s="232">
        <f>AF397*FACTS!$T$2</f>
        <v>22070.8125</v>
      </c>
      <c r="AH397" s="232">
        <f>Table1[[#This Row],[UNIT (BUILDING) RATE (SEMI FINISHED)]]+4500</f>
        <v>71381.25</v>
      </c>
      <c r="AI397" s="232">
        <f>Table1[[#This Row],[UNIT (BUILDING) RATE (SEMI FINISHED)]]+7500</f>
        <v>74381.25</v>
      </c>
      <c r="AJ397" s="232">
        <f t="shared" si="66"/>
        <v>14981400</v>
      </c>
      <c r="AK397" s="232">
        <f>Table1[[#This Row],[UNIT (BUILDING) RATE (BASIC FINISH)]]*Table1[[#This Row],[Unit Selling Area]]</f>
        <v>15989400</v>
      </c>
      <c r="AL397" s="232">
        <f>Table1[[#This Row],[UNIT (BUILDING) RATE (FULLY FINISH)]]*Table1[[#This Row],[Unit Selling Area]]</f>
        <v>16661400</v>
      </c>
      <c r="AM397" s="232">
        <f t="shared" si="67"/>
        <v>1357966.33025625</v>
      </c>
      <c r="AN397" s="232">
        <f>(AM397+AJ397)*FACTS!$S$2</f>
        <v>1388846.1380717813</v>
      </c>
      <c r="AO397" s="101">
        <f>VLOOKUP(S397,FACTS!$A$17:$C$23,3,FALSE)</f>
        <v>2</v>
      </c>
      <c r="AP397" s="232">
        <f>VLOOKUP(AA397,FACTS!$B$2:$J$14,9,FALSE)</f>
        <v>290000</v>
      </c>
      <c r="AQ397" s="232">
        <f>Table1[[#This Row],[PARKING VALUE]]*1</f>
        <v>290000</v>
      </c>
      <c r="AR397" s="232">
        <f t="shared" si="62"/>
        <v>16629366.33025625</v>
      </c>
      <c r="AS397" s="440">
        <f>Table1[[#This Row],[TOTAL CARS VALUE]]+Table1[[#This Row],[UNIT (BUILDING) VALUE BASIC FINISHED]]+Table1[[#This Row],[UNIT (GARDEN) VALUE]]</f>
        <v>17637366.33025625</v>
      </c>
      <c r="AT397" s="232">
        <f>Table1[[#This Row],[TOTAL CARS VALUE]]+Table1[[#This Row],[UNIT (GARDEN) VALUE]]+Table1[[#This Row],[UNIT (BUILDING) VALUE FULLY FINISHED]]</f>
        <v>18309366.33025625</v>
      </c>
      <c r="AU397" s="233">
        <f>VLOOKUP(I397,'C PHASES'!$I$108:$J$110,2,FALSE)</f>
        <v>46204</v>
      </c>
      <c r="AV397" s="233">
        <f>VLOOKUP(AA397,'C PHASES'!$I$113:$J$125,2,FALSE)</f>
        <v>46204</v>
      </c>
    </row>
    <row r="398" spans="1:48" x14ac:dyDescent="0.25">
      <c r="A398" s="236"/>
      <c r="B398" s="227" t="str">
        <f t="shared" si="61"/>
        <v>B</v>
      </c>
      <c r="C398" s="227" t="s">
        <v>83</v>
      </c>
      <c r="D398" s="227" t="s">
        <v>1147</v>
      </c>
      <c r="E398" s="228">
        <v>0</v>
      </c>
      <c r="F398" s="101">
        <v>4</v>
      </c>
      <c r="G398" s="87" t="str">
        <f t="shared" si="68"/>
        <v>B1204</v>
      </c>
      <c r="H398" s="87" t="s">
        <v>1294</v>
      </c>
      <c r="I398" s="89" t="str">
        <f>VLOOKUP(C398,'PREMIUM TABLES'!$G$107:$H$149,2,FALSE)</f>
        <v>C2</v>
      </c>
      <c r="J398" s="89">
        <v>147.54499999999999</v>
      </c>
      <c r="K398" s="87">
        <v>163.47687998581205</v>
      </c>
      <c r="L398" s="87">
        <v>180</v>
      </c>
      <c r="M398" s="87">
        <v>86.260099999999994</v>
      </c>
      <c r="O398" s="87" t="s">
        <v>180</v>
      </c>
      <c r="P398" s="87" t="s">
        <v>226</v>
      </c>
      <c r="Q398" s="229" t="s">
        <v>198</v>
      </c>
      <c r="R398" s="87" t="str">
        <f>VLOOKUP(E398,'PREMIUM TABLES'!$F$214:$G$219,2,FALSE)</f>
        <v>GROUND</v>
      </c>
      <c r="S398" s="87" t="str" cm="1">
        <f t="array" ref="S398">IF(AND(L398&gt;0,L398&lt;90),"A",IF(AND(L398&gt;90,L398&lt;123),"B",IF(AND(L398&gt;122,L398&lt;159),"C",IF(AND(L398&gt;159,L398&lt;185),"D",IF(AND(L398&gt;185,L398&lt;230),"E",IF(AND(L398&gt;230,L398&lt;350),"F",NONE))))))</f>
        <v>D</v>
      </c>
      <c r="T398" s="230">
        <f>VLOOKUP(O398,'PREMIUM TABLES'!$G$165:$H$172,2,FALSE)</f>
        <v>0.13</v>
      </c>
      <c r="U398" s="230">
        <f>VLOOKUP(P398,'PREMIUM TABLES'!$G$208:$H$209,2,FALSE)</f>
        <v>0.05</v>
      </c>
      <c r="V398" s="230">
        <f>VLOOKUP(Q398,'PREMIUM TABLES'!$G$175:$H$195,2,FALSE)</f>
        <v>0.15</v>
      </c>
      <c r="W398" s="230">
        <f>VLOOKUP(R398,'PREMIUM TABLES'!$G$214:$H$219,2,FALSE)</f>
        <v>0.05</v>
      </c>
      <c r="X398" s="230">
        <f>VLOOKUP(S398,'PREMIUM TABLES'!$F$199:$H$205,3,FALSE)</f>
        <v>2.5000000000000001E-2</v>
      </c>
      <c r="Y398" s="231">
        <f t="shared" si="63"/>
        <v>0.40499999999999997</v>
      </c>
      <c r="Z398" s="231" t="str" cm="1">
        <f t="array" ref="Z398">IF(AND(Y398&gt;0,Y398&lt;0.5),"C",IF(AND(Y398&gt;=0.5,Y398&lt;0.73),"B",IF(AND(Y398&gt;=0.73,Y398&lt;0.98),"A",NONE)))</f>
        <v>C</v>
      </c>
      <c r="AA398" s="231" t="str">
        <f>VLOOKUP(G398,'ALL (R)'!$N$5:$R$862,5,FALSE)</f>
        <v>R 6</v>
      </c>
      <c r="AB398" s="232">
        <f>VLOOKUP(AA398,FACTS!$B$2:$L$14,10,FALSE)</f>
        <v>48450.000000000007</v>
      </c>
      <c r="AC398" s="232">
        <f>VLOOKUP(AA398,FACTS!$B$2:$L$14,11,FALSE)</f>
        <v>54150.000000000007</v>
      </c>
      <c r="AD398" s="232">
        <f>VLOOKUP(AA398,FACTS!$B$2:$N$14,13,FALSE)</f>
        <v>5700</v>
      </c>
      <c r="AE398" s="232">
        <f t="shared" si="64"/>
        <v>2308.5</v>
      </c>
      <c r="AF398" s="232">
        <f t="shared" si="65"/>
        <v>50758.500000000007</v>
      </c>
      <c r="AG398" s="232">
        <f>AF398*FACTS!$T$2</f>
        <v>16750.305000000004</v>
      </c>
      <c r="AH398" s="232">
        <f>Table1[[#This Row],[UNIT (BUILDING) RATE (SEMI FINISHED)]]+4500</f>
        <v>55258.500000000007</v>
      </c>
      <c r="AI398" s="232">
        <f>Table1[[#This Row],[UNIT (BUILDING) RATE (SEMI FINISHED)]]+7500</f>
        <v>58258.500000000007</v>
      </c>
      <c r="AJ398" s="232">
        <f t="shared" si="66"/>
        <v>9136530.0000000019</v>
      </c>
      <c r="AK398" s="232">
        <f>Table1[[#This Row],[UNIT (BUILDING) RATE (BASIC FINISH)]]*Table1[[#This Row],[Unit Selling Area]]</f>
        <v>9946530.0000000019</v>
      </c>
      <c r="AL398" s="232">
        <f>Table1[[#This Row],[UNIT (BUILDING) RATE (FULLY FINISH)]]*Table1[[#This Row],[Unit Selling Area]]</f>
        <v>10486530.000000002</v>
      </c>
      <c r="AM398" s="232">
        <f t="shared" si="67"/>
        <v>1444882.9843305002</v>
      </c>
      <c r="AN398" s="232">
        <f>(AM398+AJ398)*FACTS!$S$2</f>
        <v>899420.10366809263</v>
      </c>
      <c r="AO398" s="101">
        <f>VLOOKUP(S398,FACTS!$A$17:$C$23,3,FALSE)</f>
        <v>2</v>
      </c>
      <c r="AP398" s="232">
        <f>VLOOKUP(AA398,FACTS!$B$2:$J$14,9,FALSE)</f>
        <v>228000.00000000003</v>
      </c>
      <c r="AQ398" s="232">
        <f>Table1[[#This Row],[PARKING VALUE]]*1</f>
        <v>228000.00000000003</v>
      </c>
      <c r="AR398" s="232">
        <f t="shared" si="62"/>
        <v>10809412.984330501</v>
      </c>
      <c r="AS398" s="440">
        <f>Table1[[#This Row],[TOTAL CARS VALUE]]+Table1[[#This Row],[UNIT (BUILDING) VALUE BASIC FINISHED]]+Table1[[#This Row],[UNIT (GARDEN) VALUE]]</f>
        <v>11619412.984330501</v>
      </c>
      <c r="AT398" s="232">
        <f>Table1[[#This Row],[TOTAL CARS VALUE]]+Table1[[#This Row],[UNIT (GARDEN) VALUE]]+Table1[[#This Row],[UNIT (BUILDING) VALUE FULLY FINISHED]]</f>
        <v>12159412.984330501</v>
      </c>
      <c r="AU398" s="233">
        <f>VLOOKUP(I398,'C PHASES'!$I$108:$J$110,2,FALSE)</f>
        <v>46204</v>
      </c>
      <c r="AV398" s="233">
        <f>VLOOKUP(AA398,'C PHASES'!$I$113:$J$125,2,FALSE)</f>
        <v>45658</v>
      </c>
    </row>
    <row r="399" spans="1:48" x14ac:dyDescent="0.25">
      <c r="A399" s="236"/>
      <c r="B399" s="227" t="str">
        <f t="shared" si="61"/>
        <v>B</v>
      </c>
      <c r="C399" s="227" t="s">
        <v>83</v>
      </c>
      <c r="D399" s="227" t="s">
        <v>1147</v>
      </c>
      <c r="E399" s="228">
        <v>1</v>
      </c>
      <c r="F399" s="101">
        <v>1</v>
      </c>
      <c r="G399" s="87" t="str">
        <f t="shared" si="68"/>
        <v>B1211</v>
      </c>
      <c r="H399" s="87" t="s">
        <v>1293</v>
      </c>
      <c r="I399" s="89" t="str">
        <f>VLOOKUP(C399,'PREMIUM TABLES'!$G$107:$H$149,2,FALSE)</f>
        <v>C2</v>
      </c>
      <c r="J399" s="89">
        <v>96.311000000000007</v>
      </c>
      <c r="K399" s="87">
        <v>106.71064277551626</v>
      </c>
      <c r="L399" s="87">
        <v>117</v>
      </c>
      <c r="M399" s="89"/>
      <c r="N399" s="89"/>
      <c r="O399" s="87" t="s">
        <v>180</v>
      </c>
      <c r="P399" s="87" t="s">
        <v>190</v>
      </c>
      <c r="Q399" s="229" t="s">
        <v>198</v>
      </c>
      <c r="R399" s="87" t="str">
        <f>VLOOKUP(E399,'PREMIUM TABLES'!$F$214:$G$219,2,FALSE)</f>
        <v>FIRST</v>
      </c>
      <c r="S399" s="87" t="str" cm="1">
        <f t="array" ref="S399">IF(AND(L399&gt;0,L399&lt;90),"A",IF(AND(L399&gt;90,L399&lt;123),"B",IF(AND(L399&gt;122,L399&lt;159),"C",IF(AND(L399&gt;159,L399&lt;185),"D",IF(AND(L399&gt;185,L399&lt;230),"E",IF(AND(L399&gt;230,L399&lt;350),"F",NONE))))))</f>
        <v>B</v>
      </c>
      <c r="T399" s="230">
        <f>VLOOKUP(O399,'PREMIUM TABLES'!$G$165:$H$172,2,FALSE)</f>
        <v>0.13</v>
      </c>
      <c r="U399" s="230">
        <f>VLOOKUP(P399,'PREMIUM TABLES'!$G$208:$H$209,2,FALSE)</f>
        <v>2.5000000000000001E-2</v>
      </c>
      <c r="V399" s="230">
        <f>VLOOKUP(Q399,'PREMIUM TABLES'!$G$175:$H$195,2,FALSE)</f>
        <v>0.15</v>
      </c>
      <c r="W399" s="230">
        <f>VLOOKUP(R399,'PREMIUM TABLES'!$G$214:$H$219,2,FALSE)</f>
        <v>7.0000000000000007E-2</v>
      </c>
      <c r="X399" s="230">
        <f>VLOOKUP(S399,'PREMIUM TABLES'!$F$199:$H$205,3,FALSE)</f>
        <v>0.04</v>
      </c>
      <c r="Y399" s="231">
        <f t="shared" si="63"/>
        <v>0.41499999999999998</v>
      </c>
      <c r="Z399" s="231" t="str" cm="1">
        <f t="array" ref="Z399">IF(AND(Y399&gt;0,Y399&lt;0.5),"C",IF(AND(Y399&gt;=0.5,Y399&lt;0.73),"B",IF(AND(Y399&gt;=0.73,Y399&lt;0.98),"A",NONE)))</f>
        <v>C</v>
      </c>
      <c r="AA399" s="231" t="str">
        <f>VLOOKUP(G399,'ALL (R)'!$N$5:$R$862,5,FALSE)</f>
        <v>R 7</v>
      </c>
      <c r="AB399" s="232">
        <f>VLOOKUP(AA399,FACTS!$B$2:$L$14,10,FALSE)</f>
        <v>50150</v>
      </c>
      <c r="AC399" s="232">
        <f>VLOOKUP(AA399,FACTS!$B$2:$L$14,11,FALSE)</f>
        <v>56050</v>
      </c>
      <c r="AD399" s="232">
        <f>VLOOKUP(AA399,FACTS!$B$2:$N$14,13,FALSE)</f>
        <v>5900</v>
      </c>
      <c r="AE399" s="232">
        <f t="shared" si="64"/>
        <v>2448.5</v>
      </c>
      <c r="AF399" s="232">
        <f t="shared" si="65"/>
        <v>52598.5</v>
      </c>
      <c r="AG399" s="232">
        <f>AF399*FACTS!$T$2</f>
        <v>17357.505000000001</v>
      </c>
      <c r="AH399" s="232">
        <f>Table1[[#This Row],[UNIT (BUILDING) RATE (SEMI FINISHED)]]+4500</f>
        <v>57098.5</v>
      </c>
      <c r="AI399" s="232">
        <f>Table1[[#This Row],[UNIT (BUILDING) RATE (SEMI FINISHED)]]+7500</f>
        <v>60098.5</v>
      </c>
      <c r="AJ399" s="232">
        <f t="shared" si="66"/>
        <v>6154024.5</v>
      </c>
      <c r="AK399" s="232">
        <f>Table1[[#This Row],[UNIT (BUILDING) RATE (BASIC FINISH)]]*Table1[[#This Row],[Unit Selling Area]]</f>
        <v>6680524.5</v>
      </c>
      <c r="AL399" s="232">
        <f>Table1[[#This Row],[UNIT (BUILDING) RATE (FULLY FINISH)]]*Table1[[#This Row],[Unit Selling Area]]</f>
        <v>7031524.5</v>
      </c>
      <c r="AM399" s="232">
        <f t="shared" si="67"/>
        <v>0</v>
      </c>
      <c r="AN399" s="232">
        <f>(AM399+AJ399)*FACTS!$S$2</f>
        <v>523092.08250000002</v>
      </c>
      <c r="AO399" s="101">
        <f>VLOOKUP(S399,FACTS!$A$17:$C$23,3,FALSE)</f>
        <v>1</v>
      </c>
      <c r="AP399" s="232">
        <f>VLOOKUP(AA399,FACTS!$B$2:$J$14,9,FALSE)</f>
        <v>236000</v>
      </c>
      <c r="AQ399" s="232">
        <f>Table1[[#This Row],[PARKING VALUE]]*1</f>
        <v>236000</v>
      </c>
      <c r="AR399" s="232">
        <f t="shared" si="62"/>
        <v>6390024.5</v>
      </c>
      <c r="AS399" s="440">
        <f>Table1[[#This Row],[TOTAL CARS VALUE]]+Table1[[#This Row],[UNIT (BUILDING) VALUE BASIC FINISHED]]+Table1[[#This Row],[UNIT (GARDEN) VALUE]]</f>
        <v>6916524.5</v>
      </c>
      <c r="AT399" s="232">
        <f>Table1[[#This Row],[TOTAL CARS VALUE]]+Table1[[#This Row],[UNIT (GARDEN) VALUE]]+Table1[[#This Row],[UNIT (BUILDING) VALUE FULLY FINISHED]]</f>
        <v>7267524.5</v>
      </c>
      <c r="AU399" s="233">
        <f>VLOOKUP(I399,'C PHASES'!$I$108:$J$110,2,FALSE)</f>
        <v>46204</v>
      </c>
      <c r="AV399" s="233">
        <f>VLOOKUP(AA399,'C PHASES'!$I$113:$J$125,2,FALSE)</f>
        <v>45748</v>
      </c>
    </row>
    <row r="400" spans="1:48" x14ac:dyDescent="0.25">
      <c r="A400" s="236"/>
      <c r="B400" s="227" t="str">
        <f t="shared" si="61"/>
        <v>B</v>
      </c>
      <c r="C400" s="227" t="s">
        <v>83</v>
      </c>
      <c r="D400" s="227" t="s">
        <v>1147</v>
      </c>
      <c r="E400" s="228">
        <v>1</v>
      </c>
      <c r="F400" s="101">
        <v>2</v>
      </c>
      <c r="G400" s="87" t="str">
        <f t="shared" si="68"/>
        <v>B1212</v>
      </c>
      <c r="H400" s="87" t="s">
        <v>1294</v>
      </c>
      <c r="I400" s="89" t="str">
        <f>VLOOKUP(C400,'PREMIUM TABLES'!$G$107:$H$149,2,FALSE)</f>
        <v>C2</v>
      </c>
      <c r="J400" s="89">
        <v>162.57599999999999</v>
      </c>
      <c r="K400" s="87">
        <v>180.13092439983313</v>
      </c>
      <c r="L400" s="87">
        <v>198</v>
      </c>
      <c r="M400" s="89"/>
      <c r="N400" s="89"/>
      <c r="O400" s="87" t="s">
        <v>187</v>
      </c>
      <c r="P400" s="87" t="s">
        <v>190</v>
      </c>
      <c r="Q400" s="229" t="s">
        <v>210</v>
      </c>
      <c r="R400" s="87" t="str">
        <f>VLOOKUP(E400,'PREMIUM TABLES'!$F$214:$G$219,2,FALSE)</f>
        <v>FIRST</v>
      </c>
      <c r="S400" s="87" t="str" cm="1">
        <f t="array" ref="S400">IF(AND(L400&gt;0,L400&lt;90),"A",IF(AND(L400&gt;90,L400&lt;123),"B",IF(AND(L400&gt;122,L400&lt;159),"C",IF(AND(L400&gt;159,L400&lt;185),"D",IF(AND(L400&gt;185,L400&lt;230),"E",IF(AND(L400&gt;230,L400&lt;350),"F",NONE))))))</f>
        <v>E</v>
      </c>
      <c r="T400" s="230">
        <f>VLOOKUP(O400,'PREMIUM TABLES'!$G$165:$H$172,2,FALSE)</f>
        <v>0.08</v>
      </c>
      <c r="U400" s="230">
        <f>VLOOKUP(P400,'PREMIUM TABLES'!$G$208:$H$209,2,FALSE)</f>
        <v>2.5000000000000001E-2</v>
      </c>
      <c r="V400" s="230">
        <f>VLOOKUP(Q400,'PREMIUM TABLES'!$G$175:$H$195,2,FALSE)</f>
        <v>0.53</v>
      </c>
      <c r="W400" s="230">
        <f>VLOOKUP(R400,'PREMIUM TABLES'!$G$214:$H$219,2,FALSE)</f>
        <v>7.0000000000000007E-2</v>
      </c>
      <c r="X400" s="230">
        <f>VLOOKUP(S400,'PREMIUM TABLES'!$F$199:$H$205,3,FALSE)</f>
        <v>1.4999999999999999E-2</v>
      </c>
      <c r="Y400" s="231">
        <f t="shared" si="63"/>
        <v>0.72000000000000008</v>
      </c>
      <c r="Z400" s="231" t="str" cm="1">
        <f t="array" ref="Z400">IF(AND(Y400&gt;0,Y400&lt;0.5),"C",IF(AND(Y400&gt;=0.5,Y400&lt;0.73),"B",IF(AND(Y400&gt;=0.73,Y400&lt;0.98),"A",NONE)))</f>
        <v>B</v>
      </c>
      <c r="AA400" s="231" t="str">
        <f>VLOOKUP(G400,'ALL (R)'!$N$5:$R$862,5,FALSE)</f>
        <v>R 12</v>
      </c>
      <c r="AB400" s="232">
        <f>VLOOKUP(AA400,FACTS!$B$2:$L$14,10,FALSE)</f>
        <v>61625</v>
      </c>
      <c r="AC400" s="232">
        <f>VLOOKUP(AA400,FACTS!$B$2:$L$14,11,FALSE)</f>
        <v>68875</v>
      </c>
      <c r="AD400" s="232">
        <f>VLOOKUP(AA400,FACTS!$B$2:$N$14,13,FALSE)</f>
        <v>7250</v>
      </c>
      <c r="AE400" s="232">
        <f t="shared" si="64"/>
        <v>5220.0000000000009</v>
      </c>
      <c r="AF400" s="232">
        <f t="shared" si="65"/>
        <v>66845</v>
      </c>
      <c r="AG400" s="232">
        <f>AF400*FACTS!$T$2</f>
        <v>22058.850000000002</v>
      </c>
      <c r="AH400" s="232">
        <f>Table1[[#This Row],[UNIT (BUILDING) RATE (SEMI FINISHED)]]+4500</f>
        <v>71345</v>
      </c>
      <c r="AI400" s="232">
        <f>Table1[[#This Row],[UNIT (BUILDING) RATE (SEMI FINISHED)]]+7500</f>
        <v>74345</v>
      </c>
      <c r="AJ400" s="232">
        <f t="shared" si="66"/>
        <v>13235310</v>
      </c>
      <c r="AK400" s="232">
        <f>Table1[[#This Row],[UNIT (BUILDING) RATE (BASIC FINISH)]]*Table1[[#This Row],[Unit Selling Area]]</f>
        <v>14126310</v>
      </c>
      <c r="AL400" s="232">
        <f>Table1[[#This Row],[UNIT (BUILDING) RATE (FULLY FINISH)]]*Table1[[#This Row],[Unit Selling Area]]</f>
        <v>14720310</v>
      </c>
      <c r="AM400" s="232">
        <f t="shared" si="67"/>
        <v>0</v>
      </c>
      <c r="AN400" s="232">
        <f>(AM400+AJ400)*FACTS!$S$2</f>
        <v>1125001.3500000001</v>
      </c>
      <c r="AO400" s="101">
        <f>VLOOKUP(S400,FACTS!$A$17:$C$23,3,FALSE)</f>
        <v>2</v>
      </c>
      <c r="AP400" s="232">
        <f>VLOOKUP(AA400,FACTS!$B$2:$J$14,9,FALSE)</f>
        <v>290000</v>
      </c>
      <c r="AQ400" s="232">
        <f>Table1[[#This Row],[PARKING VALUE]]*1</f>
        <v>290000</v>
      </c>
      <c r="AR400" s="232">
        <f t="shared" si="62"/>
        <v>13525310</v>
      </c>
      <c r="AS400" s="440">
        <f>Table1[[#This Row],[TOTAL CARS VALUE]]+Table1[[#This Row],[UNIT (BUILDING) VALUE BASIC FINISHED]]+Table1[[#This Row],[UNIT (GARDEN) VALUE]]</f>
        <v>14416310</v>
      </c>
      <c r="AT400" s="232">
        <f>Table1[[#This Row],[TOTAL CARS VALUE]]+Table1[[#This Row],[UNIT (GARDEN) VALUE]]+Table1[[#This Row],[UNIT (BUILDING) VALUE FULLY FINISHED]]</f>
        <v>15010310</v>
      </c>
      <c r="AU400" s="233">
        <f>VLOOKUP(I400,'C PHASES'!$I$108:$J$110,2,FALSE)</f>
        <v>46204</v>
      </c>
      <c r="AV400" s="233">
        <f>VLOOKUP(AA400,'C PHASES'!$I$113:$J$125,2,FALSE)</f>
        <v>46204</v>
      </c>
    </row>
    <row r="401" spans="1:48" x14ac:dyDescent="0.25">
      <c r="A401" s="236"/>
      <c r="B401" s="227" t="str">
        <f t="shared" si="61"/>
        <v>B</v>
      </c>
      <c r="C401" s="227" t="s">
        <v>83</v>
      </c>
      <c r="D401" s="227" t="s">
        <v>1147</v>
      </c>
      <c r="E401" s="228">
        <v>1</v>
      </c>
      <c r="F401" s="101">
        <v>3</v>
      </c>
      <c r="G401" s="87" t="str">
        <f t="shared" si="68"/>
        <v>B1213</v>
      </c>
      <c r="H401" s="87" t="s">
        <v>1295</v>
      </c>
      <c r="I401" s="89" t="str">
        <f>VLOOKUP(C401,'PREMIUM TABLES'!$G$107:$H$149,2,FALSE)</f>
        <v>C2</v>
      </c>
      <c r="J401" s="89">
        <v>183.637</v>
      </c>
      <c r="K401" s="87">
        <v>203.46608702398976</v>
      </c>
      <c r="L401" s="87">
        <v>224</v>
      </c>
      <c r="M401" s="89"/>
      <c r="N401" s="89"/>
      <c r="O401" s="87" t="s">
        <v>187</v>
      </c>
      <c r="P401" s="87" t="s">
        <v>226</v>
      </c>
      <c r="Q401" s="229" t="s">
        <v>210</v>
      </c>
      <c r="R401" s="87" t="str">
        <f>VLOOKUP(E401,'PREMIUM TABLES'!$F$214:$G$219,2,FALSE)</f>
        <v>FIRST</v>
      </c>
      <c r="S401" s="87" t="str" cm="1">
        <f t="array" ref="S401">IF(AND(L401&gt;0,L401&lt;90),"A",IF(AND(L401&gt;90,L401&lt;123),"B",IF(AND(L401&gt;122,L401&lt;159),"C",IF(AND(L401&gt;159,L401&lt;185),"D",IF(AND(L401&gt;185,L401&lt;230),"E",IF(AND(L401&gt;230,L401&lt;350),"F",NONE))))))</f>
        <v>E</v>
      </c>
      <c r="T401" s="230">
        <f>VLOOKUP(O401,'PREMIUM TABLES'!$G$165:$H$172,2,FALSE)</f>
        <v>0.08</v>
      </c>
      <c r="U401" s="230">
        <f>VLOOKUP(P401,'PREMIUM TABLES'!$G$208:$H$209,2,FALSE)</f>
        <v>0.05</v>
      </c>
      <c r="V401" s="230">
        <f>VLOOKUP(Q401,'PREMIUM TABLES'!$G$175:$H$195,2,FALSE)</f>
        <v>0.53</v>
      </c>
      <c r="W401" s="230">
        <f>VLOOKUP(R401,'PREMIUM TABLES'!$G$214:$H$219,2,FALSE)</f>
        <v>7.0000000000000007E-2</v>
      </c>
      <c r="X401" s="230">
        <f>VLOOKUP(S401,'PREMIUM TABLES'!$F$199:$H$205,3,FALSE)</f>
        <v>1.4999999999999999E-2</v>
      </c>
      <c r="Y401" s="231">
        <f t="shared" si="63"/>
        <v>0.745</v>
      </c>
      <c r="Z401" s="231" t="str" cm="1">
        <f t="array" ref="Z401">IF(AND(Y401&gt;0,Y401&lt;0.5),"C",IF(AND(Y401&gt;=0.5,Y401&lt;0.73),"B",IF(AND(Y401&gt;=0.73,Y401&lt;0.98),"A",NONE)))</f>
        <v>A</v>
      </c>
      <c r="AA401" s="231" t="str">
        <f>VLOOKUP(G401,'ALL (R)'!$N$5:$R$862,5,FALSE)</f>
        <v>R 1</v>
      </c>
      <c r="AB401" s="232">
        <f>VLOOKUP(AA401,FACTS!$B$2:$L$14,10,FALSE)</f>
        <v>42500</v>
      </c>
      <c r="AC401" s="232">
        <f>VLOOKUP(AA401,FACTS!$B$2:$L$14,11,FALSE)</f>
        <v>47500</v>
      </c>
      <c r="AD401" s="232">
        <f>VLOOKUP(AA401,FACTS!$B$2:$N$14,13,FALSE)</f>
        <v>5000</v>
      </c>
      <c r="AE401" s="232">
        <f t="shared" si="64"/>
        <v>3725</v>
      </c>
      <c r="AF401" s="232">
        <f t="shared" si="65"/>
        <v>46225</v>
      </c>
      <c r="AG401" s="232">
        <f>AF401*FACTS!$T$2</f>
        <v>15254.25</v>
      </c>
      <c r="AH401" s="232">
        <f>Table1[[#This Row],[UNIT (BUILDING) RATE (SEMI FINISHED)]]+4500</f>
        <v>50725</v>
      </c>
      <c r="AI401" s="232">
        <f>Table1[[#This Row],[UNIT (BUILDING) RATE (SEMI FINISHED)]]+7500</f>
        <v>53725</v>
      </c>
      <c r="AJ401" s="232">
        <f t="shared" si="66"/>
        <v>10354400</v>
      </c>
      <c r="AK401" s="232">
        <f>Table1[[#This Row],[UNIT (BUILDING) RATE (BASIC FINISH)]]*Table1[[#This Row],[Unit Selling Area]]</f>
        <v>11362400</v>
      </c>
      <c r="AL401" s="232">
        <f>Table1[[#This Row],[UNIT (BUILDING) RATE (FULLY FINISH)]]*Table1[[#This Row],[Unit Selling Area]]</f>
        <v>12034400</v>
      </c>
      <c r="AM401" s="232">
        <f t="shared" si="67"/>
        <v>0</v>
      </c>
      <c r="AN401" s="232">
        <f>(AM401+AJ401)*FACTS!$S$2</f>
        <v>880124.00000000012</v>
      </c>
      <c r="AO401" s="101">
        <f>VLOOKUP(S401,FACTS!$A$17:$C$23,3,FALSE)</f>
        <v>2</v>
      </c>
      <c r="AP401" s="232">
        <f>VLOOKUP(AA401,FACTS!$B$2:$J$14,9,FALSE)</f>
        <v>200000</v>
      </c>
      <c r="AQ401" s="232">
        <f>Table1[[#This Row],[PARKING VALUE]]*1</f>
        <v>200000</v>
      </c>
      <c r="AR401" s="232">
        <f t="shared" si="62"/>
        <v>10554400</v>
      </c>
      <c r="AS401" s="440">
        <f>Table1[[#This Row],[TOTAL CARS VALUE]]+Table1[[#This Row],[UNIT (BUILDING) VALUE BASIC FINISHED]]+Table1[[#This Row],[UNIT (GARDEN) VALUE]]</f>
        <v>11562400</v>
      </c>
      <c r="AT401" s="232">
        <f>Table1[[#This Row],[TOTAL CARS VALUE]]+Table1[[#This Row],[UNIT (GARDEN) VALUE]]+Table1[[#This Row],[UNIT (BUILDING) VALUE FULLY FINISHED]]</f>
        <v>12234400</v>
      </c>
      <c r="AU401" s="233">
        <f>VLOOKUP(I401,'C PHASES'!$I$108:$J$110,2,FALSE)</f>
        <v>46204</v>
      </c>
      <c r="AV401" s="233">
        <f>VLOOKUP(AA401,'C PHASES'!$I$113:$J$125,2,FALSE)</f>
        <v>45170</v>
      </c>
    </row>
    <row r="402" spans="1:48" x14ac:dyDescent="0.25">
      <c r="A402" s="236"/>
      <c r="B402" s="227" t="str">
        <f t="shared" si="61"/>
        <v>B</v>
      </c>
      <c r="C402" s="227" t="s">
        <v>83</v>
      </c>
      <c r="D402" s="227" t="s">
        <v>1147</v>
      </c>
      <c r="E402" s="228">
        <v>1</v>
      </c>
      <c r="F402" s="101">
        <v>4</v>
      </c>
      <c r="G402" s="87" t="str">
        <f t="shared" si="68"/>
        <v>B1214</v>
      </c>
      <c r="H402" s="87" t="s">
        <v>1294</v>
      </c>
      <c r="I402" s="89" t="str">
        <f>VLOOKUP(C402,'PREMIUM TABLES'!$G$107:$H$149,2,FALSE)</f>
        <v>C2</v>
      </c>
      <c r="J402" s="89">
        <v>141.66300000000001</v>
      </c>
      <c r="K402" s="87">
        <v>156.95974278647259</v>
      </c>
      <c r="L402" s="87">
        <v>173</v>
      </c>
      <c r="M402" s="89"/>
      <c r="N402" s="89"/>
      <c r="O402" s="87" t="s">
        <v>180</v>
      </c>
      <c r="P402" s="87" t="s">
        <v>226</v>
      </c>
      <c r="Q402" s="229" t="s">
        <v>198</v>
      </c>
      <c r="R402" s="87" t="str">
        <f>VLOOKUP(E402,'PREMIUM TABLES'!$F$214:$G$219,2,FALSE)</f>
        <v>FIRST</v>
      </c>
      <c r="S402" s="87" t="str" cm="1">
        <f t="array" ref="S402">IF(AND(L402&gt;0,L402&lt;90),"A",IF(AND(L402&gt;90,L402&lt;123),"B",IF(AND(L402&gt;122,L402&lt;159),"C",IF(AND(L402&gt;159,L402&lt;185),"D",IF(AND(L402&gt;185,L402&lt;230),"E",IF(AND(L402&gt;230,L402&lt;350),"F",NONE))))))</f>
        <v>D</v>
      </c>
      <c r="T402" s="230">
        <f>VLOOKUP(O402,'PREMIUM TABLES'!$G$165:$H$172,2,FALSE)</f>
        <v>0.13</v>
      </c>
      <c r="U402" s="230">
        <f>VLOOKUP(P402,'PREMIUM TABLES'!$G$208:$H$209,2,FALSE)</f>
        <v>0.05</v>
      </c>
      <c r="V402" s="230">
        <f>VLOOKUP(Q402,'PREMIUM TABLES'!$G$175:$H$195,2,FALSE)</f>
        <v>0.15</v>
      </c>
      <c r="W402" s="230">
        <f>VLOOKUP(R402,'PREMIUM TABLES'!$G$214:$H$219,2,FALSE)</f>
        <v>7.0000000000000007E-2</v>
      </c>
      <c r="X402" s="230">
        <f>VLOOKUP(S402,'PREMIUM TABLES'!$F$199:$H$205,3,FALSE)</f>
        <v>2.5000000000000001E-2</v>
      </c>
      <c r="Y402" s="231">
        <f t="shared" si="63"/>
        <v>0.42499999999999999</v>
      </c>
      <c r="Z402" s="231" t="str" cm="1">
        <f t="array" ref="Z402">IF(AND(Y402&gt;0,Y402&lt;0.5),"C",IF(AND(Y402&gt;=0.5,Y402&lt;0.73),"B",IF(AND(Y402&gt;=0.73,Y402&lt;0.98),"A",NONE)))</f>
        <v>C</v>
      </c>
      <c r="AA402" s="231" t="str">
        <f>VLOOKUP(G402,'ALL (R)'!$N$5:$R$862,5,FALSE)</f>
        <v>R 8</v>
      </c>
      <c r="AB402" s="232">
        <f>VLOOKUP(AA402,FACTS!$B$2:$L$14,10,FALSE)</f>
        <v>51850</v>
      </c>
      <c r="AC402" s="232">
        <f>VLOOKUP(AA402,FACTS!$B$2:$L$14,11,FALSE)</f>
        <v>57950</v>
      </c>
      <c r="AD402" s="232">
        <f>VLOOKUP(AA402,FACTS!$B$2:$N$14,13,FALSE)</f>
        <v>6100</v>
      </c>
      <c r="AE402" s="232">
        <f t="shared" si="64"/>
        <v>2592.5</v>
      </c>
      <c r="AF402" s="232">
        <f t="shared" si="65"/>
        <v>54442.5</v>
      </c>
      <c r="AG402" s="232">
        <f>AF402*FACTS!$T$2</f>
        <v>17966.025000000001</v>
      </c>
      <c r="AH402" s="232">
        <f>Table1[[#This Row],[UNIT (BUILDING) RATE (SEMI FINISHED)]]+4500</f>
        <v>58942.5</v>
      </c>
      <c r="AI402" s="232">
        <f>Table1[[#This Row],[UNIT (BUILDING) RATE (SEMI FINISHED)]]+7500</f>
        <v>61942.5</v>
      </c>
      <c r="AJ402" s="232">
        <f t="shared" si="66"/>
        <v>9418552.5</v>
      </c>
      <c r="AK402" s="232">
        <f>Table1[[#This Row],[UNIT (BUILDING) RATE (BASIC FINISH)]]*Table1[[#This Row],[Unit Selling Area]]</f>
        <v>10197052.5</v>
      </c>
      <c r="AL402" s="232">
        <f>Table1[[#This Row],[UNIT (BUILDING) RATE (FULLY FINISH)]]*Table1[[#This Row],[Unit Selling Area]]</f>
        <v>10716052.5</v>
      </c>
      <c r="AM402" s="232">
        <f t="shared" si="67"/>
        <v>0</v>
      </c>
      <c r="AN402" s="232">
        <f>(AM402+AJ402)*FACTS!$S$2</f>
        <v>800576.96250000002</v>
      </c>
      <c r="AO402" s="101">
        <f>VLOOKUP(S402,FACTS!$A$17:$C$23,3,FALSE)</f>
        <v>2</v>
      </c>
      <c r="AP402" s="232">
        <f>VLOOKUP(AA402,FACTS!$B$2:$J$14,9,FALSE)</f>
        <v>244000</v>
      </c>
      <c r="AQ402" s="232">
        <f>Table1[[#This Row],[PARKING VALUE]]*1</f>
        <v>244000</v>
      </c>
      <c r="AR402" s="232">
        <f t="shared" si="62"/>
        <v>9662552.5</v>
      </c>
      <c r="AS402" s="440">
        <f>Table1[[#This Row],[TOTAL CARS VALUE]]+Table1[[#This Row],[UNIT (BUILDING) VALUE BASIC FINISHED]]+Table1[[#This Row],[UNIT (GARDEN) VALUE]]</f>
        <v>10441052.5</v>
      </c>
      <c r="AT402" s="232">
        <f>Table1[[#This Row],[TOTAL CARS VALUE]]+Table1[[#This Row],[UNIT (GARDEN) VALUE]]+Table1[[#This Row],[UNIT (BUILDING) VALUE FULLY FINISHED]]</f>
        <v>10960052.5</v>
      </c>
      <c r="AU402" s="233">
        <f>VLOOKUP(I402,'C PHASES'!$I$108:$J$110,2,FALSE)</f>
        <v>46204</v>
      </c>
      <c r="AV402" s="233">
        <f>VLOOKUP(AA402,'C PHASES'!$I$113:$J$125,2,FALSE)</f>
        <v>45839</v>
      </c>
    </row>
    <row r="403" spans="1:48" x14ac:dyDescent="0.25">
      <c r="A403" s="236"/>
      <c r="B403" s="227" t="str">
        <f t="shared" si="61"/>
        <v>B</v>
      </c>
      <c r="C403" s="227" t="s">
        <v>83</v>
      </c>
      <c r="D403" s="227" t="s">
        <v>1147</v>
      </c>
      <c r="E403" s="228">
        <v>2</v>
      </c>
      <c r="F403" s="101">
        <v>1</v>
      </c>
      <c r="G403" s="87" t="str">
        <f t="shared" si="68"/>
        <v>B1221</v>
      </c>
      <c r="H403" s="87" t="s">
        <v>1294</v>
      </c>
      <c r="I403" s="89" t="str">
        <f>VLOOKUP(C403,'PREMIUM TABLES'!$G$107:$H$149,2,FALSE)</f>
        <v>C2</v>
      </c>
      <c r="J403" s="89">
        <v>141.22499999999999</v>
      </c>
      <c r="K403" s="87">
        <v>156.47444763290054</v>
      </c>
      <c r="L403" s="87">
        <v>172</v>
      </c>
      <c r="M403" s="89"/>
      <c r="N403" s="89"/>
      <c r="O403" s="87" t="s">
        <v>180</v>
      </c>
      <c r="P403" s="87" t="s">
        <v>190</v>
      </c>
      <c r="Q403" s="229" t="s">
        <v>198</v>
      </c>
      <c r="R403" s="87" t="str">
        <f>VLOOKUP(E403,'PREMIUM TABLES'!$F$214:$G$219,2,FALSE)</f>
        <v>SECOND</v>
      </c>
      <c r="S403" s="87" t="str" cm="1">
        <f t="array" ref="S403">IF(AND(L403&gt;0,L403&lt;90),"A",IF(AND(L403&gt;90,L403&lt;123),"B",IF(AND(L403&gt;122,L403&lt;159),"C",IF(AND(L403&gt;159,L403&lt;185),"D",IF(AND(L403&gt;185,L403&lt;230),"E",IF(AND(L403&gt;230,L403&lt;350),"F",NONE))))))</f>
        <v>D</v>
      </c>
      <c r="T403" s="230">
        <f>VLOOKUP(O403,'PREMIUM TABLES'!$G$165:$H$172,2,FALSE)</f>
        <v>0.13</v>
      </c>
      <c r="U403" s="230">
        <f>VLOOKUP(P403,'PREMIUM TABLES'!$G$208:$H$209,2,FALSE)</f>
        <v>2.5000000000000001E-2</v>
      </c>
      <c r="V403" s="230">
        <f>VLOOKUP(Q403,'PREMIUM TABLES'!$G$175:$H$195,2,FALSE)</f>
        <v>0.15</v>
      </c>
      <c r="W403" s="230">
        <f>VLOOKUP(R403,'PREMIUM TABLES'!$G$214:$H$219,2,FALSE)</f>
        <v>0.11</v>
      </c>
      <c r="X403" s="230">
        <f>VLOOKUP(S403,'PREMIUM TABLES'!$F$199:$H$205,3,FALSE)</f>
        <v>2.5000000000000001E-2</v>
      </c>
      <c r="Y403" s="231">
        <f t="shared" si="63"/>
        <v>0.44</v>
      </c>
      <c r="Z403" s="231" t="str" cm="1">
        <f t="array" ref="Z403">IF(AND(Y403&gt;0,Y403&lt;0.5),"C",IF(AND(Y403&gt;=0.5,Y403&lt;0.73),"B",IF(AND(Y403&gt;=0.73,Y403&lt;0.98),"A",NONE)))</f>
        <v>C</v>
      </c>
      <c r="AA403" s="231" t="str">
        <f>VLOOKUP(G403,'ALL (R)'!$N$5:$R$862,5,FALSE)</f>
        <v>R 8</v>
      </c>
      <c r="AB403" s="232">
        <f>VLOOKUP(AA403,FACTS!$B$2:$L$14,10,FALSE)</f>
        <v>51850</v>
      </c>
      <c r="AC403" s="232">
        <f>VLOOKUP(AA403,FACTS!$B$2:$L$14,11,FALSE)</f>
        <v>57950</v>
      </c>
      <c r="AD403" s="232">
        <f>VLOOKUP(AA403,FACTS!$B$2:$N$14,13,FALSE)</f>
        <v>6100</v>
      </c>
      <c r="AE403" s="232">
        <f t="shared" si="64"/>
        <v>2684</v>
      </c>
      <c r="AF403" s="232">
        <f t="shared" si="65"/>
        <v>54534</v>
      </c>
      <c r="AG403" s="232">
        <f>AF403*FACTS!$T$2</f>
        <v>17996.22</v>
      </c>
      <c r="AH403" s="232">
        <f>Table1[[#This Row],[UNIT (BUILDING) RATE (SEMI FINISHED)]]+4500</f>
        <v>59034</v>
      </c>
      <c r="AI403" s="232">
        <f>Table1[[#This Row],[UNIT (BUILDING) RATE (SEMI FINISHED)]]+7500</f>
        <v>62034</v>
      </c>
      <c r="AJ403" s="232">
        <f t="shared" si="66"/>
        <v>9379848</v>
      </c>
      <c r="AK403" s="232">
        <f>Table1[[#This Row],[UNIT (BUILDING) RATE (BASIC FINISH)]]*Table1[[#This Row],[Unit Selling Area]]</f>
        <v>10153848</v>
      </c>
      <c r="AL403" s="232">
        <f>Table1[[#This Row],[UNIT (BUILDING) RATE (FULLY FINISH)]]*Table1[[#This Row],[Unit Selling Area]]</f>
        <v>10669848</v>
      </c>
      <c r="AM403" s="232">
        <f t="shared" si="67"/>
        <v>0</v>
      </c>
      <c r="AN403" s="232">
        <f>(AM403+AJ403)*FACTS!$S$2</f>
        <v>797287.08000000007</v>
      </c>
      <c r="AO403" s="101">
        <f>VLOOKUP(S403,FACTS!$A$17:$C$23,3,FALSE)</f>
        <v>2</v>
      </c>
      <c r="AP403" s="232">
        <f>VLOOKUP(AA403,FACTS!$B$2:$J$14,9,FALSE)</f>
        <v>244000</v>
      </c>
      <c r="AQ403" s="232">
        <f>Table1[[#This Row],[PARKING VALUE]]*1</f>
        <v>244000</v>
      </c>
      <c r="AR403" s="232">
        <f t="shared" si="62"/>
        <v>9623848</v>
      </c>
      <c r="AS403" s="440">
        <f>Table1[[#This Row],[TOTAL CARS VALUE]]+Table1[[#This Row],[UNIT (BUILDING) VALUE BASIC FINISHED]]+Table1[[#This Row],[UNIT (GARDEN) VALUE]]</f>
        <v>10397848</v>
      </c>
      <c r="AT403" s="232">
        <f>Table1[[#This Row],[TOTAL CARS VALUE]]+Table1[[#This Row],[UNIT (GARDEN) VALUE]]+Table1[[#This Row],[UNIT (BUILDING) VALUE FULLY FINISHED]]</f>
        <v>10913848</v>
      </c>
      <c r="AU403" s="233">
        <f>VLOOKUP(I403,'C PHASES'!$I$108:$J$110,2,FALSE)</f>
        <v>46204</v>
      </c>
      <c r="AV403" s="233">
        <f>VLOOKUP(AA403,'C PHASES'!$I$113:$J$125,2,FALSE)</f>
        <v>45839</v>
      </c>
    </row>
    <row r="404" spans="1:48" x14ac:dyDescent="0.25">
      <c r="A404" s="236"/>
      <c r="B404" s="227" t="str">
        <f t="shared" si="61"/>
        <v>B</v>
      </c>
      <c r="C404" s="227" t="s">
        <v>83</v>
      </c>
      <c r="D404" s="227" t="s">
        <v>1147</v>
      </c>
      <c r="E404" s="228">
        <v>2</v>
      </c>
      <c r="F404" s="101">
        <v>2</v>
      </c>
      <c r="G404" s="87" t="str">
        <f t="shared" si="68"/>
        <v>B1222</v>
      </c>
      <c r="H404" s="87" t="s">
        <v>1294</v>
      </c>
      <c r="I404" s="89" t="str">
        <f>VLOOKUP(C404,'PREMIUM TABLES'!$G$107:$H$149,2,FALSE)</f>
        <v>C2</v>
      </c>
      <c r="J404" s="89">
        <v>167.214</v>
      </c>
      <c r="K404" s="87">
        <v>185.26973472464385</v>
      </c>
      <c r="L404" s="87">
        <v>204</v>
      </c>
      <c r="M404" s="89"/>
      <c r="N404" s="89"/>
      <c r="O404" s="87" t="s">
        <v>187</v>
      </c>
      <c r="P404" s="87" t="s">
        <v>190</v>
      </c>
      <c r="Q404" s="229" t="s">
        <v>210</v>
      </c>
      <c r="R404" s="87" t="str">
        <f>VLOOKUP(E404,'PREMIUM TABLES'!$F$214:$G$219,2,FALSE)</f>
        <v>SECOND</v>
      </c>
      <c r="S404" s="87" t="str" cm="1">
        <f t="array" ref="S404">IF(AND(L404&gt;0,L404&lt;90),"A",IF(AND(L404&gt;90,L404&lt;123),"B",IF(AND(L404&gt;122,L404&lt;159),"C",IF(AND(L404&gt;159,L404&lt;185),"D",IF(AND(L404&gt;185,L404&lt;230),"E",IF(AND(L404&gt;230,L404&lt;350),"F",NONE))))))</f>
        <v>E</v>
      </c>
      <c r="T404" s="230">
        <f>VLOOKUP(O404,'PREMIUM TABLES'!$G$165:$H$172,2,FALSE)</f>
        <v>0.08</v>
      </c>
      <c r="U404" s="230">
        <f>VLOOKUP(P404,'PREMIUM TABLES'!$G$208:$H$209,2,FALSE)</f>
        <v>2.5000000000000001E-2</v>
      </c>
      <c r="V404" s="230">
        <f>VLOOKUP(Q404,'PREMIUM TABLES'!$G$175:$H$195,2,FALSE)</f>
        <v>0.53</v>
      </c>
      <c r="W404" s="230">
        <f>VLOOKUP(R404,'PREMIUM TABLES'!$G$214:$H$219,2,FALSE)</f>
        <v>0.11</v>
      </c>
      <c r="X404" s="230">
        <f>VLOOKUP(S404,'PREMIUM TABLES'!$F$199:$H$205,3,FALSE)</f>
        <v>1.4999999999999999E-2</v>
      </c>
      <c r="Y404" s="231">
        <f t="shared" si="63"/>
        <v>0.76</v>
      </c>
      <c r="Z404" s="231" t="str" cm="1">
        <f t="array" ref="Z404">IF(AND(Y404&gt;0,Y404&lt;0.5),"C",IF(AND(Y404&gt;=0.5,Y404&lt;0.73),"B",IF(AND(Y404&gt;=0.73,Y404&lt;0.98),"A",NONE)))</f>
        <v>A</v>
      </c>
      <c r="AA404" s="231" t="str">
        <f>VLOOKUP(G404,'ALL (R)'!$N$5:$R$862,5,FALSE)</f>
        <v>R 2</v>
      </c>
      <c r="AB404" s="232">
        <f>VLOOKUP(AA404,FACTS!$B$2:$L$14,10,FALSE)</f>
        <v>43562.499999999993</v>
      </c>
      <c r="AC404" s="232">
        <f>VLOOKUP(AA404,FACTS!$B$2:$L$14,11,FALSE)</f>
        <v>48687.499999999993</v>
      </c>
      <c r="AD404" s="232">
        <f>VLOOKUP(AA404,FACTS!$B$2:$N$14,13,FALSE)</f>
        <v>5125</v>
      </c>
      <c r="AE404" s="232">
        <f t="shared" si="64"/>
        <v>3895</v>
      </c>
      <c r="AF404" s="232">
        <f t="shared" si="65"/>
        <v>47457.499999999993</v>
      </c>
      <c r="AG404" s="232">
        <f>AF404*FACTS!$T$2</f>
        <v>15660.974999999999</v>
      </c>
      <c r="AH404" s="232">
        <f>Table1[[#This Row],[UNIT (BUILDING) RATE (SEMI FINISHED)]]+4500</f>
        <v>51957.499999999993</v>
      </c>
      <c r="AI404" s="232">
        <f>Table1[[#This Row],[UNIT (BUILDING) RATE (SEMI FINISHED)]]+7500</f>
        <v>54957.499999999993</v>
      </c>
      <c r="AJ404" s="232">
        <f t="shared" si="66"/>
        <v>9681329.9999999981</v>
      </c>
      <c r="AK404" s="232">
        <f>Table1[[#This Row],[UNIT (BUILDING) RATE (BASIC FINISH)]]*Table1[[#This Row],[Unit Selling Area]]</f>
        <v>10599329.999999998</v>
      </c>
      <c r="AL404" s="232">
        <f>Table1[[#This Row],[UNIT (BUILDING) RATE (FULLY FINISH)]]*Table1[[#This Row],[Unit Selling Area]]</f>
        <v>11211329.999999998</v>
      </c>
      <c r="AM404" s="232">
        <f t="shared" si="67"/>
        <v>0</v>
      </c>
      <c r="AN404" s="232">
        <f>(AM404+AJ404)*FACTS!$S$2</f>
        <v>822913.04999999993</v>
      </c>
      <c r="AO404" s="101">
        <f>VLOOKUP(S404,FACTS!$A$17:$C$23,3,FALSE)</f>
        <v>2</v>
      </c>
      <c r="AP404" s="232">
        <f>VLOOKUP(AA404,FACTS!$B$2:$J$14,9,FALSE)</f>
        <v>204999.99999999997</v>
      </c>
      <c r="AQ404" s="232">
        <f>Table1[[#This Row],[PARKING VALUE]]*1</f>
        <v>204999.99999999997</v>
      </c>
      <c r="AR404" s="232">
        <f t="shared" si="62"/>
        <v>9886329.9999999981</v>
      </c>
      <c r="AS404" s="440">
        <f>Table1[[#This Row],[TOTAL CARS VALUE]]+Table1[[#This Row],[UNIT (BUILDING) VALUE BASIC FINISHED]]+Table1[[#This Row],[UNIT (GARDEN) VALUE]]</f>
        <v>10804329.999999998</v>
      </c>
      <c r="AT404" s="232">
        <f>Table1[[#This Row],[TOTAL CARS VALUE]]+Table1[[#This Row],[UNIT (GARDEN) VALUE]]+Table1[[#This Row],[UNIT (BUILDING) VALUE FULLY FINISHED]]</f>
        <v>11416329.999999998</v>
      </c>
      <c r="AU404" s="233">
        <f>VLOOKUP(I404,'C PHASES'!$I$108:$J$110,2,FALSE)</f>
        <v>46204</v>
      </c>
      <c r="AV404" s="233">
        <f>VLOOKUP(AA404,'C PHASES'!$I$113:$J$125,2,FALSE)</f>
        <v>45292</v>
      </c>
    </row>
    <row r="405" spans="1:48" x14ac:dyDescent="0.25">
      <c r="A405" s="236"/>
      <c r="B405" s="227" t="str">
        <f t="shared" si="61"/>
        <v>B</v>
      </c>
      <c r="C405" s="227" t="s">
        <v>83</v>
      </c>
      <c r="D405" s="227" t="s">
        <v>1147</v>
      </c>
      <c r="E405" s="228">
        <v>2</v>
      </c>
      <c r="F405" s="101">
        <v>3</v>
      </c>
      <c r="G405" s="87" t="str">
        <f t="shared" si="68"/>
        <v>B1223</v>
      </c>
      <c r="H405" s="87" t="s">
        <v>1295</v>
      </c>
      <c r="I405" s="89" t="str">
        <f>VLOOKUP(C405,'PREMIUM TABLES'!$G$107:$H$149,2,FALSE)</f>
        <v>C2</v>
      </c>
      <c r="J405" s="89">
        <v>187.10300000000001</v>
      </c>
      <c r="K405" s="87">
        <v>207.30634502006436</v>
      </c>
      <c r="L405" s="87">
        <v>228</v>
      </c>
      <c r="M405" s="89"/>
      <c r="N405" s="89"/>
      <c r="O405" s="87" t="s">
        <v>187</v>
      </c>
      <c r="P405" s="87" t="s">
        <v>226</v>
      </c>
      <c r="Q405" s="229" t="s">
        <v>210</v>
      </c>
      <c r="R405" s="87" t="str">
        <f>VLOOKUP(E405,'PREMIUM TABLES'!$F$214:$G$219,2,FALSE)</f>
        <v>SECOND</v>
      </c>
      <c r="S405" s="87" t="str" cm="1">
        <f t="array" ref="S405">IF(AND(L405&gt;0,L405&lt;90),"A",IF(AND(L405&gt;90,L405&lt;123),"B",IF(AND(L405&gt;122,L405&lt;159),"C",IF(AND(L405&gt;159,L405&lt;185),"D",IF(AND(L405&gt;185,L405&lt;230),"E",IF(AND(L405&gt;230,L405&lt;350),"F",NONE))))))</f>
        <v>E</v>
      </c>
      <c r="T405" s="230">
        <f>VLOOKUP(O405,'PREMIUM TABLES'!$G$165:$H$172,2,FALSE)</f>
        <v>0.08</v>
      </c>
      <c r="U405" s="230">
        <f>VLOOKUP(P405,'PREMIUM TABLES'!$G$208:$H$209,2,FALSE)</f>
        <v>0.05</v>
      </c>
      <c r="V405" s="230">
        <f>VLOOKUP(Q405,'PREMIUM TABLES'!$G$175:$H$195,2,FALSE)</f>
        <v>0.53</v>
      </c>
      <c r="W405" s="230">
        <f>VLOOKUP(R405,'PREMIUM TABLES'!$G$214:$H$219,2,FALSE)</f>
        <v>0.11</v>
      </c>
      <c r="X405" s="230">
        <f>VLOOKUP(S405,'PREMIUM TABLES'!$F$199:$H$205,3,FALSE)</f>
        <v>1.4999999999999999E-2</v>
      </c>
      <c r="Y405" s="231">
        <f t="shared" si="63"/>
        <v>0.78500000000000003</v>
      </c>
      <c r="Z405" s="231" t="str" cm="1">
        <f t="array" ref="Z405">IF(AND(Y405&gt;0,Y405&lt;0.5),"C",IF(AND(Y405&gt;=0.5,Y405&lt;0.73),"B",IF(AND(Y405&gt;=0.73,Y405&lt;0.98),"A",NONE)))</f>
        <v>A</v>
      </c>
      <c r="AA405" s="231" t="str">
        <f>VLOOKUP(G405,'ALL (R)'!$N$5:$R$862,5,FALSE)</f>
        <v>R 4</v>
      </c>
      <c r="AB405" s="232">
        <f>VLOOKUP(AA405,FACTS!$B$2:$L$14,10,FALSE)</f>
        <v>45687.5</v>
      </c>
      <c r="AC405" s="232">
        <f>VLOOKUP(AA405,FACTS!$B$2:$L$14,11,FALSE)</f>
        <v>51062.5</v>
      </c>
      <c r="AD405" s="232">
        <f>VLOOKUP(AA405,FACTS!$B$2:$N$14,13,FALSE)</f>
        <v>5375</v>
      </c>
      <c r="AE405" s="232">
        <f t="shared" si="64"/>
        <v>4219.375</v>
      </c>
      <c r="AF405" s="232">
        <f t="shared" si="65"/>
        <v>49906.875</v>
      </c>
      <c r="AG405" s="232">
        <f>AF405*FACTS!$T$2</f>
        <v>16469.268749999999</v>
      </c>
      <c r="AH405" s="232">
        <f>Table1[[#This Row],[UNIT (BUILDING) RATE (SEMI FINISHED)]]+4500</f>
        <v>54406.875</v>
      </c>
      <c r="AI405" s="232">
        <f>Table1[[#This Row],[UNIT (BUILDING) RATE (SEMI FINISHED)]]+7500</f>
        <v>57406.875</v>
      </c>
      <c r="AJ405" s="232">
        <f t="shared" si="66"/>
        <v>11378767.5</v>
      </c>
      <c r="AK405" s="232">
        <f>Table1[[#This Row],[UNIT (BUILDING) RATE (BASIC FINISH)]]*Table1[[#This Row],[Unit Selling Area]]</f>
        <v>12404767.5</v>
      </c>
      <c r="AL405" s="232">
        <f>Table1[[#This Row],[UNIT (BUILDING) RATE (FULLY FINISH)]]*Table1[[#This Row],[Unit Selling Area]]</f>
        <v>13088767.5</v>
      </c>
      <c r="AM405" s="232">
        <f t="shared" si="67"/>
        <v>0</v>
      </c>
      <c r="AN405" s="232">
        <f>(AM405+AJ405)*FACTS!$S$2</f>
        <v>967195.23750000005</v>
      </c>
      <c r="AO405" s="101">
        <f>VLOOKUP(S405,FACTS!$A$17:$C$23,3,FALSE)</f>
        <v>2</v>
      </c>
      <c r="AP405" s="232">
        <f>VLOOKUP(AA405,FACTS!$B$2:$J$14,9,FALSE)</f>
        <v>215000</v>
      </c>
      <c r="AQ405" s="232">
        <f>Table1[[#This Row],[PARKING VALUE]]*1</f>
        <v>215000</v>
      </c>
      <c r="AR405" s="232">
        <f t="shared" si="62"/>
        <v>11593767.5</v>
      </c>
      <c r="AS405" s="440">
        <f>Table1[[#This Row],[TOTAL CARS VALUE]]+Table1[[#This Row],[UNIT (BUILDING) VALUE BASIC FINISHED]]+Table1[[#This Row],[UNIT (GARDEN) VALUE]]</f>
        <v>12619767.5</v>
      </c>
      <c r="AT405" s="232">
        <f>Table1[[#This Row],[TOTAL CARS VALUE]]+Table1[[#This Row],[UNIT (GARDEN) VALUE]]+Table1[[#This Row],[UNIT (BUILDING) VALUE FULLY FINISHED]]</f>
        <v>13303767.5</v>
      </c>
      <c r="AU405" s="233">
        <f>VLOOKUP(I405,'C PHASES'!$I$108:$J$110,2,FALSE)</f>
        <v>46204</v>
      </c>
      <c r="AV405" s="233">
        <f>VLOOKUP(AA405,'C PHASES'!$I$113:$J$125,2,FALSE)</f>
        <v>45474</v>
      </c>
    </row>
    <row r="406" spans="1:48" x14ac:dyDescent="0.25">
      <c r="A406" s="236"/>
      <c r="B406" s="227" t="str">
        <f t="shared" si="61"/>
        <v>B</v>
      </c>
      <c r="C406" s="227" t="s">
        <v>83</v>
      </c>
      <c r="D406" s="227" t="s">
        <v>1147</v>
      </c>
      <c r="E406" s="228">
        <v>2</v>
      </c>
      <c r="F406" s="101">
        <v>4</v>
      </c>
      <c r="G406" s="87" t="str">
        <f t="shared" si="68"/>
        <v>B1224</v>
      </c>
      <c r="H406" s="87" t="s">
        <v>1294</v>
      </c>
      <c r="I406" s="89" t="str">
        <f>VLOOKUP(C406,'PREMIUM TABLES'!$G$107:$H$149,2,FALSE)</f>
        <v>C2</v>
      </c>
      <c r="J406" s="89">
        <v>143.989</v>
      </c>
      <c r="K406" s="87">
        <v>159.53690380749666</v>
      </c>
      <c r="L406" s="87">
        <v>176</v>
      </c>
      <c r="M406" s="89"/>
      <c r="N406" s="89"/>
      <c r="O406" s="87" t="s">
        <v>180</v>
      </c>
      <c r="P406" s="87" t="s">
        <v>226</v>
      </c>
      <c r="Q406" s="229" t="s">
        <v>198</v>
      </c>
      <c r="R406" s="87" t="str">
        <f>VLOOKUP(E406,'PREMIUM TABLES'!$F$214:$G$219,2,FALSE)</f>
        <v>SECOND</v>
      </c>
      <c r="S406" s="87" t="str" cm="1">
        <f t="array" ref="S406">IF(AND(L406&gt;0,L406&lt;90),"A",IF(AND(L406&gt;90,L406&lt;123),"B",IF(AND(L406&gt;122,L406&lt;159),"C",IF(AND(L406&gt;159,L406&lt;185),"D",IF(AND(L406&gt;185,L406&lt;230),"E",IF(AND(L406&gt;230,L406&lt;350),"F",NONE))))))</f>
        <v>D</v>
      </c>
      <c r="T406" s="230">
        <f>VLOOKUP(O406,'PREMIUM TABLES'!$G$165:$H$172,2,FALSE)</f>
        <v>0.13</v>
      </c>
      <c r="U406" s="230">
        <f>VLOOKUP(P406,'PREMIUM TABLES'!$G$208:$H$209,2,FALSE)</f>
        <v>0.05</v>
      </c>
      <c r="V406" s="230">
        <f>VLOOKUP(Q406,'PREMIUM TABLES'!$G$175:$H$195,2,FALSE)</f>
        <v>0.15</v>
      </c>
      <c r="W406" s="230">
        <f>VLOOKUP(R406,'PREMIUM TABLES'!$G$214:$H$219,2,FALSE)</f>
        <v>0.11</v>
      </c>
      <c r="X406" s="230">
        <f>VLOOKUP(S406,'PREMIUM TABLES'!$F$199:$H$205,3,FALSE)</f>
        <v>2.5000000000000001E-2</v>
      </c>
      <c r="Y406" s="231">
        <f t="shared" si="63"/>
        <v>0.46499999999999997</v>
      </c>
      <c r="Z406" s="231" t="str" cm="1">
        <f t="array" ref="Z406">IF(AND(Y406&gt;0,Y406&lt;0.5),"C",IF(AND(Y406&gt;=0.5,Y406&lt;0.73),"B",IF(AND(Y406&gt;=0.73,Y406&lt;0.98),"A",NONE)))</f>
        <v>C</v>
      </c>
      <c r="AA406" s="231" t="str">
        <f>VLOOKUP(G406,'ALL (R)'!$N$5:$R$862,5,FALSE)</f>
        <v>R 10</v>
      </c>
      <c r="AB406" s="232">
        <f>VLOOKUP(AA406,FACTS!$B$2:$L$14,10,FALSE)</f>
        <v>56100</v>
      </c>
      <c r="AC406" s="232">
        <f>VLOOKUP(AA406,FACTS!$B$2:$L$14,11,FALSE)</f>
        <v>62700</v>
      </c>
      <c r="AD406" s="232">
        <f>VLOOKUP(AA406,FACTS!$B$2:$N$14,13,FALSE)</f>
        <v>6600</v>
      </c>
      <c r="AE406" s="232">
        <f t="shared" si="64"/>
        <v>3069</v>
      </c>
      <c r="AF406" s="232">
        <f t="shared" si="65"/>
        <v>59169</v>
      </c>
      <c r="AG406" s="232">
        <f>AF406*FACTS!$T$2</f>
        <v>19525.77</v>
      </c>
      <c r="AH406" s="232">
        <f>Table1[[#This Row],[UNIT (BUILDING) RATE (SEMI FINISHED)]]+4500</f>
        <v>63669</v>
      </c>
      <c r="AI406" s="232">
        <f>Table1[[#This Row],[UNIT (BUILDING) RATE (SEMI FINISHED)]]+7500</f>
        <v>66669</v>
      </c>
      <c r="AJ406" s="232">
        <f t="shared" si="66"/>
        <v>10413744</v>
      </c>
      <c r="AK406" s="232">
        <f>Table1[[#This Row],[UNIT (BUILDING) RATE (BASIC FINISH)]]*Table1[[#This Row],[Unit Selling Area]]</f>
        <v>11205744</v>
      </c>
      <c r="AL406" s="232">
        <f>Table1[[#This Row],[UNIT (BUILDING) RATE (FULLY FINISH)]]*Table1[[#This Row],[Unit Selling Area]]</f>
        <v>11733744</v>
      </c>
      <c r="AM406" s="232">
        <f t="shared" si="67"/>
        <v>0</v>
      </c>
      <c r="AN406" s="232">
        <f>(AM406+AJ406)*FACTS!$S$2</f>
        <v>885168.24000000011</v>
      </c>
      <c r="AO406" s="101">
        <f>VLOOKUP(S406,FACTS!$A$17:$C$23,3,FALSE)</f>
        <v>2</v>
      </c>
      <c r="AP406" s="232">
        <f>VLOOKUP(AA406,FACTS!$B$2:$J$14,9,FALSE)</f>
        <v>264000</v>
      </c>
      <c r="AQ406" s="232">
        <f>Table1[[#This Row],[PARKING VALUE]]*1</f>
        <v>264000</v>
      </c>
      <c r="AR406" s="232">
        <f t="shared" si="62"/>
        <v>10677744</v>
      </c>
      <c r="AS406" s="440">
        <f>Table1[[#This Row],[TOTAL CARS VALUE]]+Table1[[#This Row],[UNIT (BUILDING) VALUE BASIC FINISHED]]+Table1[[#This Row],[UNIT (GARDEN) VALUE]]</f>
        <v>11469744</v>
      </c>
      <c r="AT406" s="232">
        <f>Table1[[#This Row],[TOTAL CARS VALUE]]+Table1[[#This Row],[UNIT (GARDEN) VALUE]]+Table1[[#This Row],[UNIT (BUILDING) VALUE FULLY FINISHED]]</f>
        <v>11997744</v>
      </c>
      <c r="AU406" s="233">
        <f>VLOOKUP(I406,'C PHASES'!$I$108:$J$110,2,FALSE)</f>
        <v>46204</v>
      </c>
      <c r="AV406" s="233">
        <f>VLOOKUP(AA406,'C PHASES'!$I$113:$J$125,2,FALSE)</f>
        <v>46023</v>
      </c>
    </row>
    <row r="407" spans="1:48" x14ac:dyDescent="0.25">
      <c r="A407" s="236"/>
      <c r="B407" s="227" t="str">
        <f t="shared" si="61"/>
        <v>B</v>
      </c>
      <c r="C407" s="227" t="s">
        <v>83</v>
      </c>
      <c r="D407" s="227" t="s">
        <v>1147</v>
      </c>
      <c r="E407" s="228">
        <v>3</v>
      </c>
      <c r="F407" s="101">
        <v>1</v>
      </c>
      <c r="G407" s="87" t="str">
        <f t="shared" si="68"/>
        <v>B1231</v>
      </c>
      <c r="H407" s="87" t="s">
        <v>1294</v>
      </c>
      <c r="I407" s="89" t="str">
        <f>VLOOKUP(C407,'PREMIUM TABLES'!$G$107:$H$149,2,FALSE)</f>
        <v>C2</v>
      </c>
      <c r="J407" s="89">
        <v>141.131</v>
      </c>
      <c r="K407" s="87">
        <v>156.37029753144901</v>
      </c>
      <c r="L407" s="87">
        <v>172</v>
      </c>
      <c r="M407" s="89"/>
      <c r="N407" s="89"/>
      <c r="O407" s="87" t="s">
        <v>180</v>
      </c>
      <c r="P407" s="87" t="s">
        <v>190</v>
      </c>
      <c r="Q407" s="229" t="s">
        <v>198</v>
      </c>
      <c r="R407" s="87" t="str">
        <f>VLOOKUP(E407,'PREMIUM TABLES'!$F$214:$G$219,2,FALSE)</f>
        <v>THIRD</v>
      </c>
      <c r="S407" s="87" t="str" cm="1">
        <f t="array" ref="S407">IF(AND(L407&gt;0,L407&lt;90),"A",IF(AND(L407&gt;90,L407&lt;123),"B",IF(AND(L407&gt;122,L407&lt;159),"C",IF(AND(L407&gt;159,L407&lt;185),"D",IF(AND(L407&gt;185,L407&lt;230),"E",IF(AND(L407&gt;230,L407&lt;350),"F",NONE))))))</f>
        <v>D</v>
      </c>
      <c r="T407" s="230">
        <f>VLOOKUP(O407,'PREMIUM TABLES'!$G$165:$H$172,2,FALSE)</f>
        <v>0.13</v>
      </c>
      <c r="U407" s="230">
        <f>VLOOKUP(P407,'PREMIUM TABLES'!$G$208:$H$209,2,FALSE)</f>
        <v>2.5000000000000001E-2</v>
      </c>
      <c r="V407" s="230">
        <f>VLOOKUP(Q407,'PREMIUM TABLES'!$G$175:$H$195,2,FALSE)</f>
        <v>0.15</v>
      </c>
      <c r="W407" s="230">
        <f>VLOOKUP(R407,'PREMIUM TABLES'!$G$214:$H$219,2,FALSE)</f>
        <v>0.15</v>
      </c>
      <c r="X407" s="230">
        <f>VLOOKUP(S407,'PREMIUM TABLES'!$F$199:$H$205,3,FALSE)</f>
        <v>2.5000000000000001E-2</v>
      </c>
      <c r="Y407" s="231">
        <f t="shared" si="63"/>
        <v>0.48</v>
      </c>
      <c r="Z407" s="231" t="str" cm="1">
        <f t="array" ref="Z407">IF(AND(Y407&gt;0,Y407&lt;0.5),"C",IF(AND(Y407&gt;=0.5,Y407&lt;0.73),"B",IF(AND(Y407&gt;=0.73,Y407&lt;0.98),"A",NONE)))</f>
        <v>C</v>
      </c>
      <c r="AA407" s="231" t="str">
        <f>VLOOKUP(G407,'ALL (R)'!$N$5:$R$862,5,FALSE)</f>
        <v>R 12</v>
      </c>
      <c r="AB407" s="232">
        <f>VLOOKUP(AA407,FACTS!$B$2:$L$14,10,FALSE)</f>
        <v>61625</v>
      </c>
      <c r="AC407" s="232">
        <f>VLOOKUP(AA407,FACTS!$B$2:$L$14,11,FALSE)</f>
        <v>68875</v>
      </c>
      <c r="AD407" s="232">
        <f>VLOOKUP(AA407,FACTS!$B$2:$N$14,13,FALSE)</f>
        <v>7250</v>
      </c>
      <c r="AE407" s="232">
        <f t="shared" si="64"/>
        <v>3480</v>
      </c>
      <c r="AF407" s="232">
        <f t="shared" si="65"/>
        <v>65105</v>
      </c>
      <c r="AG407" s="232">
        <f>AF407*FACTS!$T$2</f>
        <v>21484.65</v>
      </c>
      <c r="AH407" s="232">
        <f>Table1[[#This Row],[UNIT (BUILDING) RATE (SEMI FINISHED)]]+4500</f>
        <v>69605</v>
      </c>
      <c r="AI407" s="232">
        <f>Table1[[#This Row],[UNIT (BUILDING) RATE (SEMI FINISHED)]]+7500</f>
        <v>72605</v>
      </c>
      <c r="AJ407" s="232">
        <f t="shared" si="66"/>
        <v>11198060</v>
      </c>
      <c r="AK407" s="232">
        <f>Table1[[#This Row],[UNIT (BUILDING) RATE (BASIC FINISH)]]*Table1[[#This Row],[Unit Selling Area]]</f>
        <v>11972060</v>
      </c>
      <c r="AL407" s="232">
        <f>Table1[[#This Row],[UNIT (BUILDING) RATE (FULLY FINISH)]]*Table1[[#This Row],[Unit Selling Area]]</f>
        <v>12488060</v>
      </c>
      <c r="AM407" s="232">
        <f t="shared" si="67"/>
        <v>0</v>
      </c>
      <c r="AN407" s="232">
        <f>(AM407+AJ407)*FACTS!$S$2</f>
        <v>951835.10000000009</v>
      </c>
      <c r="AO407" s="101">
        <f>VLOOKUP(S407,FACTS!$A$17:$C$23,3,FALSE)</f>
        <v>2</v>
      </c>
      <c r="AP407" s="232">
        <f>VLOOKUP(AA407,FACTS!$B$2:$J$14,9,FALSE)</f>
        <v>290000</v>
      </c>
      <c r="AQ407" s="232">
        <f>Table1[[#This Row],[PARKING VALUE]]*1</f>
        <v>290000</v>
      </c>
      <c r="AR407" s="232">
        <f t="shared" si="62"/>
        <v>11488060</v>
      </c>
      <c r="AS407" s="440">
        <f>Table1[[#This Row],[TOTAL CARS VALUE]]+Table1[[#This Row],[UNIT (BUILDING) VALUE BASIC FINISHED]]+Table1[[#This Row],[UNIT (GARDEN) VALUE]]</f>
        <v>12262060</v>
      </c>
      <c r="AT407" s="232">
        <f>Table1[[#This Row],[TOTAL CARS VALUE]]+Table1[[#This Row],[UNIT (GARDEN) VALUE]]+Table1[[#This Row],[UNIT (BUILDING) VALUE FULLY FINISHED]]</f>
        <v>12778060</v>
      </c>
      <c r="AU407" s="233">
        <f>VLOOKUP(I407,'C PHASES'!$I$108:$J$110,2,FALSE)</f>
        <v>46204</v>
      </c>
      <c r="AV407" s="233">
        <f>VLOOKUP(AA407,'C PHASES'!$I$113:$J$125,2,FALSE)</f>
        <v>46204</v>
      </c>
    </row>
    <row r="408" spans="1:48" x14ac:dyDescent="0.25">
      <c r="A408" s="236"/>
      <c r="B408" s="227" t="str">
        <f t="shared" si="61"/>
        <v>B</v>
      </c>
      <c r="C408" s="227" t="s">
        <v>83</v>
      </c>
      <c r="D408" s="227" t="s">
        <v>1147</v>
      </c>
      <c r="E408" s="228">
        <v>3</v>
      </c>
      <c r="F408" s="101">
        <v>2</v>
      </c>
      <c r="G408" s="87" t="str">
        <f t="shared" si="68"/>
        <v>B1232</v>
      </c>
      <c r="H408" s="87" t="s">
        <v>1294</v>
      </c>
      <c r="I408" s="89" t="str">
        <f>VLOOKUP(C408,'PREMIUM TABLES'!$G$107:$H$149,2,FALSE)</f>
        <v>C2</v>
      </c>
      <c r="J408" s="89">
        <v>164.43600000000001</v>
      </c>
      <c r="K408" s="87">
        <v>182.19176683281029</v>
      </c>
      <c r="L408" s="87">
        <v>201</v>
      </c>
      <c r="M408" s="89"/>
      <c r="N408" s="89"/>
      <c r="O408" s="87" t="s">
        <v>187</v>
      </c>
      <c r="P408" s="87" t="s">
        <v>190</v>
      </c>
      <c r="Q408" s="229" t="s">
        <v>210</v>
      </c>
      <c r="R408" s="87" t="str">
        <f>VLOOKUP(E408,'PREMIUM TABLES'!$F$214:$G$219,2,FALSE)</f>
        <v>THIRD</v>
      </c>
      <c r="S408" s="87" t="str" cm="1">
        <f t="array" ref="S408">IF(AND(L408&gt;0,L408&lt;90),"A",IF(AND(L408&gt;90,L408&lt;123),"B",IF(AND(L408&gt;122,L408&lt;159),"C",IF(AND(L408&gt;159,L408&lt;185),"D",IF(AND(L408&gt;185,L408&lt;230),"E",IF(AND(L408&gt;230,L408&lt;350),"F",NONE))))))</f>
        <v>E</v>
      </c>
      <c r="T408" s="230">
        <f>VLOOKUP(O408,'PREMIUM TABLES'!$G$165:$H$172,2,FALSE)</f>
        <v>0.08</v>
      </c>
      <c r="U408" s="230">
        <f>VLOOKUP(P408,'PREMIUM TABLES'!$G$208:$H$209,2,FALSE)</f>
        <v>2.5000000000000001E-2</v>
      </c>
      <c r="V408" s="230">
        <f>VLOOKUP(Q408,'PREMIUM TABLES'!$G$175:$H$195,2,FALSE)</f>
        <v>0.53</v>
      </c>
      <c r="W408" s="230">
        <f>VLOOKUP(R408,'PREMIUM TABLES'!$G$214:$H$219,2,FALSE)</f>
        <v>0.15</v>
      </c>
      <c r="X408" s="230">
        <f>VLOOKUP(S408,'PREMIUM TABLES'!$F$199:$H$205,3,FALSE)</f>
        <v>1.4999999999999999E-2</v>
      </c>
      <c r="Y408" s="231">
        <f t="shared" si="63"/>
        <v>0.8</v>
      </c>
      <c r="Z408" s="231" t="str" cm="1">
        <f t="array" ref="Z408">IF(AND(Y408&gt;0,Y408&lt;0.5),"C",IF(AND(Y408&gt;=0.5,Y408&lt;0.73),"B",IF(AND(Y408&gt;=0.73,Y408&lt;0.98),"A",NONE)))</f>
        <v>A</v>
      </c>
      <c r="AA408" s="231" t="str">
        <f>VLOOKUP(G408,'ALL (R)'!$N$5:$R$862,5,FALSE)</f>
        <v>R 6</v>
      </c>
      <c r="AB408" s="232">
        <f>VLOOKUP(AA408,FACTS!$B$2:$L$14,10,FALSE)</f>
        <v>48450.000000000007</v>
      </c>
      <c r="AC408" s="232">
        <f>VLOOKUP(AA408,FACTS!$B$2:$L$14,11,FALSE)</f>
        <v>54150.000000000007</v>
      </c>
      <c r="AD408" s="232">
        <f>VLOOKUP(AA408,FACTS!$B$2:$N$14,13,FALSE)</f>
        <v>5700</v>
      </c>
      <c r="AE408" s="232">
        <f t="shared" si="64"/>
        <v>4560</v>
      </c>
      <c r="AF408" s="232">
        <f t="shared" si="65"/>
        <v>53010.000000000007</v>
      </c>
      <c r="AG408" s="232">
        <f>AF408*FACTS!$T$2</f>
        <v>17493.300000000003</v>
      </c>
      <c r="AH408" s="232">
        <f>Table1[[#This Row],[UNIT (BUILDING) RATE (SEMI FINISHED)]]+4500</f>
        <v>57510.000000000007</v>
      </c>
      <c r="AI408" s="232">
        <f>Table1[[#This Row],[UNIT (BUILDING) RATE (SEMI FINISHED)]]+7500</f>
        <v>60510.000000000007</v>
      </c>
      <c r="AJ408" s="232">
        <f t="shared" si="66"/>
        <v>10655010.000000002</v>
      </c>
      <c r="AK408" s="232">
        <f>Table1[[#This Row],[UNIT (BUILDING) RATE (BASIC FINISH)]]*Table1[[#This Row],[Unit Selling Area]]</f>
        <v>11559510.000000002</v>
      </c>
      <c r="AL408" s="232">
        <f>Table1[[#This Row],[UNIT (BUILDING) RATE (FULLY FINISH)]]*Table1[[#This Row],[Unit Selling Area]]</f>
        <v>12162510.000000002</v>
      </c>
      <c r="AM408" s="232">
        <f t="shared" si="67"/>
        <v>0</v>
      </c>
      <c r="AN408" s="232">
        <f>(AM408+AJ408)*FACTS!$S$2</f>
        <v>905675.85000000021</v>
      </c>
      <c r="AO408" s="101">
        <f>VLOOKUP(S408,FACTS!$A$17:$C$23,3,FALSE)</f>
        <v>2</v>
      </c>
      <c r="AP408" s="232">
        <f>VLOOKUP(AA408,FACTS!$B$2:$J$14,9,FALSE)</f>
        <v>228000.00000000003</v>
      </c>
      <c r="AQ408" s="232">
        <f>Table1[[#This Row],[PARKING VALUE]]*1</f>
        <v>228000.00000000003</v>
      </c>
      <c r="AR408" s="232">
        <f t="shared" si="62"/>
        <v>10883010.000000002</v>
      </c>
      <c r="AS408" s="440">
        <f>Table1[[#This Row],[TOTAL CARS VALUE]]+Table1[[#This Row],[UNIT (BUILDING) VALUE BASIC FINISHED]]+Table1[[#This Row],[UNIT (GARDEN) VALUE]]</f>
        <v>11787510.000000002</v>
      </c>
      <c r="AT408" s="232">
        <f>Table1[[#This Row],[TOTAL CARS VALUE]]+Table1[[#This Row],[UNIT (GARDEN) VALUE]]+Table1[[#This Row],[UNIT (BUILDING) VALUE FULLY FINISHED]]</f>
        <v>12390510.000000002</v>
      </c>
      <c r="AU408" s="233">
        <f>VLOOKUP(I408,'C PHASES'!$I$108:$J$110,2,FALSE)</f>
        <v>46204</v>
      </c>
      <c r="AV408" s="233">
        <f>VLOOKUP(AA408,'C PHASES'!$I$113:$J$125,2,FALSE)</f>
        <v>45658</v>
      </c>
    </row>
    <row r="409" spans="1:48" x14ac:dyDescent="0.25">
      <c r="A409" s="236"/>
      <c r="B409" s="227" t="str">
        <f t="shared" si="61"/>
        <v>B</v>
      </c>
      <c r="C409" s="227" t="s">
        <v>83</v>
      </c>
      <c r="D409" s="227" t="s">
        <v>1147</v>
      </c>
      <c r="E409" s="228">
        <v>3</v>
      </c>
      <c r="F409" s="101">
        <v>3</v>
      </c>
      <c r="G409" s="87" t="str">
        <f t="shared" si="68"/>
        <v>B1233</v>
      </c>
      <c r="H409" s="87" t="s">
        <v>1295</v>
      </c>
      <c r="I409" s="89" t="str">
        <f>VLOOKUP(C409,'PREMIUM TABLES'!$G$107:$H$149,2,FALSE)</f>
        <v>C2</v>
      </c>
      <c r="J409" s="89">
        <v>187.20400000000001</v>
      </c>
      <c r="K409" s="87">
        <v>207.41825098013462</v>
      </c>
      <c r="L409" s="87">
        <v>228</v>
      </c>
      <c r="M409" s="89"/>
      <c r="N409" s="89"/>
      <c r="O409" s="87" t="s">
        <v>187</v>
      </c>
      <c r="P409" s="87" t="s">
        <v>226</v>
      </c>
      <c r="Q409" s="229" t="s">
        <v>210</v>
      </c>
      <c r="R409" s="87" t="str">
        <f>VLOOKUP(E409,'PREMIUM TABLES'!$F$214:$G$219,2,FALSE)</f>
        <v>THIRD</v>
      </c>
      <c r="S409" s="87" t="str" cm="1">
        <f t="array" ref="S409">IF(AND(L409&gt;0,L409&lt;90),"A",IF(AND(L409&gt;90,L409&lt;123),"B",IF(AND(L409&gt;122,L409&lt;159),"C",IF(AND(L409&gt;159,L409&lt;185),"D",IF(AND(L409&gt;185,L409&lt;230),"E",IF(AND(L409&gt;230,L409&lt;350),"F",NONE))))))</f>
        <v>E</v>
      </c>
      <c r="T409" s="230">
        <f>VLOOKUP(O409,'PREMIUM TABLES'!$G$165:$H$172,2,FALSE)</f>
        <v>0.08</v>
      </c>
      <c r="U409" s="230">
        <f>VLOOKUP(P409,'PREMIUM TABLES'!$G$208:$H$209,2,FALSE)</f>
        <v>0.05</v>
      </c>
      <c r="V409" s="230">
        <f>VLOOKUP(Q409,'PREMIUM TABLES'!$G$175:$H$195,2,FALSE)</f>
        <v>0.53</v>
      </c>
      <c r="W409" s="230">
        <f>VLOOKUP(R409,'PREMIUM TABLES'!$G$214:$H$219,2,FALSE)</f>
        <v>0.15</v>
      </c>
      <c r="X409" s="230">
        <f>VLOOKUP(S409,'PREMIUM TABLES'!$F$199:$H$205,3,FALSE)</f>
        <v>1.4999999999999999E-2</v>
      </c>
      <c r="Y409" s="231">
        <f t="shared" si="63"/>
        <v>0.82500000000000007</v>
      </c>
      <c r="Z409" s="231" t="str" cm="1">
        <f t="array" ref="Z409">IF(AND(Y409&gt;0,Y409&lt;0.5),"C",IF(AND(Y409&gt;=0.5,Y409&lt;0.73),"B",IF(AND(Y409&gt;=0.73,Y409&lt;0.98),"A",NONE)))</f>
        <v>A</v>
      </c>
      <c r="AA409" s="231" t="str">
        <f>VLOOKUP(G409,'ALL (R)'!$N$5:$R$862,5,FALSE)</f>
        <v>R 7</v>
      </c>
      <c r="AB409" s="232">
        <f>VLOOKUP(AA409,FACTS!$B$2:$L$14,10,FALSE)</f>
        <v>50150</v>
      </c>
      <c r="AC409" s="232">
        <f>VLOOKUP(AA409,FACTS!$B$2:$L$14,11,FALSE)</f>
        <v>56050</v>
      </c>
      <c r="AD409" s="232">
        <f>VLOOKUP(AA409,FACTS!$B$2:$N$14,13,FALSE)</f>
        <v>5900</v>
      </c>
      <c r="AE409" s="232">
        <f t="shared" si="64"/>
        <v>4867.5</v>
      </c>
      <c r="AF409" s="232">
        <f t="shared" si="65"/>
        <v>55017.5</v>
      </c>
      <c r="AG409" s="232">
        <f>AF409*FACTS!$T$2</f>
        <v>18155.775000000001</v>
      </c>
      <c r="AH409" s="232">
        <f>Table1[[#This Row],[UNIT (BUILDING) RATE (SEMI FINISHED)]]+4500</f>
        <v>59517.5</v>
      </c>
      <c r="AI409" s="232">
        <f>Table1[[#This Row],[UNIT (BUILDING) RATE (SEMI FINISHED)]]+7500</f>
        <v>62517.5</v>
      </c>
      <c r="AJ409" s="232">
        <f t="shared" si="66"/>
        <v>12543990</v>
      </c>
      <c r="AK409" s="232">
        <f>Table1[[#This Row],[UNIT (BUILDING) RATE (BASIC FINISH)]]*Table1[[#This Row],[Unit Selling Area]]</f>
        <v>13569990</v>
      </c>
      <c r="AL409" s="232">
        <f>Table1[[#This Row],[UNIT (BUILDING) RATE (FULLY FINISH)]]*Table1[[#This Row],[Unit Selling Area]]</f>
        <v>14253990</v>
      </c>
      <c r="AM409" s="232">
        <f t="shared" si="67"/>
        <v>0</v>
      </c>
      <c r="AN409" s="232">
        <f>(AM409+AJ409)*FACTS!$S$2</f>
        <v>1066239.1500000001</v>
      </c>
      <c r="AO409" s="101">
        <f>VLOOKUP(S409,FACTS!$A$17:$C$23,3,FALSE)</f>
        <v>2</v>
      </c>
      <c r="AP409" s="232">
        <f>VLOOKUP(AA409,FACTS!$B$2:$J$14,9,FALSE)</f>
        <v>236000</v>
      </c>
      <c r="AQ409" s="232">
        <f>Table1[[#This Row],[PARKING VALUE]]*1</f>
        <v>236000</v>
      </c>
      <c r="AR409" s="232">
        <f t="shared" si="62"/>
        <v>12779990</v>
      </c>
      <c r="AS409" s="440">
        <f>Table1[[#This Row],[TOTAL CARS VALUE]]+Table1[[#This Row],[UNIT (BUILDING) VALUE BASIC FINISHED]]+Table1[[#This Row],[UNIT (GARDEN) VALUE]]</f>
        <v>13805990</v>
      </c>
      <c r="AT409" s="232">
        <f>Table1[[#This Row],[TOTAL CARS VALUE]]+Table1[[#This Row],[UNIT (GARDEN) VALUE]]+Table1[[#This Row],[UNIT (BUILDING) VALUE FULLY FINISHED]]</f>
        <v>14489990</v>
      </c>
      <c r="AU409" s="233">
        <f>VLOOKUP(I409,'C PHASES'!$I$108:$J$110,2,FALSE)</f>
        <v>46204</v>
      </c>
      <c r="AV409" s="233">
        <f>VLOOKUP(AA409,'C PHASES'!$I$113:$J$125,2,FALSE)</f>
        <v>45748</v>
      </c>
    </row>
    <row r="410" spans="1:48" x14ac:dyDescent="0.25">
      <c r="A410" s="236"/>
      <c r="B410" s="227" t="str">
        <f t="shared" si="61"/>
        <v>B</v>
      </c>
      <c r="C410" s="227" t="s">
        <v>83</v>
      </c>
      <c r="D410" s="227" t="s">
        <v>1147</v>
      </c>
      <c r="E410" s="228">
        <v>3</v>
      </c>
      <c r="F410" s="101">
        <v>4</v>
      </c>
      <c r="G410" s="87" t="str">
        <f t="shared" si="68"/>
        <v>B1234</v>
      </c>
      <c r="H410" s="87" t="s">
        <v>1294</v>
      </c>
      <c r="I410" s="89" t="str">
        <f>VLOOKUP(C410,'PREMIUM TABLES'!$G$107:$H$149,2,FALSE)</f>
        <v>C2</v>
      </c>
      <c r="J410" s="89">
        <v>143.911</v>
      </c>
      <c r="K410" s="87">
        <v>159.45048138288794</v>
      </c>
      <c r="L410" s="87">
        <v>176</v>
      </c>
      <c r="M410" s="89"/>
      <c r="N410" s="89"/>
      <c r="O410" s="87" t="s">
        <v>180</v>
      </c>
      <c r="P410" s="87" t="s">
        <v>226</v>
      </c>
      <c r="Q410" s="229" t="s">
        <v>198</v>
      </c>
      <c r="R410" s="87" t="str">
        <f>VLOOKUP(E410,'PREMIUM TABLES'!$F$214:$G$219,2,FALSE)</f>
        <v>THIRD</v>
      </c>
      <c r="S410" s="87" t="str" cm="1">
        <f t="array" ref="S410">IF(AND(L410&gt;0,L410&lt;90),"A",IF(AND(L410&gt;90,L410&lt;123),"B",IF(AND(L410&gt;122,L410&lt;159),"C",IF(AND(L410&gt;159,L410&lt;185),"D",IF(AND(L410&gt;185,L410&lt;230),"E",IF(AND(L410&gt;230,L410&lt;350),"F",NONE))))))</f>
        <v>D</v>
      </c>
      <c r="T410" s="230">
        <f>VLOOKUP(O410,'PREMIUM TABLES'!$G$165:$H$172,2,FALSE)</f>
        <v>0.13</v>
      </c>
      <c r="U410" s="230">
        <f>VLOOKUP(P410,'PREMIUM TABLES'!$G$208:$H$209,2,FALSE)</f>
        <v>0.05</v>
      </c>
      <c r="V410" s="230">
        <f>VLOOKUP(Q410,'PREMIUM TABLES'!$G$175:$H$195,2,FALSE)</f>
        <v>0.15</v>
      </c>
      <c r="W410" s="230">
        <f>VLOOKUP(R410,'PREMIUM TABLES'!$G$214:$H$219,2,FALSE)</f>
        <v>0.15</v>
      </c>
      <c r="X410" s="230">
        <f>VLOOKUP(S410,'PREMIUM TABLES'!$F$199:$H$205,3,FALSE)</f>
        <v>2.5000000000000001E-2</v>
      </c>
      <c r="Y410" s="231">
        <f t="shared" si="63"/>
        <v>0.505</v>
      </c>
      <c r="Z410" s="231" t="str" cm="1">
        <f t="array" ref="Z410">IF(AND(Y410&gt;0,Y410&lt;0.5),"C",IF(AND(Y410&gt;=0.5,Y410&lt;0.73),"B",IF(AND(Y410&gt;=0.73,Y410&lt;0.98),"A",NONE)))</f>
        <v>B</v>
      </c>
      <c r="AA410" s="231" t="str">
        <f>VLOOKUP(G410,'ALL (R)'!$N$5:$R$862,5,FALSE)</f>
        <v>R 1</v>
      </c>
      <c r="AB410" s="232">
        <f>VLOOKUP(AA410,FACTS!$B$2:$L$14,10,FALSE)</f>
        <v>42500</v>
      </c>
      <c r="AC410" s="232">
        <f>VLOOKUP(AA410,FACTS!$B$2:$L$14,11,FALSE)</f>
        <v>47500</v>
      </c>
      <c r="AD410" s="232">
        <f>VLOOKUP(AA410,FACTS!$B$2:$N$14,13,FALSE)</f>
        <v>5000</v>
      </c>
      <c r="AE410" s="232">
        <f t="shared" si="64"/>
        <v>2525</v>
      </c>
      <c r="AF410" s="232">
        <f t="shared" si="65"/>
        <v>45025</v>
      </c>
      <c r="AG410" s="232">
        <f>AF410*FACTS!$T$2</f>
        <v>14858.25</v>
      </c>
      <c r="AH410" s="232">
        <f>Table1[[#This Row],[UNIT (BUILDING) RATE (SEMI FINISHED)]]+4500</f>
        <v>49525</v>
      </c>
      <c r="AI410" s="232">
        <f>Table1[[#This Row],[UNIT (BUILDING) RATE (SEMI FINISHED)]]+7500</f>
        <v>52525</v>
      </c>
      <c r="AJ410" s="232">
        <f t="shared" si="66"/>
        <v>7924400</v>
      </c>
      <c r="AK410" s="232">
        <f>Table1[[#This Row],[UNIT (BUILDING) RATE (BASIC FINISH)]]*Table1[[#This Row],[Unit Selling Area]]</f>
        <v>8716400</v>
      </c>
      <c r="AL410" s="232">
        <f>Table1[[#This Row],[UNIT (BUILDING) RATE (FULLY FINISH)]]*Table1[[#This Row],[Unit Selling Area]]</f>
        <v>9244400</v>
      </c>
      <c r="AM410" s="232">
        <f t="shared" si="67"/>
        <v>0</v>
      </c>
      <c r="AN410" s="232">
        <f>(AM410+AJ410)*FACTS!$S$2</f>
        <v>673574</v>
      </c>
      <c r="AO410" s="101">
        <f>VLOOKUP(S410,FACTS!$A$17:$C$23,3,FALSE)</f>
        <v>2</v>
      </c>
      <c r="AP410" s="232">
        <f>VLOOKUP(AA410,FACTS!$B$2:$J$14,9,FALSE)</f>
        <v>200000</v>
      </c>
      <c r="AQ410" s="232">
        <f>Table1[[#This Row],[PARKING VALUE]]*1</f>
        <v>200000</v>
      </c>
      <c r="AR410" s="232">
        <f t="shared" si="62"/>
        <v>8124400</v>
      </c>
      <c r="AS410" s="440">
        <f>Table1[[#This Row],[TOTAL CARS VALUE]]+Table1[[#This Row],[UNIT (BUILDING) VALUE BASIC FINISHED]]+Table1[[#This Row],[UNIT (GARDEN) VALUE]]</f>
        <v>8916400</v>
      </c>
      <c r="AT410" s="232">
        <f>Table1[[#This Row],[TOTAL CARS VALUE]]+Table1[[#This Row],[UNIT (GARDEN) VALUE]]+Table1[[#This Row],[UNIT (BUILDING) VALUE FULLY FINISHED]]</f>
        <v>9444400</v>
      </c>
      <c r="AU410" s="233">
        <f>VLOOKUP(I410,'C PHASES'!$I$108:$J$110,2,FALSE)</f>
        <v>46204</v>
      </c>
      <c r="AV410" s="233">
        <f>VLOOKUP(AA410,'C PHASES'!$I$113:$J$125,2,FALSE)</f>
        <v>45170</v>
      </c>
    </row>
    <row r="411" spans="1:48" x14ac:dyDescent="0.25">
      <c r="A411" s="236"/>
      <c r="B411" s="227" t="str">
        <f t="shared" si="61"/>
        <v>B</v>
      </c>
      <c r="C411" s="227" t="s">
        <v>83</v>
      </c>
      <c r="D411" s="227" t="s">
        <v>1147</v>
      </c>
      <c r="E411" s="228">
        <v>4</v>
      </c>
      <c r="F411" s="101">
        <v>1</v>
      </c>
      <c r="G411" s="87" t="str">
        <f t="shared" si="68"/>
        <v>B1241</v>
      </c>
      <c r="H411" s="87" t="s">
        <v>1294</v>
      </c>
      <c r="I411" s="89" t="str">
        <f>VLOOKUP(C411,'PREMIUM TABLES'!$G$107:$H$149,2,FALSE)</f>
        <v>C2</v>
      </c>
      <c r="J411" s="89">
        <v>139.16499999999999</v>
      </c>
      <c r="K411" s="87">
        <v>154.19200923938823</v>
      </c>
      <c r="L411" s="87">
        <v>170</v>
      </c>
      <c r="M411" s="89"/>
      <c r="N411" s="89"/>
      <c r="O411" s="87" t="s">
        <v>180</v>
      </c>
      <c r="P411" s="87" t="s">
        <v>190</v>
      </c>
      <c r="Q411" s="229" t="s">
        <v>198</v>
      </c>
      <c r="R411" s="87" t="str">
        <f>VLOOKUP(E411,'PREMIUM TABLES'!$F$214:$G$219,2,FALSE)</f>
        <v>FORTH</v>
      </c>
      <c r="S411" s="87" t="str" cm="1">
        <f t="array" ref="S411">IF(AND(L411&gt;0,L411&lt;90),"A",IF(AND(L411&gt;90,L411&lt;123),"B",IF(AND(L411&gt;122,L411&lt;159),"C",IF(AND(L411&gt;159,L411&lt;185),"D",IF(AND(L411&gt;185,L411&lt;230),"E",IF(AND(L411&gt;230,L411&lt;350),"F",NONE))))))</f>
        <v>D</v>
      </c>
      <c r="T411" s="230">
        <f>VLOOKUP(O411,'PREMIUM TABLES'!$G$165:$H$172,2,FALSE)</f>
        <v>0.13</v>
      </c>
      <c r="U411" s="230">
        <f>VLOOKUP(P411,'PREMIUM TABLES'!$G$208:$H$209,2,FALSE)</f>
        <v>2.5000000000000001E-2</v>
      </c>
      <c r="V411" s="230">
        <f>VLOOKUP(Q411,'PREMIUM TABLES'!$G$175:$H$195,2,FALSE)</f>
        <v>0.15</v>
      </c>
      <c r="W411" s="230">
        <f>VLOOKUP(R411,'PREMIUM TABLES'!$G$214:$H$219,2,FALSE)</f>
        <v>0.06</v>
      </c>
      <c r="X411" s="230">
        <f>VLOOKUP(S411,'PREMIUM TABLES'!$F$199:$H$205,3,FALSE)</f>
        <v>2.5000000000000001E-2</v>
      </c>
      <c r="Y411" s="231">
        <f t="shared" si="63"/>
        <v>0.39</v>
      </c>
      <c r="Z411" s="231" t="str" cm="1">
        <f t="array" ref="Z411">IF(AND(Y411&gt;0,Y411&lt;0.5),"C",IF(AND(Y411&gt;=0.5,Y411&lt;0.73),"B",IF(AND(Y411&gt;=0.73,Y411&lt;0.98),"A",NONE)))</f>
        <v>C</v>
      </c>
      <c r="AA411" s="231" t="str">
        <f>VLOOKUP(G411,'ALL (R)'!$N$5:$R$862,5,FALSE)</f>
        <v>R 4</v>
      </c>
      <c r="AB411" s="232">
        <f>VLOOKUP(AA411,FACTS!$B$2:$L$14,10,FALSE)</f>
        <v>45687.5</v>
      </c>
      <c r="AC411" s="232">
        <f>VLOOKUP(AA411,FACTS!$B$2:$L$14,11,FALSE)</f>
        <v>51062.5</v>
      </c>
      <c r="AD411" s="232">
        <f>VLOOKUP(AA411,FACTS!$B$2:$N$14,13,FALSE)</f>
        <v>5375</v>
      </c>
      <c r="AE411" s="232">
        <f t="shared" si="64"/>
        <v>2096.25</v>
      </c>
      <c r="AF411" s="232">
        <f t="shared" si="65"/>
        <v>47783.75</v>
      </c>
      <c r="AG411" s="232">
        <f>AF411*FACTS!$T$2</f>
        <v>15768.637500000001</v>
      </c>
      <c r="AH411" s="232">
        <f>Table1[[#This Row],[UNIT (BUILDING) RATE (SEMI FINISHED)]]+4500</f>
        <v>52283.75</v>
      </c>
      <c r="AI411" s="232">
        <f>Table1[[#This Row],[UNIT (BUILDING) RATE (SEMI FINISHED)]]+7500</f>
        <v>55283.75</v>
      </c>
      <c r="AJ411" s="232">
        <f t="shared" si="66"/>
        <v>8123237.5</v>
      </c>
      <c r="AK411" s="232">
        <f>Table1[[#This Row],[UNIT (BUILDING) RATE (BASIC FINISH)]]*Table1[[#This Row],[Unit Selling Area]]</f>
        <v>8888237.5</v>
      </c>
      <c r="AL411" s="232">
        <f>Table1[[#This Row],[UNIT (BUILDING) RATE (FULLY FINISH)]]*Table1[[#This Row],[Unit Selling Area]]</f>
        <v>9398237.5</v>
      </c>
      <c r="AM411" s="232">
        <f t="shared" si="67"/>
        <v>0</v>
      </c>
      <c r="AN411" s="232">
        <f>(AM411+AJ411)*FACTS!$S$2</f>
        <v>690475.1875</v>
      </c>
      <c r="AO411" s="101">
        <f>VLOOKUP(S411,FACTS!$A$17:$C$23,3,FALSE)</f>
        <v>2</v>
      </c>
      <c r="AP411" s="232">
        <f>VLOOKUP(AA411,FACTS!$B$2:$J$14,9,FALSE)</f>
        <v>215000</v>
      </c>
      <c r="AQ411" s="232">
        <f>Table1[[#This Row],[PARKING VALUE]]*1</f>
        <v>215000</v>
      </c>
      <c r="AR411" s="232">
        <f t="shared" si="62"/>
        <v>8338237.5</v>
      </c>
      <c r="AS411" s="440">
        <f>Table1[[#This Row],[TOTAL CARS VALUE]]+Table1[[#This Row],[UNIT (BUILDING) VALUE BASIC FINISHED]]+Table1[[#This Row],[UNIT (GARDEN) VALUE]]</f>
        <v>9103237.5</v>
      </c>
      <c r="AT411" s="232">
        <f>Table1[[#This Row],[TOTAL CARS VALUE]]+Table1[[#This Row],[UNIT (GARDEN) VALUE]]+Table1[[#This Row],[UNIT (BUILDING) VALUE FULLY FINISHED]]</f>
        <v>9613237.5</v>
      </c>
      <c r="AU411" s="233">
        <f>VLOOKUP(I411,'C PHASES'!$I$108:$J$110,2,FALSE)</f>
        <v>46204</v>
      </c>
      <c r="AV411" s="233">
        <f>VLOOKUP(AA411,'C PHASES'!$I$113:$J$125,2,FALSE)</f>
        <v>45474</v>
      </c>
    </row>
    <row r="412" spans="1:48" x14ac:dyDescent="0.25">
      <c r="A412" s="236"/>
      <c r="B412" s="227" t="str">
        <f t="shared" si="61"/>
        <v>B</v>
      </c>
      <c r="C412" s="227" t="s">
        <v>83</v>
      </c>
      <c r="D412" s="227" t="s">
        <v>1147</v>
      </c>
      <c r="E412" s="228">
        <v>4</v>
      </c>
      <c r="F412" s="101">
        <v>2</v>
      </c>
      <c r="G412" s="87" t="str">
        <f t="shared" si="68"/>
        <v>B1242</v>
      </c>
      <c r="H412" s="87" t="s">
        <v>1294</v>
      </c>
      <c r="I412" s="89" t="str">
        <f>VLOOKUP(C412,'PREMIUM TABLES'!$G$107:$H$149,2,FALSE)</f>
        <v>C2</v>
      </c>
      <c r="J412" s="89">
        <v>162.49</v>
      </c>
      <c r="K412" s="87">
        <v>180.03563813680304</v>
      </c>
      <c r="L412" s="87">
        <v>198</v>
      </c>
      <c r="M412" s="89"/>
      <c r="N412" s="89"/>
      <c r="O412" s="87" t="s">
        <v>187</v>
      </c>
      <c r="P412" s="87" t="s">
        <v>190</v>
      </c>
      <c r="Q412" s="229" t="s">
        <v>210</v>
      </c>
      <c r="R412" s="87" t="str">
        <f>VLOOKUP(E412,'PREMIUM TABLES'!$F$214:$G$219,2,FALSE)</f>
        <v>FORTH</v>
      </c>
      <c r="S412" s="87" t="str" cm="1">
        <f t="array" ref="S412">IF(AND(L412&gt;0,L412&lt;90),"A",IF(AND(L412&gt;90,L412&lt;123),"B",IF(AND(L412&gt;122,L412&lt;159),"C",IF(AND(L412&gt;159,L412&lt;185),"D",IF(AND(L412&gt;185,L412&lt;230),"E",IF(AND(L412&gt;230,L412&lt;350),"F",NONE))))))</f>
        <v>E</v>
      </c>
      <c r="T412" s="230">
        <f>VLOOKUP(O412,'PREMIUM TABLES'!$G$165:$H$172,2,FALSE)</f>
        <v>0.08</v>
      </c>
      <c r="U412" s="230">
        <f>VLOOKUP(P412,'PREMIUM TABLES'!$G$208:$H$209,2,FALSE)</f>
        <v>2.5000000000000001E-2</v>
      </c>
      <c r="V412" s="230">
        <f>VLOOKUP(Q412,'PREMIUM TABLES'!$G$175:$H$195,2,FALSE)</f>
        <v>0.53</v>
      </c>
      <c r="W412" s="230">
        <f>VLOOKUP(R412,'PREMIUM TABLES'!$G$214:$H$219,2,FALSE)</f>
        <v>0.06</v>
      </c>
      <c r="X412" s="230">
        <f>VLOOKUP(S412,'PREMIUM TABLES'!$F$199:$H$205,3,FALSE)</f>
        <v>1.4999999999999999E-2</v>
      </c>
      <c r="Y412" s="231">
        <f t="shared" si="63"/>
        <v>0.71000000000000008</v>
      </c>
      <c r="Z412" s="231" t="str" cm="1">
        <f t="array" ref="Z412">IF(AND(Y412&gt;0,Y412&lt;0.5),"C",IF(AND(Y412&gt;=0.5,Y412&lt;0.73),"B",IF(AND(Y412&gt;=0.73,Y412&lt;0.98),"A",NONE)))</f>
        <v>B</v>
      </c>
      <c r="AA412" s="231" t="str">
        <f>VLOOKUP(G412,'ALL (R)'!$N$5:$R$862,5,FALSE)</f>
        <v>R 11</v>
      </c>
      <c r="AB412" s="232">
        <f>VLOOKUP(AA412,FACTS!$B$2:$L$14,10,FALSE)</f>
        <v>58649.999999999993</v>
      </c>
      <c r="AC412" s="232">
        <f>VLOOKUP(AA412,FACTS!$B$2:$L$14,11,FALSE)</f>
        <v>65550</v>
      </c>
      <c r="AD412" s="232">
        <f>VLOOKUP(AA412,FACTS!$B$2:$N$14,13,FALSE)</f>
        <v>6900.0000000000073</v>
      </c>
      <c r="AE412" s="232">
        <f t="shared" si="64"/>
        <v>4899.0000000000055</v>
      </c>
      <c r="AF412" s="232">
        <f t="shared" si="65"/>
        <v>63549</v>
      </c>
      <c r="AG412" s="232">
        <f>AF412*FACTS!$T$2</f>
        <v>20971.170000000002</v>
      </c>
      <c r="AH412" s="232">
        <f>Table1[[#This Row],[UNIT (BUILDING) RATE (SEMI FINISHED)]]+4500</f>
        <v>68049</v>
      </c>
      <c r="AI412" s="232">
        <f>Table1[[#This Row],[UNIT (BUILDING) RATE (SEMI FINISHED)]]+7500</f>
        <v>71049</v>
      </c>
      <c r="AJ412" s="232">
        <f t="shared" si="66"/>
        <v>12582702</v>
      </c>
      <c r="AK412" s="232">
        <f>Table1[[#This Row],[UNIT (BUILDING) RATE (BASIC FINISH)]]*Table1[[#This Row],[Unit Selling Area]]</f>
        <v>13473702</v>
      </c>
      <c r="AL412" s="232">
        <f>Table1[[#This Row],[UNIT (BUILDING) RATE (FULLY FINISH)]]*Table1[[#This Row],[Unit Selling Area]]</f>
        <v>14067702</v>
      </c>
      <c r="AM412" s="232">
        <f t="shared" si="67"/>
        <v>0</v>
      </c>
      <c r="AN412" s="232">
        <f>(AM412+AJ412)*FACTS!$S$2</f>
        <v>1069529.6700000002</v>
      </c>
      <c r="AO412" s="101">
        <f>VLOOKUP(S412,FACTS!$A$17:$C$23,3,FALSE)</f>
        <v>2</v>
      </c>
      <c r="AP412" s="232">
        <f>VLOOKUP(AA412,FACTS!$B$2:$J$14,9,FALSE)</f>
        <v>276000</v>
      </c>
      <c r="AQ412" s="232">
        <f>Table1[[#This Row],[PARKING VALUE]]*1</f>
        <v>276000</v>
      </c>
      <c r="AR412" s="232">
        <f t="shared" si="62"/>
        <v>12858702</v>
      </c>
      <c r="AS412" s="440">
        <f>Table1[[#This Row],[TOTAL CARS VALUE]]+Table1[[#This Row],[UNIT (BUILDING) VALUE BASIC FINISHED]]+Table1[[#This Row],[UNIT (GARDEN) VALUE]]</f>
        <v>13749702</v>
      </c>
      <c r="AT412" s="232">
        <f>Table1[[#This Row],[TOTAL CARS VALUE]]+Table1[[#This Row],[UNIT (GARDEN) VALUE]]+Table1[[#This Row],[UNIT (BUILDING) VALUE FULLY FINISHED]]</f>
        <v>14343702</v>
      </c>
      <c r="AU412" s="233">
        <f>VLOOKUP(I412,'C PHASES'!$I$108:$J$110,2,FALSE)</f>
        <v>46204</v>
      </c>
      <c r="AV412" s="233">
        <f>VLOOKUP(AA412,'C PHASES'!$I$113:$J$125,2,FALSE)</f>
        <v>46113</v>
      </c>
    </row>
    <row r="413" spans="1:48" x14ac:dyDescent="0.25">
      <c r="A413" s="236"/>
      <c r="B413" s="227" t="str">
        <f t="shared" si="61"/>
        <v>B</v>
      </c>
      <c r="C413" s="227" t="s">
        <v>83</v>
      </c>
      <c r="D413" s="227" t="s">
        <v>1147</v>
      </c>
      <c r="E413" s="228">
        <v>4</v>
      </c>
      <c r="F413" s="101">
        <v>3</v>
      </c>
      <c r="G413" s="87" t="str">
        <f t="shared" si="68"/>
        <v>B1243</v>
      </c>
      <c r="H413" s="87" t="s">
        <v>1295</v>
      </c>
      <c r="I413" s="89" t="str">
        <f>VLOOKUP(C413,'PREMIUM TABLES'!$G$107:$H$149,2,FALSE)</f>
        <v>C2</v>
      </c>
      <c r="J413" s="89">
        <v>182.357</v>
      </c>
      <c r="K413" s="87">
        <v>202.04787287656464</v>
      </c>
      <c r="L413" s="87">
        <v>222</v>
      </c>
      <c r="M413" s="89"/>
      <c r="N413" s="89"/>
      <c r="O413" s="87" t="s">
        <v>187</v>
      </c>
      <c r="P413" s="87" t="s">
        <v>226</v>
      </c>
      <c r="Q413" s="229" t="s">
        <v>210</v>
      </c>
      <c r="R413" s="87" t="str">
        <f>VLOOKUP(E413,'PREMIUM TABLES'!$F$214:$G$219,2,FALSE)</f>
        <v>FORTH</v>
      </c>
      <c r="S413" s="87" t="str" cm="1">
        <f t="array" ref="S413">IF(AND(L413&gt;0,L413&lt;90),"A",IF(AND(L413&gt;90,L413&lt;123),"B",IF(AND(L413&gt;122,L413&lt;159),"C",IF(AND(L413&gt;159,L413&lt;185),"D",IF(AND(L413&gt;185,L413&lt;230),"E",IF(AND(L413&gt;230,L413&lt;350),"F",NONE))))))</f>
        <v>E</v>
      </c>
      <c r="T413" s="230">
        <f>VLOOKUP(O413,'PREMIUM TABLES'!$G$165:$H$172,2,FALSE)</f>
        <v>0.08</v>
      </c>
      <c r="U413" s="230">
        <f>VLOOKUP(P413,'PREMIUM TABLES'!$G$208:$H$209,2,FALSE)</f>
        <v>0.05</v>
      </c>
      <c r="V413" s="230">
        <f>VLOOKUP(Q413,'PREMIUM TABLES'!$G$175:$H$195,2,FALSE)</f>
        <v>0.53</v>
      </c>
      <c r="W413" s="230">
        <f>VLOOKUP(R413,'PREMIUM TABLES'!$G$214:$H$219,2,FALSE)</f>
        <v>0.06</v>
      </c>
      <c r="X413" s="230">
        <f>VLOOKUP(S413,'PREMIUM TABLES'!$F$199:$H$205,3,FALSE)</f>
        <v>1.4999999999999999E-2</v>
      </c>
      <c r="Y413" s="231">
        <f t="shared" si="63"/>
        <v>0.73499999999999999</v>
      </c>
      <c r="Z413" s="231" t="str" cm="1">
        <f t="array" ref="Z413">IF(AND(Y413&gt;0,Y413&lt;0.5),"C",IF(AND(Y413&gt;=0.5,Y413&lt;0.73),"B",IF(AND(Y413&gt;=0.73,Y413&lt;0.98),"A",NONE)))</f>
        <v>A</v>
      </c>
      <c r="AA413" s="231" t="str">
        <f>VLOOKUP(G413,'ALL (R)'!$N$5:$R$862,5,FALSE)</f>
        <v>R 1</v>
      </c>
      <c r="AB413" s="232">
        <f>VLOOKUP(AA413,FACTS!$B$2:$L$14,10,FALSE)</f>
        <v>42500</v>
      </c>
      <c r="AC413" s="232">
        <f>VLOOKUP(AA413,FACTS!$B$2:$L$14,11,FALSE)</f>
        <v>47500</v>
      </c>
      <c r="AD413" s="232">
        <f>VLOOKUP(AA413,FACTS!$B$2:$N$14,13,FALSE)</f>
        <v>5000</v>
      </c>
      <c r="AE413" s="232">
        <f t="shared" si="64"/>
        <v>3675</v>
      </c>
      <c r="AF413" s="232">
        <f t="shared" si="65"/>
        <v>46175</v>
      </c>
      <c r="AG413" s="232">
        <f>AF413*FACTS!$T$2</f>
        <v>15237.75</v>
      </c>
      <c r="AH413" s="232">
        <f>Table1[[#This Row],[UNIT (BUILDING) RATE (SEMI FINISHED)]]+4500</f>
        <v>50675</v>
      </c>
      <c r="AI413" s="232">
        <f>Table1[[#This Row],[UNIT (BUILDING) RATE (SEMI FINISHED)]]+7500</f>
        <v>53675</v>
      </c>
      <c r="AJ413" s="232">
        <f t="shared" si="66"/>
        <v>10250850</v>
      </c>
      <c r="AK413" s="232">
        <f>Table1[[#This Row],[UNIT (BUILDING) RATE (BASIC FINISH)]]*Table1[[#This Row],[Unit Selling Area]]</f>
        <v>11249850</v>
      </c>
      <c r="AL413" s="232">
        <f>Table1[[#This Row],[UNIT (BUILDING) RATE (FULLY FINISH)]]*Table1[[#This Row],[Unit Selling Area]]</f>
        <v>11915850</v>
      </c>
      <c r="AM413" s="232">
        <f t="shared" si="67"/>
        <v>0</v>
      </c>
      <c r="AN413" s="232">
        <f>(AM413+AJ413)*FACTS!$S$2</f>
        <v>871322.25000000012</v>
      </c>
      <c r="AO413" s="101">
        <f>VLOOKUP(S413,FACTS!$A$17:$C$23,3,FALSE)</f>
        <v>2</v>
      </c>
      <c r="AP413" s="232">
        <f>VLOOKUP(AA413,FACTS!$B$2:$J$14,9,FALSE)</f>
        <v>200000</v>
      </c>
      <c r="AQ413" s="232">
        <f>Table1[[#This Row],[PARKING VALUE]]*1</f>
        <v>200000</v>
      </c>
      <c r="AR413" s="232">
        <f t="shared" si="62"/>
        <v>10450850</v>
      </c>
      <c r="AS413" s="440">
        <f>Table1[[#This Row],[TOTAL CARS VALUE]]+Table1[[#This Row],[UNIT (BUILDING) VALUE BASIC FINISHED]]+Table1[[#This Row],[UNIT (GARDEN) VALUE]]</f>
        <v>11449850</v>
      </c>
      <c r="AT413" s="232">
        <f>Table1[[#This Row],[TOTAL CARS VALUE]]+Table1[[#This Row],[UNIT (GARDEN) VALUE]]+Table1[[#This Row],[UNIT (BUILDING) VALUE FULLY FINISHED]]</f>
        <v>12115850</v>
      </c>
      <c r="AU413" s="233">
        <f>VLOOKUP(I413,'C PHASES'!$I$108:$J$110,2,FALSE)</f>
        <v>46204</v>
      </c>
      <c r="AV413" s="233">
        <f>VLOOKUP(AA413,'C PHASES'!$I$113:$J$125,2,FALSE)</f>
        <v>45170</v>
      </c>
    </row>
    <row r="414" spans="1:48" x14ac:dyDescent="0.25">
      <c r="A414" s="236"/>
      <c r="B414" s="227" t="str">
        <f t="shared" si="61"/>
        <v>B</v>
      </c>
      <c r="C414" s="227" t="s">
        <v>83</v>
      </c>
      <c r="D414" s="227" t="s">
        <v>1147</v>
      </c>
      <c r="E414" s="228">
        <v>4</v>
      </c>
      <c r="F414" s="101">
        <v>4</v>
      </c>
      <c r="G414" s="87" t="str">
        <f t="shared" si="68"/>
        <v>B1244</v>
      </c>
      <c r="H414" s="87" t="s">
        <v>1294</v>
      </c>
      <c r="I414" s="89" t="str">
        <f>VLOOKUP(C414,'PREMIUM TABLES'!$G$107:$H$149,2,FALSE)</f>
        <v>C2</v>
      </c>
      <c r="J414" s="89">
        <v>141.929</v>
      </c>
      <c r="K414" s="87">
        <v>157.25446541398435</v>
      </c>
      <c r="L414" s="87">
        <v>173</v>
      </c>
      <c r="M414" s="89"/>
      <c r="N414" s="89"/>
      <c r="O414" s="87" t="s">
        <v>180</v>
      </c>
      <c r="P414" s="87" t="s">
        <v>226</v>
      </c>
      <c r="Q414" s="229" t="s">
        <v>198</v>
      </c>
      <c r="R414" s="87" t="str">
        <f>VLOOKUP(E414,'PREMIUM TABLES'!$F$214:$G$219,2,FALSE)</f>
        <v>FORTH</v>
      </c>
      <c r="S414" s="87" t="str" cm="1">
        <f t="array" ref="S414">IF(AND(L414&gt;0,L414&lt;90),"A",IF(AND(L414&gt;90,L414&lt;123),"B",IF(AND(L414&gt;122,L414&lt;159),"C",IF(AND(L414&gt;159,L414&lt;185),"D",IF(AND(L414&gt;185,L414&lt;230),"E",IF(AND(L414&gt;230,L414&lt;350),"F",NONE))))))</f>
        <v>D</v>
      </c>
      <c r="T414" s="230">
        <f>VLOOKUP(O414,'PREMIUM TABLES'!$G$165:$H$172,2,FALSE)</f>
        <v>0.13</v>
      </c>
      <c r="U414" s="230">
        <f>VLOOKUP(P414,'PREMIUM TABLES'!$G$208:$H$209,2,FALSE)</f>
        <v>0.05</v>
      </c>
      <c r="V414" s="230">
        <f>VLOOKUP(Q414,'PREMIUM TABLES'!$G$175:$H$195,2,FALSE)</f>
        <v>0.15</v>
      </c>
      <c r="W414" s="230">
        <f>VLOOKUP(R414,'PREMIUM TABLES'!$G$214:$H$219,2,FALSE)</f>
        <v>0.06</v>
      </c>
      <c r="X414" s="230">
        <f>VLOOKUP(S414,'PREMIUM TABLES'!$F$199:$H$205,3,FALSE)</f>
        <v>2.5000000000000001E-2</v>
      </c>
      <c r="Y414" s="231">
        <f t="shared" si="63"/>
        <v>0.41499999999999998</v>
      </c>
      <c r="Z414" s="231" t="str" cm="1">
        <f t="array" ref="Z414">IF(AND(Y414&gt;0,Y414&lt;0.5),"C",IF(AND(Y414&gt;=0.5,Y414&lt;0.73),"B",IF(AND(Y414&gt;=0.73,Y414&lt;0.98),"A",NONE)))</f>
        <v>C</v>
      </c>
      <c r="AA414" s="231" t="str">
        <f>VLOOKUP(G414,'ALL (R)'!$N$5:$R$862,5,FALSE)</f>
        <v>R 7</v>
      </c>
      <c r="AB414" s="232">
        <f>VLOOKUP(AA414,FACTS!$B$2:$L$14,10,FALSE)</f>
        <v>50150</v>
      </c>
      <c r="AC414" s="232">
        <f>VLOOKUP(AA414,FACTS!$B$2:$L$14,11,FALSE)</f>
        <v>56050</v>
      </c>
      <c r="AD414" s="232">
        <f>VLOOKUP(AA414,FACTS!$B$2:$N$14,13,FALSE)</f>
        <v>5900</v>
      </c>
      <c r="AE414" s="232">
        <f t="shared" si="64"/>
        <v>2448.5</v>
      </c>
      <c r="AF414" s="232">
        <f t="shared" si="65"/>
        <v>52598.5</v>
      </c>
      <c r="AG414" s="232">
        <f>AF414*FACTS!$T$2</f>
        <v>17357.505000000001</v>
      </c>
      <c r="AH414" s="232">
        <f>Table1[[#This Row],[UNIT (BUILDING) RATE (SEMI FINISHED)]]+4500</f>
        <v>57098.5</v>
      </c>
      <c r="AI414" s="232">
        <f>Table1[[#This Row],[UNIT (BUILDING) RATE (SEMI FINISHED)]]+7500</f>
        <v>60098.5</v>
      </c>
      <c r="AJ414" s="232">
        <f t="shared" si="66"/>
        <v>9099540.5</v>
      </c>
      <c r="AK414" s="232">
        <f>Table1[[#This Row],[UNIT (BUILDING) RATE (BASIC FINISH)]]*Table1[[#This Row],[Unit Selling Area]]</f>
        <v>9878040.5</v>
      </c>
      <c r="AL414" s="232">
        <f>Table1[[#This Row],[UNIT (BUILDING) RATE (FULLY FINISH)]]*Table1[[#This Row],[Unit Selling Area]]</f>
        <v>10397040.5</v>
      </c>
      <c r="AM414" s="232">
        <f t="shared" si="67"/>
        <v>0</v>
      </c>
      <c r="AN414" s="232">
        <f>(AM414+AJ414)*FACTS!$S$2</f>
        <v>773460.9425</v>
      </c>
      <c r="AO414" s="101">
        <f>VLOOKUP(S414,FACTS!$A$17:$C$23,3,FALSE)</f>
        <v>2</v>
      </c>
      <c r="AP414" s="232">
        <f>VLOOKUP(AA414,FACTS!$B$2:$J$14,9,FALSE)</f>
        <v>236000</v>
      </c>
      <c r="AQ414" s="232">
        <f>Table1[[#This Row],[PARKING VALUE]]*1</f>
        <v>236000</v>
      </c>
      <c r="AR414" s="232">
        <f t="shared" si="62"/>
        <v>9335540.5</v>
      </c>
      <c r="AS414" s="440">
        <f>Table1[[#This Row],[TOTAL CARS VALUE]]+Table1[[#This Row],[UNIT (BUILDING) VALUE BASIC FINISHED]]+Table1[[#This Row],[UNIT (GARDEN) VALUE]]</f>
        <v>10114040.5</v>
      </c>
      <c r="AT414" s="232">
        <f>Table1[[#This Row],[TOTAL CARS VALUE]]+Table1[[#This Row],[UNIT (GARDEN) VALUE]]+Table1[[#This Row],[UNIT (BUILDING) VALUE FULLY FINISHED]]</f>
        <v>10633040.5</v>
      </c>
      <c r="AU414" s="233">
        <f>VLOOKUP(I414,'C PHASES'!$I$108:$J$110,2,FALSE)</f>
        <v>46204</v>
      </c>
      <c r="AV414" s="233">
        <f>VLOOKUP(AA414,'C PHASES'!$I$113:$J$125,2,FALSE)</f>
        <v>45748</v>
      </c>
    </row>
    <row r="415" spans="1:48" ht="22.5" x14ac:dyDescent="0.25">
      <c r="A415" s="236" t="s">
        <v>33</v>
      </c>
      <c r="B415" s="227" t="str">
        <f t="shared" si="61"/>
        <v>B</v>
      </c>
      <c r="C415" s="227" t="s">
        <v>82</v>
      </c>
      <c r="D415" s="227" t="s">
        <v>1147</v>
      </c>
      <c r="E415" s="228">
        <v>0</v>
      </c>
      <c r="F415" s="101">
        <v>1</v>
      </c>
      <c r="G415" s="87" t="str">
        <f>LEFT(C415,3)&amp;E415&amp;F415</f>
        <v>B1301</v>
      </c>
      <c r="H415" s="87" t="s">
        <v>1294</v>
      </c>
      <c r="I415" s="89" t="str">
        <f>VLOOKUP(C415,'PREMIUM TABLES'!$G$107:$H$149,2,FALSE)</f>
        <v>C2</v>
      </c>
      <c r="J415" s="89">
        <v>141.82499999999999</v>
      </c>
      <c r="K415" s="87">
        <v>159.04192828545919</v>
      </c>
      <c r="L415" s="87">
        <v>173</v>
      </c>
      <c r="M415" s="87">
        <v>78.601100000000002</v>
      </c>
      <c r="O415" s="87" t="s">
        <v>180</v>
      </c>
      <c r="P415" s="87" t="s">
        <v>190</v>
      </c>
      <c r="Q415" s="229" t="s">
        <v>198</v>
      </c>
      <c r="R415" s="87" t="str">
        <f>VLOOKUP(E415,'PREMIUM TABLES'!$F$214:$G$219,2,FALSE)</f>
        <v>GROUND</v>
      </c>
      <c r="S415" s="87" t="str" cm="1">
        <f t="array" ref="S415">IF(AND(L415&gt;0,L415&lt;90),"A",IF(AND(L415&gt;90,L415&lt;123),"B",IF(AND(L415&gt;122,L415&lt;159),"C",IF(AND(L415&gt;159,L415&lt;185),"D",IF(AND(L415&gt;185,L415&lt;230),"E",IF(AND(L415&gt;230,L415&lt;350),"F",NONE))))))</f>
        <v>D</v>
      </c>
      <c r="T415" s="230">
        <f>VLOOKUP(O415,'PREMIUM TABLES'!$G$165:$H$172,2,FALSE)</f>
        <v>0.13</v>
      </c>
      <c r="U415" s="230">
        <f>VLOOKUP(P415,'PREMIUM TABLES'!$G$208:$H$209,2,FALSE)</f>
        <v>2.5000000000000001E-2</v>
      </c>
      <c r="V415" s="230">
        <f>VLOOKUP(Q415,'PREMIUM TABLES'!$G$175:$H$195,2,FALSE)</f>
        <v>0.15</v>
      </c>
      <c r="W415" s="230">
        <f>VLOOKUP(R415,'PREMIUM TABLES'!$G$214:$H$219,2,FALSE)</f>
        <v>0.05</v>
      </c>
      <c r="X415" s="230">
        <f>VLOOKUP(S415,'PREMIUM TABLES'!$F$199:$H$205,3,FALSE)</f>
        <v>2.5000000000000001E-2</v>
      </c>
      <c r="Y415" s="231">
        <f t="shared" si="63"/>
        <v>0.38</v>
      </c>
      <c r="Z415" s="231" t="str" cm="1">
        <f t="array" ref="Z415">IF(AND(Y415&gt;0,Y415&lt;0.5),"C",IF(AND(Y415&gt;=0.5,Y415&lt;0.73),"B",IF(AND(Y415&gt;=0.73,Y415&lt;0.98),"A",NONE)))</f>
        <v>C</v>
      </c>
      <c r="AA415" s="231" t="str">
        <f>VLOOKUP(G415,'ALL (R)'!$N$5:$R$862,5,FALSE)</f>
        <v>R 3</v>
      </c>
      <c r="AB415" s="232">
        <f>VLOOKUP(AA415,FACTS!$B$2:$L$14,10,FALSE)</f>
        <v>44625</v>
      </c>
      <c r="AC415" s="232">
        <f>VLOOKUP(AA415,FACTS!$B$2:$L$14,11,FALSE)</f>
        <v>49875</v>
      </c>
      <c r="AD415" s="232">
        <f>VLOOKUP(AA415,FACTS!$B$2:$N$14,13,FALSE)</f>
        <v>5250</v>
      </c>
      <c r="AE415" s="232">
        <f t="shared" si="64"/>
        <v>1995</v>
      </c>
      <c r="AF415" s="232">
        <f t="shared" si="65"/>
        <v>46620</v>
      </c>
      <c r="AG415" s="232">
        <f>AF415*FACTS!$T$2</f>
        <v>15384.6</v>
      </c>
      <c r="AH415" s="232">
        <f>Table1[[#This Row],[UNIT (BUILDING) RATE (SEMI FINISHED)]]+4500</f>
        <v>51120</v>
      </c>
      <c r="AI415" s="232">
        <f>Table1[[#This Row],[UNIT (BUILDING) RATE (SEMI FINISHED)]]+7500</f>
        <v>54120</v>
      </c>
      <c r="AJ415" s="232">
        <f t="shared" si="66"/>
        <v>8065260</v>
      </c>
      <c r="AK415" s="232">
        <f>Table1[[#This Row],[UNIT (BUILDING) RATE (BASIC FINISH)]]*Table1[[#This Row],[Unit Selling Area]]</f>
        <v>8843760</v>
      </c>
      <c r="AL415" s="232">
        <f>Table1[[#This Row],[UNIT (BUILDING) RATE (FULLY FINISH)]]*Table1[[#This Row],[Unit Selling Area]]</f>
        <v>9362760</v>
      </c>
      <c r="AM415" s="232">
        <f t="shared" si="67"/>
        <v>1209246.48306</v>
      </c>
      <c r="AN415" s="232">
        <f>(AM415+AJ415)*FACTS!$S$2</f>
        <v>788333.05106010009</v>
      </c>
      <c r="AO415" s="101">
        <f>VLOOKUP(S415,FACTS!$A$17:$C$23,3,FALSE)</f>
        <v>2</v>
      </c>
      <c r="AP415" s="232">
        <f>VLOOKUP(AA415,FACTS!$B$2:$J$14,9,FALSE)</f>
        <v>210000</v>
      </c>
      <c r="AQ415" s="232">
        <f>Table1[[#This Row],[PARKING VALUE]]*1</f>
        <v>210000</v>
      </c>
      <c r="AR415" s="232">
        <f t="shared" si="62"/>
        <v>9484506.4830600005</v>
      </c>
      <c r="AS415" s="440">
        <f>Table1[[#This Row],[TOTAL CARS VALUE]]+Table1[[#This Row],[UNIT (BUILDING) VALUE BASIC FINISHED]]+Table1[[#This Row],[UNIT (GARDEN) VALUE]]</f>
        <v>10263006.48306</v>
      </c>
      <c r="AT415" s="232">
        <f>Table1[[#This Row],[TOTAL CARS VALUE]]+Table1[[#This Row],[UNIT (GARDEN) VALUE]]+Table1[[#This Row],[UNIT (BUILDING) VALUE FULLY FINISHED]]</f>
        <v>10782006.48306</v>
      </c>
      <c r="AU415" s="233">
        <f>VLOOKUP(I415,'C PHASES'!$I$108:$J$110,2,FALSE)</f>
        <v>46204</v>
      </c>
      <c r="AV415" s="233">
        <f>VLOOKUP(AA415,'C PHASES'!$I$113:$J$125,2,FALSE)</f>
        <v>45383</v>
      </c>
    </row>
    <row r="416" spans="1:48" s="202" customFormat="1" x14ac:dyDescent="0.25">
      <c r="A416" s="236"/>
      <c r="B416" s="227" t="s">
        <v>204</v>
      </c>
      <c r="C416" s="227" t="s">
        <v>82</v>
      </c>
      <c r="D416" s="227" t="s">
        <v>1147</v>
      </c>
      <c r="E416" s="228">
        <v>0</v>
      </c>
      <c r="F416" s="101">
        <v>2</v>
      </c>
      <c r="G416" s="87" t="s">
        <v>830</v>
      </c>
      <c r="H416" s="87" t="s">
        <v>1297</v>
      </c>
      <c r="I416" s="89" t="s">
        <v>37</v>
      </c>
      <c r="J416" s="89">
        <f>'DATA FOR DUPLEX'!H17</f>
        <v>142.05600000000001</v>
      </c>
      <c r="K416" s="89">
        <f>'DATA FOR DUPLEX'!I17</f>
        <v>159.30097066468673</v>
      </c>
      <c r="L416" s="89">
        <v>344</v>
      </c>
      <c r="M416" s="89">
        <f>'DATA FOR DUPLEX'!K17</f>
        <v>97.868200000000002</v>
      </c>
      <c r="N416" s="87"/>
      <c r="O416" s="87" t="s">
        <v>187</v>
      </c>
      <c r="P416" s="87" t="s">
        <v>190</v>
      </c>
      <c r="Q416" s="229" t="s">
        <v>210</v>
      </c>
      <c r="R416" s="87" t="str">
        <f>VLOOKUP(E416,'PREMIUM TABLES'!$F$214:$G$219,2,FALSE)</f>
        <v>GROUND</v>
      </c>
      <c r="S416" s="87" t="str" cm="1">
        <f t="array" ref="S416">IF(AND(L416&gt;0,L416&lt;90),"A",IF(AND(L416&gt;90,L416&lt;123),"B",IF(AND(L416&gt;122,L416&lt;159),"C",IF(AND(L416&gt;159,L416&lt;185),"D",IF(AND(L416&gt;185,L416&lt;230),"E",IF(AND(L416&gt;230,L416&lt;350),"F",NONE))))))</f>
        <v>F</v>
      </c>
      <c r="T416" s="230">
        <f>VLOOKUP(O416,'PREMIUM TABLES'!$G$165:$H$172,2,FALSE)</f>
        <v>0.08</v>
      </c>
      <c r="U416" s="230">
        <f>VLOOKUP(P416,'PREMIUM TABLES'!$G$208:$H$209,2,FALSE)</f>
        <v>2.5000000000000001E-2</v>
      </c>
      <c r="V416" s="230">
        <f>VLOOKUP(Q416,'PREMIUM TABLES'!$G$175:$H$195,2,FALSE)</f>
        <v>0.53</v>
      </c>
      <c r="W416" s="230">
        <f>VLOOKUP(R416,'PREMIUM TABLES'!$G$214:$H$219,2,FALSE)</f>
        <v>0.05</v>
      </c>
      <c r="X416" s="230">
        <f>VLOOKUP(S416,'PREMIUM TABLES'!$F$199:$H$205,3,FALSE)</f>
        <v>0</v>
      </c>
      <c r="Y416" s="231">
        <f t="shared" si="63"/>
        <v>0.68500000000000005</v>
      </c>
      <c r="Z416" s="231" t="str" cm="1">
        <f t="array" ref="Z416">IF(AND(Y416&gt;0,Y416&lt;0.5),"C",IF(AND(Y416&gt;=0.5,Y416&lt;0.73),"B",IF(AND(Y416&gt;=0.73,Y416&lt;0.98),"A",NONE)))</f>
        <v>B</v>
      </c>
      <c r="AA416" s="231" t="str">
        <f>VLOOKUP(G416,'ALL (R)'!$N$5:$R$862,5,FALSE)</f>
        <v>R 1</v>
      </c>
      <c r="AB416" s="232">
        <f>VLOOKUP(AA416,FACTS!$B$2:$L$14,10,FALSE)</f>
        <v>42500</v>
      </c>
      <c r="AC416" s="232">
        <f>VLOOKUP(AA416,FACTS!$B$2:$L$14,11,FALSE)</f>
        <v>47500</v>
      </c>
      <c r="AD416" s="232">
        <f>VLOOKUP(AA416,FACTS!$B$2:$N$14,13,FALSE)</f>
        <v>5000</v>
      </c>
      <c r="AE416" s="232">
        <f t="shared" si="64"/>
        <v>3425.0000000000005</v>
      </c>
      <c r="AF416" s="232">
        <f t="shared" si="65"/>
        <v>45925</v>
      </c>
      <c r="AG416" s="232">
        <f>AF416*FACTS!$T$2</f>
        <v>15155.25</v>
      </c>
      <c r="AH416" s="232">
        <f>Table1[[#This Row],[UNIT (BUILDING) RATE (SEMI FINISHED)]]+4500</f>
        <v>50425</v>
      </c>
      <c r="AI416" s="232">
        <f>Table1[[#This Row],[UNIT (BUILDING) RATE (SEMI FINISHED)]]+7500</f>
        <v>53425</v>
      </c>
      <c r="AJ416" s="232">
        <f t="shared" si="66"/>
        <v>15798200</v>
      </c>
      <c r="AK416" s="232">
        <f>Table1[[#This Row],[UNIT (BUILDING) RATE (BASIC FINISH)]]*Table1[[#This Row],[Unit Selling Area]]</f>
        <v>17346200</v>
      </c>
      <c r="AL416" s="232">
        <f>Table1[[#This Row],[UNIT (BUILDING) RATE (FULLY FINISH)]]*Table1[[#This Row],[Unit Selling Area]]</f>
        <v>18378200</v>
      </c>
      <c r="AM416" s="232">
        <f t="shared" si="67"/>
        <v>1483217.0380500001</v>
      </c>
      <c r="AN416" s="232">
        <f>(AM416+AJ416)*FACTS!$S$2</f>
        <v>1468920.4482342501</v>
      </c>
      <c r="AO416" s="101">
        <f>VLOOKUP(S416,FACTS!$A$17:$C$23,3,FALSE)</f>
        <v>2</v>
      </c>
      <c r="AP416" s="232">
        <f>VLOOKUP(AA416,FACTS!$B$2:$J$14,9,FALSE)</f>
        <v>200000</v>
      </c>
      <c r="AQ416" s="232">
        <f>Table1[[#This Row],[PARKING VALUE]]*1</f>
        <v>200000</v>
      </c>
      <c r="AR416" s="232">
        <f t="shared" si="62"/>
        <v>17481417.03805</v>
      </c>
      <c r="AS416" s="440">
        <f>Table1[[#This Row],[TOTAL CARS VALUE]]+Table1[[#This Row],[UNIT (BUILDING) VALUE BASIC FINISHED]]+Table1[[#This Row],[UNIT (GARDEN) VALUE]]</f>
        <v>19029417.03805</v>
      </c>
      <c r="AT416" s="232">
        <f>Table1[[#This Row],[TOTAL CARS VALUE]]+Table1[[#This Row],[UNIT (GARDEN) VALUE]]+Table1[[#This Row],[UNIT (BUILDING) VALUE FULLY FINISHED]]</f>
        <v>20061417.03805</v>
      </c>
      <c r="AU416" s="233">
        <f>VLOOKUP(I416,'C PHASES'!$I$108:$J$110,2,FALSE)</f>
        <v>46204</v>
      </c>
      <c r="AV416" s="233">
        <f>VLOOKUP(AA416,'C PHASES'!$I$113:$J$125,2,FALSE)</f>
        <v>45170</v>
      </c>
    </row>
    <row r="417" spans="1:48" s="202" customFormat="1" x14ac:dyDescent="0.25">
      <c r="A417" s="236"/>
      <c r="B417" s="227" t="s">
        <v>204</v>
      </c>
      <c r="C417" s="227" t="s">
        <v>82</v>
      </c>
      <c r="D417" s="227" t="s">
        <v>1147</v>
      </c>
      <c r="E417" s="228">
        <v>0</v>
      </c>
      <c r="F417" s="101">
        <v>3</v>
      </c>
      <c r="G417" s="87" t="s">
        <v>831</v>
      </c>
      <c r="H417" s="87" t="s">
        <v>1297</v>
      </c>
      <c r="I417" s="89" t="s">
        <v>37</v>
      </c>
      <c r="J417" s="89">
        <f>'DATA FOR DUPLEX'!H19</f>
        <v>142.197</v>
      </c>
      <c r="K417" s="89">
        <f>'DATA FOR DUPLEX'!I19</f>
        <v>159.45908744161781</v>
      </c>
      <c r="L417" s="89">
        <v>344</v>
      </c>
      <c r="M417" s="89">
        <f>'DATA FOR DUPLEX'!K19</f>
        <v>97.259299999999996</v>
      </c>
      <c r="N417" s="87"/>
      <c r="O417" s="87" t="s">
        <v>187</v>
      </c>
      <c r="P417" s="87" t="s">
        <v>190</v>
      </c>
      <c r="Q417" s="229" t="s">
        <v>210</v>
      </c>
      <c r="R417" s="87" t="str">
        <f>VLOOKUP(E417,'PREMIUM TABLES'!$F$214:$G$219,2,FALSE)</f>
        <v>GROUND</v>
      </c>
      <c r="S417" s="87" t="str" cm="1">
        <f t="array" ref="S417">IF(AND(L417&gt;0,L417&lt;90),"A",IF(AND(L417&gt;90,L417&lt;123),"B",IF(AND(L417&gt;122,L417&lt;159),"C",IF(AND(L417&gt;159,L417&lt;185),"D",IF(AND(L417&gt;185,L417&lt;230),"E",IF(AND(L417&gt;230,L417&lt;350),"F",NONE))))))</f>
        <v>F</v>
      </c>
      <c r="T417" s="230">
        <f>VLOOKUP(O417,'PREMIUM TABLES'!$G$165:$H$172,2,FALSE)</f>
        <v>0.08</v>
      </c>
      <c r="U417" s="230">
        <f>VLOOKUP(P417,'PREMIUM TABLES'!$G$208:$H$209,2,FALSE)</f>
        <v>2.5000000000000001E-2</v>
      </c>
      <c r="V417" s="230">
        <f>VLOOKUP(Q417,'PREMIUM TABLES'!$G$175:$H$195,2,FALSE)</f>
        <v>0.53</v>
      </c>
      <c r="W417" s="230">
        <f>VLOOKUP(R417,'PREMIUM TABLES'!$G$214:$H$219,2,FALSE)</f>
        <v>0.05</v>
      </c>
      <c r="X417" s="230">
        <f>VLOOKUP(S417,'PREMIUM TABLES'!$F$199:$H$205,3,FALSE)</f>
        <v>0</v>
      </c>
      <c r="Y417" s="231">
        <f t="shared" si="63"/>
        <v>0.68500000000000005</v>
      </c>
      <c r="Z417" s="231" t="str" cm="1">
        <f t="array" ref="Z417">IF(AND(Y417&gt;0,Y417&lt;0.5),"C",IF(AND(Y417&gt;=0.5,Y417&lt;0.73),"B",IF(AND(Y417&gt;=0.73,Y417&lt;0.98),"A",NONE)))</f>
        <v>B</v>
      </c>
      <c r="AA417" s="231" t="str">
        <f>VLOOKUP(G417,'ALL (R)'!$N$5:$R$862,5,FALSE)</f>
        <v>R 8</v>
      </c>
      <c r="AB417" s="232">
        <f>VLOOKUP(AA417,FACTS!$B$2:$L$14,10,FALSE)</f>
        <v>51850</v>
      </c>
      <c r="AC417" s="232">
        <f>VLOOKUP(AA417,FACTS!$B$2:$L$14,11,FALSE)</f>
        <v>57950</v>
      </c>
      <c r="AD417" s="232">
        <f>VLOOKUP(AA417,FACTS!$B$2:$N$14,13,FALSE)</f>
        <v>6100</v>
      </c>
      <c r="AE417" s="232">
        <f t="shared" si="64"/>
        <v>4178.5</v>
      </c>
      <c r="AF417" s="232">
        <f t="shared" si="65"/>
        <v>56028.5</v>
      </c>
      <c r="AG417" s="232">
        <f>AF417*FACTS!$T$2</f>
        <v>18489.405000000002</v>
      </c>
      <c r="AH417" s="232">
        <f>Table1[[#This Row],[UNIT (BUILDING) RATE (SEMI FINISHED)]]+4500</f>
        <v>60528.5</v>
      </c>
      <c r="AI417" s="232">
        <f>Table1[[#This Row],[UNIT (BUILDING) RATE (SEMI FINISHED)]]+7500</f>
        <v>63528.5</v>
      </c>
      <c r="AJ417" s="232">
        <f t="shared" si="66"/>
        <v>19273804</v>
      </c>
      <c r="AK417" s="232">
        <f>Table1[[#This Row],[UNIT (BUILDING) RATE (BASIC FINISH)]]*Table1[[#This Row],[Unit Selling Area]]</f>
        <v>20821804</v>
      </c>
      <c r="AL417" s="232">
        <f>Table1[[#This Row],[UNIT (BUILDING) RATE (FULLY FINISH)]]*Table1[[#This Row],[Unit Selling Area]]</f>
        <v>21853804</v>
      </c>
      <c r="AM417" s="232">
        <f t="shared" si="67"/>
        <v>1798266.5877165003</v>
      </c>
      <c r="AN417" s="232">
        <f>(AM417+AJ417)*FACTS!$S$2</f>
        <v>1791125.9999559028</v>
      </c>
      <c r="AO417" s="101">
        <f>VLOOKUP(S417,FACTS!$A$17:$C$23,3,FALSE)</f>
        <v>2</v>
      </c>
      <c r="AP417" s="232">
        <f>VLOOKUP(AA417,FACTS!$B$2:$J$14,9,FALSE)</f>
        <v>244000</v>
      </c>
      <c r="AQ417" s="232">
        <f>Table1[[#This Row],[PARKING VALUE]]*1</f>
        <v>244000</v>
      </c>
      <c r="AR417" s="232">
        <f t="shared" si="62"/>
        <v>21316070.587716501</v>
      </c>
      <c r="AS417" s="440">
        <f>Table1[[#This Row],[TOTAL CARS VALUE]]+Table1[[#This Row],[UNIT (BUILDING) VALUE BASIC FINISHED]]+Table1[[#This Row],[UNIT (GARDEN) VALUE]]</f>
        <v>22864070.587716501</v>
      </c>
      <c r="AT417" s="232">
        <f>Table1[[#This Row],[TOTAL CARS VALUE]]+Table1[[#This Row],[UNIT (GARDEN) VALUE]]+Table1[[#This Row],[UNIT (BUILDING) VALUE FULLY FINISHED]]</f>
        <v>23896070.587716501</v>
      </c>
      <c r="AU417" s="233">
        <f>VLOOKUP(I417,'C PHASES'!$I$108:$J$110,2,FALSE)</f>
        <v>46204</v>
      </c>
      <c r="AV417" s="233">
        <f>VLOOKUP(AA417,'C PHASES'!$I$113:$J$125,2,FALSE)</f>
        <v>45839</v>
      </c>
    </row>
    <row r="418" spans="1:48" x14ac:dyDescent="0.25">
      <c r="A418" s="236"/>
      <c r="B418" s="227" t="str">
        <f t="shared" si="61"/>
        <v>B</v>
      </c>
      <c r="C418" s="227" t="s">
        <v>82</v>
      </c>
      <c r="D418" s="227" t="s">
        <v>1147</v>
      </c>
      <c r="E418" s="228">
        <v>0</v>
      </c>
      <c r="F418" s="101">
        <v>4</v>
      </c>
      <c r="G418" s="87" t="str">
        <f t="shared" ref="G418:G432" si="69">LEFT(C418,3)&amp;E418&amp;F418</f>
        <v>B1304</v>
      </c>
      <c r="H418" s="87" t="s">
        <v>1293</v>
      </c>
      <c r="I418" s="89" t="str">
        <f>VLOOKUP(C418,'PREMIUM TABLES'!$G$107:$H$149,2,FALSE)</f>
        <v>C2</v>
      </c>
      <c r="J418" s="89">
        <v>95.254000000000005</v>
      </c>
      <c r="K418" s="87">
        <v>106.81741467938045</v>
      </c>
      <c r="L418" s="87">
        <v>116</v>
      </c>
      <c r="M418" s="87">
        <v>63.399000000000001</v>
      </c>
      <c r="O418" s="87" t="s">
        <v>180</v>
      </c>
      <c r="P418" s="87" t="s">
        <v>190</v>
      </c>
      <c r="Q418" s="229" t="s">
        <v>198</v>
      </c>
      <c r="R418" s="87" t="str">
        <f>VLOOKUP(E418,'PREMIUM TABLES'!$F$214:$G$219,2,FALSE)</f>
        <v>GROUND</v>
      </c>
      <c r="S418" s="87" t="str" cm="1">
        <f t="array" ref="S418">IF(AND(L418&gt;0,L418&lt;90),"A",IF(AND(L418&gt;90,L418&lt;123),"B",IF(AND(L418&gt;122,L418&lt;159),"C",IF(AND(L418&gt;159,L418&lt;185),"D",IF(AND(L418&gt;185,L418&lt;230),"E",IF(AND(L418&gt;230,L418&lt;350),"F",NONE))))))</f>
        <v>B</v>
      </c>
      <c r="T418" s="230">
        <f>VLOOKUP(O418,'PREMIUM TABLES'!$G$165:$H$172,2,FALSE)</f>
        <v>0.13</v>
      </c>
      <c r="U418" s="230">
        <f>VLOOKUP(P418,'PREMIUM TABLES'!$G$208:$H$209,2,FALSE)</f>
        <v>2.5000000000000001E-2</v>
      </c>
      <c r="V418" s="230">
        <f>VLOOKUP(Q418,'PREMIUM TABLES'!$G$175:$H$195,2,FALSE)</f>
        <v>0.15</v>
      </c>
      <c r="W418" s="230">
        <f>VLOOKUP(R418,'PREMIUM TABLES'!$G$214:$H$219,2,FALSE)</f>
        <v>0.05</v>
      </c>
      <c r="X418" s="230">
        <f>VLOOKUP(S418,'PREMIUM TABLES'!$F$199:$H$205,3,FALSE)</f>
        <v>0.04</v>
      </c>
      <c r="Y418" s="231">
        <f t="shared" si="63"/>
        <v>0.39499999999999996</v>
      </c>
      <c r="Z418" s="231" t="str" cm="1">
        <f t="array" ref="Z418">IF(AND(Y418&gt;0,Y418&lt;0.5),"C",IF(AND(Y418&gt;=0.5,Y418&lt;0.73),"B",IF(AND(Y418&gt;=0.73,Y418&lt;0.98),"A",NONE)))</f>
        <v>C</v>
      </c>
      <c r="AA418" s="231" t="str">
        <f>VLOOKUP(G418,'ALL (R)'!$N$5:$R$862,5,FALSE)</f>
        <v>R 4</v>
      </c>
      <c r="AB418" s="232">
        <f>VLOOKUP(AA418,FACTS!$B$2:$L$14,10,FALSE)</f>
        <v>45687.5</v>
      </c>
      <c r="AC418" s="232">
        <f>VLOOKUP(AA418,FACTS!$B$2:$L$14,11,FALSE)</f>
        <v>51062.5</v>
      </c>
      <c r="AD418" s="232">
        <f>VLOOKUP(AA418,FACTS!$B$2:$N$14,13,FALSE)</f>
        <v>5375</v>
      </c>
      <c r="AE418" s="232">
        <f t="shared" si="64"/>
        <v>2123.125</v>
      </c>
      <c r="AF418" s="232">
        <f t="shared" si="65"/>
        <v>47810.625</v>
      </c>
      <c r="AG418" s="232">
        <f>AF418*FACTS!$T$2</f>
        <v>15777.50625</v>
      </c>
      <c r="AH418" s="232">
        <f>Table1[[#This Row],[UNIT (BUILDING) RATE (SEMI FINISHED)]]+4500</f>
        <v>52310.625</v>
      </c>
      <c r="AI418" s="232">
        <f>Table1[[#This Row],[UNIT (BUILDING) RATE (SEMI FINISHED)]]+7500</f>
        <v>55310.625</v>
      </c>
      <c r="AJ418" s="232">
        <f t="shared" si="66"/>
        <v>5546032.5</v>
      </c>
      <c r="AK418" s="232">
        <f>Table1[[#This Row],[UNIT (BUILDING) RATE (BASIC FINISH)]]*Table1[[#This Row],[Unit Selling Area]]</f>
        <v>6068032.5</v>
      </c>
      <c r="AL418" s="232">
        <f>Table1[[#This Row],[UNIT (BUILDING) RATE (FULLY FINISH)]]*Table1[[#This Row],[Unit Selling Area]]</f>
        <v>6416032.5</v>
      </c>
      <c r="AM418" s="232">
        <f t="shared" si="67"/>
        <v>1000278.11874375</v>
      </c>
      <c r="AN418" s="232">
        <f>(AM418+AJ418)*FACTS!$S$2</f>
        <v>556436.40259321884</v>
      </c>
      <c r="AO418" s="101">
        <f>VLOOKUP(S418,FACTS!$A$17:$C$23,3,FALSE)</f>
        <v>1</v>
      </c>
      <c r="AP418" s="232">
        <f>VLOOKUP(AA418,FACTS!$B$2:$J$14,9,FALSE)</f>
        <v>215000</v>
      </c>
      <c r="AQ418" s="232">
        <f>Table1[[#This Row],[PARKING VALUE]]*1</f>
        <v>215000</v>
      </c>
      <c r="AR418" s="232">
        <f t="shared" si="62"/>
        <v>6761310.6187437503</v>
      </c>
      <c r="AS418" s="440">
        <f>Table1[[#This Row],[TOTAL CARS VALUE]]+Table1[[#This Row],[UNIT (BUILDING) VALUE BASIC FINISHED]]+Table1[[#This Row],[UNIT (GARDEN) VALUE]]</f>
        <v>7283310.6187437503</v>
      </c>
      <c r="AT418" s="232">
        <f>Table1[[#This Row],[TOTAL CARS VALUE]]+Table1[[#This Row],[UNIT (GARDEN) VALUE]]+Table1[[#This Row],[UNIT (BUILDING) VALUE FULLY FINISHED]]</f>
        <v>7631310.6187437503</v>
      </c>
      <c r="AU418" s="233">
        <f>VLOOKUP(I418,'C PHASES'!$I$108:$J$110,2,FALSE)</f>
        <v>46204</v>
      </c>
      <c r="AV418" s="233">
        <f>VLOOKUP(AA418,'C PHASES'!$I$113:$J$125,2,FALSE)</f>
        <v>45474</v>
      </c>
    </row>
    <row r="419" spans="1:48" x14ac:dyDescent="0.25">
      <c r="A419" s="236"/>
      <c r="B419" s="227" t="str">
        <f t="shared" si="61"/>
        <v>B</v>
      </c>
      <c r="C419" s="227" t="s">
        <v>82</v>
      </c>
      <c r="D419" s="227" t="s">
        <v>1147</v>
      </c>
      <c r="E419" s="228">
        <v>1</v>
      </c>
      <c r="F419" s="101">
        <v>1</v>
      </c>
      <c r="G419" s="87" t="str">
        <f t="shared" si="69"/>
        <v>B1311</v>
      </c>
      <c r="H419" s="87" t="s">
        <v>1294</v>
      </c>
      <c r="I419" s="89" t="str">
        <f>VLOOKUP(C419,'PREMIUM TABLES'!$G$107:$H$149,2,FALSE)</f>
        <v>C2</v>
      </c>
      <c r="J419" s="89">
        <v>142.977</v>
      </c>
      <c r="K419" s="87">
        <v>160.33377599485354</v>
      </c>
      <c r="L419" s="87">
        <v>174</v>
      </c>
      <c r="M419" s="89"/>
      <c r="N419" s="89"/>
      <c r="O419" s="87" t="s">
        <v>180</v>
      </c>
      <c r="P419" s="87" t="s">
        <v>190</v>
      </c>
      <c r="Q419" s="229" t="s">
        <v>198</v>
      </c>
      <c r="R419" s="87" t="str">
        <f>VLOOKUP(E419,'PREMIUM TABLES'!$F$214:$G$219,2,FALSE)</f>
        <v>FIRST</v>
      </c>
      <c r="S419" s="87" t="str" cm="1">
        <f t="array" ref="S419">IF(AND(L419&gt;0,L419&lt;90),"A",IF(AND(L419&gt;90,L419&lt;123),"B",IF(AND(L419&gt;122,L419&lt;159),"C",IF(AND(L419&gt;159,L419&lt;185),"D",IF(AND(L419&gt;185,L419&lt;230),"E",IF(AND(L419&gt;230,L419&lt;350),"F",NONE))))))</f>
        <v>D</v>
      </c>
      <c r="T419" s="230">
        <f>VLOOKUP(O419,'PREMIUM TABLES'!$G$165:$H$172,2,FALSE)</f>
        <v>0.13</v>
      </c>
      <c r="U419" s="230">
        <f>VLOOKUP(P419,'PREMIUM TABLES'!$G$208:$H$209,2,FALSE)</f>
        <v>2.5000000000000001E-2</v>
      </c>
      <c r="V419" s="230">
        <f>VLOOKUP(Q419,'PREMIUM TABLES'!$G$175:$H$195,2,FALSE)</f>
        <v>0.15</v>
      </c>
      <c r="W419" s="230">
        <f>VLOOKUP(R419,'PREMIUM TABLES'!$G$214:$H$219,2,FALSE)</f>
        <v>7.0000000000000007E-2</v>
      </c>
      <c r="X419" s="230">
        <f>VLOOKUP(S419,'PREMIUM TABLES'!$F$199:$H$205,3,FALSE)</f>
        <v>2.5000000000000001E-2</v>
      </c>
      <c r="Y419" s="231">
        <f t="shared" si="63"/>
        <v>0.4</v>
      </c>
      <c r="Z419" s="231" t="str" cm="1">
        <f t="array" ref="Z419">IF(AND(Y419&gt;0,Y419&lt;0.5),"C",IF(AND(Y419&gt;=0.5,Y419&lt;0.73),"B",IF(AND(Y419&gt;=0.73,Y419&lt;0.98),"A",NONE)))</f>
        <v>C</v>
      </c>
      <c r="AA419" s="231" t="str">
        <f>VLOOKUP(G419,'ALL (R)'!$N$5:$R$862,5,FALSE)</f>
        <v>R 5</v>
      </c>
      <c r="AB419" s="232">
        <f>VLOOKUP(AA419,FACTS!$B$2:$L$14,10,FALSE)</f>
        <v>46750.000000000007</v>
      </c>
      <c r="AC419" s="232">
        <f>VLOOKUP(AA419,FACTS!$B$2:$L$14,11,FALSE)</f>
        <v>52250.000000000007</v>
      </c>
      <c r="AD419" s="232">
        <f>VLOOKUP(AA419,FACTS!$B$2:$N$14,13,FALSE)</f>
        <v>5500</v>
      </c>
      <c r="AE419" s="232">
        <f t="shared" si="64"/>
        <v>2200</v>
      </c>
      <c r="AF419" s="232">
        <f t="shared" si="65"/>
        <v>48950.000000000007</v>
      </c>
      <c r="AG419" s="232">
        <f>AF419*FACTS!$T$2</f>
        <v>16153.500000000004</v>
      </c>
      <c r="AH419" s="232">
        <f>Table1[[#This Row],[UNIT (BUILDING) RATE (SEMI FINISHED)]]+4500</f>
        <v>53450.000000000007</v>
      </c>
      <c r="AI419" s="232">
        <f>Table1[[#This Row],[UNIT (BUILDING) RATE (SEMI FINISHED)]]+7500</f>
        <v>56450.000000000007</v>
      </c>
      <c r="AJ419" s="232">
        <f t="shared" si="66"/>
        <v>8517300.0000000019</v>
      </c>
      <c r="AK419" s="232">
        <f>Table1[[#This Row],[UNIT (BUILDING) RATE (BASIC FINISH)]]*Table1[[#This Row],[Unit Selling Area]]</f>
        <v>9300300.0000000019</v>
      </c>
      <c r="AL419" s="232">
        <f>Table1[[#This Row],[UNIT (BUILDING) RATE (FULLY FINISH)]]*Table1[[#This Row],[Unit Selling Area]]</f>
        <v>9822300.0000000019</v>
      </c>
      <c r="AM419" s="232">
        <f t="shared" si="67"/>
        <v>0</v>
      </c>
      <c r="AN419" s="232">
        <f>(AM419+AJ419)*FACTS!$S$2</f>
        <v>723970.50000000023</v>
      </c>
      <c r="AO419" s="101">
        <f>VLOOKUP(S419,FACTS!$A$17:$C$23,3,FALSE)</f>
        <v>2</v>
      </c>
      <c r="AP419" s="232">
        <f>VLOOKUP(AA419,FACTS!$B$2:$J$14,9,FALSE)</f>
        <v>220000.00000000003</v>
      </c>
      <c r="AQ419" s="232">
        <f>Table1[[#This Row],[PARKING VALUE]]*1</f>
        <v>220000.00000000003</v>
      </c>
      <c r="AR419" s="232">
        <f t="shared" si="62"/>
        <v>8737300.0000000019</v>
      </c>
      <c r="AS419" s="440">
        <f>Table1[[#This Row],[TOTAL CARS VALUE]]+Table1[[#This Row],[UNIT (BUILDING) VALUE BASIC FINISHED]]+Table1[[#This Row],[UNIT (GARDEN) VALUE]]</f>
        <v>9520300.0000000019</v>
      </c>
      <c r="AT419" s="232">
        <f>Table1[[#This Row],[TOTAL CARS VALUE]]+Table1[[#This Row],[UNIT (GARDEN) VALUE]]+Table1[[#This Row],[UNIT (BUILDING) VALUE FULLY FINISHED]]</f>
        <v>10042300.000000002</v>
      </c>
      <c r="AU419" s="233">
        <f>VLOOKUP(I419,'C PHASES'!$I$108:$J$110,2,FALSE)</f>
        <v>46204</v>
      </c>
      <c r="AV419" s="233">
        <f>VLOOKUP(AA419,'C PHASES'!$I$113:$J$125,2,FALSE)</f>
        <v>45566</v>
      </c>
    </row>
    <row r="420" spans="1:48" x14ac:dyDescent="0.25">
      <c r="A420" s="236"/>
      <c r="B420" s="227" t="str">
        <f t="shared" si="61"/>
        <v>B</v>
      </c>
      <c r="C420" s="227" t="s">
        <v>82</v>
      </c>
      <c r="D420" s="227" t="s">
        <v>1147</v>
      </c>
      <c r="E420" s="228">
        <v>1</v>
      </c>
      <c r="F420" s="101">
        <v>4</v>
      </c>
      <c r="G420" s="87" t="str">
        <f t="shared" si="69"/>
        <v>B1314</v>
      </c>
      <c r="H420" s="87" t="s">
        <v>1293</v>
      </c>
      <c r="I420" s="89" t="str">
        <f>VLOOKUP(C420,'PREMIUM TABLES'!$G$107:$H$149,2,FALSE)</f>
        <v>C2</v>
      </c>
      <c r="J420" s="89">
        <v>96.311000000000007</v>
      </c>
      <c r="K420" s="87">
        <v>108.00272980857298</v>
      </c>
      <c r="L420" s="87">
        <v>117</v>
      </c>
      <c r="M420" s="89"/>
      <c r="N420" s="89"/>
      <c r="O420" s="87" t="s">
        <v>180</v>
      </c>
      <c r="P420" s="87" t="s">
        <v>190</v>
      </c>
      <c r="Q420" s="229" t="s">
        <v>198</v>
      </c>
      <c r="R420" s="87" t="str">
        <f>VLOOKUP(E420,'PREMIUM TABLES'!$F$214:$G$219,2,FALSE)</f>
        <v>FIRST</v>
      </c>
      <c r="S420" s="87" t="str" cm="1">
        <f t="array" ref="S420">IF(AND(L420&gt;0,L420&lt;90),"A",IF(AND(L420&gt;90,L420&lt;123),"B",IF(AND(L420&gt;122,L420&lt;159),"C",IF(AND(L420&gt;159,L420&lt;185),"D",IF(AND(L420&gt;185,L420&lt;230),"E",IF(AND(L420&gt;230,L420&lt;350),"F",NONE))))))</f>
        <v>B</v>
      </c>
      <c r="T420" s="230">
        <f>VLOOKUP(O420,'PREMIUM TABLES'!$G$165:$H$172,2,FALSE)</f>
        <v>0.13</v>
      </c>
      <c r="U420" s="230">
        <f>VLOOKUP(P420,'PREMIUM TABLES'!$G$208:$H$209,2,FALSE)</f>
        <v>2.5000000000000001E-2</v>
      </c>
      <c r="V420" s="230">
        <f>VLOOKUP(Q420,'PREMIUM TABLES'!$G$175:$H$195,2,FALSE)</f>
        <v>0.15</v>
      </c>
      <c r="W420" s="230">
        <f>VLOOKUP(R420,'PREMIUM TABLES'!$G$214:$H$219,2,FALSE)</f>
        <v>7.0000000000000007E-2</v>
      </c>
      <c r="X420" s="230">
        <f>VLOOKUP(S420,'PREMIUM TABLES'!$F$199:$H$205,3,FALSE)</f>
        <v>0.04</v>
      </c>
      <c r="Y420" s="231">
        <f t="shared" si="63"/>
        <v>0.41499999999999998</v>
      </c>
      <c r="Z420" s="231" t="str" cm="1">
        <f t="array" ref="Z420">IF(AND(Y420&gt;0,Y420&lt;0.5),"C",IF(AND(Y420&gt;=0.5,Y420&lt;0.73),"B",IF(AND(Y420&gt;=0.73,Y420&lt;0.98),"A",NONE)))</f>
        <v>C</v>
      </c>
      <c r="AA420" s="231" t="str">
        <f>VLOOKUP(G420,'ALL (R)'!$N$5:$R$862,5,FALSE)</f>
        <v>R 7</v>
      </c>
      <c r="AB420" s="232">
        <f>VLOOKUP(AA420,FACTS!$B$2:$L$14,10,FALSE)</f>
        <v>50150</v>
      </c>
      <c r="AC420" s="232">
        <f>VLOOKUP(AA420,FACTS!$B$2:$L$14,11,FALSE)</f>
        <v>56050</v>
      </c>
      <c r="AD420" s="232">
        <f>VLOOKUP(AA420,FACTS!$B$2:$N$14,13,FALSE)</f>
        <v>5900</v>
      </c>
      <c r="AE420" s="232">
        <f t="shared" si="64"/>
        <v>2448.5</v>
      </c>
      <c r="AF420" s="232">
        <f t="shared" si="65"/>
        <v>52598.5</v>
      </c>
      <c r="AG420" s="232">
        <f>AF420*FACTS!$T$2</f>
        <v>17357.505000000001</v>
      </c>
      <c r="AH420" s="232">
        <f>Table1[[#This Row],[UNIT (BUILDING) RATE (SEMI FINISHED)]]+4500</f>
        <v>57098.5</v>
      </c>
      <c r="AI420" s="232">
        <f>Table1[[#This Row],[UNIT (BUILDING) RATE (SEMI FINISHED)]]+7500</f>
        <v>60098.5</v>
      </c>
      <c r="AJ420" s="232">
        <f t="shared" si="66"/>
        <v>6154024.5</v>
      </c>
      <c r="AK420" s="232">
        <f>Table1[[#This Row],[UNIT (BUILDING) RATE (BASIC FINISH)]]*Table1[[#This Row],[Unit Selling Area]]</f>
        <v>6680524.5</v>
      </c>
      <c r="AL420" s="232">
        <f>Table1[[#This Row],[UNIT (BUILDING) RATE (FULLY FINISH)]]*Table1[[#This Row],[Unit Selling Area]]</f>
        <v>7031524.5</v>
      </c>
      <c r="AM420" s="232">
        <f t="shared" si="67"/>
        <v>0</v>
      </c>
      <c r="AN420" s="232">
        <f>(AM420+AJ420)*FACTS!$S$2</f>
        <v>523092.08250000002</v>
      </c>
      <c r="AO420" s="101">
        <f>VLOOKUP(S420,FACTS!$A$17:$C$23,3,FALSE)</f>
        <v>1</v>
      </c>
      <c r="AP420" s="232">
        <f>VLOOKUP(AA420,FACTS!$B$2:$J$14,9,FALSE)</f>
        <v>236000</v>
      </c>
      <c r="AQ420" s="232">
        <f>Table1[[#This Row],[PARKING VALUE]]*1</f>
        <v>236000</v>
      </c>
      <c r="AR420" s="232">
        <f t="shared" si="62"/>
        <v>6390024.5</v>
      </c>
      <c r="AS420" s="440">
        <f>Table1[[#This Row],[TOTAL CARS VALUE]]+Table1[[#This Row],[UNIT (BUILDING) VALUE BASIC FINISHED]]+Table1[[#This Row],[UNIT (GARDEN) VALUE]]</f>
        <v>6916524.5</v>
      </c>
      <c r="AT420" s="232">
        <f>Table1[[#This Row],[TOTAL CARS VALUE]]+Table1[[#This Row],[UNIT (GARDEN) VALUE]]+Table1[[#This Row],[UNIT (BUILDING) VALUE FULLY FINISHED]]</f>
        <v>7267524.5</v>
      </c>
      <c r="AU420" s="233">
        <f>VLOOKUP(I420,'C PHASES'!$I$108:$J$110,2,FALSE)</f>
        <v>46204</v>
      </c>
      <c r="AV420" s="233">
        <f>VLOOKUP(AA420,'C PHASES'!$I$113:$J$125,2,FALSE)</f>
        <v>45748</v>
      </c>
    </row>
    <row r="421" spans="1:48" x14ac:dyDescent="0.25">
      <c r="A421" s="236"/>
      <c r="B421" s="227" t="str">
        <f t="shared" si="61"/>
        <v>B</v>
      </c>
      <c r="C421" s="227" t="s">
        <v>82</v>
      </c>
      <c r="D421" s="227" t="s">
        <v>1147</v>
      </c>
      <c r="E421" s="228">
        <v>2</v>
      </c>
      <c r="F421" s="101">
        <v>1</v>
      </c>
      <c r="G421" s="87" t="str">
        <f t="shared" si="69"/>
        <v>B1321</v>
      </c>
      <c r="H421" s="87" t="s">
        <v>1294</v>
      </c>
      <c r="I421" s="89" t="str">
        <f>VLOOKUP(C421,'PREMIUM TABLES'!$G$107:$H$149,2,FALSE)</f>
        <v>C2</v>
      </c>
      <c r="J421" s="89">
        <v>141.18700000000001</v>
      </c>
      <c r="K421" s="87">
        <v>158.32647790473564</v>
      </c>
      <c r="L421" s="87">
        <v>172</v>
      </c>
      <c r="M421" s="89"/>
      <c r="N421" s="89"/>
      <c r="O421" s="87" t="s">
        <v>180</v>
      </c>
      <c r="P421" s="87" t="s">
        <v>190</v>
      </c>
      <c r="Q421" s="229" t="s">
        <v>198</v>
      </c>
      <c r="R421" s="87" t="str">
        <f>VLOOKUP(E421,'PREMIUM TABLES'!$F$214:$G$219,2,FALSE)</f>
        <v>SECOND</v>
      </c>
      <c r="S421" s="87" t="str" cm="1">
        <f t="array" ref="S421">IF(AND(L421&gt;0,L421&lt;90),"A",IF(AND(L421&gt;90,L421&lt;123),"B",IF(AND(L421&gt;122,L421&lt;159),"C",IF(AND(L421&gt;159,L421&lt;185),"D",IF(AND(L421&gt;185,L421&lt;230),"E",IF(AND(L421&gt;230,L421&lt;350),"F",NONE))))))</f>
        <v>D</v>
      </c>
      <c r="T421" s="230">
        <f>VLOOKUP(O421,'PREMIUM TABLES'!$G$165:$H$172,2,FALSE)</f>
        <v>0.13</v>
      </c>
      <c r="U421" s="230">
        <f>VLOOKUP(P421,'PREMIUM TABLES'!$G$208:$H$209,2,FALSE)</f>
        <v>2.5000000000000001E-2</v>
      </c>
      <c r="V421" s="230">
        <f>VLOOKUP(Q421,'PREMIUM TABLES'!$G$175:$H$195,2,FALSE)</f>
        <v>0.15</v>
      </c>
      <c r="W421" s="230">
        <f>VLOOKUP(R421,'PREMIUM TABLES'!$G$214:$H$219,2,FALSE)</f>
        <v>0.11</v>
      </c>
      <c r="X421" s="230">
        <f>VLOOKUP(S421,'PREMIUM TABLES'!$F$199:$H$205,3,FALSE)</f>
        <v>2.5000000000000001E-2</v>
      </c>
      <c r="Y421" s="231">
        <f t="shared" si="63"/>
        <v>0.44</v>
      </c>
      <c r="Z421" s="231" t="str" cm="1">
        <f t="array" ref="Z421">IF(AND(Y421&gt;0,Y421&lt;0.5),"C",IF(AND(Y421&gt;=0.5,Y421&lt;0.73),"B",IF(AND(Y421&gt;=0.73,Y421&lt;0.98),"A",NONE)))</f>
        <v>C</v>
      </c>
      <c r="AA421" s="231" t="str">
        <f>VLOOKUP(G421,'ALL (R)'!$N$5:$R$862,5,FALSE)</f>
        <v>R 8</v>
      </c>
      <c r="AB421" s="232">
        <f>VLOOKUP(AA421,FACTS!$B$2:$L$14,10,FALSE)</f>
        <v>51850</v>
      </c>
      <c r="AC421" s="232">
        <f>VLOOKUP(AA421,FACTS!$B$2:$L$14,11,FALSE)</f>
        <v>57950</v>
      </c>
      <c r="AD421" s="232">
        <f>VLOOKUP(AA421,FACTS!$B$2:$N$14,13,FALSE)</f>
        <v>6100</v>
      </c>
      <c r="AE421" s="232">
        <f t="shared" si="64"/>
        <v>2684</v>
      </c>
      <c r="AF421" s="232">
        <f t="shared" si="65"/>
        <v>54534</v>
      </c>
      <c r="AG421" s="232">
        <f>AF421*FACTS!$T$2</f>
        <v>17996.22</v>
      </c>
      <c r="AH421" s="232">
        <f>Table1[[#This Row],[UNIT (BUILDING) RATE (SEMI FINISHED)]]+4500</f>
        <v>59034</v>
      </c>
      <c r="AI421" s="232">
        <f>Table1[[#This Row],[UNIT (BUILDING) RATE (SEMI FINISHED)]]+7500</f>
        <v>62034</v>
      </c>
      <c r="AJ421" s="232">
        <f t="shared" si="66"/>
        <v>9379848</v>
      </c>
      <c r="AK421" s="232">
        <f>Table1[[#This Row],[UNIT (BUILDING) RATE (BASIC FINISH)]]*Table1[[#This Row],[Unit Selling Area]]</f>
        <v>10153848</v>
      </c>
      <c r="AL421" s="232">
        <f>Table1[[#This Row],[UNIT (BUILDING) RATE (FULLY FINISH)]]*Table1[[#This Row],[Unit Selling Area]]</f>
        <v>10669848</v>
      </c>
      <c r="AM421" s="232">
        <f t="shared" si="67"/>
        <v>0</v>
      </c>
      <c r="AN421" s="232">
        <f>(AM421+AJ421)*FACTS!$S$2</f>
        <v>797287.08000000007</v>
      </c>
      <c r="AO421" s="101">
        <f>VLOOKUP(S421,FACTS!$A$17:$C$23,3,FALSE)</f>
        <v>2</v>
      </c>
      <c r="AP421" s="232">
        <f>VLOOKUP(AA421,FACTS!$B$2:$J$14,9,FALSE)</f>
        <v>244000</v>
      </c>
      <c r="AQ421" s="232">
        <f>Table1[[#This Row],[PARKING VALUE]]*1</f>
        <v>244000</v>
      </c>
      <c r="AR421" s="232">
        <f t="shared" si="62"/>
        <v>9623848</v>
      </c>
      <c r="AS421" s="440">
        <f>Table1[[#This Row],[TOTAL CARS VALUE]]+Table1[[#This Row],[UNIT (BUILDING) VALUE BASIC FINISHED]]+Table1[[#This Row],[UNIT (GARDEN) VALUE]]</f>
        <v>10397848</v>
      </c>
      <c r="AT421" s="232">
        <f>Table1[[#This Row],[TOTAL CARS VALUE]]+Table1[[#This Row],[UNIT (GARDEN) VALUE]]+Table1[[#This Row],[UNIT (BUILDING) VALUE FULLY FINISHED]]</f>
        <v>10913848</v>
      </c>
      <c r="AU421" s="233">
        <f>VLOOKUP(I421,'C PHASES'!$I$108:$J$110,2,FALSE)</f>
        <v>46204</v>
      </c>
      <c r="AV421" s="233">
        <f>VLOOKUP(AA421,'C PHASES'!$I$113:$J$125,2,FALSE)</f>
        <v>45839</v>
      </c>
    </row>
    <row r="422" spans="1:48" x14ac:dyDescent="0.25">
      <c r="A422" s="236"/>
      <c r="B422" s="227" t="str">
        <f t="shared" si="61"/>
        <v>B</v>
      </c>
      <c r="C422" s="227" t="s">
        <v>82</v>
      </c>
      <c r="D422" s="227" t="s">
        <v>1147</v>
      </c>
      <c r="E422" s="228">
        <v>2</v>
      </c>
      <c r="F422" s="101">
        <v>2</v>
      </c>
      <c r="G422" s="87" t="str">
        <f t="shared" si="69"/>
        <v>B1322</v>
      </c>
      <c r="H422" s="87" t="s">
        <v>1294</v>
      </c>
      <c r="I422" s="89" t="str">
        <f>VLOOKUP(C422,'PREMIUM TABLES'!$G$107:$H$149,2,FALSE)</f>
        <v>C2</v>
      </c>
      <c r="J422" s="89">
        <v>141.446</v>
      </c>
      <c r="K422" s="87">
        <v>158.61691936023314</v>
      </c>
      <c r="L422" s="87">
        <v>173</v>
      </c>
      <c r="M422" s="89"/>
      <c r="N422" s="89"/>
      <c r="O422" s="87" t="s">
        <v>187</v>
      </c>
      <c r="P422" s="87" t="s">
        <v>190</v>
      </c>
      <c r="Q422" s="229" t="s">
        <v>210</v>
      </c>
      <c r="R422" s="87" t="str">
        <f>VLOOKUP(E422,'PREMIUM TABLES'!$F$214:$G$219,2,FALSE)</f>
        <v>SECOND</v>
      </c>
      <c r="S422" s="87" t="str" cm="1">
        <f t="array" ref="S422">IF(AND(L422&gt;0,L422&lt;90),"A",IF(AND(L422&gt;90,L422&lt;123),"B",IF(AND(L422&gt;122,L422&lt;159),"C",IF(AND(L422&gt;159,L422&lt;185),"D",IF(AND(L422&gt;185,L422&lt;230),"E",IF(AND(L422&gt;230,L422&lt;350),"F",NONE))))))</f>
        <v>D</v>
      </c>
      <c r="T422" s="230">
        <f>VLOOKUP(O422,'PREMIUM TABLES'!$G$165:$H$172,2,FALSE)</f>
        <v>0.08</v>
      </c>
      <c r="U422" s="230">
        <f>VLOOKUP(P422,'PREMIUM TABLES'!$G$208:$H$209,2,FALSE)</f>
        <v>2.5000000000000001E-2</v>
      </c>
      <c r="V422" s="230">
        <f>VLOOKUP(Q422,'PREMIUM TABLES'!$G$175:$H$195,2,FALSE)</f>
        <v>0.53</v>
      </c>
      <c r="W422" s="230">
        <f>VLOOKUP(R422,'PREMIUM TABLES'!$G$214:$H$219,2,FALSE)</f>
        <v>0.11</v>
      </c>
      <c r="X422" s="230">
        <f>VLOOKUP(S422,'PREMIUM TABLES'!$F$199:$H$205,3,FALSE)</f>
        <v>2.5000000000000001E-2</v>
      </c>
      <c r="Y422" s="231">
        <f t="shared" si="63"/>
        <v>0.77</v>
      </c>
      <c r="Z422" s="231" t="str" cm="1">
        <f t="array" ref="Z422">IF(AND(Y422&gt;0,Y422&lt;0.5),"C",IF(AND(Y422&gt;=0.5,Y422&lt;0.73),"B",IF(AND(Y422&gt;=0.73,Y422&lt;0.98),"A",NONE)))</f>
        <v>A</v>
      </c>
      <c r="AA422" s="231" t="str">
        <f>VLOOKUP(G422,'ALL (R)'!$N$5:$R$862,5,FALSE)</f>
        <v>R 3</v>
      </c>
      <c r="AB422" s="232">
        <f>VLOOKUP(AA422,FACTS!$B$2:$L$14,10,FALSE)</f>
        <v>44625</v>
      </c>
      <c r="AC422" s="232">
        <f>VLOOKUP(AA422,FACTS!$B$2:$L$14,11,FALSE)</f>
        <v>49875</v>
      </c>
      <c r="AD422" s="232">
        <f>VLOOKUP(AA422,FACTS!$B$2:$N$14,13,FALSE)</f>
        <v>5250</v>
      </c>
      <c r="AE422" s="232">
        <f t="shared" si="64"/>
        <v>4042.5</v>
      </c>
      <c r="AF422" s="232">
        <f t="shared" si="65"/>
        <v>48667.5</v>
      </c>
      <c r="AG422" s="232">
        <f>AF422*FACTS!$T$2</f>
        <v>16060.275000000001</v>
      </c>
      <c r="AH422" s="232">
        <f>Table1[[#This Row],[UNIT (BUILDING) RATE (SEMI FINISHED)]]+4500</f>
        <v>53167.5</v>
      </c>
      <c r="AI422" s="232">
        <f>Table1[[#This Row],[UNIT (BUILDING) RATE (SEMI FINISHED)]]+7500</f>
        <v>56167.5</v>
      </c>
      <c r="AJ422" s="232">
        <f t="shared" si="66"/>
        <v>8419477.5</v>
      </c>
      <c r="AK422" s="232">
        <f>Table1[[#This Row],[UNIT (BUILDING) RATE (BASIC FINISH)]]*Table1[[#This Row],[Unit Selling Area]]</f>
        <v>9197977.5</v>
      </c>
      <c r="AL422" s="232">
        <f>Table1[[#This Row],[UNIT (BUILDING) RATE (FULLY FINISH)]]*Table1[[#This Row],[Unit Selling Area]]</f>
        <v>9716977.5</v>
      </c>
      <c r="AM422" s="232">
        <f t="shared" si="67"/>
        <v>0</v>
      </c>
      <c r="AN422" s="232">
        <f>(AM422+AJ422)*FACTS!$S$2</f>
        <v>715655.58750000002</v>
      </c>
      <c r="AO422" s="101">
        <f>VLOOKUP(S422,FACTS!$A$17:$C$23,3,FALSE)</f>
        <v>2</v>
      </c>
      <c r="AP422" s="232">
        <f>VLOOKUP(AA422,FACTS!$B$2:$J$14,9,FALSE)</f>
        <v>210000</v>
      </c>
      <c r="AQ422" s="232">
        <f>Table1[[#This Row],[PARKING VALUE]]*1</f>
        <v>210000</v>
      </c>
      <c r="AR422" s="232">
        <f t="shared" si="62"/>
        <v>8629477.5</v>
      </c>
      <c r="AS422" s="440">
        <f>Table1[[#This Row],[TOTAL CARS VALUE]]+Table1[[#This Row],[UNIT (BUILDING) VALUE BASIC FINISHED]]+Table1[[#This Row],[UNIT (GARDEN) VALUE]]</f>
        <v>9407977.5</v>
      </c>
      <c r="AT422" s="232">
        <f>Table1[[#This Row],[TOTAL CARS VALUE]]+Table1[[#This Row],[UNIT (GARDEN) VALUE]]+Table1[[#This Row],[UNIT (BUILDING) VALUE FULLY FINISHED]]</f>
        <v>9926977.5</v>
      </c>
      <c r="AU422" s="233">
        <f>VLOOKUP(I422,'C PHASES'!$I$108:$J$110,2,FALSE)</f>
        <v>46204</v>
      </c>
      <c r="AV422" s="233">
        <f>VLOOKUP(AA422,'C PHASES'!$I$113:$J$125,2,FALSE)</f>
        <v>45383</v>
      </c>
    </row>
    <row r="423" spans="1:48" x14ac:dyDescent="0.25">
      <c r="A423" s="236"/>
      <c r="B423" s="227" t="str">
        <f t="shared" si="61"/>
        <v>B</v>
      </c>
      <c r="C423" s="227" t="s">
        <v>82</v>
      </c>
      <c r="D423" s="227" t="s">
        <v>1147</v>
      </c>
      <c r="E423" s="228">
        <v>2</v>
      </c>
      <c r="F423" s="101">
        <v>3</v>
      </c>
      <c r="G423" s="87" t="str">
        <f t="shared" si="69"/>
        <v>B1323</v>
      </c>
      <c r="H423" s="87" t="s">
        <v>1294</v>
      </c>
      <c r="I423" s="89" t="str">
        <f>VLOOKUP(C423,'PREMIUM TABLES'!$G$107:$H$149,2,FALSE)</f>
        <v>C2</v>
      </c>
      <c r="J423" s="89">
        <v>141.572</v>
      </c>
      <c r="K423" s="87">
        <v>158.75821520344815</v>
      </c>
      <c r="L423" s="87">
        <v>173</v>
      </c>
      <c r="M423" s="89"/>
      <c r="N423" s="89"/>
      <c r="O423" s="87" t="s">
        <v>187</v>
      </c>
      <c r="P423" s="87" t="s">
        <v>190</v>
      </c>
      <c r="Q423" s="229" t="s">
        <v>210</v>
      </c>
      <c r="R423" s="87" t="str">
        <f>VLOOKUP(E423,'PREMIUM TABLES'!$F$214:$G$219,2,FALSE)</f>
        <v>SECOND</v>
      </c>
      <c r="S423" s="87" t="str" cm="1">
        <f t="array" ref="S423">IF(AND(L423&gt;0,L423&lt;90),"A",IF(AND(L423&gt;90,L423&lt;123),"B",IF(AND(L423&gt;122,L423&lt;159),"C",IF(AND(L423&gt;159,L423&lt;185),"D",IF(AND(L423&gt;185,L423&lt;230),"E",IF(AND(L423&gt;230,L423&lt;350),"F",NONE))))))</f>
        <v>D</v>
      </c>
      <c r="T423" s="230">
        <f>VLOOKUP(O423,'PREMIUM TABLES'!$G$165:$H$172,2,FALSE)</f>
        <v>0.08</v>
      </c>
      <c r="U423" s="230">
        <f>VLOOKUP(P423,'PREMIUM TABLES'!$G$208:$H$209,2,FALSE)</f>
        <v>2.5000000000000001E-2</v>
      </c>
      <c r="V423" s="230">
        <f>VLOOKUP(Q423,'PREMIUM TABLES'!$G$175:$H$195,2,FALSE)</f>
        <v>0.53</v>
      </c>
      <c r="W423" s="230">
        <f>VLOOKUP(R423,'PREMIUM TABLES'!$G$214:$H$219,2,FALSE)</f>
        <v>0.11</v>
      </c>
      <c r="X423" s="230">
        <f>VLOOKUP(S423,'PREMIUM TABLES'!$F$199:$H$205,3,FALSE)</f>
        <v>2.5000000000000001E-2</v>
      </c>
      <c r="Y423" s="231">
        <f t="shared" si="63"/>
        <v>0.77</v>
      </c>
      <c r="Z423" s="231" t="str" cm="1">
        <f t="array" ref="Z423">IF(AND(Y423&gt;0,Y423&lt;0.5),"C",IF(AND(Y423&gt;=0.5,Y423&lt;0.73),"B",IF(AND(Y423&gt;=0.73,Y423&lt;0.98),"A",NONE)))</f>
        <v>A</v>
      </c>
      <c r="AA423" s="231" t="str">
        <f>VLOOKUP(G423,'ALL (R)'!$N$5:$R$862,5,FALSE)</f>
        <v>R 3</v>
      </c>
      <c r="AB423" s="232">
        <f>VLOOKUP(AA423,FACTS!$B$2:$L$14,10,FALSE)</f>
        <v>44625</v>
      </c>
      <c r="AC423" s="232">
        <f>VLOOKUP(AA423,FACTS!$B$2:$L$14,11,FALSE)</f>
        <v>49875</v>
      </c>
      <c r="AD423" s="232">
        <f>VLOOKUP(AA423,FACTS!$B$2:$N$14,13,FALSE)</f>
        <v>5250</v>
      </c>
      <c r="AE423" s="232">
        <f t="shared" si="64"/>
        <v>4042.5</v>
      </c>
      <c r="AF423" s="232">
        <f t="shared" si="65"/>
        <v>48667.5</v>
      </c>
      <c r="AG423" s="232">
        <f>AF423*FACTS!$T$2</f>
        <v>16060.275000000001</v>
      </c>
      <c r="AH423" s="232">
        <f>Table1[[#This Row],[UNIT (BUILDING) RATE (SEMI FINISHED)]]+4500</f>
        <v>53167.5</v>
      </c>
      <c r="AI423" s="232">
        <f>Table1[[#This Row],[UNIT (BUILDING) RATE (SEMI FINISHED)]]+7500</f>
        <v>56167.5</v>
      </c>
      <c r="AJ423" s="232">
        <f t="shared" si="66"/>
        <v>8419477.5</v>
      </c>
      <c r="AK423" s="232">
        <f>Table1[[#This Row],[UNIT (BUILDING) RATE (BASIC FINISH)]]*Table1[[#This Row],[Unit Selling Area]]</f>
        <v>9197977.5</v>
      </c>
      <c r="AL423" s="232">
        <f>Table1[[#This Row],[UNIT (BUILDING) RATE (FULLY FINISH)]]*Table1[[#This Row],[Unit Selling Area]]</f>
        <v>9716977.5</v>
      </c>
      <c r="AM423" s="232">
        <f t="shared" si="67"/>
        <v>0</v>
      </c>
      <c r="AN423" s="232">
        <f>(AM423+AJ423)*FACTS!$S$2</f>
        <v>715655.58750000002</v>
      </c>
      <c r="AO423" s="101">
        <f>VLOOKUP(S423,FACTS!$A$17:$C$23,3,FALSE)</f>
        <v>2</v>
      </c>
      <c r="AP423" s="232">
        <f>VLOOKUP(AA423,FACTS!$B$2:$J$14,9,FALSE)</f>
        <v>210000</v>
      </c>
      <c r="AQ423" s="232">
        <f>Table1[[#This Row],[PARKING VALUE]]*1</f>
        <v>210000</v>
      </c>
      <c r="AR423" s="232">
        <f t="shared" si="62"/>
        <v>8629477.5</v>
      </c>
      <c r="AS423" s="440">
        <f>Table1[[#This Row],[TOTAL CARS VALUE]]+Table1[[#This Row],[UNIT (BUILDING) VALUE BASIC FINISHED]]+Table1[[#This Row],[UNIT (GARDEN) VALUE]]</f>
        <v>9407977.5</v>
      </c>
      <c r="AT423" s="232">
        <f>Table1[[#This Row],[TOTAL CARS VALUE]]+Table1[[#This Row],[UNIT (GARDEN) VALUE]]+Table1[[#This Row],[UNIT (BUILDING) VALUE FULLY FINISHED]]</f>
        <v>9926977.5</v>
      </c>
      <c r="AU423" s="233">
        <f>VLOOKUP(I423,'C PHASES'!$I$108:$J$110,2,FALSE)</f>
        <v>46204</v>
      </c>
      <c r="AV423" s="233">
        <f>VLOOKUP(AA423,'C PHASES'!$I$113:$J$125,2,FALSE)</f>
        <v>45383</v>
      </c>
    </row>
    <row r="424" spans="1:48" x14ac:dyDescent="0.25">
      <c r="A424" s="236"/>
      <c r="B424" s="227" t="str">
        <f t="shared" si="61"/>
        <v>B</v>
      </c>
      <c r="C424" s="227" t="s">
        <v>82</v>
      </c>
      <c r="D424" s="227" t="s">
        <v>1147</v>
      </c>
      <c r="E424" s="228">
        <v>2</v>
      </c>
      <c r="F424" s="101">
        <v>4</v>
      </c>
      <c r="G424" s="87" t="str">
        <f t="shared" si="69"/>
        <v>B1324</v>
      </c>
      <c r="H424" s="87" t="s">
        <v>1294</v>
      </c>
      <c r="I424" s="89" t="str">
        <f>VLOOKUP(C424,'PREMIUM TABLES'!$G$107:$H$149,2,FALSE)</f>
        <v>C2</v>
      </c>
      <c r="J424" s="89">
        <v>141.226</v>
      </c>
      <c r="K424" s="87">
        <v>158.37021233239741</v>
      </c>
      <c r="L424" s="87">
        <v>172</v>
      </c>
      <c r="M424" s="89"/>
      <c r="N424" s="89"/>
      <c r="O424" s="87" t="s">
        <v>180</v>
      </c>
      <c r="P424" s="87" t="s">
        <v>190</v>
      </c>
      <c r="Q424" s="229" t="s">
        <v>198</v>
      </c>
      <c r="R424" s="87" t="str">
        <f>VLOOKUP(E424,'PREMIUM TABLES'!$F$214:$G$219,2,FALSE)</f>
        <v>SECOND</v>
      </c>
      <c r="S424" s="87" t="str" cm="1">
        <f t="array" ref="S424">IF(AND(L424&gt;0,L424&lt;90),"A",IF(AND(L424&gt;90,L424&lt;123),"B",IF(AND(L424&gt;122,L424&lt;159),"C",IF(AND(L424&gt;159,L424&lt;185),"D",IF(AND(L424&gt;185,L424&lt;230),"E",IF(AND(L424&gt;230,L424&lt;350),"F",NONE))))))</f>
        <v>D</v>
      </c>
      <c r="T424" s="230">
        <f>VLOOKUP(O424,'PREMIUM TABLES'!$G$165:$H$172,2,FALSE)</f>
        <v>0.13</v>
      </c>
      <c r="U424" s="230">
        <f>VLOOKUP(P424,'PREMIUM TABLES'!$G$208:$H$209,2,FALSE)</f>
        <v>2.5000000000000001E-2</v>
      </c>
      <c r="V424" s="230">
        <f>VLOOKUP(Q424,'PREMIUM TABLES'!$G$175:$H$195,2,FALSE)</f>
        <v>0.15</v>
      </c>
      <c r="W424" s="230">
        <f>VLOOKUP(R424,'PREMIUM TABLES'!$G$214:$H$219,2,FALSE)</f>
        <v>0.11</v>
      </c>
      <c r="X424" s="230">
        <f>VLOOKUP(S424,'PREMIUM TABLES'!$F$199:$H$205,3,FALSE)</f>
        <v>2.5000000000000001E-2</v>
      </c>
      <c r="Y424" s="231">
        <f t="shared" si="63"/>
        <v>0.44</v>
      </c>
      <c r="Z424" s="231" t="str" cm="1">
        <f t="array" ref="Z424">IF(AND(Y424&gt;0,Y424&lt;0.5),"C",IF(AND(Y424&gt;=0.5,Y424&lt;0.73),"B",IF(AND(Y424&gt;=0.73,Y424&lt;0.98),"A",NONE)))</f>
        <v>C</v>
      </c>
      <c r="AA424" s="231" t="str">
        <f>VLOOKUP(G424,'ALL (R)'!$N$5:$R$862,5,FALSE)</f>
        <v>R 8</v>
      </c>
      <c r="AB424" s="232">
        <f>VLOOKUP(AA424,FACTS!$B$2:$L$14,10,FALSE)</f>
        <v>51850</v>
      </c>
      <c r="AC424" s="232">
        <f>VLOOKUP(AA424,FACTS!$B$2:$L$14,11,FALSE)</f>
        <v>57950</v>
      </c>
      <c r="AD424" s="232">
        <f>VLOOKUP(AA424,FACTS!$B$2:$N$14,13,FALSE)</f>
        <v>6100</v>
      </c>
      <c r="AE424" s="232">
        <f t="shared" si="64"/>
        <v>2684</v>
      </c>
      <c r="AF424" s="232">
        <f t="shared" si="65"/>
        <v>54534</v>
      </c>
      <c r="AG424" s="232">
        <f>AF424*FACTS!$T$2</f>
        <v>17996.22</v>
      </c>
      <c r="AH424" s="232">
        <f>Table1[[#This Row],[UNIT (BUILDING) RATE (SEMI FINISHED)]]+4500</f>
        <v>59034</v>
      </c>
      <c r="AI424" s="232">
        <f>Table1[[#This Row],[UNIT (BUILDING) RATE (SEMI FINISHED)]]+7500</f>
        <v>62034</v>
      </c>
      <c r="AJ424" s="232">
        <f t="shared" si="66"/>
        <v>9379848</v>
      </c>
      <c r="AK424" s="232">
        <f>Table1[[#This Row],[UNIT (BUILDING) RATE (BASIC FINISH)]]*Table1[[#This Row],[Unit Selling Area]]</f>
        <v>10153848</v>
      </c>
      <c r="AL424" s="232">
        <f>Table1[[#This Row],[UNIT (BUILDING) RATE (FULLY FINISH)]]*Table1[[#This Row],[Unit Selling Area]]</f>
        <v>10669848</v>
      </c>
      <c r="AM424" s="232">
        <f t="shared" si="67"/>
        <v>0</v>
      </c>
      <c r="AN424" s="232">
        <f>(AM424+AJ424)*FACTS!$S$2</f>
        <v>797287.08000000007</v>
      </c>
      <c r="AO424" s="101">
        <f>VLOOKUP(S424,FACTS!$A$17:$C$23,3,FALSE)</f>
        <v>2</v>
      </c>
      <c r="AP424" s="232">
        <f>VLOOKUP(AA424,FACTS!$B$2:$J$14,9,FALSE)</f>
        <v>244000</v>
      </c>
      <c r="AQ424" s="232">
        <f>Table1[[#This Row],[PARKING VALUE]]*1</f>
        <v>244000</v>
      </c>
      <c r="AR424" s="232">
        <f t="shared" si="62"/>
        <v>9623848</v>
      </c>
      <c r="AS424" s="440">
        <f>Table1[[#This Row],[TOTAL CARS VALUE]]+Table1[[#This Row],[UNIT (BUILDING) VALUE BASIC FINISHED]]+Table1[[#This Row],[UNIT (GARDEN) VALUE]]</f>
        <v>10397848</v>
      </c>
      <c r="AT424" s="232">
        <f>Table1[[#This Row],[TOTAL CARS VALUE]]+Table1[[#This Row],[UNIT (GARDEN) VALUE]]+Table1[[#This Row],[UNIT (BUILDING) VALUE FULLY FINISHED]]</f>
        <v>10913848</v>
      </c>
      <c r="AU424" s="233">
        <f>VLOOKUP(I424,'C PHASES'!$I$108:$J$110,2,FALSE)</f>
        <v>46204</v>
      </c>
      <c r="AV424" s="233">
        <f>VLOOKUP(AA424,'C PHASES'!$I$113:$J$125,2,FALSE)</f>
        <v>45839</v>
      </c>
    </row>
    <row r="425" spans="1:48" x14ac:dyDescent="0.25">
      <c r="A425" s="236"/>
      <c r="B425" s="227" t="str">
        <f t="shared" si="61"/>
        <v>B</v>
      </c>
      <c r="C425" s="227" t="s">
        <v>82</v>
      </c>
      <c r="D425" s="227" t="s">
        <v>1147</v>
      </c>
      <c r="E425" s="228">
        <v>3</v>
      </c>
      <c r="F425" s="101">
        <v>1</v>
      </c>
      <c r="G425" s="87" t="str">
        <f t="shared" si="69"/>
        <v>B1331</v>
      </c>
      <c r="H425" s="87" t="s">
        <v>1294</v>
      </c>
      <c r="I425" s="89" t="str">
        <f>VLOOKUP(C425,'PREMIUM TABLES'!$G$107:$H$149,2,FALSE)</f>
        <v>C2</v>
      </c>
      <c r="J425" s="89">
        <v>141.48599999999999</v>
      </c>
      <c r="K425" s="87">
        <v>158.66177518347598</v>
      </c>
      <c r="L425" s="87">
        <v>173</v>
      </c>
      <c r="M425" s="89"/>
      <c r="N425" s="89"/>
      <c r="O425" s="87" t="s">
        <v>180</v>
      </c>
      <c r="P425" s="87" t="s">
        <v>190</v>
      </c>
      <c r="Q425" s="229" t="s">
        <v>198</v>
      </c>
      <c r="R425" s="87" t="str">
        <f>VLOOKUP(E425,'PREMIUM TABLES'!$F$214:$G$219,2,FALSE)</f>
        <v>THIRD</v>
      </c>
      <c r="S425" s="87" t="str" cm="1">
        <f t="array" ref="S425">IF(AND(L425&gt;0,L425&lt;90),"A",IF(AND(L425&gt;90,L425&lt;123),"B",IF(AND(L425&gt;122,L425&lt;159),"C",IF(AND(L425&gt;159,L425&lt;185),"D",IF(AND(L425&gt;185,L425&lt;230),"E",IF(AND(L425&gt;230,L425&lt;350),"F",NONE))))))</f>
        <v>D</v>
      </c>
      <c r="T425" s="230">
        <f>VLOOKUP(O425,'PREMIUM TABLES'!$G$165:$H$172,2,FALSE)</f>
        <v>0.13</v>
      </c>
      <c r="U425" s="230">
        <f>VLOOKUP(P425,'PREMIUM TABLES'!$G$208:$H$209,2,FALSE)</f>
        <v>2.5000000000000001E-2</v>
      </c>
      <c r="V425" s="230">
        <f>VLOOKUP(Q425,'PREMIUM TABLES'!$G$175:$H$195,2,FALSE)</f>
        <v>0.15</v>
      </c>
      <c r="W425" s="230">
        <f>VLOOKUP(R425,'PREMIUM TABLES'!$G$214:$H$219,2,FALSE)</f>
        <v>0.15</v>
      </c>
      <c r="X425" s="230">
        <f>VLOOKUP(S425,'PREMIUM TABLES'!$F$199:$H$205,3,FALSE)</f>
        <v>2.5000000000000001E-2</v>
      </c>
      <c r="Y425" s="231">
        <f t="shared" si="63"/>
        <v>0.48</v>
      </c>
      <c r="Z425" s="231" t="str" cm="1">
        <f t="array" ref="Z425">IF(AND(Y425&gt;0,Y425&lt;0.5),"C",IF(AND(Y425&gt;=0.5,Y425&lt;0.73),"B",IF(AND(Y425&gt;=0.73,Y425&lt;0.98),"A",NONE)))</f>
        <v>C</v>
      </c>
      <c r="AA425" s="231" t="str">
        <f>VLOOKUP(G425,'ALL (R)'!$N$5:$R$862,5,FALSE)</f>
        <v>R 12</v>
      </c>
      <c r="AB425" s="232">
        <f>VLOOKUP(AA425,FACTS!$B$2:$L$14,10,FALSE)</f>
        <v>61625</v>
      </c>
      <c r="AC425" s="232">
        <f>VLOOKUP(AA425,FACTS!$B$2:$L$14,11,FALSE)</f>
        <v>68875</v>
      </c>
      <c r="AD425" s="232">
        <f>VLOOKUP(AA425,FACTS!$B$2:$N$14,13,FALSE)</f>
        <v>7250</v>
      </c>
      <c r="AE425" s="232">
        <f t="shared" si="64"/>
        <v>3480</v>
      </c>
      <c r="AF425" s="232">
        <f t="shared" si="65"/>
        <v>65105</v>
      </c>
      <c r="AG425" s="232">
        <f>AF425*FACTS!$T$2</f>
        <v>21484.65</v>
      </c>
      <c r="AH425" s="232">
        <f>Table1[[#This Row],[UNIT (BUILDING) RATE (SEMI FINISHED)]]+4500</f>
        <v>69605</v>
      </c>
      <c r="AI425" s="232">
        <f>Table1[[#This Row],[UNIT (BUILDING) RATE (SEMI FINISHED)]]+7500</f>
        <v>72605</v>
      </c>
      <c r="AJ425" s="232">
        <f t="shared" si="66"/>
        <v>11263165</v>
      </c>
      <c r="AK425" s="232">
        <f>Table1[[#This Row],[UNIT (BUILDING) RATE (BASIC FINISH)]]*Table1[[#This Row],[Unit Selling Area]]</f>
        <v>12041665</v>
      </c>
      <c r="AL425" s="232">
        <f>Table1[[#This Row],[UNIT (BUILDING) RATE (FULLY FINISH)]]*Table1[[#This Row],[Unit Selling Area]]</f>
        <v>12560665</v>
      </c>
      <c r="AM425" s="232">
        <f t="shared" si="67"/>
        <v>0</v>
      </c>
      <c r="AN425" s="232">
        <f>(AM425+AJ425)*FACTS!$S$2</f>
        <v>957369.02500000002</v>
      </c>
      <c r="AO425" s="101">
        <f>VLOOKUP(S425,FACTS!$A$17:$C$23,3,FALSE)</f>
        <v>2</v>
      </c>
      <c r="AP425" s="232">
        <f>VLOOKUP(AA425,FACTS!$B$2:$J$14,9,FALSE)</f>
        <v>290000</v>
      </c>
      <c r="AQ425" s="232">
        <f>Table1[[#This Row],[PARKING VALUE]]*1</f>
        <v>290000</v>
      </c>
      <c r="AR425" s="232">
        <f t="shared" si="62"/>
        <v>11553165</v>
      </c>
      <c r="AS425" s="440">
        <f>Table1[[#This Row],[TOTAL CARS VALUE]]+Table1[[#This Row],[UNIT (BUILDING) VALUE BASIC FINISHED]]+Table1[[#This Row],[UNIT (GARDEN) VALUE]]</f>
        <v>12331665</v>
      </c>
      <c r="AT425" s="232">
        <f>Table1[[#This Row],[TOTAL CARS VALUE]]+Table1[[#This Row],[UNIT (GARDEN) VALUE]]+Table1[[#This Row],[UNIT (BUILDING) VALUE FULLY FINISHED]]</f>
        <v>12850665</v>
      </c>
      <c r="AU425" s="233">
        <f>VLOOKUP(I425,'C PHASES'!$I$108:$J$110,2,FALSE)</f>
        <v>46204</v>
      </c>
      <c r="AV425" s="233">
        <f>VLOOKUP(AA425,'C PHASES'!$I$113:$J$125,2,FALSE)</f>
        <v>46204</v>
      </c>
    </row>
    <row r="426" spans="1:48" x14ac:dyDescent="0.25">
      <c r="A426" s="236"/>
      <c r="B426" s="227" t="str">
        <f t="shared" si="61"/>
        <v>B</v>
      </c>
      <c r="C426" s="227" t="s">
        <v>82</v>
      </c>
      <c r="D426" s="227" t="s">
        <v>1147</v>
      </c>
      <c r="E426" s="228">
        <v>3</v>
      </c>
      <c r="F426" s="101">
        <v>2</v>
      </c>
      <c r="G426" s="87" t="str">
        <f t="shared" si="69"/>
        <v>B1332</v>
      </c>
      <c r="H426" s="87" t="s">
        <v>1294</v>
      </c>
      <c r="I426" s="89" t="str">
        <f>VLOOKUP(C426,'PREMIUM TABLES'!$G$107:$H$149,2,FALSE)</f>
        <v>C2</v>
      </c>
      <c r="J426" s="89">
        <v>142.25399999999999</v>
      </c>
      <c r="K426" s="87">
        <v>159.52300698973886</v>
      </c>
      <c r="L426" s="87">
        <v>174</v>
      </c>
      <c r="M426" s="89"/>
      <c r="N426" s="89"/>
      <c r="O426" s="87" t="s">
        <v>187</v>
      </c>
      <c r="P426" s="87" t="s">
        <v>190</v>
      </c>
      <c r="Q426" s="229" t="s">
        <v>210</v>
      </c>
      <c r="R426" s="87" t="str">
        <f>VLOOKUP(E426,'PREMIUM TABLES'!$F$214:$G$219,2,FALSE)</f>
        <v>THIRD</v>
      </c>
      <c r="S426" s="87" t="str" cm="1">
        <f t="array" ref="S426">IF(AND(L426&gt;0,L426&lt;90),"A",IF(AND(L426&gt;90,L426&lt;123),"B",IF(AND(L426&gt;122,L426&lt;159),"C",IF(AND(L426&gt;159,L426&lt;185),"D",IF(AND(L426&gt;185,L426&lt;230),"E",IF(AND(L426&gt;230,L426&lt;350),"F",NONE))))))</f>
        <v>D</v>
      </c>
      <c r="T426" s="230">
        <f>VLOOKUP(O426,'PREMIUM TABLES'!$G$165:$H$172,2,FALSE)</f>
        <v>0.08</v>
      </c>
      <c r="U426" s="230">
        <f>VLOOKUP(P426,'PREMIUM TABLES'!$G$208:$H$209,2,FALSE)</f>
        <v>2.5000000000000001E-2</v>
      </c>
      <c r="V426" s="230">
        <f>VLOOKUP(Q426,'PREMIUM TABLES'!$G$175:$H$195,2,FALSE)</f>
        <v>0.53</v>
      </c>
      <c r="W426" s="230">
        <f>VLOOKUP(R426,'PREMIUM TABLES'!$G$214:$H$219,2,FALSE)</f>
        <v>0.15</v>
      </c>
      <c r="X426" s="230">
        <f>VLOOKUP(S426,'PREMIUM TABLES'!$F$199:$H$205,3,FALSE)</f>
        <v>2.5000000000000001E-2</v>
      </c>
      <c r="Y426" s="231">
        <f t="shared" si="63"/>
        <v>0.81</v>
      </c>
      <c r="Z426" s="231" t="str" cm="1">
        <f t="array" ref="Z426">IF(AND(Y426&gt;0,Y426&lt;0.5),"C",IF(AND(Y426&gt;=0.5,Y426&lt;0.73),"B",IF(AND(Y426&gt;=0.73,Y426&lt;0.98),"A",NONE)))</f>
        <v>A</v>
      </c>
      <c r="AA426" s="231" t="str">
        <f>VLOOKUP(G426,'ALL (R)'!$N$5:$R$862,5,FALSE)</f>
        <v>R 7</v>
      </c>
      <c r="AB426" s="232">
        <f>VLOOKUP(AA426,FACTS!$B$2:$L$14,10,FALSE)</f>
        <v>50150</v>
      </c>
      <c r="AC426" s="232">
        <f>VLOOKUP(AA426,FACTS!$B$2:$L$14,11,FALSE)</f>
        <v>56050</v>
      </c>
      <c r="AD426" s="232">
        <f>VLOOKUP(AA426,FACTS!$B$2:$N$14,13,FALSE)</f>
        <v>5900</v>
      </c>
      <c r="AE426" s="232">
        <f t="shared" si="64"/>
        <v>4779</v>
      </c>
      <c r="AF426" s="232">
        <f t="shared" si="65"/>
        <v>54929</v>
      </c>
      <c r="AG426" s="232">
        <f>AF426*FACTS!$T$2</f>
        <v>18126.57</v>
      </c>
      <c r="AH426" s="232">
        <f>Table1[[#This Row],[UNIT (BUILDING) RATE (SEMI FINISHED)]]+4500</f>
        <v>59429</v>
      </c>
      <c r="AI426" s="232">
        <f>Table1[[#This Row],[UNIT (BUILDING) RATE (SEMI FINISHED)]]+7500</f>
        <v>62429</v>
      </c>
      <c r="AJ426" s="232">
        <f t="shared" si="66"/>
        <v>9557646</v>
      </c>
      <c r="AK426" s="232">
        <f>Table1[[#This Row],[UNIT (BUILDING) RATE (BASIC FINISH)]]*Table1[[#This Row],[Unit Selling Area]]</f>
        <v>10340646</v>
      </c>
      <c r="AL426" s="232">
        <f>Table1[[#This Row],[UNIT (BUILDING) RATE (FULLY FINISH)]]*Table1[[#This Row],[Unit Selling Area]]</f>
        <v>10862646</v>
      </c>
      <c r="AM426" s="232">
        <f t="shared" si="67"/>
        <v>0</v>
      </c>
      <c r="AN426" s="232">
        <f>(AM426+AJ426)*FACTS!$S$2</f>
        <v>812399.91</v>
      </c>
      <c r="AO426" s="101">
        <f>VLOOKUP(S426,FACTS!$A$17:$C$23,3,FALSE)</f>
        <v>2</v>
      </c>
      <c r="AP426" s="232">
        <f>VLOOKUP(AA426,FACTS!$B$2:$J$14,9,FALSE)</f>
        <v>236000</v>
      </c>
      <c r="AQ426" s="232">
        <f>Table1[[#This Row],[PARKING VALUE]]*1</f>
        <v>236000</v>
      </c>
      <c r="AR426" s="232">
        <f t="shared" si="62"/>
        <v>9793646</v>
      </c>
      <c r="AS426" s="440">
        <f>Table1[[#This Row],[TOTAL CARS VALUE]]+Table1[[#This Row],[UNIT (BUILDING) VALUE BASIC FINISHED]]+Table1[[#This Row],[UNIT (GARDEN) VALUE]]</f>
        <v>10576646</v>
      </c>
      <c r="AT426" s="232">
        <f>Table1[[#This Row],[TOTAL CARS VALUE]]+Table1[[#This Row],[UNIT (GARDEN) VALUE]]+Table1[[#This Row],[UNIT (BUILDING) VALUE FULLY FINISHED]]</f>
        <v>11098646</v>
      </c>
      <c r="AU426" s="233">
        <f>VLOOKUP(I426,'C PHASES'!$I$108:$J$110,2,FALSE)</f>
        <v>46204</v>
      </c>
      <c r="AV426" s="233">
        <f>VLOOKUP(AA426,'C PHASES'!$I$113:$J$125,2,FALSE)</f>
        <v>45748</v>
      </c>
    </row>
    <row r="427" spans="1:48" x14ac:dyDescent="0.25">
      <c r="A427" s="236"/>
      <c r="B427" s="227" t="str">
        <f t="shared" si="61"/>
        <v>B</v>
      </c>
      <c r="C427" s="227" t="s">
        <v>82</v>
      </c>
      <c r="D427" s="227" t="s">
        <v>1147</v>
      </c>
      <c r="E427" s="228">
        <v>3</v>
      </c>
      <c r="F427" s="101">
        <v>3</v>
      </c>
      <c r="G427" s="87" t="str">
        <f t="shared" si="69"/>
        <v>B1333</v>
      </c>
      <c r="H427" s="87" t="s">
        <v>1294</v>
      </c>
      <c r="I427" s="89" t="str">
        <f>VLOOKUP(C427,'PREMIUM TABLES'!$G$107:$H$149,2,FALSE)</f>
        <v>C2</v>
      </c>
      <c r="J427" s="89">
        <v>142.37799999999999</v>
      </c>
      <c r="K427" s="87">
        <v>159.6620600417917</v>
      </c>
      <c r="L427" s="87">
        <v>174</v>
      </c>
      <c r="M427" s="89"/>
      <c r="N427" s="89"/>
      <c r="O427" s="87" t="s">
        <v>187</v>
      </c>
      <c r="P427" s="87" t="s">
        <v>190</v>
      </c>
      <c r="Q427" s="229" t="s">
        <v>210</v>
      </c>
      <c r="R427" s="87" t="str">
        <f>VLOOKUP(E427,'PREMIUM TABLES'!$F$214:$G$219,2,FALSE)</f>
        <v>THIRD</v>
      </c>
      <c r="S427" s="87" t="str" cm="1">
        <f t="array" ref="S427">IF(AND(L427&gt;0,L427&lt;90),"A",IF(AND(L427&gt;90,L427&lt;123),"B",IF(AND(L427&gt;122,L427&lt;159),"C",IF(AND(L427&gt;159,L427&lt;185),"D",IF(AND(L427&gt;185,L427&lt;230),"E",IF(AND(L427&gt;230,L427&lt;350),"F",NONE))))))</f>
        <v>D</v>
      </c>
      <c r="T427" s="230">
        <f>VLOOKUP(O427,'PREMIUM TABLES'!$G$165:$H$172,2,FALSE)</f>
        <v>0.08</v>
      </c>
      <c r="U427" s="230">
        <f>VLOOKUP(P427,'PREMIUM TABLES'!$G$208:$H$209,2,FALSE)</f>
        <v>2.5000000000000001E-2</v>
      </c>
      <c r="V427" s="230">
        <f>VLOOKUP(Q427,'PREMIUM TABLES'!$G$175:$H$195,2,FALSE)</f>
        <v>0.53</v>
      </c>
      <c r="W427" s="230">
        <f>VLOOKUP(R427,'PREMIUM TABLES'!$G$214:$H$219,2,FALSE)</f>
        <v>0.15</v>
      </c>
      <c r="X427" s="230">
        <f>VLOOKUP(S427,'PREMIUM TABLES'!$F$199:$H$205,3,FALSE)</f>
        <v>2.5000000000000001E-2</v>
      </c>
      <c r="Y427" s="231">
        <f t="shared" si="63"/>
        <v>0.81</v>
      </c>
      <c r="Z427" s="231" t="str" cm="1">
        <f t="array" ref="Z427">IF(AND(Y427&gt;0,Y427&lt;0.5),"C",IF(AND(Y427&gt;=0.5,Y427&lt;0.73),"B",IF(AND(Y427&gt;=0.73,Y427&lt;0.98),"A",NONE)))</f>
        <v>A</v>
      </c>
      <c r="AA427" s="231" t="str">
        <f>VLOOKUP(G427,'ALL (R)'!$N$5:$R$862,5,FALSE)</f>
        <v>R 7</v>
      </c>
      <c r="AB427" s="232">
        <f>VLOOKUP(AA427,FACTS!$B$2:$L$14,10,FALSE)</f>
        <v>50150</v>
      </c>
      <c r="AC427" s="232">
        <f>VLOOKUP(AA427,FACTS!$B$2:$L$14,11,FALSE)</f>
        <v>56050</v>
      </c>
      <c r="AD427" s="232">
        <f>VLOOKUP(AA427,FACTS!$B$2:$N$14,13,FALSE)</f>
        <v>5900</v>
      </c>
      <c r="AE427" s="232">
        <f t="shared" si="64"/>
        <v>4779</v>
      </c>
      <c r="AF427" s="232">
        <f t="shared" si="65"/>
        <v>54929</v>
      </c>
      <c r="AG427" s="232">
        <f>AF427*FACTS!$T$2</f>
        <v>18126.57</v>
      </c>
      <c r="AH427" s="232">
        <f>Table1[[#This Row],[UNIT (BUILDING) RATE (SEMI FINISHED)]]+4500</f>
        <v>59429</v>
      </c>
      <c r="AI427" s="232">
        <f>Table1[[#This Row],[UNIT (BUILDING) RATE (SEMI FINISHED)]]+7500</f>
        <v>62429</v>
      </c>
      <c r="AJ427" s="232">
        <f t="shared" si="66"/>
        <v>9557646</v>
      </c>
      <c r="AK427" s="232">
        <f>Table1[[#This Row],[UNIT (BUILDING) RATE (BASIC FINISH)]]*Table1[[#This Row],[Unit Selling Area]]</f>
        <v>10340646</v>
      </c>
      <c r="AL427" s="232">
        <f>Table1[[#This Row],[UNIT (BUILDING) RATE (FULLY FINISH)]]*Table1[[#This Row],[Unit Selling Area]]</f>
        <v>10862646</v>
      </c>
      <c r="AM427" s="232">
        <f t="shared" si="67"/>
        <v>0</v>
      </c>
      <c r="AN427" s="232">
        <f>(AM427+AJ427)*FACTS!$S$2</f>
        <v>812399.91</v>
      </c>
      <c r="AO427" s="101">
        <f>VLOOKUP(S427,FACTS!$A$17:$C$23,3,FALSE)</f>
        <v>2</v>
      </c>
      <c r="AP427" s="232">
        <f>VLOOKUP(AA427,FACTS!$B$2:$J$14,9,FALSE)</f>
        <v>236000</v>
      </c>
      <c r="AQ427" s="232">
        <f>Table1[[#This Row],[PARKING VALUE]]*1</f>
        <v>236000</v>
      </c>
      <c r="AR427" s="232">
        <f t="shared" si="62"/>
        <v>9793646</v>
      </c>
      <c r="AS427" s="440">
        <f>Table1[[#This Row],[TOTAL CARS VALUE]]+Table1[[#This Row],[UNIT (BUILDING) VALUE BASIC FINISHED]]+Table1[[#This Row],[UNIT (GARDEN) VALUE]]</f>
        <v>10576646</v>
      </c>
      <c r="AT427" s="232">
        <f>Table1[[#This Row],[TOTAL CARS VALUE]]+Table1[[#This Row],[UNIT (GARDEN) VALUE]]+Table1[[#This Row],[UNIT (BUILDING) VALUE FULLY FINISHED]]</f>
        <v>11098646</v>
      </c>
      <c r="AU427" s="233">
        <f>VLOOKUP(I427,'C PHASES'!$I$108:$J$110,2,FALSE)</f>
        <v>46204</v>
      </c>
      <c r="AV427" s="233">
        <f>VLOOKUP(AA427,'C PHASES'!$I$113:$J$125,2,FALSE)</f>
        <v>45748</v>
      </c>
    </row>
    <row r="428" spans="1:48" x14ac:dyDescent="0.25">
      <c r="A428" s="236"/>
      <c r="B428" s="227" t="str">
        <f t="shared" si="61"/>
        <v>B</v>
      </c>
      <c r="C428" s="227" t="s">
        <v>82</v>
      </c>
      <c r="D428" s="227" t="s">
        <v>1147</v>
      </c>
      <c r="E428" s="228">
        <v>3</v>
      </c>
      <c r="F428" s="101">
        <v>4</v>
      </c>
      <c r="G428" s="87" t="str">
        <f t="shared" si="69"/>
        <v>B1334</v>
      </c>
      <c r="H428" s="87" t="s">
        <v>1294</v>
      </c>
      <c r="I428" s="89" t="str">
        <f>VLOOKUP(C428,'PREMIUM TABLES'!$G$107:$H$149,2,FALSE)</f>
        <v>C2</v>
      </c>
      <c r="J428" s="89">
        <v>141.52600000000001</v>
      </c>
      <c r="K428" s="87">
        <v>158.70663100671885</v>
      </c>
      <c r="L428" s="87">
        <v>173</v>
      </c>
      <c r="M428" s="89"/>
      <c r="N428" s="89"/>
      <c r="O428" s="87" t="s">
        <v>180</v>
      </c>
      <c r="P428" s="87" t="s">
        <v>190</v>
      </c>
      <c r="Q428" s="229" t="s">
        <v>198</v>
      </c>
      <c r="R428" s="87" t="str">
        <f>VLOOKUP(E428,'PREMIUM TABLES'!$F$214:$G$219,2,FALSE)</f>
        <v>THIRD</v>
      </c>
      <c r="S428" s="87" t="str" cm="1">
        <f t="array" ref="S428">IF(AND(L428&gt;0,L428&lt;90),"A",IF(AND(L428&gt;90,L428&lt;123),"B",IF(AND(L428&gt;122,L428&lt;159),"C",IF(AND(L428&gt;159,L428&lt;185),"D",IF(AND(L428&gt;185,L428&lt;230),"E",IF(AND(L428&gt;230,L428&lt;350),"F",NONE))))))</f>
        <v>D</v>
      </c>
      <c r="T428" s="230">
        <f>VLOOKUP(O428,'PREMIUM TABLES'!$G$165:$H$172,2,FALSE)</f>
        <v>0.13</v>
      </c>
      <c r="U428" s="230">
        <f>VLOOKUP(P428,'PREMIUM TABLES'!$G$208:$H$209,2,FALSE)</f>
        <v>2.5000000000000001E-2</v>
      </c>
      <c r="V428" s="230">
        <f>VLOOKUP(Q428,'PREMIUM TABLES'!$G$175:$H$195,2,FALSE)</f>
        <v>0.15</v>
      </c>
      <c r="W428" s="230">
        <f>VLOOKUP(R428,'PREMIUM TABLES'!$G$214:$H$219,2,FALSE)</f>
        <v>0.15</v>
      </c>
      <c r="X428" s="230">
        <f>VLOOKUP(S428,'PREMIUM TABLES'!$F$199:$H$205,3,FALSE)</f>
        <v>2.5000000000000001E-2</v>
      </c>
      <c r="Y428" s="231">
        <f t="shared" si="63"/>
        <v>0.48</v>
      </c>
      <c r="Z428" s="231" t="str" cm="1">
        <f t="array" ref="Z428">IF(AND(Y428&gt;0,Y428&lt;0.5),"C",IF(AND(Y428&gt;=0.5,Y428&lt;0.73),"B",IF(AND(Y428&gt;=0.73,Y428&lt;0.98),"A",NONE)))</f>
        <v>C</v>
      </c>
      <c r="AA428" s="231" t="str">
        <f>VLOOKUP(G428,'ALL (R)'!$N$5:$R$862,5,FALSE)</f>
        <v>R 12</v>
      </c>
      <c r="AB428" s="232">
        <f>VLOOKUP(AA428,FACTS!$B$2:$L$14,10,FALSE)</f>
        <v>61625</v>
      </c>
      <c r="AC428" s="232">
        <f>VLOOKUP(AA428,FACTS!$B$2:$L$14,11,FALSE)</f>
        <v>68875</v>
      </c>
      <c r="AD428" s="232">
        <f>VLOOKUP(AA428,FACTS!$B$2:$N$14,13,FALSE)</f>
        <v>7250</v>
      </c>
      <c r="AE428" s="232">
        <f t="shared" si="64"/>
        <v>3480</v>
      </c>
      <c r="AF428" s="232">
        <f t="shared" si="65"/>
        <v>65105</v>
      </c>
      <c r="AG428" s="232">
        <f>AF428*FACTS!$T$2</f>
        <v>21484.65</v>
      </c>
      <c r="AH428" s="232">
        <f>Table1[[#This Row],[UNIT (BUILDING) RATE (SEMI FINISHED)]]+4500</f>
        <v>69605</v>
      </c>
      <c r="AI428" s="232">
        <f>Table1[[#This Row],[UNIT (BUILDING) RATE (SEMI FINISHED)]]+7500</f>
        <v>72605</v>
      </c>
      <c r="AJ428" s="232">
        <f t="shared" si="66"/>
        <v>11263165</v>
      </c>
      <c r="AK428" s="232">
        <f>Table1[[#This Row],[UNIT (BUILDING) RATE (BASIC FINISH)]]*Table1[[#This Row],[Unit Selling Area]]</f>
        <v>12041665</v>
      </c>
      <c r="AL428" s="232">
        <f>Table1[[#This Row],[UNIT (BUILDING) RATE (FULLY FINISH)]]*Table1[[#This Row],[Unit Selling Area]]</f>
        <v>12560665</v>
      </c>
      <c r="AM428" s="232">
        <f t="shared" si="67"/>
        <v>0</v>
      </c>
      <c r="AN428" s="232">
        <f>(AM428+AJ428)*FACTS!$S$2</f>
        <v>957369.02500000002</v>
      </c>
      <c r="AO428" s="101">
        <f>VLOOKUP(S428,FACTS!$A$17:$C$23,3,FALSE)</f>
        <v>2</v>
      </c>
      <c r="AP428" s="232">
        <f>VLOOKUP(AA428,FACTS!$B$2:$J$14,9,FALSE)</f>
        <v>290000</v>
      </c>
      <c r="AQ428" s="232">
        <f>Table1[[#This Row],[PARKING VALUE]]*1</f>
        <v>290000</v>
      </c>
      <c r="AR428" s="232">
        <f t="shared" si="62"/>
        <v>11553165</v>
      </c>
      <c r="AS428" s="440">
        <f>Table1[[#This Row],[TOTAL CARS VALUE]]+Table1[[#This Row],[UNIT (BUILDING) VALUE BASIC FINISHED]]+Table1[[#This Row],[UNIT (GARDEN) VALUE]]</f>
        <v>12331665</v>
      </c>
      <c r="AT428" s="232">
        <f>Table1[[#This Row],[TOTAL CARS VALUE]]+Table1[[#This Row],[UNIT (GARDEN) VALUE]]+Table1[[#This Row],[UNIT (BUILDING) VALUE FULLY FINISHED]]</f>
        <v>12850665</v>
      </c>
      <c r="AU428" s="233">
        <f>VLOOKUP(I428,'C PHASES'!$I$108:$J$110,2,FALSE)</f>
        <v>46204</v>
      </c>
      <c r="AV428" s="233">
        <f>VLOOKUP(AA428,'C PHASES'!$I$113:$J$125,2,FALSE)</f>
        <v>46204</v>
      </c>
    </row>
    <row r="429" spans="1:48" x14ac:dyDescent="0.25">
      <c r="A429" s="236"/>
      <c r="B429" s="227" t="str">
        <f t="shared" si="61"/>
        <v>B</v>
      </c>
      <c r="C429" s="227" t="s">
        <v>82</v>
      </c>
      <c r="D429" s="227" t="s">
        <v>1147</v>
      </c>
      <c r="E429" s="228">
        <v>4</v>
      </c>
      <c r="F429" s="101">
        <v>1</v>
      </c>
      <c r="G429" s="87" t="str">
        <f t="shared" si="69"/>
        <v>B1341</v>
      </c>
      <c r="H429" s="87" t="s">
        <v>1294</v>
      </c>
      <c r="I429" s="89" t="str">
        <f>VLOOKUP(C429,'PREMIUM TABLES'!$G$107:$H$149,2,FALSE)</f>
        <v>C2</v>
      </c>
      <c r="J429" s="89">
        <v>139.12</v>
      </c>
      <c r="K429" s="87">
        <v>156.00855323866094</v>
      </c>
      <c r="L429" s="87">
        <v>170</v>
      </c>
      <c r="M429" s="89"/>
      <c r="N429" s="89"/>
      <c r="O429" s="87" t="s">
        <v>180</v>
      </c>
      <c r="P429" s="87" t="s">
        <v>190</v>
      </c>
      <c r="Q429" s="229" t="s">
        <v>198</v>
      </c>
      <c r="R429" s="87" t="str">
        <f>VLOOKUP(E429,'PREMIUM TABLES'!$F$214:$G$219,2,FALSE)</f>
        <v>FORTH</v>
      </c>
      <c r="S429" s="87" t="str" cm="1">
        <f t="array" ref="S429">IF(AND(L429&gt;0,L429&lt;90),"A",IF(AND(L429&gt;90,L429&lt;123),"B",IF(AND(L429&gt;122,L429&lt;159),"C",IF(AND(L429&gt;159,L429&lt;185),"D",IF(AND(L429&gt;185,L429&lt;230),"E",IF(AND(L429&gt;230,L429&lt;350),"F",NONE))))))</f>
        <v>D</v>
      </c>
      <c r="T429" s="230">
        <f>VLOOKUP(O429,'PREMIUM TABLES'!$G$165:$H$172,2,FALSE)</f>
        <v>0.13</v>
      </c>
      <c r="U429" s="230">
        <f>VLOOKUP(P429,'PREMIUM TABLES'!$G$208:$H$209,2,FALSE)</f>
        <v>2.5000000000000001E-2</v>
      </c>
      <c r="V429" s="230">
        <f>VLOOKUP(Q429,'PREMIUM TABLES'!$G$175:$H$195,2,FALSE)</f>
        <v>0.15</v>
      </c>
      <c r="W429" s="230">
        <f>VLOOKUP(R429,'PREMIUM TABLES'!$G$214:$H$219,2,FALSE)</f>
        <v>0.06</v>
      </c>
      <c r="X429" s="230">
        <f>VLOOKUP(S429,'PREMIUM TABLES'!$F$199:$H$205,3,FALSE)</f>
        <v>2.5000000000000001E-2</v>
      </c>
      <c r="Y429" s="231">
        <f t="shared" si="63"/>
        <v>0.39</v>
      </c>
      <c r="Z429" s="231" t="str" cm="1">
        <f t="array" ref="Z429">IF(AND(Y429&gt;0,Y429&lt;0.5),"C",IF(AND(Y429&gt;=0.5,Y429&lt;0.73),"B",IF(AND(Y429&gt;=0.73,Y429&lt;0.98),"A",NONE)))</f>
        <v>C</v>
      </c>
      <c r="AA429" s="231" t="str">
        <f>VLOOKUP(G429,'ALL (R)'!$N$5:$R$862,5,FALSE)</f>
        <v>R 4</v>
      </c>
      <c r="AB429" s="232">
        <f>VLOOKUP(AA429,FACTS!$B$2:$L$14,10,FALSE)</f>
        <v>45687.5</v>
      </c>
      <c r="AC429" s="232">
        <f>VLOOKUP(AA429,FACTS!$B$2:$L$14,11,FALSE)</f>
        <v>51062.5</v>
      </c>
      <c r="AD429" s="232">
        <f>VLOOKUP(AA429,FACTS!$B$2:$N$14,13,FALSE)</f>
        <v>5375</v>
      </c>
      <c r="AE429" s="232">
        <f t="shared" si="64"/>
        <v>2096.25</v>
      </c>
      <c r="AF429" s="232">
        <f t="shared" si="65"/>
        <v>47783.75</v>
      </c>
      <c r="AG429" s="232">
        <f>AF429*FACTS!$T$2</f>
        <v>15768.637500000001</v>
      </c>
      <c r="AH429" s="232">
        <f>Table1[[#This Row],[UNIT (BUILDING) RATE (SEMI FINISHED)]]+4500</f>
        <v>52283.75</v>
      </c>
      <c r="AI429" s="232">
        <f>Table1[[#This Row],[UNIT (BUILDING) RATE (SEMI FINISHED)]]+7500</f>
        <v>55283.75</v>
      </c>
      <c r="AJ429" s="232">
        <f t="shared" si="66"/>
        <v>8123237.5</v>
      </c>
      <c r="AK429" s="232">
        <f>Table1[[#This Row],[UNIT (BUILDING) RATE (BASIC FINISH)]]*Table1[[#This Row],[Unit Selling Area]]</f>
        <v>8888237.5</v>
      </c>
      <c r="AL429" s="232">
        <f>Table1[[#This Row],[UNIT (BUILDING) RATE (FULLY FINISH)]]*Table1[[#This Row],[Unit Selling Area]]</f>
        <v>9398237.5</v>
      </c>
      <c r="AM429" s="232">
        <f t="shared" si="67"/>
        <v>0</v>
      </c>
      <c r="AN429" s="232">
        <f>(AM429+AJ429)*FACTS!$S$2</f>
        <v>690475.1875</v>
      </c>
      <c r="AO429" s="101">
        <f>VLOOKUP(S429,FACTS!$A$17:$C$23,3,FALSE)</f>
        <v>2</v>
      </c>
      <c r="AP429" s="232">
        <f>VLOOKUP(AA429,FACTS!$B$2:$J$14,9,FALSE)</f>
        <v>215000</v>
      </c>
      <c r="AQ429" s="232">
        <f>Table1[[#This Row],[PARKING VALUE]]*1</f>
        <v>215000</v>
      </c>
      <c r="AR429" s="232">
        <f t="shared" si="62"/>
        <v>8338237.5</v>
      </c>
      <c r="AS429" s="440">
        <f>Table1[[#This Row],[TOTAL CARS VALUE]]+Table1[[#This Row],[UNIT (BUILDING) VALUE BASIC FINISHED]]+Table1[[#This Row],[UNIT (GARDEN) VALUE]]</f>
        <v>9103237.5</v>
      </c>
      <c r="AT429" s="232">
        <f>Table1[[#This Row],[TOTAL CARS VALUE]]+Table1[[#This Row],[UNIT (GARDEN) VALUE]]+Table1[[#This Row],[UNIT (BUILDING) VALUE FULLY FINISHED]]</f>
        <v>9613237.5</v>
      </c>
      <c r="AU429" s="233">
        <f>VLOOKUP(I429,'C PHASES'!$I$108:$J$110,2,FALSE)</f>
        <v>46204</v>
      </c>
      <c r="AV429" s="233">
        <f>VLOOKUP(AA429,'C PHASES'!$I$113:$J$125,2,FALSE)</f>
        <v>45474</v>
      </c>
    </row>
    <row r="430" spans="1:48" x14ac:dyDescent="0.25">
      <c r="A430" s="236"/>
      <c r="B430" s="227" t="str">
        <f t="shared" si="61"/>
        <v>B</v>
      </c>
      <c r="C430" s="227" t="s">
        <v>82</v>
      </c>
      <c r="D430" s="227" t="s">
        <v>1147</v>
      </c>
      <c r="E430" s="228">
        <v>4</v>
      </c>
      <c r="F430" s="101">
        <v>2</v>
      </c>
      <c r="G430" s="87" t="str">
        <f t="shared" si="69"/>
        <v>B1342</v>
      </c>
      <c r="H430" s="87" t="s">
        <v>1294</v>
      </c>
      <c r="I430" s="89" t="str">
        <f>VLOOKUP(C430,'PREMIUM TABLES'!$G$107:$H$149,2,FALSE)</f>
        <v>C2</v>
      </c>
      <c r="J430" s="89">
        <v>141.53399999999999</v>
      </c>
      <c r="K430" s="87">
        <v>158.71560217136741</v>
      </c>
      <c r="L430" s="87">
        <v>173</v>
      </c>
      <c r="M430" s="89"/>
      <c r="N430" s="89"/>
      <c r="O430" s="87" t="s">
        <v>187</v>
      </c>
      <c r="P430" s="87" t="s">
        <v>190</v>
      </c>
      <c r="Q430" s="229" t="s">
        <v>210</v>
      </c>
      <c r="R430" s="87" t="str">
        <f>VLOOKUP(E430,'PREMIUM TABLES'!$F$214:$G$219,2,FALSE)</f>
        <v>FORTH</v>
      </c>
      <c r="S430" s="87" t="str" cm="1">
        <f t="array" ref="S430">IF(AND(L430&gt;0,L430&lt;90),"A",IF(AND(L430&gt;90,L430&lt;123),"B",IF(AND(L430&gt;122,L430&lt;159),"C",IF(AND(L430&gt;159,L430&lt;185),"D",IF(AND(L430&gt;185,L430&lt;230),"E",IF(AND(L430&gt;230,L430&lt;350),"F",NONE))))))</f>
        <v>D</v>
      </c>
      <c r="T430" s="230">
        <f>VLOOKUP(O430,'PREMIUM TABLES'!$G$165:$H$172,2,FALSE)</f>
        <v>0.08</v>
      </c>
      <c r="U430" s="230">
        <f>VLOOKUP(P430,'PREMIUM TABLES'!$G$208:$H$209,2,FALSE)</f>
        <v>2.5000000000000001E-2</v>
      </c>
      <c r="V430" s="230">
        <f>VLOOKUP(Q430,'PREMIUM TABLES'!$G$175:$H$195,2,FALSE)</f>
        <v>0.53</v>
      </c>
      <c r="W430" s="230">
        <f>VLOOKUP(R430,'PREMIUM TABLES'!$G$214:$H$219,2,FALSE)</f>
        <v>0.06</v>
      </c>
      <c r="X430" s="230">
        <f>VLOOKUP(S430,'PREMIUM TABLES'!$F$199:$H$205,3,FALSE)</f>
        <v>2.5000000000000001E-2</v>
      </c>
      <c r="Y430" s="231">
        <f t="shared" si="63"/>
        <v>0.72000000000000008</v>
      </c>
      <c r="Z430" s="231" t="str" cm="1">
        <f t="array" ref="Z430">IF(AND(Y430&gt;0,Y430&lt;0.5),"C",IF(AND(Y430&gt;=0.5,Y430&lt;0.73),"B",IF(AND(Y430&gt;=0.73,Y430&lt;0.98),"A",NONE)))</f>
        <v>B</v>
      </c>
      <c r="AA430" s="231" t="str">
        <f>VLOOKUP(G430,'ALL (R)'!$N$5:$R$862,5,FALSE)</f>
        <v>R 12</v>
      </c>
      <c r="AB430" s="232">
        <f>VLOOKUP(AA430,FACTS!$B$2:$L$14,10,FALSE)</f>
        <v>61625</v>
      </c>
      <c r="AC430" s="232">
        <f>VLOOKUP(AA430,FACTS!$B$2:$L$14,11,FALSE)</f>
        <v>68875</v>
      </c>
      <c r="AD430" s="232">
        <f>VLOOKUP(AA430,FACTS!$B$2:$N$14,13,FALSE)</f>
        <v>7250</v>
      </c>
      <c r="AE430" s="232">
        <f t="shared" si="64"/>
        <v>5220.0000000000009</v>
      </c>
      <c r="AF430" s="232">
        <f t="shared" si="65"/>
        <v>66845</v>
      </c>
      <c r="AG430" s="232">
        <f>AF430*FACTS!$T$2</f>
        <v>22058.850000000002</v>
      </c>
      <c r="AH430" s="232">
        <f>Table1[[#This Row],[UNIT (BUILDING) RATE (SEMI FINISHED)]]+4500</f>
        <v>71345</v>
      </c>
      <c r="AI430" s="232">
        <f>Table1[[#This Row],[UNIT (BUILDING) RATE (SEMI FINISHED)]]+7500</f>
        <v>74345</v>
      </c>
      <c r="AJ430" s="232">
        <f t="shared" si="66"/>
        <v>11564185</v>
      </c>
      <c r="AK430" s="232">
        <f>Table1[[#This Row],[UNIT (BUILDING) RATE (BASIC FINISH)]]*Table1[[#This Row],[Unit Selling Area]]</f>
        <v>12342685</v>
      </c>
      <c r="AL430" s="232">
        <f>Table1[[#This Row],[UNIT (BUILDING) RATE (FULLY FINISH)]]*Table1[[#This Row],[Unit Selling Area]]</f>
        <v>12861685</v>
      </c>
      <c r="AM430" s="232">
        <f t="shared" si="67"/>
        <v>0</v>
      </c>
      <c r="AN430" s="232">
        <f>(AM430+AJ430)*FACTS!$S$2</f>
        <v>982955.72500000009</v>
      </c>
      <c r="AO430" s="101">
        <f>VLOOKUP(S430,FACTS!$A$17:$C$23,3,FALSE)</f>
        <v>2</v>
      </c>
      <c r="AP430" s="232">
        <f>VLOOKUP(AA430,FACTS!$B$2:$J$14,9,FALSE)</f>
        <v>290000</v>
      </c>
      <c r="AQ430" s="232">
        <f>Table1[[#This Row],[PARKING VALUE]]*1</f>
        <v>290000</v>
      </c>
      <c r="AR430" s="232">
        <f t="shared" si="62"/>
        <v>11854185</v>
      </c>
      <c r="AS430" s="440">
        <f>Table1[[#This Row],[TOTAL CARS VALUE]]+Table1[[#This Row],[UNIT (BUILDING) VALUE BASIC FINISHED]]+Table1[[#This Row],[UNIT (GARDEN) VALUE]]</f>
        <v>12632685</v>
      </c>
      <c r="AT430" s="232">
        <f>Table1[[#This Row],[TOTAL CARS VALUE]]+Table1[[#This Row],[UNIT (GARDEN) VALUE]]+Table1[[#This Row],[UNIT (BUILDING) VALUE FULLY FINISHED]]</f>
        <v>13151685</v>
      </c>
      <c r="AU430" s="233">
        <f>VLOOKUP(I430,'C PHASES'!$I$108:$J$110,2,FALSE)</f>
        <v>46204</v>
      </c>
      <c r="AV430" s="233">
        <f>VLOOKUP(AA430,'C PHASES'!$I$113:$J$125,2,FALSE)</f>
        <v>46204</v>
      </c>
    </row>
    <row r="431" spans="1:48" x14ac:dyDescent="0.25">
      <c r="A431" s="236"/>
      <c r="B431" s="227" t="str">
        <f t="shared" si="61"/>
        <v>B</v>
      </c>
      <c r="C431" s="227" t="s">
        <v>82</v>
      </c>
      <c r="D431" s="227" t="s">
        <v>1147</v>
      </c>
      <c r="E431" s="228">
        <v>4</v>
      </c>
      <c r="F431" s="101">
        <v>3</v>
      </c>
      <c r="G431" s="87" t="str">
        <f t="shared" si="69"/>
        <v>B1343</v>
      </c>
      <c r="H431" s="87" t="s">
        <v>1294</v>
      </c>
      <c r="I431" s="89" t="str">
        <f>VLOOKUP(C431,'PREMIUM TABLES'!$G$107:$H$149,2,FALSE)</f>
        <v>C2</v>
      </c>
      <c r="J431" s="89">
        <v>141.65899999999999</v>
      </c>
      <c r="K431" s="87">
        <v>158.85577661900135</v>
      </c>
      <c r="L431" s="87">
        <v>173</v>
      </c>
      <c r="M431" s="89"/>
      <c r="N431" s="89"/>
      <c r="O431" s="87" t="s">
        <v>187</v>
      </c>
      <c r="P431" s="87" t="s">
        <v>190</v>
      </c>
      <c r="Q431" s="229" t="s">
        <v>210</v>
      </c>
      <c r="R431" s="87" t="str">
        <f>VLOOKUP(E431,'PREMIUM TABLES'!$F$214:$G$219,2,FALSE)</f>
        <v>FORTH</v>
      </c>
      <c r="S431" s="87" t="str" cm="1">
        <f t="array" ref="S431">IF(AND(L431&gt;0,L431&lt;90),"A",IF(AND(L431&gt;90,L431&lt;123),"B",IF(AND(L431&gt;122,L431&lt;159),"C",IF(AND(L431&gt;159,L431&lt;185),"D",IF(AND(L431&gt;185,L431&lt;230),"E",IF(AND(L431&gt;230,L431&lt;350),"F",NONE))))))</f>
        <v>D</v>
      </c>
      <c r="T431" s="230">
        <f>VLOOKUP(O431,'PREMIUM TABLES'!$G$165:$H$172,2,FALSE)</f>
        <v>0.08</v>
      </c>
      <c r="U431" s="230">
        <f>VLOOKUP(P431,'PREMIUM TABLES'!$G$208:$H$209,2,FALSE)</f>
        <v>2.5000000000000001E-2</v>
      </c>
      <c r="V431" s="230">
        <f>VLOOKUP(Q431,'PREMIUM TABLES'!$G$175:$H$195,2,FALSE)</f>
        <v>0.53</v>
      </c>
      <c r="W431" s="230">
        <f>VLOOKUP(R431,'PREMIUM TABLES'!$G$214:$H$219,2,FALSE)</f>
        <v>0.06</v>
      </c>
      <c r="X431" s="230">
        <f>VLOOKUP(S431,'PREMIUM TABLES'!$F$199:$H$205,3,FALSE)</f>
        <v>2.5000000000000001E-2</v>
      </c>
      <c r="Y431" s="231">
        <f t="shared" si="63"/>
        <v>0.72000000000000008</v>
      </c>
      <c r="Z431" s="231" t="str" cm="1">
        <f t="array" ref="Z431">IF(AND(Y431&gt;0,Y431&lt;0.5),"C",IF(AND(Y431&gt;=0.5,Y431&lt;0.73),"B",IF(AND(Y431&gt;=0.73,Y431&lt;0.98),"A",NONE)))</f>
        <v>B</v>
      </c>
      <c r="AA431" s="231" t="str">
        <f>VLOOKUP(G431,'ALL (R)'!$N$5:$R$862,5,FALSE)</f>
        <v>R 12</v>
      </c>
      <c r="AB431" s="232">
        <f>VLOOKUP(AA431,FACTS!$B$2:$L$14,10,FALSE)</f>
        <v>61625</v>
      </c>
      <c r="AC431" s="232">
        <f>VLOOKUP(AA431,FACTS!$B$2:$L$14,11,FALSE)</f>
        <v>68875</v>
      </c>
      <c r="AD431" s="232">
        <f>VLOOKUP(AA431,FACTS!$B$2:$N$14,13,FALSE)</f>
        <v>7250</v>
      </c>
      <c r="AE431" s="232">
        <f t="shared" si="64"/>
        <v>5220.0000000000009</v>
      </c>
      <c r="AF431" s="232">
        <f t="shared" si="65"/>
        <v>66845</v>
      </c>
      <c r="AG431" s="232">
        <f>AF431*FACTS!$T$2</f>
        <v>22058.850000000002</v>
      </c>
      <c r="AH431" s="232">
        <f>Table1[[#This Row],[UNIT (BUILDING) RATE (SEMI FINISHED)]]+4500</f>
        <v>71345</v>
      </c>
      <c r="AI431" s="232">
        <f>Table1[[#This Row],[UNIT (BUILDING) RATE (SEMI FINISHED)]]+7500</f>
        <v>74345</v>
      </c>
      <c r="AJ431" s="232">
        <f t="shared" si="66"/>
        <v>11564185</v>
      </c>
      <c r="AK431" s="232">
        <f>Table1[[#This Row],[UNIT (BUILDING) RATE (BASIC FINISH)]]*Table1[[#This Row],[Unit Selling Area]]</f>
        <v>12342685</v>
      </c>
      <c r="AL431" s="232">
        <f>Table1[[#This Row],[UNIT (BUILDING) RATE (FULLY FINISH)]]*Table1[[#This Row],[Unit Selling Area]]</f>
        <v>12861685</v>
      </c>
      <c r="AM431" s="232">
        <f t="shared" si="67"/>
        <v>0</v>
      </c>
      <c r="AN431" s="232">
        <f>(AM431+AJ431)*FACTS!$S$2</f>
        <v>982955.72500000009</v>
      </c>
      <c r="AO431" s="101">
        <f>VLOOKUP(S431,FACTS!$A$17:$C$23,3,FALSE)</f>
        <v>2</v>
      </c>
      <c r="AP431" s="232">
        <f>VLOOKUP(AA431,FACTS!$B$2:$J$14,9,FALSE)</f>
        <v>290000</v>
      </c>
      <c r="AQ431" s="232">
        <f>Table1[[#This Row],[PARKING VALUE]]*1</f>
        <v>290000</v>
      </c>
      <c r="AR431" s="232">
        <f t="shared" si="62"/>
        <v>11854185</v>
      </c>
      <c r="AS431" s="440">
        <f>Table1[[#This Row],[TOTAL CARS VALUE]]+Table1[[#This Row],[UNIT (BUILDING) VALUE BASIC FINISHED]]+Table1[[#This Row],[UNIT (GARDEN) VALUE]]</f>
        <v>12632685</v>
      </c>
      <c r="AT431" s="232">
        <f>Table1[[#This Row],[TOTAL CARS VALUE]]+Table1[[#This Row],[UNIT (GARDEN) VALUE]]+Table1[[#This Row],[UNIT (BUILDING) VALUE FULLY FINISHED]]</f>
        <v>13151685</v>
      </c>
      <c r="AU431" s="233">
        <f>VLOOKUP(I431,'C PHASES'!$I$108:$J$110,2,FALSE)</f>
        <v>46204</v>
      </c>
      <c r="AV431" s="233">
        <f>VLOOKUP(AA431,'C PHASES'!$I$113:$J$125,2,FALSE)</f>
        <v>46204</v>
      </c>
    </row>
    <row r="432" spans="1:48" x14ac:dyDescent="0.25">
      <c r="A432" s="236"/>
      <c r="B432" s="227" t="str">
        <f t="shared" si="61"/>
        <v>B</v>
      </c>
      <c r="C432" s="227" t="s">
        <v>82</v>
      </c>
      <c r="D432" s="227" t="s">
        <v>1147</v>
      </c>
      <c r="E432" s="228">
        <v>4</v>
      </c>
      <c r="F432" s="101">
        <v>4</v>
      </c>
      <c r="G432" s="87" t="str">
        <f t="shared" si="69"/>
        <v>B1344</v>
      </c>
      <c r="H432" s="87" t="s">
        <v>1294</v>
      </c>
      <c r="I432" s="89" t="str">
        <f>VLOOKUP(C432,'PREMIUM TABLES'!$G$107:$H$149,2,FALSE)</f>
        <v>C2</v>
      </c>
      <c r="J432" s="89">
        <v>139.31659999999999</v>
      </c>
      <c r="K432" s="87">
        <v>156.22901960989958</v>
      </c>
      <c r="L432" s="87">
        <v>170</v>
      </c>
      <c r="M432" s="89"/>
      <c r="N432" s="89"/>
      <c r="O432" s="87" t="s">
        <v>180</v>
      </c>
      <c r="P432" s="87" t="s">
        <v>190</v>
      </c>
      <c r="Q432" s="229" t="s">
        <v>198</v>
      </c>
      <c r="R432" s="87" t="str">
        <f>VLOOKUP(E432,'PREMIUM TABLES'!$F$214:$G$219,2,FALSE)</f>
        <v>FORTH</v>
      </c>
      <c r="S432" s="87" t="str" cm="1">
        <f t="array" ref="S432">IF(AND(L432&gt;0,L432&lt;90),"A",IF(AND(L432&gt;90,L432&lt;123),"B",IF(AND(L432&gt;122,L432&lt;159),"C",IF(AND(L432&gt;159,L432&lt;185),"D",IF(AND(L432&gt;185,L432&lt;230),"E",IF(AND(L432&gt;230,L432&lt;350),"F",NONE))))))</f>
        <v>D</v>
      </c>
      <c r="T432" s="230">
        <f>VLOOKUP(O432,'PREMIUM TABLES'!$G$165:$H$172,2,FALSE)</f>
        <v>0.13</v>
      </c>
      <c r="U432" s="230">
        <f>VLOOKUP(P432,'PREMIUM TABLES'!$G$208:$H$209,2,FALSE)</f>
        <v>2.5000000000000001E-2</v>
      </c>
      <c r="V432" s="230">
        <f>VLOOKUP(Q432,'PREMIUM TABLES'!$G$175:$H$195,2,FALSE)</f>
        <v>0.15</v>
      </c>
      <c r="W432" s="230">
        <f>VLOOKUP(R432,'PREMIUM TABLES'!$G$214:$H$219,2,FALSE)</f>
        <v>0.06</v>
      </c>
      <c r="X432" s="230">
        <f>VLOOKUP(S432,'PREMIUM TABLES'!$F$199:$H$205,3,FALSE)</f>
        <v>2.5000000000000001E-2</v>
      </c>
      <c r="Y432" s="231">
        <f t="shared" si="63"/>
        <v>0.39</v>
      </c>
      <c r="Z432" s="231" t="str" cm="1">
        <f t="array" ref="Z432">IF(AND(Y432&gt;0,Y432&lt;0.5),"C",IF(AND(Y432&gt;=0.5,Y432&lt;0.73),"B",IF(AND(Y432&gt;=0.73,Y432&lt;0.98),"A",NONE)))</f>
        <v>C</v>
      </c>
      <c r="AA432" s="231" t="str">
        <f>VLOOKUP(G432,'ALL (R)'!$N$5:$R$862,5,FALSE)</f>
        <v>R 4</v>
      </c>
      <c r="AB432" s="232">
        <f>VLOOKUP(AA432,FACTS!$B$2:$L$14,10,FALSE)</f>
        <v>45687.5</v>
      </c>
      <c r="AC432" s="232">
        <f>VLOOKUP(AA432,FACTS!$B$2:$L$14,11,FALSE)</f>
        <v>51062.5</v>
      </c>
      <c r="AD432" s="232">
        <f>VLOOKUP(AA432,FACTS!$B$2:$N$14,13,FALSE)</f>
        <v>5375</v>
      </c>
      <c r="AE432" s="232">
        <f t="shared" si="64"/>
        <v>2096.25</v>
      </c>
      <c r="AF432" s="232">
        <f t="shared" si="65"/>
        <v>47783.75</v>
      </c>
      <c r="AG432" s="232">
        <f>AF432*FACTS!$T$2</f>
        <v>15768.637500000001</v>
      </c>
      <c r="AH432" s="232">
        <f>Table1[[#This Row],[UNIT (BUILDING) RATE (SEMI FINISHED)]]+4500</f>
        <v>52283.75</v>
      </c>
      <c r="AI432" s="232">
        <f>Table1[[#This Row],[UNIT (BUILDING) RATE (SEMI FINISHED)]]+7500</f>
        <v>55283.75</v>
      </c>
      <c r="AJ432" s="232">
        <f t="shared" si="66"/>
        <v>8123237.5</v>
      </c>
      <c r="AK432" s="232">
        <f>Table1[[#This Row],[UNIT (BUILDING) RATE (BASIC FINISH)]]*Table1[[#This Row],[Unit Selling Area]]</f>
        <v>8888237.5</v>
      </c>
      <c r="AL432" s="232">
        <f>Table1[[#This Row],[UNIT (BUILDING) RATE (FULLY FINISH)]]*Table1[[#This Row],[Unit Selling Area]]</f>
        <v>9398237.5</v>
      </c>
      <c r="AM432" s="232">
        <f t="shared" si="67"/>
        <v>0</v>
      </c>
      <c r="AN432" s="232">
        <f>(AM432+AJ432)*FACTS!$S$2</f>
        <v>690475.1875</v>
      </c>
      <c r="AO432" s="101">
        <f>VLOOKUP(S432,FACTS!$A$17:$C$23,3,FALSE)</f>
        <v>2</v>
      </c>
      <c r="AP432" s="232">
        <f>VLOOKUP(AA432,FACTS!$B$2:$J$14,9,FALSE)</f>
        <v>215000</v>
      </c>
      <c r="AQ432" s="232">
        <f>Table1[[#This Row],[PARKING VALUE]]*1</f>
        <v>215000</v>
      </c>
      <c r="AR432" s="232">
        <f t="shared" si="62"/>
        <v>8338237.5</v>
      </c>
      <c r="AS432" s="440">
        <f>Table1[[#This Row],[TOTAL CARS VALUE]]+Table1[[#This Row],[UNIT (BUILDING) VALUE BASIC FINISHED]]+Table1[[#This Row],[UNIT (GARDEN) VALUE]]</f>
        <v>9103237.5</v>
      </c>
      <c r="AT432" s="232">
        <f>Table1[[#This Row],[TOTAL CARS VALUE]]+Table1[[#This Row],[UNIT (GARDEN) VALUE]]+Table1[[#This Row],[UNIT (BUILDING) VALUE FULLY FINISHED]]</f>
        <v>9613237.5</v>
      </c>
      <c r="AU432" s="233">
        <f>VLOOKUP(I432,'C PHASES'!$I$108:$J$110,2,FALSE)</f>
        <v>46204</v>
      </c>
      <c r="AV432" s="233">
        <f>VLOOKUP(AA432,'C PHASES'!$I$113:$J$125,2,FALSE)</f>
        <v>45474</v>
      </c>
    </row>
    <row r="433" spans="1:48" ht="22.5" x14ac:dyDescent="0.25">
      <c r="A433" s="236" t="s">
        <v>33</v>
      </c>
      <c r="B433" s="227" t="str">
        <f t="shared" si="61"/>
        <v>B</v>
      </c>
      <c r="C433" s="227" t="s">
        <v>81</v>
      </c>
      <c r="D433" s="227" t="s">
        <v>1147</v>
      </c>
      <c r="E433" s="228">
        <v>0</v>
      </c>
      <c r="F433" s="101">
        <v>1</v>
      </c>
      <c r="G433" s="87" t="str">
        <f>LEFT(C433,3)&amp;E433&amp;F433</f>
        <v>B1401</v>
      </c>
      <c r="H433" s="87" t="s">
        <v>1294</v>
      </c>
      <c r="I433" s="89" t="str">
        <f>VLOOKUP(C433,'PREMIUM TABLES'!$G$107:$H$149,2,FALSE)</f>
        <v>C2</v>
      </c>
      <c r="J433" s="89">
        <v>144.66300000000001</v>
      </c>
      <c r="K433" s="87">
        <v>160.29970969584483</v>
      </c>
      <c r="L433" s="87">
        <v>176</v>
      </c>
      <c r="M433" s="87">
        <v>77.696799999999996</v>
      </c>
      <c r="O433" s="87" t="s">
        <v>180</v>
      </c>
      <c r="P433" s="87" t="s">
        <v>226</v>
      </c>
      <c r="Q433" s="229" t="s">
        <v>198</v>
      </c>
      <c r="R433" s="87" t="str">
        <f>VLOOKUP(E433,'PREMIUM TABLES'!$F$214:$G$219,2,FALSE)</f>
        <v>GROUND</v>
      </c>
      <c r="S433" s="87" t="str" cm="1">
        <f t="array" ref="S433">IF(AND(L433&gt;0,L433&lt;90),"A",IF(AND(L433&gt;90,L433&lt;123),"B",IF(AND(L433&gt;122,L433&lt;159),"C",IF(AND(L433&gt;159,L433&lt;185),"D",IF(AND(L433&gt;185,L433&lt;230),"E",IF(AND(L433&gt;230,L433&lt;350),"F",NONE))))))</f>
        <v>D</v>
      </c>
      <c r="T433" s="230">
        <f>VLOOKUP(O433,'PREMIUM TABLES'!$G$165:$H$172,2,FALSE)</f>
        <v>0.13</v>
      </c>
      <c r="U433" s="230">
        <f>VLOOKUP(P433,'PREMIUM TABLES'!$G$208:$H$209,2,FALSE)</f>
        <v>0.05</v>
      </c>
      <c r="V433" s="230">
        <f>VLOOKUP(Q433,'PREMIUM TABLES'!$G$175:$H$195,2,FALSE)</f>
        <v>0.15</v>
      </c>
      <c r="W433" s="230">
        <f>VLOOKUP(R433,'PREMIUM TABLES'!$G$214:$H$219,2,FALSE)</f>
        <v>0.05</v>
      </c>
      <c r="X433" s="230">
        <f>VLOOKUP(S433,'PREMIUM TABLES'!$F$199:$H$205,3,FALSE)</f>
        <v>2.5000000000000001E-2</v>
      </c>
      <c r="Y433" s="231">
        <f t="shared" si="63"/>
        <v>0.40499999999999997</v>
      </c>
      <c r="Z433" s="231" t="str" cm="1">
        <f t="array" ref="Z433">IF(AND(Y433&gt;0,Y433&lt;0.5),"C",IF(AND(Y433&gt;=0.5,Y433&lt;0.73),"B",IF(AND(Y433&gt;=0.73,Y433&lt;0.98),"A",NONE)))</f>
        <v>C</v>
      </c>
      <c r="AA433" s="231" t="str">
        <f>VLOOKUP(G433,'ALL (R)'!$N$5:$R$862,5,FALSE)</f>
        <v>R 6</v>
      </c>
      <c r="AB433" s="232">
        <f>VLOOKUP(AA433,FACTS!$B$2:$L$14,10,FALSE)</f>
        <v>48450.000000000007</v>
      </c>
      <c r="AC433" s="232">
        <f>VLOOKUP(AA433,FACTS!$B$2:$L$14,11,FALSE)</f>
        <v>54150.000000000007</v>
      </c>
      <c r="AD433" s="232">
        <f>VLOOKUP(AA433,FACTS!$B$2:$N$14,13,FALSE)</f>
        <v>5700</v>
      </c>
      <c r="AE433" s="232">
        <f t="shared" si="64"/>
        <v>2308.5</v>
      </c>
      <c r="AF433" s="232">
        <f t="shared" si="65"/>
        <v>50758.500000000007</v>
      </c>
      <c r="AG433" s="232">
        <f>AF433*FACTS!$T$2</f>
        <v>16750.305000000004</v>
      </c>
      <c r="AH433" s="232">
        <f>Table1[[#This Row],[UNIT (BUILDING) RATE (SEMI FINISHED)]]+4500</f>
        <v>55258.500000000007</v>
      </c>
      <c r="AI433" s="232">
        <f>Table1[[#This Row],[UNIT (BUILDING) RATE (SEMI FINISHED)]]+7500</f>
        <v>58258.500000000007</v>
      </c>
      <c r="AJ433" s="232">
        <f t="shared" si="66"/>
        <v>8933496.0000000019</v>
      </c>
      <c r="AK433" s="232">
        <f>Table1[[#This Row],[UNIT (BUILDING) RATE (BASIC FINISH)]]*Table1[[#This Row],[Unit Selling Area]]</f>
        <v>9725496.0000000019</v>
      </c>
      <c r="AL433" s="232">
        <f>Table1[[#This Row],[UNIT (BUILDING) RATE (FULLY FINISH)]]*Table1[[#This Row],[Unit Selling Area]]</f>
        <v>10253496.000000002</v>
      </c>
      <c r="AM433" s="232">
        <f t="shared" si="67"/>
        <v>1301445.0975240003</v>
      </c>
      <c r="AN433" s="232">
        <f>(AM433+AJ433)*FACTS!$S$2</f>
        <v>869969.99328954029</v>
      </c>
      <c r="AO433" s="101">
        <f>VLOOKUP(S433,FACTS!$A$17:$C$23,3,FALSE)</f>
        <v>2</v>
      </c>
      <c r="AP433" s="232">
        <f>VLOOKUP(AA433,FACTS!$B$2:$J$14,9,FALSE)</f>
        <v>228000.00000000003</v>
      </c>
      <c r="AQ433" s="232">
        <f>Table1[[#This Row],[PARKING VALUE]]*1</f>
        <v>228000.00000000003</v>
      </c>
      <c r="AR433" s="232">
        <f t="shared" si="62"/>
        <v>10462941.097524002</v>
      </c>
      <c r="AS433" s="440">
        <f>Table1[[#This Row],[TOTAL CARS VALUE]]+Table1[[#This Row],[UNIT (BUILDING) VALUE BASIC FINISHED]]+Table1[[#This Row],[UNIT (GARDEN) VALUE]]</f>
        <v>11254941.097524002</v>
      </c>
      <c r="AT433" s="232">
        <f>Table1[[#This Row],[TOTAL CARS VALUE]]+Table1[[#This Row],[UNIT (GARDEN) VALUE]]+Table1[[#This Row],[UNIT (BUILDING) VALUE FULLY FINISHED]]</f>
        <v>11782941.097524002</v>
      </c>
      <c r="AU433" s="233">
        <f>VLOOKUP(I433,'C PHASES'!$I$108:$J$110,2,FALSE)</f>
        <v>46204</v>
      </c>
      <c r="AV433" s="233">
        <f>VLOOKUP(AA433,'C PHASES'!$I$113:$J$125,2,FALSE)</f>
        <v>45658</v>
      </c>
    </row>
    <row r="434" spans="1:48" x14ac:dyDescent="0.25">
      <c r="A434" s="236"/>
      <c r="B434" s="227" t="str">
        <f t="shared" si="61"/>
        <v>B</v>
      </c>
      <c r="C434" s="227" t="s">
        <v>81</v>
      </c>
      <c r="D434" s="227" t="s">
        <v>1147</v>
      </c>
      <c r="E434" s="228">
        <v>0</v>
      </c>
      <c r="F434" s="101">
        <v>2</v>
      </c>
      <c r="G434" s="87" t="str">
        <f t="shared" ref="G434:G452" si="70">LEFT(C434,3)&amp;E434&amp;F434</f>
        <v>B1402</v>
      </c>
      <c r="H434" s="87" t="s">
        <v>1295</v>
      </c>
      <c r="I434" s="89" t="str">
        <f>VLOOKUP(C434,'PREMIUM TABLES'!$G$107:$H$149,2,FALSE)</f>
        <v>C2</v>
      </c>
      <c r="J434" s="89">
        <v>183.887</v>
      </c>
      <c r="K434" s="87">
        <v>203.76345518093646</v>
      </c>
      <c r="L434" s="87">
        <v>224</v>
      </c>
      <c r="M434" s="87">
        <v>56.4666</v>
      </c>
      <c r="O434" s="87" t="s">
        <v>187</v>
      </c>
      <c r="P434" s="87" t="s">
        <v>226</v>
      </c>
      <c r="Q434" s="229" t="s">
        <v>228</v>
      </c>
      <c r="R434" s="87" t="str">
        <f>VLOOKUP(E434,'PREMIUM TABLES'!$F$214:$G$219,2,FALSE)</f>
        <v>GROUND</v>
      </c>
      <c r="S434" s="87" t="str" cm="1">
        <f t="array" ref="S434">IF(AND(L434&gt;0,L434&lt;90),"A",IF(AND(L434&gt;90,L434&lt;123),"B",IF(AND(L434&gt;122,L434&lt;159),"C",IF(AND(L434&gt;159,L434&lt;185),"D",IF(AND(L434&gt;185,L434&lt;230),"E",IF(AND(L434&gt;230,L434&lt;350),"F",NONE))))))</f>
        <v>E</v>
      </c>
      <c r="T434" s="230">
        <f>VLOOKUP(O434,'PREMIUM TABLES'!$G$165:$H$172,2,FALSE)</f>
        <v>0.08</v>
      </c>
      <c r="U434" s="230">
        <f>VLOOKUP(P434,'PREMIUM TABLES'!$G$208:$H$209,2,FALSE)</f>
        <v>0.05</v>
      </c>
      <c r="V434" s="230">
        <f>VLOOKUP(Q434,'PREMIUM TABLES'!$G$175:$H$195,2,FALSE)</f>
        <v>0.42400000000000004</v>
      </c>
      <c r="W434" s="230">
        <f>VLOOKUP(R434,'PREMIUM TABLES'!$G$214:$H$219,2,FALSE)</f>
        <v>0.05</v>
      </c>
      <c r="X434" s="230">
        <f>VLOOKUP(S434,'PREMIUM TABLES'!$F$199:$H$205,3,FALSE)</f>
        <v>1.4999999999999999E-2</v>
      </c>
      <c r="Y434" s="231">
        <f t="shared" si="63"/>
        <v>0.61900000000000011</v>
      </c>
      <c r="Z434" s="231" t="str" cm="1">
        <f t="array" ref="Z434">IF(AND(Y434&gt;0,Y434&lt;0.5),"C",IF(AND(Y434&gt;=0.5,Y434&lt;0.73),"B",IF(AND(Y434&gt;=0.73,Y434&lt;0.98),"A",NONE)))</f>
        <v>B</v>
      </c>
      <c r="AA434" s="231" t="str">
        <f>VLOOKUP(G434,'ALL (R)'!$N$5:$R$862,5,FALSE)</f>
        <v>R 3</v>
      </c>
      <c r="AB434" s="232">
        <f>VLOOKUP(AA434,FACTS!$B$2:$L$14,10,FALSE)</f>
        <v>44625</v>
      </c>
      <c r="AC434" s="232">
        <f>VLOOKUP(AA434,FACTS!$B$2:$L$14,11,FALSE)</f>
        <v>49875</v>
      </c>
      <c r="AD434" s="232">
        <f>VLOOKUP(AA434,FACTS!$B$2:$N$14,13,FALSE)</f>
        <v>5250</v>
      </c>
      <c r="AE434" s="232">
        <f t="shared" si="64"/>
        <v>3249.7500000000005</v>
      </c>
      <c r="AF434" s="232">
        <f t="shared" si="65"/>
        <v>47874.75</v>
      </c>
      <c r="AG434" s="232">
        <f>AF434*FACTS!$T$2</f>
        <v>15798.667500000001</v>
      </c>
      <c r="AH434" s="232">
        <f>Table1[[#This Row],[UNIT (BUILDING) RATE (SEMI FINISHED)]]+4500</f>
        <v>52374.75</v>
      </c>
      <c r="AI434" s="232">
        <f>Table1[[#This Row],[UNIT (BUILDING) RATE (SEMI FINISHED)]]+7500</f>
        <v>55374.75</v>
      </c>
      <c r="AJ434" s="232">
        <f t="shared" si="66"/>
        <v>10723944</v>
      </c>
      <c r="AK434" s="232">
        <f>Table1[[#This Row],[UNIT (BUILDING) RATE (BASIC FINISH)]]*Table1[[#This Row],[Unit Selling Area]]</f>
        <v>11731944</v>
      </c>
      <c r="AL434" s="232">
        <f>Table1[[#This Row],[UNIT (BUILDING) RATE (FULLY FINISH)]]*Table1[[#This Row],[Unit Selling Area]]</f>
        <v>12403944</v>
      </c>
      <c r="AM434" s="232">
        <f t="shared" si="67"/>
        <v>892097.03825550003</v>
      </c>
      <c r="AN434" s="232">
        <f>(AM434+AJ434)*FACTS!$S$2</f>
        <v>987363.48825171753</v>
      </c>
      <c r="AO434" s="101">
        <f>VLOOKUP(S434,FACTS!$A$17:$C$23,3,FALSE)</f>
        <v>2</v>
      </c>
      <c r="AP434" s="232">
        <f>VLOOKUP(AA434,FACTS!$B$2:$J$14,9,FALSE)</f>
        <v>210000</v>
      </c>
      <c r="AQ434" s="232">
        <f>Table1[[#This Row],[PARKING VALUE]]*1</f>
        <v>210000</v>
      </c>
      <c r="AR434" s="232">
        <f t="shared" si="62"/>
        <v>11826041.0382555</v>
      </c>
      <c r="AS434" s="440">
        <f>Table1[[#This Row],[TOTAL CARS VALUE]]+Table1[[#This Row],[UNIT (BUILDING) VALUE BASIC FINISHED]]+Table1[[#This Row],[UNIT (GARDEN) VALUE]]</f>
        <v>12834041.0382555</v>
      </c>
      <c r="AT434" s="232">
        <f>Table1[[#This Row],[TOTAL CARS VALUE]]+Table1[[#This Row],[UNIT (GARDEN) VALUE]]+Table1[[#This Row],[UNIT (BUILDING) VALUE FULLY FINISHED]]</f>
        <v>13506041.0382555</v>
      </c>
      <c r="AU434" s="233">
        <f>VLOOKUP(I434,'C PHASES'!$I$108:$J$110,2,FALSE)</f>
        <v>46204</v>
      </c>
      <c r="AV434" s="233">
        <f>VLOOKUP(AA434,'C PHASES'!$I$113:$J$125,2,FALSE)</f>
        <v>45383</v>
      </c>
    </row>
    <row r="435" spans="1:48" x14ac:dyDescent="0.25">
      <c r="A435" s="236"/>
      <c r="B435" s="227" t="str">
        <f t="shared" si="61"/>
        <v>B</v>
      </c>
      <c r="C435" s="227" t="s">
        <v>81</v>
      </c>
      <c r="D435" s="227" t="s">
        <v>1147</v>
      </c>
      <c r="E435" s="228">
        <v>0</v>
      </c>
      <c r="F435" s="101">
        <v>3</v>
      </c>
      <c r="G435" s="87" t="str">
        <f t="shared" si="70"/>
        <v>B1403</v>
      </c>
      <c r="H435" s="87" t="s">
        <v>1294</v>
      </c>
      <c r="I435" s="89" t="str">
        <f>VLOOKUP(C435,'PREMIUM TABLES'!$G$107:$H$149,2,FALSE)</f>
        <v>C2</v>
      </c>
      <c r="J435" s="89">
        <v>162.78100000000001</v>
      </c>
      <c r="K435" s="87">
        <v>180.37609508996297</v>
      </c>
      <c r="L435" s="87">
        <v>199</v>
      </c>
      <c r="M435" s="87">
        <v>77.576999999999998</v>
      </c>
      <c r="O435" s="87" t="s">
        <v>187</v>
      </c>
      <c r="P435" s="87" t="s">
        <v>190</v>
      </c>
      <c r="Q435" s="229" t="s">
        <v>210</v>
      </c>
      <c r="R435" s="87" t="str">
        <f>VLOOKUP(E435,'PREMIUM TABLES'!$F$214:$G$219,2,FALSE)</f>
        <v>GROUND</v>
      </c>
      <c r="S435" s="87" t="str" cm="1">
        <f t="array" ref="S435">IF(AND(L435&gt;0,L435&lt;90),"A",IF(AND(L435&gt;90,L435&lt;123),"B",IF(AND(L435&gt;122,L435&lt;159),"C",IF(AND(L435&gt;159,L435&lt;185),"D",IF(AND(L435&gt;185,L435&lt;230),"E",IF(AND(L435&gt;230,L435&lt;350),"F",NONE))))))</f>
        <v>E</v>
      </c>
      <c r="T435" s="230">
        <f>VLOOKUP(O435,'PREMIUM TABLES'!$G$165:$H$172,2,FALSE)</f>
        <v>0.08</v>
      </c>
      <c r="U435" s="230">
        <f>VLOOKUP(P435,'PREMIUM TABLES'!$G$208:$H$209,2,FALSE)</f>
        <v>2.5000000000000001E-2</v>
      </c>
      <c r="V435" s="230">
        <f>VLOOKUP(Q435,'PREMIUM TABLES'!$G$175:$H$195,2,FALSE)</f>
        <v>0.53</v>
      </c>
      <c r="W435" s="230">
        <f>VLOOKUP(R435,'PREMIUM TABLES'!$G$214:$H$219,2,FALSE)</f>
        <v>0.05</v>
      </c>
      <c r="X435" s="230">
        <f>VLOOKUP(S435,'PREMIUM TABLES'!$F$199:$H$205,3,FALSE)</f>
        <v>1.4999999999999999E-2</v>
      </c>
      <c r="Y435" s="231">
        <f t="shared" si="63"/>
        <v>0.70000000000000007</v>
      </c>
      <c r="Z435" s="231" t="str" cm="1">
        <f t="array" ref="Z435">IF(AND(Y435&gt;0,Y435&lt;0.5),"C",IF(AND(Y435&gt;=0.5,Y435&lt;0.73),"B",IF(AND(Y435&gt;=0.73,Y435&lt;0.98),"A",NONE)))</f>
        <v>B</v>
      </c>
      <c r="AA435" s="231" t="str">
        <f>VLOOKUP(G435,'ALL (R)'!$N$5:$R$862,5,FALSE)</f>
        <v>R 9</v>
      </c>
      <c r="AB435" s="232">
        <f>VLOOKUP(AA435,FACTS!$B$2:$L$14,10,FALSE)</f>
        <v>53550</v>
      </c>
      <c r="AC435" s="232">
        <f>VLOOKUP(AA435,FACTS!$B$2:$L$14,11,FALSE)</f>
        <v>59850</v>
      </c>
      <c r="AD435" s="232">
        <f>VLOOKUP(AA435,FACTS!$B$2:$N$14,13,FALSE)</f>
        <v>6300</v>
      </c>
      <c r="AE435" s="232">
        <f t="shared" si="64"/>
        <v>4410</v>
      </c>
      <c r="AF435" s="232">
        <f t="shared" si="65"/>
        <v>57960</v>
      </c>
      <c r="AG435" s="232">
        <f>AF435*FACTS!$T$2</f>
        <v>19126.8</v>
      </c>
      <c r="AH435" s="232">
        <f>Table1[[#This Row],[UNIT (BUILDING) RATE (SEMI FINISHED)]]+4500</f>
        <v>62460</v>
      </c>
      <c r="AI435" s="232">
        <f>Table1[[#This Row],[UNIT (BUILDING) RATE (SEMI FINISHED)]]+7500</f>
        <v>65460</v>
      </c>
      <c r="AJ435" s="232">
        <f t="shared" si="66"/>
        <v>11534040</v>
      </c>
      <c r="AK435" s="232">
        <f>Table1[[#This Row],[UNIT (BUILDING) RATE (BASIC FINISH)]]*Table1[[#This Row],[Unit Selling Area]]</f>
        <v>12429540</v>
      </c>
      <c r="AL435" s="232">
        <f>Table1[[#This Row],[UNIT (BUILDING) RATE (FULLY FINISH)]]*Table1[[#This Row],[Unit Selling Area]]</f>
        <v>13026540</v>
      </c>
      <c r="AM435" s="232">
        <f t="shared" si="67"/>
        <v>1483799.7635999999</v>
      </c>
      <c r="AN435" s="232">
        <f>(AM435+AJ435)*FACTS!$S$2</f>
        <v>1106516.3799060001</v>
      </c>
      <c r="AO435" s="101">
        <f>VLOOKUP(S435,FACTS!$A$17:$C$23,3,FALSE)</f>
        <v>2</v>
      </c>
      <c r="AP435" s="232">
        <f>VLOOKUP(AA435,FACTS!$B$2:$J$14,9,FALSE)</f>
        <v>252000</v>
      </c>
      <c r="AQ435" s="232">
        <f>Table1[[#This Row],[PARKING VALUE]]*1</f>
        <v>252000</v>
      </c>
      <c r="AR435" s="232">
        <f t="shared" si="62"/>
        <v>13269839.763599999</v>
      </c>
      <c r="AS435" s="440">
        <f>Table1[[#This Row],[TOTAL CARS VALUE]]+Table1[[#This Row],[UNIT (BUILDING) VALUE BASIC FINISHED]]+Table1[[#This Row],[UNIT (GARDEN) VALUE]]</f>
        <v>14165339.763599999</v>
      </c>
      <c r="AT435" s="232">
        <f>Table1[[#This Row],[TOTAL CARS VALUE]]+Table1[[#This Row],[UNIT (GARDEN) VALUE]]+Table1[[#This Row],[UNIT (BUILDING) VALUE FULLY FINISHED]]</f>
        <v>14762339.763599999</v>
      </c>
      <c r="AU435" s="233">
        <f>VLOOKUP(I435,'C PHASES'!$I$108:$J$110,2,FALSE)</f>
        <v>46204</v>
      </c>
      <c r="AV435" s="233">
        <f>VLOOKUP(AA435,'C PHASES'!$I$113:$J$125,2,FALSE)</f>
        <v>45931</v>
      </c>
    </row>
    <row r="436" spans="1:48" x14ac:dyDescent="0.25">
      <c r="A436" s="236"/>
      <c r="B436" s="227" t="str">
        <f t="shared" si="61"/>
        <v>B</v>
      </c>
      <c r="C436" s="227" t="s">
        <v>81</v>
      </c>
      <c r="D436" s="227" t="s">
        <v>1147</v>
      </c>
      <c r="E436" s="228">
        <v>0</v>
      </c>
      <c r="F436" s="101">
        <v>4</v>
      </c>
      <c r="G436" s="87" t="str">
        <f t="shared" si="70"/>
        <v>B1404</v>
      </c>
      <c r="H436" s="87" t="s">
        <v>1293</v>
      </c>
      <c r="I436" s="89" t="str">
        <f>VLOOKUP(C436,'PREMIUM TABLES'!$G$107:$H$149,2,FALSE)</f>
        <v>C2</v>
      </c>
      <c r="J436" s="89">
        <v>95.213999999999999</v>
      </c>
      <c r="K436" s="87">
        <v>105.50573788031609</v>
      </c>
      <c r="L436" s="87">
        <v>116</v>
      </c>
      <c r="M436" s="87">
        <v>61.981200000000001</v>
      </c>
      <c r="O436" s="87" t="s">
        <v>180</v>
      </c>
      <c r="P436" s="87" t="s">
        <v>190</v>
      </c>
      <c r="Q436" s="229" t="s">
        <v>198</v>
      </c>
      <c r="R436" s="87" t="str">
        <f>VLOOKUP(E436,'PREMIUM TABLES'!$F$214:$G$219,2,FALSE)</f>
        <v>GROUND</v>
      </c>
      <c r="S436" s="87" t="str" cm="1">
        <f t="array" ref="S436">IF(AND(L436&gt;0,L436&lt;90),"A",IF(AND(L436&gt;90,L436&lt;123),"B",IF(AND(L436&gt;122,L436&lt;159),"C",IF(AND(L436&gt;159,L436&lt;185),"D",IF(AND(L436&gt;185,L436&lt;230),"E",IF(AND(L436&gt;230,L436&lt;350),"F",NONE))))))</f>
        <v>B</v>
      </c>
      <c r="T436" s="230">
        <f>VLOOKUP(O436,'PREMIUM TABLES'!$G$165:$H$172,2,FALSE)</f>
        <v>0.13</v>
      </c>
      <c r="U436" s="230">
        <f>VLOOKUP(P436,'PREMIUM TABLES'!$G$208:$H$209,2,FALSE)</f>
        <v>2.5000000000000001E-2</v>
      </c>
      <c r="V436" s="230">
        <f>VLOOKUP(Q436,'PREMIUM TABLES'!$G$175:$H$195,2,FALSE)</f>
        <v>0.15</v>
      </c>
      <c r="W436" s="230">
        <f>VLOOKUP(R436,'PREMIUM TABLES'!$G$214:$H$219,2,FALSE)</f>
        <v>0.05</v>
      </c>
      <c r="X436" s="230">
        <f>VLOOKUP(S436,'PREMIUM TABLES'!$F$199:$H$205,3,FALSE)</f>
        <v>0.04</v>
      </c>
      <c r="Y436" s="231">
        <f t="shared" si="63"/>
        <v>0.39499999999999996</v>
      </c>
      <c r="Z436" s="231" t="str" cm="1">
        <f t="array" ref="Z436">IF(AND(Y436&gt;0,Y436&lt;0.5),"C",IF(AND(Y436&gt;=0.5,Y436&lt;0.73),"B",IF(AND(Y436&gt;=0.73,Y436&lt;0.98),"A",NONE)))</f>
        <v>C</v>
      </c>
      <c r="AA436" s="231" t="str">
        <f>VLOOKUP(G436,'ALL (R)'!$N$5:$R$862,5,FALSE)</f>
        <v>R 4</v>
      </c>
      <c r="AB436" s="232">
        <f>VLOOKUP(AA436,FACTS!$B$2:$L$14,10,FALSE)</f>
        <v>45687.5</v>
      </c>
      <c r="AC436" s="232">
        <f>VLOOKUP(AA436,FACTS!$B$2:$L$14,11,FALSE)</f>
        <v>51062.5</v>
      </c>
      <c r="AD436" s="232">
        <f>VLOOKUP(AA436,FACTS!$B$2:$N$14,13,FALSE)</f>
        <v>5375</v>
      </c>
      <c r="AE436" s="232">
        <f t="shared" si="64"/>
        <v>2123.125</v>
      </c>
      <c r="AF436" s="232">
        <f t="shared" si="65"/>
        <v>47810.625</v>
      </c>
      <c r="AG436" s="232">
        <f>AF436*FACTS!$T$2</f>
        <v>15777.50625</v>
      </c>
      <c r="AH436" s="232">
        <f>Table1[[#This Row],[UNIT (BUILDING) RATE (SEMI FINISHED)]]+4500</f>
        <v>52310.625</v>
      </c>
      <c r="AI436" s="232">
        <f>Table1[[#This Row],[UNIT (BUILDING) RATE (SEMI FINISHED)]]+7500</f>
        <v>55310.625</v>
      </c>
      <c r="AJ436" s="232">
        <f t="shared" si="66"/>
        <v>5546032.5</v>
      </c>
      <c r="AK436" s="232">
        <f>Table1[[#This Row],[UNIT (BUILDING) RATE (BASIC FINISH)]]*Table1[[#This Row],[Unit Selling Area]]</f>
        <v>6068032.5</v>
      </c>
      <c r="AL436" s="232">
        <f>Table1[[#This Row],[UNIT (BUILDING) RATE (FULLY FINISH)]]*Table1[[#This Row],[Unit Selling Area]]</f>
        <v>6416032.5</v>
      </c>
      <c r="AM436" s="232">
        <f t="shared" si="67"/>
        <v>977908.77038250002</v>
      </c>
      <c r="AN436" s="232">
        <f>(AM436+AJ436)*FACTS!$S$2</f>
        <v>554535.00798251259</v>
      </c>
      <c r="AO436" s="101">
        <f>VLOOKUP(S436,FACTS!$A$17:$C$23,3,FALSE)</f>
        <v>1</v>
      </c>
      <c r="AP436" s="232">
        <f>VLOOKUP(AA436,FACTS!$B$2:$J$14,9,FALSE)</f>
        <v>215000</v>
      </c>
      <c r="AQ436" s="232">
        <f>Table1[[#This Row],[PARKING VALUE]]*1</f>
        <v>215000</v>
      </c>
      <c r="AR436" s="232">
        <f t="shared" si="62"/>
        <v>6738941.2703825003</v>
      </c>
      <c r="AS436" s="440">
        <f>Table1[[#This Row],[TOTAL CARS VALUE]]+Table1[[#This Row],[UNIT (BUILDING) VALUE BASIC FINISHED]]+Table1[[#This Row],[UNIT (GARDEN) VALUE]]</f>
        <v>7260941.2703825003</v>
      </c>
      <c r="AT436" s="232">
        <f>Table1[[#This Row],[TOTAL CARS VALUE]]+Table1[[#This Row],[UNIT (GARDEN) VALUE]]+Table1[[#This Row],[UNIT (BUILDING) VALUE FULLY FINISHED]]</f>
        <v>7608941.2703825003</v>
      </c>
      <c r="AU436" s="233">
        <f>VLOOKUP(I436,'C PHASES'!$I$108:$J$110,2,FALSE)</f>
        <v>46204</v>
      </c>
      <c r="AV436" s="233">
        <f>VLOOKUP(AA436,'C PHASES'!$I$113:$J$125,2,FALSE)</f>
        <v>45474</v>
      </c>
    </row>
    <row r="437" spans="1:48" x14ac:dyDescent="0.25">
      <c r="A437" s="236"/>
      <c r="B437" s="227" t="str">
        <f t="shared" si="61"/>
        <v>B</v>
      </c>
      <c r="C437" s="227" t="s">
        <v>81</v>
      </c>
      <c r="D437" s="227" t="s">
        <v>1147</v>
      </c>
      <c r="E437" s="228">
        <v>1</v>
      </c>
      <c r="F437" s="101">
        <v>1</v>
      </c>
      <c r="G437" s="87" t="str">
        <f t="shared" si="70"/>
        <v>B1411</v>
      </c>
      <c r="H437" s="87" t="s">
        <v>1294</v>
      </c>
      <c r="I437" s="89" t="str">
        <f>VLOOKUP(C437,'PREMIUM TABLES'!$G$107:$H$149,2,FALSE)</f>
        <v>C2</v>
      </c>
      <c r="J437" s="89">
        <v>141.66300000000001</v>
      </c>
      <c r="K437" s="87">
        <v>156.9754379118535</v>
      </c>
      <c r="L437" s="87">
        <v>173</v>
      </c>
      <c r="M437" s="89"/>
      <c r="N437" s="89"/>
      <c r="O437" s="87" t="s">
        <v>180</v>
      </c>
      <c r="P437" s="87" t="s">
        <v>226</v>
      </c>
      <c r="Q437" s="229" t="s">
        <v>198</v>
      </c>
      <c r="R437" s="87" t="str">
        <f>VLOOKUP(E437,'PREMIUM TABLES'!$F$214:$G$219,2,FALSE)</f>
        <v>FIRST</v>
      </c>
      <c r="S437" s="87" t="str" cm="1">
        <f t="array" ref="S437">IF(AND(L437&gt;0,L437&lt;90),"A",IF(AND(L437&gt;90,L437&lt;123),"B",IF(AND(L437&gt;122,L437&lt;159),"C",IF(AND(L437&gt;159,L437&lt;185),"D",IF(AND(L437&gt;185,L437&lt;230),"E",IF(AND(L437&gt;230,L437&lt;350),"F",NONE))))))</f>
        <v>D</v>
      </c>
      <c r="T437" s="230">
        <f>VLOOKUP(O437,'PREMIUM TABLES'!$G$165:$H$172,2,FALSE)</f>
        <v>0.13</v>
      </c>
      <c r="U437" s="230">
        <f>VLOOKUP(P437,'PREMIUM TABLES'!$G$208:$H$209,2,FALSE)</f>
        <v>0.05</v>
      </c>
      <c r="V437" s="230">
        <f>VLOOKUP(Q437,'PREMIUM TABLES'!$G$175:$H$195,2,FALSE)</f>
        <v>0.15</v>
      </c>
      <c r="W437" s="230">
        <f>VLOOKUP(R437,'PREMIUM TABLES'!$G$214:$H$219,2,FALSE)</f>
        <v>7.0000000000000007E-2</v>
      </c>
      <c r="X437" s="230">
        <f>VLOOKUP(S437,'PREMIUM TABLES'!$F$199:$H$205,3,FALSE)</f>
        <v>2.5000000000000001E-2</v>
      </c>
      <c r="Y437" s="231">
        <f t="shared" si="63"/>
        <v>0.42499999999999999</v>
      </c>
      <c r="Z437" s="231" t="str" cm="1">
        <f t="array" ref="Z437">IF(AND(Y437&gt;0,Y437&lt;0.5),"C",IF(AND(Y437&gt;=0.5,Y437&lt;0.73),"B",IF(AND(Y437&gt;=0.73,Y437&lt;0.98),"A",NONE)))</f>
        <v>C</v>
      </c>
      <c r="AA437" s="231" t="str">
        <f>VLOOKUP(G437,'ALL (R)'!$N$5:$R$862,5,FALSE)</f>
        <v>R 8</v>
      </c>
      <c r="AB437" s="232">
        <f>VLOOKUP(AA437,FACTS!$B$2:$L$14,10,FALSE)</f>
        <v>51850</v>
      </c>
      <c r="AC437" s="232">
        <f>VLOOKUP(AA437,FACTS!$B$2:$L$14,11,FALSE)</f>
        <v>57950</v>
      </c>
      <c r="AD437" s="232">
        <f>VLOOKUP(AA437,FACTS!$B$2:$N$14,13,FALSE)</f>
        <v>6100</v>
      </c>
      <c r="AE437" s="232">
        <f t="shared" si="64"/>
        <v>2592.5</v>
      </c>
      <c r="AF437" s="232">
        <f t="shared" si="65"/>
        <v>54442.5</v>
      </c>
      <c r="AG437" s="232">
        <f>AF437*FACTS!$T$2</f>
        <v>17966.025000000001</v>
      </c>
      <c r="AH437" s="232">
        <f>Table1[[#This Row],[UNIT (BUILDING) RATE (SEMI FINISHED)]]+4500</f>
        <v>58942.5</v>
      </c>
      <c r="AI437" s="232">
        <f>Table1[[#This Row],[UNIT (BUILDING) RATE (SEMI FINISHED)]]+7500</f>
        <v>61942.5</v>
      </c>
      <c r="AJ437" s="232">
        <f t="shared" si="66"/>
        <v>9418552.5</v>
      </c>
      <c r="AK437" s="232">
        <f>Table1[[#This Row],[UNIT (BUILDING) RATE (BASIC FINISH)]]*Table1[[#This Row],[Unit Selling Area]]</f>
        <v>10197052.5</v>
      </c>
      <c r="AL437" s="232">
        <f>Table1[[#This Row],[UNIT (BUILDING) RATE (FULLY FINISH)]]*Table1[[#This Row],[Unit Selling Area]]</f>
        <v>10716052.5</v>
      </c>
      <c r="AM437" s="232">
        <f t="shared" si="67"/>
        <v>0</v>
      </c>
      <c r="AN437" s="232">
        <f>(AM437+AJ437)*FACTS!$S$2</f>
        <v>800576.96250000002</v>
      </c>
      <c r="AO437" s="101">
        <f>VLOOKUP(S437,FACTS!$A$17:$C$23,3,FALSE)</f>
        <v>2</v>
      </c>
      <c r="AP437" s="232">
        <f>VLOOKUP(AA437,FACTS!$B$2:$J$14,9,FALSE)</f>
        <v>244000</v>
      </c>
      <c r="AQ437" s="232">
        <f>Table1[[#This Row],[PARKING VALUE]]*1</f>
        <v>244000</v>
      </c>
      <c r="AR437" s="232">
        <f t="shared" si="62"/>
        <v>9662552.5</v>
      </c>
      <c r="AS437" s="440">
        <f>Table1[[#This Row],[TOTAL CARS VALUE]]+Table1[[#This Row],[UNIT (BUILDING) VALUE BASIC FINISHED]]+Table1[[#This Row],[UNIT (GARDEN) VALUE]]</f>
        <v>10441052.5</v>
      </c>
      <c r="AT437" s="232">
        <f>Table1[[#This Row],[TOTAL CARS VALUE]]+Table1[[#This Row],[UNIT (GARDEN) VALUE]]+Table1[[#This Row],[UNIT (BUILDING) VALUE FULLY FINISHED]]</f>
        <v>10960052.5</v>
      </c>
      <c r="AU437" s="233">
        <f>VLOOKUP(I437,'C PHASES'!$I$108:$J$110,2,FALSE)</f>
        <v>46204</v>
      </c>
      <c r="AV437" s="233">
        <f>VLOOKUP(AA437,'C PHASES'!$I$113:$J$125,2,FALSE)</f>
        <v>45839</v>
      </c>
    </row>
    <row r="438" spans="1:48" x14ac:dyDescent="0.25">
      <c r="A438" s="236"/>
      <c r="B438" s="227" t="str">
        <f t="shared" si="61"/>
        <v>B</v>
      </c>
      <c r="C438" s="227" t="s">
        <v>81</v>
      </c>
      <c r="D438" s="227" t="s">
        <v>1147</v>
      </c>
      <c r="E438" s="228">
        <v>1</v>
      </c>
      <c r="F438" s="101">
        <v>2</v>
      </c>
      <c r="G438" s="87" t="str">
        <f t="shared" si="70"/>
        <v>B1412</v>
      </c>
      <c r="H438" s="87" t="s">
        <v>1295</v>
      </c>
      <c r="I438" s="89" t="str">
        <f>VLOOKUP(C438,'PREMIUM TABLES'!$G$107:$H$149,2,FALSE)</f>
        <v>C2</v>
      </c>
      <c r="J438" s="89">
        <v>183.637</v>
      </c>
      <c r="K438" s="87">
        <v>203.48643253227053</v>
      </c>
      <c r="L438" s="87">
        <v>224</v>
      </c>
      <c r="M438" s="89"/>
      <c r="N438" s="89"/>
      <c r="O438" s="87" t="s">
        <v>187</v>
      </c>
      <c r="P438" s="87" t="s">
        <v>226</v>
      </c>
      <c r="Q438" s="229" t="s">
        <v>228</v>
      </c>
      <c r="R438" s="87" t="str">
        <f>VLOOKUP(E438,'PREMIUM TABLES'!$F$214:$G$219,2,FALSE)</f>
        <v>FIRST</v>
      </c>
      <c r="S438" s="87" t="str" cm="1">
        <f t="array" ref="S438">IF(AND(L438&gt;0,L438&lt;90),"A",IF(AND(L438&gt;90,L438&lt;123),"B",IF(AND(L438&gt;122,L438&lt;159),"C",IF(AND(L438&gt;159,L438&lt;185),"D",IF(AND(L438&gt;185,L438&lt;230),"E",IF(AND(L438&gt;230,L438&lt;350),"F",NONE))))))</f>
        <v>E</v>
      </c>
      <c r="T438" s="230">
        <f>VLOOKUP(O438,'PREMIUM TABLES'!$G$165:$H$172,2,FALSE)</f>
        <v>0.08</v>
      </c>
      <c r="U438" s="230">
        <f>VLOOKUP(P438,'PREMIUM TABLES'!$G$208:$H$209,2,FALSE)</f>
        <v>0.05</v>
      </c>
      <c r="V438" s="230">
        <f>VLOOKUP(Q438,'PREMIUM TABLES'!$G$175:$H$195,2,FALSE)</f>
        <v>0.42400000000000004</v>
      </c>
      <c r="W438" s="230">
        <f>VLOOKUP(R438,'PREMIUM TABLES'!$G$214:$H$219,2,FALSE)</f>
        <v>7.0000000000000007E-2</v>
      </c>
      <c r="X438" s="230">
        <f>VLOOKUP(S438,'PREMIUM TABLES'!$F$199:$H$205,3,FALSE)</f>
        <v>1.4999999999999999E-2</v>
      </c>
      <c r="Y438" s="231">
        <f t="shared" si="63"/>
        <v>0.63900000000000012</v>
      </c>
      <c r="Z438" s="231" t="str" cm="1">
        <f t="array" ref="Z438">IF(AND(Y438&gt;0,Y438&lt;0.5),"C",IF(AND(Y438&gt;=0.5,Y438&lt;0.73),"B",IF(AND(Y438&gt;=0.73,Y438&lt;0.98),"A",NONE)))</f>
        <v>B</v>
      </c>
      <c r="AA438" s="231" t="str">
        <f>VLOOKUP(G438,'ALL (R)'!$N$5:$R$862,5,FALSE)</f>
        <v>R 4</v>
      </c>
      <c r="AB438" s="232">
        <f>VLOOKUP(AA438,FACTS!$B$2:$L$14,10,FALSE)</f>
        <v>45687.5</v>
      </c>
      <c r="AC438" s="232">
        <f>VLOOKUP(AA438,FACTS!$B$2:$L$14,11,FALSE)</f>
        <v>51062.5</v>
      </c>
      <c r="AD438" s="232">
        <f>VLOOKUP(AA438,FACTS!$B$2:$N$14,13,FALSE)</f>
        <v>5375</v>
      </c>
      <c r="AE438" s="232">
        <f t="shared" si="64"/>
        <v>3434.6250000000005</v>
      </c>
      <c r="AF438" s="232">
        <f t="shared" si="65"/>
        <v>49122.125</v>
      </c>
      <c r="AG438" s="232">
        <f>AF438*FACTS!$T$2</f>
        <v>16210.30125</v>
      </c>
      <c r="AH438" s="232">
        <f>Table1[[#This Row],[UNIT (BUILDING) RATE (SEMI FINISHED)]]+4500</f>
        <v>53622.125</v>
      </c>
      <c r="AI438" s="232">
        <f>Table1[[#This Row],[UNIT (BUILDING) RATE (SEMI FINISHED)]]+7500</f>
        <v>56622.125</v>
      </c>
      <c r="AJ438" s="232">
        <f t="shared" si="66"/>
        <v>11003356</v>
      </c>
      <c r="AK438" s="232">
        <f>Table1[[#This Row],[UNIT (BUILDING) RATE (BASIC FINISH)]]*Table1[[#This Row],[Unit Selling Area]]</f>
        <v>12011356</v>
      </c>
      <c r="AL438" s="232">
        <f>Table1[[#This Row],[UNIT (BUILDING) RATE (FULLY FINISH)]]*Table1[[#This Row],[Unit Selling Area]]</f>
        <v>12683356</v>
      </c>
      <c r="AM438" s="232">
        <f t="shared" si="67"/>
        <v>0</v>
      </c>
      <c r="AN438" s="232">
        <f>(AM438+AJ438)*FACTS!$S$2</f>
        <v>935285.26</v>
      </c>
      <c r="AO438" s="101">
        <f>VLOOKUP(S438,FACTS!$A$17:$C$23,3,FALSE)</f>
        <v>2</v>
      </c>
      <c r="AP438" s="232">
        <f>VLOOKUP(AA438,FACTS!$B$2:$J$14,9,FALSE)</f>
        <v>215000</v>
      </c>
      <c r="AQ438" s="232">
        <f>Table1[[#This Row],[PARKING VALUE]]*1</f>
        <v>215000</v>
      </c>
      <c r="AR438" s="232">
        <f t="shared" si="62"/>
        <v>11218356</v>
      </c>
      <c r="AS438" s="440">
        <f>Table1[[#This Row],[TOTAL CARS VALUE]]+Table1[[#This Row],[UNIT (BUILDING) VALUE BASIC FINISHED]]+Table1[[#This Row],[UNIT (GARDEN) VALUE]]</f>
        <v>12226356</v>
      </c>
      <c r="AT438" s="232">
        <f>Table1[[#This Row],[TOTAL CARS VALUE]]+Table1[[#This Row],[UNIT (GARDEN) VALUE]]+Table1[[#This Row],[UNIT (BUILDING) VALUE FULLY FINISHED]]</f>
        <v>12898356</v>
      </c>
      <c r="AU438" s="233">
        <f>VLOOKUP(I438,'C PHASES'!$I$108:$J$110,2,FALSE)</f>
        <v>46204</v>
      </c>
      <c r="AV438" s="233">
        <f>VLOOKUP(AA438,'C PHASES'!$I$113:$J$125,2,FALSE)</f>
        <v>45474</v>
      </c>
    </row>
    <row r="439" spans="1:48" x14ac:dyDescent="0.25">
      <c r="A439" s="236"/>
      <c r="B439" s="227" t="str">
        <f t="shared" si="61"/>
        <v>B</v>
      </c>
      <c r="C439" s="227" t="s">
        <v>81</v>
      </c>
      <c r="D439" s="227" t="s">
        <v>1147</v>
      </c>
      <c r="E439" s="228">
        <v>1</v>
      </c>
      <c r="F439" s="101">
        <v>3</v>
      </c>
      <c r="G439" s="87" t="str">
        <f t="shared" si="70"/>
        <v>B1413</v>
      </c>
      <c r="H439" s="87" t="s">
        <v>1294</v>
      </c>
      <c r="I439" s="89" t="str">
        <f>VLOOKUP(C439,'PREMIUM TABLES'!$G$107:$H$149,2,FALSE)</f>
        <v>C2</v>
      </c>
      <c r="J439" s="89">
        <v>162.53100000000001</v>
      </c>
      <c r="K439" s="87">
        <v>180.09907244129704</v>
      </c>
      <c r="L439" s="87">
        <v>198</v>
      </c>
      <c r="M439" s="89"/>
      <c r="N439" s="89"/>
      <c r="O439" s="87" t="s">
        <v>187</v>
      </c>
      <c r="P439" s="87" t="s">
        <v>190</v>
      </c>
      <c r="Q439" s="229" t="s">
        <v>210</v>
      </c>
      <c r="R439" s="87" t="str">
        <f>VLOOKUP(E439,'PREMIUM TABLES'!$F$214:$G$219,2,FALSE)</f>
        <v>FIRST</v>
      </c>
      <c r="S439" s="87" t="str" cm="1">
        <f t="array" ref="S439">IF(AND(L439&gt;0,L439&lt;90),"A",IF(AND(L439&gt;90,L439&lt;123),"B",IF(AND(L439&gt;122,L439&lt;159),"C",IF(AND(L439&gt;159,L439&lt;185),"D",IF(AND(L439&gt;185,L439&lt;230),"E",IF(AND(L439&gt;230,L439&lt;350),"F",NONE))))))</f>
        <v>E</v>
      </c>
      <c r="T439" s="230">
        <f>VLOOKUP(O439,'PREMIUM TABLES'!$G$165:$H$172,2,FALSE)</f>
        <v>0.08</v>
      </c>
      <c r="U439" s="230">
        <f>VLOOKUP(P439,'PREMIUM TABLES'!$G$208:$H$209,2,FALSE)</f>
        <v>2.5000000000000001E-2</v>
      </c>
      <c r="V439" s="230">
        <f>VLOOKUP(Q439,'PREMIUM TABLES'!$G$175:$H$195,2,FALSE)</f>
        <v>0.53</v>
      </c>
      <c r="W439" s="230">
        <f>VLOOKUP(R439,'PREMIUM TABLES'!$G$214:$H$219,2,FALSE)</f>
        <v>7.0000000000000007E-2</v>
      </c>
      <c r="X439" s="230">
        <f>VLOOKUP(S439,'PREMIUM TABLES'!$F$199:$H$205,3,FALSE)</f>
        <v>1.4999999999999999E-2</v>
      </c>
      <c r="Y439" s="231">
        <f t="shared" si="63"/>
        <v>0.72000000000000008</v>
      </c>
      <c r="Z439" s="231" t="str" cm="1">
        <f t="array" ref="Z439">IF(AND(Y439&gt;0,Y439&lt;0.5),"C",IF(AND(Y439&gt;=0.5,Y439&lt;0.73),"B",IF(AND(Y439&gt;=0.73,Y439&lt;0.98),"A",NONE)))</f>
        <v>B</v>
      </c>
      <c r="AA439" s="231" t="str">
        <f>VLOOKUP(G439,'ALL (R)'!$N$5:$R$862,5,FALSE)</f>
        <v>R 12</v>
      </c>
      <c r="AB439" s="232">
        <f>VLOOKUP(AA439,FACTS!$B$2:$L$14,10,FALSE)</f>
        <v>61625</v>
      </c>
      <c r="AC439" s="232">
        <f>VLOOKUP(AA439,FACTS!$B$2:$L$14,11,FALSE)</f>
        <v>68875</v>
      </c>
      <c r="AD439" s="232">
        <f>VLOOKUP(AA439,FACTS!$B$2:$N$14,13,FALSE)</f>
        <v>7250</v>
      </c>
      <c r="AE439" s="232">
        <f t="shared" si="64"/>
        <v>5220.0000000000009</v>
      </c>
      <c r="AF439" s="232">
        <f t="shared" si="65"/>
        <v>66845</v>
      </c>
      <c r="AG439" s="232">
        <f>AF439*FACTS!$T$2</f>
        <v>22058.850000000002</v>
      </c>
      <c r="AH439" s="232">
        <f>Table1[[#This Row],[UNIT (BUILDING) RATE (SEMI FINISHED)]]+4500</f>
        <v>71345</v>
      </c>
      <c r="AI439" s="232">
        <f>Table1[[#This Row],[UNIT (BUILDING) RATE (SEMI FINISHED)]]+7500</f>
        <v>74345</v>
      </c>
      <c r="AJ439" s="232">
        <f t="shared" si="66"/>
        <v>13235310</v>
      </c>
      <c r="AK439" s="232">
        <f>Table1[[#This Row],[UNIT (BUILDING) RATE (BASIC FINISH)]]*Table1[[#This Row],[Unit Selling Area]]</f>
        <v>14126310</v>
      </c>
      <c r="AL439" s="232">
        <f>Table1[[#This Row],[UNIT (BUILDING) RATE (FULLY FINISH)]]*Table1[[#This Row],[Unit Selling Area]]</f>
        <v>14720310</v>
      </c>
      <c r="AM439" s="232">
        <f t="shared" si="67"/>
        <v>0</v>
      </c>
      <c r="AN439" s="232">
        <f>(AM439+AJ439)*FACTS!$S$2</f>
        <v>1125001.3500000001</v>
      </c>
      <c r="AO439" s="101">
        <f>VLOOKUP(S439,FACTS!$A$17:$C$23,3,FALSE)</f>
        <v>2</v>
      </c>
      <c r="AP439" s="232">
        <f>VLOOKUP(AA439,FACTS!$B$2:$J$14,9,FALSE)</f>
        <v>290000</v>
      </c>
      <c r="AQ439" s="232">
        <f>Table1[[#This Row],[PARKING VALUE]]*1</f>
        <v>290000</v>
      </c>
      <c r="AR439" s="232">
        <f t="shared" si="62"/>
        <v>13525310</v>
      </c>
      <c r="AS439" s="440">
        <f>Table1[[#This Row],[TOTAL CARS VALUE]]+Table1[[#This Row],[UNIT (BUILDING) VALUE BASIC FINISHED]]+Table1[[#This Row],[UNIT (GARDEN) VALUE]]</f>
        <v>14416310</v>
      </c>
      <c r="AT439" s="232">
        <f>Table1[[#This Row],[TOTAL CARS VALUE]]+Table1[[#This Row],[UNIT (GARDEN) VALUE]]+Table1[[#This Row],[UNIT (BUILDING) VALUE FULLY FINISHED]]</f>
        <v>15010310</v>
      </c>
      <c r="AU439" s="233">
        <f>VLOOKUP(I439,'C PHASES'!$I$108:$J$110,2,FALSE)</f>
        <v>46204</v>
      </c>
      <c r="AV439" s="233">
        <f>VLOOKUP(AA439,'C PHASES'!$I$113:$J$125,2,FALSE)</f>
        <v>46204</v>
      </c>
    </row>
    <row r="440" spans="1:48" x14ac:dyDescent="0.25">
      <c r="A440" s="236"/>
      <c r="B440" s="227" t="str">
        <f t="shared" si="61"/>
        <v>B</v>
      </c>
      <c r="C440" s="227" t="s">
        <v>81</v>
      </c>
      <c r="D440" s="227" t="s">
        <v>1147</v>
      </c>
      <c r="E440" s="228">
        <v>1</v>
      </c>
      <c r="F440" s="101">
        <v>4</v>
      </c>
      <c r="G440" s="87" t="str">
        <f t="shared" si="70"/>
        <v>B1414</v>
      </c>
      <c r="H440" s="87" t="s">
        <v>1293</v>
      </c>
      <c r="I440" s="89" t="str">
        <f>VLOOKUP(C440,'PREMIUM TABLES'!$G$107:$H$149,2,FALSE)</f>
        <v>C2</v>
      </c>
      <c r="J440" s="89">
        <v>96.271000000000001</v>
      </c>
      <c r="K440" s="87">
        <v>106.6769896388757</v>
      </c>
      <c r="L440" s="87">
        <v>117</v>
      </c>
      <c r="M440" s="89"/>
      <c r="N440" s="89"/>
      <c r="O440" s="87" t="s">
        <v>180</v>
      </c>
      <c r="P440" s="87" t="s">
        <v>190</v>
      </c>
      <c r="Q440" s="229" t="s">
        <v>198</v>
      </c>
      <c r="R440" s="87" t="str">
        <f>VLOOKUP(E440,'PREMIUM TABLES'!$F$214:$G$219,2,FALSE)</f>
        <v>FIRST</v>
      </c>
      <c r="S440" s="87" t="str" cm="1">
        <f t="array" ref="S440">IF(AND(L440&gt;0,L440&lt;90),"A",IF(AND(L440&gt;90,L440&lt;123),"B",IF(AND(L440&gt;122,L440&lt;159),"C",IF(AND(L440&gt;159,L440&lt;185),"D",IF(AND(L440&gt;185,L440&lt;230),"E",IF(AND(L440&gt;230,L440&lt;350),"F",NONE))))))</f>
        <v>B</v>
      </c>
      <c r="T440" s="230">
        <f>VLOOKUP(O440,'PREMIUM TABLES'!$G$165:$H$172,2,FALSE)</f>
        <v>0.13</v>
      </c>
      <c r="U440" s="230">
        <f>VLOOKUP(P440,'PREMIUM TABLES'!$G$208:$H$209,2,FALSE)</f>
        <v>2.5000000000000001E-2</v>
      </c>
      <c r="V440" s="230">
        <f>VLOOKUP(Q440,'PREMIUM TABLES'!$G$175:$H$195,2,FALSE)</f>
        <v>0.15</v>
      </c>
      <c r="W440" s="230">
        <f>VLOOKUP(R440,'PREMIUM TABLES'!$G$214:$H$219,2,FALSE)</f>
        <v>7.0000000000000007E-2</v>
      </c>
      <c r="X440" s="230">
        <f>VLOOKUP(S440,'PREMIUM TABLES'!$F$199:$H$205,3,FALSE)</f>
        <v>0.04</v>
      </c>
      <c r="Y440" s="231">
        <f t="shared" si="63"/>
        <v>0.41499999999999998</v>
      </c>
      <c r="Z440" s="231" t="str" cm="1">
        <f t="array" ref="Z440">IF(AND(Y440&gt;0,Y440&lt;0.5),"C",IF(AND(Y440&gt;=0.5,Y440&lt;0.73),"B",IF(AND(Y440&gt;=0.73,Y440&lt;0.98),"A",NONE)))</f>
        <v>C</v>
      </c>
      <c r="AA440" s="231" t="str">
        <f>VLOOKUP(G440,'ALL (R)'!$N$5:$R$862,5,FALSE)</f>
        <v>R 7</v>
      </c>
      <c r="AB440" s="232">
        <f>VLOOKUP(AA440,FACTS!$B$2:$L$14,10,FALSE)</f>
        <v>50150</v>
      </c>
      <c r="AC440" s="232">
        <f>VLOOKUP(AA440,FACTS!$B$2:$L$14,11,FALSE)</f>
        <v>56050</v>
      </c>
      <c r="AD440" s="232">
        <f>VLOOKUP(AA440,FACTS!$B$2:$N$14,13,FALSE)</f>
        <v>5900</v>
      </c>
      <c r="AE440" s="232">
        <f t="shared" si="64"/>
        <v>2448.5</v>
      </c>
      <c r="AF440" s="232">
        <f t="shared" si="65"/>
        <v>52598.5</v>
      </c>
      <c r="AG440" s="232">
        <f>AF440*FACTS!$T$2</f>
        <v>17357.505000000001</v>
      </c>
      <c r="AH440" s="232">
        <f>Table1[[#This Row],[UNIT (BUILDING) RATE (SEMI FINISHED)]]+4500</f>
        <v>57098.5</v>
      </c>
      <c r="AI440" s="232">
        <f>Table1[[#This Row],[UNIT (BUILDING) RATE (SEMI FINISHED)]]+7500</f>
        <v>60098.5</v>
      </c>
      <c r="AJ440" s="232">
        <f t="shared" si="66"/>
        <v>6154024.5</v>
      </c>
      <c r="AK440" s="232">
        <f>Table1[[#This Row],[UNIT (BUILDING) RATE (BASIC FINISH)]]*Table1[[#This Row],[Unit Selling Area]]</f>
        <v>6680524.5</v>
      </c>
      <c r="AL440" s="232">
        <f>Table1[[#This Row],[UNIT (BUILDING) RATE (FULLY FINISH)]]*Table1[[#This Row],[Unit Selling Area]]</f>
        <v>7031524.5</v>
      </c>
      <c r="AM440" s="232">
        <f t="shared" si="67"/>
        <v>0</v>
      </c>
      <c r="AN440" s="232">
        <f>(AM440+AJ440)*FACTS!$S$2</f>
        <v>523092.08250000002</v>
      </c>
      <c r="AO440" s="101">
        <f>VLOOKUP(S440,FACTS!$A$17:$C$23,3,FALSE)</f>
        <v>1</v>
      </c>
      <c r="AP440" s="232">
        <f>VLOOKUP(AA440,FACTS!$B$2:$J$14,9,FALSE)</f>
        <v>236000</v>
      </c>
      <c r="AQ440" s="232">
        <f>Table1[[#This Row],[PARKING VALUE]]*1</f>
        <v>236000</v>
      </c>
      <c r="AR440" s="232">
        <f t="shared" si="62"/>
        <v>6390024.5</v>
      </c>
      <c r="AS440" s="440">
        <f>Table1[[#This Row],[TOTAL CARS VALUE]]+Table1[[#This Row],[UNIT (BUILDING) VALUE BASIC FINISHED]]+Table1[[#This Row],[UNIT (GARDEN) VALUE]]</f>
        <v>6916524.5</v>
      </c>
      <c r="AT440" s="232">
        <f>Table1[[#This Row],[TOTAL CARS VALUE]]+Table1[[#This Row],[UNIT (GARDEN) VALUE]]+Table1[[#This Row],[UNIT (BUILDING) VALUE FULLY FINISHED]]</f>
        <v>7267524.5</v>
      </c>
      <c r="AU440" s="233">
        <f>VLOOKUP(I440,'C PHASES'!$I$108:$J$110,2,FALSE)</f>
        <v>46204</v>
      </c>
      <c r="AV440" s="233">
        <f>VLOOKUP(AA440,'C PHASES'!$I$113:$J$125,2,FALSE)</f>
        <v>45748</v>
      </c>
    </row>
    <row r="441" spans="1:48" x14ac:dyDescent="0.25">
      <c r="A441" s="236"/>
      <c r="B441" s="227" t="str">
        <f t="shared" si="61"/>
        <v>B</v>
      </c>
      <c r="C441" s="227" t="s">
        <v>81</v>
      </c>
      <c r="D441" s="227" t="s">
        <v>1147</v>
      </c>
      <c r="E441" s="228">
        <v>2</v>
      </c>
      <c r="F441" s="101">
        <v>1</v>
      </c>
      <c r="G441" s="87" t="str">
        <f t="shared" si="70"/>
        <v>B1421</v>
      </c>
      <c r="H441" s="87" t="s">
        <v>1294</v>
      </c>
      <c r="I441" s="89" t="str">
        <f>VLOOKUP(C441,'PREMIUM TABLES'!$G$107:$H$149,2,FALSE)</f>
        <v>C2</v>
      </c>
      <c r="J441" s="89">
        <v>143.989</v>
      </c>
      <c r="K441" s="87">
        <v>159.55285663504142</v>
      </c>
      <c r="L441" s="87">
        <v>176</v>
      </c>
      <c r="M441" s="89"/>
      <c r="N441" s="89"/>
      <c r="O441" s="87" t="s">
        <v>180</v>
      </c>
      <c r="P441" s="87" t="s">
        <v>226</v>
      </c>
      <c r="Q441" s="229" t="s">
        <v>198</v>
      </c>
      <c r="R441" s="87" t="str">
        <f>VLOOKUP(E441,'PREMIUM TABLES'!$F$214:$G$219,2,FALSE)</f>
        <v>SECOND</v>
      </c>
      <c r="S441" s="87" t="str" cm="1">
        <f t="array" ref="S441">IF(AND(L441&gt;0,L441&lt;90),"A",IF(AND(L441&gt;90,L441&lt;123),"B",IF(AND(L441&gt;122,L441&lt;159),"C",IF(AND(L441&gt;159,L441&lt;185),"D",IF(AND(L441&gt;185,L441&lt;230),"E",IF(AND(L441&gt;230,L441&lt;350),"F",NONE))))))</f>
        <v>D</v>
      </c>
      <c r="T441" s="230">
        <f>VLOOKUP(O441,'PREMIUM TABLES'!$G$165:$H$172,2,FALSE)</f>
        <v>0.13</v>
      </c>
      <c r="U441" s="230">
        <f>VLOOKUP(P441,'PREMIUM TABLES'!$G$208:$H$209,2,FALSE)</f>
        <v>0.05</v>
      </c>
      <c r="V441" s="230">
        <f>VLOOKUP(Q441,'PREMIUM TABLES'!$G$175:$H$195,2,FALSE)</f>
        <v>0.15</v>
      </c>
      <c r="W441" s="230">
        <f>VLOOKUP(R441,'PREMIUM TABLES'!$G$214:$H$219,2,FALSE)</f>
        <v>0.11</v>
      </c>
      <c r="X441" s="230">
        <f>VLOOKUP(S441,'PREMIUM TABLES'!$F$199:$H$205,3,FALSE)</f>
        <v>2.5000000000000001E-2</v>
      </c>
      <c r="Y441" s="231">
        <f t="shared" si="63"/>
        <v>0.46499999999999997</v>
      </c>
      <c r="Z441" s="231" t="str" cm="1">
        <f t="array" ref="Z441">IF(AND(Y441&gt;0,Y441&lt;0.5),"C",IF(AND(Y441&gt;=0.5,Y441&lt;0.73),"B",IF(AND(Y441&gt;=0.73,Y441&lt;0.98),"A",NONE)))</f>
        <v>C</v>
      </c>
      <c r="AA441" s="231" t="str">
        <f>VLOOKUP(G441,'ALL (R)'!$N$5:$R$862,5,FALSE)</f>
        <v>R 11</v>
      </c>
      <c r="AB441" s="232">
        <f>VLOOKUP(AA441,FACTS!$B$2:$L$14,10,FALSE)</f>
        <v>58649.999999999993</v>
      </c>
      <c r="AC441" s="232">
        <f>VLOOKUP(AA441,FACTS!$B$2:$L$14,11,FALSE)</f>
        <v>65550</v>
      </c>
      <c r="AD441" s="232">
        <f>VLOOKUP(AA441,FACTS!$B$2:$N$14,13,FALSE)</f>
        <v>6900.0000000000073</v>
      </c>
      <c r="AE441" s="232">
        <f t="shared" si="64"/>
        <v>3208.5000000000032</v>
      </c>
      <c r="AF441" s="232">
        <f t="shared" si="65"/>
        <v>61858.499999999993</v>
      </c>
      <c r="AG441" s="232">
        <f>AF441*FACTS!$T$2</f>
        <v>20413.305</v>
      </c>
      <c r="AH441" s="232">
        <f>Table1[[#This Row],[UNIT (BUILDING) RATE (SEMI FINISHED)]]+4500</f>
        <v>66358.5</v>
      </c>
      <c r="AI441" s="232">
        <f>Table1[[#This Row],[UNIT (BUILDING) RATE (SEMI FINISHED)]]+7500</f>
        <v>69358.5</v>
      </c>
      <c r="AJ441" s="232">
        <f t="shared" si="66"/>
        <v>10887095.999999998</v>
      </c>
      <c r="AK441" s="232">
        <f>Table1[[#This Row],[UNIT (BUILDING) RATE (BASIC FINISH)]]*Table1[[#This Row],[Unit Selling Area]]</f>
        <v>11679096</v>
      </c>
      <c r="AL441" s="232">
        <f>Table1[[#This Row],[UNIT (BUILDING) RATE (FULLY FINISH)]]*Table1[[#This Row],[Unit Selling Area]]</f>
        <v>12207096</v>
      </c>
      <c r="AM441" s="232">
        <f t="shared" si="67"/>
        <v>0</v>
      </c>
      <c r="AN441" s="232">
        <f>(AM441+AJ441)*FACTS!$S$2</f>
        <v>925403.15999999992</v>
      </c>
      <c r="AO441" s="101">
        <f>VLOOKUP(S441,FACTS!$A$17:$C$23,3,FALSE)</f>
        <v>2</v>
      </c>
      <c r="AP441" s="232">
        <f>VLOOKUP(AA441,FACTS!$B$2:$J$14,9,FALSE)</f>
        <v>276000</v>
      </c>
      <c r="AQ441" s="232">
        <f>Table1[[#This Row],[PARKING VALUE]]*1</f>
        <v>276000</v>
      </c>
      <c r="AR441" s="232">
        <f t="shared" si="62"/>
        <v>11163095.999999998</v>
      </c>
      <c r="AS441" s="440">
        <f>Table1[[#This Row],[TOTAL CARS VALUE]]+Table1[[#This Row],[UNIT (BUILDING) VALUE BASIC FINISHED]]+Table1[[#This Row],[UNIT (GARDEN) VALUE]]</f>
        <v>11955096</v>
      </c>
      <c r="AT441" s="232">
        <f>Table1[[#This Row],[TOTAL CARS VALUE]]+Table1[[#This Row],[UNIT (GARDEN) VALUE]]+Table1[[#This Row],[UNIT (BUILDING) VALUE FULLY FINISHED]]</f>
        <v>12483096</v>
      </c>
      <c r="AU441" s="233">
        <f>VLOOKUP(I441,'C PHASES'!$I$108:$J$110,2,FALSE)</f>
        <v>46204</v>
      </c>
      <c r="AV441" s="233">
        <f>VLOOKUP(AA441,'C PHASES'!$I$113:$J$125,2,FALSE)</f>
        <v>46113</v>
      </c>
    </row>
    <row r="442" spans="1:48" x14ac:dyDescent="0.25">
      <c r="A442" s="236"/>
      <c r="B442" s="227" t="str">
        <f t="shared" si="61"/>
        <v>B</v>
      </c>
      <c r="C442" s="227" t="s">
        <v>81</v>
      </c>
      <c r="D442" s="227" t="s">
        <v>1147</v>
      </c>
      <c r="E442" s="228">
        <v>2</v>
      </c>
      <c r="F442" s="101">
        <v>2</v>
      </c>
      <c r="G442" s="87" t="str">
        <f t="shared" si="70"/>
        <v>B1422</v>
      </c>
      <c r="H442" s="87" t="s">
        <v>1295</v>
      </c>
      <c r="I442" s="89" t="str">
        <f>VLOOKUP(C442,'PREMIUM TABLES'!$G$107:$H$149,2,FALSE)</f>
        <v>C2</v>
      </c>
      <c r="J442" s="89">
        <v>187.1</v>
      </c>
      <c r="K442" s="87">
        <v>207.32375026159116</v>
      </c>
      <c r="L442" s="87">
        <v>228</v>
      </c>
      <c r="M442" s="89"/>
      <c r="N442" s="89"/>
      <c r="O442" s="87" t="s">
        <v>187</v>
      </c>
      <c r="P442" s="87" t="s">
        <v>226</v>
      </c>
      <c r="Q442" s="229" t="s">
        <v>228</v>
      </c>
      <c r="R442" s="87" t="str">
        <f>VLOOKUP(E442,'PREMIUM TABLES'!$F$214:$G$219,2,FALSE)</f>
        <v>SECOND</v>
      </c>
      <c r="S442" s="87" t="str" cm="1">
        <f t="array" ref="S442">IF(AND(L442&gt;0,L442&lt;90),"A",IF(AND(L442&gt;90,L442&lt;123),"B",IF(AND(L442&gt;122,L442&lt;159),"C",IF(AND(L442&gt;159,L442&lt;185),"D",IF(AND(L442&gt;185,L442&lt;230),"E",IF(AND(L442&gt;230,L442&lt;350),"F",NONE))))))</f>
        <v>E</v>
      </c>
      <c r="T442" s="230">
        <f>VLOOKUP(O442,'PREMIUM TABLES'!$G$165:$H$172,2,FALSE)</f>
        <v>0.08</v>
      </c>
      <c r="U442" s="230">
        <f>VLOOKUP(P442,'PREMIUM TABLES'!$G$208:$H$209,2,FALSE)</f>
        <v>0.05</v>
      </c>
      <c r="V442" s="230">
        <f>VLOOKUP(Q442,'PREMIUM TABLES'!$G$175:$H$195,2,FALSE)</f>
        <v>0.42400000000000004</v>
      </c>
      <c r="W442" s="230">
        <f>VLOOKUP(R442,'PREMIUM TABLES'!$G$214:$H$219,2,FALSE)</f>
        <v>0.11</v>
      </c>
      <c r="X442" s="230">
        <f>VLOOKUP(S442,'PREMIUM TABLES'!$F$199:$H$205,3,FALSE)</f>
        <v>1.4999999999999999E-2</v>
      </c>
      <c r="Y442" s="231">
        <f t="shared" si="63"/>
        <v>0.67900000000000005</v>
      </c>
      <c r="Z442" s="231" t="str" cm="1">
        <f t="array" ref="Z442">IF(AND(Y442&gt;0,Y442&lt;0.5),"C",IF(AND(Y442&gt;=0.5,Y442&lt;0.73),"B",IF(AND(Y442&gt;=0.73,Y442&lt;0.98),"A",NONE)))</f>
        <v>B</v>
      </c>
      <c r="AA442" s="231" t="str">
        <f>VLOOKUP(G442,'ALL (R)'!$N$5:$R$862,5,FALSE)</f>
        <v>R 7</v>
      </c>
      <c r="AB442" s="232">
        <f>VLOOKUP(AA442,FACTS!$B$2:$L$14,10,FALSE)</f>
        <v>50150</v>
      </c>
      <c r="AC442" s="232">
        <f>VLOOKUP(AA442,FACTS!$B$2:$L$14,11,FALSE)</f>
        <v>56050</v>
      </c>
      <c r="AD442" s="232">
        <f>VLOOKUP(AA442,FACTS!$B$2:$N$14,13,FALSE)</f>
        <v>5900</v>
      </c>
      <c r="AE442" s="232">
        <f t="shared" si="64"/>
        <v>4006.1000000000004</v>
      </c>
      <c r="AF442" s="232">
        <f t="shared" si="65"/>
        <v>54156.1</v>
      </c>
      <c r="AG442" s="232">
        <f>AF442*FACTS!$T$2</f>
        <v>17871.512999999999</v>
      </c>
      <c r="AH442" s="232">
        <f>Table1[[#This Row],[UNIT (BUILDING) RATE (SEMI FINISHED)]]+4500</f>
        <v>58656.1</v>
      </c>
      <c r="AI442" s="232">
        <f>Table1[[#This Row],[UNIT (BUILDING) RATE (SEMI FINISHED)]]+7500</f>
        <v>61656.1</v>
      </c>
      <c r="AJ442" s="232">
        <f t="shared" si="66"/>
        <v>12347590.799999999</v>
      </c>
      <c r="AK442" s="232">
        <f>Table1[[#This Row],[UNIT (BUILDING) RATE (BASIC FINISH)]]*Table1[[#This Row],[Unit Selling Area]]</f>
        <v>13373590.799999999</v>
      </c>
      <c r="AL442" s="232">
        <f>Table1[[#This Row],[UNIT (BUILDING) RATE (FULLY FINISH)]]*Table1[[#This Row],[Unit Selling Area]]</f>
        <v>14057590.799999999</v>
      </c>
      <c r="AM442" s="232">
        <f t="shared" si="67"/>
        <v>0</v>
      </c>
      <c r="AN442" s="232">
        <f>(AM442+AJ442)*FACTS!$S$2</f>
        <v>1049545.2179999999</v>
      </c>
      <c r="AO442" s="101">
        <f>VLOOKUP(S442,FACTS!$A$17:$C$23,3,FALSE)</f>
        <v>2</v>
      </c>
      <c r="AP442" s="232">
        <f>VLOOKUP(AA442,FACTS!$B$2:$J$14,9,FALSE)</f>
        <v>236000</v>
      </c>
      <c r="AQ442" s="232">
        <f>Table1[[#This Row],[PARKING VALUE]]*1</f>
        <v>236000</v>
      </c>
      <c r="AR442" s="232">
        <f t="shared" si="62"/>
        <v>12583590.799999999</v>
      </c>
      <c r="AS442" s="440">
        <f>Table1[[#This Row],[TOTAL CARS VALUE]]+Table1[[#This Row],[UNIT (BUILDING) VALUE BASIC FINISHED]]+Table1[[#This Row],[UNIT (GARDEN) VALUE]]</f>
        <v>13609590.799999999</v>
      </c>
      <c r="AT442" s="232">
        <f>Table1[[#This Row],[TOTAL CARS VALUE]]+Table1[[#This Row],[UNIT (GARDEN) VALUE]]+Table1[[#This Row],[UNIT (BUILDING) VALUE FULLY FINISHED]]</f>
        <v>14293590.799999999</v>
      </c>
      <c r="AU442" s="233">
        <f>VLOOKUP(I442,'C PHASES'!$I$108:$J$110,2,FALSE)</f>
        <v>46204</v>
      </c>
      <c r="AV442" s="233">
        <f>VLOOKUP(AA442,'C PHASES'!$I$113:$J$125,2,FALSE)</f>
        <v>45748</v>
      </c>
    </row>
    <row r="443" spans="1:48" x14ac:dyDescent="0.25">
      <c r="A443" s="236"/>
      <c r="B443" s="227" t="str">
        <f t="shared" si="61"/>
        <v>B</v>
      </c>
      <c r="C443" s="227" t="s">
        <v>81</v>
      </c>
      <c r="D443" s="227" t="s">
        <v>1147</v>
      </c>
      <c r="E443" s="228">
        <v>2</v>
      </c>
      <c r="F443" s="101">
        <v>3</v>
      </c>
      <c r="G443" s="87" t="str">
        <f t="shared" si="70"/>
        <v>B1423</v>
      </c>
      <c r="H443" s="87" t="s">
        <v>1294</v>
      </c>
      <c r="I443" s="89" t="str">
        <f>VLOOKUP(C443,'PREMIUM TABLES'!$G$107:$H$149,2,FALSE)</f>
        <v>C2</v>
      </c>
      <c r="J443" s="89">
        <v>167.16900000000001</v>
      </c>
      <c r="K443" s="87">
        <v>185.23839661934761</v>
      </c>
      <c r="L443" s="87">
        <v>204</v>
      </c>
      <c r="M443" s="89"/>
      <c r="N443" s="89"/>
      <c r="O443" s="87" t="s">
        <v>187</v>
      </c>
      <c r="P443" s="87" t="s">
        <v>190</v>
      </c>
      <c r="Q443" s="229" t="s">
        <v>210</v>
      </c>
      <c r="R443" s="87" t="str">
        <f>VLOOKUP(E443,'PREMIUM TABLES'!$F$214:$G$219,2,FALSE)</f>
        <v>SECOND</v>
      </c>
      <c r="S443" s="87" t="str" cm="1">
        <f t="array" ref="S443">IF(AND(L443&gt;0,L443&lt;90),"A",IF(AND(L443&gt;90,L443&lt;123),"B",IF(AND(L443&gt;122,L443&lt;159),"C",IF(AND(L443&gt;159,L443&lt;185),"D",IF(AND(L443&gt;185,L443&lt;230),"E",IF(AND(L443&gt;230,L443&lt;350),"F",NONE))))))</f>
        <v>E</v>
      </c>
      <c r="T443" s="230">
        <f>VLOOKUP(O443,'PREMIUM TABLES'!$G$165:$H$172,2,FALSE)</f>
        <v>0.08</v>
      </c>
      <c r="U443" s="230">
        <f>VLOOKUP(P443,'PREMIUM TABLES'!$G$208:$H$209,2,FALSE)</f>
        <v>2.5000000000000001E-2</v>
      </c>
      <c r="V443" s="230">
        <f>VLOOKUP(Q443,'PREMIUM TABLES'!$G$175:$H$195,2,FALSE)</f>
        <v>0.53</v>
      </c>
      <c r="W443" s="230">
        <f>VLOOKUP(R443,'PREMIUM TABLES'!$G$214:$H$219,2,FALSE)</f>
        <v>0.11</v>
      </c>
      <c r="X443" s="230">
        <f>VLOOKUP(S443,'PREMIUM TABLES'!$F$199:$H$205,3,FALSE)</f>
        <v>1.4999999999999999E-2</v>
      </c>
      <c r="Y443" s="231">
        <f t="shared" si="63"/>
        <v>0.76</v>
      </c>
      <c r="Z443" s="231" t="str" cm="1">
        <f t="array" ref="Z443">IF(AND(Y443&gt;0,Y443&lt;0.5),"C",IF(AND(Y443&gt;=0.5,Y443&lt;0.73),"B",IF(AND(Y443&gt;=0.73,Y443&lt;0.98),"A",NONE)))</f>
        <v>A</v>
      </c>
      <c r="AA443" s="231" t="str">
        <f>VLOOKUP(G443,'ALL (R)'!$N$5:$R$862,5,FALSE)</f>
        <v>R 2</v>
      </c>
      <c r="AB443" s="232">
        <f>VLOOKUP(AA443,FACTS!$B$2:$L$14,10,FALSE)</f>
        <v>43562.499999999993</v>
      </c>
      <c r="AC443" s="232">
        <f>VLOOKUP(AA443,FACTS!$B$2:$L$14,11,FALSE)</f>
        <v>48687.499999999993</v>
      </c>
      <c r="AD443" s="232">
        <f>VLOOKUP(AA443,FACTS!$B$2:$N$14,13,FALSE)</f>
        <v>5125</v>
      </c>
      <c r="AE443" s="232">
        <f t="shared" si="64"/>
        <v>3895</v>
      </c>
      <c r="AF443" s="232">
        <f t="shared" si="65"/>
        <v>47457.499999999993</v>
      </c>
      <c r="AG443" s="232">
        <f>AF443*FACTS!$T$2</f>
        <v>15660.974999999999</v>
      </c>
      <c r="AH443" s="232">
        <f>Table1[[#This Row],[UNIT (BUILDING) RATE (SEMI FINISHED)]]+4500</f>
        <v>51957.499999999993</v>
      </c>
      <c r="AI443" s="232">
        <f>Table1[[#This Row],[UNIT (BUILDING) RATE (SEMI FINISHED)]]+7500</f>
        <v>54957.499999999993</v>
      </c>
      <c r="AJ443" s="232">
        <f t="shared" si="66"/>
        <v>9681329.9999999981</v>
      </c>
      <c r="AK443" s="232">
        <f>Table1[[#This Row],[UNIT (BUILDING) RATE (BASIC FINISH)]]*Table1[[#This Row],[Unit Selling Area]]</f>
        <v>10599329.999999998</v>
      </c>
      <c r="AL443" s="232">
        <f>Table1[[#This Row],[UNIT (BUILDING) RATE (FULLY FINISH)]]*Table1[[#This Row],[Unit Selling Area]]</f>
        <v>11211329.999999998</v>
      </c>
      <c r="AM443" s="232">
        <f t="shared" si="67"/>
        <v>0</v>
      </c>
      <c r="AN443" s="232">
        <f>(AM443+AJ443)*FACTS!$S$2</f>
        <v>822913.04999999993</v>
      </c>
      <c r="AO443" s="101">
        <f>VLOOKUP(S443,FACTS!$A$17:$C$23,3,FALSE)</f>
        <v>2</v>
      </c>
      <c r="AP443" s="232">
        <f>VLOOKUP(AA443,FACTS!$B$2:$J$14,9,FALSE)</f>
        <v>204999.99999999997</v>
      </c>
      <c r="AQ443" s="232">
        <f>Table1[[#This Row],[PARKING VALUE]]*1</f>
        <v>204999.99999999997</v>
      </c>
      <c r="AR443" s="232">
        <f t="shared" si="62"/>
        <v>9886329.9999999981</v>
      </c>
      <c r="AS443" s="440">
        <f>Table1[[#This Row],[TOTAL CARS VALUE]]+Table1[[#This Row],[UNIT (BUILDING) VALUE BASIC FINISHED]]+Table1[[#This Row],[UNIT (GARDEN) VALUE]]</f>
        <v>10804329.999999998</v>
      </c>
      <c r="AT443" s="232">
        <f>Table1[[#This Row],[TOTAL CARS VALUE]]+Table1[[#This Row],[UNIT (GARDEN) VALUE]]+Table1[[#This Row],[UNIT (BUILDING) VALUE FULLY FINISHED]]</f>
        <v>11416329.999999998</v>
      </c>
      <c r="AU443" s="233">
        <f>VLOOKUP(I443,'C PHASES'!$I$108:$J$110,2,FALSE)</f>
        <v>46204</v>
      </c>
      <c r="AV443" s="233">
        <f>VLOOKUP(AA443,'C PHASES'!$I$113:$J$125,2,FALSE)</f>
        <v>45292</v>
      </c>
    </row>
    <row r="444" spans="1:48" x14ac:dyDescent="0.25">
      <c r="A444" s="236"/>
      <c r="B444" s="227" t="str">
        <f t="shared" si="61"/>
        <v>B</v>
      </c>
      <c r="C444" s="227" t="s">
        <v>81</v>
      </c>
      <c r="D444" s="227" t="s">
        <v>1147</v>
      </c>
      <c r="E444" s="228">
        <v>2</v>
      </c>
      <c r="F444" s="101">
        <v>4</v>
      </c>
      <c r="G444" s="87" t="str">
        <f t="shared" si="70"/>
        <v>B1424</v>
      </c>
      <c r="H444" s="87" t="s">
        <v>1294</v>
      </c>
      <c r="I444" s="89" t="str">
        <f>VLOOKUP(C444,'PREMIUM TABLES'!$G$107:$H$149,2,FALSE)</f>
        <v>C2</v>
      </c>
      <c r="J444" s="89">
        <v>141.18700000000001</v>
      </c>
      <c r="K444" s="87">
        <v>156.44798678879354</v>
      </c>
      <c r="L444" s="87">
        <v>172</v>
      </c>
      <c r="M444" s="89"/>
      <c r="N444" s="89"/>
      <c r="O444" s="87" t="s">
        <v>180</v>
      </c>
      <c r="P444" s="87" t="s">
        <v>190</v>
      </c>
      <c r="Q444" s="229" t="s">
        <v>198</v>
      </c>
      <c r="R444" s="87" t="str">
        <f>VLOOKUP(E444,'PREMIUM TABLES'!$F$214:$G$219,2,FALSE)</f>
        <v>SECOND</v>
      </c>
      <c r="S444" s="87" t="str" cm="1">
        <f t="array" ref="S444">IF(AND(L444&gt;0,L444&lt;90),"A",IF(AND(L444&gt;90,L444&lt;123),"B",IF(AND(L444&gt;122,L444&lt;159),"C",IF(AND(L444&gt;159,L444&lt;185),"D",IF(AND(L444&gt;185,L444&lt;230),"E",IF(AND(L444&gt;230,L444&lt;350),"F",NONE))))))</f>
        <v>D</v>
      </c>
      <c r="T444" s="230">
        <f>VLOOKUP(O444,'PREMIUM TABLES'!$G$165:$H$172,2,FALSE)</f>
        <v>0.13</v>
      </c>
      <c r="U444" s="230">
        <f>VLOOKUP(P444,'PREMIUM TABLES'!$G$208:$H$209,2,FALSE)</f>
        <v>2.5000000000000001E-2</v>
      </c>
      <c r="V444" s="230">
        <f>VLOOKUP(Q444,'PREMIUM TABLES'!$G$175:$H$195,2,FALSE)</f>
        <v>0.15</v>
      </c>
      <c r="W444" s="230">
        <f>VLOOKUP(R444,'PREMIUM TABLES'!$G$214:$H$219,2,FALSE)</f>
        <v>0.11</v>
      </c>
      <c r="X444" s="230">
        <f>VLOOKUP(S444,'PREMIUM TABLES'!$F$199:$H$205,3,FALSE)</f>
        <v>2.5000000000000001E-2</v>
      </c>
      <c r="Y444" s="231">
        <f t="shared" si="63"/>
        <v>0.44</v>
      </c>
      <c r="Z444" s="231" t="str" cm="1">
        <f t="array" ref="Z444">IF(AND(Y444&gt;0,Y444&lt;0.5),"C",IF(AND(Y444&gt;=0.5,Y444&lt;0.73),"B",IF(AND(Y444&gt;=0.73,Y444&lt;0.98),"A",NONE)))</f>
        <v>C</v>
      </c>
      <c r="AA444" s="231" t="str">
        <f>VLOOKUP(G444,'ALL (R)'!$N$5:$R$862,5,FALSE)</f>
        <v>R 8</v>
      </c>
      <c r="AB444" s="232">
        <f>VLOOKUP(AA444,FACTS!$B$2:$L$14,10,FALSE)</f>
        <v>51850</v>
      </c>
      <c r="AC444" s="232">
        <f>VLOOKUP(AA444,FACTS!$B$2:$L$14,11,FALSE)</f>
        <v>57950</v>
      </c>
      <c r="AD444" s="232">
        <f>VLOOKUP(AA444,FACTS!$B$2:$N$14,13,FALSE)</f>
        <v>6100</v>
      </c>
      <c r="AE444" s="232">
        <f t="shared" si="64"/>
        <v>2684</v>
      </c>
      <c r="AF444" s="232">
        <f t="shared" si="65"/>
        <v>54534</v>
      </c>
      <c r="AG444" s="232">
        <f>AF444*FACTS!$T$2</f>
        <v>17996.22</v>
      </c>
      <c r="AH444" s="232">
        <f>Table1[[#This Row],[UNIT (BUILDING) RATE (SEMI FINISHED)]]+4500</f>
        <v>59034</v>
      </c>
      <c r="AI444" s="232">
        <f>Table1[[#This Row],[UNIT (BUILDING) RATE (SEMI FINISHED)]]+7500</f>
        <v>62034</v>
      </c>
      <c r="AJ444" s="232">
        <f t="shared" si="66"/>
        <v>9379848</v>
      </c>
      <c r="AK444" s="232">
        <f>Table1[[#This Row],[UNIT (BUILDING) RATE (BASIC FINISH)]]*Table1[[#This Row],[Unit Selling Area]]</f>
        <v>10153848</v>
      </c>
      <c r="AL444" s="232">
        <f>Table1[[#This Row],[UNIT (BUILDING) RATE (FULLY FINISH)]]*Table1[[#This Row],[Unit Selling Area]]</f>
        <v>10669848</v>
      </c>
      <c r="AM444" s="232">
        <f t="shared" si="67"/>
        <v>0</v>
      </c>
      <c r="AN444" s="232">
        <f>(AM444+AJ444)*FACTS!$S$2</f>
        <v>797287.08000000007</v>
      </c>
      <c r="AO444" s="101">
        <f>VLOOKUP(S444,FACTS!$A$17:$C$23,3,FALSE)</f>
        <v>2</v>
      </c>
      <c r="AP444" s="232">
        <f>VLOOKUP(AA444,FACTS!$B$2:$J$14,9,FALSE)</f>
        <v>244000</v>
      </c>
      <c r="AQ444" s="232">
        <f>Table1[[#This Row],[PARKING VALUE]]*1</f>
        <v>244000</v>
      </c>
      <c r="AR444" s="232">
        <f t="shared" si="62"/>
        <v>9623848</v>
      </c>
      <c r="AS444" s="440">
        <f>Table1[[#This Row],[TOTAL CARS VALUE]]+Table1[[#This Row],[UNIT (BUILDING) VALUE BASIC FINISHED]]+Table1[[#This Row],[UNIT (GARDEN) VALUE]]</f>
        <v>10397848</v>
      </c>
      <c r="AT444" s="232">
        <f>Table1[[#This Row],[TOTAL CARS VALUE]]+Table1[[#This Row],[UNIT (GARDEN) VALUE]]+Table1[[#This Row],[UNIT (BUILDING) VALUE FULLY FINISHED]]</f>
        <v>10913848</v>
      </c>
      <c r="AU444" s="233">
        <f>VLOOKUP(I444,'C PHASES'!$I$108:$J$110,2,FALSE)</f>
        <v>46204</v>
      </c>
      <c r="AV444" s="233">
        <f>VLOOKUP(AA444,'C PHASES'!$I$113:$J$125,2,FALSE)</f>
        <v>45839</v>
      </c>
    </row>
    <row r="445" spans="1:48" x14ac:dyDescent="0.25">
      <c r="A445" s="236"/>
      <c r="B445" s="227" t="str">
        <f t="shared" si="61"/>
        <v>B</v>
      </c>
      <c r="C445" s="227" t="s">
        <v>81</v>
      </c>
      <c r="D445" s="227" t="s">
        <v>1147</v>
      </c>
      <c r="E445" s="228">
        <v>3</v>
      </c>
      <c r="F445" s="101">
        <v>1</v>
      </c>
      <c r="G445" s="87" t="str">
        <f t="shared" si="70"/>
        <v>B1431</v>
      </c>
      <c r="H445" s="87" t="s">
        <v>1294</v>
      </c>
      <c r="I445" s="89" t="str">
        <f>VLOOKUP(C445,'PREMIUM TABLES'!$G$107:$H$149,2,FALSE)</f>
        <v>C2</v>
      </c>
      <c r="J445" s="89">
        <v>143.89599999999999</v>
      </c>
      <c r="K445" s="87">
        <v>159.44980420973766</v>
      </c>
      <c r="L445" s="87">
        <v>176</v>
      </c>
      <c r="M445" s="89"/>
      <c r="N445" s="89"/>
      <c r="O445" s="87" t="s">
        <v>180</v>
      </c>
      <c r="P445" s="87" t="s">
        <v>226</v>
      </c>
      <c r="Q445" s="229" t="s">
        <v>198</v>
      </c>
      <c r="R445" s="87" t="str">
        <f>VLOOKUP(E445,'PREMIUM TABLES'!$F$214:$G$219,2,FALSE)</f>
        <v>THIRD</v>
      </c>
      <c r="S445" s="87" t="str" cm="1">
        <f t="array" ref="S445">IF(AND(L445&gt;0,L445&lt;90),"A",IF(AND(L445&gt;90,L445&lt;123),"B",IF(AND(L445&gt;122,L445&lt;159),"C",IF(AND(L445&gt;159,L445&lt;185),"D",IF(AND(L445&gt;185,L445&lt;230),"E",IF(AND(L445&gt;230,L445&lt;350),"F",NONE))))))</f>
        <v>D</v>
      </c>
      <c r="T445" s="230">
        <f>VLOOKUP(O445,'PREMIUM TABLES'!$G$165:$H$172,2,FALSE)</f>
        <v>0.13</v>
      </c>
      <c r="U445" s="230">
        <f>VLOOKUP(P445,'PREMIUM TABLES'!$G$208:$H$209,2,FALSE)</f>
        <v>0.05</v>
      </c>
      <c r="V445" s="230">
        <f>VLOOKUP(Q445,'PREMIUM TABLES'!$G$175:$H$195,2,FALSE)</f>
        <v>0.15</v>
      </c>
      <c r="W445" s="230">
        <f>VLOOKUP(R445,'PREMIUM TABLES'!$G$214:$H$219,2,FALSE)</f>
        <v>0.15</v>
      </c>
      <c r="X445" s="230">
        <f>VLOOKUP(S445,'PREMIUM TABLES'!$F$199:$H$205,3,FALSE)</f>
        <v>2.5000000000000001E-2</v>
      </c>
      <c r="Y445" s="231">
        <f t="shared" si="63"/>
        <v>0.505</v>
      </c>
      <c r="Z445" s="231" t="str" cm="1">
        <f t="array" ref="Z445">IF(AND(Y445&gt;0,Y445&lt;0.5),"C",IF(AND(Y445&gt;=0.5,Y445&lt;0.73),"B",IF(AND(Y445&gt;=0.73,Y445&lt;0.98),"A",NONE)))</f>
        <v>B</v>
      </c>
      <c r="AA445" s="231" t="str">
        <f>VLOOKUP(G445,'ALL (R)'!$N$5:$R$862,5,FALSE)</f>
        <v>R 1</v>
      </c>
      <c r="AB445" s="232">
        <f>VLOOKUP(AA445,FACTS!$B$2:$L$14,10,FALSE)</f>
        <v>42500</v>
      </c>
      <c r="AC445" s="232">
        <f>VLOOKUP(AA445,FACTS!$B$2:$L$14,11,FALSE)</f>
        <v>47500</v>
      </c>
      <c r="AD445" s="232">
        <f>VLOOKUP(AA445,FACTS!$B$2:$N$14,13,FALSE)</f>
        <v>5000</v>
      </c>
      <c r="AE445" s="232">
        <f t="shared" si="64"/>
        <v>2525</v>
      </c>
      <c r="AF445" s="232">
        <f t="shared" si="65"/>
        <v>45025</v>
      </c>
      <c r="AG445" s="232">
        <f>AF445*FACTS!$T$2</f>
        <v>14858.25</v>
      </c>
      <c r="AH445" s="232">
        <f>Table1[[#This Row],[UNIT (BUILDING) RATE (SEMI FINISHED)]]+4500</f>
        <v>49525</v>
      </c>
      <c r="AI445" s="232">
        <f>Table1[[#This Row],[UNIT (BUILDING) RATE (SEMI FINISHED)]]+7500</f>
        <v>52525</v>
      </c>
      <c r="AJ445" s="232">
        <f t="shared" si="66"/>
        <v>7924400</v>
      </c>
      <c r="AK445" s="232">
        <f>Table1[[#This Row],[UNIT (BUILDING) RATE (BASIC FINISH)]]*Table1[[#This Row],[Unit Selling Area]]</f>
        <v>8716400</v>
      </c>
      <c r="AL445" s="232">
        <f>Table1[[#This Row],[UNIT (BUILDING) RATE (FULLY FINISH)]]*Table1[[#This Row],[Unit Selling Area]]</f>
        <v>9244400</v>
      </c>
      <c r="AM445" s="232">
        <f t="shared" si="67"/>
        <v>0</v>
      </c>
      <c r="AN445" s="232">
        <f>(AM445+AJ445)*FACTS!$S$2</f>
        <v>673574</v>
      </c>
      <c r="AO445" s="101">
        <f>VLOOKUP(S445,FACTS!$A$17:$C$23,3,FALSE)</f>
        <v>2</v>
      </c>
      <c r="AP445" s="232">
        <f>VLOOKUP(AA445,FACTS!$B$2:$J$14,9,FALSE)</f>
        <v>200000</v>
      </c>
      <c r="AQ445" s="232">
        <f>Table1[[#This Row],[PARKING VALUE]]*1</f>
        <v>200000</v>
      </c>
      <c r="AR445" s="232">
        <f t="shared" si="62"/>
        <v>8124400</v>
      </c>
      <c r="AS445" s="440">
        <f>Table1[[#This Row],[TOTAL CARS VALUE]]+Table1[[#This Row],[UNIT (BUILDING) VALUE BASIC FINISHED]]+Table1[[#This Row],[UNIT (GARDEN) VALUE]]</f>
        <v>8916400</v>
      </c>
      <c r="AT445" s="232">
        <f>Table1[[#This Row],[TOTAL CARS VALUE]]+Table1[[#This Row],[UNIT (GARDEN) VALUE]]+Table1[[#This Row],[UNIT (BUILDING) VALUE FULLY FINISHED]]</f>
        <v>9444400</v>
      </c>
      <c r="AU445" s="233">
        <f>VLOOKUP(I445,'C PHASES'!$I$108:$J$110,2,FALSE)</f>
        <v>46204</v>
      </c>
      <c r="AV445" s="233">
        <f>VLOOKUP(AA445,'C PHASES'!$I$113:$J$125,2,FALSE)</f>
        <v>45170</v>
      </c>
    </row>
    <row r="446" spans="1:48" x14ac:dyDescent="0.25">
      <c r="A446" s="236"/>
      <c r="B446" s="227" t="str">
        <f t="shared" ref="B446:B507" si="71">LEFT(C446,1)</f>
        <v>B</v>
      </c>
      <c r="C446" s="227" t="s">
        <v>81</v>
      </c>
      <c r="D446" s="227" t="s">
        <v>1147</v>
      </c>
      <c r="E446" s="228">
        <v>3</v>
      </c>
      <c r="F446" s="101">
        <v>2</v>
      </c>
      <c r="G446" s="87" t="str">
        <f t="shared" si="70"/>
        <v>B1432</v>
      </c>
      <c r="H446" s="87" t="s">
        <v>1295</v>
      </c>
      <c r="I446" s="89" t="str">
        <f>VLOOKUP(C446,'PREMIUM TABLES'!$G$107:$H$149,2,FALSE)</f>
        <v>C2</v>
      </c>
      <c r="J446" s="89">
        <v>187.20400000000001</v>
      </c>
      <c r="K446" s="87">
        <v>207.4389916834362</v>
      </c>
      <c r="L446" s="87">
        <v>228</v>
      </c>
      <c r="M446" s="89"/>
      <c r="N446" s="89"/>
      <c r="O446" s="87" t="s">
        <v>187</v>
      </c>
      <c r="P446" s="87" t="s">
        <v>226</v>
      </c>
      <c r="Q446" s="229" t="s">
        <v>228</v>
      </c>
      <c r="R446" s="87" t="str">
        <f>VLOOKUP(E446,'PREMIUM TABLES'!$F$214:$G$219,2,FALSE)</f>
        <v>THIRD</v>
      </c>
      <c r="S446" s="87" t="str" cm="1">
        <f t="array" ref="S446">IF(AND(L446&gt;0,L446&lt;90),"A",IF(AND(L446&gt;90,L446&lt;123),"B",IF(AND(L446&gt;122,L446&lt;159),"C",IF(AND(L446&gt;159,L446&lt;185),"D",IF(AND(L446&gt;185,L446&lt;230),"E",IF(AND(L446&gt;230,L446&lt;350),"F",NONE))))))</f>
        <v>E</v>
      </c>
      <c r="T446" s="230">
        <f>VLOOKUP(O446,'PREMIUM TABLES'!$G$165:$H$172,2,FALSE)</f>
        <v>0.08</v>
      </c>
      <c r="U446" s="230">
        <f>VLOOKUP(P446,'PREMIUM TABLES'!$G$208:$H$209,2,FALSE)</f>
        <v>0.05</v>
      </c>
      <c r="V446" s="230">
        <f>VLOOKUP(Q446,'PREMIUM TABLES'!$G$175:$H$195,2,FALSE)</f>
        <v>0.42400000000000004</v>
      </c>
      <c r="W446" s="230">
        <f>VLOOKUP(R446,'PREMIUM TABLES'!$G$214:$H$219,2,FALSE)</f>
        <v>0.15</v>
      </c>
      <c r="X446" s="230">
        <f>VLOOKUP(S446,'PREMIUM TABLES'!$F$199:$H$205,3,FALSE)</f>
        <v>1.4999999999999999E-2</v>
      </c>
      <c r="Y446" s="231">
        <f t="shared" si="63"/>
        <v>0.71900000000000008</v>
      </c>
      <c r="Z446" s="231" t="str" cm="1">
        <f t="array" ref="Z446">IF(AND(Y446&gt;0,Y446&lt;0.5),"C",IF(AND(Y446&gt;=0.5,Y446&lt;0.73),"B",IF(AND(Y446&gt;=0.73,Y446&lt;0.98),"A",NONE)))</f>
        <v>B</v>
      </c>
      <c r="AA446" s="231" t="str">
        <f>VLOOKUP(G446,'ALL (R)'!$N$5:$R$862,5,FALSE)</f>
        <v>R 12</v>
      </c>
      <c r="AB446" s="232">
        <f>VLOOKUP(AA446,FACTS!$B$2:$L$14,10,FALSE)</f>
        <v>61625</v>
      </c>
      <c r="AC446" s="232">
        <f>VLOOKUP(AA446,FACTS!$B$2:$L$14,11,FALSE)</f>
        <v>68875</v>
      </c>
      <c r="AD446" s="232">
        <f>VLOOKUP(AA446,FACTS!$B$2:$N$14,13,FALSE)</f>
        <v>7250</v>
      </c>
      <c r="AE446" s="232">
        <f t="shared" si="64"/>
        <v>5212.7500000000009</v>
      </c>
      <c r="AF446" s="232">
        <f t="shared" si="65"/>
        <v>66837.75</v>
      </c>
      <c r="AG446" s="232">
        <f>AF446*FACTS!$T$2</f>
        <v>22056.4575</v>
      </c>
      <c r="AH446" s="232">
        <f>Table1[[#This Row],[UNIT (BUILDING) RATE (SEMI FINISHED)]]+4500</f>
        <v>71337.75</v>
      </c>
      <c r="AI446" s="232">
        <f>Table1[[#This Row],[UNIT (BUILDING) RATE (SEMI FINISHED)]]+7500</f>
        <v>74337.75</v>
      </c>
      <c r="AJ446" s="232">
        <f t="shared" si="66"/>
        <v>15239007</v>
      </c>
      <c r="AK446" s="232">
        <f>Table1[[#This Row],[UNIT (BUILDING) RATE (BASIC FINISH)]]*Table1[[#This Row],[Unit Selling Area]]</f>
        <v>16265007</v>
      </c>
      <c r="AL446" s="232">
        <f>Table1[[#This Row],[UNIT (BUILDING) RATE (FULLY FINISH)]]*Table1[[#This Row],[Unit Selling Area]]</f>
        <v>16949007</v>
      </c>
      <c r="AM446" s="232">
        <f t="shared" si="67"/>
        <v>0</v>
      </c>
      <c r="AN446" s="232">
        <f>(AM446+AJ446)*FACTS!$S$2</f>
        <v>1295315.5950000002</v>
      </c>
      <c r="AO446" s="101">
        <f>VLOOKUP(S446,FACTS!$A$17:$C$23,3,FALSE)</f>
        <v>2</v>
      </c>
      <c r="AP446" s="232">
        <f>VLOOKUP(AA446,FACTS!$B$2:$J$14,9,FALSE)</f>
        <v>290000</v>
      </c>
      <c r="AQ446" s="232">
        <f>Table1[[#This Row],[PARKING VALUE]]*1</f>
        <v>290000</v>
      </c>
      <c r="AR446" s="232">
        <f t="shared" si="62"/>
        <v>15529007</v>
      </c>
      <c r="AS446" s="440">
        <f>Table1[[#This Row],[TOTAL CARS VALUE]]+Table1[[#This Row],[UNIT (BUILDING) VALUE BASIC FINISHED]]+Table1[[#This Row],[UNIT (GARDEN) VALUE]]</f>
        <v>16555007</v>
      </c>
      <c r="AT446" s="232">
        <f>Table1[[#This Row],[TOTAL CARS VALUE]]+Table1[[#This Row],[UNIT (GARDEN) VALUE]]+Table1[[#This Row],[UNIT (BUILDING) VALUE FULLY FINISHED]]</f>
        <v>17239007</v>
      </c>
      <c r="AU446" s="233">
        <f>VLOOKUP(I446,'C PHASES'!$I$108:$J$110,2,FALSE)</f>
        <v>46204</v>
      </c>
      <c r="AV446" s="233">
        <f>VLOOKUP(AA446,'C PHASES'!$I$113:$J$125,2,FALSE)</f>
        <v>46204</v>
      </c>
    </row>
    <row r="447" spans="1:48" x14ac:dyDescent="0.25">
      <c r="A447" s="236"/>
      <c r="B447" s="227" t="str">
        <f t="shared" si="71"/>
        <v>B</v>
      </c>
      <c r="C447" s="227" t="s">
        <v>81</v>
      </c>
      <c r="D447" s="227" t="s">
        <v>1147</v>
      </c>
      <c r="E447" s="228">
        <v>3</v>
      </c>
      <c r="F447" s="101">
        <v>3</v>
      </c>
      <c r="G447" s="87" t="str">
        <f t="shared" si="70"/>
        <v>B1433</v>
      </c>
      <c r="H447" s="87" t="s">
        <v>1294</v>
      </c>
      <c r="I447" s="89" t="str">
        <f>VLOOKUP(C447,'PREMIUM TABLES'!$G$107:$H$149,2,FALSE)</f>
        <v>C2</v>
      </c>
      <c r="J447" s="89">
        <v>164.417</v>
      </c>
      <c r="K447" s="87">
        <v>182.18893130283288</v>
      </c>
      <c r="L447" s="87">
        <v>201</v>
      </c>
      <c r="M447" s="89"/>
      <c r="N447" s="89"/>
      <c r="O447" s="87" t="s">
        <v>187</v>
      </c>
      <c r="P447" s="87" t="s">
        <v>190</v>
      </c>
      <c r="Q447" s="229" t="s">
        <v>210</v>
      </c>
      <c r="R447" s="87" t="str">
        <f>VLOOKUP(E447,'PREMIUM TABLES'!$F$214:$G$219,2,FALSE)</f>
        <v>THIRD</v>
      </c>
      <c r="S447" s="87" t="str" cm="1">
        <f t="array" ref="S447">IF(AND(L447&gt;0,L447&lt;90),"A",IF(AND(L447&gt;90,L447&lt;123),"B",IF(AND(L447&gt;122,L447&lt;159),"C",IF(AND(L447&gt;159,L447&lt;185),"D",IF(AND(L447&gt;185,L447&lt;230),"E",IF(AND(L447&gt;230,L447&lt;350),"F",NONE))))))</f>
        <v>E</v>
      </c>
      <c r="T447" s="230">
        <f>VLOOKUP(O447,'PREMIUM TABLES'!$G$165:$H$172,2,FALSE)</f>
        <v>0.08</v>
      </c>
      <c r="U447" s="230">
        <f>VLOOKUP(P447,'PREMIUM TABLES'!$G$208:$H$209,2,FALSE)</f>
        <v>2.5000000000000001E-2</v>
      </c>
      <c r="V447" s="230">
        <f>VLOOKUP(Q447,'PREMIUM TABLES'!$G$175:$H$195,2,FALSE)</f>
        <v>0.53</v>
      </c>
      <c r="W447" s="230">
        <f>VLOOKUP(R447,'PREMIUM TABLES'!$G$214:$H$219,2,FALSE)</f>
        <v>0.15</v>
      </c>
      <c r="X447" s="230">
        <f>VLOOKUP(S447,'PREMIUM TABLES'!$F$199:$H$205,3,FALSE)</f>
        <v>1.4999999999999999E-2</v>
      </c>
      <c r="Y447" s="231">
        <f t="shared" si="63"/>
        <v>0.8</v>
      </c>
      <c r="Z447" s="231" t="str" cm="1">
        <f t="array" ref="Z447">IF(AND(Y447&gt;0,Y447&lt;0.5),"C",IF(AND(Y447&gt;=0.5,Y447&lt;0.73),"B",IF(AND(Y447&gt;=0.73,Y447&lt;0.98),"A",NONE)))</f>
        <v>A</v>
      </c>
      <c r="AA447" s="231" t="str">
        <f>VLOOKUP(G447,'ALL (R)'!$N$5:$R$862,5,FALSE)</f>
        <v>R 6</v>
      </c>
      <c r="AB447" s="232">
        <f>VLOOKUP(AA447,FACTS!$B$2:$L$14,10,FALSE)</f>
        <v>48450.000000000007</v>
      </c>
      <c r="AC447" s="232">
        <f>VLOOKUP(AA447,FACTS!$B$2:$L$14,11,FALSE)</f>
        <v>54150.000000000007</v>
      </c>
      <c r="AD447" s="232">
        <f>VLOOKUP(AA447,FACTS!$B$2:$N$14,13,FALSE)</f>
        <v>5700</v>
      </c>
      <c r="AE447" s="232">
        <f t="shared" si="64"/>
        <v>4560</v>
      </c>
      <c r="AF447" s="232">
        <f t="shared" si="65"/>
        <v>53010.000000000007</v>
      </c>
      <c r="AG447" s="232">
        <f>AF447*FACTS!$T$2</f>
        <v>17493.300000000003</v>
      </c>
      <c r="AH447" s="232">
        <f>Table1[[#This Row],[UNIT (BUILDING) RATE (SEMI FINISHED)]]+4500</f>
        <v>57510.000000000007</v>
      </c>
      <c r="AI447" s="232">
        <f>Table1[[#This Row],[UNIT (BUILDING) RATE (SEMI FINISHED)]]+7500</f>
        <v>60510.000000000007</v>
      </c>
      <c r="AJ447" s="232">
        <f t="shared" si="66"/>
        <v>10655010.000000002</v>
      </c>
      <c r="AK447" s="232">
        <f>Table1[[#This Row],[UNIT (BUILDING) RATE (BASIC FINISH)]]*Table1[[#This Row],[Unit Selling Area]]</f>
        <v>11559510.000000002</v>
      </c>
      <c r="AL447" s="232">
        <f>Table1[[#This Row],[UNIT (BUILDING) RATE (FULLY FINISH)]]*Table1[[#This Row],[Unit Selling Area]]</f>
        <v>12162510.000000002</v>
      </c>
      <c r="AM447" s="232">
        <f t="shared" si="67"/>
        <v>0</v>
      </c>
      <c r="AN447" s="232">
        <f>(AM447+AJ447)*FACTS!$S$2</f>
        <v>905675.85000000021</v>
      </c>
      <c r="AO447" s="101">
        <f>VLOOKUP(S447,FACTS!$A$17:$C$23,3,FALSE)</f>
        <v>2</v>
      </c>
      <c r="AP447" s="232">
        <f>VLOOKUP(AA447,FACTS!$B$2:$J$14,9,FALSE)</f>
        <v>228000.00000000003</v>
      </c>
      <c r="AQ447" s="232">
        <f>Table1[[#This Row],[PARKING VALUE]]*1</f>
        <v>228000.00000000003</v>
      </c>
      <c r="AR447" s="232">
        <f t="shared" si="62"/>
        <v>10883010.000000002</v>
      </c>
      <c r="AS447" s="440">
        <f>Table1[[#This Row],[TOTAL CARS VALUE]]+Table1[[#This Row],[UNIT (BUILDING) VALUE BASIC FINISHED]]+Table1[[#This Row],[UNIT (GARDEN) VALUE]]</f>
        <v>11787510.000000002</v>
      </c>
      <c r="AT447" s="232">
        <f>Table1[[#This Row],[TOTAL CARS VALUE]]+Table1[[#This Row],[UNIT (GARDEN) VALUE]]+Table1[[#This Row],[UNIT (BUILDING) VALUE FULLY FINISHED]]</f>
        <v>12390510.000000002</v>
      </c>
      <c r="AU447" s="233">
        <f>VLOOKUP(I447,'C PHASES'!$I$108:$J$110,2,FALSE)</f>
        <v>46204</v>
      </c>
      <c r="AV447" s="233">
        <f>VLOOKUP(AA447,'C PHASES'!$I$113:$J$125,2,FALSE)</f>
        <v>45658</v>
      </c>
    </row>
    <row r="448" spans="1:48" x14ac:dyDescent="0.25">
      <c r="A448" s="236"/>
      <c r="B448" s="227" t="str">
        <f t="shared" si="71"/>
        <v>B</v>
      </c>
      <c r="C448" s="227" t="s">
        <v>81</v>
      </c>
      <c r="D448" s="227" t="s">
        <v>1147</v>
      </c>
      <c r="E448" s="228">
        <v>3</v>
      </c>
      <c r="F448" s="101">
        <v>4</v>
      </c>
      <c r="G448" s="87" t="str">
        <f t="shared" si="70"/>
        <v>B1434</v>
      </c>
      <c r="H448" s="87" t="s">
        <v>1294</v>
      </c>
      <c r="I448" s="89" t="str">
        <f>VLOOKUP(C448,'PREMIUM TABLES'!$G$107:$H$149,2,FALSE)</f>
        <v>C2</v>
      </c>
      <c r="J448" s="89">
        <v>141.07300000000001</v>
      </c>
      <c r="K448" s="87">
        <v>156.32166446100189</v>
      </c>
      <c r="L448" s="87">
        <v>172</v>
      </c>
      <c r="M448" s="89"/>
      <c r="N448" s="89"/>
      <c r="O448" s="87" t="s">
        <v>180</v>
      </c>
      <c r="P448" s="87" t="s">
        <v>190</v>
      </c>
      <c r="Q448" s="229" t="s">
        <v>198</v>
      </c>
      <c r="R448" s="87" t="str">
        <f>VLOOKUP(E448,'PREMIUM TABLES'!$F$214:$G$219,2,FALSE)</f>
        <v>THIRD</v>
      </c>
      <c r="S448" s="87" t="str" cm="1">
        <f t="array" ref="S448">IF(AND(L448&gt;0,L448&lt;90),"A",IF(AND(L448&gt;90,L448&lt;123),"B",IF(AND(L448&gt;122,L448&lt;159),"C",IF(AND(L448&gt;159,L448&lt;185),"D",IF(AND(L448&gt;185,L448&lt;230),"E",IF(AND(L448&gt;230,L448&lt;350),"F",NONE))))))</f>
        <v>D</v>
      </c>
      <c r="T448" s="230">
        <f>VLOOKUP(O448,'PREMIUM TABLES'!$G$165:$H$172,2,FALSE)</f>
        <v>0.13</v>
      </c>
      <c r="U448" s="230">
        <f>VLOOKUP(P448,'PREMIUM TABLES'!$G$208:$H$209,2,FALSE)</f>
        <v>2.5000000000000001E-2</v>
      </c>
      <c r="V448" s="230">
        <f>VLOOKUP(Q448,'PREMIUM TABLES'!$G$175:$H$195,2,FALSE)</f>
        <v>0.15</v>
      </c>
      <c r="W448" s="230">
        <f>VLOOKUP(R448,'PREMIUM TABLES'!$G$214:$H$219,2,FALSE)</f>
        <v>0.15</v>
      </c>
      <c r="X448" s="230">
        <f>VLOOKUP(S448,'PREMIUM TABLES'!$F$199:$H$205,3,FALSE)</f>
        <v>2.5000000000000001E-2</v>
      </c>
      <c r="Y448" s="231">
        <f t="shared" si="63"/>
        <v>0.48</v>
      </c>
      <c r="Z448" s="231" t="str" cm="1">
        <f t="array" ref="Z448">IF(AND(Y448&gt;0,Y448&lt;0.5),"C",IF(AND(Y448&gt;=0.5,Y448&lt;0.73),"B",IF(AND(Y448&gt;=0.73,Y448&lt;0.98),"A",NONE)))</f>
        <v>C</v>
      </c>
      <c r="AA448" s="231" t="str">
        <f>VLOOKUP(G448,'ALL (R)'!$N$5:$R$862,5,FALSE)</f>
        <v>R 12</v>
      </c>
      <c r="AB448" s="232">
        <f>VLOOKUP(AA448,FACTS!$B$2:$L$14,10,FALSE)</f>
        <v>61625</v>
      </c>
      <c r="AC448" s="232">
        <f>VLOOKUP(AA448,FACTS!$B$2:$L$14,11,FALSE)</f>
        <v>68875</v>
      </c>
      <c r="AD448" s="232">
        <f>VLOOKUP(AA448,FACTS!$B$2:$N$14,13,FALSE)</f>
        <v>7250</v>
      </c>
      <c r="AE448" s="232">
        <f t="shared" si="64"/>
        <v>3480</v>
      </c>
      <c r="AF448" s="232">
        <f t="shared" si="65"/>
        <v>65105</v>
      </c>
      <c r="AG448" s="232">
        <f>AF448*FACTS!$T$2</f>
        <v>21484.65</v>
      </c>
      <c r="AH448" s="232">
        <f>Table1[[#This Row],[UNIT (BUILDING) RATE (SEMI FINISHED)]]+4500</f>
        <v>69605</v>
      </c>
      <c r="AI448" s="232">
        <f>Table1[[#This Row],[UNIT (BUILDING) RATE (SEMI FINISHED)]]+7500</f>
        <v>72605</v>
      </c>
      <c r="AJ448" s="232">
        <f t="shared" si="66"/>
        <v>11198060</v>
      </c>
      <c r="AK448" s="232">
        <f>Table1[[#This Row],[UNIT (BUILDING) RATE (BASIC FINISH)]]*Table1[[#This Row],[Unit Selling Area]]</f>
        <v>11972060</v>
      </c>
      <c r="AL448" s="232">
        <f>Table1[[#This Row],[UNIT (BUILDING) RATE (FULLY FINISH)]]*Table1[[#This Row],[Unit Selling Area]]</f>
        <v>12488060</v>
      </c>
      <c r="AM448" s="232">
        <f t="shared" si="67"/>
        <v>0</v>
      </c>
      <c r="AN448" s="232">
        <f>(AM448+AJ448)*FACTS!$S$2</f>
        <v>951835.10000000009</v>
      </c>
      <c r="AO448" s="101">
        <f>VLOOKUP(S448,FACTS!$A$17:$C$23,3,FALSE)</f>
        <v>2</v>
      </c>
      <c r="AP448" s="232">
        <f>VLOOKUP(AA448,FACTS!$B$2:$J$14,9,FALSE)</f>
        <v>290000</v>
      </c>
      <c r="AQ448" s="232">
        <f>Table1[[#This Row],[PARKING VALUE]]*1</f>
        <v>290000</v>
      </c>
      <c r="AR448" s="232">
        <f t="shared" si="62"/>
        <v>11488060</v>
      </c>
      <c r="AS448" s="440">
        <f>Table1[[#This Row],[TOTAL CARS VALUE]]+Table1[[#This Row],[UNIT (BUILDING) VALUE BASIC FINISHED]]+Table1[[#This Row],[UNIT (GARDEN) VALUE]]</f>
        <v>12262060</v>
      </c>
      <c r="AT448" s="232">
        <f>Table1[[#This Row],[TOTAL CARS VALUE]]+Table1[[#This Row],[UNIT (GARDEN) VALUE]]+Table1[[#This Row],[UNIT (BUILDING) VALUE FULLY FINISHED]]</f>
        <v>12778060</v>
      </c>
      <c r="AU448" s="233">
        <f>VLOOKUP(I448,'C PHASES'!$I$108:$J$110,2,FALSE)</f>
        <v>46204</v>
      </c>
      <c r="AV448" s="233">
        <f>VLOOKUP(AA448,'C PHASES'!$I$113:$J$125,2,FALSE)</f>
        <v>46204</v>
      </c>
    </row>
    <row r="449" spans="1:48" x14ac:dyDescent="0.25">
      <c r="A449" s="236"/>
      <c r="B449" s="227" t="str">
        <f t="shared" si="71"/>
        <v>B</v>
      </c>
      <c r="C449" s="227" t="s">
        <v>81</v>
      </c>
      <c r="D449" s="227" t="s">
        <v>1147</v>
      </c>
      <c r="E449" s="228">
        <v>4</v>
      </c>
      <c r="F449" s="101">
        <v>1</v>
      </c>
      <c r="G449" s="87" t="str">
        <f t="shared" si="70"/>
        <v>B1441</v>
      </c>
      <c r="H449" s="87" t="s">
        <v>1294</v>
      </c>
      <c r="I449" s="89" t="str">
        <f>VLOOKUP(C449,'PREMIUM TABLES'!$G$107:$H$149,2,FALSE)</f>
        <v>C2</v>
      </c>
      <c r="J449" s="89">
        <v>141.929</v>
      </c>
      <c r="K449" s="87">
        <v>157.27019001003407</v>
      </c>
      <c r="L449" s="87">
        <v>173</v>
      </c>
      <c r="M449" s="89"/>
      <c r="N449" s="89"/>
      <c r="O449" s="87" t="s">
        <v>180</v>
      </c>
      <c r="P449" s="87" t="s">
        <v>226</v>
      </c>
      <c r="Q449" s="229" t="s">
        <v>198</v>
      </c>
      <c r="R449" s="87" t="str">
        <f>VLOOKUP(E449,'PREMIUM TABLES'!$F$214:$G$219,2,FALSE)</f>
        <v>FORTH</v>
      </c>
      <c r="S449" s="87" t="str" cm="1">
        <f t="array" ref="S449">IF(AND(L449&gt;0,L449&lt;90),"A",IF(AND(L449&gt;90,L449&lt;123),"B",IF(AND(L449&gt;122,L449&lt;159),"C",IF(AND(L449&gt;159,L449&lt;185),"D",IF(AND(L449&gt;185,L449&lt;230),"E",IF(AND(L449&gt;230,L449&lt;350),"F",NONE))))))</f>
        <v>D</v>
      </c>
      <c r="T449" s="230">
        <f>VLOOKUP(O449,'PREMIUM TABLES'!$G$165:$H$172,2,FALSE)</f>
        <v>0.13</v>
      </c>
      <c r="U449" s="230">
        <f>VLOOKUP(P449,'PREMIUM TABLES'!$G$208:$H$209,2,FALSE)</f>
        <v>0.05</v>
      </c>
      <c r="V449" s="230">
        <f>VLOOKUP(Q449,'PREMIUM TABLES'!$G$175:$H$195,2,FALSE)</f>
        <v>0.15</v>
      </c>
      <c r="W449" s="230">
        <f>VLOOKUP(R449,'PREMIUM TABLES'!$G$214:$H$219,2,FALSE)</f>
        <v>0.06</v>
      </c>
      <c r="X449" s="230">
        <f>VLOOKUP(S449,'PREMIUM TABLES'!$F$199:$H$205,3,FALSE)</f>
        <v>2.5000000000000001E-2</v>
      </c>
      <c r="Y449" s="231">
        <f t="shared" si="63"/>
        <v>0.41499999999999998</v>
      </c>
      <c r="Z449" s="231" t="str" cm="1">
        <f t="array" ref="Z449">IF(AND(Y449&gt;0,Y449&lt;0.5),"C",IF(AND(Y449&gt;=0.5,Y449&lt;0.73),"B",IF(AND(Y449&gt;=0.73,Y449&lt;0.98),"A",NONE)))</f>
        <v>C</v>
      </c>
      <c r="AA449" s="231" t="str">
        <f>VLOOKUP(G449,'ALL (R)'!$N$5:$R$862,5,FALSE)</f>
        <v>R 7</v>
      </c>
      <c r="AB449" s="232">
        <f>VLOOKUP(AA449,FACTS!$B$2:$L$14,10,FALSE)</f>
        <v>50150</v>
      </c>
      <c r="AC449" s="232">
        <f>VLOOKUP(AA449,FACTS!$B$2:$L$14,11,FALSE)</f>
        <v>56050</v>
      </c>
      <c r="AD449" s="232">
        <f>VLOOKUP(AA449,FACTS!$B$2:$N$14,13,FALSE)</f>
        <v>5900</v>
      </c>
      <c r="AE449" s="232">
        <f t="shared" si="64"/>
        <v>2448.5</v>
      </c>
      <c r="AF449" s="232">
        <f t="shared" si="65"/>
        <v>52598.5</v>
      </c>
      <c r="AG449" s="232">
        <f>AF449*FACTS!$T$2</f>
        <v>17357.505000000001</v>
      </c>
      <c r="AH449" s="232">
        <f>Table1[[#This Row],[UNIT (BUILDING) RATE (SEMI FINISHED)]]+4500</f>
        <v>57098.5</v>
      </c>
      <c r="AI449" s="232">
        <f>Table1[[#This Row],[UNIT (BUILDING) RATE (SEMI FINISHED)]]+7500</f>
        <v>60098.5</v>
      </c>
      <c r="AJ449" s="232">
        <f t="shared" si="66"/>
        <v>9099540.5</v>
      </c>
      <c r="AK449" s="232">
        <f>Table1[[#This Row],[UNIT (BUILDING) RATE (BASIC FINISH)]]*Table1[[#This Row],[Unit Selling Area]]</f>
        <v>9878040.5</v>
      </c>
      <c r="AL449" s="232">
        <f>Table1[[#This Row],[UNIT (BUILDING) RATE (FULLY FINISH)]]*Table1[[#This Row],[Unit Selling Area]]</f>
        <v>10397040.5</v>
      </c>
      <c r="AM449" s="232">
        <f t="shared" si="67"/>
        <v>0</v>
      </c>
      <c r="AN449" s="232">
        <f>(AM449+AJ449)*FACTS!$S$2</f>
        <v>773460.9425</v>
      </c>
      <c r="AO449" s="101">
        <f>VLOOKUP(S449,FACTS!$A$17:$C$23,3,FALSE)</f>
        <v>2</v>
      </c>
      <c r="AP449" s="232">
        <f>VLOOKUP(AA449,FACTS!$B$2:$J$14,9,FALSE)</f>
        <v>236000</v>
      </c>
      <c r="AQ449" s="232">
        <f>Table1[[#This Row],[PARKING VALUE]]*1</f>
        <v>236000</v>
      </c>
      <c r="AR449" s="232">
        <f t="shared" si="62"/>
        <v>9335540.5</v>
      </c>
      <c r="AS449" s="440">
        <f>Table1[[#This Row],[TOTAL CARS VALUE]]+Table1[[#This Row],[UNIT (BUILDING) VALUE BASIC FINISHED]]+Table1[[#This Row],[UNIT (GARDEN) VALUE]]</f>
        <v>10114040.5</v>
      </c>
      <c r="AT449" s="232">
        <f>Table1[[#This Row],[TOTAL CARS VALUE]]+Table1[[#This Row],[UNIT (GARDEN) VALUE]]+Table1[[#This Row],[UNIT (BUILDING) VALUE FULLY FINISHED]]</f>
        <v>10633040.5</v>
      </c>
      <c r="AU449" s="233">
        <f>VLOOKUP(I449,'C PHASES'!$I$108:$J$110,2,FALSE)</f>
        <v>46204</v>
      </c>
      <c r="AV449" s="233">
        <f>VLOOKUP(AA449,'C PHASES'!$I$113:$J$125,2,FALSE)</f>
        <v>45748</v>
      </c>
    </row>
    <row r="450" spans="1:48" x14ac:dyDescent="0.25">
      <c r="A450" s="236"/>
      <c r="B450" s="227" t="str">
        <f t="shared" si="71"/>
        <v>B</v>
      </c>
      <c r="C450" s="227" t="s">
        <v>81</v>
      </c>
      <c r="D450" s="227" t="s">
        <v>1147</v>
      </c>
      <c r="E450" s="228">
        <v>4</v>
      </c>
      <c r="F450" s="101">
        <v>2</v>
      </c>
      <c r="G450" s="87" t="str">
        <f t="shared" si="70"/>
        <v>B1442</v>
      </c>
      <c r="H450" s="87" t="s">
        <v>1295</v>
      </c>
      <c r="I450" s="89" t="str">
        <f>VLOOKUP(C450,'PREMIUM TABLES'!$G$107:$H$149,2,FALSE)</f>
        <v>C2</v>
      </c>
      <c r="J450" s="89">
        <v>182.36099999999999</v>
      </c>
      <c r="K450" s="87">
        <v>202.07250893347955</v>
      </c>
      <c r="L450" s="87">
        <v>222</v>
      </c>
      <c r="M450" s="89"/>
      <c r="N450" s="89"/>
      <c r="O450" s="87" t="s">
        <v>187</v>
      </c>
      <c r="P450" s="87" t="s">
        <v>226</v>
      </c>
      <c r="Q450" s="229" t="s">
        <v>228</v>
      </c>
      <c r="R450" s="87" t="str">
        <f>VLOOKUP(E450,'PREMIUM TABLES'!$F$214:$G$219,2,FALSE)</f>
        <v>FORTH</v>
      </c>
      <c r="S450" s="87" t="str" cm="1">
        <f t="array" ref="S450">IF(AND(L450&gt;0,L450&lt;90),"A",IF(AND(L450&gt;90,L450&lt;123),"B",IF(AND(L450&gt;122,L450&lt;159),"C",IF(AND(L450&gt;159,L450&lt;185),"D",IF(AND(L450&gt;185,L450&lt;230),"E",IF(AND(L450&gt;230,L450&lt;350),"F",NONE))))))</f>
        <v>E</v>
      </c>
      <c r="T450" s="230">
        <f>VLOOKUP(O450,'PREMIUM TABLES'!$G$165:$H$172,2,FALSE)</f>
        <v>0.08</v>
      </c>
      <c r="U450" s="230">
        <f>VLOOKUP(P450,'PREMIUM TABLES'!$G$208:$H$209,2,FALSE)</f>
        <v>0.05</v>
      </c>
      <c r="V450" s="230">
        <f>VLOOKUP(Q450,'PREMIUM TABLES'!$G$175:$H$195,2,FALSE)</f>
        <v>0.42400000000000004</v>
      </c>
      <c r="W450" s="230">
        <f>VLOOKUP(R450,'PREMIUM TABLES'!$G$214:$H$219,2,FALSE)</f>
        <v>0.06</v>
      </c>
      <c r="X450" s="230">
        <f>VLOOKUP(S450,'PREMIUM TABLES'!$F$199:$H$205,3,FALSE)</f>
        <v>1.4999999999999999E-2</v>
      </c>
      <c r="Y450" s="231">
        <f t="shared" si="63"/>
        <v>0.62900000000000011</v>
      </c>
      <c r="Z450" s="231" t="str" cm="1">
        <f t="array" ref="Z450">IF(AND(Y450&gt;0,Y450&lt;0.5),"C",IF(AND(Y450&gt;=0.5,Y450&lt;0.73),"B",IF(AND(Y450&gt;=0.73,Y450&lt;0.98),"A",NONE)))</f>
        <v>B</v>
      </c>
      <c r="AA450" s="231" t="str">
        <f>VLOOKUP(G450,'ALL (R)'!$N$5:$R$862,5,FALSE)</f>
        <v>R 3</v>
      </c>
      <c r="AB450" s="232">
        <f>VLOOKUP(AA450,FACTS!$B$2:$L$14,10,FALSE)</f>
        <v>44625</v>
      </c>
      <c r="AC450" s="232">
        <f>VLOOKUP(AA450,FACTS!$B$2:$L$14,11,FALSE)</f>
        <v>49875</v>
      </c>
      <c r="AD450" s="232">
        <f>VLOOKUP(AA450,FACTS!$B$2:$N$14,13,FALSE)</f>
        <v>5250</v>
      </c>
      <c r="AE450" s="232">
        <f t="shared" si="64"/>
        <v>3302.2500000000005</v>
      </c>
      <c r="AF450" s="232">
        <f t="shared" si="65"/>
        <v>47927.25</v>
      </c>
      <c r="AG450" s="232">
        <f>AF450*FACTS!$T$2</f>
        <v>15815.9925</v>
      </c>
      <c r="AH450" s="232">
        <f>Table1[[#This Row],[UNIT (BUILDING) RATE (SEMI FINISHED)]]+4500</f>
        <v>52427.25</v>
      </c>
      <c r="AI450" s="232">
        <f>Table1[[#This Row],[UNIT (BUILDING) RATE (SEMI FINISHED)]]+7500</f>
        <v>55427.25</v>
      </c>
      <c r="AJ450" s="232">
        <f t="shared" si="66"/>
        <v>10639849.5</v>
      </c>
      <c r="AK450" s="232">
        <f>Table1[[#This Row],[UNIT (BUILDING) RATE (BASIC FINISH)]]*Table1[[#This Row],[Unit Selling Area]]</f>
        <v>11638849.5</v>
      </c>
      <c r="AL450" s="232">
        <f>Table1[[#This Row],[UNIT (BUILDING) RATE (FULLY FINISH)]]*Table1[[#This Row],[Unit Selling Area]]</f>
        <v>12304849.5</v>
      </c>
      <c r="AM450" s="232">
        <f t="shared" si="67"/>
        <v>0</v>
      </c>
      <c r="AN450" s="232">
        <f>(AM450+AJ450)*FACTS!$S$2</f>
        <v>904387.20750000002</v>
      </c>
      <c r="AO450" s="101">
        <f>VLOOKUP(S450,FACTS!$A$17:$C$23,3,FALSE)</f>
        <v>2</v>
      </c>
      <c r="AP450" s="232">
        <f>VLOOKUP(AA450,FACTS!$B$2:$J$14,9,FALSE)</f>
        <v>210000</v>
      </c>
      <c r="AQ450" s="232">
        <f>Table1[[#This Row],[PARKING VALUE]]*1</f>
        <v>210000</v>
      </c>
      <c r="AR450" s="232">
        <f t="shared" si="62"/>
        <v>10849849.5</v>
      </c>
      <c r="AS450" s="440">
        <f>Table1[[#This Row],[TOTAL CARS VALUE]]+Table1[[#This Row],[UNIT (BUILDING) VALUE BASIC FINISHED]]+Table1[[#This Row],[UNIT (GARDEN) VALUE]]</f>
        <v>11848849.5</v>
      </c>
      <c r="AT450" s="232">
        <f>Table1[[#This Row],[TOTAL CARS VALUE]]+Table1[[#This Row],[UNIT (GARDEN) VALUE]]+Table1[[#This Row],[UNIT (BUILDING) VALUE FULLY FINISHED]]</f>
        <v>12514849.5</v>
      </c>
      <c r="AU450" s="233">
        <f>VLOOKUP(I450,'C PHASES'!$I$108:$J$110,2,FALSE)</f>
        <v>46204</v>
      </c>
      <c r="AV450" s="233">
        <f>VLOOKUP(AA450,'C PHASES'!$I$113:$J$125,2,FALSE)</f>
        <v>45383</v>
      </c>
    </row>
    <row r="451" spans="1:48" x14ac:dyDescent="0.25">
      <c r="A451" s="236"/>
      <c r="B451" s="227" t="str">
        <f t="shared" si="71"/>
        <v>B</v>
      </c>
      <c r="C451" s="227" t="s">
        <v>81</v>
      </c>
      <c r="D451" s="227" t="s">
        <v>1147</v>
      </c>
      <c r="E451" s="228">
        <v>4</v>
      </c>
      <c r="F451" s="101">
        <v>3</v>
      </c>
      <c r="G451" s="87" t="str">
        <f t="shared" si="70"/>
        <v>B1443</v>
      </c>
      <c r="H451" s="87" t="s">
        <v>1294</v>
      </c>
      <c r="I451" s="89" t="str">
        <f>VLOOKUP(C451,'PREMIUM TABLES'!$G$107:$H$149,2,FALSE)</f>
        <v>C2</v>
      </c>
      <c r="J451" s="89">
        <v>162.44399999999999</v>
      </c>
      <c r="K451" s="87">
        <v>180.00266855956127</v>
      </c>
      <c r="L451" s="87">
        <v>198</v>
      </c>
      <c r="M451" s="89"/>
      <c r="N451" s="89"/>
      <c r="O451" s="87" t="s">
        <v>187</v>
      </c>
      <c r="P451" s="87" t="s">
        <v>190</v>
      </c>
      <c r="Q451" s="229" t="s">
        <v>210</v>
      </c>
      <c r="R451" s="87" t="str">
        <f>VLOOKUP(E451,'PREMIUM TABLES'!$F$214:$G$219,2,FALSE)</f>
        <v>FORTH</v>
      </c>
      <c r="S451" s="87" t="str" cm="1">
        <f t="array" ref="S451">IF(AND(L451&gt;0,L451&lt;90),"A",IF(AND(L451&gt;90,L451&lt;123),"B",IF(AND(L451&gt;122,L451&lt;159),"C",IF(AND(L451&gt;159,L451&lt;185),"D",IF(AND(L451&gt;185,L451&lt;230),"E",IF(AND(L451&gt;230,L451&lt;350),"F",NONE))))))</f>
        <v>E</v>
      </c>
      <c r="T451" s="230">
        <f>VLOOKUP(O451,'PREMIUM TABLES'!$G$165:$H$172,2,FALSE)</f>
        <v>0.08</v>
      </c>
      <c r="U451" s="230">
        <f>VLOOKUP(P451,'PREMIUM TABLES'!$G$208:$H$209,2,FALSE)</f>
        <v>2.5000000000000001E-2</v>
      </c>
      <c r="V451" s="230">
        <f>VLOOKUP(Q451,'PREMIUM TABLES'!$G$175:$H$195,2,FALSE)</f>
        <v>0.53</v>
      </c>
      <c r="W451" s="230">
        <f>VLOOKUP(R451,'PREMIUM TABLES'!$G$214:$H$219,2,FALSE)</f>
        <v>0.06</v>
      </c>
      <c r="X451" s="230">
        <f>VLOOKUP(S451,'PREMIUM TABLES'!$F$199:$H$205,3,FALSE)</f>
        <v>1.4999999999999999E-2</v>
      </c>
      <c r="Y451" s="231">
        <f t="shared" si="63"/>
        <v>0.71000000000000008</v>
      </c>
      <c r="Z451" s="231" t="str" cm="1">
        <f t="array" ref="Z451">IF(AND(Y451&gt;0,Y451&lt;0.5),"C",IF(AND(Y451&gt;=0.5,Y451&lt;0.73),"B",IF(AND(Y451&gt;=0.73,Y451&lt;0.98),"A",NONE)))</f>
        <v>B</v>
      </c>
      <c r="AA451" s="231" t="str">
        <f>VLOOKUP(G451,'ALL (R)'!$N$5:$R$862,5,FALSE)</f>
        <v>R 11</v>
      </c>
      <c r="AB451" s="232">
        <f>VLOOKUP(AA451,FACTS!$B$2:$L$14,10,FALSE)</f>
        <v>58649.999999999993</v>
      </c>
      <c r="AC451" s="232">
        <f>VLOOKUP(AA451,FACTS!$B$2:$L$14,11,FALSE)</f>
        <v>65550</v>
      </c>
      <c r="AD451" s="232">
        <f>VLOOKUP(AA451,FACTS!$B$2:$N$14,13,FALSE)</f>
        <v>6900.0000000000073</v>
      </c>
      <c r="AE451" s="232">
        <f t="shared" si="64"/>
        <v>4899.0000000000055</v>
      </c>
      <c r="AF451" s="232">
        <f t="shared" si="65"/>
        <v>63549</v>
      </c>
      <c r="AG451" s="232">
        <f>AF451*FACTS!$T$2</f>
        <v>20971.170000000002</v>
      </c>
      <c r="AH451" s="232">
        <f>Table1[[#This Row],[UNIT (BUILDING) RATE (SEMI FINISHED)]]+4500</f>
        <v>68049</v>
      </c>
      <c r="AI451" s="232">
        <f>Table1[[#This Row],[UNIT (BUILDING) RATE (SEMI FINISHED)]]+7500</f>
        <v>71049</v>
      </c>
      <c r="AJ451" s="232">
        <f t="shared" si="66"/>
        <v>12582702</v>
      </c>
      <c r="AK451" s="232">
        <f>Table1[[#This Row],[UNIT (BUILDING) RATE (BASIC FINISH)]]*Table1[[#This Row],[Unit Selling Area]]</f>
        <v>13473702</v>
      </c>
      <c r="AL451" s="232">
        <f>Table1[[#This Row],[UNIT (BUILDING) RATE (FULLY FINISH)]]*Table1[[#This Row],[Unit Selling Area]]</f>
        <v>14067702</v>
      </c>
      <c r="AM451" s="232">
        <f t="shared" si="67"/>
        <v>0</v>
      </c>
      <c r="AN451" s="232">
        <f>(AM451+AJ451)*FACTS!$S$2</f>
        <v>1069529.6700000002</v>
      </c>
      <c r="AO451" s="101">
        <f>VLOOKUP(S451,FACTS!$A$17:$C$23,3,FALSE)</f>
        <v>2</v>
      </c>
      <c r="AP451" s="232">
        <f>VLOOKUP(AA451,FACTS!$B$2:$J$14,9,FALSE)</f>
        <v>276000</v>
      </c>
      <c r="AQ451" s="232">
        <f>Table1[[#This Row],[PARKING VALUE]]*1</f>
        <v>276000</v>
      </c>
      <c r="AR451" s="232">
        <f t="shared" si="62"/>
        <v>12858702</v>
      </c>
      <c r="AS451" s="440">
        <f>Table1[[#This Row],[TOTAL CARS VALUE]]+Table1[[#This Row],[UNIT (BUILDING) VALUE BASIC FINISHED]]+Table1[[#This Row],[UNIT (GARDEN) VALUE]]</f>
        <v>13749702</v>
      </c>
      <c r="AT451" s="232">
        <f>Table1[[#This Row],[TOTAL CARS VALUE]]+Table1[[#This Row],[UNIT (GARDEN) VALUE]]+Table1[[#This Row],[UNIT (BUILDING) VALUE FULLY FINISHED]]</f>
        <v>14343702</v>
      </c>
      <c r="AU451" s="233">
        <f>VLOOKUP(I451,'C PHASES'!$I$108:$J$110,2,FALSE)</f>
        <v>46204</v>
      </c>
      <c r="AV451" s="233">
        <f>VLOOKUP(AA451,'C PHASES'!$I$113:$J$125,2,FALSE)</f>
        <v>46113</v>
      </c>
    </row>
    <row r="452" spans="1:48" x14ac:dyDescent="0.25">
      <c r="A452" s="236"/>
      <c r="B452" s="227" t="str">
        <f t="shared" si="71"/>
        <v>B</v>
      </c>
      <c r="C452" s="227" t="s">
        <v>81</v>
      </c>
      <c r="D452" s="227" t="s">
        <v>1147</v>
      </c>
      <c r="E452" s="228">
        <v>4</v>
      </c>
      <c r="F452" s="101">
        <v>4</v>
      </c>
      <c r="G452" s="87" t="str">
        <f t="shared" si="70"/>
        <v>B1444</v>
      </c>
      <c r="H452" s="87" t="s">
        <v>1294</v>
      </c>
      <c r="I452" s="89" t="str">
        <f>VLOOKUP(C452,'PREMIUM TABLES'!$G$107:$H$149,2,FALSE)</f>
        <v>C2</v>
      </c>
      <c r="J452" s="89">
        <v>139.12700000000001</v>
      </c>
      <c r="K452" s="87">
        <v>154.16532016378619</v>
      </c>
      <c r="L452" s="87">
        <v>170</v>
      </c>
      <c r="M452" s="89"/>
      <c r="N452" s="89"/>
      <c r="O452" s="87" t="s">
        <v>180</v>
      </c>
      <c r="P452" s="87" t="s">
        <v>190</v>
      </c>
      <c r="Q452" s="229" t="s">
        <v>198</v>
      </c>
      <c r="R452" s="87" t="str">
        <f>VLOOKUP(E452,'PREMIUM TABLES'!$F$214:$G$219,2,FALSE)</f>
        <v>FORTH</v>
      </c>
      <c r="S452" s="87" t="str" cm="1">
        <f t="array" ref="S452">IF(AND(L452&gt;0,L452&lt;90),"A",IF(AND(L452&gt;90,L452&lt;123),"B",IF(AND(L452&gt;122,L452&lt;159),"C",IF(AND(L452&gt;159,L452&lt;185),"D",IF(AND(L452&gt;185,L452&lt;230),"E",IF(AND(L452&gt;230,L452&lt;350),"F",NONE))))))</f>
        <v>D</v>
      </c>
      <c r="T452" s="230">
        <f>VLOOKUP(O452,'PREMIUM TABLES'!$G$165:$H$172,2,FALSE)</f>
        <v>0.13</v>
      </c>
      <c r="U452" s="230">
        <f>VLOOKUP(P452,'PREMIUM TABLES'!$G$208:$H$209,2,FALSE)</f>
        <v>2.5000000000000001E-2</v>
      </c>
      <c r="V452" s="230">
        <f>VLOOKUP(Q452,'PREMIUM TABLES'!$G$175:$H$195,2,FALSE)</f>
        <v>0.15</v>
      </c>
      <c r="W452" s="230">
        <f>VLOOKUP(R452,'PREMIUM TABLES'!$G$214:$H$219,2,FALSE)</f>
        <v>0.06</v>
      </c>
      <c r="X452" s="230">
        <f>VLOOKUP(S452,'PREMIUM TABLES'!$F$199:$H$205,3,FALSE)</f>
        <v>2.5000000000000001E-2</v>
      </c>
      <c r="Y452" s="231">
        <f t="shared" si="63"/>
        <v>0.39</v>
      </c>
      <c r="Z452" s="231" t="str" cm="1">
        <f t="array" ref="Z452">IF(AND(Y452&gt;0,Y452&lt;0.5),"C",IF(AND(Y452&gt;=0.5,Y452&lt;0.73),"B",IF(AND(Y452&gt;=0.73,Y452&lt;0.98),"A",NONE)))</f>
        <v>C</v>
      </c>
      <c r="AA452" s="231" t="str">
        <f>VLOOKUP(G452,'ALL (R)'!$N$5:$R$862,5,FALSE)</f>
        <v>R 4</v>
      </c>
      <c r="AB452" s="232">
        <f>VLOOKUP(AA452,FACTS!$B$2:$L$14,10,FALSE)</f>
        <v>45687.5</v>
      </c>
      <c r="AC452" s="232">
        <f>VLOOKUP(AA452,FACTS!$B$2:$L$14,11,FALSE)</f>
        <v>51062.5</v>
      </c>
      <c r="AD452" s="232">
        <f>VLOOKUP(AA452,FACTS!$B$2:$N$14,13,FALSE)</f>
        <v>5375</v>
      </c>
      <c r="AE452" s="232">
        <f t="shared" si="64"/>
        <v>2096.25</v>
      </c>
      <c r="AF452" s="232">
        <f t="shared" si="65"/>
        <v>47783.75</v>
      </c>
      <c r="AG452" s="232">
        <f>AF452*FACTS!$T$2</f>
        <v>15768.637500000001</v>
      </c>
      <c r="AH452" s="232">
        <f>Table1[[#This Row],[UNIT (BUILDING) RATE (SEMI FINISHED)]]+4500</f>
        <v>52283.75</v>
      </c>
      <c r="AI452" s="232">
        <f>Table1[[#This Row],[UNIT (BUILDING) RATE (SEMI FINISHED)]]+7500</f>
        <v>55283.75</v>
      </c>
      <c r="AJ452" s="232">
        <f t="shared" si="66"/>
        <v>8123237.5</v>
      </c>
      <c r="AK452" s="232">
        <f>Table1[[#This Row],[UNIT (BUILDING) RATE (BASIC FINISH)]]*Table1[[#This Row],[Unit Selling Area]]</f>
        <v>8888237.5</v>
      </c>
      <c r="AL452" s="232">
        <f>Table1[[#This Row],[UNIT (BUILDING) RATE (FULLY FINISH)]]*Table1[[#This Row],[Unit Selling Area]]</f>
        <v>9398237.5</v>
      </c>
      <c r="AM452" s="232">
        <f t="shared" si="67"/>
        <v>0</v>
      </c>
      <c r="AN452" s="232">
        <f>(AM452+AJ452)*FACTS!$S$2</f>
        <v>690475.1875</v>
      </c>
      <c r="AO452" s="101">
        <f>VLOOKUP(S452,FACTS!$A$17:$C$23,3,FALSE)</f>
        <v>2</v>
      </c>
      <c r="AP452" s="232">
        <f>VLOOKUP(AA452,FACTS!$B$2:$J$14,9,FALSE)</f>
        <v>215000</v>
      </c>
      <c r="AQ452" s="232">
        <f>Table1[[#This Row],[PARKING VALUE]]*1</f>
        <v>215000</v>
      </c>
      <c r="AR452" s="232">
        <f t="shared" si="62"/>
        <v>8338237.5</v>
      </c>
      <c r="AS452" s="440">
        <f>Table1[[#This Row],[TOTAL CARS VALUE]]+Table1[[#This Row],[UNIT (BUILDING) VALUE BASIC FINISHED]]+Table1[[#This Row],[UNIT (GARDEN) VALUE]]</f>
        <v>9103237.5</v>
      </c>
      <c r="AT452" s="232">
        <f>Table1[[#This Row],[TOTAL CARS VALUE]]+Table1[[#This Row],[UNIT (GARDEN) VALUE]]+Table1[[#This Row],[UNIT (BUILDING) VALUE FULLY FINISHED]]</f>
        <v>9613237.5</v>
      </c>
      <c r="AU452" s="233">
        <f>VLOOKUP(I452,'C PHASES'!$I$108:$J$110,2,FALSE)</f>
        <v>46204</v>
      </c>
      <c r="AV452" s="233">
        <f>VLOOKUP(AA452,'C PHASES'!$I$113:$J$125,2,FALSE)</f>
        <v>45474</v>
      </c>
    </row>
    <row r="453" spans="1:48" ht="21.75" x14ac:dyDescent="0.25">
      <c r="A453" s="235" t="s">
        <v>38</v>
      </c>
      <c r="B453" s="227" t="str">
        <f t="shared" si="71"/>
        <v>B</v>
      </c>
      <c r="C453" s="227" t="s">
        <v>93</v>
      </c>
      <c r="D453" s="227" t="s">
        <v>1147</v>
      </c>
      <c r="E453" s="228">
        <v>0</v>
      </c>
      <c r="F453" s="101">
        <v>1</v>
      </c>
      <c r="G453" s="87" t="str">
        <f>LEFT(C453,3)&amp;E453&amp;F453</f>
        <v>B1501</v>
      </c>
      <c r="H453" s="87" t="s">
        <v>1293</v>
      </c>
      <c r="I453" s="89" t="str">
        <f>VLOOKUP(C453,'PREMIUM TABLES'!$G$107:$H$149,2,FALSE)</f>
        <v>C1</v>
      </c>
      <c r="J453" s="87">
        <v>87.23</v>
      </c>
      <c r="K453" s="87">
        <v>94.72160516317075</v>
      </c>
      <c r="L453" s="87">
        <v>106</v>
      </c>
      <c r="M453" s="87">
        <v>64.4328</v>
      </c>
      <c r="O453" s="87" t="s">
        <v>180</v>
      </c>
      <c r="P453" s="87" t="s">
        <v>190</v>
      </c>
      <c r="Q453" s="229" t="s">
        <v>198</v>
      </c>
      <c r="R453" s="87" t="str">
        <f>VLOOKUP(E453,'PREMIUM TABLES'!$F$214:$G$219,2,FALSE)</f>
        <v>GROUND</v>
      </c>
      <c r="S453" s="87" t="str" cm="1">
        <f t="array" ref="S453">IF(AND(L453&gt;0,L453&lt;90),"A",IF(AND(L453&gt;90,L453&lt;123),"B",IF(AND(L453&gt;122,L453&lt;159),"C",IF(AND(L453&gt;159,L453&lt;185),"D",IF(AND(L453&gt;185,L453&lt;230),"E",IF(AND(L453&gt;230,L453&lt;350),"F",NONE))))))</f>
        <v>B</v>
      </c>
      <c r="T453" s="230">
        <f>VLOOKUP(O453,'PREMIUM TABLES'!$G$165:$H$172,2,FALSE)</f>
        <v>0.13</v>
      </c>
      <c r="U453" s="230">
        <f>VLOOKUP(P453,'PREMIUM TABLES'!$G$208:$H$209,2,FALSE)</f>
        <v>2.5000000000000001E-2</v>
      </c>
      <c r="V453" s="230">
        <f>VLOOKUP(Q453,'PREMIUM TABLES'!$G$175:$H$195,2,FALSE)</f>
        <v>0.15</v>
      </c>
      <c r="W453" s="230">
        <f>VLOOKUP(R453,'PREMIUM TABLES'!$G$214:$H$219,2,FALSE)</f>
        <v>0.05</v>
      </c>
      <c r="X453" s="230">
        <f>VLOOKUP(S453,'PREMIUM TABLES'!$F$199:$H$205,3,FALSE)</f>
        <v>0.04</v>
      </c>
      <c r="Y453" s="231">
        <f t="shared" si="63"/>
        <v>0.39499999999999996</v>
      </c>
      <c r="Z453" s="231" t="str" cm="1">
        <f t="array" ref="Z453">IF(AND(Y453&gt;0,Y453&lt;0.5),"C",IF(AND(Y453&gt;=0.5,Y453&lt;0.73),"B",IF(AND(Y453&gt;=0.73,Y453&lt;0.98),"A",NONE)))</f>
        <v>C</v>
      </c>
      <c r="AA453" s="231" t="str">
        <f>VLOOKUP(G453,'ALL (R)'!$N$5:$R$862,5,FALSE)</f>
        <v>R 4</v>
      </c>
      <c r="AB453" s="232">
        <f>VLOOKUP(AA453,FACTS!$B$2:$L$14,10,FALSE)</f>
        <v>45687.5</v>
      </c>
      <c r="AC453" s="232">
        <f>VLOOKUP(AA453,FACTS!$B$2:$L$14,11,FALSE)</f>
        <v>51062.5</v>
      </c>
      <c r="AD453" s="232">
        <f>VLOOKUP(AA453,FACTS!$B$2:$N$14,13,FALSE)</f>
        <v>5375</v>
      </c>
      <c r="AE453" s="232">
        <f t="shared" si="64"/>
        <v>2123.125</v>
      </c>
      <c r="AF453" s="232">
        <f t="shared" si="65"/>
        <v>47810.625</v>
      </c>
      <c r="AG453" s="232">
        <f>AF453*FACTS!$T$2</f>
        <v>15777.50625</v>
      </c>
      <c r="AH453" s="232">
        <f>Table1[[#This Row],[UNIT (BUILDING) RATE (SEMI FINISHED)]]+4500</f>
        <v>52310.625</v>
      </c>
      <c r="AI453" s="232">
        <f>Table1[[#This Row],[UNIT (BUILDING) RATE (SEMI FINISHED)]]+7500</f>
        <v>55310.625</v>
      </c>
      <c r="AJ453" s="232">
        <f t="shared" si="66"/>
        <v>5067926.25</v>
      </c>
      <c r="AK453" s="232">
        <f>Table1[[#This Row],[UNIT (BUILDING) RATE (BASIC FINISH)]]*Table1[[#This Row],[Unit Selling Area]]</f>
        <v>5544926.25</v>
      </c>
      <c r="AL453" s="232">
        <f>Table1[[#This Row],[UNIT (BUILDING) RATE (FULLY FINISH)]]*Table1[[#This Row],[Unit Selling Area]]</f>
        <v>5862926.25</v>
      </c>
      <c r="AM453" s="232">
        <f t="shared" si="67"/>
        <v>1016588.904705</v>
      </c>
      <c r="AN453" s="232">
        <f>(AM453+AJ453)*FACTS!$S$2</f>
        <v>517183.78814992507</v>
      </c>
      <c r="AO453" s="101">
        <f>VLOOKUP(S453,FACTS!$A$17:$C$23,3,FALSE)</f>
        <v>1</v>
      </c>
      <c r="AP453" s="232">
        <f>VLOOKUP(AA453,FACTS!$B$2:$J$14,9,FALSE)</f>
        <v>215000</v>
      </c>
      <c r="AQ453" s="232">
        <f>Table1[[#This Row],[PARKING VALUE]]*1</f>
        <v>215000</v>
      </c>
      <c r="AR453" s="232">
        <f t="shared" ref="AR453:AR516" si="72">AQ453+AM453+AJ453</f>
        <v>6299515.1547050001</v>
      </c>
      <c r="AS453" s="440">
        <f>Table1[[#This Row],[TOTAL CARS VALUE]]+Table1[[#This Row],[UNIT (BUILDING) VALUE BASIC FINISHED]]+Table1[[#This Row],[UNIT (GARDEN) VALUE]]</f>
        <v>6776515.1547050001</v>
      </c>
      <c r="AT453" s="232">
        <f>Table1[[#This Row],[TOTAL CARS VALUE]]+Table1[[#This Row],[UNIT (GARDEN) VALUE]]+Table1[[#This Row],[UNIT (BUILDING) VALUE FULLY FINISHED]]</f>
        <v>7094515.1547050001</v>
      </c>
      <c r="AU453" s="233">
        <f>VLOOKUP(I453,'C PHASES'!$I$108:$J$110,2,FALSE)</f>
        <v>45839</v>
      </c>
      <c r="AV453" s="233">
        <f>VLOOKUP(AA453,'C PHASES'!$I$113:$J$125,2,FALSE)</f>
        <v>45474</v>
      </c>
    </row>
    <row r="454" spans="1:48" x14ac:dyDescent="0.25">
      <c r="A454" s="235"/>
      <c r="B454" s="227" t="str">
        <f t="shared" si="71"/>
        <v>B</v>
      </c>
      <c r="C454" s="227" t="s">
        <v>93</v>
      </c>
      <c r="D454" s="227" t="s">
        <v>1147</v>
      </c>
      <c r="E454" s="228">
        <v>0</v>
      </c>
      <c r="F454" s="101">
        <v>2</v>
      </c>
      <c r="G454" s="87" t="str">
        <f t="shared" ref="G454:G472" si="73">LEFT(C454,3)&amp;E454&amp;F454</f>
        <v>B1502</v>
      </c>
      <c r="H454" s="87" t="s">
        <v>1294</v>
      </c>
      <c r="I454" s="89" t="str">
        <f>VLOOKUP(C454,'PREMIUM TABLES'!$G$107:$H$149,2,FALSE)</f>
        <v>C1</v>
      </c>
      <c r="J454" s="87">
        <v>125.09</v>
      </c>
      <c r="K454" s="87">
        <v>135.83314902970341</v>
      </c>
      <c r="L454" s="87">
        <v>153</v>
      </c>
      <c r="M454" s="87">
        <v>85.619500000000002</v>
      </c>
      <c r="O454" s="87" t="s">
        <v>187</v>
      </c>
      <c r="P454" s="87" t="s">
        <v>190</v>
      </c>
      <c r="Q454" s="229" t="s">
        <v>209</v>
      </c>
      <c r="R454" s="87" t="str">
        <f>VLOOKUP(E454,'PREMIUM TABLES'!$F$214:$G$219,2,FALSE)</f>
        <v>GROUND</v>
      </c>
      <c r="S454" s="87" t="str" cm="1">
        <f t="array" ref="S454">IF(AND(L454&gt;0,L454&lt;90),"A",IF(AND(L454&gt;90,L454&lt;123),"B",IF(AND(L454&gt;122,L454&lt;159),"C",IF(AND(L454&gt;159,L454&lt;185),"D",IF(AND(L454&gt;185,L454&lt;230),"E",IF(AND(L454&gt;230,L454&lt;350),"F",NONE))))))</f>
        <v>C</v>
      </c>
      <c r="T454" s="230">
        <f>VLOOKUP(O454,'PREMIUM TABLES'!$G$165:$H$172,2,FALSE)</f>
        <v>0.08</v>
      </c>
      <c r="U454" s="230">
        <f>VLOOKUP(P454,'PREMIUM TABLES'!$G$208:$H$209,2,FALSE)</f>
        <v>2.5000000000000001E-2</v>
      </c>
      <c r="V454" s="230">
        <f>VLOOKUP(Q454,'PREMIUM TABLES'!$G$175:$H$195,2,FALSE)</f>
        <v>0.6</v>
      </c>
      <c r="W454" s="230">
        <f>VLOOKUP(R454,'PREMIUM TABLES'!$G$214:$H$219,2,FALSE)</f>
        <v>0.05</v>
      </c>
      <c r="X454" s="230">
        <f>VLOOKUP(S454,'PREMIUM TABLES'!$F$199:$H$205,3,FALSE)</f>
        <v>3.5000000000000003E-2</v>
      </c>
      <c r="Y454" s="231">
        <f t="shared" ref="Y454:Y517" si="74">SUM(T454:X454)</f>
        <v>0.79</v>
      </c>
      <c r="Z454" s="231" t="str" cm="1">
        <f t="array" ref="Z454">IF(AND(Y454&gt;0,Y454&lt;0.5),"C",IF(AND(Y454&gt;=0.5,Y454&lt;0.73),"B",IF(AND(Y454&gt;=0.73,Y454&lt;0.98),"A",NONE)))</f>
        <v>A</v>
      </c>
      <c r="AA454" s="231" t="str">
        <f>VLOOKUP(G454,'ALL (R)'!$N$5:$R$862,5,FALSE)</f>
        <v>R 5</v>
      </c>
      <c r="AB454" s="232">
        <f>VLOOKUP(AA454,FACTS!$B$2:$L$14,10,FALSE)</f>
        <v>46750.000000000007</v>
      </c>
      <c r="AC454" s="232">
        <f>VLOOKUP(AA454,FACTS!$B$2:$L$14,11,FALSE)</f>
        <v>52250.000000000007</v>
      </c>
      <c r="AD454" s="232">
        <f>VLOOKUP(AA454,FACTS!$B$2:$N$14,13,FALSE)</f>
        <v>5500</v>
      </c>
      <c r="AE454" s="232">
        <f t="shared" ref="AE454:AE517" si="75">AD454*Y454</f>
        <v>4345</v>
      </c>
      <c r="AF454" s="232">
        <f t="shared" ref="AF454:AF517" si="76">AE454+AB454</f>
        <v>51095.000000000007</v>
      </c>
      <c r="AG454" s="232">
        <f>AF454*FACTS!$T$2</f>
        <v>16861.350000000002</v>
      </c>
      <c r="AH454" s="232">
        <f>Table1[[#This Row],[UNIT (BUILDING) RATE (SEMI FINISHED)]]+4500</f>
        <v>55595.000000000007</v>
      </c>
      <c r="AI454" s="232">
        <f>Table1[[#This Row],[UNIT (BUILDING) RATE (SEMI FINISHED)]]+7500</f>
        <v>58595.000000000007</v>
      </c>
      <c r="AJ454" s="232">
        <f t="shared" ref="AJ454:AJ517" si="77">AF454*L454</f>
        <v>7817535.0000000009</v>
      </c>
      <c r="AK454" s="232">
        <f>Table1[[#This Row],[UNIT (BUILDING) RATE (BASIC FINISH)]]*Table1[[#This Row],[Unit Selling Area]]</f>
        <v>8506035.0000000019</v>
      </c>
      <c r="AL454" s="232">
        <f>Table1[[#This Row],[UNIT (BUILDING) RATE (FULLY FINISH)]]*Table1[[#This Row],[Unit Selling Area]]</f>
        <v>8965035.0000000019</v>
      </c>
      <c r="AM454" s="232">
        <f t="shared" ref="AM454:AM517" si="78">AG454*M454</f>
        <v>1443660.3563250003</v>
      </c>
      <c r="AN454" s="232">
        <f>(AM454+AJ454)*FACTS!$S$2</f>
        <v>787201.60528762511</v>
      </c>
      <c r="AO454" s="101">
        <f>VLOOKUP(S454,FACTS!$A$17:$C$23,3,FALSE)</f>
        <v>2</v>
      </c>
      <c r="AP454" s="232">
        <f>VLOOKUP(AA454,FACTS!$B$2:$J$14,9,FALSE)</f>
        <v>220000.00000000003</v>
      </c>
      <c r="AQ454" s="232">
        <f>Table1[[#This Row],[PARKING VALUE]]*1</f>
        <v>220000.00000000003</v>
      </c>
      <c r="AR454" s="232">
        <f t="shared" si="72"/>
        <v>9481195.3563250005</v>
      </c>
      <c r="AS454" s="440">
        <f>Table1[[#This Row],[TOTAL CARS VALUE]]+Table1[[#This Row],[UNIT (BUILDING) VALUE BASIC FINISHED]]+Table1[[#This Row],[UNIT (GARDEN) VALUE]]</f>
        <v>10169695.356325002</v>
      </c>
      <c r="AT454" s="232">
        <f>Table1[[#This Row],[TOTAL CARS VALUE]]+Table1[[#This Row],[UNIT (GARDEN) VALUE]]+Table1[[#This Row],[UNIT (BUILDING) VALUE FULLY FINISHED]]</f>
        <v>10628695.356325002</v>
      </c>
      <c r="AU454" s="233">
        <f>VLOOKUP(I454,'C PHASES'!$I$108:$J$110,2,FALSE)</f>
        <v>45839</v>
      </c>
      <c r="AV454" s="233">
        <f>VLOOKUP(AA454,'C PHASES'!$I$113:$J$125,2,FALSE)</f>
        <v>45566</v>
      </c>
    </row>
    <row r="455" spans="1:48" x14ac:dyDescent="0.25">
      <c r="A455" s="235"/>
      <c r="B455" s="227" t="str">
        <f t="shared" si="71"/>
        <v>B</v>
      </c>
      <c r="C455" s="227" t="s">
        <v>93</v>
      </c>
      <c r="D455" s="227" t="s">
        <v>1147</v>
      </c>
      <c r="E455" s="228">
        <v>0</v>
      </c>
      <c r="F455" s="101">
        <v>3</v>
      </c>
      <c r="G455" s="87" t="str">
        <f t="shared" si="73"/>
        <v>B1503</v>
      </c>
      <c r="H455" s="87" t="s">
        <v>1294</v>
      </c>
      <c r="I455" s="89" t="str">
        <f>VLOOKUP(C455,'PREMIUM TABLES'!$G$107:$H$149,2,FALSE)</f>
        <v>C1</v>
      </c>
      <c r="J455" s="87">
        <v>129.57</v>
      </c>
      <c r="K455" s="87">
        <v>140.69790646557414</v>
      </c>
      <c r="L455" s="87">
        <v>158</v>
      </c>
      <c r="M455" s="87">
        <v>84.075199999999995</v>
      </c>
      <c r="O455" s="87" t="s">
        <v>187</v>
      </c>
      <c r="P455" s="87" t="s">
        <v>226</v>
      </c>
      <c r="Q455" s="229" t="s">
        <v>227</v>
      </c>
      <c r="R455" s="87" t="str">
        <f>VLOOKUP(E455,'PREMIUM TABLES'!$F$214:$G$219,2,FALSE)</f>
        <v>GROUND</v>
      </c>
      <c r="S455" s="87" t="str" cm="1">
        <f t="array" ref="S455">IF(AND(L455&gt;0,L455&lt;90),"A",IF(AND(L455&gt;90,L455&lt;123),"B",IF(AND(L455&gt;122,L455&lt;159),"C",IF(AND(L455&gt;159,L455&lt;185),"D",IF(AND(L455&gt;185,L455&lt;230),"E",IF(AND(L455&gt;230,L455&lt;350),"F",NONE))))))</f>
        <v>C</v>
      </c>
      <c r="T455" s="230">
        <f>VLOOKUP(O455,'PREMIUM TABLES'!$G$165:$H$172,2,FALSE)</f>
        <v>0.08</v>
      </c>
      <c r="U455" s="230">
        <f>VLOOKUP(P455,'PREMIUM TABLES'!$G$208:$H$209,2,FALSE)</f>
        <v>0.05</v>
      </c>
      <c r="V455" s="230">
        <f>VLOOKUP(Q455,'PREMIUM TABLES'!$G$175:$H$195,2,FALSE)</f>
        <v>0.48</v>
      </c>
      <c r="W455" s="230">
        <f>VLOOKUP(R455,'PREMIUM TABLES'!$G$214:$H$219,2,FALSE)</f>
        <v>0.05</v>
      </c>
      <c r="X455" s="230">
        <f>VLOOKUP(S455,'PREMIUM TABLES'!$F$199:$H$205,3,FALSE)</f>
        <v>3.5000000000000003E-2</v>
      </c>
      <c r="Y455" s="231">
        <f t="shared" si="74"/>
        <v>0.69500000000000006</v>
      </c>
      <c r="Z455" s="231" t="str" cm="1">
        <f t="array" ref="Z455">IF(AND(Y455&gt;0,Y455&lt;0.5),"C",IF(AND(Y455&gt;=0.5,Y455&lt;0.73),"B",IF(AND(Y455&gt;=0.73,Y455&lt;0.98),"A",NONE)))</f>
        <v>B</v>
      </c>
      <c r="AA455" s="231" t="str">
        <f>VLOOKUP(G455,'ALL (R)'!$N$5:$R$862,5,FALSE)</f>
        <v>R 9</v>
      </c>
      <c r="AB455" s="232">
        <f>VLOOKUP(AA455,FACTS!$B$2:$L$14,10,FALSE)</f>
        <v>53550</v>
      </c>
      <c r="AC455" s="232">
        <f>VLOOKUP(AA455,FACTS!$B$2:$L$14,11,FALSE)</f>
        <v>59850</v>
      </c>
      <c r="AD455" s="232">
        <f>VLOOKUP(AA455,FACTS!$B$2:$N$14,13,FALSE)</f>
        <v>6300</v>
      </c>
      <c r="AE455" s="232">
        <f t="shared" si="75"/>
        <v>4378.5</v>
      </c>
      <c r="AF455" s="232">
        <f t="shared" si="76"/>
        <v>57928.5</v>
      </c>
      <c r="AG455" s="232">
        <f>AF455*FACTS!$T$2</f>
        <v>19116.405000000002</v>
      </c>
      <c r="AH455" s="232">
        <f>Table1[[#This Row],[UNIT (BUILDING) RATE (SEMI FINISHED)]]+4500</f>
        <v>62428.5</v>
      </c>
      <c r="AI455" s="232">
        <f>Table1[[#This Row],[UNIT (BUILDING) RATE (SEMI FINISHED)]]+7500</f>
        <v>65428.5</v>
      </c>
      <c r="AJ455" s="232">
        <f t="shared" si="77"/>
        <v>9152703</v>
      </c>
      <c r="AK455" s="232">
        <f>Table1[[#This Row],[UNIT (BUILDING) RATE (BASIC FINISH)]]*Table1[[#This Row],[Unit Selling Area]]</f>
        <v>9863703</v>
      </c>
      <c r="AL455" s="232">
        <f>Table1[[#This Row],[UNIT (BUILDING) RATE (FULLY FINISH)]]*Table1[[#This Row],[Unit Selling Area]]</f>
        <v>10337703</v>
      </c>
      <c r="AM455" s="232">
        <f t="shared" si="78"/>
        <v>1607215.5736560002</v>
      </c>
      <c r="AN455" s="232">
        <f>(AM455+AJ455)*FACTS!$S$2</f>
        <v>914593.07876076014</v>
      </c>
      <c r="AO455" s="101">
        <f>VLOOKUP(S455,FACTS!$A$17:$C$23,3,FALSE)</f>
        <v>2</v>
      </c>
      <c r="AP455" s="232">
        <f>VLOOKUP(AA455,FACTS!$B$2:$J$14,9,FALSE)</f>
        <v>252000</v>
      </c>
      <c r="AQ455" s="232">
        <f>Table1[[#This Row],[PARKING VALUE]]*1</f>
        <v>252000</v>
      </c>
      <c r="AR455" s="232">
        <f t="shared" si="72"/>
        <v>11011918.573656</v>
      </c>
      <c r="AS455" s="440">
        <f>Table1[[#This Row],[TOTAL CARS VALUE]]+Table1[[#This Row],[UNIT (BUILDING) VALUE BASIC FINISHED]]+Table1[[#This Row],[UNIT (GARDEN) VALUE]]</f>
        <v>11722918.573656</v>
      </c>
      <c r="AT455" s="232">
        <f>Table1[[#This Row],[TOTAL CARS VALUE]]+Table1[[#This Row],[UNIT (GARDEN) VALUE]]+Table1[[#This Row],[UNIT (BUILDING) VALUE FULLY FINISHED]]</f>
        <v>12196918.573656</v>
      </c>
      <c r="AU455" s="233">
        <f>VLOOKUP(I455,'C PHASES'!$I$108:$J$110,2,FALSE)</f>
        <v>45839</v>
      </c>
      <c r="AV455" s="233">
        <f>VLOOKUP(AA455,'C PHASES'!$I$113:$J$125,2,FALSE)</f>
        <v>45931</v>
      </c>
    </row>
    <row r="456" spans="1:48" x14ac:dyDescent="0.25">
      <c r="A456" s="235"/>
      <c r="B456" s="227" t="str">
        <f t="shared" si="71"/>
        <v>B</v>
      </c>
      <c r="C456" s="227" t="s">
        <v>93</v>
      </c>
      <c r="D456" s="227" t="s">
        <v>1147</v>
      </c>
      <c r="E456" s="228">
        <v>0</v>
      </c>
      <c r="F456" s="101">
        <v>4</v>
      </c>
      <c r="G456" s="87" t="str">
        <f t="shared" si="73"/>
        <v>B1504</v>
      </c>
      <c r="H456" s="87" t="s">
        <v>1294</v>
      </c>
      <c r="I456" s="89" t="str">
        <f>VLOOKUP(C456,'PREMIUM TABLES'!$G$107:$H$149,2,FALSE)</f>
        <v>C1</v>
      </c>
      <c r="J456" s="87">
        <v>131.34</v>
      </c>
      <c r="K456" s="87">
        <v>142.61992000608558</v>
      </c>
      <c r="L456" s="87">
        <v>160</v>
      </c>
      <c r="M456" s="87">
        <v>72.604399999999998</v>
      </c>
      <c r="O456" s="87" t="s">
        <v>180</v>
      </c>
      <c r="P456" s="87" t="s">
        <v>226</v>
      </c>
      <c r="Q456" s="229" t="s">
        <v>198</v>
      </c>
      <c r="R456" s="87" t="str">
        <f>VLOOKUP(E456,'PREMIUM TABLES'!$F$214:$G$219,2,FALSE)</f>
        <v>GROUND</v>
      </c>
      <c r="S456" s="87" t="str" cm="1">
        <f t="array" ref="S456">IF(AND(L456&gt;0,L456&lt;90),"A",IF(AND(L456&gt;90,L456&lt;123),"B",IF(AND(L456&gt;122,L456&lt;159),"C",IF(AND(L456&gt;159,L456&lt;185),"D",IF(AND(L456&gt;185,L456&lt;230),"E",IF(AND(L456&gt;230,L456&lt;350),"F",NONE))))))</f>
        <v>D</v>
      </c>
      <c r="T456" s="230">
        <f>VLOOKUP(O456,'PREMIUM TABLES'!$G$165:$H$172,2,FALSE)</f>
        <v>0.13</v>
      </c>
      <c r="U456" s="230">
        <f>VLOOKUP(P456,'PREMIUM TABLES'!$G$208:$H$209,2,FALSE)</f>
        <v>0.05</v>
      </c>
      <c r="V456" s="230">
        <f>VLOOKUP(Q456,'PREMIUM TABLES'!$G$175:$H$195,2,FALSE)</f>
        <v>0.15</v>
      </c>
      <c r="W456" s="230">
        <f>VLOOKUP(R456,'PREMIUM TABLES'!$G$214:$H$219,2,FALSE)</f>
        <v>0.05</v>
      </c>
      <c r="X456" s="230">
        <f>VLOOKUP(S456,'PREMIUM TABLES'!$F$199:$H$205,3,FALSE)</f>
        <v>2.5000000000000001E-2</v>
      </c>
      <c r="Y456" s="231">
        <f t="shared" si="74"/>
        <v>0.40499999999999997</v>
      </c>
      <c r="Z456" s="231" t="str" cm="1">
        <f t="array" ref="Z456">IF(AND(Y456&gt;0,Y456&lt;0.5),"C",IF(AND(Y456&gt;=0.5,Y456&lt;0.73),"B",IF(AND(Y456&gt;=0.73,Y456&lt;0.98),"A",NONE)))</f>
        <v>C</v>
      </c>
      <c r="AA456" s="231" t="str">
        <f>VLOOKUP(G456,'ALL (R)'!$N$5:$R$862,5,FALSE)</f>
        <v>R 5</v>
      </c>
      <c r="AB456" s="232">
        <f>VLOOKUP(AA456,FACTS!$B$2:$L$14,10,FALSE)</f>
        <v>46750.000000000007</v>
      </c>
      <c r="AC456" s="232">
        <f>VLOOKUP(AA456,FACTS!$B$2:$L$14,11,FALSE)</f>
        <v>52250.000000000007</v>
      </c>
      <c r="AD456" s="232">
        <f>VLOOKUP(AA456,FACTS!$B$2:$N$14,13,FALSE)</f>
        <v>5500</v>
      </c>
      <c r="AE456" s="232">
        <f t="shared" si="75"/>
        <v>2227.5</v>
      </c>
      <c r="AF456" s="232">
        <f t="shared" si="76"/>
        <v>48977.500000000007</v>
      </c>
      <c r="AG456" s="232">
        <f>AF456*FACTS!$T$2</f>
        <v>16162.575000000003</v>
      </c>
      <c r="AH456" s="232">
        <f>Table1[[#This Row],[UNIT (BUILDING) RATE (SEMI FINISHED)]]+4500</f>
        <v>53477.500000000007</v>
      </c>
      <c r="AI456" s="232">
        <f>Table1[[#This Row],[UNIT (BUILDING) RATE (SEMI FINISHED)]]+7500</f>
        <v>56477.500000000007</v>
      </c>
      <c r="AJ456" s="232">
        <f t="shared" si="77"/>
        <v>7836400.0000000009</v>
      </c>
      <c r="AK456" s="232">
        <f>Table1[[#This Row],[UNIT (BUILDING) RATE (BASIC FINISH)]]*Table1[[#This Row],[Unit Selling Area]]</f>
        <v>8556400.0000000019</v>
      </c>
      <c r="AL456" s="232">
        <f>Table1[[#This Row],[UNIT (BUILDING) RATE (FULLY FINISH)]]*Table1[[#This Row],[Unit Selling Area]]</f>
        <v>9036400.0000000019</v>
      </c>
      <c r="AM456" s="232">
        <f t="shared" si="78"/>
        <v>1173474.0603300002</v>
      </c>
      <c r="AN456" s="232">
        <f>(AM456+AJ456)*FACTS!$S$2</f>
        <v>765839.29512805014</v>
      </c>
      <c r="AO456" s="101">
        <f>VLOOKUP(S456,FACTS!$A$17:$C$23,3,FALSE)</f>
        <v>2</v>
      </c>
      <c r="AP456" s="232">
        <f>VLOOKUP(AA456,FACTS!$B$2:$J$14,9,FALSE)</f>
        <v>220000.00000000003</v>
      </c>
      <c r="AQ456" s="232">
        <f>Table1[[#This Row],[PARKING VALUE]]*1</f>
        <v>220000.00000000003</v>
      </c>
      <c r="AR456" s="232">
        <f t="shared" si="72"/>
        <v>9229874.0603300016</v>
      </c>
      <c r="AS456" s="440">
        <f>Table1[[#This Row],[TOTAL CARS VALUE]]+Table1[[#This Row],[UNIT (BUILDING) VALUE BASIC FINISHED]]+Table1[[#This Row],[UNIT (GARDEN) VALUE]]</f>
        <v>9949874.0603300016</v>
      </c>
      <c r="AT456" s="232">
        <f>Table1[[#This Row],[TOTAL CARS VALUE]]+Table1[[#This Row],[UNIT (GARDEN) VALUE]]+Table1[[#This Row],[UNIT (BUILDING) VALUE FULLY FINISHED]]</f>
        <v>10429874.060330002</v>
      </c>
      <c r="AU456" s="233">
        <f>VLOOKUP(I456,'C PHASES'!$I$108:$J$110,2,FALSE)</f>
        <v>45839</v>
      </c>
      <c r="AV456" s="233">
        <f>VLOOKUP(AA456,'C PHASES'!$I$113:$J$125,2,FALSE)</f>
        <v>45566</v>
      </c>
    </row>
    <row r="457" spans="1:48" x14ac:dyDescent="0.25">
      <c r="A457" s="235"/>
      <c r="B457" s="227" t="str">
        <f t="shared" si="71"/>
        <v>B</v>
      </c>
      <c r="C457" s="227" t="s">
        <v>93</v>
      </c>
      <c r="D457" s="227" t="s">
        <v>1147</v>
      </c>
      <c r="E457" s="228">
        <v>1</v>
      </c>
      <c r="F457" s="101">
        <v>1</v>
      </c>
      <c r="G457" s="87" t="str">
        <f t="shared" si="73"/>
        <v>B1511</v>
      </c>
      <c r="H457" s="87" t="s">
        <v>1293</v>
      </c>
      <c r="I457" s="89" t="str">
        <f>VLOOKUP(C457,'PREMIUM TABLES'!$G$107:$H$149,2,FALSE)</f>
        <v>C1</v>
      </c>
      <c r="J457" s="87">
        <v>88.87</v>
      </c>
      <c r="K457" s="87">
        <v>96.502453867373433</v>
      </c>
      <c r="L457" s="87">
        <v>108</v>
      </c>
      <c r="O457" s="87" t="s">
        <v>180</v>
      </c>
      <c r="P457" s="87" t="s">
        <v>190</v>
      </c>
      <c r="Q457" s="229" t="s">
        <v>198</v>
      </c>
      <c r="R457" s="87" t="str">
        <f>VLOOKUP(E457,'PREMIUM TABLES'!$F$214:$G$219,2,FALSE)</f>
        <v>FIRST</v>
      </c>
      <c r="S457" s="87" t="str" cm="1">
        <f t="array" ref="S457">IF(AND(L457&gt;0,L457&lt;90),"A",IF(AND(L457&gt;90,L457&lt;123),"B",IF(AND(L457&gt;122,L457&lt;159),"C",IF(AND(L457&gt;159,L457&lt;185),"D",IF(AND(L457&gt;185,L457&lt;230),"E",IF(AND(L457&gt;230,L457&lt;350),"F",NONE))))))</f>
        <v>B</v>
      </c>
      <c r="T457" s="230">
        <f>VLOOKUP(O457,'PREMIUM TABLES'!$G$165:$H$172,2,FALSE)</f>
        <v>0.13</v>
      </c>
      <c r="U457" s="230">
        <f>VLOOKUP(P457,'PREMIUM TABLES'!$G$208:$H$209,2,FALSE)</f>
        <v>2.5000000000000001E-2</v>
      </c>
      <c r="V457" s="230">
        <f>VLOOKUP(Q457,'PREMIUM TABLES'!$G$175:$H$195,2,FALSE)</f>
        <v>0.15</v>
      </c>
      <c r="W457" s="230">
        <f>VLOOKUP(R457,'PREMIUM TABLES'!$G$214:$H$219,2,FALSE)</f>
        <v>7.0000000000000007E-2</v>
      </c>
      <c r="X457" s="230">
        <f>VLOOKUP(S457,'PREMIUM TABLES'!$F$199:$H$205,3,FALSE)</f>
        <v>0.04</v>
      </c>
      <c r="Y457" s="231">
        <f t="shared" si="74"/>
        <v>0.41499999999999998</v>
      </c>
      <c r="Z457" s="231" t="str" cm="1">
        <f t="array" ref="Z457">IF(AND(Y457&gt;0,Y457&lt;0.5),"C",IF(AND(Y457&gt;=0.5,Y457&lt;0.73),"B",IF(AND(Y457&gt;=0.73,Y457&lt;0.98),"A",NONE)))</f>
        <v>C</v>
      </c>
      <c r="AA457" s="231" t="str">
        <f>VLOOKUP(G457,'ALL (R)'!$N$5:$R$862,5,FALSE)</f>
        <v>R 7</v>
      </c>
      <c r="AB457" s="232">
        <f>VLOOKUP(AA457,FACTS!$B$2:$L$14,10,FALSE)</f>
        <v>50150</v>
      </c>
      <c r="AC457" s="232">
        <f>VLOOKUP(AA457,FACTS!$B$2:$L$14,11,FALSE)</f>
        <v>56050</v>
      </c>
      <c r="AD457" s="232">
        <f>VLOOKUP(AA457,FACTS!$B$2:$N$14,13,FALSE)</f>
        <v>5900</v>
      </c>
      <c r="AE457" s="232">
        <f t="shared" si="75"/>
        <v>2448.5</v>
      </c>
      <c r="AF457" s="232">
        <f t="shared" si="76"/>
        <v>52598.5</v>
      </c>
      <c r="AG457" s="232">
        <f>AF457*FACTS!$T$2</f>
        <v>17357.505000000001</v>
      </c>
      <c r="AH457" s="232">
        <f>Table1[[#This Row],[UNIT (BUILDING) RATE (SEMI FINISHED)]]+4500</f>
        <v>57098.5</v>
      </c>
      <c r="AI457" s="232">
        <f>Table1[[#This Row],[UNIT (BUILDING) RATE (SEMI FINISHED)]]+7500</f>
        <v>60098.5</v>
      </c>
      <c r="AJ457" s="232">
        <f t="shared" si="77"/>
        <v>5680638</v>
      </c>
      <c r="AK457" s="232">
        <f>Table1[[#This Row],[UNIT (BUILDING) RATE (BASIC FINISH)]]*Table1[[#This Row],[Unit Selling Area]]</f>
        <v>6166638</v>
      </c>
      <c r="AL457" s="232">
        <f>Table1[[#This Row],[UNIT (BUILDING) RATE (FULLY FINISH)]]*Table1[[#This Row],[Unit Selling Area]]</f>
        <v>6490638</v>
      </c>
      <c r="AM457" s="232">
        <f t="shared" si="78"/>
        <v>0</v>
      </c>
      <c r="AN457" s="232">
        <f>(AM457+AJ457)*FACTS!$S$2</f>
        <v>482854.23000000004</v>
      </c>
      <c r="AO457" s="101">
        <f>VLOOKUP(S457,FACTS!$A$17:$C$23,3,FALSE)</f>
        <v>1</v>
      </c>
      <c r="AP457" s="232">
        <f>VLOOKUP(AA457,FACTS!$B$2:$J$14,9,FALSE)</f>
        <v>236000</v>
      </c>
      <c r="AQ457" s="232">
        <f>Table1[[#This Row],[PARKING VALUE]]*1</f>
        <v>236000</v>
      </c>
      <c r="AR457" s="232">
        <f t="shared" si="72"/>
        <v>5916638</v>
      </c>
      <c r="AS457" s="440">
        <f>Table1[[#This Row],[TOTAL CARS VALUE]]+Table1[[#This Row],[UNIT (BUILDING) VALUE BASIC FINISHED]]+Table1[[#This Row],[UNIT (GARDEN) VALUE]]</f>
        <v>6402638</v>
      </c>
      <c r="AT457" s="232">
        <f>Table1[[#This Row],[TOTAL CARS VALUE]]+Table1[[#This Row],[UNIT (GARDEN) VALUE]]+Table1[[#This Row],[UNIT (BUILDING) VALUE FULLY FINISHED]]</f>
        <v>6726638</v>
      </c>
      <c r="AU457" s="233">
        <f>VLOOKUP(I457,'C PHASES'!$I$108:$J$110,2,FALSE)</f>
        <v>45839</v>
      </c>
      <c r="AV457" s="233">
        <f>VLOOKUP(AA457,'C PHASES'!$I$113:$J$125,2,FALSE)</f>
        <v>45748</v>
      </c>
    </row>
    <row r="458" spans="1:48" x14ac:dyDescent="0.25">
      <c r="A458" s="235"/>
      <c r="B458" s="227" t="str">
        <f t="shared" si="71"/>
        <v>B</v>
      </c>
      <c r="C458" s="227" t="s">
        <v>93</v>
      </c>
      <c r="D458" s="227" t="s">
        <v>1147</v>
      </c>
      <c r="E458" s="228">
        <v>1</v>
      </c>
      <c r="F458" s="101">
        <v>2</v>
      </c>
      <c r="G458" s="87" t="str">
        <f t="shared" si="73"/>
        <v>B1512</v>
      </c>
      <c r="H458" s="87" t="s">
        <v>1294</v>
      </c>
      <c r="I458" s="89" t="str">
        <f>VLOOKUP(C458,'PREMIUM TABLES'!$G$107:$H$149,2,FALSE)</f>
        <v>C1</v>
      </c>
      <c r="J458" s="87">
        <v>127.14</v>
      </c>
      <c r="K458" s="87">
        <v>138.05920990995676</v>
      </c>
      <c r="L458" s="87">
        <v>155</v>
      </c>
      <c r="O458" s="87" t="s">
        <v>187</v>
      </c>
      <c r="P458" s="87" t="s">
        <v>190</v>
      </c>
      <c r="Q458" s="229" t="s">
        <v>209</v>
      </c>
      <c r="R458" s="87" t="str">
        <f>VLOOKUP(E458,'PREMIUM TABLES'!$F$214:$G$219,2,FALSE)</f>
        <v>FIRST</v>
      </c>
      <c r="S458" s="87" t="str" cm="1">
        <f t="array" ref="S458">IF(AND(L458&gt;0,L458&lt;90),"A",IF(AND(L458&gt;90,L458&lt;123),"B",IF(AND(L458&gt;122,L458&lt;159),"C",IF(AND(L458&gt;159,L458&lt;185),"D",IF(AND(L458&gt;185,L458&lt;230),"E",IF(AND(L458&gt;230,L458&lt;350),"F",NONE))))))</f>
        <v>C</v>
      </c>
      <c r="T458" s="230">
        <f>VLOOKUP(O458,'PREMIUM TABLES'!$G$165:$H$172,2,FALSE)</f>
        <v>0.08</v>
      </c>
      <c r="U458" s="230">
        <f>VLOOKUP(P458,'PREMIUM TABLES'!$G$208:$H$209,2,FALSE)</f>
        <v>2.5000000000000001E-2</v>
      </c>
      <c r="V458" s="230">
        <f>VLOOKUP(Q458,'PREMIUM TABLES'!$G$175:$H$195,2,FALSE)</f>
        <v>0.6</v>
      </c>
      <c r="W458" s="230">
        <f>VLOOKUP(R458,'PREMIUM TABLES'!$G$214:$H$219,2,FALSE)</f>
        <v>7.0000000000000007E-2</v>
      </c>
      <c r="X458" s="230">
        <f>VLOOKUP(S458,'PREMIUM TABLES'!$F$199:$H$205,3,FALSE)</f>
        <v>3.5000000000000003E-2</v>
      </c>
      <c r="Y458" s="231">
        <f t="shared" si="74"/>
        <v>0.80999999999999994</v>
      </c>
      <c r="Z458" s="231" t="str" cm="1">
        <f t="array" ref="Z458">IF(AND(Y458&gt;0,Y458&lt;0.5),"C",IF(AND(Y458&gt;=0.5,Y458&lt;0.73),"B",IF(AND(Y458&gt;=0.73,Y458&lt;0.98),"A",NONE)))</f>
        <v>A</v>
      </c>
      <c r="AA458" s="231" t="str">
        <f>VLOOKUP(G458,'ALL (R)'!$N$5:$R$862,5,FALSE)</f>
        <v>R 7</v>
      </c>
      <c r="AB458" s="232">
        <f>VLOOKUP(AA458,FACTS!$B$2:$L$14,10,FALSE)</f>
        <v>50150</v>
      </c>
      <c r="AC458" s="232">
        <f>VLOOKUP(AA458,FACTS!$B$2:$L$14,11,FALSE)</f>
        <v>56050</v>
      </c>
      <c r="AD458" s="232">
        <f>VLOOKUP(AA458,FACTS!$B$2:$N$14,13,FALSE)</f>
        <v>5900</v>
      </c>
      <c r="AE458" s="232">
        <f t="shared" si="75"/>
        <v>4779</v>
      </c>
      <c r="AF458" s="232">
        <f t="shared" si="76"/>
        <v>54929</v>
      </c>
      <c r="AG458" s="232">
        <f>AF458*FACTS!$T$2</f>
        <v>18126.57</v>
      </c>
      <c r="AH458" s="232">
        <f>Table1[[#This Row],[UNIT (BUILDING) RATE (SEMI FINISHED)]]+4500</f>
        <v>59429</v>
      </c>
      <c r="AI458" s="232">
        <f>Table1[[#This Row],[UNIT (BUILDING) RATE (SEMI FINISHED)]]+7500</f>
        <v>62429</v>
      </c>
      <c r="AJ458" s="232">
        <f t="shared" si="77"/>
        <v>8513995</v>
      </c>
      <c r="AK458" s="232">
        <f>Table1[[#This Row],[UNIT (BUILDING) RATE (BASIC FINISH)]]*Table1[[#This Row],[Unit Selling Area]]</f>
        <v>9211495</v>
      </c>
      <c r="AL458" s="232">
        <f>Table1[[#This Row],[UNIT (BUILDING) RATE (FULLY FINISH)]]*Table1[[#This Row],[Unit Selling Area]]</f>
        <v>9676495</v>
      </c>
      <c r="AM458" s="232">
        <f t="shared" si="78"/>
        <v>0</v>
      </c>
      <c r="AN458" s="232">
        <f>(AM458+AJ458)*FACTS!$S$2</f>
        <v>723689.57500000007</v>
      </c>
      <c r="AO458" s="101">
        <f>VLOOKUP(S458,FACTS!$A$17:$C$23,3,FALSE)</f>
        <v>2</v>
      </c>
      <c r="AP458" s="232">
        <f>VLOOKUP(AA458,FACTS!$B$2:$J$14,9,FALSE)</f>
        <v>236000</v>
      </c>
      <c r="AQ458" s="232">
        <f>Table1[[#This Row],[PARKING VALUE]]*1</f>
        <v>236000</v>
      </c>
      <c r="AR458" s="232">
        <f t="shared" si="72"/>
        <v>8749995</v>
      </c>
      <c r="AS458" s="440">
        <f>Table1[[#This Row],[TOTAL CARS VALUE]]+Table1[[#This Row],[UNIT (BUILDING) VALUE BASIC FINISHED]]+Table1[[#This Row],[UNIT (GARDEN) VALUE]]</f>
        <v>9447495</v>
      </c>
      <c r="AT458" s="232">
        <f>Table1[[#This Row],[TOTAL CARS VALUE]]+Table1[[#This Row],[UNIT (GARDEN) VALUE]]+Table1[[#This Row],[UNIT (BUILDING) VALUE FULLY FINISHED]]</f>
        <v>9912495</v>
      </c>
      <c r="AU458" s="233">
        <f>VLOOKUP(I458,'C PHASES'!$I$108:$J$110,2,FALSE)</f>
        <v>45839</v>
      </c>
      <c r="AV458" s="233">
        <f>VLOOKUP(AA458,'C PHASES'!$I$113:$J$125,2,FALSE)</f>
        <v>45748</v>
      </c>
    </row>
    <row r="459" spans="1:48" x14ac:dyDescent="0.25">
      <c r="A459" s="235"/>
      <c r="B459" s="227" t="str">
        <f t="shared" si="71"/>
        <v>B</v>
      </c>
      <c r="C459" s="227" t="s">
        <v>93</v>
      </c>
      <c r="D459" s="227" t="s">
        <v>1147</v>
      </c>
      <c r="E459" s="228">
        <v>1</v>
      </c>
      <c r="F459" s="101">
        <v>3</v>
      </c>
      <c r="G459" s="87" t="str">
        <f t="shared" si="73"/>
        <v>B1513</v>
      </c>
      <c r="H459" s="87" t="s">
        <v>1294</v>
      </c>
      <c r="I459" s="89" t="str">
        <f>VLOOKUP(C459,'PREMIUM TABLES'!$G$107:$H$149,2,FALSE)</f>
        <v>C1</v>
      </c>
      <c r="J459" s="87">
        <v>131.43</v>
      </c>
      <c r="K459" s="87">
        <v>142.71764950814548</v>
      </c>
      <c r="L459" s="87">
        <v>160</v>
      </c>
      <c r="O459" s="87" t="s">
        <v>187</v>
      </c>
      <c r="P459" s="87" t="s">
        <v>226</v>
      </c>
      <c r="Q459" s="229" t="s">
        <v>227</v>
      </c>
      <c r="R459" s="87" t="str">
        <f>VLOOKUP(E459,'PREMIUM TABLES'!$F$214:$G$219,2,FALSE)</f>
        <v>FIRST</v>
      </c>
      <c r="S459" s="87" t="str" cm="1">
        <f t="array" ref="S459">IF(AND(L459&gt;0,L459&lt;90),"A",IF(AND(L459&gt;90,L459&lt;123),"B",IF(AND(L459&gt;122,L459&lt;159),"C",IF(AND(L459&gt;159,L459&lt;185),"D",IF(AND(L459&gt;185,L459&lt;230),"E",IF(AND(L459&gt;230,L459&lt;350),"F",NONE))))))</f>
        <v>D</v>
      </c>
      <c r="T459" s="230">
        <f>VLOOKUP(O459,'PREMIUM TABLES'!$G$165:$H$172,2,FALSE)</f>
        <v>0.08</v>
      </c>
      <c r="U459" s="230">
        <f>VLOOKUP(P459,'PREMIUM TABLES'!$G$208:$H$209,2,FALSE)</f>
        <v>0.05</v>
      </c>
      <c r="V459" s="230">
        <f>VLOOKUP(Q459,'PREMIUM TABLES'!$G$175:$H$195,2,FALSE)</f>
        <v>0.48</v>
      </c>
      <c r="W459" s="230">
        <f>VLOOKUP(R459,'PREMIUM TABLES'!$G$214:$H$219,2,FALSE)</f>
        <v>7.0000000000000007E-2</v>
      </c>
      <c r="X459" s="230">
        <f>VLOOKUP(S459,'PREMIUM TABLES'!$F$199:$H$205,3,FALSE)</f>
        <v>2.5000000000000001E-2</v>
      </c>
      <c r="Y459" s="231">
        <f t="shared" si="74"/>
        <v>0.70499999999999996</v>
      </c>
      <c r="Z459" s="231" t="str" cm="1">
        <f t="array" ref="Z459">IF(AND(Y459&gt;0,Y459&lt;0.5),"C",IF(AND(Y459&gt;=0.5,Y459&lt;0.73),"B",IF(AND(Y459&gt;=0.73,Y459&lt;0.98),"A",NONE)))</f>
        <v>B</v>
      </c>
      <c r="AA459" s="231" t="str">
        <f>VLOOKUP(G459,'ALL (R)'!$N$5:$R$862,5,FALSE)</f>
        <v>R 9</v>
      </c>
      <c r="AB459" s="232">
        <f>VLOOKUP(AA459,FACTS!$B$2:$L$14,10,FALSE)</f>
        <v>53550</v>
      </c>
      <c r="AC459" s="232">
        <f>VLOOKUP(AA459,FACTS!$B$2:$L$14,11,FALSE)</f>
        <v>59850</v>
      </c>
      <c r="AD459" s="232">
        <f>VLOOKUP(AA459,FACTS!$B$2:$N$14,13,FALSE)</f>
        <v>6300</v>
      </c>
      <c r="AE459" s="232">
        <f t="shared" si="75"/>
        <v>4441.5</v>
      </c>
      <c r="AF459" s="232">
        <f t="shared" si="76"/>
        <v>57991.5</v>
      </c>
      <c r="AG459" s="232">
        <f>AF459*FACTS!$T$2</f>
        <v>19137.195</v>
      </c>
      <c r="AH459" s="232">
        <f>Table1[[#This Row],[UNIT (BUILDING) RATE (SEMI FINISHED)]]+4500</f>
        <v>62491.5</v>
      </c>
      <c r="AI459" s="232">
        <f>Table1[[#This Row],[UNIT (BUILDING) RATE (SEMI FINISHED)]]+7500</f>
        <v>65491.5</v>
      </c>
      <c r="AJ459" s="232">
        <f t="shared" si="77"/>
        <v>9278640</v>
      </c>
      <c r="AK459" s="232">
        <f>Table1[[#This Row],[UNIT (BUILDING) RATE (BASIC FINISH)]]*Table1[[#This Row],[Unit Selling Area]]</f>
        <v>9998640</v>
      </c>
      <c r="AL459" s="232">
        <f>Table1[[#This Row],[UNIT (BUILDING) RATE (FULLY FINISH)]]*Table1[[#This Row],[Unit Selling Area]]</f>
        <v>10478640</v>
      </c>
      <c r="AM459" s="232">
        <f t="shared" si="78"/>
        <v>0</v>
      </c>
      <c r="AN459" s="232">
        <f>(AM459+AJ459)*FACTS!$S$2</f>
        <v>788684.4</v>
      </c>
      <c r="AO459" s="101">
        <f>VLOOKUP(S459,FACTS!$A$17:$C$23,3,FALSE)</f>
        <v>2</v>
      </c>
      <c r="AP459" s="232">
        <f>VLOOKUP(AA459,FACTS!$B$2:$J$14,9,FALSE)</f>
        <v>252000</v>
      </c>
      <c r="AQ459" s="232">
        <f>Table1[[#This Row],[PARKING VALUE]]*1</f>
        <v>252000</v>
      </c>
      <c r="AR459" s="232">
        <f t="shared" si="72"/>
        <v>9530640</v>
      </c>
      <c r="AS459" s="440">
        <f>Table1[[#This Row],[TOTAL CARS VALUE]]+Table1[[#This Row],[UNIT (BUILDING) VALUE BASIC FINISHED]]+Table1[[#This Row],[UNIT (GARDEN) VALUE]]</f>
        <v>10250640</v>
      </c>
      <c r="AT459" s="232">
        <f>Table1[[#This Row],[TOTAL CARS VALUE]]+Table1[[#This Row],[UNIT (GARDEN) VALUE]]+Table1[[#This Row],[UNIT (BUILDING) VALUE FULLY FINISHED]]</f>
        <v>10730640</v>
      </c>
      <c r="AU459" s="233">
        <f>VLOOKUP(I459,'C PHASES'!$I$108:$J$110,2,FALSE)</f>
        <v>45839</v>
      </c>
      <c r="AV459" s="233">
        <f>VLOOKUP(AA459,'C PHASES'!$I$113:$J$125,2,FALSE)</f>
        <v>45931</v>
      </c>
    </row>
    <row r="460" spans="1:48" x14ac:dyDescent="0.25">
      <c r="A460" s="235"/>
      <c r="B460" s="227" t="str">
        <f t="shared" si="71"/>
        <v>B</v>
      </c>
      <c r="C460" s="227" t="s">
        <v>93</v>
      </c>
      <c r="D460" s="227" t="s">
        <v>1147</v>
      </c>
      <c r="E460" s="228">
        <v>1</v>
      </c>
      <c r="F460" s="101">
        <v>4</v>
      </c>
      <c r="G460" s="87" t="str">
        <f t="shared" si="73"/>
        <v>B1514</v>
      </c>
      <c r="H460" s="87" t="s">
        <v>1294</v>
      </c>
      <c r="I460" s="89" t="str">
        <f>VLOOKUP(C460,'PREMIUM TABLES'!$G$107:$H$149,2,FALSE)</f>
        <v>C1</v>
      </c>
      <c r="J460" s="87">
        <v>129.04</v>
      </c>
      <c r="K460" s="87">
        <v>140.12238828677692</v>
      </c>
      <c r="L460" s="87">
        <v>157</v>
      </c>
      <c r="O460" s="87" t="s">
        <v>180</v>
      </c>
      <c r="P460" s="87" t="s">
        <v>226</v>
      </c>
      <c r="Q460" s="229" t="s">
        <v>198</v>
      </c>
      <c r="R460" s="87" t="str">
        <f>VLOOKUP(E460,'PREMIUM TABLES'!$F$214:$G$219,2,FALSE)</f>
        <v>FIRST</v>
      </c>
      <c r="S460" s="87" t="str" cm="1">
        <f t="array" ref="S460">IF(AND(L460&gt;0,L460&lt;90),"A",IF(AND(L460&gt;90,L460&lt;123),"B",IF(AND(L460&gt;122,L460&lt;159),"C",IF(AND(L460&gt;159,L460&lt;185),"D",IF(AND(L460&gt;185,L460&lt;230),"E",IF(AND(L460&gt;230,L460&lt;350),"F",NONE))))))</f>
        <v>C</v>
      </c>
      <c r="T460" s="230">
        <f>VLOOKUP(O460,'PREMIUM TABLES'!$G$165:$H$172,2,FALSE)</f>
        <v>0.13</v>
      </c>
      <c r="U460" s="230">
        <f>VLOOKUP(P460,'PREMIUM TABLES'!$G$208:$H$209,2,FALSE)</f>
        <v>0.05</v>
      </c>
      <c r="V460" s="230">
        <f>VLOOKUP(Q460,'PREMIUM TABLES'!$G$175:$H$195,2,FALSE)</f>
        <v>0.15</v>
      </c>
      <c r="W460" s="230">
        <f>VLOOKUP(R460,'PREMIUM TABLES'!$G$214:$H$219,2,FALSE)</f>
        <v>7.0000000000000007E-2</v>
      </c>
      <c r="X460" s="230">
        <f>VLOOKUP(S460,'PREMIUM TABLES'!$F$199:$H$205,3,FALSE)</f>
        <v>3.5000000000000003E-2</v>
      </c>
      <c r="Y460" s="231">
        <f t="shared" si="74"/>
        <v>0.43499999999999994</v>
      </c>
      <c r="Z460" s="231" t="str" cm="1">
        <f t="array" ref="Z460">IF(AND(Y460&gt;0,Y460&lt;0.5),"C",IF(AND(Y460&gt;=0.5,Y460&lt;0.73),"B",IF(AND(Y460&gt;=0.73,Y460&lt;0.98),"A",NONE)))</f>
        <v>C</v>
      </c>
      <c r="AA460" s="231" t="str">
        <f>VLOOKUP(G460,'ALL (R)'!$N$5:$R$862,5,FALSE)</f>
        <v>R 8</v>
      </c>
      <c r="AB460" s="232">
        <f>VLOOKUP(AA460,FACTS!$B$2:$L$14,10,FALSE)</f>
        <v>51850</v>
      </c>
      <c r="AC460" s="232">
        <f>VLOOKUP(AA460,FACTS!$B$2:$L$14,11,FALSE)</f>
        <v>57950</v>
      </c>
      <c r="AD460" s="232">
        <f>VLOOKUP(AA460,FACTS!$B$2:$N$14,13,FALSE)</f>
        <v>6100</v>
      </c>
      <c r="AE460" s="232">
        <f t="shared" si="75"/>
        <v>2653.4999999999995</v>
      </c>
      <c r="AF460" s="232">
        <f t="shared" si="76"/>
        <v>54503.5</v>
      </c>
      <c r="AG460" s="232">
        <f>AF460*FACTS!$T$2</f>
        <v>17986.155000000002</v>
      </c>
      <c r="AH460" s="232">
        <f>Table1[[#This Row],[UNIT (BUILDING) RATE (SEMI FINISHED)]]+4500</f>
        <v>59003.5</v>
      </c>
      <c r="AI460" s="232">
        <f>Table1[[#This Row],[UNIT (BUILDING) RATE (SEMI FINISHED)]]+7500</f>
        <v>62003.5</v>
      </c>
      <c r="AJ460" s="232">
        <f t="shared" si="77"/>
        <v>8557049.5</v>
      </c>
      <c r="AK460" s="232">
        <f>Table1[[#This Row],[UNIT (BUILDING) RATE (BASIC FINISH)]]*Table1[[#This Row],[Unit Selling Area]]</f>
        <v>9263549.5</v>
      </c>
      <c r="AL460" s="232">
        <f>Table1[[#This Row],[UNIT (BUILDING) RATE (FULLY FINISH)]]*Table1[[#This Row],[Unit Selling Area]]</f>
        <v>9734549.5</v>
      </c>
      <c r="AM460" s="232">
        <f t="shared" si="78"/>
        <v>0</v>
      </c>
      <c r="AN460" s="232">
        <f>(AM460+AJ460)*FACTS!$S$2</f>
        <v>727349.20750000002</v>
      </c>
      <c r="AO460" s="101">
        <f>VLOOKUP(S460,FACTS!$A$17:$C$23,3,FALSE)</f>
        <v>2</v>
      </c>
      <c r="AP460" s="232">
        <f>VLOOKUP(AA460,FACTS!$B$2:$J$14,9,FALSE)</f>
        <v>244000</v>
      </c>
      <c r="AQ460" s="232">
        <f>Table1[[#This Row],[PARKING VALUE]]*1</f>
        <v>244000</v>
      </c>
      <c r="AR460" s="232">
        <f t="shared" si="72"/>
        <v>8801049.5</v>
      </c>
      <c r="AS460" s="440">
        <f>Table1[[#This Row],[TOTAL CARS VALUE]]+Table1[[#This Row],[UNIT (BUILDING) VALUE BASIC FINISHED]]+Table1[[#This Row],[UNIT (GARDEN) VALUE]]</f>
        <v>9507549.5</v>
      </c>
      <c r="AT460" s="232">
        <f>Table1[[#This Row],[TOTAL CARS VALUE]]+Table1[[#This Row],[UNIT (GARDEN) VALUE]]+Table1[[#This Row],[UNIT (BUILDING) VALUE FULLY FINISHED]]</f>
        <v>9978549.5</v>
      </c>
      <c r="AU460" s="233">
        <f>VLOOKUP(I460,'C PHASES'!$I$108:$J$110,2,FALSE)</f>
        <v>45839</v>
      </c>
      <c r="AV460" s="233">
        <f>VLOOKUP(AA460,'C PHASES'!$I$113:$J$125,2,FALSE)</f>
        <v>45839</v>
      </c>
    </row>
    <row r="461" spans="1:48" x14ac:dyDescent="0.25">
      <c r="A461" s="235"/>
      <c r="B461" s="227" t="str">
        <f t="shared" si="71"/>
        <v>B</v>
      </c>
      <c r="C461" s="227" t="s">
        <v>93</v>
      </c>
      <c r="D461" s="227" t="s">
        <v>1147</v>
      </c>
      <c r="E461" s="228">
        <v>2</v>
      </c>
      <c r="F461" s="101">
        <v>1</v>
      </c>
      <c r="G461" s="87" t="str">
        <f t="shared" si="73"/>
        <v>B1521</v>
      </c>
      <c r="H461" s="87" t="s">
        <v>1294</v>
      </c>
      <c r="I461" s="89" t="str">
        <f>VLOOKUP(C461,'PREMIUM TABLES'!$G$107:$H$149,2,FALSE)</f>
        <v>C1</v>
      </c>
      <c r="J461" s="87">
        <v>127.15</v>
      </c>
      <c r="K461" s="87">
        <v>138.07006874351899</v>
      </c>
      <c r="L461" s="87">
        <v>155</v>
      </c>
      <c r="O461" s="87" t="s">
        <v>180</v>
      </c>
      <c r="P461" s="87" t="s">
        <v>190</v>
      </c>
      <c r="Q461" s="229" t="s">
        <v>198</v>
      </c>
      <c r="R461" s="87" t="str">
        <f>VLOOKUP(E461,'PREMIUM TABLES'!$F$214:$G$219,2,FALSE)</f>
        <v>SECOND</v>
      </c>
      <c r="S461" s="87" t="str" cm="1">
        <f t="array" ref="S461">IF(AND(L461&gt;0,L461&lt;90),"A",IF(AND(L461&gt;90,L461&lt;123),"B",IF(AND(L461&gt;122,L461&lt;159),"C",IF(AND(L461&gt;159,L461&lt;185),"D",IF(AND(L461&gt;185,L461&lt;230),"E",IF(AND(L461&gt;230,L461&lt;350),"F",NONE))))))</f>
        <v>C</v>
      </c>
      <c r="T461" s="230">
        <f>VLOOKUP(O461,'PREMIUM TABLES'!$G$165:$H$172,2,FALSE)</f>
        <v>0.13</v>
      </c>
      <c r="U461" s="230">
        <f>VLOOKUP(P461,'PREMIUM TABLES'!$G$208:$H$209,2,FALSE)</f>
        <v>2.5000000000000001E-2</v>
      </c>
      <c r="V461" s="230">
        <f>VLOOKUP(Q461,'PREMIUM TABLES'!$G$175:$H$195,2,FALSE)</f>
        <v>0.15</v>
      </c>
      <c r="W461" s="230">
        <f>VLOOKUP(R461,'PREMIUM TABLES'!$G$214:$H$219,2,FALSE)</f>
        <v>0.11</v>
      </c>
      <c r="X461" s="230">
        <f>VLOOKUP(S461,'PREMIUM TABLES'!$F$199:$H$205,3,FALSE)</f>
        <v>3.5000000000000003E-2</v>
      </c>
      <c r="Y461" s="231">
        <f t="shared" si="74"/>
        <v>0.44999999999999996</v>
      </c>
      <c r="Z461" s="231" t="str" cm="1">
        <f t="array" ref="Z461">IF(AND(Y461&gt;0,Y461&lt;0.5),"C",IF(AND(Y461&gt;=0.5,Y461&lt;0.73),"B",IF(AND(Y461&gt;=0.73,Y461&lt;0.98),"A",NONE)))</f>
        <v>C</v>
      </c>
      <c r="AA461" s="231" t="str">
        <f>VLOOKUP(G461,'ALL (R)'!$N$5:$R$862,5,FALSE)</f>
        <v>R 9</v>
      </c>
      <c r="AB461" s="232">
        <f>VLOOKUP(AA461,FACTS!$B$2:$L$14,10,FALSE)</f>
        <v>53550</v>
      </c>
      <c r="AC461" s="232">
        <f>VLOOKUP(AA461,FACTS!$B$2:$L$14,11,FALSE)</f>
        <v>59850</v>
      </c>
      <c r="AD461" s="232">
        <f>VLOOKUP(AA461,FACTS!$B$2:$N$14,13,FALSE)</f>
        <v>6300</v>
      </c>
      <c r="AE461" s="232">
        <f t="shared" si="75"/>
        <v>2834.9999999999995</v>
      </c>
      <c r="AF461" s="232">
        <f t="shared" si="76"/>
        <v>56385</v>
      </c>
      <c r="AG461" s="232">
        <f>AF461*FACTS!$T$2</f>
        <v>18607.05</v>
      </c>
      <c r="AH461" s="232">
        <f>Table1[[#This Row],[UNIT (BUILDING) RATE (SEMI FINISHED)]]+4500</f>
        <v>60885</v>
      </c>
      <c r="AI461" s="232">
        <f>Table1[[#This Row],[UNIT (BUILDING) RATE (SEMI FINISHED)]]+7500</f>
        <v>63885</v>
      </c>
      <c r="AJ461" s="232">
        <f t="shared" si="77"/>
        <v>8739675</v>
      </c>
      <c r="AK461" s="232">
        <f>Table1[[#This Row],[UNIT (BUILDING) RATE (BASIC FINISH)]]*Table1[[#This Row],[Unit Selling Area]]</f>
        <v>9437175</v>
      </c>
      <c r="AL461" s="232">
        <f>Table1[[#This Row],[UNIT (BUILDING) RATE (FULLY FINISH)]]*Table1[[#This Row],[Unit Selling Area]]</f>
        <v>9902175</v>
      </c>
      <c r="AM461" s="232">
        <f t="shared" si="78"/>
        <v>0</v>
      </c>
      <c r="AN461" s="232">
        <f>(AM461+AJ461)*FACTS!$S$2</f>
        <v>742872.375</v>
      </c>
      <c r="AO461" s="101">
        <f>VLOOKUP(S461,FACTS!$A$17:$C$23,3,FALSE)</f>
        <v>2</v>
      </c>
      <c r="AP461" s="232">
        <f>VLOOKUP(AA461,FACTS!$B$2:$J$14,9,FALSE)</f>
        <v>252000</v>
      </c>
      <c r="AQ461" s="232">
        <f>Table1[[#This Row],[PARKING VALUE]]*1</f>
        <v>252000</v>
      </c>
      <c r="AR461" s="232">
        <f t="shared" si="72"/>
        <v>8991675</v>
      </c>
      <c r="AS461" s="440">
        <f>Table1[[#This Row],[TOTAL CARS VALUE]]+Table1[[#This Row],[UNIT (BUILDING) VALUE BASIC FINISHED]]+Table1[[#This Row],[UNIT (GARDEN) VALUE]]</f>
        <v>9689175</v>
      </c>
      <c r="AT461" s="232">
        <f>Table1[[#This Row],[TOTAL CARS VALUE]]+Table1[[#This Row],[UNIT (GARDEN) VALUE]]+Table1[[#This Row],[UNIT (BUILDING) VALUE FULLY FINISHED]]</f>
        <v>10154175</v>
      </c>
      <c r="AU461" s="233">
        <f>VLOOKUP(I461,'C PHASES'!$I$108:$J$110,2,FALSE)</f>
        <v>45839</v>
      </c>
      <c r="AV461" s="233">
        <f>VLOOKUP(AA461,'C PHASES'!$I$113:$J$125,2,FALSE)</f>
        <v>45931</v>
      </c>
    </row>
    <row r="462" spans="1:48" x14ac:dyDescent="0.25">
      <c r="A462" s="235"/>
      <c r="B462" s="227" t="str">
        <f t="shared" si="71"/>
        <v>B</v>
      </c>
      <c r="C462" s="227" t="s">
        <v>93</v>
      </c>
      <c r="D462" s="227" t="s">
        <v>1147</v>
      </c>
      <c r="E462" s="228">
        <v>2</v>
      </c>
      <c r="F462" s="101">
        <v>2</v>
      </c>
      <c r="G462" s="87" t="str">
        <f t="shared" si="73"/>
        <v>B1522</v>
      </c>
      <c r="H462" s="87" t="s">
        <v>1294</v>
      </c>
      <c r="I462" s="89" t="str">
        <f>VLOOKUP(C462,'PREMIUM TABLES'!$G$107:$H$149,2,FALSE)</f>
        <v>C1</v>
      </c>
      <c r="J462" s="87">
        <v>126.95</v>
      </c>
      <c r="K462" s="87">
        <v>137.85289207227476</v>
      </c>
      <c r="L462" s="87">
        <v>155</v>
      </c>
      <c r="O462" s="87" t="s">
        <v>187</v>
      </c>
      <c r="P462" s="87" t="s">
        <v>190</v>
      </c>
      <c r="Q462" s="229" t="s">
        <v>209</v>
      </c>
      <c r="R462" s="87" t="str">
        <f>VLOOKUP(E462,'PREMIUM TABLES'!$F$214:$G$219,2,FALSE)</f>
        <v>SECOND</v>
      </c>
      <c r="S462" s="87" t="str" cm="1">
        <f t="array" ref="S462">IF(AND(L462&gt;0,L462&lt;90),"A",IF(AND(L462&gt;90,L462&lt;123),"B",IF(AND(L462&gt;122,L462&lt;159),"C",IF(AND(L462&gt;159,L462&lt;185),"D",IF(AND(L462&gt;185,L462&lt;230),"E",IF(AND(L462&gt;230,L462&lt;350),"F",NONE))))))</f>
        <v>C</v>
      </c>
      <c r="T462" s="230">
        <f>VLOOKUP(O462,'PREMIUM TABLES'!$G$165:$H$172,2,FALSE)</f>
        <v>0.08</v>
      </c>
      <c r="U462" s="230">
        <f>VLOOKUP(P462,'PREMIUM TABLES'!$G$208:$H$209,2,FALSE)</f>
        <v>2.5000000000000001E-2</v>
      </c>
      <c r="V462" s="230">
        <f>VLOOKUP(Q462,'PREMIUM TABLES'!$G$175:$H$195,2,FALSE)</f>
        <v>0.6</v>
      </c>
      <c r="W462" s="230">
        <f>VLOOKUP(R462,'PREMIUM TABLES'!$G$214:$H$219,2,FALSE)</f>
        <v>0.11</v>
      </c>
      <c r="X462" s="230">
        <f>VLOOKUP(S462,'PREMIUM TABLES'!$F$199:$H$205,3,FALSE)</f>
        <v>3.5000000000000003E-2</v>
      </c>
      <c r="Y462" s="231">
        <f t="shared" si="74"/>
        <v>0.85</v>
      </c>
      <c r="Z462" s="231" t="str" cm="1">
        <f t="array" ref="Z462">IF(AND(Y462&gt;0,Y462&lt;0.5),"C",IF(AND(Y462&gt;=0.5,Y462&lt;0.73),"B",IF(AND(Y462&gt;=0.73,Y462&lt;0.98),"A",NONE)))</f>
        <v>A</v>
      </c>
      <c r="AA462" s="231" t="str">
        <f>VLOOKUP(G462,'ALL (R)'!$N$5:$R$862,5,FALSE)</f>
        <v>R 8</v>
      </c>
      <c r="AB462" s="232">
        <f>VLOOKUP(AA462,FACTS!$B$2:$L$14,10,FALSE)</f>
        <v>51850</v>
      </c>
      <c r="AC462" s="232">
        <f>VLOOKUP(AA462,FACTS!$B$2:$L$14,11,FALSE)</f>
        <v>57950</v>
      </c>
      <c r="AD462" s="232">
        <f>VLOOKUP(AA462,FACTS!$B$2:$N$14,13,FALSE)</f>
        <v>6100</v>
      </c>
      <c r="AE462" s="232">
        <f t="shared" si="75"/>
        <v>5185</v>
      </c>
      <c r="AF462" s="232">
        <f t="shared" si="76"/>
        <v>57035</v>
      </c>
      <c r="AG462" s="232">
        <f>AF462*FACTS!$T$2</f>
        <v>18821.55</v>
      </c>
      <c r="AH462" s="232">
        <f>Table1[[#This Row],[UNIT (BUILDING) RATE (SEMI FINISHED)]]+4500</f>
        <v>61535</v>
      </c>
      <c r="AI462" s="232">
        <f>Table1[[#This Row],[UNIT (BUILDING) RATE (SEMI FINISHED)]]+7500</f>
        <v>64535</v>
      </c>
      <c r="AJ462" s="232">
        <f t="shared" si="77"/>
        <v>8840425</v>
      </c>
      <c r="AK462" s="232">
        <f>Table1[[#This Row],[UNIT (BUILDING) RATE (BASIC FINISH)]]*Table1[[#This Row],[Unit Selling Area]]</f>
        <v>9537925</v>
      </c>
      <c r="AL462" s="232">
        <f>Table1[[#This Row],[UNIT (BUILDING) RATE (FULLY FINISH)]]*Table1[[#This Row],[Unit Selling Area]]</f>
        <v>10002925</v>
      </c>
      <c r="AM462" s="232">
        <f t="shared" si="78"/>
        <v>0</v>
      </c>
      <c r="AN462" s="232">
        <f>(AM462+AJ462)*FACTS!$S$2</f>
        <v>751436.125</v>
      </c>
      <c r="AO462" s="101">
        <f>VLOOKUP(S462,FACTS!$A$17:$C$23,3,FALSE)</f>
        <v>2</v>
      </c>
      <c r="AP462" s="232">
        <f>VLOOKUP(AA462,FACTS!$B$2:$J$14,9,FALSE)</f>
        <v>244000</v>
      </c>
      <c r="AQ462" s="232">
        <f>Table1[[#This Row],[PARKING VALUE]]*1</f>
        <v>244000</v>
      </c>
      <c r="AR462" s="232">
        <f t="shared" si="72"/>
        <v>9084425</v>
      </c>
      <c r="AS462" s="440">
        <f>Table1[[#This Row],[TOTAL CARS VALUE]]+Table1[[#This Row],[UNIT (BUILDING) VALUE BASIC FINISHED]]+Table1[[#This Row],[UNIT (GARDEN) VALUE]]</f>
        <v>9781925</v>
      </c>
      <c r="AT462" s="232">
        <f>Table1[[#This Row],[TOTAL CARS VALUE]]+Table1[[#This Row],[UNIT (GARDEN) VALUE]]+Table1[[#This Row],[UNIT (BUILDING) VALUE FULLY FINISHED]]</f>
        <v>10246925</v>
      </c>
      <c r="AU462" s="233">
        <f>VLOOKUP(I462,'C PHASES'!$I$108:$J$110,2,FALSE)</f>
        <v>45839</v>
      </c>
      <c r="AV462" s="233">
        <f>VLOOKUP(AA462,'C PHASES'!$I$113:$J$125,2,FALSE)</f>
        <v>45839</v>
      </c>
    </row>
    <row r="463" spans="1:48" x14ac:dyDescent="0.25">
      <c r="A463" s="235"/>
      <c r="B463" s="227" t="str">
        <f t="shared" si="71"/>
        <v>B</v>
      </c>
      <c r="C463" s="227" t="s">
        <v>93</v>
      </c>
      <c r="D463" s="227" t="s">
        <v>1147</v>
      </c>
      <c r="E463" s="228">
        <v>2</v>
      </c>
      <c r="F463" s="101">
        <v>3</v>
      </c>
      <c r="G463" s="87" t="str">
        <f t="shared" si="73"/>
        <v>B1523</v>
      </c>
      <c r="H463" s="87" t="s">
        <v>1294</v>
      </c>
      <c r="I463" s="89" t="str">
        <f>VLOOKUP(C463,'PREMIUM TABLES'!$G$107:$H$149,2,FALSE)</f>
        <v>C1</v>
      </c>
      <c r="J463" s="87">
        <v>131.44</v>
      </c>
      <c r="K463" s="87">
        <v>142.72850834170771</v>
      </c>
      <c r="L463" s="87">
        <v>160</v>
      </c>
      <c r="O463" s="87" t="s">
        <v>187</v>
      </c>
      <c r="P463" s="87" t="s">
        <v>226</v>
      </c>
      <c r="Q463" s="229" t="s">
        <v>227</v>
      </c>
      <c r="R463" s="87" t="str">
        <f>VLOOKUP(E463,'PREMIUM TABLES'!$F$214:$G$219,2,FALSE)</f>
        <v>SECOND</v>
      </c>
      <c r="S463" s="87" t="str" cm="1">
        <f t="array" ref="S463">IF(AND(L463&gt;0,L463&lt;90),"A",IF(AND(L463&gt;90,L463&lt;123),"B",IF(AND(L463&gt;122,L463&lt;159),"C",IF(AND(L463&gt;159,L463&lt;185),"D",IF(AND(L463&gt;185,L463&lt;230),"E",IF(AND(L463&gt;230,L463&lt;350),"F",NONE))))))</f>
        <v>D</v>
      </c>
      <c r="T463" s="230">
        <f>VLOOKUP(O463,'PREMIUM TABLES'!$G$165:$H$172,2,FALSE)</f>
        <v>0.08</v>
      </c>
      <c r="U463" s="230">
        <f>VLOOKUP(P463,'PREMIUM TABLES'!$G$208:$H$209,2,FALSE)</f>
        <v>0.05</v>
      </c>
      <c r="V463" s="230">
        <f>VLOOKUP(Q463,'PREMIUM TABLES'!$G$175:$H$195,2,FALSE)</f>
        <v>0.48</v>
      </c>
      <c r="W463" s="230">
        <f>VLOOKUP(R463,'PREMIUM TABLES'!$G$214:$H$219,2,FALSE)</f>
        <v>0.11</v>
      </c>
      <c r="X463" s="230">
        <f>VLOOKUP(S463,'PREMIUM TABLES'!$F$199:$H$205,3,FALSE)</f>
        <v>2.5000000000000001E-2</v>
      </c>
      <c r="Y463" s="231">
        <f t="shared" si="74"/>
        <v>0.745</v>
      </c>
      <c r="Z463" s="231" t="str" cm="1">
        <f t="array" ref="Z463">IF(AND(Y463&gt;0,Y463&lt;0.5),"C",IF(AND(Y463&gt;=0.5,Y463&lt;0.73),"B",IF(AND(Y463&gt;=0.73,Y463&lt;0.98),"A",NONE)))</f>
        <v>A</v>
      </c>
      <c r="AA463" s="231" t="str">
        <f>VLOOKUP(G463,'ALL (R)'!$N$5:$R$862,5,FALSE)</f>
        <v>R 1</v>
      </c>
      <c r="AB463" s="232">
        <f>VLOOKUP(AA463,FACTS!$B$2:$L$14,10,FALSE)</f>
        <v>42500</v>
      </c>
      <c r="AC463" s="232">
        <f>VLOOKUP(AA463,FACTS!$B$2:$L$14,11,FALSE)</f>
        <v>47500</v>
      </c>
      <c r="AD463" s="232">
        <f>VLOOKUP(AA463,FACTS!$B$2:$N$14,13,FALSE)</f>
        <v>5000</v>
      </c>
      <c r="AE463" s="232">
        <f t="shared" si="75"/>
        <v>3725</v>
      </c>
      <c r="AF463" s="232">
        <f t="shared" si="76"/>
        <v>46225</v>
      </c>
      <c r="AG463" s="232">
        <f>AF463*FACTS!$T$2</f>
        <v>15254.25</v>
      </c>
      <c r="AH463" s="232">
        <f>Table1[[#This Row],[UNIT (BUILDING) RATE (SEMI FINISHED)]]+4500</f>
        <v>50725</v>
      </c>
      <c r="AI463" s="232">
        <f>Table1[[#This Row],[UNIT (BUILDING) RATE (SEMI FINISHED)]]+7500</f>
        <v>53725</v>
      </c>
      <c r="AJ463" s="232">
        <f t="shared" si="77"/>
        <v>7396000</v>
      </c>
      <c r="AK463" s="232">
        <f>Table1[[#This Row],[UNIT (BUILDING) RATE (BASIC FINISH)]]*Table1[[#This Row],[Unit Selling Area]]</f>
        <v>8116000</v>
      </c>
      <c r="AL463" s="232">
        <f>Table1[[#This Row],[UNIT (BUILDING) RATE (FULLY FINISH)]]*Table1[[#This Row],[Unit Selling Area]]</f>
        <v>8596000</v>
      </c>
      <c r="AM463" s="232">
        <f t="shared" si="78"/>
        <v>0</v>
      </c>
      <c r="AN463" s="232">
        <f>(AM463+AJ463)*FACTS!$S$2</f>
        <v>628660</v>
      </c>
      <c r="AO463" s="101">
        <f>VLOOKUP(S463,FACTS!$A$17:$C$23,3,FALSE)</f>
        <v>2</v>
      </c>
      <c r="AP463" s="232">
        <f>VLOOKUP(AA463,FACTS!$B$2:$J$14,9,FALSE)</f>
        <v>200000</v>
      </c>
      <c r="AQ463" s="232">
        <f>Table1[[#This Row],[PARKING VALUE]]*1</f>
        <v>200000</v>
      </c>
      <c r="AR463" s="232">
        <f t="shared" si="72"/>
        <v>7596000</v>
      </c>
      <c r="AS463" s="440">
        <f>Table1[[#This Row],[TOTAL CARS VALUE]]+Table1[[#This Row],[UNIT (BUILDING) VALUE BASIC FINISHED]]+Table1[[#This Row],[UNIT (GARDEN) VALUE]]</f>
        <v>8316000</v>
      </c>
      <c r="AT463" s="232">
        <f>Table1[[#This Row],[TOTAL CARS VALUE]]+Table1[[#This Row],[UNIT (GARDEN) VALUE]]+Table1[[#This Row],[UNIT (BUILDING) VALUE FULLY FINISHED]]</f>
        <v>8796000</v>
      </c>
      <c r="AU463" s="233">
        <f>VLOOKUP(I463,'C PHASES'!$I$108:$J$110,2,FALSE)</f>
        <v>45839</v>
      </c>
      <c r="AV463" s="233">
        <f>VLOOKUP(AA463,'C PHASES'!$I$113:$J$125,2,FALSE)</f>
        <v>45170</v>
      </c>
    </row>
    <row r="464" spans="1:48" x14ac:dyDescent="0.25">
      <c r="A464" s="235"/>
      <c r="B464" s="227" t="str">
        <f t="shared" si="71"/>
        <v>B</v>
      </c>
      <c r="C464" s="227" t="s">
        <v>93</v>
      </c>
      <c r="D464" s="227" t="s">
        <v>1147</v>
      </c>
      <c r="E464" s="228">
        <v>2</v>
      </c>
      <c r="F464" s="101">
        <v>4</v>
      </c>
      <c r="G464" s="87" t="str">
        <f t="shared" si="73"/>
        <v>B1524</v>
      </c>
      <c r="H464" s="87" t="s">
        <v>1294</v>
      </c>
      <c r="I464" s="89" t="str">
        <f>VLOOKUP(C464,'PREMIUM TABLES'!$G$107:$H$149,2,FALSE)</f>
        <v>C1</v>
      </c>
      <c r="J464" s="87">
        <v>131.43</v>
      </c>
      <c r="K464" s="87">
        <v>142.71764950814548</v>
      </c>
      <c r="L464" s="87">
        <v>160</v>
      </c>
      <c r="O464" s="87" t="s">
        <v>180</v>
      </c>
      <c r="P464" s="87" t="s">
        <v>226</v>
      </c>
      <c r="Q464" s="229" t="s">
        <v>198</v>
      </c>
      <c r="R464" s="87" t="str">
        <f>VLOOKUP(E464,'PREMIUM TABLES'!$F$214:$G$219,2,FALSE)</f>
        <v>SECOND</v>
      </c>
      <c r="S464" s="87" t="str" cm="1">
        <f t="array" ref="S464">IF(AND(L464&gt;0,L464&lt;90),"A",IF(AND(L464&gt;90,L464&lt;123),"B",IF(AND(L464&gt;122,L464&lt;159),"C",IF(AND(L464&gt;159,L464&lt;185),"D",IF(AND(L464&gt;185,L464&lt;230),"E",IF(AND(L464&gt;230,L464&lt;350),"F",NONE))))))</f>
        <v>D</v>
      </c>
      <c r="T464" s="230">
        <f>VLOOKUP(O464,'PREMIUM TABLES'!$G$165:$H$172,2,FALSE)</f>
        <v>0.13</v>
      </c>
      <c r="U464" s="230">
        <f>VLOOKUP(P464,'PREMIUM TABLES'!$G$208:$H$209,2,FALSE)</f>
        <v>0.05</v>
      </c>
      <c r="V464" s="230">
        <f>VLOOKUP(Q464,'PREMIUM TABLES'!$G$175:$H$195,2,FALSE)</f>
        <v>0.15</v>
      </c>
      <c r="W464" s="230">
        <f>VLOOKUP(R464,'PREMIUM TABLES'!$G$214:$H$219,2,FALSE)</f>
        <v>0.11</v>
      </c>
      <c r="X464" s="230">
        <f>VLOOKUP(S464,'PREMIUM TABLES'!$F$199:$H$205,3,FALSE)</f>
        <v>2.5000000000000001E-2</v>
      </c>
      <c r="Y464" s="231">
        <f t="shared" si="74"/>
        <v>0.46499999999999997</v>
      </c>
      <c r="Z464" s="231" t="str" cm="1">
        <f t="array" ref="Z464">IF(AND(Y464&gt;0,Y464&lt;0.5),"C",IF(AND(Y464&gt;=0.5,Y464&lt;0.73),"B",IF(AND(Y464&gt;=0.73,Y464&lt;0.98),"A",NONE)))</f>
        <v>C</v>
      </c>
      <c r="AA464" s="231" t="str">
        <f>VLOOKUP(G464,'ALL (R)'!$N$5:$R$862,5,FALSE)</f>
        <v>R 11</v>
      </c>
      <c r="AB464" s="232">
        <f>VLOOKUP(AA464,FACTS!$B$2:$L$14,10,FALSE)</f>
        <v>58649.999999999993</v>
      </c>
      <c r="AC464" s="232">
        <f>VLOOKUP(AA464,FACTS!$B$2:$L$14,11,FALSE)</f>
        <v>65550</v>
      </c>
      <c r="AD464" s="232">
        <f>VLOOKUP(AA464,FACTS!$B$2:$N$14,13,FALSE)</f>
        <v>6900.0000000000073</v>
      </c>
      <c r="AE464" s="232">
        <f t="shared" si="75"/>
        <v>3208.5000000000032</v>
      </c>
      <c r="AF464" s="232">
        <f t="shared" si="76"/>
        <v>61858.499999999993</v>
      </c>
      <c r="AG464" s="232">
        <f>AF464*FACTS!$T$2</f>
        <v>20413.305</v>
      </c>
      <c r="AH464" s="232">
        <f>Table1[[#This Row],[UNIT (BUILDING) RATE (SEMI FINISHED)]]+4500</f>
        <v>66358.5</v>
      </c>
      <c r="AI464" s="232">
        <f>Table1[[#This Row],[UNIT (BUILDING) RATE (SEMI FINISHED)]]+7500</f>
        <v>69358.5</v>
      </c>
      <c r="AJ464" s="232">
        <f t="shared" si="77"/>
        <v>9897359.9999999981</v>
      </c>
      <c r="AK464" s="232">
        <f>Table1[[#This Row],[UNIT (BUILDING) RATE (BASIC FINISH)]]*Table1[[#This Row],[Unit Selling Area]]</f>
        <v>10617360</v>
      </c>
      <c r="AL464" s="232">
        <f>Table1[[#This Row],[UNIT (BUILDING) RATE (FULLY FINISH)]]*Table1[[#This Row],[Unit Selling Area]]</f>
        <v>11097360</v>
      </c>
      <c r="AM464" s="232">
        <f t="shared" si="78"/>
        <v>0</v>
      </c>
      <c r="AN464" s="232">
        <f>(AM464+AJ464)*FACTS!$S$2</f>
        <v>841275.59999999986</v>
      </c>
      <c r="AO464" s="101">
        <f>VLOOKUP(S464,FACTS!$A$17:$C$23,3,FALSE)</f>
        <v>2</v>
      </c>
      <c r="AP464" s="232">
        <f>VLOOKUP(AA464,FACTS!$B$2:$J$14,9,FALSE)</f>
        <v>276000</v>
      </c>
      <c r="AQ464" s="232">
        <f>Table1[[#This Row],[PARKING VALUE]]*1</f>
        <v>276000</v>
      </c>
      <c r="AR464" s="232">
        <f t="shared" si="72"/>
        <v>10173359.999999998</v>
      </c>
      <c r="AS464" s="440">
        <f>Table1[[#This Row],[TOTAL CARS VALUE]]+Table1[[#This Row],[UNIT (BUILDING) VALUE BASIC FINISHED]]+Table1[[#This Row],[UNIT (GARDEN) VALUE]]</f>
        <v>10893360</v>
      </c>
      <c r="AT464" s="232">
        <f>Table1[[#This Row],[TOTAL CARS VALUE]]+Table1[[#This Row],[UNIT (GARDEN) VALUE]]+Table1[[#This Row],[UNIT (BUILDING) VALUE FULLY FINISHED]]</f>
        <v>11373360</v>
      </c>
      <c r="AU464" s="233">
        <f>VLOOKUP(I464,'C PHASES'!$I$108:$J$110,2,FALSE)</f>
        <v>45839</v>
      </c>
      <c r="AV464" s="233">
        <f>VLOOKUP(AA464,'C PHASES'!$I$113:$J$125,2,FALSE)</f>
        <v>46113</v>
      </c>
    </row>
    <row r="465" spans="1:48" x14ac:dyDescent="0.25">
      <c r="A465" s="235"/>
      <c r="B465" s="227" t="str">
        <f t="shared" si="71"/>
        <v>B</v>
      </c>
      <c r="C465" s="227" t="s">
        <v>93</v>
      </c>
      <c r="D465" s="227" t="s">
        <v>1147</v>
      </c>
      <c r="E465" s="228">
        <v>3</v>
      </c>
      <c r="F465" s="101">
        <v>1</v>
      </c>
      <c r="G465" s="87" t="str">
        <f t="shared" si="73"/>
        <v>B1531</v>
      </c>
      <c r="H465" s="87" t="s">
        <v>1294</v>
      </c>
      <c r="I465" s="89" t="str">
        <f>VLOOKUP(C465,'PREMIUM TABLES'!$G$107:$H$149,2,FALSE)</f>
        <v>C1</v>
      </c>
      <c r="J465" s="87">
        <v>127.45</v>
      </c>
      <c r="K465" s="87">
        <v>138.39583375038532</v>
      </c>
      <c r="L465" s="87">
        <v>155</v>
      </c>
      <c r="O465" s="87" t="s">
        <v>180</v>
      </c>
      <c r="P465" s="87" t="s">
        <v>190</v>
      </c>
      <c r="Q465" s="229" t="s">
        <v>198</v>
      </c>
      <c r="R465" s="87" t="str">
        <f>VLOOKUP(E465,'PREMIUM TABLES'!$F$214:$G$219,2,FALSE)</f>
        <v>THIRD</v>
      </c>
      <c r="S465" s="87" t="str" cm="1">
        <f t="array" ref="S465">IF(AND(L465&gt;0,L465&lt;90),"A",IF(AND(L465&gt;90,L465&lt;123),"B",IF(AND(L465&gt;122,L465&lt;159),"C",IF(AND(L465&gt;159,L465&lt;185),"D",IF(AND(L465&gt;185,L465&lt;230),"E",IF(AND(L465&gt;230,L465&lt;350),"F",NONE))))))</f>
        <v>C</v>
      </c>
      <c r="T465" s="230">
        <f>VLOOKUP(O465,'PREMIUM TABLES'!$G$165:$H$172,2,FALSE)</f>
        <v>0.13</v>
      </c>
      <c r="U465" s="230">
        <f>VLOOKUP(P465,'PREMIUM TABLES'!$G$208:$H$209,2,FALSE)</f>
        <v>2.5000000000000001E-2</v>
      </c>
      <c r="V465" s="230">
        <f>VLOOKUP(Q465,'PREMIUM TABLES'!$G$175:$H$195,2,FALSE)</f>
        <v>0.15</v>
      </c>
      <c r="W465" s="230">
        <f>VLOOKUP(R465,'PREMIUM TABLES'!$G$214:$H$219,2,FALSE)</f>
        <v>0.15</v>
      </c>
      <c r="X465" s="230">
        <f>VLOOKUP(S465,'PREMIUM TABLES'!$F$199:$H$205,3,FALSE)</f>
        <v>3.5000000000000003E-2</v>
      </c>
      <c r="Y465" s="231">
        <f t="shared" si="74"/>
        <v>0.49</v>
      </c>
      <c r="Z465" s="231" t="str" cm="1">
        <f t="array" ref="Z465">IF(AND(Y465&gt;0,Y465&lt;0.5),"C",IF(AND(Y465&gt;=0.5,Y465&lt;0.73),"B",IF(AND(Y465&gt;=0.73,Y465&lt;0.98),"A",NONE)))</f>
        <v>C</v>
      </c>
      <c r="AA465" s="231" t="str">
        <f>VLOOKUP(G465,'ALL (R)'!$N$5:$R$862,5,FALSE)</f>
        <v>R 12</v>
      </c>
      <c r="AB465" s="232">
        <f>VLOOKUP(AA465,FACTS!$B$2:$L$14,10,FALSE)</f>
        <v>61625</v>
      </c>
      <c r="AC465" s="232">
        <f>VLOOKUP(AA465,FACTS!$B$2:$L$14,11,FALSE)</f>
        <v>68875</v>
      </c>
      <c r="AD465" s="232">
        <f>VLOOKUP(AA465,FACTS!$B$2:$N$14,13,FALSE)</f>
        <v>7250</v>
      </c>
      <c r="AE465" s="232">
        <f t="shared" si="75"/>
        <v>3552.5</v>
      </c>
      <c r="AF465" s="232">
        <f t="shared" si="76"/>
        <v>65177.5</v>
      </c>
      <c r="AG465" s="232">
        <f>AF465*FACTS!$T$2</f>
        <v>21508.575000000001</v>
      </c>
      <c r="AH465" s="232">
        <f>Table1[[#This Row],[UNIT (BUILDING) RATE (SEMI FINISHED)]]+4500</f>
        <v>69677.5</v>
      </c>
      <c r="AI465" s="232">
        <f>Table1[[#This Row],[UNIT (BUILDING) RATE (SEMI FINISHED)]]+7500</f>
        <v>72677.5</v>
      </c>
      <c r="AJ465" s="232">
        <f t="shared" si="77"/>
        <v>10102512.5</v>
      </c>
      <c r="AK465" s="232">
        <f>Table1[[#This Row],[UNIT (BUILDING) RATE (BASIC FINISH)]]*Table1[[#This Row],[Unit Selling Area]]</f>
        <v>10800012.5</v>
      </c>
      <c r="AL465" s="232">
        <f>Table1[[#This Row],[UNIT (BUILDING) RATE (FULLY FINISH)]]*Table1[[#This Row],[Unit Selling Area]]</f>
        <v>11265012.5</v>
      </c>
      <c r="AM465" s="232">
        <f t="shared" si="78"/>
        <v>0</v>
      </c>
      <c r="AN465" s="232">
        <f>(AM465+AJ465)*FACTS!$S$2</f>
        <v>858713.56250000012</v>
      </c>
      <c r="AO465" s="101">
        <f>VLOOKUP(S465,FACTS!$A$17:$C$23,3,FALSE)</f>
        <v>2</v>
      </c>
      <c r="AP465" s="232">
        <f>VLOOKUP(AA465,FACTS!$B$2:$J$14,9,FALSE)</f>
        <v>290000</v>
      </c>
      <c r="AQ465" s="232">
        <f>Table1[[#This Row],[PARKING VALUE]]*1</f>
        <v>290000</v>
      </c>
      <c r="AR465" s="232">
        <f t="shared" si="72"/>
        <v>10392512.5</v>
      </c>
      <c r="AS465" s="440">
        <f>Table1[[#This Row],[TOTAL CARS VALUE]]+Table1[[#This Row],[UNIT (BUILDING) VALUE BASIC FINISHED]]+Table1[[#This Row],[UNIT (GARDEN) VALUE]]</f>
        <v>11090012.5</v>
      </c>
      <c r="AT465" s="232">
        <f>Table1[[#This Row],[TOTAL CARS VALUE]]+Table1[[#This Row],[UNIT (GARDEN) VALUE]]+Table1[[#This Row],[UNIT (BUILDING) VALUE FULLY FINISHED]]</f>
        <v>11555012.5</v>
      </c>
      <c r="AU465" s="233">
        <f>VLOOKUP(I465,'C PHASES'!$I$108:$J$110,2,FALSE)</f>
        <v>45839</v>
      </c>
      <c r="AV465" s="233">
        <f>VLOOKUP(AA465,'C PHASES'!$I$113:$J$125,2,FALSE)</f>
        <v>46204</v>
      </c>
    </row>
    <row r="466" spans="1:48" x14ac:dyDescent="0.25">
      <c r="A466" s="235"/>
      <c r="B466" s="227" t="str">
        <f t="shared" si="71"/>
        <v>B</v>
      </c>
      <c r="C466" s="227" t="s">
        <v>93</v>
      </c>
      <c r="D466" s="227" t="s">
        <v>1147</v>
      </c>
      <c r="E466" s="228">
        <v>3</v>
      </c>
      <c r="F466" s="101">
        <v>2</v>
      </c>
      <c r="G466" s="87" t="str">
        <f t="shared" si="73"/>
        <v>B1532</v>
      </c>
      <c r="H466" s="87" t="s">
        <v>1294</v>
      </c>
      <c r="I466" s="89" t="str">
        <f>VLOOKUP(C466,'PREMIUM TABLES'!$G$107:$H$149,2,FALSE)</f>
        <v>C1</v>
      </c>
      <c r="J466" s="87">
        <v>126.97</v>
      </c>
      <c r="K466" s="87">
        <v>137.87460973939918</v>
      </c>
      <c r="L466" s="87">
        <v>155</v>
      </c>
      <c r="O466" s="87" t="s">
        <v>187</v>
      </c>
      <c r="P466" s="87" t="s">
        <v>190</v>
      </c>
      <c r="Q466" s="229" t="s">
        <v>209</v>
      </c>
      <c r="R466" s="87" t="str">
        <f>VLOOKUP(E466,'PREMIUM TABLES'!$F$214:$G$219,2,FALSE)</f>
        <v>THIRD</v>
      </c>
      <c r="S466" s="87" t="str" cm="1">
        <f t="array" ref="S466">IF(AND(L466&gt;0,L466&lt;90),"A",IF(AND(L466&gt;90,L466&lt;123),"B",IF(AND(L466&gt;122,L466&lt;159),"C",IF(AND(L466&gt;159,L466&lt;185),"D",IF(AND(L466&gt;185,L466&lt;230),"E",IF(AND(L466&gt;230,L466&lt;350),"F",NONE))))))</f>
        <v>C</v>
      </c>
      <c r="T466" s="230">
        <f>VLOOKUP(O466,'PREMIUM TABLES'!$G$165:$H$172,2,FALSE)</f>
        <v>0.08</v>
      </c>
      <c r="U466" s="230">
        <f>VLOOKUP(P466,'PREMIUM TABLES'!$G$208:$H$209,2,FALSE)</f>
        <v>2.5000000000000001E-2</v>
      </c>
      <c r="V466" s="230">
        <f>VLOOKUP(Q466,'PREMIUM TABLES'!$G$175:$H$195,2,FALSE)</f>
        <v>0.6</v>
      </c>
      <c r="W466" s="230">
        <f>VLOOKUP(R466,'PREMIUM TABLES'!$G$214:$H$219,2,FALSE)</f>
        <v>0.15</v>
      </c>
      <c r="X466" s="230">
        <f>VLOOKUP(S466,'PREMIUM TABLES'!$F$199:$H$205,3,FALSE)</f>
        <v>3.5000000000000003E-2</v>
      </c>
      <c r="Y466" s="231">
        <f t="shared" si="74"/>
        <v>0.89</v>
      </c>
      <c r="Z466" s="231" t="str" cm="1">
        <f t="array" ref="Z466">IF(AND(Y466&gt;0,Y466&lt;0.5),"C",IF(AND(Y466&gt;=0.5,Y466&lt;0.73),"B",IF(AND(Y466&gt;=0.73,Y466&lt;0.98),"A",NONE)))</f>
        <v>A</v>
      </c>
      <c r="AA466" s="231" t="str">
        <f>VLOOKUP(G466,'ALL (R)'!$N$5:$R$862,5,FALSE)</f>
        <v>R 11</v>
      </c>
      <c r="AB466" s="232">
        <f>VLOOKUP(AA466,FACTS!$B$2:$L$14,10,FALSE)</f>
        <v>58649.999999999993</v>
      </c>
      <c r="AC466" s="232">
        <f>VLOOKUP(AA466,FACTS!$B$2:$L$14,11,FALSE)</f>
        <v>65550</v>
      </c>
      <c r="AD466" s="232">
        <f>VLOOKUP(AA466,FACTS!$B$2:$N$14,13,FALSE)</f>
        <v>6900.0000000000073</v>
      </c>
      <c r="AE466" s="232">
        <f t="shared" si="75"/>
        <v>6141.0000000000064</v>
      </c>
      <c r="AF466" s="232">
        <f t="shared" si="76"/>
        <v>64791</v>
      </c>
      <c r="AG466" s="232">
        <f>AF466*FACTS!$T$2</f>
        <v>21381.030000000002</v>
      </c>
      <c r="AH466" s="232">
        <f>Table1[[#This Row],[UNIT (BUILDING) RATE (SEMI FINISHED)]]+4500</f>
        <v>69291</v>
      </c>
      <c r="AI466" s="232">
        <f>Table1[[#This Row],[UNIT (BUILDING) RATE (SEMI FINISHED)]]+7500</f>
        <v>72291</v>
      </c>
      <c r="AJ466" s="232">
        <f t="shared" si="77"/>
        <v>10042605</v>
      </c>
      <c r="AK466" s="232">
        <f>Table1[[#This Row],[UNIT (BUILDING) RATE (BASIC FINISH)]]*Table1[[#This Row],[Unit Selling Area]]</f>
        <v>10740105</v>
      </c>
      <c r="AL466" s="232">
        <f>Table1[[#This Row],[UNIT (BUILDING) RATE (FULLY FINISH)]]*Table1[[#This Row],[Unit Selling Area]]</f>
        <v>11205105</v>
      </c>
      <c r="AM466" s="232">
        <f t="shared" si="78"/>
        <v>0</v>
      </c>
      <c r="AN466" s="232">
        <f>(AM466+AJ466)*FACTS!$S$2</f>
        <v>853621.42500000005</v>
      </c>
      <c r="AO466" s="101">
        <f>VLOOKUP(S466,FACTS!$A$17:$C$23,3,FALSE)</f>
        <v>2</v>
      </c>
      <c r="AP466" s="232">
        <f>VLOOKUP(AA466,FACTS!$B$2:$J$14,9,FALSE)</f>
        <v>276000</v>
      </c>
      <c r="AQ466" s="232">
        <f>Table1[[#This Row],[PARKING VALUE]]*1</f>
        <v>276000</v>
      </c>
      <c r="AR466" s="232">
        <f t="shared" si="72"/>
        <v>10318605</v>
      </c>
      <c r="AS466" s="440">
        <f>Table1[[#This Row],[TOTAL CARS VALUE]]+Table1[[#This Row],[UNIT (BUILDING) VALUE BASIC FINISHED]]+Table1[[#This Row],[UNIT (GARDEN) VALUE]]</f>
        <v>11016105</v>
      </c>
      <c r="AT466" s="232">
        <f>Table1[[#This Row],[TOTAL CARS VALUE]]+Table1[[#This Row],[UNIT (GARDEN) VALUE]]+Table1[[#This Row],[UNIT (BUILDING) VALUE FULLY FINISHED]]</f>
        <v>11481105</v>
      </c>
      <c r="AU466" s="233">
        <f>VLOOKUP(I466,'C PHASES'!$I$108:$J$110,2,FALSE)</f>
        <v>45839</v>
      </c>
      <c r="AV466" s="233">
        <f>VLOOKUP(AA466,'C PHASES'!$I$113:$J$125,2,FALSE)</f>
        <v>46113</v>
      </c>
    </row>
    <row r="467" spans="1:48" x14ac:dyDescent="0.25">
      <c r="A467" s="235"/>
      <c r="B467" s="227" t="str">
        <f t="shared" si="71"/>
        <v>B</v>
      </c>
      <c r="C467" s="227" t="s">
        <v>93</v>
      </c>
      <c r="D467" s="227" t="s">
        <v>1147</v>
      </c>
      <c r="E467" s="228">
        <v>3</v>
      </c>
      <c r="F467" s="101">
        <v>3</v>
      </c>
      <c r="G467" s="87" t="str">
        <f t="shared" si="73"/>
        <v>B1533</v>
      </c>
      <c r="H467" s="87" t="s">
        <v>1294</v>
      </c>
      <c r="I467" s="89" t="str">
        <f>VLOOKUP(C467,'PREMIUM TABLES'!$G$107:$H$149,2,FALSE)</f>
        <v>C1</v>
      </c>
      <c r="J467" s="87">
        <v>131.43</v>
      </c>
      <c r="K467" s="87">
        <v>142.71764950814548</v>
      </c>
      <c r="L467" s="87">
        <v>160</v>
      </c>
      <c r="O467" s="87" t="s">
        <v>187</v>
      </c>
      <c r="P467" s="87" t="s">
        <v>226</v>
      </c>
      <c r="Q467" s="229" t="s">
        <v>227</v>
      </c>
      <c r="R467" s="87" t="str">
        <f>VLOOKUP(E467,'PREMIUM TABLES'!$F$214:$G$219,2,FALSE)</f>
        <v>THIRD</v>
      </c>
      <c r="S467" s="87" t="str" cm="1">
        <f t="array" ref="S467">IF(AND(L467&gt;0,L467&lt;90),"A",IF(AND(L467&gt;90,L467&lt;123),"B",IF(AND(L467&gt;122,L467&lt;159),"C",IF(AND(L467&gt;159,L467&lt;185),"D",IF(AND(L467&gt;185,L467&lt;230),"E",IF(AND(L467&gt;230,L467&lt;350),"F",NONE))))))</f>
        <v>D</v>
      </c>
      <c r="T467" s="230">
        <f>VLOOKUP(O467,'PREMIUM TABLES'!$G$165:$H$172,2,FALSE)</f>
        <v>0.08</v>
      </c>
      <c r="U467" s="230">
        <f>VLOOKUP(P467,'PREMIUM TABLES'!$G$208:$H$209,2,FALSE)</f>
        <v>0.05</v>
      </c>
      <c r="V467" s="230">
        <f>VLOOKUP(Q467,'PREMIUM TABLES'!$G$175:$H$195,2,FALSE)</f>
        <v>0.48</v>
      </c>
      <c r="W467" s="230">
        <f>VLOOKUP(R467,'PREMIUM TABLES'!$G$214:$H$219,2,FALSE)</f>
        <v>0.15</v>
      </c>
      <c r="X467" s="230">
        <f>VLOOKUP(S467,'PREMIUM TABLES'!$F$199:$H$205,3,FALSE)</f>
        <v>2.5000000000000001E-2</v>
      </c>
      <c r="Y467" s="231">
        <f t="shared" si="74"/>
        <v>0.78500000000000003</v>
      </c>
      <c r="Z467" s="231" t="str" cm="1">
        <f t="array" ref="Z467">IF(AND(Y467&gt;0,Y467&lt;0.5),"C",IF(AND(Y467&gt;=0.5,Y467&lt;0.73),"B",IF(AND(Y467&gt;=0.73,Y467&lt;0.98),"A",NONE)))</f>
        <v>A</v>
      </c>
      <c r="AA467" s="231" t="str">
        <f>VLOOKUP(G467,'ALL (R)'!$N$5:$R$862,5,FALSE)</f>
        <v>R 4</v>
      </c>
      <c r="AB467" s="232">
        <f>VLOOKUP(AA467,FACTS!$B$2:$L$14,10,FALSE)</f>
        <v>45687.5</v>
      </c>
      <c r="AC467" s="232">
        <f>VLOOKUP(AA467,FACTS!$B$2:$L$14,11,FALSE)</f>
        <v>51062.5</v>
      </c>
      <c r="AD467" s="232">
        <f>VLOOKUP(AA467,FACTS!$B$2:$N$14,13,FALSE)</f>
        <v>5375</v>
      </c>
      <c r="AE467" s="232">
        <f t="shared" si="75"/>
        <v>4219.375</v>
      </c>
      <c r="AF467" s="232">
        <f t="shared" si="76"/>
        <v>49906.875</v>
      </c>
      <c r="AG467" s="232">
        <f>AF467*FACTS!$T$2</f>
        <v>16469.268749999999</v>
      </c>
      <c r="AH467" s="232">
        <f>Table1[[#This Row],[UNIT (BUILDING) RATE (SEMI FINISHED)]]+4500</f>
        <v>54406.875</v>
      </c>
      <c r="AI467" s="232">
        <f>Table1[[#This Row],[UNIT (BUILDING) RATE (SEMI FINISHED)]]+7500</f>
        <v>57406.875</v>
      </c>
      <c r="AJ467" s="232">
        <f t="shared" si="77"/>
        <v>7985100</v>
      </c>
      <c r="AK467" s="232">
        <f>Table1[[#This Row],[UNIT (BUILDING) RATE (BASIC FINISH)]]*Table1[[#This Row],[Unit Selling Area]]</f>
        <v>8705100</v>
      </c>
      <c r="AL467" s="232">
        <f>Table1[[#This Row],[UNIT (BUILDING) RATE (FULLY FINISH)]]*Table1[[#This Row],[Unit Selling Area]]</f>
        <v>9185100</v>
      </c>
      <c r="AM467" s="232">
        <f t="shared" si="78"/>
        <v>0</v>
      </c>
      <c r="AN467" s="232">
        <f>(AM467+AJ467)*FACTS!$S$2</f>
        <v>678733.5</v>
      </c>
      <c r="AO467" s="101">
        <f>VLOOKUP(S467,FACTS!$A$17:$C$23,3,FALSE)</f>
        <v>2</v>
      </c>
      <c r="AP467" s="232">
        <f>VLOOKUP(AA467,FACTS!$B$2:$J$14,9,FALSE)</f>
        <v>215000</v>
      </c>
      <c r="AQ467" s="232">
        <f>Table1[[#This Row],[PARKING VALUE]]*1</f>
        <v>215000</v>
      </c>
      <c r="AR467" s="232">
        <f t="shared" si="72"/>
        <v>8200100</v>
      </c>
      <c r="AS467" s="440">
        <f>Table1[[#This Row],[TOTAL CARS VALUE]]+Table1[[#This Row],[UNIT (BUILDING) VALUE BASIC FINISHED]]+Table1[[#This Row],[UNIT (GARDEN) VALUE]]</f>
        <v>8920100</v>
      </c>
      <c r="AT467" s="232">
        <f>Table1[[#This Row],[TOTAL CARS VALUE]]+Table1[[#This Row],[UNIT (GARDEN) VALUE]]+Table1[[#This Row],[UNIT (BUILDING) VALUE FULLY FINISHED]]</f>
        <v>9400100</v>
      </c>
      <c r="AU467" s="233">
        <f>VLOOKUP(I467,'C PHASES'!$I$108:$J$110,2,FALSE)</f>
        <v>45839</v>
      </c>
      <c r="AV467" s="233">
        <f>VLOOKUP(AA467,'C PHASES'!$I$113:$J$125,2,FALSE)</f>
        <v>45474</v>
      </c>
    </row>
    <row r="468" spans="1:48" x14ac:dyDescent="0.25">
      <c r="A468" s="235"/>
      <c r="B468" s="227" t="str">
        <f t="shared" si="71"/>
        <v>B</v>
      </c>
      <c r="C468" s="227" t="s">
        <v>93</v>
      </c>
      <c r="D468" s="227" t="s">
        <v>1147</v>
      </c>
      <c r="E468" s="228">
        <v>3</v>
      </c>
      <c r="F468" s="101">
        <v>4</v>
      </c>
      <c r="G468" s="87" t="str">
        <f t="shared" si="73"/>
        <v>B1534</v>
      </c>
      <c r="H468" s="87" t="s">
        <v>1294</v>
      </c>
      <c r="I468" s="89" t="str">
        <f>VLOOKUP(C468,'PREMIUM TABLES'!$G$107:$H$149,2,FALSE)</f>
        <v>C1</v>
      </c>
      <c r="J468" s="87">
        <v>131.88</v>
      </c>
      <c r="K468" s="87">
        <v>143.20629701844501</v>
      </c>
      <c r="L468" s="87">
        <v>161</v>
      </c>
      <c r="O468" s="87" t="s">
        <v>180</v>
      </c>
      <c r="P468" s="87" t="s">
        <v>226</v>
      </c>
      <c r="Q468" s="229" t="s">
        <v>198</v>
      </c>
      <c r="R468" s="87" t="str">
        <f>VLOOKUP(E468,'PREMIUM TABLES'!$F$214:$G$219,2,FALSE)</f>
        <v>THIRD</v>
      </c>
      <c r="S468" s="87" t="str" cm="1">
        <f t="array" ref="S468">IF(AND(L468&gt;0,L468&lt;90),"A",IF(AND(L468&gt;90,L468&lt;123),"B",IF(AND(L468&gt;122,L468&lt;159),"C",IF(AND(L468&gt;159,L468&lt;185),"D",IF(AND(L468&gt;185,L468&lt;230),"E",IF(AND(L468&gt;230,L468&lt;350),"F",NONE))))))</f>
        <v>D</v>
      </c>
      <c r="T468" s="230">
        <f>VLOOKUP(O468,'PREMIUM TABLES'!$G$165:$H$172,2,FALSE)</f>
        <v>0.13</v>
      </c>
      <c r="U468" s="230">
        <f>VLOOKUP(P468,'PREMIUM TABLES'!$G$208:$H$209,2,FALSE)</f>
        <v>0.05</v>
      </c>
      <c r="V468" s="230">
        <f>VLOOKUP(Q468,'PREMIUM TABLES'!$G$175:$H$195,2,FALSE)</f>
        <v>0.15</v>
      </c>
      <c r="W468" s="230">
        <f>VLOOKUP(R468,'PREMIUM TABLES'!$G$214:$H$219,2,FALSE)</f>
        <v>0.15</v>
      </c>
      <c r="X468" s="230">
        <f>VLOOKUP(S468,'PREMIUM TABLES'!$F$199:$H$205,3,FALSE)</f>
        <v>2.5000000000000001E-2</v>
      </c>
      <c r="Y468" s="231">
        <f t="shared" si="74"/>
        <v>0.505</v>
      </c>
      <c r="Z468" s="231" t="str" cm="1">
        <f t="array" ref="Z468">IF(AND(Y468&gt;0,Y468&lt;0.5),"C",IF(AND(Y468&gt;=0.5,Y468&lt;0.73),"B",IF(AND(Y468&gt;=0.73,Y468&lt;0.98),"A",NONE)))</f>
        <v>B</v>
      </c>
      <c r="AA468" s="231" t="str">
        <f>VLOOKUP(G468,'ALL (R)'!$N$5:$R$862,5,FALSE)</f>
        <v>R 1</v>
      </c>
      <c r="AB468" s="232">
        <f>VLOOKUP(AA468,FACTS!$B$2:$L$14,10,FALSE)</f>
        <v>42500</v>
      </c>
      <c r="AC468" s="232">
        <f>VLOOKUP(AA468,FACTS!$B$2:$L$14,11,FALSE)</f>
        <v>47500</v>
      </c>
      <c r="AD468" s="232">
        <f>VLOOKUP(AA468,FACTS!$B$2:$N$14,13,FALSE)</f>
        <v>5000</v>
      </c>
      <c r="AE468" s="232">
        <f t="shared" si="75"/>
        <v>2525</v>
      </c>
      <c r="AF468" s="232">
        <f t="shared" si="76"/>
        <v>45025</v>
      </c>
      <c r="AG468" s="232">
        <f>AF468*FACTS!$T$2</f>
        <v>14858.25</v>
      </c>
      <c r="AH468" s="232">
        <f>Table1[[#This Row],[UNIT (BUILDING) RATE (SEMI FINISHED)]]+4500</f>
        <v>49525</v>
      </c>
      <c r="AI468" s="232">
        <f>Table1[[#This Row],[UNIT (BUILDING) RATE (SEMI FINISHED)]]+7500</f>
        <v>52525</v>
      </c>
      <c r="AJ468" s="232">
        <f t="shared" si="77"/>
        <v>7249025</v>
      </c>
      <c r="AK468" s="232">
        <f>Table1[[#This Row],[UNIT (BUILDING) RATE (BASIC FINISH)]]*Table1[[#This Row],[Unit Selling Area]]</f>
        <v>7973525</v>
      </c>
      <c r="AL468" s="232">
        <f>Table1[[#This Row],[UNIT (BUILDING) RATE (FULLY FINISH)]]*Table1[[#This Row],[Unit Selling Area]]</f>
        <v>8456525</v>
      </c>
      <c r="AM468" s="232">
        <f t="shared" si="78"/>
        <v>0</v>
      </c>
      <c r="AN468" s="232">
        <f>(AM468+AJ468)*FACTS!$S$2</f>
        <v>616167.125</v>
      </c>
      <c r="AO468" s="101">
        <f>VLOOKUP(S468,FACTS!$A$17:$C$23,3,FALSE)</f>
        <v>2</v>
      </c>
      <c r="AP468" s="232">
        <f>VLOOKUP(AA468,FACTS!$B$2:$J$14,9,FALSE)</f>
        <v>200000</v>
      </c>
      <c r="AQ468" s="232">
        <f>Table1[[#This Row],[PARKING VALUE]]*1</f>
        <v>200000</v>
      </c>
      <c r="AR468" s="232">
        <f t="shared" si="72"/>
        <v>7449025</v>
      </c>
      <c r="AS468" s="440">
        <f>Table1[[#This Row],[TOTAL CARS VALUE]]+Table1[[#This Row],[UNIT (BUILDING) VALUE BASIC FINISHED]]+Table1[[#This Row],[UNIT (GARDEN) VALUE]]</f>
        <v>8173525</v>
      </c>
      <c r="AT468" s="232">
        <f>Table1[[#This Row],[TOTAL CARS VALUE]]+Table1[[#This Row],[UNIT (GARDEN) VALUE]]+Table1[[#This Row],[UNIT (BUILDING) VALUE FULLY FINISHED]]</f>
        <v>8656525</v>
      </c>
      <c r="AU468" s="233">
        <f>VLOOKUP(I468,'C PHASES'!$I$108:$J$110,2,FALSE)</f>
        <v>45839</v>
      </c>
      <c r="AV468" s="233">
        <f>VLOOKUP(AA468,'C PHASES'!$I$113:$J$125,2,FALSE)</f>
        <v>45170</v>
      </c>
    </row>
    <row r="469" spans="1:48" x14ac:dyDescent="0.25">
      <c r="A469" s="235"/>
      <c r="B469" s="227" t="str">
        <f t="shared" si="71"/>
        <v>B</v>
      </c>
      <c r="C469" s="227" t="s">
        <v>93</v>
      </c>
      <c r="D469" s="227" t="s">
        <v>1147</v>
      </c>
      <c r="E469" s="228">
        <v>4</v>
      </c>
      <c r="F469" s="101">
        <v>1</v>
      </c>
      <c r="G469" s="87" t="str">
        <f t="shared" si="73"/>
        <v>B1541</v>
      </c>
      <c r="H469" s="87" t="s">
        <v>1294</v>
      </c>
      <c r="I469" s="89" t="str">
        <f>VLOOKUP(C469,'PREMIUM TABLES'!$G$107:$H$149,2,FALSE)</f>
        <v>C1</v>
      </c>
      <c r="J469" s="87">
        <v>125.13</v>
      </c>
      <c r="K469" s="87">
        <v>135.87658436395225</v>
      </c>
      <c r="L469" s="87">
        <v>153</v>
      </c>
      <c r="O469" s="87" t="s">
        <v>180</v>
      </c>
      <c r="P469" s="87" t="s">
        <v>190</v>
      </c>
      <c r="Q469" s="229" t="s">
        <v>198</v>
      </c>
      <c r="R469" s="87" t="str">
        <f>VLOOKUP(E469,'PREMIUM TABLES'!$F$214:$G$219,2,FALSE)</f>
        <v>FORTH</v>
      </c>
      <c r="S469" s="87" t="str" cm="1">
        <f t="array" ref="S469">IF(AND(L469&gt;0,L469&lt;90),"A",IF(AND(L469&gt;90,L469&lt;123),"B",IF(AND(L469&gt;122,L469&lt;159),"C",IF(AND(L469&gt;159,L469&lt;185),"D",IF(AND(L469&gt;185,L469&lt;230),"E",IF(AND(L469&gt;230,L469&lt;350),"F",NONE))))))</f>
        <v>C</v>
      </c>
      <c r="T469" s="230">
        <f>VLOOKUP(O469,'PREMIUM TABLES'!$G$165:$H$172,2,FALSE)</f>
        <v>0.13</v>
      </c>
      <c r="U469" s="230">
        <f>VLOOKUP(P469,'PREMIUM TABLES'!$G$208:$H$209,2,FALSE)</f>
        <v>2.5000000000000001E-2</v>
      </c>
      <c r="V469" s="230">
        <f>VLOOKUP(Q469,'PREMIUM TABLES'!$G$175:$H$195,2,FALSE)</f>
        <v>0.15</v>
      </c>
      <c r="W469" s="230">
        <f>VLOOKUP(R469,'PREMIUM TABLES'!$G$214:$H$219,2,FALSE)</f>
        <v>0.06</v>
      </c>
      <c r="X469" s="230">
        <f>VLOOKUP(S469,'PREMIUM TABLES'!$F$199:$H$205,3,FALSE)</f>
        <v>3.5000000000000003E-2</v>
      </c>
      <c r="Y469" s="231">
        <f t="shared" si="74"/>
        <v>0.4</v>
      </c>
      <c r="Z469" s="231" t="str" cm="1">
        <f t="array" ref="Z469">IF(AND(Y469&gt;0,Y469&lt;0.5),"C",IF(AND(Y469&gt;=0.5,Y469&lt;0.73),"B",IF(AND(Y469&gt;=0.73,Y469&lt;0.98),"A",NONE)))</f>
        <v>C</v>
      </c>
      <c r="AA469" s="231" t="str">
        <f>VLOOKUP(G469,'ALL (R)'!$N$5:$R$862,5,FALSE)</f>
        <v>R 5</v>
      </c>
      <c r="AB469" s="232">
        <f>VLOOKUP(AA469,FACTS!$B$2:$L$14,10,FALSE)</f>
        <v>46750.000000000007</v>
      </c>
      <c r="AC469" s="232">
        <f>VLOOKUP(AA469,FACTS!$B$2:$L$14,11,FALSE)</f>
        <v>52250.000000000007</v>
      </c>
      <c r="AD469" s="232">
        <f>VLOOKUP(AA469,FACTS!$B$2:$N$14,13,FALSE)</f>
        <v>5500</v>
      </c>
      <c r="AE469" s="232">
        <f t="shared" si="75"/>
        <v>2200</v>
      </c>
      <c r="AF469" s="232">
        <f t="shared" si="76"/>
        <v>48950.000000000007</v>
      </c>
      <c r="AG469" s="232">
        <f>AF469*FACTS!$T$2</f>
        <v>16153.500000000004</v>
      </c>
      <c r="AH469" s="232">
        <f>Table1[[#This Row],[UNIT (BUILDING) RATE (SEMI FINISHED)]]+4500</f>
        <v>53450.000000000007</v>
      </c>
      <c r="AI469" s="232">
        <f>Table1[[#This Row],[UNIT (BUILDING) RATE (SEMI FINISHED)]]+7500</f>
        <v>56450.000000000007</v>
      </c>
      <c r="AJ469" s="232">
        <f t="shared" si="77"/>
        <v>7489350.0000000009</v>
      </c>
      <c r="AK469" s="232">
        <f>Table1[[#This Row],[UNIT (BUILDING) RATE (BASIC FINISH)]]*Table1[[#This Row],[Unit Selling Area]]</f>
        <v>8177850.0000000009</v>
      </c>
      <c r="AL469" s="232">
        <f>Table1[[#This Row],[UNIT (BUILDING) RATE (FULLY FINISH)]]*Table1[[#This Row],[Unit Selling Area]]</f>
        <v>8636850.0000000019</v>
      </c>
      <c r="AM469" s="232">
        <f t="shared" si="78"/>
        <v>0</v>
      </c>
      <c r="AN469" s="232">
        <f>(AM469+AJ469)*FACTS!$S$2</f>
        <v>636594.75000000012</v>
      </c>
      <c r="AO469" s="101">
        <f>VLOOKUP(S469,FACTS!$A$17:$C$23,3,FALSE)</f>
        <v>2</v>
      </c>
      <c r="AP469" s="232">
        <f>VLOOKUP(AA469,FACTS!$B$2:$J$14,9,FALSE)</f>
        <v>220000.00000000003</v>
      </c>
      <c r="AQ469" s="232">
        <f>Table1[[#This Row],[PARKING VALUE]]*1</f>
        <v>220000.00000000003</v>
      </c>
      <c r="AR469" s="232">
        <f t="shared" si="72"/>
        <v>7709350.0000000009</v>
      </c>
      <c r="AS469" s="440">
        <f>Table1[[#This Row],[TOTAL CARS VALUE]]+Table1[[#This Row],[UNIT (BUILDING) VALUE BASIC FINISHED]]+Table1[[#This Row],[UNIT (GARDEN) VALUE]]</f>
        <v>8397850.0000000019</v>
      </c>
      <c r="AT469" s="232">
        <f>Table1[[#This Row],[TOTAL CARS VALUE]]+Table1[[#This Row],[UNIT (GARDEN) VALUE]]+Table1[[#This Row],[UNIT (BUILDING) VALUE FULLY FINISHED]]</f>
        <v>8856850.0000000019</v>
      </c>
      <c r="AU469" s="233">
        <f>VLOOKUP(I469,'C PHASES'!$I$108:$J$110,2,FALSE)</f>
        <v>45839</v>
      </c>
      <c r="AV469" s="233">
        <f>VLOOKUP(AA469,'C PHASES'!$I$113:$J$125,2,FALSE)</f>
        <v>45566</v>
      </c>
    </row>
    <row r="470" spans="1:48" x14ac:dyDescent="0.25">
      <c r="A470" s="235"/>
      <c r="B470" s="227" t="str">
        <f t="shared" si="71"/>
        <v>B</v>
      </c>
      <c r="C470" s="227" t="s">
        <v>93</v>
      </c>
      <c r="D470" s="227" t="s">
        <v>1147</v>
      </c>
      <c r="E470" s="228">
        <v>4</v>
      </c>
      <c r="F470" s="101">
        <v>2</v>
      </c>
      <c r="G470" s="87" t="str">
        <f t="shared" si="73"/>
        <v>B1542</v>
      </c>
      <c r="H470" s="87" t="s">
        <v>1294</v>
      </c>
      <c r="I470" s="89" t="str">
        <f>VLOOKUP(C470,'PREMIUM TABLES'!$G$107:$H$149,2,FALSE)</f>
        <v>C1</v>
      </c>
      <c r="J470" s="87">
        <v>127.19</v>
      </c>
      <c r="K470" s="87">
        <v>138.11350407776783</v>
      </c>
      <c r="L470" s="87">
        <v>155</v>
      </c>
      <c r="O470" s="87" t="s">
        <v>187</v>
      </c>
      <c r="P470" s="87" t="s">
        <v>190</v>
      </c>
      <c r="Q470" s="229" t="s">
        <v>209</v>
      </c>
      <c r="R470" s="87" t="str">
        <f>VLOOKUP(E470,'PREMIUM TABLES'!$F$214:$G$219,2,FALSE)</f>
        <v>FORTH</v>
      </c>
      <c r="S470" s="87" t="str" cm="1">
        <f t="array" ref="S470">IF(AND(L470&gt;0,L470&lt;90),"A",IF(AND(L470&gt;90,L470&lt;123),"B",IF(AND(L470&gt;122,L470&lt;159),"C",IF(AND(L470&gt;159,L470&lt;185),"D",IF(AND(L470&gt;185,L470&lt;230),"E",IF(AND(L470&gt;230,L470&lt;350),"F",NONE))))))</f>
        <v>C</v>
      </c>
      <c r="T470" s="230">
        <f>VLOOKUP(O470,'PREMIUM TABLES'!$G$165:$H$172,2,FALSE)</f>
        <v>0.08</v>
      </c>
      <c r="U470" s="230">
        <f>VLOOKUP(P470,'PREMIUM TABLES'!$G$208:$H$209,2,FALSE)</f>
        <v>2.5000000000000001E-2</v>
      </c>
      <c r="V470" s="230">
        <f>VLOOKUP(Q470,'PREMIUM TABLES'!$G$175:$H$195,2,FALSE)</f>
        <v>0.6</v>
      </c>
      <c r="W470" s="230">
        <f>VLOOKUP(R470,'PREMIUM TABLES'!$G$214:$H$219,2,FALSE)</f>
        <v>0.06</v>
      </c>
      <c r="X470" s="230">
        <f>VLOOKUP(S470,'PREMIUM TABLES'!$F$199:$H$205,3,FALSE)</f>
        <v>3.5000000000000003E-2</v>
      </c>
      <c r="Y470" s="231">
        <f t="shared" si="74"/>
        <v>0.79999999999999993</v>
      </c>
      <c r="Z470" s="231" t="str" cm="1">
        <f t="array" ref="Z470">IF(AND(Y470&gt;0,Y470&lt;0.5),"C",IF(AND(Y470&gt;=0.5,Y470&lt;0.73),"B",IF(AND(Y470&gt;=0.73,Y470&lt;0.98),"A",NONE)))</f>
        <v>A</v>
      </c>
      <c r="AA470" s="231" t="str">
        <f>VLOOKUP(G470,'ALL (R)'!$N$5:$R$862,5,FALSE)</f>
        <v>R 6</v>
      </c>
      <c r="AB470" s="232">
        <f>VLOOKUP(AA470,FACTS!$B$2:$L$14,10,FALSE)</f>
        <v>48450.000000000007</v>
      </c>
      <c r="AC470" s="232">
        <f>VLOOKUP(AA470,FACTS!$B$2:$L$14,11,FALSE)</f>
        <v>54150.000000000007</v>
      </c>
      <c r="AD470" s="232">
        <f>VLOOKUP(AA470,FACTS!$B$2:$N$14,13,FALSE)</f>
        <v>5700</v>
      </c>
      <c r="AE470" s="232">
        <f t="shared" si="75"/>
        <v>4560</v>
      </c>
      <c r="AF470" s="232">
        <f t="shared" si="76"/>
        <v>53010.000000000007</v>
      </c>
      <c r="AG470" s="232">
        <f>AF470*FACTS!$T$2</f>
        <v>17493.300000000003</v>
      </c>
      <c r="AH470" s="232">
        <f>Table1[[#This Row],[UNIT (BUILDING) RATE (SEMI FINISHED)]]+4500</f>
        <v>57510.000000000007</v>
      </c>
      <c r="AI470" s="232">
        <f>Table1[[#This Row],[UNIT (BUILDING) RATE (SEMI FINISHED)]]+7500</f>
        <v>60510.000000000007</v>
      </c>
      <c r="AJ470" s="232">
        <f t="shared" si="77"/>
        <v>8216550.0000000009</v>
      </c>
      <c r="AK470" s="232">
        <f>Table1[[#This Row],[UNIT (BUILDING) RATE (BASIC FINISH)]]*Table1[[#This Row],[Unit Selling Area]]</f>
        <v>8914050.0000000019</v>
      </c>
      <c r="AL470" s="232">
        <f>Table1[[#This Row],[UNIT (BUILDING) RATE (FULLY FINISH)]]*Table1[[#This Row],[Unit Selling Area]]</f>
        <v>9379050.0000000019</v>
      </c>
      <c r="AM470" s="232">
        <f t="shared" si="78"/>
        <v>0</v>
      </c>
      <c r="AN470" s="232">
        <f>(AM470+AJ470)*FACTS!$S$2</f>
        <v>698406.75000000012</v>
      </c>
      <c r="AO470" s="101">
        <f>VLOOKUP(S470,FACTS!$A$17:$C$23,3,FALSE)</f>
        <v>2</v>
      </c>
      <c r="AP470" s="232">
        <f>VLOOKUP(AA470,FACTS!$B$2:$J$14,9,FALSE)</f>
        <v>228000.00000000003</v>
      </c>
      <c r="AQ470" s="232">
        <f>Table1[[#This Row],[PARKING VALUE]]*1</f>
        <v>228000.00000000003</v>
      </c>
      <c r="AR470" s="232">
        <f t="shared" si="72"/>
        <v>8444550.0000000019</v>
      </c>
      <c r="AS470" s="440">
        <f>Table1[[#This Row],[TOTAL CARS VALUE]]+Table1[[#This Row],[UNIT (BUILDING) VALUE BASIC FINISHED]]+Table1[[#This Row],[UNIT (GARDEN) VALUE]]</f>
        <v>9142050.0000000019</v>
      </c>
      <c r="AT470" s="232">
        <f>Table1[[#This Row],[TOTAL CARS VALUE]]+Table1[[#This Row],[UNIT (GARDEN) VALUE]]+Table1[[#This Row],[UNIT (BUILDING) VALUE FULLY FINISHED]]</f>
        <v>9607050.0000000019</v>
      </c>
      <c r="AU470" s="233">
        <f>VLOOKUP(I470,'C PHASES'!$I$108:$J$110,2,FALSE)</f>
        <v>45839</v>
      </c>
      <c r="AV470" s="233">
        <f>VLOOKUP(AA470,'C PHASES'!$I$113:$J$125,2,FALSE)</f>
        <v>45658</v>
      </c>
    </row>
    <row r="471" spans="1:48" x14ac:dyDescent="0.25">
      <c r="A471" s="235"/>
      <c r="B471" s="227" t="str">
        <f t="shared" si="71"/>
        <v>B</v>
      </c>
      <c r="C471" s="227" t="s">
        <v>93</v>
      </c>
      <c r="D471" s="227" t="s">
        <v>1147</v>
      </c>
      <c r="E471" s="228">
        <v>4</v>
      </c>
      <c r="F471" s="101">
        <v>3</v>
      </c>
      <c r="G471" s="87" t="str">
        <f t="shared" si="73"/>
        <v>B1543</v>
      </c>
      <c r="H471" s="87" t="s">
        <v>1294</v>
      </c>
      <c r="I471" s="89" t="str">
        <f>VLOOKUP(C471,'PREMIUM TABLES'!$G$107:$H$149,2,FALSE)</f>
        <v>C1</v>
      </c>
      <c r="J471" s="87">
        <v>131.38</v>
      </c>
      <c r="K471" s="87">
        <v>142.66335534033442</v>
      </c>
      <c r="L471" s="87">
        <v>160</v>
      </c>
      <c r="O471" s="87" t="s">
        <v>187</v>
      </c>
      <c r="P471" s="87" t="s">
        <v>226</v>
      </c>
      <c r="Q471" s="229" t="s">
        <v>227</v>
      </c>
      <c r="R471" s="87" t="str">
        <f>VLOOKUP(E471,'PREMIUM TABLES'!$F$214:$G$219,2,FALSE)</f>
        <v>FORTH</v>
      </c>
      <c r="S471" s="87" t="str" cm="1">
        <f t="array" ref="S471">IF(AND(L471&gt;0,L471&lt;90),"A",IF(AND(L471&gt;90,L471&lt;123),"B",IF(AND(L471&gt;122,L471&lt;159),"C",IF(AND(L471&gt;159,L471&lt;185),"D",IF(AND(L471&gt;185,L471&lt;230),"E",IF(AND(L471&gt;230,L471&lt;350),"F",NONE))))))</f>
        <v>D</v>
      </c>
      <c r="T471" s="230">
        <f>VLOOKUP(O471,'PREMIUM TABLES'!$G$165:$H$172,2,FALSE)</f>
        <v>0.08</v>
      </c>
      <c r="U471" s="230">
        <f>VLOOKUP(P471,'PREMIUM TABLES'!$G$208:$H$209,2,FALSE)</f>
        <v>0.05</v>
      </c>
      <c r="V471" s="230">
        <f>VLOOKUP(Q471,'PREMIUM TABLES'!$G$175:$H$195,2,FALSE)</f>
        <v>0.48</v>
      </c>
      <c r="W471" s="230">
        <f>VLOOKUP(R471,'PREMIUM TABLES'!$G$214:$H$219,2,FALSE)</f>
        <v>0.06</v>
      </c>
      <c r="X471" s="230">
        <f>VLOOKUP(S471,'PREMIUM TABLES'!$F$199:$H$205,3,FALSE)</f>
        <v>2.5000000000000001E-2</v>
      </c>
      <c r="Y471" s="231">
        <f t="shared" si="74"/>
        <v>0.69499999999999995</v>
      </c>
      <c r="Z471" s="231" t="str" cm="1">
        <f t="array" ref="Z471">IF(AND(Y471&gt;0,Y471&lt;0.5),"C",IF(AND(Y471&gt;=0.5,Y471&lt;0.73),"B",IF(AND(Y471&gt;=0.73,Y471&lt;0.98),"A",NONE)))</f>
        <v>B</v>
      </c>
      <c r="AA471" s="231" t="str">
        <f>VLOOKUP(G471,'ALL (R)'!$N$5:$R$862,5,FALSE)</f>
        <v>R 8</v>
      </c>
      <c r="AB471" s="232">
        <f>VLOOKUP(AA471,FACTS!$B$2:$L$14,10,FALSE)</f>
        <v>51850</v>
      </c>
      <c r="AC471" s="232">
        <f>VLOOKUP(AA471,FACTS!$B$2:$L$14,11,FALSE)</f>
        <v>57950</v>
      </c>
      <c r="AD471" s="232">
        <f>VLOOKUP(AA471,FACTS!$B$2:$N$14,13,FALSE)</f>
        <v>6100</v>
      </c>
      <c r="AE471" s="232">
        <f t="shared" si="75"/>
        <v>4239.5</v>
      </c>
      <c r="AF471" s="232">
        <f t="shared" si="76"/>
        <v>56089.5</v>
      </c>
      <c r="AG471" s="232">
        <f>AF471*FACTS!$T$2</f>
        <v>18509.535</v>
      </c>
      <c r="AH471" s="232">
        <f>Table1[[#This Row],[UNIT (BUILDING) RATE (SEMI FINISHED)]]+4500</f>
        <v>60589.5</v>
      </c>
      <c r="AI471" s="232">
        <f>Table1[[#This Row],[UNIT (BUILDING) RATE (SEMI FINISHED)]]+7500</f>
        <v>63589.5</v>
      </c>
      <c r="AJ471" s="232">
        <f t="shared" si="77"/>
        <v>8974320</v>
      </c>
      <c r="AK471" s="232">
        <f>Table1[[#This Row],[UNIT (BUILDING) RATE (BASIC FINISH)]]*Table1[[#This Row],[Unit Selling Area]]</f>
        <v>9694320</v>
      </c>
      <c r="AL471" s="232">
        <f>Table1[[#This Row],[UNIT (BUILDING) RATE (FULLY FINISH)]]*Table1[[#This Row],[Unit Selling Area]]</f>
        <v>10174320</v>
      </c>
      <c r="AM471" s="232">
        <f t="shared" si="78"/>
        <v>0</v>
      </c>
      <c r="AN471" s="232">
        <f>(AM471+AJ471)*FACTS!$S$2</f>
        <v>762817.20000000007</v>
      </c>
      <c r="AO471" s="101">
        <f>VLOOKUP(S471,FACTS!$A$17:$C$23,3,FALSE)</f>
        <v>2</v>
      </c>
      <c r="AP471" s="232">
        <f>VLOOKUP(AA471,FACTS!$B$2:$J$14,9,FALSE)</f>
        <v>244000</v>
      </c>
      <c r="AQ471" s="232">
        <f>Table1[[#This Row],[PARKING VALUE]]*1</f>
        <v>244000</v>
      </c>
      <c r="AR471" s="232">
        <f t="shared" si="72"/>
        <v>9218320</v>
      </c>
      <c r="AS471" s="440">
        <f>Table1[[#This Row],[TOTAL CARS VALUE]]+Table1[[#This Row],[UNIT (BUILDING) VALUE BASIC FINISHED]]+Table1[[#This Row],[UNIT (GARDEN) VALUE]]</f>
        <v>9938320</v>
      </c>
      <c r="AT471" s="232">
        <f>Table1[[#This Row],[TOTAL CARS VALUE]]+Table1[[#This Row],[UNIT (GARDEN) VALUE]]+Table1[[#This Row],[UNIT (BUILDING) VALUE FULLY FINISHED]]</f>
        <v>10418320</v>
      </c>
      <c r="AU471" s="233">
        <f>VLOOKUP(I471,'C PHASES'!$I$108:$J$110,2,FALSE)</f>
        <v>45839</v>
      </c>
      <c r="AV471" s="233">
        <f>VLOOKUP(AA471,'C PHASES'!$I$113:$J$125,2,FALSE)</f>
        <v>45839</v>
      </c>
    </row>
    <row r="472" spans="1:48" x14ac:dyDescent="0.25">
      <c r="A472" s="235"/>
      <c r="B472" s="227" t="str">
        <f t="shared" si="71"/>
        <v>B</v>
      </c>
      <c r="C472" s="227" t="s">
        <v>93</v>
      </c>
      <c r="D472" s="227" t="s">
        <v>1147</v>
      </c>
      <c r="E472" s="228">
        <v>4</v>
      </c>
      <c r="F472" s="101">
        <v>4</v>
      </c>
      <c r="G472" s="87" t="str">
        <f t="shared" si="73"/>
        <v>B1544</v>
      </c>
      <c r="H472" s="87" t="s">
        <v>1294</v>
      </c>
      <c r="I472" s="89" t="str">
        <f>VLOOKUP(C472,'PREMIUM TABLES'!$G$107:$H$149,2,FALSE)</f>
        <v>C1</v>
      </c>
      <c r="J472" s="87">
        <v>129.58000000000001</v>
      </c>
      <c r="K472" s="87">
        <v>140.70876529913639</v>
      </c>
      <c r="L472" s="87">
        <v>158</v>
      </c>
      <c r="O472" s="87" t="s">
        <v>180</v>
      </c>
      <c r="P472" s="87" t="s">
        <v>226</v>
      </c>
      <c r="Q472" s="229" t="s">
        <v>198</v>
      </c>
      <c r="R472" s="87" t="str">
        <f>VLOOKUP(E472,'PREMIUM TABLES'!$F$214:$G$219,2,FALSE)</f>
        <v>FORTH</v>
      </c>
      <c r="S472" s="87" t="str" cm="1">
        <f t="array" ref="S472">IF(AND(L472&gt;0,L472&lt;90),"A",IF(AND(L472&gt;90,L472&lt;123),"B",IF(AND(L472&gt;122,L472&lt;159),"C",IF(AND(L472&gt;159,L472&lt;185),"D",IF(AND(L472&gt;185,L472&lt;230),"E",IF(AND(L472&gt;230,L472&lt;350),"F",NONE))))))</f>
        <v>C</v>
      </c>
      <c r="T472" s="230">
        <f>VLOOKUP(O472,'PREMIUM TABLES'!$G$165:$H$172,2,FALSE)</f>
        <v>0.13</v>
      </c>
      <c r="U472" s="230">
        <f>VLOOKUP(P472,'PREMIUM TABLES'!$G$208:$H$209,2,FALSE)</f>
        <v>0.05</v>
      </c>
      <c r="V472" s="230">
        <f>VLOOKUP(Q472,'PREMIUM TABLES'!$G$175:$H$195,2,FALSE)</f>
        <v>0.15</v>
      </c>
      <c r="W472" s="230">
        <f>VLOOKUP(R472,'PREMIUM TABLES'!$G$214:$H$219,2,FALSE)</f>
        <v>0.06</v>
      </c>
      <c r="X472" s="230">
        <f>VLOOKUP(S472,'PREMIUM TABLES'!$F$199:$H$205,3,FALSE)</f>
        <v>3.5000000000000003E-2</v>
      </c>
      <c r="Y472" s="231">
        <f t="shared" si="74"/>
        <v>0.42499999999999993</v>
      </c>
      <c r="Z472" s="231" t="str" cm="1">
        <f t="array" ref="Z472">IF(AND(Y472&gt;0,Y472&lt;0.5),"C",IF(AND(Y472&gt;=0.5,Y472&lt;0.73),"B",IF(AND(Y472&gt;=0.73,Y472&lt;0.98),"A",NONE)))</f>
        <v>C</v>
      </c>
      <c r="AA472" s="231" t="str">
        <f>VLOOKUP(G472,'ALL (R)'!$N$5:$R$862,5,FALSE)</f>
        <v>R 7</v>
      </c>
      <c r="AB472" s="232">
        <f>VLOOKUP(AA472,FACTS!$B$2:$L$14,10,FALSE)</f>
        <v>50150</v>
      </c>
      <c r="AC472" s="232">
        <f>VLOOKUP(AA472,FACTS!$B$2:$L$14,11,FALSE)</f>
        <v>56050</v>
      </c>
      <c r="AD472" s="232">
        <f>VLOOKUP(AA472,FACTS!$B$2:$N$14,13,FALSE)</f>
        <v>5900</v>
      </c>
      <c r="AE472" s="232">
        <f t="shared" si="75"/>
        <v>2507.4999999999995</v>
      </c>
      <c r="AF472" s="232">
        <f t="shared" si="76"/>
        <v>52657.5</v>
      </c>
      <c r="AG472" s="232">
        <f>AF472*FACTS!$T$2</f>
        <v>17376.975000000002</v>
      </c>
      <c r="AH472" s="232">
        <f>Table1[[#This Row],[UNIT (BUILDING) RATE (SEMI FINISHED)]]+4500</f>
        <v>57157.5</v>
      </c>
      <c r="AI472" s="232">
        <f>Table1[[#This Row],[UNIT (BUILDING) RATE (SEMI FINISHED)]]+7500</f>
        <v>60157.5</v>
      </c>
      <c r="AJ472" s="232">
        <f t="shared" si="77"/>
        <v>8319885</v>
      </c>
      <c r="AK472" s="232">
        <f>Table1[[#This Row],[UNIT (BUILDING) RATE (BASIC FINISH)]]*Table1[[#This Row],[Unit Selling Area]]</f>
        <v>9030885</v>
      </c>
      <c r="AL472" s="232">
        <f>Table1[[#This Row],[UNIT (BUILDING) RATE (FULLY FINISH)]]*Table1[[#This Row],[Unit Selling Area]]</f>
        <v>9504885</v>
      </c>
      <c r="AM472" s="232">
        <f t="shared" si="78"/>
        <v>0</v>
      </c>
      <c r="AN472" s="232">
        <f>(AM472+AJ472)*FACTS!$S$2</f>
        <v>707190.22500000009</v>
      </c>
      <c r="AO472" s="101">
        <f>VLOOKUP(S472,FACTS!$A$17:$C$23,3,FALSE)</f>
        <v>2</v>
      </c>
      <c r="AP472" s="232">
        <f>VLOOKUP(AA472,FACTS!$B$2:$J$14,9,FALSE)</f>
        <v>236000</v>
      </c>
      <c r="AQ472" s="232">
        <f>Table1[[#This Row],[PARKING VALUE]]*1</f>
        <v>236000</v>
      </c>
      <c r="AR472" s="232">
        <f t="shared" si="72"/>
        <v>8555885</v>
      </c>
      <c r="AS472" s="440">
        <f>Table1[[#This Row],[TOTAL CARS VALUE]]+Table1[[#This Row],[UNIT (BUILDING) VALUE BASIC FINISHED]]+Table1[[#This Row],[UNIT (GARDEN) VALUE]]</f>
        <v>9266885</v>
      </c>
      <c r="AT472" s="232">
        <f>Table1[[#This Row],[TOTAL CARS VALUE]]+Table1[[#This Row],[UNIT (GARDEN) VALUE]]+Table1[[#This Row],[UNIT (BUILDING) VALUE FULLY FINISHED]]</f>
        <v>9740885</v>
      </c>
      <c r="AU472" s="233">
        <f>VLOOKUP(I472,'C PHASES'!$I$108:$J$110,2,FALSE)</f>
        <v>45839</v>
      </c>
      <c r="AV472" s="233">
        <f>VLOOKUP(AA472,'C PHASES'!$I$113:$J$125,2,FALSE)</f>
        <v>45748</v>
      </c>
    </row>
    <row r="473" spans="1:48" ht="21.75" x14ac:dyDescent="0.25">
      <c r="A473" s="235" t="s">
        <v>38</v>
      </c>
      <c r="B473" s="227" t="str">
        <f t="shared" si="71"/>
        <v>B</v>
      </c>
      <c r="C473" s="227" t="s">
        <v>92</v>
      </c>
      <c r="D473" s="227" t="s">
        <v>1147</v>
      </c>
      <c r="E473" s="228">
        <v>0</v>
      </c>
      <c r="F473" s="101">
        <v>1</v>
      </c>
      <c r="G473" s="87" t="str">
        <f>LEFT(C473,3)&amp;E473&amp;F473</f>
        <v>B1601</v>
      </c>
      <c r="H473" s="87" t="s">
        <v>1294</v>
      </c>
      <c r="I473" s="89" t="str">
        <f>VLOOKUP(C473,'PREMIUM TABLES'!$G$107:$H$149,2,FALSE)</f>
        <v>C1</v>
      </c>
      <c r="J473" s="87">
        <v>131.32</v>
      </c>
      <c r="K473" s="87">
        <v>142.66718842094684</v>
      </c>
      <c r="L473" s="87">
        <v>160</v>
      </c>
      <c r="M473" s="87">
        <v>76.728700000000003</v>
      </c>
      <c r="O473" s="87" t="s">
        <v>180</v>
      </c>
      <c r="P473" s="87" t="s">
        <v>190</v>
      </c>
      <c r="Q473" s="229" t="s">
        <v>198</v>
      </c>
      <c r="R473" s="87" t="str">
        <f>VLOOKUP(E473,'PREMIUM TABLES'!$F$214:$G$219,2,FALSE)</f>
        <v>GROUND</v>
      </c>
      <c r="S473" s="87" t="str" cm="1">
        <f t="array" ref="S473">IF(AND(L473&gt;0,L473&lt;90),"A",IF(AND(L473&gt;90,L473&lt;123),"B",IF(AND(L473&gt;122,L473&lt;159),"C",IF(AND(L473&gt;159,L473&lt;185),"D",IF(AND(L473&gt;185,L473&lt;230),"E",IF(AND(L473&gt;230,L473&lt;350),"F",NONE))))))</f>
        <v>D</v>
      </c>
      <c r="T473" s="230">
        <f>VLOOKUP(O473,'PREMIUM TABLES'!$G$165:$H$172,2,FALSE)</f>
        <v>0.13</v>
      </c>
      <c r="U473" s="230">
        <f>VLOOKUP(P473,'PREMIUM TABLES'!$G$208:$H$209,2,FALSE)</f>
        <v>2.5000000000000001E-2</v>
      </c>
      <c r="V473" s="230">
        <f>VLOOKUP(Q473,'PREMIUM TABLES'!$G$175:$H$195,2,FALSE)</f>
        <v>0.15</v>
      </c>
      <c r="W473" s="230">
        <f>VLOOKUP(R473,'PREMIUM TABLES'!$G$214:$H$219,2,FALSE)</f>
        <v>0.05</v>
      </c>
      <c r="X473" s="230">
        <f>VLOOKUP(S473,'PREMIUM TABLES'!$F$199:$H$205,3,FALSE)</f>
        <v>2.5000000000000001E-2</v>
      </c>
      <c r="Y473" s="231">
        <f t="shared" si="74"/>
        <v>0.38</v>
      </c>
      <c r="Z473" s="231" t="str" cm="1">
        <f t="array" ref="Z473">IF(AND(Y473&gt;0,Y473&lt;0.5),"C",IF(AND(Y473&gt;=0.5,Y473&lt;0.73),"B",IF(AND(Y473&gt;=0.73,Y473&lt;0.98),"A",NONE)))</f>
        <v>C</v>
      </c>
      <c r="AA473" s="231" t="str">
        <f>VLOOKUP(G473,'ALL (R)'!$N$5:$R$862,5,FALSE)</f>
        <v>R 3</v>
      </c>
      <c r="AB473" s="232">
        <f>VLOOKUP(AA473,FACTS!$B$2:$L$14,10,FALSE)</f>
        <v>44625</v>
      </c>
      <c r="AC473" s="232">
        <f>VLOOKUP(AA473,FACTS!$B$2:$L$14,11,FALSE)</f>
        <v>49875</v>
      </c>
      <c r="AD473" s="232">
        <f>VLOOKUP(AA473,FACTS!$B$2:$N$14,13,FALSE)</f>
        <v>5250</v>
      </c>
      <c r="AE473" s="232">
        <f t="shared" si="75"/>
        <v>1995</v>
      </c>
      <c r="AF473" s="232">
        <f t="shared" si="76"/>
        <v>46620</v>
      </c>
      <c r="AG473" s="232">
        <f>AF473*FACTS!$T$2</f>
        <v>15384.6</v>
      </c>
      <c r="AH473" s="232">
        <f>Table1[[#This Row],[UNIT (BUILDING) RATE (SEMI FINISHED)]]+4500</f>
        <v>51120</v>
      </c>
      <c r="AI473" s="232">
        <f>Table1[[#This Row],[UNIT (BUILDING) RATE (SEMI FINISHED)]]+7500</f>
        <v>54120</v>
      </c>
      <c r="AJ473" s="232">
        <f t="shared" si="77"/>
        <v>7459200</v>
      </c>
      <c r="AK473" s="232">
        <f>Table1[[#This Row],[UNIT (BUILDING) RATE (BASIC FINISH)]]*Table1[[#This Row],[Unit Selling Area]]</f>
        <v>8179200</v>
      </c>
      <c r="AL473" s="232">
        <f>Table1[[#This Row],[UNIT (BUILDING) RATE (FULLY FINISH)]]*Table1[[#This Row],[Unit Selling Area]]</f>
        <v>8659200</v>
      </c>
      <c r="AM473" s="232">
        <f t="shared" si="78"/>
        <v>1180440.3580200002</v>
      </c>
      <c r="AN473" s="232">
        <f>(AM473+AJ473)*FACTS!$S$2</f>
        <v>734369.43043170008</v>
      </c>
      <c r="AO473" s="101">
        <f>VLOOKUP(S473,FACTS!$A$17:$C$23,3,FALSE)</f>
        <v>2</v>
      </c>
      <c r="AP473" s="232">
        <f>VLOOKUP(AA473,FACTS!$B$2:$J$14,9,FALSE)</f>
        <v>210000</v>
      </c>
      <c r="AQ473" s="232">
        <f>Table1[[#This Row],[PARKING VALUE]]*1</f>
        <v>210000</v>
      </c>
      <c r="AR473" s="232">
        <f t="shared" si="72"/>
        <v>8849640.3580200002</v>
      </c>
      <c r="AS473" s="440">
        <f>Table1[[#This Row],[TOTAL CARS VALUE]]+Table1[[#This Row],[UNIT (BUILDING) VALUE BASIC FINISHED]]+Table1[[#This Row],[UNIT (GARDEN) VALUE]]</f>
        <v>9569640.3580200002</v>
      </c>
      <c r="AT473" s="232">
        <f>Table1[[#This Row],[TOTAL CARS VALUE]]+Table1[[#This Row],[UNIT (GARDEN) VALUE]]+Table1[[#This Row],[UNIT (BUILDING) VALUE FULLY FINISHED]]</f>
        <v>10049640.35802</v>
      </c>
      <c r="AU473" s="233">
        <f>VLOOKUP(I473,'C PHASES'!$I$108:$J$110,2,FALSE)</f>
        <v>45839</v>
      </c>
      <c r="AV473" s="233">
        <f>VLOOKUP(AA473,'C PHASES'!$I$113:$J$125,2,FALSE)</f>
        <v>45383</v>
      </c>
    </row>
    <row r="474" spans="1:48" s="202" customFormat="1" x14ac:dyDescent="0.25">
      <c r="A474" s="235"/>
      <c r="B474" s="227" t="s">
        <v>204</v>
      </c>
      <c r="C474" s="227" t="s">
        <v>92</v>
      </c>
      <c r="D474" s="227" t="s">
        <v>1147</v>
      </c>
      <c r="E474" s="228">
        <v>0</v>
      </c>
      <c r="F474" s="101">
        <v>2</v>
      </c>
      <c r="G474" s="87" t="s">
        <v>433</v>
      </c>
      <c r="H474" s="87" t="s">
        <v>1297</v>
      </c>
      <c r="I474" s="89" t="s">
        <v>49</v>
      </c>
      <c r="J474" s="87">
        <f>'DATA FOR DUPLEX'!H21</f>
        <v>128.28</v>
      </c>
      <c r="K474" s="87">
        <f>'DATA FOR DUPLEX'!I21</f>
        <v>139.36450602070562</v>
      </c>
      <c r="L474" s="87">
        <v>309</v>
      </c>
      <c r="M474" s="87">
        <f>'DATA FOR DUPLEX'!K21</f>
        <v>86.075999999999993</v>
      </c>
      <c r="N474" s="87"/>
      <c r="O474" s="87" t="s">
        <v>187</v>
      </c>
      <c r="P474" s="87" t="s">
        <v>190</v>
      </c>
      <c r="Q474" s="229" t="s">
        <v>209</v>
      </c>
      <c r="R474" s="87" t="str">
        <f>VLOOKUP(E474,'PREMIUM TABLES'!$F$214:$G$219,2,FALSE)</f>
        <v>GROUND</v>
      </c>
      <c r="S474" s="87" t="str" cm="1">
        <f t="array" ref="S474">IF(AND(L474&gt;0,L474&lt;90),"A",IF(AND(L474&gt;90,L474&lt;123),"B",IF(AND(L474&gt;122,L474&lt;159),"C",IF(AND(L474&gt;159,L474&lt;185),"D",IF(AND(L474&gt;185,L474&lt;230),"E",IF(AND(L474&gt;230,L474&lt;350),"F",NONE))))))</f>
        <v>F</v>
      </c>
      <c r="T474" s="230">
        <f>VLOOKUP(O474,'PREMIUM TABLES'!$G$165:$H$172,2,FALSE)</f>
        <v>0.08</v>
      </c>
      <c r="U474" s="230">
        <f>VLOOKUP(P474,'PREMIUM TABLES'!$G$208:$H$209,2,FALSE)</f>
        <v>2.5000000000000001E-2</v>
      </c>
      <c r="V474" s="230">
        <f>VLOOKUP(Q474,'PREMIUM TABLES'!$G$175:$H$195,2,FALSE)</f>
        <v>0.6</v>
      </c>
      <c r="W474" s="230">
        <f>VLOOKUP(R474,'PREMIUM TABLES'!$G$214:$H$219,2,FALSE)</f>
        <v>0.05</v>
      </c>
      <c r="X474" s="230">
        <f>VLOOKUP(S474,'PREMIUM TABLES'!$F$199:$H$205,3,FALSE)</f>
        <v>0</v>
      </c>
      <c r="Y474" s="231">
        <f t="shared" si="74"/>
        <v>0.755</v>
      </c>
      <c r="Z474" s="231" t="str" cm="1">
        <f t="array" ref="Z474">IF(AND(Y474&gt;0,Y474&lt;0.5),"C",IF(AND(Y474&gt;=0.5,Y474&lt;0.73),"B",IF(AND(Y474&gt;=0.73,Y474&lt;0.98),"A",NONE)))</f>
        <v>A</v>
      </c>
      <c r="AA474" s="231" t="str">
        <f>VLOOKUP(G474,'ALL (R)'!$N$5:$R$862,5,FALSE)</f>
        <v>R 2</v>
      </c>
      <c r="AB474" s="232">
        <f>VLOOKUP(AA474,FACTS!$B$2:$L$14,10,FALSE)</f>
        <v>43562.499999999993</v>
      </c>
      <c r="AC474" s="232">
        <f>VLOOKUP(AA474,FACTS!$B$2:$L$14,11,FALSE)</f>
        <v>48687.499999999993</v>
      </c>
      <c r="AD474" s="232">
        <f>VLOOKUP(AA474,FACTS!$B$2:$N$14,13,FALSE)</f>
        <v>5125</v>
      </c>
      <c r="AE474" s="232">
        <f t="shared" si="75"/>
        <v>3869.375</v>
      </c>
      <c r="AF474" s="232">
        <f t="shared" si="76"/>
        <v>47431.874999999993</v>
      </c>
      <c r="AG474" s="232">
        <f>AF474*FACTS!$T$2</f>
        <v>15652.518749999997</v>
      </c>
      <c r="AH474" s="232">
        <f>Table1[[#This Row],[UNIT (BUILDING) RATE (SEMI FINISHED)]]+4500</f>
        <v>51931.874999999993</v>
      </c>
      <c r="AI474" s="232">
        <f>Table1[[#This Row],[UNIT (BUILDING) RATE (SEMI FINISHED)]]+7500</f>
        <v>54931.874999999993</v>
      </c>
      <c r="AJ474" s="232">
        <f t="shared" si="77"/>
        <v>14656449.374999998</v>
      </c>
      <c r="AK474" s="232">
        <f>Table1[[#This Row],[UNIT (BUILDING) RATE (BASIC FINISH)]]*Table1[[#This Row],[Unit Selling Area]]</f>
        <v>16046949.374999998</v>
      </c>
      <c r="AL474" s="232">
        <f>Table1[[#This Row],[UNIT (BUILDING) RATE (FULLY FINISH)]]*Table1[[#This Row],[Unit Selling Area]]</f>
        <v>16973949.374999996</v>
      </c>
      <c r="AM474" s="232">
        <f t="shared" si="78"/>
        <v>1347306.2039249996</v>
      </c>
      <c r="AN474" s="232">
        <f>(AM474+AJ474)*FACTS!$S$2</f>
        <v>1360319.224208625</v>
      </c>
      <c r="AO474" s="101">
        <f>VLOOKUP(S474,FACTS!$A$17:$C$23,3,FALSE)</f>
        <v>2</v>
      </c>
      <c r="AP474" s="232">
        <f>VLOOKUP(AA474,FACTS!$B$2:$J$14,9,FALSE)</f>
        <v>204999.99999999997</v>
      </c>
      <c r="AQ474" s="232">
        <f>Table1[[#This Row],[PARKING VALUE]]*1</f>
        <v>204999.99999999997</v>
      </c>
      <c r="AR474" s="232">
        <f t="shared" si="72"/>
        <v>16208755.578924999</v>
      </c>
      <c r="AS474" s="440">
        <f>Table1[[#This Row],[TOTAL CARS VALUE]]+Table1[[#This Row],[UNIT (BUILDING) VALUE BASIC FINISHED]]+Table1[[#This Row],[UNIT (GARDEN) VALUE]]</f>
        <v>17599255.578924999</v>
      </c>
      <c r="AT474" s="232">
        <f>Table1[[#This Row],[TOTAL CARS VALUE]]+Table1[[#This Row],[UNIT (GARDEN) VALUE]]+Table1[[#This Row],[UNIT (BUILDING) VALUE FULLY FINISHED]]</f>
        <v>18526255.578924995</v>
      </c>
      <c r="AU474" s="233">
        <f>VLOOKUP(I474,'C PHASES'!$I$108:$J$110,2,FALSE)</f>
        <v>45839</v>
      </c>
      <c r="AV474" s="233">
        <f>VLOOKUP(AA474,'C PHASES'!$I$113:$J$125,2,FALSE)</f>
        <v>45292</v>
      </c>
    </row>
    <row r="475" spans="1:48" s="202" customFormat="1" x14ac:dyDescent="0.25">
      <c r="A475" s="235"/>
      <c r="B475" s="227" t="s">
        <v>204</v>
      </c>
      <c r="C475" s="227" t="s">
        <v>92</v>
      </c>
      <c r="D475" s="227" t="s">
        <v>1147</v>
      </c>
      <c r="E475" s="228">
        <v>0</v>
      </c>
      <c r="F475" s="101">
        <v>3</v>
      </c>
      <c r="G475" s="87" t="s">
        <v>862</v>
      </c>
      <c r="H475" s="87" t="s">
        <v>1297</v>
      </c>
      <c r="I475" s="89" t="s">
        <v>49</v>
      </c>
      <c r="J475" s="87">
        <f>'DATA FOR DUPLEX'!H23</f>
        <v>125.03</v>
      </c>
      <c r="K475" s="87">
        <f>'DATA FOR DUPLEX'!I23</f>
        <v>135.83367779676351</v>
      </c>
      <c r="L475" s="87">
        <v>301</v>
      </c>
      <c r="M475" s="87">
        <f>'DATA FOR DUPLEX'!K23</f>
        <v>85.509600000000006</v>
      </c>
      <c r="N475" s="87"/>
      <c r="O475" s="87" t="s">
        <v>187</v>
      </c>
      <c r="P475" s="87" t="s">
        <v>190</v>
      </c>
      <c r="Q475" s="229" t="s">
        <v>209</v>
      </c>
      <c r="R475" s="87" t="str">
        <f>VLOOKUP(E475,'PREMIUM TABLES'!$F$214:$G$219,2,FALSE)</f>
        <v>GROUND</v>
      </c>
      <c r="S475" s="87" t="str" cm="1">
        <f t="array" ref="S475">IF(AND(L475&gt;0,L475&lt;90),"A",IF(AND(L475&gt;90,L475&lt;123),"B",IF(AND(L475&gt;122,L475&lt;159),"C",IF(AND(L475&gt;159,L475&lt;185),"D",IF(AND(L475&gt;185,L475&lt;230),"E",IF(AND(L475&gt;230,L475&lt;350),"F",NONE))))))</f>
        <v>F</v>
      </c>
      <c r="T475" s="230">
        <f>VLOOKUP(O475,'PREMIUM TABLES'!$G$165:$H$172,2,FALSE)</f>
        <v>0.08</v>
      </c>
      <c r="U475" s="230">
        <f>VLOOKUP(P475,'PREMIUM TABLES'!$G$208:$H$209,2,FALSE)</f>
        <v>2.5000000000000001E-2</v>
      </c>
      <c r="V475" s="230">
        <f>VLOOKUP(Q475,'PREMIUM TABLES'!$G$175:$H$195,2,FALSE)</f>
        <v>0.6</v>
      </c>
      <c r="W475" s="230">
        <f>VLOOKUP(R475,'PREMIUM TABLES'!$G$214:$H$219,2,FALSE)</f>
        <v>0.05</v>
      </c>
      <c r="X475" s="230">
        <f>VLOOKUP(S475,'PREMIUM TABLES'!$F$199:$H$205,3,FALSE)</f>
        <v>0</v>
      </c>
      <c r="Y475" s="231">
        <f t="shared" si="74"/>
        <v>0.755</v>
      </c>
      <c r="Z475" s="231" t="str" cm="1">
        <f t="array" ref="Z475">IF(AND(Y475&gt;0,Y475&lt;0.5),"C",IF(AND(Y475&gt;=0.5,Y475&lt;0.73),"B",IF(AND(Y475&gt;=0.73,Y475&lt;0.98),"A",NONE)))</f>
        <v>A</v>
      </c>
      <c r="AA475" s="231" t="str">
        <f>VLOOKUP(G475,'ALL (R)'!$N$5:$R$862,5,FALSE)</f>
        <v>R 2</v>
      </c>
      <c r="AB475" s="232">
        <f>VLOOKUP(AA475,FACTS!$B$2:$L$14,10,FALSE)</f>
        <v>43562.499999999993</v>
      </c>
      <c r="AC475" s="232">
        <f>VLOOKUP(AA475,FACTS!$B$2:$L$14,11,FALSE)</f>
        <v>48687.499999999993</v>
      </c>
      <c r="AD475" s="232">
        <f>VLOOKUP(AA475,FACTS!$B$2:$N$14,13,FALSE)</f>
        <v>5125</v>
      </c>
      <c r="AE475" s="232">
        <f t="shared" si="75"/>
        <v>3869.375</v>
      </c>
      <c r="AF475" s="232">
        <f t="shared" si="76"/>
        <v>47431.874999999993</v>
      </c>
      <c r="AG475" s="232">
        <f>AF475*FACTS!$T$2</f>
        <v>15652.518749999997</v>
      </c>
      <c r="AH475" s="232">
        <f>Table1[[#This Row],[UNIT (BUILDING) RATE (SEMI FINISHED)]]+4500</f>
        <v>51931.874999999993</v>
      </c>
      <c r="AI475" s="232">
        <f>Table1[[#This Row],[UNIT (BUILDING) RATE (SEMI FINISHED)]]+7500</f>
        <v>54931.874999999993</v>
      </c>
      <c r="AJ475" s="232">
        <f t="shared" si="77"/>
        <v>14276994.374999998</v>
      </c>
      <c r="AK475" s="232">
        <f>Table1[[#This Row],[UNIT (BUILDING) RATE (BASIC FINISH)]]*Table1[[#This Row],[Unit Selling Area]]</f>
        <v>15631494.374999998</v>
      </c>
      <c r="AL475" s="232">
        <f>Table1[[#This Row],[UNIT (BUILDING) RATE (FULLY FINISH)]]*Table1[[#This Row],[Unit Selling Area]]</f>
        <v>16534494.374999998</v>
      </c>
      <c r="AM475" s="232">
        <f t="shared" si="78"/>
        <v>1338440.6173049998</v>
      </c>
      <c r="AN475" s="232">
        <f>(AM475+AJ475)*FACTS!$S$2</f>
        <v>1327311.9743459248</v>
      </c>
      <c r="AO475" s="101">
        <f>VLOOKUP(S475,FACTS!$A$17:$C$23,3,FALSE)</f>
        <v>2</v>
      </c>
      <c r="AP475" s="232">
        <f>VLOOKUP(AA475,FACTS!$B$2:$J$14,9,FALSE)</f>
        <v>204999.99999999997</v>
      </c>
      <c r="AQ475" s="232">
        <f>Table1[[#This Row],[PARKING VALUE]]*1</f>
        <v>204999.99999999997</v>
      </c>
      <c r="AR475" s="232">
        <f t="shared" si="72"/>
        <v>15820434.992304998</v>
      </c>
      <c r="AS475" s="440">
        <f>Table1[[#This Row],[TOTAL CARS VALUE]]+Table1[[#This Row],[UNIT (BUILDING) VALUE BASIC FINISHED]]+Table1[[#This Row],[UNIT (GARDEN) VALUE]]</f>
        <v>17174934.992304999</v>
      </c>
      <c r="AT475" s="232">
        <f>Table1[[#This Row],[TOTAL CARS VALUE]]+Table1[[#This Row],[UNIT (GARDEN) VALUE]]+Table1[[#This Row],[UNIT (BUILDING) VALUE FULLY FINISHED]]</f>
        <v>18077934.992304999</v>
      </c>
      <c r="AU475" s="233">
        <f>VLOOKUP(I475,'C PHASES'!$I$108:$J$110,2,FALSE)</f>
        <v>45839</v>
      </c>
      <c r="AV475" s="233">
        <f>VLOOKUP(AA475,'C PHASES'!$I$113:$J$125,2,FALSE)</f>
        <v>45292</v>
      </c>
    </row>
    <row r="476" spans="1:48" x14ac:dyDescent="0.25">
      <c r="A476" s="235"/>
      <c r="B476" s="227" t="str">
        <f t="shared" si="71"/>
        <v>B</v>
      </c>
      <c r="C476" s="227" t="s">
        <v>92</v>
      </c>
      <c r="D476" s="227" t="s">
        <v>1147</v>
      </c>
      <c r="E476" s="228">
        <v>0</v>
      </c>
      <c r="F476" s="101">
        <v>4</v>
      </c>
      <c r="G476" s="87" t="str">
        <f t="shared" ref="G476:G490" si="79">LEFT(C476,3)&amp;E476&amp;F476</f>
        <v>B1604</v>
      </c>
      <c r="H476" s="87" t="s">
        <v>1293</v>
      </c>
      <c r="I476" s="89" t="str">
        <f>VLOOKUP(C476,'PREMIUM TABLES'!$G$107:$H$149,2,FALSE)</f>
        <v>C1</v>
      </c>
      <c r="J476" s="87">
        <v>87.23</v>
      </c>
      <c r="K476" s="87">
        <v>94.767429530606108</v>
      </c>
      <c r="L476" s="87">
        <v>106</v>
      </c>
      <c r="M476" s="87">
        <v>64.038600000000002</v>
      </c>
      <c r="O476" s="87" t="s">
        <v>180</v>
      </c>
      <c r="P476" s="87" t="s">
        <v>190</v>
      </c>
      <c r="Q476" s="229" t="s">
        <v>198</v>
      </c>
      <c r="R476" s="87" t="str">
        <f>VLOOKUP(E476,'PREMIUM TABLES'!$F$214:$G$219,2,FALSE)</f>
        <v>GROUND</v>
      </c>
      <c r="S476" s="87" t="str" cm="1">
        <f t="array" ref="S476">IF(AND(L476&gt;0,L476&lt;90),"A",IF(AND(L476&gt;90,L476&lt;123),"B",IF(AND(L476&gt;122,L476&lt;159),"C",IF(AND(L476&gt;159,L476&lt;185),"D",IF(AND(L476&gt;185,L476&lt;230),"E",IF(AND(L476&gt;230,L476&lt;350),"F",NONE))))))</f>
        <v>B</v>
      </c>
      <c r="T476" s="230">
        <f>VLOOKUP(O476,'PREMIUM TABLES'!$G$165:$H$172,2,FALSE)</f>
        <v>0.13</v>
      </c>
      <c r="U476" s="230">
        <f>VLOOKUP(P476,'PREMIUM TABLES'!$G$208:$H$209,2,FALSE)</f>
        <v>2.5000000000000001E-2</v>
      </c>
      <c r="V476" s="230">
        <f>VLOOKUP(Q476,'PREMIUM TABLES'!$G$175:$H$195,2,FALSE)</f>
        <v>0.15</v>
      </c>
      <c r="W476" s="230">
        <f>VLOOKUP(R476,'PREMIUM TABLES'!$G$214:$H$219,2,FALSE)</f>
        <v>0.05</v>
      </c>
      <c r="X476" s="230">
        <f>VLOOKUP(S476,'PREMIUM TABLES'!$F$199:$H$205,3,FALSE)</f>
        <v>0.04</v>
      </c>
      <c r="Y476" s="231">
        <f t="shared" si="74"/>
        <v>0.39499999999999996</v>
      </c>
      <c r="Z476" s="231" t="str" cm="1">
        <f t="array" ref="Z476">IF(AND(Y476&gt;0,Y476&lt;0.5),"C",IF(AND(Y476&gt;=0.5,Y476&lt;0.73),"B",IF(AND(Y476&gt;=0.73,Y476&lt;0.98),"A",NONE)))</f>
        <v>C</v>
      </c>
      <c r="AA476" s="231" t="str">
        <f>VLOOKUP(G476,'ALL (R)'!$N$5:$R$862,5,FALSE)</f>
        <v>R 4</v>
      </c>
      <c r="AB476" s="232">
        <f>VLOOKUP(AA476,FACTS!$B$2:$L$14,10,FALSE)</f>
        <v>45687.5</v>
      </c>
      <c r="AC476" s="232">
        <f>VLOOKUP(AA476,FACTS!$B$2:$L$14,11,FALSE)</f>
        <v>51062.5</v>
      </c>
      <c r="AD476" s="232">
        <f>VLOOKUP(AA476,FACTS!$B$2:$N$14,13,FALSE)</f>
        <v>5375</v>
      </c>
      <c r="AE476" s="232">
        <f t="shared" si="75"/>
        <v>2123.125</v>
      </c>
      <c r="AF476" s="232">
        <f t="shared" si="76"/>
        <v>47810.625</v>
      </c>
      <c r="AG476" s="232">
        <f>AF476*FACTS!$T$2</f>
        <v>15777.50625</v>
      </c>
      <c r="AH476" s="232">
        <f>Table1[[#This Row],[UNIT (BUILDING) RATE (SEMI FINISHED)]]+4500</f>
        <v>52310.625</v>
      </c>
      <c r="AI476" s="232">
        <f>Table1[[#This Row],[UNIT (BUILDING) RATE (SEMI FINISHED)]]+7500</f>
        <v>55310.625</v>
      </c>
      <c r="AJ476" s="232">
        <f t="shared" si="77"/>
        <v>5067926.25</v>
      </c>
      <c r="AK476" s="232">
        <f>Table1[[#This Row],[UNIT (BUILDING) RATE (BASIC FINISH)]]*Table1[[#This Row],[Unit Selling Area]]</f>
        <v>5544926.25</v>
      </c>
      <c r="AL476" s="232">
        <f>Table1[[#This Row],[UNIT (BUILDING) RATE (FULLY FINISH)]]*Table1[[#This Row],[Unit Selling Area]]</f>
        <v>5862926.25</v>
      </c>
      <c r="AM476" s="232">
        <f t="shared" si="78"/>
        <v>1010369.4117412501</v>
      </c>
      <c r="AN476" s="232">
        <f>(AM476+AJ476)*FACTS!$S$2</f>
        <v>516655.13124800631</v>
      </c>
      <c r="AO476" s="101">
        <f>VLOOKUP(S476,FACTS!$A$17:$C$23,3,FALSE)</f>
        <v>1</v>
      </c>
      <c r="AP476" s="232">
        <f>VLOOKUP(AA476,FACTS!$B$2:$J$14,9,FALSE)</f>
        <v>215000</v>
      </c>
      <c r="AQ476" s="232">
        <f>Table1[[#This Row],[PARKING VALUE]]*1</f>
        <v>215000</v>
      </c>
      <c r="AR476" s="232">
        <f t="shared" si="72"/>
        <v>6293295.6617412502</v>
      </c>
      <c r="AS476" s="440">
        <f>Table1[[#This Row],[TOTAL CARS VALUE]]+Table1[[#This Row],[UNIT (BUILDING) VALUE BASIC FINISHED]]+Table1[[#This Row],[UNIT (GARDEN) VALUE]]</f>
        <v>6770295.6617412502</v>
      </c>
      <c r="AT476" s="232">
        <f>Table1[[#This Row],[TOTAL CARS VALUE]]+Table1[[#This Row],[UNIT (GARDEN) VALUE]]+Table1[[#This Row],[UNIT (BUILDING) VALUE FULLY FINISHED]]</f>
        <v>7088295.6617412502</v>
      </c>
      <c r="AU476" s="233">
        <f>VLOOKUP(I476,'C PHASES'!$I$108:$J$110,2,FALSE)</f>
        <v>45839</v>
      </c>
      <c r="AV476" s="233">
        <f>VLOOKUP(AA476,'C PHASES'!$I$113:$J$125,2,FALSE)</f>
        <v>45474</v>
      </c>
    </row>
    <row r="477" spans="1:48" x14ac:dyDescent="0.25">
      <c r="A477" s="235"/>
      <c r="B477" s="227" t="str">
        <f t="shared" si="71"/>
        <v>B</v>
      </c>
      <c r="C477" s="227" t="s">
        <v>92</v>
      </c>
      <c r="D477" s="227" t="s">
        <v>1147</v>
      </c>
      <c r="E477" s="228">
        <v>1</v>
      </c>
      <c r="F477" s="101">
        <v>1</v>
      </c>
      <c r="G477" s="87" t="str">
        <f t="shared" si="79"/>
        <v>B1611</v>
      </c>
      <c r="H477" s="87" t="s">
        <v>1294</v>
      </c>
      <c r="I477" s="89" t="str">
        <f>VLOOKUP(C477,'PREMIUM TABLES'!$G$107:$H$149,2,FALSE)</f>
        <v>C1</v>
      </c>
      <c r="J477" s="87">
        <v>132.94</v>
      </c>
      <c r="K477" s="87">
        <v>144.42717048949646</v>
      </c>
      <c r="L477" s="87">
        <v>162</v>
      </c>
      <c r="O477" s="87" t="s">
        <v>180</v>
      </c>
      <c r="P477" s="87" t="s">
        <v>190</v>
      </c>
      <c r="Q477" s="229" t="s">
        <v>198</v>
      </c>
      <c r="R477" s="87" t="str">
        <f>VLOOKUP(E477,'PREMIUM TABLES'!$F$214:$G$219,2,FALSE)</f>
        <v>FIRST</v>
      </c>
      <c r="S477" s="87" t="str" cm="1">
        <f t="array" ref="S477">IF(AND(L477&gt;0,L477&lt;90),"A",IF(AND(L477&gt;90,L477&lt;123),"B",IF(AND(L477&gt;122,L477&lt;159),"C",IF(AND(L477&gt;159,L477&lt;185),"D",IF(AND(L477&gt;185,L477&lt;230),"E",IF(AND(L477&gt;230,L477&lt;350),"F",NONE))))))</f>
        <v>D</v>
      </c>
      <c r="T477" s="230">
        <f>VLOOKUP(O477,'PREMIUM TABLES'!$G$165:$H$172,2,FALSE)</f>
        <v>0.13</v>
      </c>
      <c r="U477" s="230">
        <f>VLOOKUP(P477,'PREMIUM TABLES'!$G$208:$H$209,2,FALSE)</f>
        <v>2.5000000000000001E-2</v>
      </c>
      <c r="V477" s="230">
        <f>VLOOKUP(Q477,'PREMIUM TABLES'!$G$175:$H$195,2,FALSE)</f>
        <v>0.15</v>
      </c>
      <c r="W477" s="230">
        <f>VLOOKUP(R477,'PREMIUM TABLES'!$G$214:$H$219,2,FALSE)</f>
        <v>7.0000000000000007E-2</v>
      </c>
      <c r="X477" s="230">
        <f>VLOOKUP(S477,'PREMIUM TABLES'!$F$199:$H$205,3,FALSE)</f>
        <v>2.5000000000000001E-2</v>
      </c>
      <c r="Y477" s="231">
        <f t="shared" si="74"/>
        <v>0.4</v>
      </c>
      <c r="Z477" s="231" t="str" cm="1">
        <f t="array" ref="Z477">IF(AND(Y477&gt;0,Y477&lt;0.5),"C",IF(AND(Y477&gt;=0.5,Y477&lt;0.73),"B",IF(AND(Y477&gt;=0.73,Y477&lt;0.98),"A",NONE)))</f>
        <v>C</v>
      </c>
      <c r="AA477" s="231" t="str">
        <f>VLOOKUP(G477,'ALL (R)'!$N$5:$R$862,5,FALSE)</f>
        <v>R 5</v>
      </c>
      <c r="AB477" s="232">
        <f>VLOOKUP(AA477,FACTS!$B$2:$L$14,10,FALSE)</f>
        <v>46750.000000000007</v>
      </c>
      <c r="AC477" s="232">
        <f>VLOOKUP(AA477,FACTS!$B$2:$L$14,11,FALSE)</f>
        <v>52250.000000000007</v>
      </c>
      <c r="AD477" s="232">
        <f>VLOOKUP(AA477,FACTS!$B$2:$N$14,13,FALSE)</f>
        <v>5500</v>
      </c>
      <c r="AE477" s="232">
        <f t="shared" si="75"/>
        <v>2200</v>
      </c>
      <c r="AF477" s="232">
        <f t="shared" si="76"/>
        <v>48950.000000000007</v>
      </c>
      <c r="AG477" s="232">
        <f>AF477*FACTS!$T$2</f>
        <v>16153.500000000004</v>
      </c>
      <c r="AH477" s="232">
        <f>Table1[[#This Row],[UNIT (BUILDING) RATE (SEMI FINISHED)]]+4500</f>
        <v>53450.000000000007</v>
      </c>
      <c r="AI477" s="232">
        <f>Table1[[#This Row],[UNIT (BUILDING) RATE (SEMI FINISHED)]]+7500</f>
        <v>56450.000000000007</v>
      </c>
      <c r="AJ477" s="232">
        <f t="shared" si="77"/>
        <v>7929900.0000000009</v>
      </c>
      <c r="AK477" s="232">
        <f>Table1[[#This Row],[UNIT (BUILDING) RATE (BASIC FINISH)]]*Table1[[#This Row],[Unit Selling Area]]</f>
        <v>8658900.0000000019</v>
      </c>
      <c r="AL477" s="232">
        <f>Table1[[#This Row],[UNIT (BUILDING) RATE (FULLY FINISH)]]*Table1[[#This Row],[Unit Selling Area]]</f>
        <v>9144900.0000000019</v>
      </c>
      <c r="AM477" s="232">
        <f t="shared" si="78"/>
        <v>0</v>
      </c>
      <c r="AN477" s="232">
        <f>(AM477+AJ477)*FACTS!$S$2</f>
        <v>674041.50000000012</v>
      </c>
      <c r="AO477" s="101">
        <f>VLOOKUP(S477,FACTS!$A$17:$C$23,3,FALSE)</f>
        <v>2</v>
      </c>
      <c r="AP477" s="232">
        <f>VLOOKUP(AA477,FACTS!$B$2:$J$14,9,FALSE)</f>
        <v>220000.00000000003</v>
      </c>
      <c r="AQ477" s="232">
        <f>Table1[[#This Row],[PARKING VALUE]]*1</f>
        <v>220000.00000000003</v>
      </c>
      <c r="AR477" s="232">
        <f t="shared" si="72"/>
        <v>8149900.0000000009</v>
      </c>
      <c r="AS477" s="440">
        <f>Table1[[#This Row],[TOTAL CARS VALUE]]+Table1[[#This Row],[UNIT (BUILDING) VALUE BASIC FINISHED]]+Table1[[#This Row],[UNIT (GARDEN) VALUE]]</f>
        <v>8878900.0000000019</v>
      </c>
      <c r="AT477" s="232">
        <f>Table1[[#This Row],[TOTAL CARS VALUE]]+Table1[[#This Row],[UNIT (GARDEN) VALUE]]+Table1[[#This Row],[UNIT (BUILDING) VALUE FULLY FINISHED]]</f>
        <v>9364900.0000000019</v>
      </c>
      <c r="AU477" s="233">
        <f>VLOOKUP(I477,'C PHASES'!$I$108:$J$110,2,FALSE)</f>
        <v>45839</v>
      </c>
      <c r="AV477" s="233">
        <f>VLOOKUP(AA477,'C PHASES'!$I$113:$J$125,2,FALSE)</f>
        <v>45566</v>
      </c>
    </row>
    <row r="478" spans="1:48" x14ac:dyDescent="0.25">
      <c r="A478" s="235"/>
      <c r="B478" s="227" t="str">
        <f t="shared" si="71"/>
        <v>B</v>
      </c>
      <c r="C478" s="227" t="s">
        <v>92</v>
      </c>
      <c r="D478" s="227" t="s">
        <v>1147</v>
      </c>
      <c r="E478" s="228">
        <v>1</v>
      </c>
      <c r="F478" s="101">
        <v>4</v>
      </c>
      <c r="G478" s="87" t="str">
        <f t="shared" si="79"/>
        <v>B1614</v>
      </c>
      <c r="H478" s="87" t="s">
        <v>1293</v>
      </c>
      <c r="I478" s="89" t="str">
        <f>VLOOKUP(C478,'PREMIUM TABLES'!$G$107:$H$149,2,FALSE)</f>
        <v>C1</v>
      </c>
      <c r="J478" s="87">
        <v>88.87</v>
      </c>
      <c r="K478" s="87">
        <v>96.549139772841514</v>
      </c>
      <c r="L478" s="87">
        <v>108</v>
      </c>
      <c r="O478" s="87" t="s">
        <v>180</v>
      </c>
      <c r="P478" s="87" t="s">
        <v>190</v>
      </c>
      <c r="Q478" s="229" t="s">
        <v>198</v>
      </c>
      <c r="R478" s="87" t="str">
        <f>VLOOKUP(E478,'PREMIUM TABLES'!$F$214:$G$219,2,FALSE)</f>
        <v>FIRST</v>
      </c>
      <c r="S478" s="87" t="str" cm="1">
        <f t="array" ref="S478">IF(AND(L478&gt;0,L478&lt;90),"A",IF(AND(L478&gt;90,L478&lt;123),"B",IF(AND(L478&gt;122,L478&lt;159),"C",IF(AND(L478&gt;159,L478&lt;185),"D",IF(AND(L478&gt;185,L478&lt;230),"E",IF(AND(L478&gt;230,L478&lt;350),"F",NONE))))))</f>
        <v>B</v>
      </c>
      <c r="T478" s="230">
        <f>VLOOKUP(O478,'PREMIUM TABLES'!$G$165:$H$172,2,FALSE)</f>
        <v>0.13</v>
      </c>
      <c r="U478" s="230">
        <f>VLOOKUP(P478,'PREMIUM TABLES'!$G$208:$H$209,2,FALSE)</f>
        <v>2.5000000000000001E-2</v>
      </c>
      <c r="V478" s="230">
        <f>VLOOKUP(Q478,'PREMIUM TABLES'!$G$175:$H$195,2,FALSE)</f>
        <v>0.15</v>
      </c>
      <c r="W478" s="230">
        <f>VLOOKUP(R478,'PREMIUM TABLES'!$G$214:$H$219,2,FALSE)</f>
        <v>7.0000000000000007E-2</v>
      </c>
      <c r="X478" s="230">
        <f>VLOOKUP(S478,'PREMIUM TABLES'!$F$199:$H$205,3,FALSE)</f>
        <v>0.04</v>
      </c>
      <c r="Y478" s="231">
        <f t="shared" si="74"/>
        <v>0.41499999999999998</v>
      </c>
      <c r="Z478" s="231" t="str" cm="1">
        <f t="array" ref="Z478">IF(AND(Y478&gt;0,Y478&lt;0.5),"C",IF(AND(Y478&gt;=0.5,Y478&lt;0.73),"B",IF(AND(Y478&gt;=0.73,Y478&lt;0.98),"A",NONE)))</f>
        <v>C</v>
      </c>
      <c r="AA478" s="231" t="str">
        <f>VLOOKUP(G478,'ALL (R)'!$N$5:$R$862,5,FALSE)</f>
        <v>R 7</v>
      </c>
      <c r="AB478" s="232">
        <f>VLOOKUP(AA478,FACTS!$B$2:$L$14,10,FALSE)</f>
        <v>50150</v>
      </c>
      <c r="AC478" s="232">
        <f>VLOOKUP(AA478,FACTS!$B$2:$L$14,11,FALSE)</f>
        <v>56050</v>
      </c>
      <c r="AD478" s="232">
        <f>VLOOKUP(AA478,FACTS!$B$2:$N$14,13,FALSE)</f>
        <v>5900</v>
      </c>
      <c r="AE478" s="232">
        <f t="shared" si="75"/>
        <v>2448.5</v>
      </c>
      <c r="AF478" s="232">
        <f t="shared" si="76"/>
        <v>52598.5</v>
      </c>
      <c r="AG478" s="232">
        <f>AF478*FACTS!$T$2</f>
        <v>17357.505000000001</v>
      </c>
      <c r="AH478" s="232">
        <f>Table1[[#This Row],[UNIT (BUILDING) RATE (SEMI FINISHED)]]+4500</f>
        <v>57098.5</v>
      </c>
      <c r="AI478" s="232">
        <f>Table1[[#This Row],[UNIT (BUILDING) RATE (SEMI FINISHED)]]+7500</f>
        <v>60098.5</v>
      </c>
      <c r="AJ478" s="232">
        <f t="shared" si="77"/>
        <v>5680638</v>
      </c>
      <c r="AK478" s="232">
        <f>Table1[[#This Row],[UNIT (BUILDING) RATE (BASIC FINISH)]]*Table1[[#This Row],[Unit Selling Area]]</f>
        <v>6166638</v>
      </c>
      <c r="AL478" s="232">
        <f>Table1[[#This Row],[UNIT (BUILDING) RATE (FULLY FINISH)]]*Table1[[#This Row],[Unit Selling Area]]</f>
        <v>6490638</v>
      </c>
      <c r="AM478" s="232">
        <f t="shared" si="78"/>
        <v>0</v>
      </c>
      <c r="AN478" s="232">
        <f>(AM478+AJ478)*FACTS!$S$2</f>
        <v>482854.23000000004</v>
      </c>
      <c r="AO478" s="101">
        <f>VLOOKUP(S478,FACTS!$A$17:$C$23,3,FALSE)</f>
        <v>1</v>
      </c>
      <c r="AP478" s="232">
        <f>VLOOKUP(AA478,FACTS!$B$2:$J$14,9,FALSE)</f>
        <v>236000</v>
      </c>
      <c r="AQ478" s="232">
        <f>Table1[[#This Row],[PARKING VALUE]]*1</f>
        <v>236000</v>
      </c>
      <c r="AR478" s="232">
        <f t="shared" si="72"/>
        <v>5916638</v>
      </c>
      <c r="AS478" s="440">
        <f>Table1[[#This Row],[TOTAL CARS VALUE]]+Table1[[#This Row],[UNIT (BUILDING) VALUE BASIC FINISHED]]+Table1[[#This Row],[UNIT (GARDEN) VALUE]]</f>
        <v>6402638</v>
      </c>
      <c r="AT478" s="232">
        <f>Table1[[#This Row],[TOTAL CARS VALUE]]+Table1[[#This Row],[UNIT (GARDEN) VALUE]]+Table1[[#This Row],[UNIT (BUILDING) VALUE FULLY FINISHED]]</f>
        <v>6726638</v>
      </c>
      <c r="AU478" s="233">
        <f>VLOOKUP(I478,'C PHASES'!$I$108:$J$110,2,FALSE)</f>
        <v>45839</v>
      </c>
      <c r="AV478" s="233">
        <f>VLOOKUP(AA478,'C PHASES'!$I$113:$J$125,2,FALSE)</f>
        <v>45748</v>
      </c>
    </row>
    <row r="479" spans="1:48" x14ac:dyDescent="0.25">
      <c r="A479" s="235"/>
      <c r="B479" s="227" t="str">
        <f t="shared" si="71"/>
        <v>B</v>
      </c>
      <c r="C479" s="227" t="s">
        <v>92</v>
      </c>
      <c r="D479" s="227" t="s">
        <v>1147</v>
      </c>
      <c r="E479" s="228">
        <v>2</v>
      </c>
      <c r="F479" s="101">
        <v>1</v>
      </c>
      <c r="G479" s="87" t="str">
        <f t="shared" si="79"/>
        <v>B1621</v>
      </c>
      <c r="H479" s="87" t="s">
        <v>1294</v>
      </c>
      <c r="I479" s="89" t="str">
        <f>VLOOKUP(C479,'PREMIUM TABLES'!$G$107:$H$149,2,FALSE)</f>
        <v>C1</v>
      </c>
      <c r="J479" s="87">
        <v>131.41999999999999</v>
      </c>
      <c r="K479" s="87">
        <v>142.77582928937582</v>
      </c>
      <c r="L479" s="87">
        <v>160</v>
      </c>
      <c r="O479" s="87" t="s">
        <v>180</v>
      </c>
      <c r="P479" s="87" t="s">
        <v>190</v>
      </c>
      <c r="Q479" s="229" t="s">
        <v>198</v>
      </c>
      <c r="R479" s="87" t="str">
        <f>VLOOKUP(E479,'PREMIUM TABLES'!$F$214:$G$219,2,FALSE)</f>
        <v>SECOND</v>
      </c>
      <c r="S479" s="87" t="str" cm="1">
        <f t="array" ref="S479">IF(AND(L479&gt;0,L479&lt;90),"A",IF(AND(L479&gt;90,L479&lt;123),"B",IF(AND(L479&gt;122,L479&lt;159),"C",IF(AND(L479&gt;159,L479&lt;185),"D",IF(AND(L479&gt;185,L479&lt;230),"E",IF(AND(L479&gt;230,L479&lt;350),"F",NONE))))))</f>
        <v>D</v>
      </c>
      <c r="T479" s="230">
        <f>VLOOKUP(O479,'PREMIUM TABLES'!$G$165:$H$172,2,FALSE)</f>
        <v>0.13</v>
      </c>
      <c r="U479" s="230">
        <f>VLOOKUP(P479,'PREMIUM TABLES'!$G$208:$H$209,2,FALSE)</f>
        <v>2.5000000000000001E-2</v>
      </c>
      <c r="V479" s="230">
        <f>VLOOKUP(Q479,'PREMIUM TABLES'!$G$175:$H$195,2,FALSE)</f>
        <v>0.15</v>
      </c>
      <c r="W479" s="230">
        <f>VLOOKUP(R479,'PREMIUM TABLES'!$G$214:$H$219,2,FALSE)</f>
        <v>0.11</v>
      </c>
      <c r="X479" s="230">
        <f>VLOOKUP(S479,'PREMIUM TABLES'!$F$199:$H$205,3,FALSE)</f>
        <v>2.5000000000000001E-2</v>
      </c>
      <c r="Y479" s="231">
        <f t="shared" si="74"/>
        <v>0.44</v>
      </c>
      <c r="Z479" s="231" t="str" cm="1">
        <f t="array" ref="Z479">IF(AND(Y479&gt;0,Y479&lt;0.5),"C",IF(AND(Y479&gt;=0.5,Y479&lt;0.73),"B",IF(AND(Y479&gt;=0.73,Y479&lt;0.98),"A",NONE)))</f>
        <v>C</v>
      </c>
      <c r="AA479" s="231" t="str">
        <f>VLOOKUP(G479,'ALL (R)'!$N$5:$R$862,5,FALSE)</f>
        <v>R 8</v>
      </c>
      <c r="AB479" s="232">
        <f>VLOOKUP(AA479,FACTS!$B$2:$L$14,10,FALSE)</f>
        <v>51850</v>
      </c>
      <c r="AC479" s="232">
        <f>VLOOKUP(AA479,FACTS!$B$2:$L$14,11,FALSE)</f>
        <v>57950</v>
      </c>
      <c r="AD479" s="232">
        <f>VLOOKUP(AA479,FACTS!$B$2:$N$14,13,FALSE)</f>
        <v>6100</v>
      </c>
      <c r="AE479" s="232">
        <f t="shared" si="75"/>
        <v>2684</v>
      </c>
      <c r="AF479" s="232">
        <f t="shared" si="76"/>
        <v>54534</v>
      </c>
      <c r="AG479" s="232">
        <f>AF479*FACTS!$T$2</f>
        <v>17996.22</v>
      </c>
      <c r="AH479" s="232">
        <f>Table1[[#This Row],[UNIT (BUILDING) RATE (SEMI FINISHED)]]+4500</f>
        <v>59034</v>
      </c>
      <c r="AI479" s="232">
        <f>Table1[[#This Row],[UNIT (BUILDING) RATE (SEMI FINISHED)]]+7500</f>
        <v>62034</v>
      </c>
      <c r="AJ479" s="232">
        <f t="shared" si="77"/>
        <v>8725440</v>
      </c>
      <c r="AK479" s="232">
        <f>Table1[[#This Row],[UNIT (BUILDING) RATE (BASIC FINISH)]]*Table1[[#This Row],[Unit Selling Area]]</f>
        <v>9445440</v>
      </c>
      <c r="AL479" s="232">
        <f>Table1[[#This Row],[UNIT (BUILDING) RATE (FULLY FINISH)]]*Table1[[#This Row],[Unit Selling Area]]</f>
        <v>9925440</v>
      </c>
      <c r="AM479" s="232">
        <f t="shared" si="78"/>
        <v>0</v>
      </c>
      <c r="AN479" s="232">
        <f>(AM479+AJ479)*FACTS!$S$2</f>
        <v>741662.4</v>
      </c>
      <c r="AO479" s="101">
        <f>VLOOKUP(S479,FACTS!$A$17:$C$23,3,FALSE)</f>
        <v>2</v>
      </c>
      <c r="AP479" s="232">
        <f>VLOOKUP(AA479,FACTS!$B$2:$J$14,9,FALSE)</f>
        <v>244000</v>
      </c>
      <c r="AQ479" s="232">
        <f>Table1[[#This Row],[PARKING VALUE]]*1</f>
        <v>244000</v>
      </c>
      <c r="AR479" s="232">
        <f t="shared" si="72"/>
        <v>8969440</v>
      </c>
      <c r="AS479" s="440">
        <f>Table1[[#This Row],[TOTAL CARS VALUE]]+Table1[[#This Row],[UNIT (BUILDING) VALUE BASIC FINISHED]]+Table1[[#This Row],[UNIT (GARDEN) VALUE]]</f>
        <v>9689440</v>
      </c>
      <c r="AT479" s="232">
        <f>Table1[[#This Row],[TOTAL CARS VALUE]]+Table1[[#This Row],[UNIT (GARDEN) VALUE]]+Table1[[#This Row],[UNIT (BUILDING) VALUE FULLY FINISHED]]</f>
        <v>10169440</v>
      </c>
      <c r="AU479" s="233">
        <f>VLOOKUP(I479,'C PHASES'!$I$108:$J$110,2,FALSE)</f>
        <v>45839</v>
      </c>
      <c r="AV479" s="233">
        <f>VLOOKUP(AA479,'C PHASES'!$I$113:$J$125,2,FALSE)</f>
        <v>45839</v>
      </c>
    </row>
    <row r="480" spans="1:48" x14ac:dyDescent="0.25">
      <c r="A480" s="235"/>
      <c r="B480" s="227" t="str">
        <f t="shared" si="71"/>
        <v>B</v>
      </c>
      <c r="C480" s="227" t="s">
        <v>92</v>
      </c>
      <c r="D480" s="227" t="s">
        <v>1147</v>
      </c>
      <c r="E480" s="228">
        <v>2</v>
      </c>
      <c r="F480" s="101">
        <v>2</v>
      </c>
      <c r="G480" s="87" t="str">
        <f t="shared" si="79"/>
        <v>B1622</v>
      </c>
      <c r="H480" s="87" t="s">
        <v>1294</v>
      </c>
      <c r="I480" s="89" t="str">
        <f>VLOOKUP(C480,'PREMIUM TABLES'!$G$107:$H$149,2,FALSE)</f>
        <v>C1</v>
      </c>
      <c r="J480" s="87">
        <v>131.03</v>
      </c>
      <c r="K480" s="87">
        <v>142.35212990250278</v>
      </c>
      <c r="L480" s="87">
        <v>160</v>
      </c>
      <c r="O480" s="87" t="s">
        <v>187</v>
      </c>
      <c r="P480" s="87" t="s">
        <v>190</v>
      </c>
      <c r="Q480" s="229" t="s">
        <v>209</v>
      </c>
      <c r="R480" s="87" t="str">
        <f>VLOOKUP(E480,'PREMIUM TABLES'!$F$214:$G$219,2,FALSE)</f>
        <v>SECOND</v>
      </c>
      <c r="S480" s="87" t="str" cm="1">
        <f t="array" ref="S480">IF(AND(L480&gt;0,L480&lt;90),"A",IF(AND(L480&gt;90,L480&lt;123),"B",IF(AND(L480&gt;122,L480&lt;159),"C",IF(AND(L480&gt;159,L480&lt;185),"D",IF(AND(L480&gt;185,L480&lt;230),"E",IF(AND(L480&gt;230,L480&lt;350),"F",NONE))))))</f>
        <v>D</v>
      </c>
      <c r="T480" s="230">
        <f>VLOOKUP(O480,'PREMIUM TABLES'!$G$165:$H$172,2,FALSE)</f>
        <v>0.08</v>
      </c>
      <c r="U480" s="230">
        <f>VLOOKUP(P480,'PREMIUM TABLES'!$G$208:$H$209,2,FALSE)</f>
        <v>2.5000000000000001E-2</v>
      </c>
      <c r="V480" s="230">
        <f>VLOOKUP(Q480,'PREMIUM TABLES'!$G$175:$H$195,2,FALSE)</f>
        <v>0.6</v>
      </c>
      <c r="W480" s="230">
        <f>VLOOKUP(R480,'PREMIUM TABLES'!$G$214:$H$219,2,FALSE)</f>
        <v>0.11</v>
      </c>
      <c r="X480" s="230">
        <f>VLOOKUP(S480,'PREMIUM TABLES'!$F$199:$H$205,3,FALSE)</f>
        <v>2.5000000000000001E-2</v>
      </c>
      <c r="Y480" s="231">
        <f t="shared" si="74"/>
        <v>0.84</v>
      </c>
      <c r="Z480" s="231" t="str" cm="1">
        <f t="array" ref="Z480">IF(AND(Y480&gt;0,Y480&lt;0.5),"C",IF(AND(Y480&gt;=0.5,Y480&lt;0.73),"B",IF(AND(Y480&gt;=0.73,Y480&lt;0.98),"A",NONE)))</f>
        <v>A</v>
      </c>
      <c r="AA480" s="231" t="str">
        <f>VLOOKUP(G480,'ALL (R)'!$N$5:$R$862,5,FALSE)</f>
        <v>R 8</v>
      </c>
      <c r="AB480" s="232">
        <f>VLOOKUP(AA480,FACTS!$B$2:$L$14,10,FALSE)</f>
        <v>51850</v>
      </c>
      <c r="AC480" s="232">
        <f>VLOOKUP(AA480,FACTS!$B$2:$L$14,11,FALSE)</f>
        <v>57950</v>
      </c>
      <c r="AD480" s="232">
        <f>VLOOKUP(AA480,FACTS!$B$2:$N$14,13,FALSE)</f>
        <v>6100</v>
      </c>
      <c r="AE480" s="232">
        <f t="shared" si="75"/>
        <v>5124</v>
      </c>
      <c r="AF480" s="232">
        <f t="shared" si="76"/>
        <v>56974</v>
      </c>
      <c r="AG480" s="232">
        <f>AF480*FACTS!$T$2</f>
        <v>18801.420000000002</v>
      </c>
      <c r="AH480" s="232">
        <f>Table1[[#This Row],[UNIT (BUILDING) RATE (SEMI FINISHED)]]+4500</f>
        <v>61474</v>
      </c>
      <c r="AI480" s="232">
        <f>Table1[[#This Row],[UNIT (BUILDING) RATE (SEMI FINISHED)]]+7500</f>
        <v>64474</v>
      </c>
      <c r="AJ480" s="232">
        <f t="shared" si="77"/>
        <v>9115840</v>
      </c>
      <c r="AK480" s="232">
        <f>Table1[[#This Row],[UNIT (BUILDING) RATE (BASIC FINISH)]]*Table1[[#This Row],[Unit Selling Area]]</f>
        <v>9835840</v>
      </c>
      <c r="AL480" s="232">
        <f>Table1[[#This Row],[UNIT (BUILDING) RATE (FULLY FINISH)]]*Table1[[#This Row],[Unit Selling Area]]</f>
        <v>10315840</v>
      </c>
      <c r="AM480" s="232">
        <f t="shared" si="78"/>
        <v>0</v>
      </c>
      <c r="AN480" s="232">
        <f>(AM480+AJ480)*FACTS!$S$2</f>
        <v>774846.4</v>
      </c>
      <c r="AO480" s="101">
        <f>VLOOKUP(S480,FACTS!$A$17:$C$23,3,FALSE)</f>
        <v>2</v>
      </c>
      <c r="AP480" s="232">
        <f>VLOOKUP(AA480,FACTS!$B$2:$J$14,9,FALSE)</f>
        <v>244000</v>
      </c>
      <c r="AQ480" s="232">
        <f>Table1[[#This Row],[PARKING VALUE]]*1</f>
        <v>244000</v>
      </c>
      <c r="AR480" s="232">
        <f t="shared" si="72"/>
        <v>9359840</v>
      </c>
      <c r="AS480" s="440">
        <f>Table1[[#This Row],[TOTAL CARS VALUE]]+Table1[[#This Row],[UNIT (BUILDING) VALUE BASIC FINISHED]]+Table1[[#This Row],[UNIT (GARDEN) VALUE]]</f>
        <v>10079840</v>
      </c>
      <c r="AT480" s="232">
        <f>Table1[[#This Row],[TOTAL CARS VALUE]]+Table1[[#This Row],[UNIT (GARDEN) VALUE]]+Table1[[#This Row],[UNIT (BUILDING) VALUE FULLY FINISHED]]</f>
        <v>10559840</v>
      </c>
      <c r="AU480" s="233">
        <f>VLOOKUP(I480,'C PHASES'!$I$108:$J$110,2,FALSE)</f>
        <v>45839</v>
      </c>
      <c r="AV480" s="233">
        <f>VLOOKUP(AA480,'C PHASES'!$I$113:$J$125,2,FALSE)</f>
        <v>45839</v>
      </c>
    </row>
    <row r="481" spans="1:48" x14ac:dyDescent="0.25">
      <c r="A481" s="235"/>
      <c r="B481" s="227" t="str">
        <f t="shared" si="71"/>
        <v>B</v>
      </c>
      <c r="C481" s="227" t="s">
        <v>92</v>
      </c>
      <c r="D481" s="227" t="s">
        <v>1147</v>
      </c>
      <c r="E481" s="228">
        <v>2</v>
      </c>
      <c r="F481" s="101">
        <v>3</v>
      </c>
      <c r="G481" s="87" t="str">
        <f t="shared" si="79"/>
        <v>B1623</v>
      </c>
      <c r="H481" s="87" t="s">
        <v>1294</v>
      </c>
      <c r="I481" s="89" t="str">
        <f>VLOOKUP(C481,'PREMIUM TABLES'!$G$107:$H$149,2,FALSE)</f>
        <v>C1</v>
      </c>
      <c r="J481" s="87">
        <v>126.89</v>
      </c>
      <c r="K481" s="87">
        <v>137.85439794954269</v>
      </c>
      <c r="L481" s="87">
        <v>155</v>
      </c>
      <c r="O481" s="87" t="s">
        <v>187</v>
      </c>
      <c r="P481" s="87" t="s">
        <v>190</v>
      </c>
      <c r="Q481" s="229" t="s">
        <v>209</v>
      </c>
      <c r="R481" s="87" t="str">
        <f>VLOOKUP(E481,'PREMIUM TABLES'!$F$214:$G$219,2,FALSE)</f>
        <v>SECOND</v>
      </c>
      <c r="S481" s="87" t="str" cm="1">
        <f t="array" ref="S481">IF(AND(L481&gt;0,L481&lt;90),"A",IF(AND(L481&gt;90,L481&lt;123),"B",IF(AND(L481&gt;122,L481&lt;159),"C",IF(AND(L481&gt;159,L481&lt;185),"D",IF(AND(L481&gt;185,L481&lt;230),"E",IF(AND(L481&gt;230,L481&lt;350),"F",NONE))))))</f>
        <v>C</v>
      </c>
      <c r="T481" s="230">
        <f>VLOOKUP(O481,'PREMIUM TABLES'!$G$165:$H$172,2,FALSE)</f>
        <v>0.08</v>
      </c>
      <c r="U481" s="230">
        <f>VLOOKUP(P481,'PREMIUM TABLES'!$G$208:$H$209,2,FALSE)</f>
        <v>2.5000000000000001E-2</v>
      </c>
      <c r="V481" s="230">
        <f>VLOOKUP(Q481,'PREMIUM TABLES'!$G$175:$H$195,2,FALSE)</f>
        <v>0.6</v>
      </c>
      <c r="W481" s="230">
        <f>VLOOKUP(R481,'PREMIUM TABLES'!$G$214:$H$219,2,FALSE)</f>
        <v>0.11</v>
      </c>
      <c r="X481" s="230">
        <f>VLOOKUP(S481,'PREMIUM TABLES'!$F$199:$H$205,3,FALSE)</f>
        <v>3.5000000000000003E-2</v>
      </c>
      <c r="Y481" s="231">
        <f t="shared" si="74"/>
        <v>0.85</v>
      </c>
      <c r="Z481" s="231" t="str" cm="1">
        <f t="array" ref="Z481">IF(AND(Y481&gt;0,Y481&lt;0.5),"C",IF(AND(Y481&gt;=0.5,Y481&lt;0.73),"B",IF(AND(Y481&gt;=0.73,Y481&lt;0.98),"A",NONE)))</f>
        <v>A</v>
      </c>
      <c r="AA481" s="231" t="str">
        <f>VLOOKUP(G481,'ALL (R)'!$N$5:$R$862,5,FALSE)</f>
        <v>R 8</v>
      </c>
      <c r="AB481" s="232">
        <f>VLOOKUP(AA481,FACTS!$B$2:$L$14,10,FALSE)</f>
        <v>51850</v>
      </c>
      <c r="AC481" s="232">
        <f>VLOOKUP(AA481,FACTS!$B$2:$L$14,11,FALSE)</f>
        <v>57950</v>
      </c>
      <c r="AD481" s="232">
        <f>VLOOKUP(AA481,FACTS!$B$2:$N$14,13,FALSE)</f>
        <v>6100</v>
      </c>
      <c r="AE481" s="232">
        <f t="shared" si="75"/>
        <v>5185</v>
      </c>
      <c r="AF481" s="232">
        <f t="shared" si="76"/>
        <v>57035</v>
      </c>
      <c r="AG481" s="232">
        <f>AF481*FACTS!$T$2</f>
        <v>18821.55</v>
      </c>
      <c r="AH481" s="232">
        <f>Table1[[#This Row],[UNIT (BUILDING) RATE (SEMI FINISHED)]]+4500</f>
        <v>61535</v>
      </c>
      <c r="AI481" s="232">
        <f>Table1[[#This Row],[UNIT (BUILDING) RATE (SEMI FINISHED)]]+7500</f>
        <v>64535</v>
      </c>
      <c r="AJ481" s="232">
        <f t="shared" si="77"/>
        <v>8840425</v>
      </c>
      <c r="AK481" s="232">
        <f>Table1[[#This Row],[UNIT (BUILDING) RATE (BASIC FINISH)]]*Table1[[#This Row],[Unit Selling Area]]</f>
        <v>9537925</v>
      </c>
      <c r="AL481" s="232">
        <f>Table1[[#This Row],[UNIT (BUILDING) RATE (FULLY FINISH)]]*Table1[[#This Row],[Unit Selling Area]]</f>
        <v>10002925</v>
      </c>
      <c r="AM481" s="232">
        <f t="shared" si="78"/>
        <v>0</v>
      </c>
      <c r="AN481" s="232">
        <f>(AM481+AJ481)*FACTS!$S$2</f>
        <v>751436.125</v>
      </c>
      <c r="AO481" s="101">
        <f>VLOOKUP(S481,FACTS!$A$17:$C$23,3,FALSE)</f>
        <v>2</v>
      </c>
      <c r="AP481" s="232">
        <f>VLOOKUP(AA481,FACTS!$B$2:$J$14,9,FALSE)</f>
        <v>244000</v>
      </c>
      <c r="AQ481" s="232">
        <f>Table1[[#This Row],[PARKING VALUE]]*1</f>
        <v>244000</v>
      </c>
      <c r="AR481" s="232">
        <f t="shared" si="72"/>
        <v>9084425</v>
      </c>
      <c r="AS481" s="440">
        <f>Table1[[#This Row],[TOTAL CARS VALUE]]+Table1[[#This Row],[UNIT (BUILDING) VALUE BASIC FINISHED]]+Table1[[#This Row],[UNIT (GARDEN) VALUE]]</f>
        <v>9781925</v>
      </c>
      <c r="AT481" s="232">
        <f>Table1[[#This Row],[TOTAL CARS VALUE]]+Table1[[#This Row],[UNIT (GARDEN) VALUE]]+Table1[[#This Row],[UNIT (BUILDING) VALUE FULLY FINISHED]]</f>
        <v>10246925</v>
      </c>
      <c r="AU481" s="233">
        <f>VLOOKUP(I481,'C PHASES'!$I$108:$J$110,2,FALSE)</f>
        <v>45839</v>
      </c>
      <c r="AV481" s="233">
        <f>VLOOKUP(AA481,'C PHASES'!$I$113:$J$125,2,FALSE)</f>
        <v>45839</v>
      </c>
    </row>
    <row r="482" spans="1:48" x14ac:dyDescent="0.25">
      <c r="A482" s="235"/>
      <c r="B482" s="227" t="str">
        <f t="shared" si="71"/>
        <v>B</v>
      </c>
      <c r="C482" s="227" t="s">
        <v>92</v>
      </c>
      <c r="D482" s="227" t="s">
        <v>1147</v>
      </c>
      <c r="E482" s="228">
        <v>2</v>
      </c>
      <c r="F482" s="101">
        <v>4</v>
      </c>
      <c r="G482" s="87" t="str">
        <f t="shared" si="79"/>
        <v>B1624</v>
      </c>
      <c r="H482" s="87" t="s">
        <v>1294</v>
      </c>
      <c r="I482" s="89" t="str">
        <f>VLOOKUP(C482,'PREMIUM TABLES'!$G$107:$H$149,2,FALSE)</f>
        <v>C1</v>
      </c>
      <c r="J482" s="87">
        <v>126.99</v>
      </c>
      <c r="K482" s="87">
        <v>137.96303881797166</v>
      </c>
      <c r="L482" s="87">
        <v>155</v>
      </c>
      <c r="O482" s="87" t="s">
        <v>180</v>
      </c>
      <c r="P482" s="87" t="s">
        <v>190</v>
      </c>
      <c r="Q482" s="229" t="s">
        <v>198</v>
      </c>
      <c r="R482" s="87" t="str">
        <f>VLOOKUP(E482,'PREMIUM TABLES'!$F$214:$G$219,2,FALSE)</f>
        <v>SECOND</v>
      </c>
      <c r="S482" s="87" t="str" cm="1">
        <f t="array" ref="S482">IF(AND(L482&gt;0,L482&lt;90),"A",IF(AND(L482&gt;90,L482&lt;123),"B",IF(AND(L482&gt;122,L482&lt;159),"C",IF(AND(L482&gt;159,L482&lt;185),"D",IF(AND(L482&gt;185,L482&lt;230),"E",IF(AND(L482&gt;230,L482&lt;350),"F",NONE))))))</f>
        <v>C</v>
      </c>
      <c r="T482" s="230">
        <f>VLOOKUP(O482,'PREMIUM TABLES'!$G$165:$H$172,2,FALSE)</f>
        <v>0.13</v>
      </c>
      <c r="U482" s="230">
        <f>VLOOKUP(P482,'PREMIUM TABLES'!$G$208:$H$209,2,FALSE)</f>
        <v>2.5000000000000001E-2</v>
      </c>
      <c r="V482" s="230">
        <f>VLOOKUP(Q482,'PREMIUM TABLES'!$G$175:$H$195,2,FALSE)</f>
        <v>0.15</v>
      </c>
      <c r="W482" s="230">
        <f>VLOOKUP(R482,'PREMIUM TABLES'!$G$214:$H$219,2,FALSE)</f>
        <v>0.11</v>
      </c>
      <c r="X482" s="230">
        <f>VLOOKUP(S482,'PREMIUM TABLES'!$F$199:$H$205,3,FALSE)</f>
        <v>3.5000000000000003E-2</v>
      </c>
      <c r="Y482" s="231">
        <f t="shared" si="74"/>
        <v>0.44999999999999996</v>
      </c>
      <c r="Z482" s="231" t="str" cm="1">
        <f t="array" ref="Z482">IF(AND(Y482&gt;0,Y482&lt;0.5),"C",IF(AND(Y482&gt;=0.5,Y482&lt;0.73),"B",IF(AND(Y482&gt;=0.73,Y482&lt;0.98),"A",NONE)))</f>
        <v>C</v>
      </c>
      <c r="AA482" s="231" t="str">
        <f>VLOOKUP(G482,'ALL (R)'!$N$5:$R$862,5,FALSE)</f>
        <v>R 9</v>
      </c>
      <c r="AB482" s="232">
        <f>VLOOKUP(AA482,FACTS!$B$2:$L$14,10,FALSE)</f>
        <v>53550</v>
      </c>
      <c r="AC482" s="232">
        <f>VLOOKUP(AA482,FACTS!$B$2:$L$14,11,FALSE)</f>
        <v>59850</v>
      </c>
      <c r="AD482" s="232">
        <f>VLOOKUP(AA482,FACTS!$B$2:$N$14,13,FALSE)</f>
        <v>6300</v>
      </c>
      <c r="AE482" s="232">
        <f t="shared" si="75"/>
        <v>2834.9999999999995</v>
      </c>
      <c r="AF482" s="232">
        <f t="shared" si="76"/>
        <v>56385</v>
      </c>
      <c r="AG482" s="232">
        <f>AF482*FACTS!$T$2</f>
        <v>18607.05</v>
      </c>
      <c r="AH482" s="232">
        <f>Table1[[#This Row],[UNIT (BUILDING) RATE (SEMI FINISHED)]]+4500</f>
        <v>60885</v>
      </c>
      <c r="AI482" s="232">
        <f>Table1[[#This Row],[UNIT (BUILDING) RATE (SEMI FINISHED)]]+7500</f>
        <v>63885</v>
      </c>
      <c r="AJ482" s="232">
        <f t="shared" si="77"/>
        <v>8739675</v>
      </c>
      <c r="AK482" s="232">
        <f>Table1[[#This Row],[UNIT (BUILDING) RATE (BASIC FINISH)]]*Table1[[#This Row],[Unit Selling Area]]</f>
        <v>9437175</v>
      </c>
      <c r="AL482" s="232">
        <f>Table1[[#This Row],[UNIT (BUILDING) RATE (FULLY FINISH)]]*Table1[[#This Row],[Unit Selling Area]]</f>
        <v>9902175</v>
      </c>
      <c r="AM482" s="232">
        <f t="shared" si="78"/>
        <v>0</v>
      </c>
      <c r="AN482" s="232">
        <f>(AM482+AJ482)*FACTS!$S$2</f>
        <v>742872.375</v>
      </c>
      <c r="AO482" s="101">
        <f>VLOOKUP(S482,FACTS!$A$17:$C$23,3,FALSE)</f>
        <v>2</v>
      </c>
      <c r="AP482" s="232">
        <f>VLOOKUP(AA482,FACTS!$B$2:$J$14,9,FALSE)</f>
        <v>252000</v>
      </c>
      <c r="AQ482" s="232">
        <f>Table1[[#This Row],[PARKING VALUE]]*1</f>
        <v>252000</v>
      </c>
      <c r="AR482" s="232">
        <f t="shared" si="72"/>
        <v>8991675</v>
      </c>
      <c r="AS482" s="440">
        <f>Table1[[#This Row],[TOTAL CARS VALUE]]+Table1[[#This Row],[UNIT (BUILDING) VALUE BASIC FINISHED]]+Table1[[#This Row],[UNIT (GARDEN) VALUE]]</f>
        <v>9689175</v>
      </c>
      <c r="AT482" s="232">
        <f>Table1[[#This Row],[TOTAL CARS VALUE]]+Table1[[#This Row],[UNIT (GARDEN) VALUE]]+Table1[[#This Row],[UNIT (BUILDING) VALUE FULLY FINISHED]]</f>
        <v>10154175</v>
      </c>
      <c r="AU482" s="233">
        <f>VLOOKUP(I482,'C PHASES'!$I$108:$J$110,2,FALSE)</f>
        <v>45839</v>
      </c>
      <c r="AV482" s="233">
        <f>VLOOKUP(AA482,'C PHASES'!$I$113:$J$125,2,FALSE)</f>
        <v>45931</v>
      </c>
    </row>
    <row r="483" spans="1:48" x14ac:dyDescent="0.25">
      <c r="A483" s="235"/>
      <c r="B483" s="227" t="str">
        <f t="shared" si="71"/>
        <v>B</v>
      </c>
      <c r="C483" s="227" t="s">
        <v>92</v>
      </c>
      <c r="D483" s="227" t="s">
        <v>1147</v>
      </c>
      <c r="E483" s="228">
        <v>3</v>
      </c>
      <c r="F483" s="101">
        <v>1</v>
      </c>
      <c r="G483" s="87" t="str">
        <f t="shared" si="79"/>
        <v>B1631</v>
      </c>
      <c r="H483" s="87" t="s">
        <v>1294</v>
      </c>
      <c r="I483" s="89" t="str">
        <f>VLOOKUP(C483,'PREMIUM TABLES'!$G$107:$H$149,2,FALSE)</f>
        <v>C1</v>
      </c>
      <c r="J483" s="87">
        <v>131.88</v>
      </c>
      <c r="K483" s="87">
        <v>143.27557728414919</v>
      </c>
      <c r="L483" s="87">
        <v>161</v>
      </c>
      <c r="O483" s="87" t="s">
        <v>180</v>
      </c>
      <c r="P483" s="87" t="s">
        <v>190</v>
      </c>
      <c r="Q483" s="229" t="s">
        <v>198</v>
      </c>
      <c r="R483" s="87" t="str">
        <f>VLOOKUP(E483,'PREMIUM TABLES'!$F$214:$G$219,2,FALSE)</f>
        <v>THIRD</v>
      </c>
      <c r="S483" s="87" t="str" cm="1">
        <f t="array" ref="S483">IF(AND(L483&gt;0,L483&lt;90),"A",IF(AND(L483&gt;90,L483&lt;123),"B",IF(AND(L483&gt;122,L483&lt;159),"C",IF(AND(L483&gt;159,L483&lt;185),"D",IF(AND(L483&gt;185,L483&lt;230),"E",IF(AND(L483&gt;230,L483&lt;350),"F",NONE))))))</f>
        <v>D</v>
      </c>
      <c r="T483" s="230">
        <f>VLOOKUP(O483,'PREMIUM TABLES'!$G$165:$H$172,2,FALSE)</f>
        <v>0.13</v>
      </c>
      <c r="U483" s="230">
        <f>VLOOKUP(P483,'PREMIUM TABLES'!$G$208:$H$209,2,FALSE)</f>
        <v>2.5000000000000001E-2</v>
      </c>
      <c r="V483" s="230">
        <f>VLOOKUP(Q483,'PREMIUM TABLES'!$G$175:$H$195,2,FALSE)</f>
        <v>0.15</v>
      </c>
      <c r="W483" s="230">
        <f>VLOOKUP(R483,'PREMIUM TABLES'!$G$214:$H$219,2,FALSE)</f>
        <v>0.15</v>
      </c>
      <c r="X483" s="230">
        <f>VLOOKUP(S483,'PREMIUM TABLES'!$F$199:$H$205,3,FALSE)</f>
        <v>2.5000000000000001E-2</v>
      </c>
      <c r="Y483" s="231">
        <f t="shared" si="74"/>
        <v>0.48</v>
      </c>
      <c r="Z483" s="231" t="str" cm="1">
        <f t="array" ref="Z483">IF(AND(Y483&gt;0,Y483&lt;0.5),"C",IF(AND(Y483&gt;=0.5,Y483&lt;0.73),"B",IF(AND(Y483&gt;=0.73,Y483&lt;0.98),"A",NONE)))</f>
        <v>C</v>
      </c>
      <c r="AA483" s="231" t="str">
        <f>VLOOKUP(G483,'ALL (R)'!$N$5:$R$862,5,FALSE)</f>
        <v>R 12</v>
      </c>
      <c r="AB483" s="232">
        <f>VLOOKUP(AA483,FACTS!$B$2:$L$14,10,FALSE)</f>
        <v>61625</v>
      </c>
      <c r="AC483" s="232">
        <f>VLOOKUP(AA483,FACTS!$B$2:$L$14,11,FALSE)</f>
        <v>68875</v>
      </c>
      <c r="AD483" s="232">
        <f>VLOOKUP(AA483,FACTS!$B$2:$N$14,13,FALSE)</f>
        <v>7250</v>
      </c>
      <c r="AE483" s="232">
        <f t="shared" si="75"/>
        <v>3480</v>
      </c>
      <c r="AF483" s="232">
        <f t="shared" si="76"/>
        <v>65105</v>
      </c>
      <c r="AG483" s="232">
        <f>AF483*FACTS!$T$2</f>
        <v>21484.65</v>
      </c>
      <c r="AH483" s="232">
        <f>Table1[[#This Row],[UNIT (BUILDING) RATE (SEMI FINISHED)]]+4500</f>
        <v>69605</v>
      </c>
      <c r="AI483" s="232">
        <f>Table1[[#This Row],[UNIT (BUILDING) RATE (SEMI FINISHED)]]+7500</f>
        <v>72605</v>
      </c>
      <c r="AJ483" s="232">
        <f t="shared" si="77"/>
        <v>10481905</v>
      </c>
      <c r="AK483" s="232">
        <f>Table1[[#This Row],[UNIT (BUILDING) RATE (BASIC FINISH)]]*Table1[[#This Row],[Unit Selling Area]]</f>
        <v>11206405</v>
      </c>
      <c r="AL483" s="232">
        <f>Table1[[#This Row],[UNIT (BUILDING) RATE (FULLY FINISH)]]*Table1[[#This Row],[Unit Selling Area]]</f>
        <v>11689405</v>
      </c>
      <c r="AM483" s="232">
        <f t="shared" si="78"/>
        <v>0</v>
      </c>
      <c r="AN483" s="232">
        <f>(AM483+AJ483)*FACTS!$S$2</f>
        <v>890961.92500000005</v>
      </c>
      <c r="AO483" s="101">
        <f>VLOOKUP(S483,FACTS!$A$17:$C$23,3,FALSE)</f>
        <v>2</v>
      </c>
      <c r="AP483" s="232">
        <f>VLOOKUP(AA483,FACTS!$B$2:$J$14,9,FALSE)</f>
        <v>290000</v>
      </c>
      <c r="AQ483" s="232">
        <f>Table1[[#This Row],[PARKING VALUE]]*1</f>
        <v>290000</v>
      </c>
      <c r="AR483" s="232">
        <f t="shared" si="72"/>
        <v>10771905</v>
      </c>
      <c r="AS483" s="440">
        <f>Table1[[#This Row],[TOTAL CARS VALUE]]+Table1[[#This Row],[UNIT (BUILDING) VALUE BASIC FINISHED]]+Table1[[#This Row],[UNIT (GARDEN) VALUE]]</f>
        <v>11496405</v>
      </c>
      <c r="AT483" s="232">
        <f>Table1[[#This Row],[TOTAL CARS VALUE]]+Table1[[#This Row],[UNIT (GARDEN) VALUE]]+Table1[[#This Row],[UNIT (BUILDING) VALUE FULLY FINISHED]]</f>
        <v>11979405</v>
      </c>
      <c r="AU483" s="233">
        <f>VLOOKUP(I483,'C PHASES'!$I$108:$J$110,2,FALSE)</f>
        <v>45839</v>
      </c>
      <c r="AV483" s="233">
        <f>VLOOKUP(AA483,'C PHASES'!$I$113:$J$125,2,FALSE)</f>
        <v>46204</v>
      </c>
    </row>
    <row r="484" spans="1:48" x14ac:dyDescent="0.25">
      <c r="A484" s="235"/>
      <c r="B484" s="227" t="str">
        <f t="shared" si="71"/>
        <v>B</v>
      </c>
      <c r="C484" s="227" t="s">
        <v>92</v>
      </c>
      <c r="D484" s="227" t="s">
        <v>1147</v>
      </c>
      <c r="E484" s="228">
        <v>3</v>
      </c>
      <c r="F484" s="101">
        <v>2</v>
      </c>
      <c r="G484" s="87" t="str">
        <f t="shared" si="79"/>
        <v>B1632</v>
      </c>
      <c r="H484" s="87" t="s">
        <v>1294</v>
      </c>
      <c r="I484" s="89" t="str">
        <f>VLOOKUP(C484,'PREMIUM TABLES'!$G$107:$H$149,2,FALSE)</f>
        <v>C1</v>
      </c>
      <c r="J484" s="87">
        <v>131.02000000000001</v>
      </c>
      <c r="K484" s="87">
        <v>142.34126581565991</v>
      </c>
      <c r="L484" s="87">
        <v>160</v>
      </c>
      <c r="O484" s="87" t="s">
        <v>187</v>
      </c>
      <c r="P484" s="87" t="s">
        <v>190</v>
      </c>
      <c r="Q484" s="229" t="s">
        <v>209</v>
      </c>
      <c r="R484" s="87" t="str">
        <f>VLOOKUP(E484,'PREMIUM TABLES'!$F$214:$G$219,2,FALSE)</f>
        <v>THIRD</v>
      </c>
      <c r="S484" s="87" t="str" cm="1">
        <f t="array" ref="S484">IF(AND(L484&gt;0,L484&lt;90),"A",IF(AND(L484&gt;90,L484&lt;123),"B",IF(AND(L484&gt;122,L484&lt;159),"C",IF(AND(L484&gt;159,L484&lt;185),"D",IF(AND(L484&gt;185,L484&lt;230),"E",IF(AND(L484&gt;230,L484&lt;350),"F",NONE))))))</f>
        <v>D</v>
      </c>
      <c r="T484" s="230">
        <f>VLOOKUP(O484,'PREMIUM TABLES'!$G$165:$H$172,2,FALSE)</f>
        <v>0.08</v>
      </c>
      <c r="U484" s="230">
        <f>VLOOKUP(P484,'PREMIUM TABLES'!$G$208:$H$209,2,FALSE)</f>
        <v>2.5000000000000001E-2</v>
      </c>
      <c r="V484" s="230">
        <f>VLOOKUP(Q484,'PREMIUM TABLES'!$G$175:$H$195,2,FALSE)</f>
        <v>0.6</v>
      </c>
      <c r="W484" s="230">
        <f>VLOOKUP(R484,'PREMIUM TABLES'!$G$214:$H$219,2,FALSE)</f>
        <v>0.15</v>
      </c>
      <c r="X484" s="230">
        <f>VLOOKUP(S484,'PREMIUM TABLES'!$F$199:$H$205,3,FALSE)</f>
        <v>2.5000000000000001E-2</v>
      </c>
      <c r="Y484" s="231">
        <f t="shared" si="74"/>
        <v>0.88</v>
      </c>
      <c r="Z484" s="231" t="str" cm="1">
        <f t="array" ref="Z484">IF(AND(Y484&gt;0,Y484&lt;0.5),"C",IF(AND(Y484&gt;=0.5,Y484&lt;0.73),"B",IF(AND(Y484&gt;=0.73,Y484&lt;0.98),"A",NONE)))</f>
        <v>A</v>
      </c>
      <c r="AA484" s="231" t="str">
        <f>VLOOKUP(G484,'ALL (R)'!$N$5:$R$862,5,FALSE)</f>
        <v>R 10</v>
      </c>
      <c r="AB484" s="232">
        <f>VLOOKUP(AA484,FACTS!$B$2:$L$14,10,FALSE)</f>
        <v>56100</v>
      </c>
      <c r="AC484" s="232">
        <f>VLOOKUP(AA484,FACTS!$B$2:$L$14,11,FALSE)</f>
        <v>62700</v>
      </c>
      <c r="AD484" s="232">
        <f>VLOOKUP(AA484,FACTS!$B$2:$N$14,13,FALSE)</f>
        <v>6600</v>
      </c>
      <c r="AE484" s="232">
        <f t="shared" si="75"/>
        <v>5808</v>
      </c>
      <c r="AF484" s="232">
        <f t="shared" si="76"/>
        <v>61908</v>
      </c>
      <c r="AG484" s="232">
        <f>AF484*FACTS!$T$2</f>
        <v>20429.64</v>
      </c>
      <c r="AH484" s="232">
        <f>Table1[[#This Row],[UNIT (BUILDING) RATE (SEMI FINISHED)]]+4500</f>
        <v>66408</v>
      </c>
      <c r="AI484" s="232">
        <f>Table1[[#This Row],[UNIT (BUILDING) RATE (SEMI FINISHED)]]+7500</f>
        <v>69408</v>
      </c>
      <c r="AJ484" s="232">
        <f t="shared" si="77"/>
        <v>9905280</v>
      </c>
      <c r="AK484" s="232">
        <f>Table1[[#This Row],[UNIT (BUILDING) RATE (BASIC FINISH)]]*Table1[[#This Row],[Unit Selling Area]]</f>
        <v>10625280</v>
      </c>
      <c r="AL484" s="232">
        <f>Table1[[#This Row],[UNIT (BUILDING) RATE (FULLY FINISH)]]*Table1[[#This Row],[Unit Selling Area]]</f>
        <v>11105280</v>
      </c>
      <c r="AM484" s="232">
        <f t="shared" si="78"/>
        <v>0</v>
      </c>
      <c r="AN484" s="232">
        <f>(AM484+AJ484)*FACTS!$S$2</f>
        <v>841948.8</v>
      </c>
      <c r="AO484" s="101">
        <f>VLOOKUP(S484,FACTS!$A$17:$C$23,3,FALSE)</f>
        <v>2</v>
      </c>
      <c r="AP484" s="232">
        <f>VLOOKUP(AA484,FACTS!$B$2:$J$14,9,FALSE)</f>
        <v>264000</v>
      </c>
      <c r="AQ484" s="232">
        <f>Table1[[#This Row],[PARKING VALUE]]*1</f>
        <v>264000</v>
      </c>
      <c r="AR484" s="232">
        <f t="shared" si="72"/>
        <v>10169280</v>
      </c>
      <c r="AS484" s="440">
        <f>Table1[[#This Row],[TOTAL CARS VALUE]]+Table1[[#This Row],[UNIT (BUILDING) VALUE BASIC FINISHED]]+Table1[[#This Row],[UNIT (GARDEN) VALUE]]</f>
        <v>10889280</v>
      </c>
      <c r="AT484" s="232">
        <f>Table1[[#This Row],[TOTAL CARS VALUE]]+Table1[[#This Row],[UNIT (GARDEN) VALUE]]+Table1[[#This Row],[UNIT (BUILDING) VALUE FULLY FINISHED]]</f>
        <v>11369280</v>
      </c>
      <c r="AU484" s="233">
        <f>VLOOKUP(I484,'C PHASES'!$I$108:$J$110,2,FALSE)</f>
        <v>45839</v>
      </c>
      <c r="AV484" s="233">
        <f>VLOOKUP(AA484,'C PHASES'!$I$113:$J$125,2,FALSE)</f>
        <v>46023</v>
      </c>
    </row>
    <row r="485" spans="1:48" x14ac:dyDescent="0.25">
      <c r="A485" s="235"/>
      <c r="B485" s="227" t="str">
        <f t="shared" si="71"/>
        <v>B</v>
      </c>
      <c r="C485" s="227" t="s">
        <v>92</v>
      </c>
      <c r="D485" s="227" t="s">
        <v>1147</v>
      </c>
      <c r="E485" s="228">
        <v>3</v>
      </c>
      <c r="F485" s="101">
        <v>3</v>
      </c>
      <c r="G485" s="87" t="str">
        <f t="shared" si="79"/>
        <v>B1633</v>
      </c>
      <c r="H485" s="87" t="s">
        <v>1294</v>
      </c>
      <c r="I485" s="89" t="str">
        <f>VLOOKUP(C485,'PREMIUM TABLES'!$G$107:$H$149,2,FALSE)</f>
        <v>C1</v>
      </c>
      <c r="J485" s="87">
        <v>126.87</v>
      </c>
      <c r="K485" s="87">
        <v>137.83266977585691</v>
      </c>
      <c r="L485" s="87">
        <v>155</v>
      </c>
      <c r="O485" s="87" t="s">
        <v>187</v>
      </c>
      <c r="P485" s="87" t="s">
        <v>190</v>
      </c>
      <c r="Q485" s="229" t="s">
        <v>209</v>
      </c>
      <c r="R485" s="87" t="str">
        <f>VLOOKUP(E485,'PREMIUM TABLES'!$F$214:$G$219,2,FALSE)</f>
        <v>THIRD</v>
      </c>
      <c r="S485" s="87" t="str" cm="1">
        <f t="array" ref="S485">IF(AND(L485&gt;0,L485&lt;90),"A",IF(AND(L485&gt;90,L485&lt;123),"B",IF(AND(L485&gt;122,L485&lt;159),"C",IF(AND(L485&gt;159,L485&lt;185),"D",IF(AND(L485&gt;185,L485&lt;230),"E",IF(AND(L485&gt;230,L485&lt;350),"F",NONE))))))</f>
        <v>C</v>
      </c>
      <c r="T485" s="230">
        <f>VLOOKUP(O485,'PREMIUM TABLES'!$G$165:$H$172,2,FALSE)</f>
        <v>0.08</v>
      </c>
      <c r="U485" s="230">
        <f>VLOOKUP(P485,'PREMIUM TABLES'!$G$208:$H$209,2,FALSE)</f>
        <v>2.5000000000000001E-2</v>
      </c>
      <c r="V485" s="230">
        <f>VLOOKUP(Q485,'PREMIUM TABLES'!$G$175:$H$195,2,FALSE)</f>
        <v>0.6</v>
      </c>
      <c r="W485" s="230">
        <f>VLOOKUP(R485,'PREMIUM TABLES'!$G$214:$H$219,2,FALSE)</f>
        <v>0.15</v>
      </c>
      <c r="X485" s="230">
        <f>VLOOKUP(S485,'PREMIUM TABLES'!$F$199:$H$205,3,FALSE)</f>
        <v>3.5000000000000003E-2</v>
      </c>
      <c r="Y485" s="231">
        <f t="shared" si="74"/>
        <v>0.89</v>
      </c>
      <c r="Z485" s="231" t="str" cm="1">
        <f t="array" ref="Z485">IF(AND(Y485&gt;0,Y485&lt;0.5),"C",IF(AND(Y485&gt;=0.5,Y485&lt;0.73),"B",IF(AND(Y485&gt;=0.73,Y485&lt;0.98),"A",NONE)))</f>
        <v>A</v>
      </c>
      <c r="AA485" s="231" t="str">
        <f>VLOOKUP(G485,'ALL (R)'!$N$5:$R$862,5,FALSE)</f>
        <v>R 10</v>
      </c>
      <c r="AB485" s="232">
        <f>VLOOKUP(AA485,FACTS!$B$2:$L$14,10,FALSE)</f>
        <v>56100</v>
      </c>
      <c r="AC485" s="232">
        <f>VLOOKUP(AA485,FACTS!$B$2:$L$14,11,FALSE)</f>
        <v>62700</v>
      </c>
      <c r="AD485" s="232">
        <f>VLOOKUP(AA485,FACTS!$B$2:$N$14,13,FALSE)</f>
        <v>6600</v>
      </c>
      <c r="AE485" s="232">
        <f t="shared" si="75"/>
        <v>5874</v>
      </c>
      <c r="AF485" s="232">
        <f t="shared" si="76"/>
        <v>61974</v>
      </c>
      <c r="AG485" s="232">
        <f>AF485*FACTS!$T$2</f>
        <v>20451.420000000002</v>
      </c>
      <c r="AH485" s="232">
        <f>Table1[[#This Row],[UNIT (BUILDING) RATE (SEMI FINISHED)]]+4500</f>
        <v>66474</v>
      </c>
      <c r="AI485" s="232">
        <f>Table1[[#This Row],[UNIT (BUILDING) RATE (SEMI FINISHED)]]+7500</f>
        <v>69474</v>
      </c>
      <c r="AJ485" s="232">
        <f t="shared" si="77"/>
        <v>9605970</v>
      </c>
      <c r="AK485" s="232">
        <f>Table1[[#This Row],[UNIT (BUILDING) RATE (BASIC FINISH)]]*Table1[[#This Row],[Unit Selling Area]]</f>
        <v>10303470</v>
      </c>
      <c r="AL485" s="232">
        <f>Table1[[#This Row],[UNIT (BUILDING) RATE (FULLY FINISH)]]*Table1[[#This Row],[Unit Selling Area]]</f>
        <v>10768470</v>
      </c>
      <c r="AM485" s="232">
        <f t="shared" si="78"/>
        <v>0</v>
      </c>
      <c r="AN485" s="232">
        <f>(AM485+AJ485)*FACTS!$S$2</f>
        <v>816507.45000000007</v>
      </c>
      <c r="AO485" s="101">
        <f>VLOOKUP(S485,FACTS!$A$17:$C$23,3,FALSE)</f>
        <v>2</v>
      </c>
      <c r="AP485" s="232">
        <f>VLOOKUP(AA485,FACTS!$B$2:$J$14,9,FALSE)</f>
        <v>264000</v>
      </c>
      <c r="AQ485" s="232">
        <f>Table1[[#This Row],[PARKING VALUE]]*1</f>
        <v>264000</v>
      </c>
      <c r="AR485" s="232">
        <f t="shared" si="72"/>
        <v>9869970</v>
      </c>
      <c r="AS485" s="440">
        <f>Table1[[#This Row],[TOTAL CARS VALUE]]+Table1[[#This Row],[UNIT (BUILDING) VALUE BASIC FINISHED]]+Table1[[#This Row],[UNIT (GARDEN) VALUE]]</f>
        <v>10567470</v>
      </c>
      <c r="AT485" s="232">
        <f>Table1[[#This Row],[TOTAL CARS VALUE]]+Table1[[#This Row],[UNIT (GARDEN) VALUE]]+Table1[[#This Row],[UNIT (BUILDING) VALUE FULLY FINISHED]]</f>
        <v>11032470</v>
      </c>
      <c r="AU485" s="233">
        <f>VLOOKUP(I485,'C PHASES'!$I$108:$J$110,2,FALSE)</f>
        <v>45839</v>
      </c>
      <c r="AV485" s="233">
        <f>VLOOKUP(AA485,'C PHASES'!$I$113:$J$125,2,FALSE)</f>
        <v>46023</v>
      </c>
    </row>
    <row r="486" spans="1:48" x14ac:dyDescent="0.25">
      <c r="A486" s="235"/>
      <c r="B486" s="227" t="str">
        <f t="shared" si="71"/>
        <v>B</v>
      </c>
      <c r="C486" s="227" t="s">
        <v>92</v>
      </c>
      <c r="D486" s="227" t="s">
        <v>1147</v>
      </c>
      <c r="E486" s="228">
        <v>3</v>
      </c>
      <c r="F486" s="101">
        <v>4</v>
      </c>
      <c r="G486" s="87" t="str">
        <f t="shared" si="79"/>
        <v>B1634</v>
      </c>
      <c r="H486" s="87" t="s">
        <v>1294</v>
      </c>
      <c r="I486" s="89" t="str">
        <f>VLOOKUP(C486,'PREMIUM TABLES'!$G$107:$H$149,2,FALSE)</f>
        <v>C1</v>
      </c>
      <c r="J486" s="87">
        <v>127.41</v>
      </c>
      <c r="K486" s="87">
        <v>138.41933046537343</v>
      </c>
      <c r="L486" s="87">
        <v>155</v>
      </c>
      <c r="O486" s="87" t="s">
        <v>180</v>
      </c>
      <c r="P486" s="87" t="s">
        <v>190</v>
      </c>
      <c r="Q486" s="229" t="s">
        <v>198</v>
      </c>
      <c r="R486" s="87" t="str">
        <f>VLOOKUP(E486,'PREMIUM TABLES'!$F$214:$G$219,2,FALSE)</f>
        <v>THIRD</v>
      </c>
      <c r="S486" s="87" t="str" cm="1">
        <f t="array" ref="S486">IF(AND(L486&gt;0,L486&lt;90),"A",IF(AND(L486&gt;90,L486&lt;123),"B",IF(AND(L486&gt;122,L486&lt;159),"C",IF(AND(L486&gt;159,L486&lt;185),"D",IF(AND(L486&gt;185,L486&lt;230),"E",IF(AND(L486&gt;230,L486&lt;350),"F",NONE))))))</f>
        <v>C</v>
      </c>
      <c r="T486" s="230">
        <f>VLOOKUP(O486,'PREMIUM TABLES'!$G$165:$H$172,2,FALSE)</f>
        <v>0.13</v>
      </c>
      <c r="U486" s="230">
        <f>VLOOKUP(P486,'PREMIUM TABLES'!$G$208:$H$209,2,FALSE)</f>
        <v>2.5000000000000001E-2</v>
      </c>
      <c r="V486" s="230">
        <f>VLOOKUP(Q486,'PREMIUM TABLES'!$G$175:$H$195,2,FALSE)</f>
        <v>0.15</v>
      </c>
      <c r="W486" s="230">
        <f>VLOOKUP(R486,'PREMIUM TABLES'!$G$214:$H$219,2,FALSE)</f>
        <v>0.15</v>
      </c>
      <c r="X486" s="230">
        <f>VLOOKUP(S486,'PREMIUM TABLES'!$F$199:$H$205,3,FALSE)</f>
        <v>3.5000000000000003E-2</v>
      </c>
      <c r="Y486" s="231">
        <f t="shared" si="74"/>
        <v>0.49</v>
      </c>
      <c r="Z486" s="231" t="str" cm="1">
        <f t="array" ref="Z486">IF(AND(Y486&gt;0,Y486&lt;0.5),"C",IF(AND(Y486&gt;=0.5,Y486&lt;0.73),"B",IF(AND(Y486&gt;=0.73,Y486&lt;0.98),"A",NONE)))</f>
        <v>C</v>
      </c>
      <c r="AA486" s="231" t="str">
        <f>VLOOKUP(G486,'ALL (R)'!$N$5:$R$862,5,FALSE)</f>
        <v>R 12</v>
      </c>
      <c r="AB486" s="232">
        <f>VLOOKUP(AA486,FACTS!$B$2:$L$14,10,FALSE)</f>
        <v>61625</v>
      </c>
      <c r="AC486" s="232">
        <f>VLOOKUP(AA486,FACTS!$B$2:$L$14,11,FALSE)</f>
        <v>68875</v>
      </c>
      <c r="AD486" s="232">
        <f>VLOOKUP(AA486,FACTS!$B$2:$N$14,13,FALSE)</f>
        <v>7250</v>
      </c>
      <c r="AE486" s="232">
        <f t="shared" si="75"/>
        <v>3552.5</v>
      </c>
      <c r="AF486" s="232">
        <f t="shared" si="76"/>
        <v>65177.5</v>
      </c>
      <c r="AG486" s="232">
        <f>AF486*FACTS!$T$2</f>
        <v>21508.575000000001</v>
      </c>
      <c r="AH486" s="232">
        <f>Table1[[#This Row],[UNIT (BUILDING) RATE (SEMI FINISHED)]]+4500</f>
        <v>69677.5</v>
      </c>
      <c r="AI486" s="232">
        <f>Table1[[#This Row],[UNIT (BUILDING) RATE (SEMI FINISHED)]]+7500</f>
        <v>72677.5</v>
      </c>
      <c r="AJ486" s="232">
        <f t="shared" si="77"/>
        <v>10102512.5</v>
      </c>
      <c r="AK486" s="232">
        <f>Table1[[#This Row],[UNIT (BUILDING) RATE (BASIC FINISH)]]*Table1[[#This Row],[Unit Selling Area]]</f>
        <v>10800012.5</v>
      </c>
      <c r="AL486" s="232">
        <f>Table1[[#This Row],[UNIT (BUILDING) RATE (FULLY FINISH)]]*Table1[[#This Row],[Unit Selling Area]]</f>
        <v>11265012.5</v>
      </c>
      <c r="AM486" s="232">
        <f t="shared" si="78"/>
        <v>0</v>
      </c>
      <c r="AN486" s="232">
        <f>(AM486+AJ486)*FACTS!$S$2</f>
        <v>858713.56250000012</v>
      </c>
      <c r="AO486" s="101">
        <f>VLOOKUP(S486,FACTS!$A$17:$C$23,3,FALSE)</f>
        <v>2</v>
      </c>
      <c r="AP486" s="232">
        <f>VLOOKUP(AA486,FACTS!$B$2:$J$14,9,FALSE)</f>
        <v>290000</v>
      </c>
      <c r="AQ486" s="232">
        <f>Table1[[#This Row],[PARKING VALUE]]*1</f>
        <v>290000</v>
      </c>
      <c r="AR486" s="232">
        <f t="shared" si="72"/>
        <v>10392512.5</v>
      </c>
      <c r="AS486" s="440">
        <f>Table1[[#This Row],[TOTAL CARS VALUE]]+Table1[[#This Row],[UNIT (BUILDING) VALUE BASIC FINISHED]]+Table1[[#This Row],[UNIT (GARDEN) VALUE]]</f>
        <v>11090012.5</v>
      </c>
      <c r="AT486" s="232">
        <f>Table1[[#This Row],[TOTAL CARS VALUE]]+Table1[[#This Row],[UNIT (GARDEN) VALUE]]+Table1[[#This Row],[UNIT (BUILDING) VALUE FULLY FINISHED]]</f>
        <v>11555012.5</v>
      </c>
      <c r="AU486" s="233">
        <f>VLOOKUP(I486,'C PHASES'!$I$108:$J$110,2,FALSE)</f>
        <v>45839</v>
      </c>
      <c r="AV486" s="233">
        <f>VLOOKUP(AA486,'C PHASES'!$I$113:$J$125,2,FALSE)</f>
        <v>46204</v>
      </c>
    </row>
    <row r="487" spans="1:48" x14ac:dyDescent="0.25">
      <c r="A487" s="235"/>
      <c r="B487" s="227" t="str">
        <f t="shared" si="71"/>
        <v>B</v>
      </c>
      <c r="C487" s="227" t="s">
        <v>92</v>
      </c>
      <c r="D487" s="227" t="s">
        <v>1147</v>
      </c>
      <c r="E487" s="228">
        <v>4</v>
      </c>
      <c r="F487" s="101">
        <v>1</v>
      </c>
      <c r="G487" s="87" t="str">
        <f t="shared" si="79"/>
        <v>B1641</v>
      </c>
      <c r="H487" s="87" t="s">
        <v>1294</v>
      </c>
      <c r="I487" s="89" t="str">
        <f>VLOOKUP(C487,'PREMIUM TABLES'!$G$107:$H$149,2,FALSE)</f>
        <v>C1</v>
      </c>
      <c r="J487" s="87">
        <v>129.59</v>
      </c>
      <c r="K487" s="87">
        <v>140.78770139712537</v>
      </c>
      <c r="L487" s="87">
        <v>158</v>
      </c>
      <c r="O487" s="87" t="s">
        <v>180</v>
      </c>
      <c r="P487" s="87" t="s">
        <v>190</v>
      </c>
      <c r="Q487" s="229" t="s">
        <v>198</v>
      </c>
      <c r="R487" s="87" t="str">
        <f>VLOOKUP(E487,'PREMIUM TABLES'!$F$214:$G$219,2,FALSE)</f>
        <v>FORTH</v>
      </c>
      <c r="S487" s="87" t="str" cm="1">
        <f t="array" ref="S487">IF(AND(L487&gt;0,L487&lt;90),"A",IF(AND(L487&gt;90,L487&lt;123),"B",IF(AND(L487&gt;122,L487&lt;159),"C",IF(AND(L487&gt;159,L487&lt;185),"D",IF(AND(L487&gt;185,L487&lt;230),"E",IF(AND(L487&gt;230,L487&lt;350),"F",NONE))))))</f>
        <v>C</v>
      </c>
      <c r="T487" s="230">
        <f>VLOOKUP(O487,'PREMIUM TABLES'!$G$165:$H$172,2,FALSE)</f>
        <v>0.13</v>
      </c>
      <c r="U487" s="230">
        <f>VLOOKUP(P487,'PREMIUM TABLES'!$G$208:$H$209,2,FALSE)</f>
        <v>2.5000000000000001E-2</v>
      </c>
      <c r="V487" s="230">
        <f>VLOOKUP(Q487,'PREMIUM TABLES'!$G$175:$H$195,2,FALSE)</f>
        <v>0.15</v>
      </c>
      <c r="W487" s="230">
        <f>VLOOKUP(R487,'PREMIUM TABLES'!$G$214:$H$219,2,FALSE)</f>
        <v>0.06</v>
      </c>
      <c r="X487" s="230">
        <f>VLOOKUP(S487,'PREMIUM TABLES'!$F$199:$H$205,3,FALSE)</f>
        <v>3.5000000000000003E-2</v>
      </c>
      <c r="Y487" s="231">
        <f t="shared" si="74"/>
        <v>0.4</v>
      </c>
      <c r="Z487" s="231" t="str" cm="1">
        <f t="array" ref="Z487">IF(AND(Y487&gt;0,Y487&lt;0.5),"C",IF(AND(Y487&gt;=0.5,Y487&lt;0.73),"B",IF(AND(Y487&gt;=0.73,Y487&lt;0.98),"A",NONE)))</f>
        <v>C</v>
      </c>
      <c r="AA487" s="231" t="str">
        <f>VLOOKUP(G487,'ALL (R)'!$N$5:$R$862,5,FALSE)</f>
        <v>R 5</v>
      </c>
      <c r="AB487" s="232">
        <f>VLOOKUP(AA487,FACTS!$B$2:$L$14,10,FALSE)</f>
        <v>46750.000000000007</v>
      </c>
      <c r="AC487" s="232">
        <f>VLOOKUP(AA487,FACTS!$B$2:$L$14,11,FALSE)</f>
        <v>52250.000000000007</v>
      </c>
      <c r="AD487" s="232">
        <f>VLOOKUP(AA487,FACTS!$B$2:$N$14,13,FALSE)</f>
        <v>5500</v>
      </c>
      <c r="AE487" s="232">
        <f t="shared" si="75"/>
        <v>2200</v>
      </c>
      <c r="AF487" s="232">
        <f t="shared" si="76"/>
        <v>48950.000000000007</v>
      </c>
      <c r="AG487" s="232">
        <f>AF487*FACTS!$T$2</f>
        <v>16153.500000000004</v>
      </c>
      <c r="AH487" s="232">
        <f>Table1[[#This Row],[UNIT (BUILDING) RATE (SEMI FINISHED)]]+4500</f>
        <v>53450.000000000007</v>
      </c>
      <c r="AI487" s="232">
        <f>Table1[[#This Row],[UNIT (BUILDING) RATE (SEMI FINISHED)]]+7500</f>
        <v>56450.000000000007</v>
      </c>
      <c r="AJ487" s="232">
        <f t="shared" si="77"/>
        <v>7734100.0000000009</v>
      </c>
      <c r="AK487" s="232">
        <f>Table1[[#This Row],[UNIT (BUILDING) RATE (BASIC FINISH)]]*Table1[[#This Row],[Unit Selling Area]]</f>
        <v>8445100.0000000019</v>
      </c>
      <c r="AL487" s="232">
        <f>Table1[[#This Row],[UNIT (BUILDING) RATE (FULLY FINISH)]]*Table1[[#This Row],[Unit Selling Area]]</f>
        <v>8919100.0000000019</v>
      </c>
      <c r="AM487" s="232">
        <f t="shared" si="78"/>
        <v>0</v>
      </c>
      <c r="AN487" s="232">
        <f>(AM487+AJ487)*FACTS!$S$2</f>
        <v>657398.50000000012</v>
      </c>
      <c r="AO487" s="101">
        <f>VLOOKUP(S487,FACTS!$A$17:$C$23,3,FALSE)</f>
        <v>2</v>
      </c>
      <c r="AP487" s="232">
        <f>VLOOKUP(AA487,FACTS!$B$2:$J$14,9,FALSE)</f>
        <v>220000.00000000003</v>
      </c>
      <c r="AQ487" s="232">
        <f>Table1[[#This Row],[PARKING VALUE]]*1</f>
        <v>220000.00000000003</v>
      </c>
      <c r="AR487" s="232">
        <f t="shared" si="72"/>
        <v>7954100.0000000009</v>
      </c>
      <c r="AS487" s="440">
        <f>Table1[[#This Row],[TOTAL CARS VALUE]]+Table1[[#This Row],[UNIT (BUILDING) VALUE BASIC FINISHED]]+Table1[[#This Row],[UNIT (GARDEN) VALUE]]</f>
        <v>8665100.0000000019</v>
      </c>
      <c r="AT487" s="232">
        <f>Table1[[#This Row],[TOTAL CARS VALUE]]+Table1[[#This Row],[UNIT (GARDEN) VALUE]]+Table1[[#This Row],[UNIT (BUILDING) VALUE FULLY FINISHED]]</f>
        <v>9139100.0000000019</v>
      </c>
      <c r="AU487" s="233">
        <f>VLOOKUP(I487,'C PHASES'!$I$108:$J$110,2,FALSE)</f>
        <v>45839</v>
      </c>
      <c r="AV487" s="233">
        <f>VLOOKUP(AA487,'C PHASES'!$I$113:$J$125,2,FALSE)</f>
        <v>45566</v>
      </c>
    </row>
    <row r="488" spans="1:48" x14ac:dyDescent="0.25">
      <c r="A488" s="235"/>
      <c r="B488" s="227" t="str">
        <f t="shared" si="71"/>
        <v>B</v>
      </c>
      <c r="C488" s="227" t="s">
        <v>92</v>
      </c>
      <c r="D488" s="227" t="s">
        <v>1147</v>
      </c>
      <c r="E488" s="228">
        <v>4</v>
      </c>
      <c r="F488" s="101">
        <v>2</v>
      </c>
      <c r="G488" s="87" t="str">
        <f t="shared" si="79"/>
        <v>B1642</v>
      </c>
      <c r="H488" s="87" t="s">
        <v>1294</v>
      </c>
      <c r="I488" s="89" t="str">
        <f>VLOOKUP(C488,'PREMIUM TABLES'!$G$107:$H$149,2,FALSE)</f>
        <v>C1</v>
      </c>
      <c r="J488" s="87">
        <v>131.72</v>
      </c>
      <c r="K488" s="87">
        <v>143.10175189466281</v>
      </c>
      <c r="L488" s="87">
        <v>161</v>
      </c>
      <c r="O488" s="87" t="s">
        <v>187</v>
      </c>
      <c r="P488" s="87" t="s">
        <v>190</v>
      </c>
      <c r="Q488" s="229" t="s">
        <v>209</v>
      </c>
      <c r="R488" s="87" t="str">
        <f>VLOOKUP(E488,'PREMIUM TABLES'!$F$214:$G$219,2,FALSE)</f>
        <v>FORTH</v>
      </c>
      <c r="S488" s="87" t="str" cm="1">
        <f t="array" ref="S488">IF(AND(L488&gt;0,L488&lt;90),"A",IF(AND(L488&gt;90,L488&lt;123),"B",IF(AND(L488&gt;122,L488&lt;159),"C",IF(AND(L488&gt;159,L488&lt;185),"D",IF(AND(L488&gt;185,L488&lt;230),"E",IF(AND(L488&gt;230,L488&lt;350),"F",NONE))))))</f>
        <v>D</v>
      </c>
      <c r="T488" s="230">
        <f>VLOOKUP(O488,'PREMIUM TABLES'!$G$165:$H$172,2,FALSE)</f>
        <v>0.08</v>
      </c>
      <c r="U488" s="230">
        <f>VLOOKUP(P488,'PREMIUM TABLES'!$G$208:$H$209,2,FALSE)</f>
        <v>2.5000000000000001E-2</v>
      </c>
      <c r="V488" s="230">
        <f>VLOOKUP(Q488,'PREMIUM TABLES'!$G$175:$H$195,2,FALSE)</f>
        <v>0.6</v>
      </c>
      <c r="W488" s="230">
        <f>VLOOKUP(R488,'PREMIUM TABLES'!$G$214:$H$219,2,FALSE)</f>
        <v>0.06</v>
      </c>
      <c r="X488" s="230">
        <f>VLOOKUP(S488,'PREMIUM TABLES'!$F$199:$H$205,3,FALSE)</f>
        <v>2.5000000000000001E-2</v>
      </c>
      <c r="Y488" s="231">
        <f t="shared" si="74"/>
        <v>0.78999999999999992</v>
      </c>
      <c r="Z488" s="231" t="str" cm="1">
        <f t="array" ref="Z488">IF(AND(Y488&gt;0,Y488&lt;0.5),"C",IF(AND(Y488&gt;=0.5,Y488&lt;0.73),"B",IF(AND(Y488&gt;=0.73,Y488&lt;0.98),"A",NONE)))</f>
        <v>A</v>
      </c>
      <c r="AA488" s="231" t="str">
        <f>VLOOKUP(G488,'ALL (R)'!$N$5:$R$862,5,FALSE)</f>
        <v>R 5</v>
      </c>
      <c r="AB488" s="232">
        <f>VLOOKUP(AA488,FACTS!$B$2:$L$14,10,FALSE)</f>
        <v>46750.000000000007</v>
      </c>
      <c r="AC488" s="232">
        <f>VLOOKUP(AA488,FACTS!$B$2:$L$14,11,FALSE)</f>
        <v>52250.000000000007</v>
      </c>
      <c r="AD488" s="232">
        <f>VLOOKUP(AA488,FACTS!$B$2:$N$14,13,FALSE)</f>
        <v>5500</v>
      </c>
      <c r="AE488" s="232">
        <f t="shared" si="75"/>
        <v>4345</v>
      </c>
      <c r="AF488" s="232">
        <f t="shared" si="76"/>
        <v>51095.000000000007</v>
      </c>
      <c r="AG488" s="232">
        <f>AF488*FACTS!$T$2</f>
        <v>16861.350000000002</v>
      </c>
      <c r="AH488" s="232">
        <f>Table1[[#This Row],[UNIT (BUILDING) RATE (SEMI FINISHED)]]+4500</f>
        <v>55595.000000000007</v>
      </c>
      <c r="AI488" s="232">
        <f>Table1[[#This Row],[UNIT (BUILDING) RATE (SEMI FINISHED)]]+7500</f>
        <v>58595.000000000007</v>
      </c>
      <c r="AJ488" s="232">
        <f t="shared" si="77"/>
        <v>8226295.0000000009</v>
      </c>
      <c r="AK488" s="232">
        <f>Table1[[#This Row],[UNIT (BUILDING) RATE (BASIC FINISH)]]*Table1[[#This Row],[Unit Selling Area]]</f>
        <v>8950795.0000000019</v>
      </c>
      <c r="AL488" s="232">
        <f>Table1[[#This Row],[UNIT (BUILDING) RATE (FULLY FINISH)]]*Table1[[#This Row],[Unit Selling Area]]</f>
        <v>9433795.0000000019</v>
      </c>
      <c r="AM488" s="232">
        <f t="shared" si="78"/>
        <v>0</v>
      </c>
      <c r="AN488" s="232">
        <f>(AM488+AJ488)*FACTS!$S$2</f>
        <v>699235.07500000019</v>
      </c>
      <c r="AO488" s="101">
        <f>VLOOKUP(S488,FACTS!$A$17:$C$23,3,FALSE)</f>
        <v>2</v>
      </c>
      <c r="AP488" s="232">
        <f>VLOOKUP(AA488,FACTS!$B$2:$J$14,9,FALSE)</f>
        <v>220000.00000000003</v>
      </c>
      <c r="AQ488" s="232">
        <f>Table1[[#This Row],[PARKING VALUE]]*1</f>
        <v>220000.00000000003</v>
      </c>
      <c r="AR488" s="232">
        <f t="shared" si="72"/>
        <v>8446295.0000000019</v>
      </c>
      <c r="AS488" s="440">
        <f>Table1[[#This Row],[TOTAL CARS VALUE]]+Table1[[#This Row],[UNIT (BUILDING) VALUE BASIC FINISHED]]+Table1[[#This Row],[UNIT (GARDEN) VALUE]]</f>
        <v>9170795.0000000019</v>
      </c>
      <c r="AT488" s="232">
        <f>Table1[[#This Row],[TOTAL CARS VALUE]]+Table1[[#This Row],[UNIT (GARDEN) VALUE]]+Table1[[#This Row],[UNIT (BUILDING) VALUE FULLY FINISHED]]</f>
        <v>9653795.0000000019</v>
      </c>
      <c r="AU488" s="233">
        <f>VLOOKUP(I488,'C PHASES'!$I$108:$J$110,2,FALSE)</f>
        <v>45839</v>
      </c>
      <c r="AV488" s="233">
        <f>VLOOKUP(AA488,'C PHASES'!$I$113:$J$125,2,FALSE)</f>
        <v>45566</v>
      </c>
    </row>
    <row r="489" spans="1:48" x14ac:dyDescent="0.25">
      <c r="A489" s="235"/>
      <c r="B489" s="227" t="str">
        <f t="shared" si="71"/>
        <v>B</v>
      </c>
      <c r="C489" s="227" t="s">
        <v>92</v>
      </c>
      <c r="D489" s="227" t="s">
        <v>1147</v>
      </c>
      <c r="E489" s="228">
        <v>4</v>
      </c>
      <c r="F489" s="101">
        <v>3</v>
      </c>
      <c r="G489" s="87" t="str">
        <f t="shared" si="79"/>
        <v>B1643</v>
      </c>
      <c r="H489" s="87" t="s">
        <v>1294</v>
      </c>
      <c r="I489" s="89" t="str">
        <f>VLOOKUP(C489,'PREMIUM TABLES'!$G$107:$H$149,2,FALSE)</f>
        <v>C1</v>
      </c>
      <c r="J489" s="87">
        <v>127.12</v>
      </c>
      <c r="K489" s="87">
        <v>138.10427194692937</v>
      </c>
      <c r="L489" s="87">
        <v>155</v>
      </c>
      <c r="O489" s="87" t="s">
        <v>187</v>
      </c>
      <c r="P489" s="87" t="s">
        <v>190</v>
      </c>
      <c r="Q489" s="229" t="s">
        <v>209</v>
      </c>
      <c r="R489" s="87" t="str">
        <f>VLOOKUP(E489,'PREMIUM TABLES'!$F$214:$G$219,2,FALSE)</f>
        <v>FORTH</v>
      </c>
      <c r="S489" s="87" t="str" cm="1">
        <f t="array" ref="S489">IF(AND(L489&gt;0,L489&lt;90),"A",IF(AND(L489&gt;90,L489&lt;123),"B",IF(AND(L489&gt;122,L489&lt;159),"C",IF(AND(L489&gt;159,L489&lt;185),"D",IF(AND(L489&gt;185,L489&lt;230),"E",IF(AND(L489&gt;230,L489&lt;350),"F",NONE))))))</f>
        <v>C</v>
      </c>
      <c r="T489" s="230">
        <f>VLOOKUP(O489,'PREMIUM TABLES'!$G$165:$H$172,2,FALSE)</f>
        <v>0.08</v>
      </c>
      <c r="U489" s="230">
        <f>VLOOKUP(P489,'PREMIUM TABLES'!$G$208:$H$209,2,FALSE)</f>
        <v>2.5000000000000001E-2</v>
      </c>
      <c r="V489" s="230">
        <f>VLOOKUP(Q489,'PREMIUM TABLES'!$G$175:$H$195,2,FALSE)</f>
        <v>0.6</v>
      </c>
      <c r="W489" s="230">
        <f>VLOOKUP(R489,'PREMIUM TABLES'!$G$214:$H$219,2,FALSE)</f>
        <v>0.06</v>
      </c>
      <c r="X489" s="230">
        <f>VLOOKUP(S489,'PREMIUM TABLES'!$F$199:$H$205,3,FALSE)</f>
        <v>3.5000000000000003E-2</v>
      </c>
      <c r="Y489" s="231">
        <f t="shared" si="74"/>
        <v>0.79999999999999993</v>
      </c>
      <c r="Z489" s="231" t="str" cm="1">
        <f t="array" ref="Z489">IF(AND(Y489&gt;0,Y489&lt;0.5),"C",IF(AND(Y489&gt;=0.5,Y489&lt;0.73),"B",IF(AND(Y489&gt;=0.73,Y489&lt;0.98),"A",NONE)))</f>
        <v>A</v>
      </c>
      <c r="AA489" s="231" t="str">
        <f>VLOOKUP(G489,'ALL (R)'!$N$5:$R$862,5,FALSE)</f>
        <v>R 6</v>
      </c>
      <c r="AB489" s="232">
        <f>VLOOKUP(AA489,FACTS!$B$2:$L$14,10,FALSE)</f>
        <v>48450.000000000007</v>
      </c>
      <c r="AC489" s="232">
        <f>VLOOKUP(AA489,FACTS!$B$2:$L$14,11,FALSE)</f>
        <v>54150.000000000007</v>
      </c>
      <c r="AD489" s="232">
        <f>VLOOKUP(AA489,FACTS!$B$2:$N$14,13,FALSE)</f>
        <v>5700</v>
      </c>
      <c r="AE489" s="232">
        <f t="shared" si="75"/>
        <v>4560</v>
      </c>
      <c r="AF489" s="232">
        <f t="shared" si="76"/>
        <v>53010.000000000007</v>
      </c>
      <c r="AG489" s="232">
        <f>AF489*FACTS!$T$2</f>
        <v>17493.300000000003</v>
      </c>
      <c r="AH489" s="232">
        <f>Table1[[#This Row],[UNIT (BUILDING) RATE (SEMI FINISHED)]]+4500</f>
        <v>57510.000000000007</v>
      </c>
      <c r="AI489" s="232">
        <f>Table1[[#This Row],[UNIT (BUILDING) RATE (SEMI FINISHED)]]+7500</f>
        <v>60510.000000000007</v>
      </c>
      <c r="AJ489" s="232">
        <f t="shared" si="77"/>
        <v>8216550.0000000009</v>
      </c>
      <c r="AK489" s="232">
        <f>Table1[[#This Row],[UNIT (BUILDING) RATE (BASIC FINISH)]]*Table1[[#This Row],[Unit Selling Area]]</f>
        <v>8914050.0000000019</v>
      </c>
      <c r="AL489" s="232">
        <f>Table1[[#This Row],[UNIT (BUILDING) RATE (FULLY FINISH)]]*Table1[[#This Row],[Unit Selling Area]]</f>
        <v>9379050.0000000019</v>
      </c>
      <c r="AM489" s="232">
        <f t="shared" si="78"/>
        <v>0</v>
      </c>
      <c r="AN489" s="232">
        <f>(AM489+AJ489)*FACTS!$S$2</f>
        <v>698406.75000000012</v>
      </c>
      <c r="AO489" s="101">
        <f>VLOOKUP(S489,FACTS!$A$17:$C$23,3,FALSE)</f>
        <v>2</v>
      </c>
      <c r="AP489" s="232">
        <f>VLOOKUP(AA489,FACTS!$B$2:$J$14,9,FALSE)</f>
        <v>228000.00000000003</v>
      </c>
      <c r="AQ489" s="232">
        <f>Table1[[#This Row],[PARKING VALUE]]*1</f>
        <v>228000.00000000003</v>
      </c>
      <c r="AR489" s="232">
        <f t="shared" si="72"/>
        <v>8444550.0000000019</v>
      </c>
      <c r="AS489" s="440">
        <f>Table1[[#This Row],[TOTAL CARS VALUE]]+Table1[[#This Row],[UNIT (BUILDING) VALUE BASIC FINISHED]]+Table1[[#This Row],[UNIT (GARDEN) VALUE]]</f>
        <v>9142050.0000000019</v>
      </c>
      <c r="AT489" s="232">
        <f>Table1[[#This Row],[TOTAL CARS VALUE]]+Table1[[#This Row],[UNIT (GARDEN) VALUE]]+Table1[[#This Row],[UNIT (BUILDING) VALUE FULLY FINISHED]]</f>
        <v>9607050.0000000019</v>
      </c>
      <c r="AU489" s="233">
        <f>VLOOKUP(I489,'C PHASES'!$I$108:$J$110,2,FALSE)</f>
        <v>45839</v>
      </c>
      <c r="AV489" s="233">
        <f>VLOOKUP(AA489,'C PHASES'!$I$113:$J$125,2,FALSE)</f>
        <v>45658</v>
      </c>
    </row>
    <row r="490" spans="1:48" x14ac:dyDescent="0.25">
      <c r="A490" s="235"/>
      <c r="B490" s="227" t="str">
        <f t="shared" si="71"/>
        <v>B</v>
      </c>
      <c r="C490" s="227" t="s">
        <v>92</v>
      </c>
      <c r="D490" s="227" t="s">
        <v>1147</v>
      </c>
      <c r="E490" s="228">
        <v>4</v>
      </c>
      <c r="F490" s="101">
        <v>4</v>
      </c>
      <c r="G490" s="87" t="str">
        <f t="shared" si="79"/>
        <v>B1644</v>
      </c>
      <c r="H490" s="87" t="s">
        <v>1294</v>
      </c>
      <c r="I490" s="89" t="str">
        <f>VLOOKUP(C490,'PREMIUM TABLES'!$G$107:$H$149,2,FALSE)</f>
        <v>C1</v>
      </c>
      <c r="J490" s="87">
        <v>125.12</v>
      </c>
      <c r="K490" s="87">
        <v>135.93145457834962</v>
      </c>
      <c r="L490" s="87">
        <v>153</v>
      </c>
      <c r="O490" s="87" t="s">
        <v>180</v>
      </c>
      <c r="P490" s="87" t="s">
        <v>190</v>
      </c>
      <c r="Q490" s="229" t="s">
        <v>198</v>
      </c>
      <c r="R490" s="87" t="str">
        <f>VLOOKUP(E490,'PREMIUM TABLES'!$F$214:$G$219,2,FALSE)</f>
        <v>FORTH</v>
      </c>
      <c r="S490" s="87" t="str" cm="1">
        <f t="array" ref="S490">IF(AND(L490&gt;0,L490&lt;90),"A",IF(AND(L490&gt;90,L490&lt;123),"B",IF(AND(L490&gt;122,L490&lt;159),"C",IF(AND(L490&gt;159,L490&lt;185),"D",IF(AND(L490&gt;185,L490&lt;230),"E",IF(AND(L490&gt;230,L490&lt;350),"F",NONE))))))</f>
        <v>C</v>
      </c>
      <c r="T490" s="230">
        <f>VLOOKUP(O490,'PREMIUM TABLES'!$G$165:$H$172,2,FALSE)</f>
        <v>0.13</v>
      </c>
      <c r="U490" s="230">
        <f>VLOOKUP(P490,'PREMIUM TABLES'!$G$208:$H$209,2,FALSE)</f>
        <v>2.5000000000000001E-2</v>
      </c>
      <c r="V490" s="230">
        <f>VLOOKUP(Q490,'PREMIUM TABLES'!$G$175:$H$195,2,FALSE)</f>
        <v>0.15</v>
      </c>
      <c r="W490" s="230">
        <f>VLOOKUP(R490,'PREMIUM TABLES'!$G$214:$H$219,2,FALSE)</f>
        <v>0.06</v>
      </c>
      <c r="X490" s="230">
        <f>VLOOKUP(S490,'PREMIUM TABLES'!$F$199:$H$205,3,FALSE)</f>
        <v>3.5000000000000003E-2</v>
      </c>
      <c r="Y490" s="231">
        <f t="shared" si="74"/>
        <v>0.4</v>
      </c>
      <c r="Z490" s="231" t="str" cm="1">
        <f t="array" ref="Z490">IF(AND(Y490&gt;0,Y490&lt;0.5),"C",IF(AND(Y490&gt;=0.5,Y490&lt;0.73),"B",IF(AND(Y490&gt;=0.73,Y490&lt;0.98),"A",NONE)))</f>
        <v>C</v>
      </c>
      <c r="AA490" s="231" t="str">
        <f>VLOOKUP(G490,'ALL (R)'!$N$5:$R$862,5,FALSE)</f>
        <v>R 5</v>
      </c>
      <c r="AB490" s="232">
        <f>VLOOKUP(AA490,FACTS!$B$2:$L$14,10,FALSE)</f>
        <v>46750.000000000007</v>
      </c>
      <c r="AC490" s="232">
        <f>VLOOKUP(AA490,FACTS!$B$2:$L$14,11,FALSE)</f>
        <v>52250.000000000007</v>
      </c>
      <c r="AD490" s="232">
        <f>VLOOKUP(AA490,FACTS!$B$2:$N$14,13,FALSE)</f>
        <v>5500</v>
      </c>
      <c r="AE490" s="232">
        <f t="shared" si="75"/>
        <v>2200</v>
      </c>
      <c r="AF490" s="232">
        <f t="shared" si="76"/>
        <v>48950.000000000007</v>
      </c>
      <c r="AG490" s="232">
        <f>AF490*FACTS!$T$2</f>
        <v>16153.500000000004</v>
      </c>
      <c r="AH490" s="232">
        <f>Table1[[#This Row],[UNIT (BUILDING) RATE (SEMI FINISHED)]]+4500</f>
        <v>53450.000000000007</v>
      </c>
      <c r="AI490" s="232">
        <f>Table1[[#This Row],[UNIT (BUILDING) RATE (SEMI FINISHED)]]+7500</f>
        <v>56450.000000000007</v>
      </c>
      <c r="AJ490" s="232">
        <f t="shared" si="77"/>
        <v>7489350.0000000009</v>
      </c>
      <c r="AK490" s="232">
        <f>Table1[[#This Row],[UNIT (BUILDING) RATE (BASIC FINISH)]]*Table1[[#This Row],[Unit Selling Area]]</f>
        <v>8177850.0000000009</v>
      </c>
      <c r="AL490" s="232">
        <f>Table1[[#This Row],[UNIT (BUILDING) RATE (FULLY FINISH)]]*Table1[[#This Row],[Unit Selling Area]]</f>
        <v>8636850.0000000019</v>
      </c>
      <c r="AM490" s="232">
        <f t="shared" si="78"/>
        <v>0</v>
      </c>
      <c r="AN490" s="232">
        <f>(AM490+AJ490)*FACTS!$S$2</f>
        <v>636594.75000000012</v>
      </c>
      <c r="AO490" s="101">
        <f>VLOOKUP(S490,FACTS!$A$17:$C$23,3,FALSE)</f>
        <v>2</v>
      </c>
      <c r="AP490" s="232">
        <f>VLOOKUP(AA490,FACTS!$B$2:$J$14,9,FALSE)</f>
        <v>220000.00000000003</v>
      </c>
      <c r="AQ490" s="232">
        <f>Table1[[#This Row],[PARKING VALUE]]*1</f>
        <v>220000.00000000003</v>
      </c>
      <c r="AR490" s="232">
        <f t="shared" si="72"/>
        <v>7709350.0000000009</v>
      </c>
      <c r="AS490" s="440">
        <f>Table1[[#This Row],[TOTAL CARS VALUE]]+Table1[[#This Row],[UNIT (BUILDING) VALUE BASIC FINISHED]]+Table1[[#This Row],[UNIT (GARDEN) VALUE]]</f>
        <v>8397850.0000000019</v>
      </c>
      <c r="AT490" s="232">
        <f>Table1[[#This Row],[TOTAL CARS VALUE]]+Table1[[#This Row],[UNIT (GARDEN) VALUE]]+Table1[[#This Row],[UNIT (BUILDING) VALUE FULLY FINISHED]]</f>
        <v>8856850.0000000019</v>
      </c>
      <c r="AU490" s="233">
        <f>VLOOKUP(I490,'C PHASES'!$I$108:$J$110,2,FALSE)</f>
        <v>45839</v>
      </c>
      <c r="AV490" s="233">
        <f>VLOOKUP(AA490,'C PHASES'!$I$113:$J$125,2,FALSE)</f>
        <v>45566</v>
      </c>
    </row>
    <row r="491" spans="1:48" ht="21.75" x14ac:dyDescent="0.25">
      <c r="A491" s="235" t="s">
        <v>38</v>
      </c>
      <c r="B491" s="227" t="str">
        <f t="shared" si="71"/>
        <v>B</v>
      </c>
      <c r="C491" s="227" t="s">
        <v>91</v>
      </c>
      <c r="D491" s="227" t="s">
        <v>1147</v>
      </c>
      <c r="E491" s="228">
        <v>0</v>
      </c>
      <c r="F491" s="101">
        <v>1</v>
      </c>
      <c r="G491" s="87" t="str">
        <f>LEFT(C491,3)&amp;E491&amp;F491</f>
        <v>B1701</v>
      </c>
      <c r="H491" s="87" t="s">
        <v>1294</v>
      </c>
      <c r="I491" s="89" t="str">
        <f>VLOOKUP(C491,'PREMIUM TABLES'!$G$107:$H$149,2,FALSE)</f>
        <v>C1</v>
      </c>
      <c r="J491" s="87">
        <v>131.34</v>
      </c>
      <c r="K491" s="87">
        <v>142.61992000608555</v>
      </c>
      <c r="L491" s="87">
        <v>160</v>
      </c>
      <c r="M491" s="87">
        <v>75.3416</v>
      </c>
      <c r="O491" s="87" t="s">
        <v>180</v>
      </c>
      <c r="P491" s="87" t="s">
        <v>226</v>
      </c>
      <c r="Q491" s="229" t="s">
        <v>198</v>
      </c>
      <c r="R491" s="87" t="str">
        <f>VLOOKUP(E491,'PREMIUM TABLES'!$F$214:$G$219,2,FALSE)</f>
        <v>GROUND</v>
      </c>
      <c r="S491" s="87" t="str" cm="1">
        <f t="array" ref="S491">IF(AND(L491&gt;0,L491&lt;90),"A",IF(AND(L491&gt;90,L491&lt;123),"B",IF(AND(L491&gt;122,L491&lt;159),"C",IF(AND(L491&gt;159,L491&lt;185),"D",IF(AND(L491&gt;185,L491&lt;230),"E",IF(AND(L491&gt;230,L491&lt;350),"F",NONE))))))</f>
        <v>D</v>
      </c>
      <c r="T491" s="230">
        <f>VLOOKUP(O491,'PREMIUM TABLES'!$G$165:$H$172,2,FALSE)</f>
        <v>0.13</v>
      </c>
      <c r="U491" s="230">
        <f>VLOOKUP(P491,'PREMIUM TABLES'!$G$208:$H$209,2,FALSE)</f>
        <v>0.05</v>
      </c>
      <c r="V491" s="230">
        <f>VLOOKUP(Q491,'PREMIUM TABLES'!$G$175:$H$195,2,FALSE)</f>
        <v>0.15</v>
      </c>
      <c r="W491" s="230">
        <f>VLOOKUP(R491,'PREMIUM TABLES'!$G$214:$H$219,2,FALSE)</f>
        <v>0.05</v>
      </c>
      <c r="X491" s="230">
        <f>VLOOKUP(S491,'PREMIUM TABLES'!$F$199:$H$205,3,FALSE)</f>
        <v>2.5000000000000001E-2</v>
      </c>
      <c r="Y491" s="231">
        <f t="shared" si="74"/>
        <v>0.40499999999999997</v>
      </c>
      <c r="Z491" s="231" t="str" cm="1">
        <f t="array" ref="Z491">IF(AND(Y491&gt;0,Y491&lt;0.5),"C",IF(AND(Y491&gt;=0.5,Y491&lt;0.73),"B",IF(AND(Y491&gt;=0.73,Y491&lt;0.98),"A",NONE)))</f>
        <v>C</v>
      </c>
      <c r="AA491" s="231" t="str">
        <f>VLOOKUP(G491,'ALL (R)'!$N$5:$R$862,5,FALSE)</f>
        <v>R 6</v>
      </c>
      <c r="AB491" s="232">
        <f>VLOOKUP(AA491,FACTS!$B$2:$L$14,10,FALSE)</f>
        <v>48450.000000000007</v>
      </c>
      <c r="AC491" s="232">
        <f>VLOOKUP(AA491,FACTS!$B$2:$L$14,11,FALSE)</f>
        <v>54150.000000000007</v>
      </c>
      <c r="AD491" s="232">
        <f>VLOOKUP(AA491,FACTS!$B$2:$N$14,13,FALSE)</f>
        <v>5700</v>
      </c>
      <c r="AE491" s="232">
        <f t="shared" si="75"/>
        <v>2308.5</v>
      </c>
      <c r="AF491" s="232">
        <f t="shared" si="76"/>
        <v>50758.500000000007</v>
      </c>
      <c r="AG491" s="232">
        <f>AF491*FACTS!$T$2</f>
        <v>16750.305000000004</v>
      </c>
      <c r="AH491" s="232">
        <f>Table1[[#This Row],[UNIT (BUILDING) RATE (SEMI FINISHED)]]+4500</f>
        <v>55258.500000000007</v>
      </c>
      <c r="AI491" s="232">
        <f>Table1[[#This Row],[UNIT (BUILDING) RATE (SEMI FINISHED)]]+7500</f>
        <v>58258.500000000007</v>
      </c>
      <c r="AJ491" s="232">
        <f t="shared" si="77"/>
        <v>8121360.0000000009</v>
      </c>
      <c r="AK491" s="232">
        <f>Table1[[#This Row],[UNIT (BUILDING) RATE (BASIC FINISH)]]*Table1[[#This Row],[Unit Selling Area]]</f>
        <v>8841360.0000000019</v>
      </c>
      <c r="AL491" s="232">
        <f>Table1[[#This Row],[UNIT (BUILDING) RATE (FULLY FINISH)]]*Table1[[#This Row],[Unit Selling Area]]</f>
        <v>9321360.0000000019</v>
      </c>
      <c r="AM491" s="232">
        <f t="shared" si="78"/>
        <v>1261994.7791880004</v>
      </c>
      <c r="AN491" s="232">
        <f>(AM491+AJ491)*FACTS!$S$2</f>
        <v>797585.15623098018</v>
      </c>
      <c r="AO491" s="101">
        <f>VLOOKUP(S491,FACTS!$A$17:$C$23,3,FALSE)</f>
        <v>2</v>
      </c>
      <c r="AP491" s="232">
        <f>VLOOKUP(AA491,FACTS!$B$2:$J$14,9,FALSE)</f>
        <v>228000.00000000003</v>
      </c>
      <c r="AQ491" s="232">
        <f>Table1[[#This Row],[PARKING VALUE]]*1</f>
        <v>228000.00000000003</v>
      </c>
      <c r="AR491" s="232">
        <f t="shared" si="72"/>
        <v>9611354.7791880015</v>
      </c>
      <c r="AS491" s="440">
        <f>Table1[[#This Row],[TOTAL CARS VALUE]]+Table1[[#This Row],[UNIT (BUILDING) VALUE BASIC FINISHED]]+Table1[[#This Row],[UNIT (GARDEN) VALUE]]</f>
        <v>10331354.779188002</v>
      </c>
      <c r="AT491" s="232">
        <f>Table1[[#This Row],[TOTAL CARS VALUE]]+Table1[[#This Row],[UNIT (GARDEN) VALUE]]+Table1[[#This Row],[UNIT (BUILDING) VALUE FULLY FINISHED]]</f>
        <v>10811354.779188002</v>
      </c>
      <c r="AU491" s="233">
        <f>VLOOKUP(I491,'C PHASES'!$I$108:$J$110,2,FALSE)</f>
        <v>45839</v>
      </c>
      <c r="AV491" s="233">
        <f>VLOOKUP(AA491,'C PHASES'!$I$113:$J$125,2,FALSE)</f>
        <v>45658</v>
      </c>
    </row>
    <row r="492" spans="1:48" x14ac:dyDescent="0.25">
      <c r="A492" s="235"/>
      <c r="B492" s="227" t="str">
        <f t="shared" si="71"/>
        <v>B</v>
      </c>
      <c r="C492" s="227" t="s">
        <v>91</v>
      </c>
      <c r="D492" s="227" t="s">
        <v>1147</v>
      </c>
      <c r="E492" s="228">
        <v>0</v>
      </c>
      <c r="F492" s="101">
        <v>2</v>
      </c>
      <c r="G492" s="87" t="str">
        <f t="shared" ref="G492:G510" si="80">LEFT(C492,3)&amp;E492&amp;F492</f>
        <v>B1702</v>
      </c>
      <c r="H492" s="87" t="s">
        <v>1294</v>
      </c>
      <c r="I492" s="89" t="str">
        <f>VLOOKUP(C492,'PREMIUM TABLES'!$G$107:$H$149,2,FALSE)</f>
        <v>C1</v>
      </c>
      <c r="J492" s="87">
        <v>129.57</v>
      </c>
      <c r="K492" s="87">
        <v>140.69790646557411</v>
      </c>
      <c r="L492" s="87">
        <v>158</v>
      </c>
      <c r="M492" s="87">
        <v>84.036199999999994</v>
      </c>
      <c r="O492" s="87" t="s">
        <v>187</v>
      </c>
      <c r="P492" s="87" t="s">
        <v>226</v>
      </c>
      <c r="Q492" s="229" t="s">
        <v>209</v>
      </c>
      <c r="R492" s="87" t="str">
        <f>VLOOKUP(E492,'PREMIUM TABLES'!$F$214:$G$219,2,FALSE)</f>
        <v>GROUND</v>
      </c>
      <c r="S492" s="87" t="str" cm="1">
        <f t="array" ref="S492">IF(AND(L492&gt;0,L492&lt;90),"A",IF(AND(L492&gt;90,L492&lt;123),"B",IF(AND(L492&gt;122,L492&lt;159),"C",IF(AND(L492&gt;159,L492&lt;185),"D",IF(AND(L492&gt;185,L492&lt;230),"E",IF(AND(L492&gt;230,L492&lt;350),"F",NONE))))))</f>
        <v>C</v>
      </c>
      <c r="T492" s="230">
        <f>VLOOKUP(O492,'PREMIUM TABLES'!$G$165:$H$172,2,FALSE)</f>
        <v>0.08</v>
      </c>
      <c r="U492" s="230">
        <f>VLOOKUP(P492,'PREMIUM TABLES'!$G$208:$H$209,2,FALSE)</f>
        <v>0.05</v>
      </c>
      <c r="V492" s="230">
        <f>VLOOKUP(Q492,'PREMIUM TABLES'!$G$175:$H$195,2,FALSE)</f>
        <v>0.6</v>
      </c>
      <c r="W492" s="230">
        <f>VLOOKUP(R492,'PREMIUM TABLES'!$G$214:$H$219,2,FALSE)</f>
        <v>0.05</v>
      </c>
      <c r="X492" s="230">
        <f>VLOOKUP(S492,'PREMIUM TABLES'!$F$199:$H$205,3,FALSE)</f>
        <v>3.5000000000000003E-2</v>
      </c>
      <c r="Y492" s="231">
        <f t="shared" si="74"/>
        <v>0.81500000000000006</v>
      </c>
      <c r="Z492" s="231" t="str" cm="1">
        <f t="array" ref="Z492">IF(AND(Y492&gt;0,Y492&lt;0.5),"C",IF(AND(Y492&gt;=0.5,Y492&lt;0.73),"B",IF(AND(Y492&gt;=0.73,Y492&lt;0.98),"A",NONE)))</f>
        <v>A</v>
      </c>
      <c r="AA492" s="231" t="str">
        <f>VLOOKUP(G492,'ALL (R)'!$N$5:$R$862,5,FALSE)</f>
        <v>R 7</v>
      </c>
      <c r="AB492" s="232">
        <f>VLOOKUP(AA492,FACTS!$B$2:$L$14,10,FALSE)</f>
        <v>50150</v>
      </c>
      <c r="AC492" s="232">
        <f>VLOOKUP(AA492,FACTS!$B$2:$L$14,11,FALSE)</f>
        <v>56050</v>
      </c>
      <c r="AD492" s="232">
        <f>VLOOKUP(AA492,FACTS!$B$2:$N$14,13,FALSE)</f>
        <v>5900</v>
      </c>
      <c r="AE492" s="232">
        <f t="shared" si="75"/>
        <v>4808.5</v>
      </c>
      <c r="AF492" s="232">
        <f t="shared" si="76"/>
        <v>54958.5</v>
      </c>
      <c r="AG492" s="232">
        <f>AF492*FACTS!$T$2</f>
        <v>18136.305</v>
      </c>
      <c r="AH492" s="232">
        <f>Table1[[#This Row],[UNIT (BUILDING) RATE (SEMI FINISHED)]]+4500</f>
        <v>59458.5</v>
      </c>
      <c r="AI492" s="232">
        <f>Table1[[#This Row],[UNIT (BUILDING) RATE (SEMI FINISHED)]]+7500</f>
        <v>62458.5</v>
      </c>
      <c r="AJ492" s="232">
        <f t="shared" si="77"/>
        <v>8683443</v>
      </c>
      <c r="AK492" s="232">
        <f>Table1[[#This Row],[UNIT (BUILDING) RATE (BASIC FINISH)]]*Table1[[#This Row],[Unit Selling Area]]</f>
        <v>9394443</v>
      </c>
      <c r="AL492" s="232">
        <f>Table1[[#This Row],[UNIT (BUILDING) RATE (FULLY FINISH)]]*Table1[[#This Row],[Unit Selling Area]]</f>
        <v>9868443</v>
      </c>
      <c r="AM492" s="232">
        <f t="shared" si="78"/>
        <v>1524106.1542409998</v>
      </c>
      <c r="AN492" s="232">
        <f>(AM492+AJ492)*FACTS!$S$2</f>
        <v>867641.67811048497</v>
      </c>
      <c r="AO492" s="101">
        <f>VLOOKUP(S492,FACTS!$A$17:$C$23,3,FALSE)</f>
        <v>2</v>
      </c>
      <c r="AP492" s="232">
        <f>VLOOKUP(AA492,FACTS!$B$2:$J$14,9,FALSE)</f>
        <v>236000</v>
      </c>
      <c r="AQ492" s="232">
        <f>Table1[[#This Row],[PARKING VALUE]]*1</f>
        <v>236000</v>
      </c>
      <c r="AR492" s="232">
        <f t="shared" si="72"/>
        <v>10443549.154240999</v>
      </c>
      <c r="AS492" s="440">
        <f>Table1[[#This Row],[TOTAL CARS VALUE]]+Table1[[#This Row],[UNIT (BUILDING) VALUE BASIC FINISHED]]+Table1[[#This Row],[UNIT (GARDEN) VALUE]]</f>
        <v>11154549.154240999</v>
      </c>
      <c r="AT492" s="232">
        <f>Table1[[#This Row],[TOTAL CARS VALUE]]+Table1[[#This Row],[UNIT (GARDEN) VALUE]]+Table1[[#This Row],[UNIT (BUILDING) VALUE FULLY FINISHED]]</f>
        <v>11628549.154240999</v>
      </c>
      <c r="AU492" s="233">
        <f>VLOOKUP(I492,'C PHASES'!$I$108:$J$110,2,FALSE)</f>
        <v>45839</v>
      </c>
      <c r="AV492" s="233">
        <f>VLOOKUP(AA492,'C PHASES'!$I$113:$J$125,2,FALSE)</f>
        <v>45748</v>
      </c>
    </row>
    <row r="493" spans="1:48" x14ac:dyDescent="0.25">
      <c r="A493" s="235"/>
      <c r="B493" s="227" t="str">
        <f t="shared" si="71"/>
        <v>B</v>
      </c>
      <c r="C493" s="227" t="s">
        <v>91</v>
      </c>
      <c r="D493" s="227" t="s">
        <v>1147</v>
      </c>
      <c r="E493" s="228">
        <v>0</v>
      </c>
      <c r="F493" s="101">
        <v>3</v>
      </c>
      <c r="G493" s="87" t="str">
        <f t="shared" si="80"/>
        <v>B1703</v>
      </c>
      <c r="H493" s="87" t="s">
        <v>1294</v>
      </c>
      <c r="I493" s="89" t="str">
        <f>VLOOKUP(C493,'PREMIUM TABLES'!$G$107:$H$149,2,FALSE)</f>
        <v>C1</v>
      </c>
      <c r="J493" s="87">
        <v>125.09</v>
      </c>
      <c r="K493" s="87">
        <v>135.83314902970338</v>
      </c>
      <c r="L493" s="87">
        <v>153</v>
      </c>
      <c r="M493" s="87">
        <v>85.562899999999999</v>
      </c>
      <c r="O493" s="87" t="s">
        <v>187</v>
      </c>
      <c r="P493" s="87" t="s">
        <v>190</v>
      </c>
      <c r="Q493" s="229" t="s">
        <v>209</v>
      </c>
      <c r="R493" s="87" t="str">
        <f>VLOOKUP(E493,'PREMIUM TABLES'!$F$214:$G$219,2,FALSE)</f>
        <v>GROUND</v>
      </c>
      <c r="S493" s="87" t="str" cm="1">
        <f t="array" ref="S493">IF(AND(L493&gt;0,L493&lt;90),"A",IF(AND(L493&gt;90,L493&lt;123),"B",IF(AND(L493&gt;122,L493&lt;159),"C",IF(AND(L493&gt;159,L493&lt;185),"D",IF(AND(L493&gt;185,L493&lt;230),"E",IF(AND(L493&gt;230,L493&lt;350),"F",NONE))))))</f>
        <v>C</v>
      </c>
      <c r="T493" s="230">
        <f>VLOOKUP(O493,'PREMIUM TABLES'!$G$165:$H$172,2,FALSE)</f>
        <v>0.08</v>
      </c>
      <c r="U493" s="230">
        <f>VLOOKUP(P493,'PREMIUM TABLES'!$G$208:$H$209,2,FALSE)</f>
        <v>2.5000000000000001E-2</v>
      </c>
      <c r="V493" s="230">
        <f>VLOOKUP(Q493,'PREMIUM TABLES'!$G$175:$H$195,2,FALSE)</f>
        <v>0.6</v>
      </c>
      <c r="W493" s="230">
        <f>VLOOKUP(R493,'PREMIUM TABLES'!$G$214:$H$219,2,FALSE)</f>
        <v>0.05</v>
      </c>
      <c r="X493" s="230">
        <f>VLOOKUP(S493,'PREMIUM TABLES'!$F$199:$H$205,3,FALSE)</f>
        <v>3.5000000000000003E-2</v>
      </c>
      <c r="Y493" s="231">
        <f t="shared" si="74"/>
        <v>0.79</v>
      </c>
      <c r="Z493" s="231" t="str" cm="1">
        <f t="array" ref="Z493">IF(AND(Y493&gt;0,Y493&lt;0.5),"C",IF(AND(Y493&gt;=0.5,Y493&lt;0.73),"B",IF(AND(Y493&gt;=0.73,Y493&lt;0.98),"A",NONE)))</f>
        <v>A</v>
      </c>
      <c r="AA493" s="231" t="str">
        <f>VLOOKUP(G493,'ALL (R)'!$N$5:$R$862,5,FALSE)</f>
        <v>R 5</v>
      </c>
      <c r="AB493" s="232">
        <f>VLOOKUP(AA493,FACTS!$B$2:$L$14,10,FALSE)</f>
        <v>46750.000000000007</v>
      </c>
      <c r="AC493" s="232">
        <f>VLOOKUP(AA493,FACTS!$B$2:$L$14,11,FALSE)</f>
        <v>52250.000000000007</v>
      </c>
      <c r="AD493" s="232">
        <f>VLOOKUP(AA493,FACTS!$B$2:$N$14,13,FALSE)</f>
        <v>5500</v>
      </c>
      <c r="AE493" s="232">
        <f t="shared" si="75"/>
        <v>4345</v>
      </c>
      <c r="AF493" s="232">
        <f t="shared" si="76"/>
        <v>51095.000000000007</v>
      </c>
      <c r="AG493" s="232">
        <f>AF493*FACTS!$T$2</f>
        <v>16861.350000000002</v>
      </c>
      <c r="AH493" s="232">
        <f>Table1[[#This Row],[UNIT (BUILDING) RATE (SEMI FINISHED)]]+4500</f>
        <v>55595.000000000007</v>
      </c>
      <c r="AI493" s="232">
        <f>Table1[[#This Row],[UNIT (BUILDING) RATE (SEMI FINISHED)]]+7500</f>
        <v>58595.000000000007</v>
      </c>
      <c r="AJ493" s="232">
        <f t="shared" si="77"/>
        <v>7817535.0000000009</v>
      </c>
      <c r="AK493" s="232">
        <f>Table1[[#This Row],[UNIT (BUILDING) RATE (BASIC FINISH)]]*Table1[[#This Row],[Unit Selling Area]]</f>
        <v>8506035.0000000019</v>
      </c>
      <c r="AL493" s="232">
        <f>Table1[[#This Row],[UNIT (BUILDING) RATE (FULLY FINISH)]]*Table1[[#This Row],[Unit Selling Area]]</f>
        <v>8965035.0000000019</v>
      </c>
      <c r="AM493" s="232">
        <f t="shared" si="78"/>
        <v>1442706.0039150002</v>
      </c>
      <c r="AN493" s="232">
        <f>(AM493+AJ493)*FACTS!$S$2</f>
        <v>787120.48533277516</v>
      </c>
      <c r="AO493" s="101">
        <f>VLOOKUP(S493,FACTS!$A$17:$C$23,3,FALSE)</f>
        <v>2</v>
      </c>
      <c r="AP493" s="232">
        <f>VLOOKUP(AA493,FACTS!$B$2:$J$14,9,FALSE)</f>
        <v>220000.00000000003</v>
      </c>
      <c r="AQ493" s="232">
        <f>Table1[[#This Row],[PARKING VALUE]]*1</f>
        <v>220000.00000000003</v>
      </c>
      <c r="AR493" s="232">
        <f t="shared" si="72"/>
        <v>9480241.0039150007</v>
      </c>
      <c r="AS493" s="440">
        <f>Table1[[#This Row],[TOTAL CARS VALUE]]+Table1[[#This Row],[UNIT (BUILDING) VALUE BASIC FINISHED]]+Table1[[#This Row],[UNIT (GARDEN) VALUE]]</f>
        <v>10168741.003915003</v>
      </c>
      <c r="AT493" s="232">
        <f>Table1[[#This Row],[TOTAL CARS VALUE]]+Table1[[#This Row],[UNIT (GARDEN) VALUE]]+Table1[[#This Row],[UNIT (BUILDING) VALUE FULLY FINISHED]]</f>
        <v>10627741.003915003</v>
      </c>
      <c r="AU493" s="233">
        <f>VLOOKUP(I493,'C PHASES'!$I$108:$J$110,2,FALSE)</f>
        <v>45839</v>
      </c>
      <c r="AV493" s="233">
        <f>VLOOKUP(AA493,'C PHASES'!$I$113:$J$125,2,FALSE)</f>
        <v>45566</v>
      </c>
    </row>
    <row r="494" spans="1:48" x14ac:dyDescent="0.25">
      <c r="A494" s="235"/>
      <c r="B494" s="227" t="str">
        <f t="shared" si="71"/>
        <v>B</v>
      </c>
      <c r="C494" s="227" t="s">
        <v>91</v>
      </c>
      <c r="D494" s="227" t="s">
        <v>1147</v>
      </c>
      <c r="E494" s="228">
        <v>0</v>
      </c>
      <c r="F494" s="101">
        <v>4</v>
      </c>
      <c r="G494" s="87" t="str">
        <f t="shared" si="80"/>
        <v>B1704</v>
      </c>
      <c r="H494" s="87" t="s">
        <v>1293</v>
      </c>
      <c r="I494" s="89" t="str">
        <f>VLOOKUP(C494,'PREMIUM TABLES'!$G$107:$H$149,2,FALSE)</f>
        <v>C1</v>
      </c>
      <c r="J494" s="87">
        <v>87.23</v>
      </c>
      <c r="K494" s="87">
        <v>94.721605163170736</v>
      </c>
      <c r="L494" s="87">
        <v>106</v>
      </c>
      <c r="M494" s="87">
        <v>63.087899999999998</v>
      </c>
      <c r="O494" s="87" t="s">
        <v>180</v>
      </c>
      <c r="P494" s="87" t="s">
        <v>190</v>
      </c>
      <c r="Q494" s="229" t="s">
        <v>198</v>
      </c>
      <c r="R494" s="87" t="str">
        <f>VLOOKUP(E494,'PREMIUM TABLES'!$F$214:$G$219,2,FALSE)</f>
        <v>GROUND</v>
      </c>
      <c r="S494" s="87" t="str" cm="1">
        <f t="array" ref="S494">IF(AND(L494&gt;0,L494&lt;90),"A",IF(AND(L494&gt;90,L494&lt;123),"B",IF(AND(L494&gt;122,L494&lt;159),"C",IF(AND(L494&gt;159,L494&lt;185),"D",IF(AND(L494&gt;185,L494&lt;230),"E",IF(AND(L494&gt;230,L494&lt;350),"F",NONE))))))</f>
        <v>B</v>
      </c>
      <c r="T494" s="230">
        <f>VLOOKUP(O494,'PREMIUM TABLES'!$G$165:$H$172,2,FALSE)</f>
        <v>0.13</v>
      </c>
      <c r="U494" s="230">
        <f>VLOOKUP(P494,'PREMIUM TABLES'!$G$208:$H$209,2,FALSE)</f>
        <v>2.5000000000000001E-2</v>
      </c>
      <c r="V494" s="230">
        <f>VLOOKUP(Q494,'PREMIUM TABLES'!$G$175:$H$195,2,FALSE)</f>
        <v>0.15</v>
      </c>
      <c r="W494" s="230">
        <f>VLOOKUP(R494,'PREMIUM TABLES'!$G$214:$H$219,2,FALSE)</f>
        <v>0.05</v>
      </c>
      <c r="X494" s="230">
        <f>VLOOKUP(S494,'PREMIUM TABLES'!$F$199:$H$205,3,FALSE)</f>
        <v>0.04</v>
      </c>
      <c r="Y494" s="231">
        <f t="shared" si="74"/>
        <v>0.39499999999999996</v>
      </c>
      <c r="Z494" s="231" t="str" cm="1">
        <f t="array" ref="Z494">IF(AND(Y494&gt;0,Y494&lt;0.5),"C",IF(AND(Y494&gt;=0.5,Y494&lt;0.73),"B",IF(AND(Y494&gt;=0.73,Y494&lt;0.98),"A",NONE)))</f>
        <v>C</v>
      </c>
      <c r="AA494" s="231" t="str">
        <f>VLOOKUP(G494,'ALL (R)'!$N$5:$R$862,5,FALSE)</f>
        <v>R 4</v>
      </c>
      <c r="AB494" s="232">
        <f>VLOOKUP(AA494,FACTS!$B$2:$L$14,10,FALSE)</f>
        <v>45687.5</v>
      </c>
      <c r="AC494" s="232">
        <f>VLOOKUP(AA494,FACTS!$B$2:$L$14,11,FALSE)</f>
        <v>51062.5</v>
      </c>
      <c r="AD494" s="232">
        <f>VLOOKUP(AA494,FACTS!$B$2:$N$14,13,FALSE)</f>
        <v>5375</v>
      </c>
      <c r="AE494" s="232">
        <f t="shared" si="75"/>
        <v>2123.125</v>
      </c>
      <c r="AF494" s="232">
        <f t="shared" si="76"/>
        <v>47810.625</v>
      </c>
      <c r="AG494" s="232">
        <f>AF494*FACTS!$T$2</f>
        <v>15777.50625</v>
      </c>
      <c r="AH494" s="232">
        <f>Table1[[#This Row],[UNIT (BUILDING) RATE (SEMI FINISHED)]]+4500</f>
        <v>52310.625</v>
      </c>
      <c r="AI494" s="232">
        <f>Table1[[#This Row],[UNIT (BUILDING) RATE (SEMI FINISHED)]]+7500</f>
        <v>55310.625</v>
      </c>
      <c r="AJ494" s="232">
        <f t="shared" si="77"/>
        <v>5067926.25</v>
      </c>
      <c r="AK494" s="232">
        <f>Table1[[#This Row],[UNIT (BUILDING) RATE (BASIC FINISH)]]*Table1[[#This Row],[Unit Selling Area]]</f>
        <v>5544926.25</v>
      </c>
      <c r="AL494" s="232">
        <f>Table1[[#This Row],[UNIT (BUILDING) RATE (FULLY FINISH)]]*Table1[[#This Row],[Unit Selling Area]]</f>
        <v>5862926.25</v>
      </c>
      <c r="AM494" s="232">
        <f t="shared" si="78"/>
        <v>995369.736549375</v>
      </c>
      <c r="AN494" s="232">
        <f>(AM494+AJ494)*FACTS!$S$2</f>
        <v>515380.15885669686</v>
      </c>
      <c r="AO494" s="101">
        <f>VLOOKUP(S494,FACTS!$A$17:$C$23,3,FALSE)</f>
        <v>1</v>
      </c>
      <c r="AP494" s="232">
        <f>VLOOKUP(AA494,FACTS!$B$2:$J$14,9,FALSE)</f>
        <v>215000</v>
      </c>
      <c r="AQ494" s="232">
        <f>Table1[[#This Row],[PARKING VALUE]]*1</f>
        <v>215000</v>
      </c>
      <c r="AR494" s="232">
        <f t="shared" si="72"/>
        <v>6278295.9865493756</v>
      </c>
      <c r="AS494" s="440">
        <f>Table1[[#This Row],[TOTAL CARS VALUE]]+Table1[[#This Row],[UNIT (BUILDING) VALUE BASIC FINISHED]]+Table1[[#This Row],[UNIT (GARDEN) VALUE]]</f>
        <v>6755295.9865493746</v>
      </c>
      <c r="AT494" s="232">
        <f>Table1[[#This Row],[TOTAL CARS VALUE]]+Table1[[#This Row],[UNIT (GARDEN) VALUE]]+Table1[[#This Row],[UNIT (BUILDING) VALUE FULLY FINISHED]]</f>
        <v>7073295.9865493756</v>
      </c>
      <c r="AU494" s="233">
        <f>VLOOKUP(I494,'C PHASES'!$I$108:$J$110,2,FALSE)</f>
        <v>45839</v>
      </c>
      <c r="AV494" s="233">
        <f>VLOOKUP(AA494,'C PHASES'!$I$113:$J$125,2,FALSE)</f>
        <v>45474</v>
      </c>
    </row>
    <row r="495" spans="1:48" x14ac:dyDescent="0.25">
      <c r="A495" s="235"/>
      <c r="B495" s="227" t="str">
        <f t="shared" si="71"/>
        <v>B</v>
      </c>
      <c r="C495" s="227" t="s">
        <v>91</v>
      </c>
      <c r="D495" s="227" t="s">
        <v>1147</v>
      </c>
      <c r="E495" s="228">
        <v>1</v>
      </c>
      <c r="F495" s="101">
        <v>1</v>
      </c>
      <c r="G495" s="87" t="str">
        <f t="shared" si="80"/>
        <v>B1711</v>
      </c>
      <c r="H495" s="87" t="s">
        <v>1294</v>
      </c>
      <c r="I495" s="89" t="str">
        <f>VLOOKUP(C495,'PREMIUM TABLES'!$G$107:$H$149,2,FALSE)</f>
        <v>C1</v>
      </c>
      <c r="J495" s="87">
        <v>129.04</v>
      </c>
      <c r="K495" s="87">
        <v>140.1223882867769</v>
      </c>
      <c r="L495" s="87">
        <v>157</v>
      </c>
      <c r="O495" s="87" t="s">
        <v>180</v>
      </c>
      <c r="P495" s="87" t="s">
        <v>226</v>
      </c>
      <c r="Q495" s="229" t="s">
        <v>198</v>
      </c>
      <c r="R495" s="87" t="str">
        <f>VLOOKUP(E495,'PREMIUM TABLES'!$F$214:$G$219,2,FALSE)</f>
        <v>FIRST</v>
      </c>
      <c r="S495" s="87" t="str" cm="1">
        <f t="array" ref="S495">IF(AND(L495&gt;0,L495&lt;90),"A",IF(AND(L495&gt;90,L495&lt;123),"B",IF(AND(L495&gt;122,L495&lt;159),"C",IF(AND(L495&gt;159,L495&lt;185),"D",IF(AND(L495&gt;185,L495&lt;230),"E",IF(AND(L495&gt;230,L495&lt;350),"F",NONE))))))</f>
        <v>C</v>
      </c>
      <c r="T495" s="230">
        <f>VLOOKUP(O495,'PREMIUM TABLES'!$G$165:$H$172,2,FALSE)</f>
        <v>0.13</v>
      </c>
      <c r="U495" s="230">
        <f>VLOOKUP(P495,'PREMIUM TABLES'!$G$208:$H$209,2,FALSE)</f>
        <v>0.05</v>
      </c>
      <c r="V495" s="230">
        <f>VLOOKUP(Q495,'PREMIUM TABLES'!$G$175:$H$195,2,FALSE)</f>
        <v>0.15</v>
      </c>
      <c r="W495" s="230">
        <f>VLOOKUP(R495,'PREMIUM TABLES'!$G$214:$H$219,2,FALSE)</f>
        <v>7.0000000000000007E-2</v>
      </c>
      <c r="X495" s="230">
        <f>VLOOKUP(S495,'PREMIUM TABLES'!$F$199:$H$205,3,FALSE)</f>
        <v>3.5000000000000003E-2</v>
      </c>
      <c r="Y495" s="231">
        <f t="shared" si="74"/>
        <v>0.43499999999999994</v>
      </c>
      <c r="Z495" s="231" t="str" cm="1">
        <f t="array" ref="Z495">IF(AND(Y495&gt;0,Y495&lt;0.5),"C",IF(AND(Y495&gt;=0.5,Y495&lt;0.73),"B",IF(AND(Y495&gt;=0.73,Y495&lt;0.98),"A",NONE)))</f>
        <v>C</v>
      </c>
      <c r="AA495" s="231" t="str">
        <f>VLOOKUP(G495,'ALL (R)'!$N$5:$R$862,5,FALSE)</f>
        <v>R 8</v>
      </c>
      <c r="AB495" s="232">
        <f>VLOOKUP(AA495,FACTS!$B$2:$L$14,10,FALSE)</f>
        <v>51850</v>
      </c>
      <c r="AC495" s="232">
        <f>VLOOKUP(AA495,FACTS!$B$2:$L$14,11,FALSE)</f>
        <v>57950</v>
      </c>
      <c r="AD495" s="232">
        <f>VLOOKUP(AA495,FACTS!$B$2:$N$14,13,FALSE)</f>
        <v>6100</v>
      </c>
      <c r="AE495" s="232">
        <f t="shared" si="75"/>
        <v>2653.4999999999995</v>
      </c>
      <c r="AF495" s="232">
        <f t="shared" si="76"/>
        <v>54503.5</v>
      </c>
      <c r="AG495" s="232">
        <f>AF495*FACTS!$T$2</f>
        <v>17986.155000000002</v>
      </c>
      <c r="AH495" s="232">
        <f>Table1[[#This Row],[UNIT (BUILDING) RATE (SEMI FINISHED)]]+4500</f>
        <v>59003.5</v>
      </c>
      <c r="AI495" s="232">
        <f>Table1[[#This Row],[UNIT (BUILDING) RATE (SEMI FINISHED)]]+7500</f>
        <v>62003.5</v>
      </c>
      <c r="AJ495" s="232">
        <f t="shared" si="77"/>
        <v>8557049.5</v>
      </c>
      <c r="AK495" s="232">
        <f>Table1[[#This Row],[UNIT (BUILDING) RATE (BASIC FINISH)]]*Table1[[#This Row],[Unit Selling Area]]</f>
        <v>9263549.5</v>
      </c>
      <c r="AL495" s="232">
        <f>Table1[[#This Row],[UNIT (BUILDING) RATE (FULLY FINISH)]]*Table1[[#This Row],[Unit Selling Area]]</f>
        <v>9734549.5</v>
      </c>
      <c r="AM495" s="232">
        <f t="shared" si="78"/>
        <v>0</v>
      </c>
      <c r="AN495" s="232">
        <f>(AM495+AJ495)*FACTS!$S$2</f>
        <v>727349.20750000002</v>
      </c>
      <c r="AO495" s="101">
        <f>VLOOKUP(S495,FACTS!$A$17:$C$23,3,FALSE)</f>
        <v>2</v>
      </c>
      <c r="AP495" s="232">
        <f>VLOOKUP(AA495,FACTS!$B$2:$J$14,9,FALSE)</f>
        <v>244000</v>
      </c>
      <c r="AQ495" s="232">
        <f>Table1[[#This Row],[PARKING VALUE]]*1</f>
        <v>244000</v>
      </c>
      <c r="AR495" s="232">
        <f t="shared" si="72"/>
        <v>8801049.5</v>
      </c>
      <c r="AS495" s="440">
        <f>Table1[[#This Row],[TOTAL CARS VALUE]]+Table1[[#This Row],[UNIT (BUILDING) VALUE BASIC FINISHED]]+Table1[[#This Row],[UNIT (GARDEN) VALUE]]</f>
        <v>9507549.5</v>
      </c>
      <c r="AT495" s="232">
        <f>Table1[[#This Row],[TOTAL CARS VALUE]]+Table1[[#This Row],[UNIT (GARDEN) VALUE]]+Table1[[#This Row],[UNIT (BUILDING) VALUE FULLY FINISHED]]</f>
        <v>9978549.5</v>
      </c>
      <c r="AU495" s="233">
        <f>VLOOKUP(I495,'C PHASES'!$I$108:$J$110,2,FALSE)</f>
        <v>45839</v>
      </c>
      <c r="AV495" s="233">
        <f>VLOOKUP(AA495,'C PHASES'!$I$113:$J$125,2,FALSE)</f>
        <v>45839</v>
      </c>
    </row>
    <row r="496" spans="1:48" x14ac:dyDescent="0.25">
      <c r="A496" s="235"/>
      <c r="B496" s="227" t="str">
        <f t="shared" si="71"/>
        <v>B</v>
      </c>
      <c r="C496" s="227" t="s">
        <v>91</v>
      </c>
      <c r="D496" s="227" t="s">
        <v>1147</v>
      </c>
      <c r="E496" s="228">
        <v>1</v>
      </c>
      <c r="F496" s="101">
        <v>2</v>
      </c>
      <c r="G496" s="87" t="str">
        <f t="shared" si="80"/>
        <v>B1712</v>
      </c>
      <c r="H496" s="87" t="s">
        <v>1294</v>
      </c>
      <c r="I496" s="89" t="str">
        <f>VLOOKUP(C496,'PREMIUM TABLES'!$G$107:$H$149,2,FALSE)</f>
        <v>C1</v>
      </c>
      <c r="J496" s="87">
        <v>131.43</v>
      </c>
      <c r="K496" s="87">
        <v>142.71764950814546</v>
      </c>
      <c r="L496" s="87">
        <v>160</v>
      </c>
      <c r="O496" s="87" t="s">
        <v>187</v>
      </c>
      <c r="P496" s="87" t="s">
        <v>226</v>
      </c>
      <c r="Q496" s="229" t="s">
        <v>209</v>
      </c>
      <c r="R496" s="87" t="str">
        <f>VLOOKUP(E496,'PREMIUM TABLES'!$F$214:$G$219,2,FALSE)</f>
        <v>FIRST</v>
      </c>
      <c r="S496" s="87" t="str" cm="1">
        <f t="array" ref="S496">IF(AND(L496&gt;0,L496&lt;90),"A",IF(AND(L496&gt;90,L496&lt;123),"B",IF(AND(L496&gt;122,L496&lt;159),"C",IF(AND(L496&gt;159,L496&lt;185),"D",IF(AND(L496&gt;185,L496&lt;230),"E",IF(AND(L496&gt;230,L496&lt;350),"F",NONE))))))</f>
        <v>D</v>
      </c>
      <c r="T496" s="230">
        <f>VLOOKUP(O496,'PREMIUM TABLES'!$G$165:$H$172,2,FALSE)</f>
        <v>0.08</v>
      </c>
      <c r="U496" s="230">
        <f>VLOOKUP(P496,'PREMIUM TABLES'!$G$208:$H$209,2,FALSE)</f>
        <v>0.05</v>
      </c>
      <c r="V496" s="230">
        <f>VLOOKUP(Q496,'PREMIUM TABLES'!$G$175:$H$195,2,FALSE)</f>
        <v>0.6</v>
      </c>
      <c r="W496" s="230">
        <f>VLOOKUP(R496,'PREMIUM TABLES'!$G$214:$H$219,2,FALSE)</f>
        <v>7.0000000000000007E-2</v>
      </c>
      <c r="X496" s="230">
        <f>VLOOKUP(S496,'PREMIUM TABLES'!$F$199:$H$205,3,FALSE)</f>
        <v>2.5000000000000001E-2</v>
      </c>
      <c r="Y496" s="231">
        <f t="shared" si="74"/>
        <v>0.82500000000000007</v>
      </c>
      <c r="Z496" s="231" t="str" cm="1">
        <f t="array" ref="Z496">IF(AND(Y496&gt;0,Y496&lt;0.5),"C",IF(AND(Y496&gt;=0.5,Y496&lt;0.73),"B",IF(AND(Y496&gt;=0.73,Y496&lt;0.98),"A",NONE)))</f>
        <v>A</v>
      </c>
      <c r="AA496" s="231" t="str">
        <f>VLOOKUP(G496,'ALL (R)'!$N$5:$R$862,5,FALSE)</f>
        <v>R 7</v>
      </c>
      <c r="AB496" s="232">
        <f>VLOOKUP(AA496,FACTS!$B$2:$L$14,10,FALSE)</f>
        <v>50150</v>
      </c>
      <c r="AC496" s="232">
        <f>VLOOKUP(AA496,FACTS!$B$2:$L$14,11,FALSE)</f>
        <v>56050</v>
      </c>
      <c r="AD496" s="232">
        <f>VLOOKUP(AA496,FACTS!$B$2:$N$14,13,FALSE)</f>
        <v>5900</v>
      </c>
      <c r="AE496" s="232">
        <f t="shared" si="75"/>
        <v>4867.5</v>
      </c>
      <c r="AF496" s="232">
        <f t="shared" si="76"/>
        <v>55017.5</v>
      </c>
      <c r="AG496" s="232">
        <f>AF496*FACTS!$T$2</f>
        <v>18155.775000000001</v>
      </c>
      <c r="AH496" s="232">
        <f>Table1[[#This Row],[UNIT (BUILDING) RATE (SEMI FINISHED)]]+4500</f>
        <v>59517.5</v>
      </c>
      <c r="AI496" s="232">
        <f>Table1[[#This Row],[UNIT (BUILDING) RATE (SEMI FINISHED)]]+7500</f>
        <v>62517.5</v>
      </c>
      <c r="AJ496" s="232">
        <f t="shared" si="77"/>
        <v>8802800</v>
      </c>
      <c r="AK496" s="232">
        <f>Table1[[#This Row],[UNIT (BUILDING) RATE (BASIC FINISH)]]*Table1[[#This Row],[Unit Selling Area]]</f>
        <v>9522800</v>
      </c>
      <c r="AL496" s="232">
        <f>Table1[[#This Row],[UNIT (BUILDING) RATE (FULLY FINISH)]]*Table1[[#This Row],[Unit Selling Area]]</f>
        <v>10002800</v>
      </c>
      <c r="AM496" s="232">
        <f t="shared" si="78"/>
        <v>0</v>
      </c>
      <c r="AN496" s="232">
        <f>(AM496+AJ496)*FACTS!$S$2</f>
        <v>748238</v>
      </c>
      <c r="AO496" s="101">
        <f>VLOOKUP(S496,FACTS!$A$17:$C$23,3,FALSE)</f>
        <v>2</v>
      </c>
      <c r="AP496" s="232">
        <f>VLOOKUP(AA496,FACTS!$B$2:$J$14,9,FALSE)</f>
        <v>236000</v>
      </c>
      <c r="AQ496" s="232">
        <f>Table1[[#This Row],[PARKING VALUE]]*1</f>
        <v>236000</v>
      </c>
      <c r="AR496" s="232">
        <f t="shared" si="72"/>
        <v>9038800</v>
      </c>
      <c r="AS496" s="440">
        <f>Table1[[#This Row],[TOTAL CARS VALUE]]+Table1[[#This Row],[UNIT (BUILDING) VALUE BASIC FINISHED]]+Table1[[#This Row],[UNIT (GARDEN) VALUE]]</f>
        <v>9758800</v>
      </c>
      <c r="AT496" s="232">
        <f>Table1[[#This Row],[TOTAL CARS VALUE]]+Table1[[#This Row],[UNIT (GARDEN) VALUE]]+Table1[[#This Row],[UNIT (BUILDING) VALUE FULLY FINISHED]]</f>
        <v>10238800</v>
      </c>
      <c r="AU496" s="233">
        <f>VLOOKUP(I496,'C PHASES'!$I$108:$J$110,2,FALSE)</f>
        <v>45839</v>
      </c>
      <c r="AV496" s="233">
        <f>VLOOKUP(AA496,'C PHASES'!$I$113:$J$125,2,FALSE)</f>
        <v>45748</v>
      </c>
    </row>
    <row r="497" spans="1:48" x14ac:dyDescent="0.25">
      <c r="A497" s="235"/>
      <c r="B497" s="227" t="str">
        <f t="shared" si="71"/>
        <v>B</v>
      </c>
      <c r="C497" s="227" t="s">
        <v>91</v>
      </c>
      <c r="D497" s="227" t="s">
        <v>1147</v>
      </c>
      <c r="E497" s="228">
        <v>1</v>
      </c>
      <c r="F497" s="101">
        <v>3</v>
      </c>
      <c r="G497" s="87" t="str">
        <f t="shared" si="80"/>
        <v>B1713</v>
      </c>
      <c r="H497" s="87" t="s">
        <v>1294</v>
      </c>
      <c r="I497" s="89" t="str">
        <f>VLOOKUP(C497,'PREMIUM TABLES'!$G$107:$H$149,2,FALSE)</f>
        <v>C1</v>
      </c>
      <c r="J497" s="87">
        <v>127.14</v>
      </c>
      <c r="K497" s="87">
        <v>138.05920990995673</v>
      </c>
      <c r="L497" s="87">
        <v>155</v>
      </c>
      <c r="O497" s="87" t="s">
        <v>187</v>
      </c>
      <c r="P497" s="87" t="s">
        <v>190</v>
      </c>
      <c r="Q497" s="229" t="s">
        <v>209</v>
      </c>
      <c r="R497" s="87" t="str">
        <f>VLOOKUP(E497,'PREMIUM TABLES'!$F$214:$G$219,2,FALSE)</f>
        <v>FIRST</v>
      </c>
      <c r="S497" s="87" t="str" cm="1">
        <f t="array" ref="S497">IF(AND(L497&gt;0,L497&lt;90),"A",IF(AND(L497&gt;90,L497&lt;123),"B",IF(AND(L497&gt;122,L497&lt;159),"C",IF(AND(L497&gt;159,L497&lt;185),"D",IF(AND(L497&gt;185,L497&lt;230),"E",IF(AND(L497&gt;230,L497&lt;350),"F",NONE))))))</f>
        <v>C</v>
      </c>
      <c r="T497" s="230">
        <f>VLOOKUP(O497,'PREMIUM TABLES'!$G$165:$H$172,2,FALSE)</f>
        <v>0.08</v>
      </c>
      <c r="U497" s="230">
        <f>VLOOKUP(P497,'PREMIUM TABLES'!$G$208:$H$209,2,FALSE)</f>
        <v>2.5000000000000001E-2</v>
      </c>
      <c r="V497" s="230">
        <f>VLOOKUP(Q497,'PREMIUM TABLES'!$G$175:$H$195,2,FALSE)</f>
        <v>0.6</v>
      </c>
      <c r="W497" s="230">
        <f>VLOOKUP(R497,'PREMIUM TABLES'!$G$214:$H$219,2,FALSE)</f>
        <v>7.0000000000000007E-2</v>
      </c>
      <c r="X497" s="230">
        <f>VLOOKUP(S497,'PREMIUM TABLES'!$F$199:$H$205,3,FALSE)</f>
        <v>3.5000000000000003E-2</v>
      </c>
      <c r="Y497" s="231">
        <f t="shared" si="74"/>
        <v>0.80999999999999994</v>
      </c>
      <c r="Z497" s="231" t="str" cm="1">
        <f t="array" ref="Z497">IF(AND(Y497&gt;0,Y497&lt;0.5),"C",IF(AND(Y497&gt;=0.5,Y497&lt;0.73),"B",IF(AND(Y497&gt;=0.73,Y497&lt;0.98),"A",NONE)))</f>
        <v>A</v>
      </c>
      <c r="AA497" s="231" t="str">
        <f>VLOOKUP(G497,'ALL (R)'!$N$5:$R$862,5,FALSE)</f>
        <v>R 7</v>
      </c>
      <c r="AB497" s="232">
        <f>VLOOKUP(AA497,FACTS!$B$2:$L$14,10,FALSE)</f>
        <v>50150</v>
      </c>
      <c r="AC497" s="232">
        <f>VLOOKUP(AA497,FACTS!$B$2:$L$14,11,FALSE)</f>
        <v>56050</v>
      </c>
      <c r="AD497" s="232">
        <f>VLOOKUP(AA497,FACTS!$B$2:$N$14,13,FALSE)</f>
        <v>5900</v>
      </c>
      <c r="AE497" s="232">
        <f t="shared" si="75"/>
        <v>4779</v>
      </c>
      <c r="AF497" s="232">
        <f t="shared" si="76"/>
        <v>54929</v>
      </c>
      <c r="AG497" s="232">
        <f>AF497*FACTS!$T$2</f>
        <v>18126.57</v>
      </c>
      <c r="AH497" s="232">
        <f>Table1[[#This Row],[UNIT (BUILDING) RATE (SEMI FINISHED)]]+4500</f>
        <v>59429</v>
      </c>
      <c r="AI497" s="232">
        <f>Table1[[#This Row],[UNIT (BUILDING) RATE (SEMI FINISHED)]]+7500</f>
        <v>62429</v>
      </c>
      <c r="AJ497" s="232">
        <f t="shared" si="77"/>
        <v>8513995</v>
      </c>
      <c r="AK497" s="232">
        <f>Table1[[#This Row],[UNIT (BUILDING) RATE (BASIC FINISH)]]*Table1[[#This Row],[Unit Selling Area]]</f>
        <v>9211495</v>
      </c>
      <c r="AL497" s="232">
        <f>Table1[[#This Row],[UNIT (BUILDING) RATE (FULLY FINISH)]]*Table1[[#This Row],[Unit Selling Area]]</f>
        <v>9676495</v>
      </c>
      <c r="AM497" s="232">
        <f t="shared" si="78"/>
        <v>0</v>
      </c>
      <c r="AN497" s="232">
        <f>(AM497+AJ497)*FACTS!$S$2</f>
        <v>723689.57500000007</v>
      </c>
      <c r="AO497" s="101">
        <f>VLOOKUP(S497,FACTS!$A$17:$C$23,3,FALSE)</f>
        <v>2</v>
      </c>
      <c r="AP497" s="232">
        <f>VLOOKUP(AA497,FACTS!$B$2:$J$14,9,FALSE)</f>
        <v>236000</v>
      </c>
      <c r="AQ497" s="232">
        <f>Table1[[#This Row],[PARKING VALUE]]*1</f>
        <v>236000</v>
      </c>
      <c r="AR497" s="232">
        <f t="shared" si="72"/>
        <v>8749995</v>
      </c>
      <c r="AS497" s="440">
        <f>Table1[[#This Row],[TOTAL CARS VALUE]]+Table1[[#This Row],[UNIT (BUILDING) VALUE BASIC FINISHED]]+Table1[[#This Row],[UNIT (GARDEN) VALUE]]</f>
        <v>9447495</v>
      </c>
      <c r="AT497" s="232">
        <f>Table1[[#This Row],[TOTAL CARS VALUE]]+Table1[[#This Row],[UNIT (GARDEN) VALUE]]+Table1[[#This Row],[UNIT (BUILDING) VALUE FULLY FINISHED]]</f>
        <v>9912495</v>
      </c>
      <c r="AU497" s="233">
        <f>VLOOKUP(I497,'C PHASES'!$I$108:$J$110,2,FALSE)</f>
        <v>45839</v>
      </c>
      <c r="AV497" s="233">
        <f>VLOOKUP(AA497,'C PHASES'!$I$113:$J$125,2,FALSE)</f>
        <v>45748</v>
      </c>
    </row>
    <row r="498" spans="1:48" x14ac:dyDescent="0.25">
      <c r="A498" s="235"/>
      <c r="B498" s="227" t="str">
        <f t="shared" si="71"/>
        <v>B</v>
      </c>
      <c r="C498" s="227" t="s">
        <v>91</v>
      </c>
      <c r="D498" s="227" t="s">
        <v>1147</v>
      </c>
      <c r="E498" s="228">
        <v>1</v>
      </c>
      <c r="F498" s="101">
        <v>4</v>
      </c>
      <c r="G498" s="87" t="str">
        <f t="shared" si="80"/>
        <v>B1714</v>
      </c>
      <c r="H498" s="87" t="s">
        <v>1293</v>
      </c>
      <c r="I498" s="89" t="str">
        <f>VLOOKUP(C498,'PREMIUM TABLES'!$G$107:$H$149,2,FALSE)</f>
        <v>C1</v>
      </c>
      <c r="J498" s="87">
        <v>88.87</v>
      </c>
      <c r="K498" s="87">
        <v>96.502453867373418</v>
      </c>
      <c r="L498" s="87">
        <v>108</v>
      </c>
      <c r="O498" s="87" t="s">
        <v>180</v>
      </c>
      <c r="P498" s="87" t="s">
        <v>190</v>
      </c>
      <c r="Q498" s="229" t="s">
        <v>198</v>
      </c>
      <c r="R498" s="87" t="str">
        <f>VLOOKUP(E498,'PREMIUM TABLES'!$F$214:$G$219,2,FALSE)</f>
        <v>FIRST</v>
      </c>
      <c r="S498" s="87" t="str" cm="1">
        <f t="array" ref="S498">IF(AND(L498&gt;0,L498&lt;90),"A",IF(AND(L498&gt;90,L498&lt;123),"B",IF(AND(L498&gt;122,L498&lt;159),"C",IF(AND(L498&gt;159,L498&lt;185),"D",IF(AND(L498&gt;185,L498&lt;230),"E",IF(AND(L498&gt;230,L498&lt;350),"F",NONE))))))</f>
        <v>B</v>
      </c>
      <c r="T498" s="230">
        <f>VLOOKUP(O498,'PREMIUM TABLES'!$G$165:$H$172,2,FALSE)</f>
        <v>0.13</v>
      </c>
      <c r="U498" s="230">
        <f>VLOOKUP(P498,'PREMIUM TABLES'!$G$208:$H$209,2,FALSE)</f>
        <v>2.5000000000000001E-2</v>
      </c>
      <c r="V498" s="230">
        <f>VLOOKUP(Q498,'PREMIUM TABLES'!$G$175:$H$195,2,FALSE)</f>
        <v>0.15</v>
      </c>
      <c r="W498" s="230">
        <f>VLOOKUP(R498,'PREMIUM TABLES'!$G$214:$H$219,2,FALSE)</f>
        <v>7.0000000000000007E-2</v>
      </c>
      <c r="X498" s="230">
        <f>VLOOKUP(S498,'PREMIUM TABLES'!$F$199:$H$205,3,FALSE)</f>
        <v>0.04</v>
      </c>
      <c r="Y498" s="231">
        <f t="shared" si="74"/>
        <v>0.41499999999999998</v>
      </c>
      <c r="Z498" s="231" t="str" cm="1">
        <f t="array" ref="Z498">IF(AND(Y498&gt;0,Y498&lt;0.5),"C",IF(AND(Y498&gt;=0.5,Y498&lt;0.73),"B",IF(AND(Y498&gt;=0.73,Y498&lt;0.98),"A",NONE)))</f>
        <v>C</v>
      </c>
      <c r="AA498" s="231" t="str">
        <f>VLOOKUP(G498,'ALL (R)'!$N$5:$R$862,5,FALSE)</f>
        <v>R 7</v>
      </c>
      <c r="AB498" s="232">
        <f>VLOOKUP(AA498,FACTS!$B$2:$L$14,10,FALSE)</f>
        <v>50150</v>
      </c>
      <c r="AC498" s="232">
        <f>VLOOKUP(AA498,FACTS!$B$2:$L$14,11,FALSE)</f>
        <v>56050</v>
      </c>
      <c r="AD498" s="232">
        <f>VLOOKUP(AA498,FACTS!$B$2:$N$14,13,FALSE)</f>
        <v>5900</v>
      </c>
      <c r="AE498" s="232">
        <f t="shared" si="75"/>
        <v>2448.5</v>
      </c>
      <c r="AF498" s="232">
        <f t="shared" si="76"/>
        <v>52598.5</v>
      </c>
      <c r="AG498" s="232">
        <f>AF498*FACTS!$T$2</f>
        <v>17357.505000000001</v>
      </c>
      <c r="AH498" s="232">
        <f>Table1[[#This Row],[UNIT (BUILDING) RATE (SEMI FINISHED)]]+4500</f>
        <v>57098.5</v>
      </c>
      <c r="AI498" s="232">
        <f>Table1[[#This Row],[UNIT (BUILDING) RATE (SEMI FINISHED)]]+7500</f>
        <v>60098.5</v>
      </c>
      <c r="AJ498" s="232">
        <f t="shared" si="77"/>
        <v>5680638</v>
      </c>
      <c r="AK498" s="232">
        <f>Table1[[#This Row],[UNIT (BUILDING) RATE (BASIC FINISH)]]*Table1[[#This Row],[Unit Selling Area]]</f>
        <v>6166638</v>
      </c>
      <c r="AL498" s="232">
        <f>Table1[[#This Row],[UNIT (BUILDING) RATE (FULLY FINISH)]]*Table1[[#This Row],[Unit Selling Area]]</f>
        <v>6490638</v>
      </c>
      <c r="AM498" s="232">
        <f t="shared" si="78"/>
        <v>0</v>
      </c>
      <c r="AN498" s="232">
        <f>(AM498+AJ498)*FACTS!$S$2</f>
        <v>482854.23000000004</v>
      </c>
      <c r="AO498" s="101">
        <f>VLOOKUP(S498,FACTS!$A$17:$C$23,3,FALSE)</f>
        <v>1</v>
      </c>
      <c r="AP498" s="232">
        <f>VLOOKUP(AA498,FACTS!$B$2:$J$14,9,FALSE)</f>
        <v>236000</v>
      </c>
      <c r="AQ498" s="232">
        <f>Table1[[#This Row],[PARKING VALUE]]*1</f>
        <v>236000</v>
      </c>
      <c r="AR498" s="232">
        <f t="shared" si="72"/>
        <v>5916638</v>
      </c>
      <c r="AS498" s="440">
        <f>Table1[[#This Row],[TOTAL CARS VALUE]]+Table1[[#This Row],[UNIT (BUILDING) VALUE BASIC FINISHED]]+Table1[[#This Row],[UNIT (GARDEN) VALUE]]</f>
        <v>6402638</v>
      </c>
      <c r="AT498" s="232">
        <f>Table1[[#This Row],[TOTAL CARS VALUE]]+Table1[[#This Row],[UNIT (GARDEN) VALUE]]+Table1[[#This Row],[UNIT (BUILDING) VALUE FULLY FINISHED]]</f>
        <v>6726638</v>
      </c>
      <c r="AU498" s="233">
        <f>VLOOKUP(I498,'C PHASES'!$I$108:$J$110,2,FALSE)</f>
        <v>45839</v>
      </c>
      <c r="AV498" s="233">
        <f>VLOOKUP(AA498,'C PHASES'!$I$113:$J$125,2,FALSE)</f>
        <v>45748</v>
      </c>
    </row>
    <row r="499" spans="1:48" x14ac:dyDescent="0.25">
      <c r="A499" s="235"/>
      <c r="B499" s="227" t="str">
        <f t="shared" si="71"/>
        <v>B</v>
      </c>
      <c r="C499" s="227" t="s">
        <v>91</v>
      </c>
      <c r="D499" s="227" t="s">
        <v>1147</v>
      </c>
      <c r="E499" s="228">
        <v>2</v>
      </c>
      <c r="F499" s="101">
        <v>1</v>
      </c>
      <c r="G499" s="87" t="str">
        <f t="shared" si="80"/>
        <v>B1721</v>
      </c>
      <c r="H499" s="87" t="s">
        <v>1294</v>
      </c>
      <c r="I499" s="89" t="str">
        <f>VLOOKUP(C499,'PREMIUM TABLES'!$G$107:$H$149,2,FALSE)</f>
        <v>C1</v>
      </c>
      <c r="J499" s="87">
        <v>131.43</v>
      </c>
      <c r="K499" s="87">
        <v>142.71764950814546</v>
      </c>
      <c r="L499" s="87">
        <v>160</v>
      </c>
      <c r="O499" s="87" t="s">
        <v>180</v>
      </c>
      <c r="P499" s="87" t="s">
        <v>226</v>
      </c>
      <c r="Q499" s="229" t="s">
        <v>198</v>
      </c>
      <c r="R499" s="87" t="str">
        <f>VLOOKUP(E499,'PREMIUM TABLES'!$F$214:$G$219,2,FALSE)</f>
        <v>SECOND</v>
      </c>
      <c r="S499" s="87" t="str" cm="1">
        <f t="array" ref="S499">IF(AND(L499&gt;0,L499&lt;90),"A",IF(AND(L499&gt;90,L499&lt;123),"B",IF(AND(L499&gt;122,L499&lt;159),"C",IF(AND(L499&gt;159,L499&lt;185),"D",IF(AND(L499&gt;185,L499&lt;230),"E",IF(AND(L499&gt;230,L499&lt;350),"F",NONE))))))</f>
        <v>D</v>
      </c>
      <c r="T499" s="230">
        <f>VLOOKUP(O499,'PREMIUM TABLES'!$G$165:$H$172,2,FALSE)</f>
        <v>0.13</v>
      </c>
      <c r="U499" s="230">
        <f>VLOOKUP(P499,'PREMIUM TABLES'!$G$208:$H$209,2,FALSE)</f>
        <v>0.05</v>
      </c>
      <c r="V499" s="230">
        <f>VLOOKUP(Q499,'PREMIUM TABLES'!$G$175:$H$195,2,FALSE)</f>
        <v>0.15</v>
      </c>
      <c r="W499" s="230">
        <f>VLOOKUP(R499,'PREMIUM TABLES'!$G$214:$H$219,2,FALSE)</f>
        <v>0.11</v>
      </c>
      <c r="X499" s="230">
        <f>VLOOKUP(S499,'PREMIUM TABLES'!$F$199:$H$205,3,FALSE)</f>
        <v>2.5000000000000001E-2</v>
      </c>
      <c r="Y499" s="231">
        <f t="shared" si="74"/>
        <v>0.46499999999999997</v>
      </c>
      <c r="Z499" s="231" t="str" cm="1">
        <f t="array" ref="Z499">IF(AND(Y499&gt;0,Y499&lt;0.5),"C",IF(AND(Y499&gt;=0.5,Y499&lt;0.73),"B",IF(AND(Y499&gt;=0.73,Y499&lt;0.98),"A",NONE)))</f>
        <v>C</v>
      </c>
      <c r="AA499" s="231" t="str">
        <f>VLOOKUP(G499,'ALL (R)'!$N$5:$R$862,5,FALSE)</f>
        <v>R 10</v>
      </c>
      <c r="AB499" s="232">
        <f>VLOOKUP(AA499,FACTS!$B$2:$L$14,10,FALSE)</f>
        <v>56100</v>
      </c>
      <c r="AC499" s="232">
        <f>VLOOKUP(AA499,FACTS!$B$2:$L$14,11,FALSE)</f>
        <v>62700</v>
      </c>
      <c r="AD499" s="232">
        <f>VLOOKUP(AA499,FACTS!$B$2:$N$14,13,FALSE)</f>
        <v>6600</v>
      </c>
      <c r="AE499" s="232">
        <f t="shared" si="75"/>
        <v>3069</v>
      </c>
      <c r="AF499" s="232">
        <f t="shared" si="76"/>
        <v>59169</v>
      </c>
      <c r="AG499" s="232">
        <f>AF499*FACTS!$T$2</f>
        <v>19525.77</v>
      </c>
      <c r="AH499" s="232">
        <f>Table1[[#This Row],[UNIT (BUILDING) RATE (SEMI FINISHED)]]+4500</f>
        <v>63669</v>
      </c>
      <c r="AI499" s="232">
        <f>Table1[[#This Row],[UNIT (BUILDING) RATE (SEMI FINISHED)]]+7500</f>
        <v>66669</v>
      </c>
      <c r="AJ499" s="232">
        <f t="shared" si="77"/>
        <v>9467040</v>
      </c>
      <c r="AK499" s="232">
        <f>Table1[[#This Row],[UNIT (BUILDING) RATE (BASIC FINISH)]]*Table1[[#This Row],[Unit Selling Area]]</f>
        <v>10187040</v>
      </c>
      <c r="AL499" s="232">
        <f>Table1[[#This Row],[UNIT (BUILDING) RATE (FULLY FINISH)]]*Table1[[#This Row],[Unit Selling Area]]</f>
        <v>10667040</v>
      </c>
      <c r="AM499" s="232">
        <f t="shared" si="78"/>
        <v>0</v>
      </c>
      <c r="AN499" s="232">
        <f>(AM499+AJ499)*FACTS!$S$2</f>
        <v>804698.4</v>
      </c>
      <c r="AO499" s="101">
        <f>VLOOKUP(S499,FACTS!$A$17:$C$23,3,FALSE)</f>
        <v>2</v>
      </c>
      <c r="AP499" s="232">
        <f>VLOOKUP(AA499,FACTS!$B$2:$J$14,9,FALSE)</f>
        <v>264000</v>
      </c>
      <c r="AQ499" s="232">
        <f>Table1[[#This Row],[PARKING VALUE]]*1</f>
        <v>264000</v>
      </c>
      <c r="AR499" s="232">
        <f t="shared" si="72"/>
        <v>9731040</v>
      </c>
      <c r="AS499" s="440">
        <f>Table1[[#This Row],[TOTAL CARS VALUE]]+Table1[[#This Row],[UNIT (BUILDING) VALUE BASIC FINISHED]]+Table1[[#This Row],[UNIT (GARDEN) VALUE]]</f>
        <v>10451040</v>
      </c>
      <c r="AT499" s="232">
        <f>Table1[[#This Row],[TOTAL CARS VALUE]]+Table1[[#This Row],[UNIT (GARDEN) VALUE]]+Table1[[#This Row],[UNIT (BUILDING) VALUE FULLY FINISHED]]</f>
        <v>10931040</v>
      </c>
      <c r="AU499" s="233">
        <f>VLOOKUP(I499,'C PHASES'!$I$108:$J$110,2,FALSE)</f>
        <v>45839</v>
      </c>
      <c r="AV499" s="233">
        <f>VLOOKUP(AA499,'C PHASES'!$I$113:$J$125,2,FALSE)</f>
        <v>46023</v>
      </c>
    </row>
    <row r="500" spans="1:48" x14ac:dyDescent="0.25">
      <c r="A500" s="235"/>
      <c r="B500" s="227" t="str">
        <f t="shared" si="71"/>
        <v>B</v>
      </c>
      <c r="C500" s="227" t="s">
        <v>91</v>
      </c>
      <c r="D500" s="227" t="s">
        <v>1147</v>
      </c>
      <c r="E500" s="228">
        <v>2</v>
      </c>
      <c r="F500" s="101">
        <v>2</v>
      </c>
      <c r="G500" s="87" t="str">
        <f t="shared" si="80"/>
        <v>B1722</v>
      </c>
      <c r="H500" s="87" t="s">
        <v>1294</v>
      </c>
      <c r="I500" s="89" t="str">
        <f>VLOOKUP(C500,'PREMIUM TABLES'!$G$107:$H$149,2,FALSE)</f>
        <v>C1</v>
      </c>
      <c r="J500" s="87">
        <v>131.44</v>
      </c>
      <c r="K500" s="87">
        <v>142.72850834170768</v>
      </c>
      <c r="L500" s="87">
        <v>160</v>
      </c>
      <c r="O500" s="87" t="s">
        <v>187</v>
      </c>
      <c r="P500" s="87" t="s">
        <v>226</v>
      </c>
      <c r="Q500" s="229" t="s">
        <v>209</v>
      </c>
      <c r="R500" s="87" t="str">
        <f>VLOOKUP(E500,'PREMIUM TABLES'!$F$214:$G$219,2,FALSE)</f>
        <v>SECOND</v>
      </c>
      <c r="S500" s="87" t="str" cm="1">
        <f t="array" ref="S500">IF(AND(L500&gt;0,L500&lt;90),"A",IF(AND(L500&gt;90,L500&lt;123),"B",IF(AND(L500&gt;122,L500&lt;159),"C",IF(AND(L500&gt;159,L500&lt;185),"D",IF(AND(L500&gt;185,L500&lt;230),"E",IF(AND(L500&gt;230,L500&lt;350),"F",NONE))))))</f>
        <v>D</v>
      </c>
      <c r="T500" s="230">
        <f>VLOOKUP(O500,'PREMIUM TABLES'!$G$165:$H$172,2,FALSE)</f>
        <v>0.08</v>
      </c>
      <c r="U500" s="230">
        <f>VLOOKUP(P500,'PREMIUM TABLES'!$G$208:$H$209,2,FALSE)</f>
        <v>0.05</v>
      </c>
      <c r="V500" s="230">
        <f>VLOOKUP(Q500,'PREMIUM TABLES'!$G$175:$H$195,2,FALSE)</f>
        <v>0.6</v>
      </c>
      <c r="W500" s="230">
        <f>VLOOKUP(R500,'PREMIUM TABLES'!$G$214:$H$219,2,FALSE)</f>
        <v>0.11</v>
      </c>
      <c r="X500" s="230">
        <f>VLOOKUP(S500,'PREMIUM TABLES'!$F$199:$H$205,3,FALSE)</f>
        <v>2.5000000000000001E-2</v>
      </c>
      <c r="Y500" s="231">
        <f t="shared" si="74"/>
        <v>0.86499999999999999</v>
      </c>
      <c r="Z500" s="231" t="str" cm="1">
        <f t="array" ref="Z500">IF(AND(Y500&gt;0,Y500&lt;0.5),"C",IF(AND(Y500&gt;=0.5,Y500&lt;0.73),"B",IF(AND(Y500&gt;=0.73,Y500&lt;0.98),"A",NONE)))</f>
        <v>A</v>
      </c>
      <c r="AA500" s="231" t="str">
        <f>VLOOKUP(G500,'ALL (R)'!$N$5:$R$862,5,FALSE)</f>
        <v>R 9</v>
      </c>
      <c r="AB500" s="232">
        <f>VLOOKUP(AA500,FACTS!$B$2:$L$14,10,FALSE)</f>
        <v>53550</v>
      </c>
      <c r="AC500" s="232">
        <f>VLOOKUP(AA500,FACTS!$B$2:$L$14,11,FALSE)</f>
        <v>59850</v>
      </c>
      <c r="AD500" s="232">
        <f>VLOOKUP(AA500,FACTS!$B$2:$N$14,13,FALSE)</f>
        <v>6300</v>
      </c>
      <c r="AE500" s="232">
        <f t="shared" si="75"/>
        <v>5449.5</v>
      </c>
      <c r="AF500" s="232">
        <f t="shared" si="76"/>
        <v>58999.5</v>
      </c>
      <c r="AG500" s="232">
        <f>AF500*FACTS!$T$2</f>
        <v>19469.834999999999</v>
      </c>
      <c r="AH500" s="232">
        <f>Table1[[#This Row],[UNIT (BUILDING) RATE (SEMI FINISHED)]]+4500</f>
        <v>63499.5</v>
      </c>
      <c r="AI500" s="232">
        <f>Table1[[#This Row],[UNIT (BUILDING) RATE (SEMI FINISHED)]]+7500</f>
        <v>66499.5</v>
      </c>
      <c r="AJ500" s="232">
        <f t="shared" si="77"/>
        <v>9439920</v>
      </c>
      <c r="AK500" s="232">
        <f>Table1[[#This Row],[UNIT (BUILDING) RATE (BASIC FINISH)]]*Table1[[#This Row],[Unit Selling Area]]</f>
        <v>10159920</v>
      </c>
      <c r="AL500" s="232">
        <f>Table1[[#This Row],[UNIT (BUILDING) RATE (FULLY FINISH)]]*Table1[[#This Row],[Unit Selling Area]]</f>
        <v>10639920</v>
      </c>
      <c r="AM500" s="232">
        <f t="shared" si="78"/>
        <v>0</v>
      </c>
      <c r="AN500" s="232">
        <f>(AM500+AJ500)*FACTS!$S$2</f>
        <v>802393.20000000007</v>
      </c>
      <c r="AO500" s="101">
        <f>VLOOKUP(S500,FACTS!$A$17:$C$23,3,FALSE)</f>
        <v>2</v>
      </c>
      <c r="AP500" s="232">
        <f>VLOOKUP(AA500,FACTS!$B$2:$J$14,9,FALSE)</f>
        <v>252000</v>
      </c>
      <c r="AQ500" s="232">
        <f>Table1[[#This Row],[PARKING VALUE]]*1</f>
        <v>252000</v>
      </c>
      <c r="AR500" s="232">
        <f t="shared" si="72"/>
        <v>9691920</v>
      </c>
      <c r="AS500" s="440">
        <f>Table1[[#This Row],[TOTAL CARS VALUE]]+Table1[[#This Row],[UNIT (BUILDING) VALUE BASIC FINISHED]]+Table1[[#This Row],[UNIT (GARDEN) VALUE]]</f>
        <v>10411920</v>
      </c>
      <c r="AT500" s="232">
        <f>Table1[[#This Row],[TOTAL CARS VALUE]]+Table1[[#This Row],[UNIT (GARDEN) VALUE]]+Table1[[#This Row],[UNIT (BUILDING) VALUE FULLY FINISHED]]</f>
        <v>10891920</v>
      </c>
      <c r="AU500" s="233">
        <f>VLOOKUP(I500,'C PHASES'!$I$108:$J$110,2,FALSE)</f>
        <v>45839</v>
      </c>
      <c r="AV500" s="233">
        <f>VLOOKUP(AA500,'C PHASES'!$I$113:$J$125,2,FALSE)</f>
        <v>45931</v>
      </c>
    </row>
    <row r="501" spans="1:48" x14ac:dyDescent="0.25">
      <c r="A501" s="235"/>
      <c r="B501" s="227" t="str">
        <f t="shared" si="71"/>
        <v>B</v>
      </c>
      <c r="C501" s="227" t="s">
        <v>91</v>
      </c>
      <c r="D501" s="227" t="s">
        <v>1147</v>
      </c>
      <c r="E501" s="228">
        <v>2</v>
      </c>
      <c r="F501" s="101">
        <v>3</v>
      </c>
      <c r="G501" s="87" t="str">
        <f t="shared" si="80"/>
        <v>B1723</v>
      </c>
      <c r="H501" s="87" t="s">
        <v>1294</v>
      </c>
      <c r="I501" s="89" t="str">
        <f>VLOOKUP(C501,'PREMIUM TABLES'!$G$107:$H$149,2,FALSE)</f>
        <v>C1</v>
      </c>
      <c r="J501" s="87">
        <v>126.95</v>
      </c>
      <c r="K501" s="87">
        <v>137.85289207227473</v>
      </c>
      <c r="L501" s="87">
        <v>155</v>
      </c>
      <c r="O501" s="87" t="s">
        <v>187</v>
      </c>
      <c r="P501" s="87" t="s">
        <v>190</v>
      </c>
      <c r="Q501" s="229" t="s">
        <v>209</v>
      </c>
      <c r="R501" s="87" t="str">
        <f>VLOOKUP(E501,'PREMIUM TABLES'!$F$214:$G$219,2,FALSE)</f>
        <v>SECOND</v>
      </c>
      <c r="S501" s="87" t="str" cm="1">
        <f t="array" ref="S501">IF(AND(L501&gt;0,L501&lt;90),"A",IF(AND(L501&gt;90,L501&lt;123),"B",IF(AND(L501&gt;122,L501&lt;159),"C",IF(AND(L501&gt;159,L501&lt;185),"D",IF(AND(L501&gt;185,L501&lt;230),"E",IF(AND(L501&gt;230,L501&lt;350),"F",NONE))))))</f>
        <v>C</v>
      </c>
      <c r="T501" s="230">
        <f>VLOOKUP(O501,'PREMIUM TABLES'!$G$165:$H$172,2,FALSE)</f>
        <v>0.08</v>
      </c>
      <c r="U501" s="230">
        <f>VLOOKUP(P501,'PREMIUM TABLES'!$G$208:$H$209,2,FALSE)</f>
        <v>2.5000000000000001E-2</v>
      </c>
      <c r="V501" s="230">
        <f>VLOOKUP(Q501,'PREMIUM TABLES'!$G$175:$H$195,2,FALSE)</f>
        <v>0.6</v>
      </c>
      <c r="W501" s="230">
        <f>VLOOKUP(R501,'PREMIUM TABLES'!$G$214:$H$219,2,FALSE)</f>
        <v>0.11</v>
      </c>
      <c r="X501" s="230">
        <f>VLOOKUP(S501,'PREMIUM TABLES'!$F$199:$H$205,3,FALSE)</f>
        <v>3.5000000000000003E-2</v>
      </c>
      <c r="Y501" s="231">
        <f t="shared" si="74"/>
        <v>0.85</v>
      </c>
      <c r="Z501" s="231" t="str" cm="1">
        <f t="array" ref="Z501">IF(AND(Y501&gt;0,Y501&lt;0.5),"C",IF(AND(Y501&gt;=0.5,Y501&lt;0.73),"B",IF(AND(Y501&gt;=0.73,Y501&lt;0.98),"A",NONE)))</f>
        <v>A</v>
      </c>
      <c r="AA501" s="231" t="str">
        <f>VLOOKUP(G501,'ALL (R)'!$N$5:$R$862,5,FALSE)</f>
        <v>R 8</v>
      </c>
      <c r="AB501" s="232">
        <f>VLOOKUP(AA501,FACTS!$B$2:$L$14,10,FALSE)</f>
        <v>51850</v>
      </c>
      <c r="AC501" s="232">
        <f>VLOOKUP(AA501,FACTS!$B$2:$L$14,11,FALSE)</f>
        <v>57950</v>
      </c>
      <c r="AD501" s="232">
        <f>VLOOKUP(AA501,FACTS!$B$2:$N$14,13,FALSE)</f>
        <v>6100</v>
      </c>
      <c r="AE501" s="232">
        <f t="shared" si="75"/>
        <v>5185</v>
      </c>
      <c r="AF501" s="232">
        <f t="shared" si="76"/>
        <v>57035</v>
      </c>
      <c r="AG501" s="232">
        <f>AF501*FACTS!$T$2</f>
        <v>18821.55</v>
      </c>
      <c r="AH501" s="232">
        <f>Table1[[#This Row],[UNIT (BUILDING) RATE (SEMI FINISHED)]]+4500</f>
        <v>61535</v>
      </c>
      <c r="AI501" s="232">
        <f>Table1[[#This Row],[UNIT (BUILDING) RATE (SEMI FINISHED)]]+7500</f>
        <v>64535</v>
      </c>
      <c r="AJ501" s="232">
        <f t="shared" si="77"/>
        <v>8840425</v>
      </c>
      <c r="AK501" s="232">
        <f>Table1[[#This Row],[UNIT (BUILDING) RATE (BASIC FINISH)]]*Table1[[#This Row],[Unit Selling Area]]</f>
        <v>9537925</v>
      </c>
      <c r="AL501" s="232">
        <f>Table1[[#This Row],[UNIT (BUILDING) RATE (FULLY FINISH)]]*Table1[[#This Row],[Unit Selling Area]]</f>
        <v>10002925</v>
      </c>
      <c r="AM501" s="232">
        <f t="shared" si="78"/>
        <v>0</v>
      </c>
      <c r="AN501" s="232">
        <f>(AM501+AJ501)*FACTS!$S$2</f>
        <v>751436.125</v>
      </c>
      <c r="AO501" s="101">
        <f>VLOOKUP(S501,FACTS!$A$17:$C$23,3,FALSE)</f>
        <v>2</v>
      </c>
      <c r="AP501" s="232">
        <f>VLOOKUP(AA501,FACTS!$B$2:$J$14,9,FALSE)</f>
        <v>244000</v>
      </c>
      <c r="AQ501" s="232">
        <f>Table1[[#This Row],[PARKING VALUE]]*1</f>
        <v>244000</v>
      </c>
      <c r="AR501" s="232">
        <f t="shared" si="72"/>
        <v>9084425</v>
      </c>
      <c r="AS501" s="440">
        <f>Table1[[#This Row],[TOTAL CARS VALUE]]+Table1[[#This Row],[UNIT (BUILDING) VALUE BASIC FINISHED]]+Table1[[#This Row],[UNIT (GARDEN) VALUE]]</f>
        <v>9781925</v>
      </c>
      <c r="AT501" s="232">
        <f>Table1[[#This Row],[TOTAL CARS VALUE]]+Table1[[#This Row],[UNIT (GARDEN) VALUE]]+Table1[[#This Row],[UNIT (BUILDING) VALUE FULLY FINISHED]]</f>
        <v>10246925</v>
      </c>
      <c r="AU501" s="233">
        <f>VLOOKUP(I501,'C PHASES'!$I$108:$J$110,2,FALSE)</f>
        <v>45839</v>
      </c>
      <c r="AV501" s="233">
        <f>VLOOKUP(AA501,'C PHASES'!$I$113:$J$125,2,FALSE)</f>
        <v>45839</v>
      </c>
    </row>
    <row r="502" spans="1:48" x14ac:dyDescent="0.25">
      <c r="A502" s="235"/>
      <c r="B502" s="227" t="str">
        <f t="shared" si="71"/>
        <v>B</v>
      </c>
      <c r="C502" s="227" t="s">
        <v>91</v>
      </c>
      <c r="D502" s="227" t="s">
        <v>1147</v>
      </c>
      <c r="E502" s="228">
        <v>2</v>
      </c>
      <c r="F502" s="101">
        <v>4</v>
      </c>
      <c r="G502" s="87" t="str">
        <f t="shared" si="80"/>
        <v>B1724</v>
      </c>
      <c r="H502" s="87" t="s">
        <v>1294</v>
      </c>
      <c r="I502" s="89" t="str">
        <f>VLOOKUP(C502,'PREMIUM TABLES'!$G$107:$H$149,2,FALSE)</f>
        <v>C1</v>
      </c>
      <c r="J502" s="87">
        <v>127.15</v>
      </c>
      <c r="K502" s="87">
        <v>138.07006874351896</v>
      </c>
      <c r="L502" s="87">
        <v>155</v>
      </c>
      <c r="O502" s="87" t="s">
        <v>180</v>
      </c>
      <c r="P502" s="87" t="s">
        <v>190</v>
      </c>
      <c r="Q502" s="229" t="s">
        <v>198</v>
      </c>
      <c r="R502" s="87" t="str">
        <f>VLOOKUP(E502,'PREMIUM TABLES'!$F$214:$G$219,2,FALSE)</f>
        <v>SECOND</v>
      </c>
      <c r="S502" s="87" t="str" cm="1">
        <f t="array" ref="S502">IF(AND(L502&gt;0,L502&lt;90),"A",IF(AND(L502&gt;90,L502&lt;123),"B",IF(AND(L502&gt;122,L502&lt;159),"C",IF(AND(L502&gt;159,L502&lt;185),"D",IF(AND(L502&gt;185,L502&lt;230),"E",IF(AND(L502&gt;230,L502&lt;350),"F",NONE))))))</f>
        <v>C</v>
      </c>
      <c r="T502" s="230">
        <f>VLOOKUP(O502,'PREMIUM TABLES'!$G$165:$H$172,2,FALSE)</f>
        <v>0.13</v>
      </c>
      <c r="U502" s="230">
        <f>VLOOKUP(P502,'PREMIUM TABLES'!$G$208:$H$209,2,FALSE)</f>
        <v>2.5000000000000001E-2</v>
      </c>
      <c r="V502" s="230">
        <f>VLOOKUP(Q502,'PREMIUM TABLES'!$G$175:$H$195,2,FALSE)</f>
        <v>0.15</v>
      </c>
      <c r="W502" s="230">
        <f>VLOOKUP(R502,'PREMIUM TABLES'!$G$214:$H$219,2,FALSE)</f>
        <v>0.11</v>
      </c>
      <c r="X502" s="230">
        <f>VLOOKUP(S502,'PREMIUM TABLES'!$F$199:$H$205,3,FALSE)</f>
        <v>3.5000000000000003E-2</v>
      </c>
      <c r="Y502" s="231">
        <f t="shared" si="74"/>
        <v>0.44999999999999996</v>
      </c>
      <c r="Z502" s="231" t="str" cm="1">
        <f t="array" ref="Z502">IF(AND(Y502&gt;0,Y502&lt;0.5),"C",IF(AND(Y502&gt;=0.5,Y502&lt;0.73),"B",IF(AND(Y502&gt;=0.73,Y502&lt;0.98),"A",NONE)))</f>
        <v>C</v>
      </c>
      <c r="AA502" s="231" t="str">
        <f>VLOOKUP(G502,'ALL (R)'!$N$5:$R$862,5,FALSE)</f>
        <v>R 9</v>
      </c>
      <c r="AB502" s="232">
        <f>VLOOKUP(AA502,FACTS!$B$2:$L$14,10,FALSE)</f>
        <v>53550</v>
      </c>
      <c r="AC502" s="232">
        <f>VLOOKUP(AA502,FACTS!$B$2:$L$14,11,FALSE)</f>
        <v>59850</v>
      </c>
      <c r="AD502" s="232">
        <f>VLOOKUP(AA502,FACTS!$B$2:$N$14,13,FALSE)</f>
        <v>6300</v>
      </c>
      <c r="AE502" s="232">
        <f t="shared" si="75"/>
        <v>2834.9999999999995</v>
      </c>
      <c r="AF502" s="232">
        <f t="shared" si="76"/>
        <v>56385</v>
      </c>
      <c r="AG502" s="232">
        <f>AF502*FACTS!$T$2</f>
        <v>18607.05</v>
      </c>
      <c r="AH502" s="232">
        <f>Table1[[#This Row],[UNIT (BUILDING) RATE (SEMI FINISHED)]]+4500</f>
        <v>60885</v>
      </c>
      <c r="AI502" s="232">
        <f>Table1[[#This Row],[UNIT (BUILDING) RATE (SEMI FINISHED)]]+7500</f>
        <v>63885</v>
      </c>
      <c r="AJ502" s="232">
        <f t="shared" si="77"/>
        <v>8739675</v>
      </c>
      <c r="AK502" s="232">
        <f>Table1[[#This Row],[UNIT (BUILDING) RATE (BASIC FINISH)]]*Table1[[#This Row],[Unit Selling Area]]</f>
        <v>9437175</v>
      </c>
      <c r="AL502" s="232">
        <f>Table1[[#This Row],[UNIT (BUILDING) RATE (FULLY FINISH)]]*Table1[[#This Row],[Unit Selling Area]]</f>
        <v>9902175</v>
      </c>
      <c r="AM502" s="232">
        <f t="shared" si="78"/>
        <v>0</v>
      </c>
      <c r="AN502" s="232">
        <f>(AM502+AJ502)*FACTS!$S$2</f>
        <v>742872.375</v>
      </c>
      <c r="AO502" s="101">
        <f>VLOOKUP(S502,FACTS!$A$17:$C$23,3,FALSE)</f>
        <v>2</v>
      </c>
      <c r="AP502" s="232">
        <f>VLOOKUP(AA502,FACTS!$B$2:$J$14,9,FALSE)</f>
        <v>252000</v>
      </c>
      <c r="AQ502" s="232">
        <f>Table1[[#This Row],[PARKING VALUE]]*1</f>
        <v>252000</v>
      </c>
      <c r="AR502" s="232">
        <f t="shared" si="72"/>
        <v>8991675</v>
      </c>
      <c r="AS502" s="440">
        <f>Table1[[#This Row],[TOTAL CARS VALUE]]+Table1[[#This Row],[UNIT (BUILDING) VALUE BASIC FINISHED]]+Table1[[#This Row],[UNIT (GARDEN) VALUE]]</f>
        <v>9689175</v>
      </c>
      <c r="AT502" s="232">
        <f>Table1[[#This Row],[TOTAL CARS VALUE]]+Table1[[#This Row],[UNIT (GARDEN) VALUE]]+Table1[[#This Row],[UNIT (BUILDING) VALUE FULLY FINISHED]]</f>
        <v>10154175</v>
      </c>
      <c r="AU502" s="233">
        <f>VLOOKUP(I502,'C PHASES'!$I$108:$J$110,2,FALSE)</f>
        <v>45839</v>
      </c>
      <c r="AV502" s="233">
        <f>VLOOKUP(AA502,'C PHASES'!$I$113:$J$125,2,FALSE)</f>
        <v>45931</v>
      </c>
    </row>
    <row r="503" spans="1:48" x14ac:dyDescent="0.25">
      <c r="A503" s="235"/>
      <c r="B503" s="227" t="str">
        <f t="shared" si="71"/>
        <v>B</v>
      </c>
      <c r="C503" s="227" t="s">
        <v>91</v>
      </c>
      <c r="D503" s="227" t="s">
        <v>1147</v>
      </c>
      <c r="E503" s="228">
        <v>3</v>
      </c>
      <c r="F503" s="101">
        <v>1</v>
      </c>
      <c r="G503" s="87" t="str">
        <f t="shared" si="80"/>
        <v>B1731</v>
      </c>
      <c r="H503" s="87" t="s">
        <v>1294</v>
      </c>
      <c r="I503" s="89" t="str">
        <f>VLOOKUP(C503,'PREMIUM TABLES'!$G$107:$H$149,2,FALSE)</f>
        <v>C1</v>
      </c>
      <c r="J503" s="87">
        <v>131.88</v>
      </c>
      <c r="K503" s="87">
        <v>143.20629701844499</v>
      </c>
      <c r="L503" s="87">
        <v>161</v>
      </c>
      <c r="O503" s="87" t="s">
        <v>180</v>
      </c>
      <c r="P503" s="87" t="s">
        <v>226</v>
      </c>
      <c r="Q503" s="229" t="s">
        <v>198</v>
      </c>
      <c r="R503" s="87" t="str">
        <f>VLOOKUP(E503,'PREMIUM TABLES'!$F$214:$G$219,2,FALSE)</f>
        <v>THIRD</v>
      </c>
      <c r="S503" s="87" t="str" cm="1">
        <f t="array" ref="S503">IF(AND(L503&gt;0,L503&lt;90),"A",IF(AND(L503&gt;90,L503&lt;123),"B",IF(AND(L503&gt;122,L503&lt;159),"C",IF(AND(L503&gt;159,L503&lt;185),"D",IF(AND(L503&gt;185,L503&lt;230),"E",IF(AND(L503&gt;230,L503&lt;350),"F",NONE))))))</f>
        <v>D</v>
      </c>
      <c r="T503" s="230">
        <f>VLOOKUP(O503,'PREMIUM TABLES'!$G$165:$H$172,2,FALSE)</f>
        <v>0.13</v>
      </c>
      <c r="U503" s="230">
        <f>VLOOKUP(P503,'PREMIUM TABLES'!$G$208:$H$209,2,FALSE)</f>
        <v>0.05</v>
      </c>
      <c r="V503" s="230">
        <f>VLOOKUP(Q503,'PREMIUM TABLES'!$G$175:$H$195,2,FALSE)</f>
        <v>0.15</v>
      </c>
      <c r="W503" s="230">
        <f>VLOOKUP(R503,'PREMIUM TABLES'!$G$214:$H$219,2,FALSE)</f>
        <v>0.15</v>
      </c>
      <c r="X503" s="230">
        <f>VLOOKUP(S503,'PREMIUM TABLES'!$F$199:$H$205,3,FALSE)</f>
        <v>2.5000000000000001E-2</v>
      </c>
      <c r="Y503" s="231">
        <f t="shared" si="74"/>
        <v>0.505</v>
      </c>
      <c r="Z503" s="231" t="str" cm="1">
        <f t="array" ref="Z503">IF(AND(Y503&gt;0,Y503&lt;0.5),"C",IF(AND(Y503&gt;=0.5,Y503&lt;0.73),"B",IF(AND(Y503&gt;=0.73,Y503&lt;0.98),"A",NONE)))</f>
        <v>B</v>
      </c>
      <c r="AA503" s="231" t="str">
        <f>VLOOKUP(G503,'ALL (R)'!$N$5:$R$862,5,FALSE)</f>
        <v>R 1</v>
      </c>
      <c r="AB503" s="232">
        <f>VLOOKUP(AA503,FACTS!$B$2:$L$14,10,FALSE)</f>
        <v>42500</v>
      </c>
      <c r="AC503" s="232">
        <f>VLOOKUP(AA503,FACTS!$B$2:$L$14,11,FALSE)</f>
        <v>47500</v>
      </c>
      <c r="AD503" s="232">
        <f>VLOOKUP(AA503,FACTS!$B$2:$N$14,13,FALSE)</f>
        <v>5000</v>
      </c>
      <c r="AE503" s="232">
        <f t="shared" si="75"/>
        <v>2525</v>
      </c>
      <c r="AF503" s="232">
        <f t="shared" si="76"/>
        <v>45025</v>
      </c>
      <c r="AG503" s="232">
        <f>AF503*FACTS!$T$2</f>
        <v>14858.25</v>
      </c>
      <c r="AH503" s="232">
        <f>Table1[[#This Row],[UNIT (BUILDING) RATE (SEMI FINISHED)]]+4500</f>
        <v>49525</v>
      </c>
      <c r="AI503" s="232">
        <f>Table1[[#This Row],[UNIT (BUILDING) RATE (SEMI FINISHED)]]+7500</f>
        <v>52525</v>
      </c>
      <c r="AJ503" s="232">
        <f t="shared" si="77"/>
        <v>7249025</v>
      </c>
      <c r="AK503" s="232">
        <f>Table1[[#This Row],[UNIT (BUILDING) RATE (BASIC FINISH)]]*Table1[[#This Row],[Unit Selling Area]]</f>
        <v>7973525</v>
      </c>
      <c r="AL503" s="232">
        <f>Table1[[#This Row],[UNIT (BUILDING) RATE (FULLY FINISH)]]*Table1[[#This Row],[Unit Selling Area]]</f>
        <v>8456525</v>
      </c>
      <c r="AM503" s="232">
        <f t="shared" si="78"/>
        <v>0</v>
      </c>
      <c r="AN503" s="232">
        <f>(AM503+AJ503)*FACTS!$S$2</f>
        <v>616167.125</v>
      </c>
      <c r="AO503" s="101">
        <f>VLOOKUP(S503,FACTS!$A$17:$C$23,3,FALSE)</f>
        <v>2</v>
      </c>
      <c r="AP503" s="232">
        <f>VLOOKUP(AA503,FACTS!$B$2:$J$14,9,FALSE)</f>
        <v>200000</v>
      </c>
      <c r="AQ503" s="232">
        <f>Table1[[#This Row],[PARKING VALUE]]*1</f>
        <v>200000</v>
      </c>
      <c r="AR503" s="232">
        <f t="shared" si="72"/>
        <v>7449025</v>
      </c>
      <c r="AS503" s="440">
        <f>Table1[[#This Row],[TOTAL CARS VALUE]]+Table1[[#This Row],[UNIT (BUILDING) VALUE BASIC FINISHED]]+Table1[[#This Row],[UNIT (GARDEN) VALUE]]</f>
        <v>8173525</v>
      </c>
      <c r="AT503" s="232">
        <f>Table1[[#This Row],[TOTAL CARS VALUE]]+Table1[[#This Row],[UNIT (GARDEN) VALUE]]+Table1[[#This Row],[UNIT (BUILDING) VALUE FULLY FINISHED]]</f>
        <v>8656525</v>
      </c>
      <c r="AU503" s="233">
        <f>VLOOKUP(I503,'C PHASES'!$I$108:$J$110,2,FALSE)</f>
        <v>45839</v>
      </c>
      <c r="AV503" s="233">
        <f>VLOOKUP(AA503,'C PHASES'!$I$113:$J$125,2,FALSE)</f>
        <v>45170</v>
      </c>
    </row>
    <row r="504" spans="1:48" x14ac:dyDescent="0.25">
      <c r="A504" s="235"/>
      <c r="B504" s="227" t="str">
        <f t="shared" si="71"/>
        <v>B</v>
      </c>
      <c r="C504" s="227" t="s">
        <v>91</v>
      </c>
      <c r="D504" s="227" t="s">
        <v>1147</v>
      </c>
      <c r="E504" s="228">
        <v>3</v>
      </c>
      <c r="F504" s="101">
        <v>2</v>
      </c>
      <c r="G504" s="87" t="str">
        <f t="shared" si="80"/>
        <v>B1732</v>
      </c>
      <c r="H504" s="87" t="s">
        <v>1294</v>
      </c>
      <c r="I504" s="89" t="str">
        <f>VLOOKUP(C504,'PREMIUM TABLES'!$G$107:$H$149,2,FALSE)</f>
        <v>C1</v>
      </c>
      <c r="J504" s="87">
        <v>131.43</v>
      </c>
      <c r="K504" s="87">
        <v>142.71764950814546</v>
      </c>
      <c r="L504" s="87">
        <v>160</v>
      </c>
      <c r="O504" s="87" t="s">
        <v>187</v>
      </c>
      <c r="P504" s="87" t="s">
        <v>226</v>
      </c>
      <c r="Q504" s="229" t="s">
        <v>209</v>
      </c>
      <c r="R504" s="87" t="str">
        <f>VLOOKUP(E504,'PREMIUM TABLES'!$F$214:$G$219,2,FALSE)</f>
        <v>THIRD</v>
      </c>
      <c r="S504" s="87" t="str" cm="1">
        <f t="array" ref="S504">IF(AND(L504&gt;0,L504&lt;90),"A",IF(AND(L504&gt;90,L504&lt;123),"B",IF(AND(L504&gt;122,L504&lt;159),"C",IF(AND(L504&gt;159,L504&lt;185),"D",IF(AND(L504&gt;185,L504&lt;230),"E",IF(AND(L504&gt;230,L504&lt;350),"F",NONE))))))</f>
        <v>D</v>
      </c>
      <c r="T504" s="230">
        <f>VLOOKUP(O504,'PREMIUM TABLES'!$G$165:$H$172,2,FALSE)</f>
        <v>0.08</v>
      </c>
      <c r="U504" s="230">
        <f>VLOOKUP(P504,'PREMIUM TABLES'!$G$208:$H$209,2,FALSE)</f>
        <v>0.05</v>
      </c>
      <c r="V504" s="230">
        <f>VLOOKUP(Q504,'PREMIUM TABLES'!$G$175:$H$195,2,FALSE)</f>
        <v>0.6</v>
      </c>
      <c r="W504" s="230">
        <f>VLOOKUP(R504,'PREMIUM TABLES'!$G$214:$H$219,2,FALSE)</f>
        <v>0.15</v>
      </c>
      <c r="X504" s="230">
        <f>VLOOKUP(S504,'PREMIUM TABLES'!$F$199:$H$205,3,FALSE)</f>
        <v>2.5000000000000001E-2</v>
      </c>
      <c r="Y504" s="231">
        <f t="shared" si="74"/>
        <v>0.90500000000000003</v>
      </c>
      <c r="Z504" s="231" t="str" cm="1">
        <f t="array" ref="Z504">IF(AND(Y504&gt;0,Y504&lt;0.5),"C",IF(AND(Y504&gt;=0.5,Y504&lt;0.73),"B",IF(AND(Y504&gt;=0.73,Y504&lt;0.98),"A",NONE)))</f>
        <v>A</v>
      </c>
      <c r="AA504" s="231" t="str">
        <f>VLOOKUP(G504,'ALL (R)'!$N$5:$R$862,5,FALSE)</f>
        <v>R 12</v>
      </c>
      <c r="AB504" s="232">
        <f>VLOOKUP(AA504,FACTS!$B$2:$L$14,10,FALSE)</f>
        <v>61625</v>
      </c>
      <c r="AC504" s="232">
        <f>VLOOKUP(AA504,FACTS!$B$2:$L$14,11,FALSE)</f>
        <v>68875</v>
      </c>
      <c r="AD504" s="232">
        <f>VLOOKUP(AA504,FACTS!$B$2:$N$14,13,FALSE)</f>
        <v>7250</v>
      </c>
      <c r="AE504" s="232">
        <f t="shared" si="75"/>
        <v>6561.25</v>
      </c>
      <c r="AF504" s="232">
        <f t="shared" si="76"/>
        <v>68186.25</v>
      </c>
      <c r="AG504" s="232">
        <f>AF504*FACTS!$T$2</f>
        <v>22501.462500000001</v>
      </c>
      <c r="AH504" s="232">
        <f>Table1[[#This Row],[UNIT (BUILDING) RATE (SEMI FINISHED)]]+4500</f>
        <v>72686.25</v>
      </c>
      <c r="AI504" s="232">
        <f>Table1[[#This Row],[UNIT (BUILDING) RATE (SEMI FINISHED)]]+7500</f>
        <v>75686.25</v>
      </c>
      <c r="AJ504" s="232">
        <f t="shared" si="77"/>
        <v>10909800</v>
      </c>
      <c r="AK504" s="232">
        <f>Table1[[#This Row],[UNIT (BUILDING) RATE (BASIC FINISH)]]*Table1[[#This Row],[Unit Selling Area]]</f>
        <v>11629800</v>
      </c>
      <c r="AL504" s="232">
        <f>Table1[[#This Row],[UNIT (BUILDING) RATE (FULLY FINISH)]]*Table1[[#This Row],[Unit Selling Area]]</f>
        <v>12109800</v>
      </c>
      <c r="AM504" s="232">
        <f t="shared" si="78"/>
        <v>0</v>
      </c>
      <c r="AN504" s="232">
        <f>(AM504+AJ504)*FACTS!$S$2</f>
        <v>927333.00000000012</v>
      </c>
      <c r="AO504" s="101">
        <f>VLOOKUP(S504,FACTS!$A$17:$C$23,3,FALSE)</f>
        <v>2</v>
      </c>
      <c r="AP504" s="232">
        <f>VLOOKUP(AA504,FACTS!$B$2:$J$14,9,FALSE)</f>
        <v>290000</v>
      </c>
      <c r="AQ504" s="232">
        <f>Table1[[#This Row],[PARKING VALUE]]*1</f>
        <v>290000</v>
      </c>
      <c r="AR504" s="232">
        <f t="shared" si="72"/>
        <v>11199800</v>
      </c>
      <c r="AS504" s="440">
        <f>Table1[[#This Row],[TOTAL CARS VALUE]]+Table1[[#This Row],[UNIT (BUILDING) VALUE BASIC FINISHED]]+Table1[[#This Row],[UNIT (GARDEN) VALUE]]</f>
        <v>11919800</v>
      </c>
      <c r="AT504" s="232">
        <f>Table1[[#This Row],[TOTAL CARS VALUE]]+Table1[[#This Row],[UNIT (GARDEN) VALUE]]+Table1[[#This Row],[UNIT (BUILDING) VALUE FULLY FINISHED]]</f>
        <v>12399800</v>
      </c>
      <c r="AU504" s="233">
        <f>VLOOKUP(I504,'C PHASES'!$I$108:$J$110,2,FALSE)</f>
        <v>45839</v>
      </c>
      <c r="AV504" s="233">
        <f>VLOOKUP(AA504,'C PHASES'!$I$113:$J$125,2,FALSE)</f>
        <v>46204</v>
      </c>
    </row>
    <row r="505" spans="1:48" x14ac:dyDescent="0.25">
      <c r="A505" s="235"/>
      <c r="B505" s="227" t="str">
        <f t="shared" si="71"/>
        <v>B</v>
      </c>
      <c r="C505" s="227" t="s">
        <v>91</v>
      </c>
      <c r="D505" s="227" t="s">
        <v>1147</v>
      </c>
      <c r="E505" s="228">
        <v>3</v>
      </c>
      <c r="F505" s="101">
        <v>3</v>
      </c>
      <c r="G505" s="87" t="str">
        <f t="shared" si="80"/>
        <v>B1733</v>
      </c>
      <c r="H505" s="87" t="s">
        <v>1294</v>
      </c>
      <c r="I505" s="89" t="str">
        <f>VLOOKUP(C505,'PREMIUM TABLES'!$G$107:$H$149,2,FALSE)</f>
        <v>C1</v>
      </c>
      <c r="J505" s="87">
        <v>126.97</v>
      </c>
      <c r="K505" s="87">
        <v>137.87460973939915</v>
      </c>
      <c r="L505" s="87">
        <v>155</v>
      </c>
      <c r="O505" s="87" t="s">
        <v>187</v>
      </c>
      <c r="P505" s="87" t="s">
        <v>190</v>
      </c>
      <c r="Q505" s="229" t="s">
        <v>209</v>
      </c>
      <c r="R505" s="87" t="str">
        <f>VLOOKUP(E505,'PREMIUM TABLES'!$F$214:$G$219,2,FALSE)</f>
        <v>THIRD</v>
      </c>
      <c r="S505" s="87" t="str" cm="1">
        <f t="array" ref="S505">IF(AND(L505&gt;0,L505&lt;90),"A",IF(AND(L505&gt;90,L505&lt;123),"B",IF(AND(L505&gt;122,L505&lt;159),"C",IF(AND(L505&gt;159,L505&lt;185),"D",IF(AND(L505&gt;185,L505&lt;230),"E",IF(AND(L505&gt;230,L505&lt;350),"F",NONE))))))</f>
        <v>C</v>
      </c>
      <c r="T505" s="230">
        <f>VLOOKUP(O505,'PREMIUM TABLES'!$G$165:$H$172,2,FALSE)</f>
        <v>0.08</v>
      </c>
      <c r="U505" s="230">
        <f>VLOOKUP(P505,'PREMIUM TABLES'!$G$208:$H$209,2,FALSE)</f>
        <v>2.5000000000000001E-2</v>
      </c>
      <c r="V505" s="230">
        <f>VLOOKUP(Q505,'PREMIUM TABLES'!$G$175:$H$195,2,FALSE)</f>
        <v>0.6</v>
      </c>
      <c r="W505" s="230">
        <f>VLOOKUP(R505,'PREMIUM TABLES'!$G$214:$H$219,2,FALSE)</f>
        <v>0.15</v>
      </c>
      <c r="X505" s="230">
        <f>VLOOKUP(S505,'PREMIUM TABLES'!$F$199:$H$205,3,FALSE)</f>
        <v>3.5000000000000003E-2</v>
      </c>
      <c r="Y505" s="231">
        <f t="shared" si="74"/>
        <v>0.89</v>
      </c>
      <c r="Z505" s="231" t="str" cm="1">
        <f t="array" ref="Z505">IF(AND(Y505&gt;0,Y505&lt;0.5),"C",IF(AND(Y505&gt;=0.5,Y505&lt;0.73),"B",IF(AND(Y505&gt;=0.73,Y505&lt;0.98),"A",NONE)))</f>
        <v>A</v>
      </c>
      <c r="AA505" s="231" t="str">
        <f>VLOOKUP(G505,'ALL (R)'!$N$5:$R$862,5,FALSE)</f>
        <v>R 11</v>
      </c>
      <c r="AB505" s="232">
        <f>VLOOKUP(AA505,FACTS!$B$2:$L$14,10,FALSE)</f>
        <v>58649.999999999993</v>
      </c>
      <c r="AC505" s="232">
        <f>VLOOKUP(AA505,FACTS!$B$2:$L$14,11,FALSE)</f>
        <v>65550</v>
      </c>
      <c r="AD505" s="232">
        <f>VLOOKUP(AA505,FACTS!$B$2:$N$14,13,FALSE)</f>
        <v>6900.0000000000073</v>
      </c>
      <c r="AE505" s="232">
        <f t="shared" si="75"/>
        <v>6141.0000000000064</v>
      </c>
      <c r="AF505" s="232">
        <f t="shared" si="76"/>
        <v>64791</v>
      </c>
      <c r="AG505" s="232">
        <f>AF505*FACTS!$T$2</f>
        <v>21381.030000000002</v>
      </c>
      <c r="AH505" s="232">
        <f>Table1[[#This Row],[UNIT (BUILDING) RATE (SEMI FINISHED)]]+4500</f>
        <v>69291</v>
      </c>
      <c r="AI505" s="232">
        <f>Table1[[#This Row],[UNIT (BUILDING) RATE (SEMI FINISHED)]]+7500</f>
        <v>72291</v>
      </c>
      <c r="AJ505" s="232">
        <f t="shared" si="77"/>
        <v>10042605</v>
      </c>
      <c r="AK505" s="232">
        <f>Table1[[#This Row],[UNIT (BUILDING) RATE (BASIC FINISH)]]*Table1[[#This Row],[Unit Selling Area]]</f>
        <v>10740105</v>
      </c>
      <c r="AL505" s="232">
        <f>Table1[[#This Row],[UNIT (BUILDING) RATE (FULLY FINISH)]]*Table1[[#This Row],[Unit Selling Area]]</f>
        <v>11205105</v>
      </c>
      <c r="AM505" s="232">
        <f t="shared" si="78"/>
        <v>0</v>
      </c>
      <c r="AN505" s="232">
        <f>(AM505+AJ505)*FACTS!$S$2</f>
        <v>853621.42500000005</v>
      </c>
      <c r="AO505" s="101">
        <f>VLOOKUP(S505,FACTS!$A$17:$C$23,3,FALSE)</f>
        <v>2</v>
      </c>
      <c r="AP505" s="232">
        <f>VLOOKUP(AA505,FACTS!$B$2:$J$14,9,FALSE)</f>
        <v>276000</v>
      </c>
      <c r="AQ505" s="232">
        <f>Table1[[#This Row],[PARKING VALUE]]*1</f>
        <v>276000</v>
      </c>
      <c r="AR505" s="232">
        <f t="shared" si="72"/>
        <v>10318605</v>
      </c>
      <c r="AS505" s="440">
        <f>Table1[[#This Row],[TOTAL CARS VALUE]]+Table1[[#This Row],[UNIT (BUILDING) VALUE BASIC FINISHED]]+Table1[[#This Row],[UNIT (GARDEN) VALUE]]</f>
        <v>11016105</v>
      </c>
      <c r="AT505" s="232">
        <f>Table1[[#This Row],[TOTAL CARS VALUE]]+Table1[[#This Row],[UNIT (GARDEN) VALUE]]+Table1[[#This Row],[UNIT (BUILDING) VALUE FULLY FINISHED]]</f>
        <v>11481105</v>
      </c>
      <c r="AU505" s="233">
        <f>VLOOKUP(I505,'C PHASES'!$I$108:$J$110,2,FALSE)</f>
        <v>45839</v>
      </c>
      <c r="AV505" s="233">
        <f>VLOOKUP(AA505,'C PHASES'!$I$113:$J$125,2,FALSE)</f>
        <v>46113</v>
      </c>
    </row>
    <row r="506" spans="1:48" x14ac:dyDescent="0.25">
      <c r="A506" s="235"/>
      <c r="B506" s="227" t="str">
        <f t="shared" si="71"/>
        <v>B</v>
      </c>
      <c r="C506" s="227" t="s">
        <v>91</v>
      </c>
      <c r="D506" s="227" t="s">
        <v>1147</v>
      </c>
      <c r="E506" s="228">
        <v>3</v>
      </c>
      <c r="F506" s="101">
        <v>4</v>
      </c>
      <c r="G506" s="87" t="str">
        <f t="shared" si="80"/>
        <v>B1734</v>
      </c>
      <c r="H506" s="87" t="s">
        <v>1294</v>
      </c>
      <c r="I506" s="89" t="str">
        <f>VLOOKUP(C506,'PREMIUM TABLES'!$G$107:$H$149,2,FALSE)</f>
        <v>C1</v>
      </c>
      <c r="J506" s="87">
        <v>127.45</v>
      </c>
      <c r="K506" s="87">
        <v>138.39583375038529</v>
      </c>
      <c r="L506" s="87">
        <v>155</v>
      </c>
      <c r="O506" s="87" t="s">
        <v>180</v>
      </c>
      <c r="P506" s="87" t="s">
        <v>190</v>
      </c>
      <c r="Q506" s="229" t="s">
        <v>198</v>
      </c>
      <c r="R506" s="87" t="str">
        <f>VLOOKUP(E506,'PREMIUM TABLES'!$F$214:$G$219,2,FALSE)</f>
        <v>THIRD</v>
      </c>
      <c r="S506" s="87" t="str" cm="1">
        <f t="array" ref="S506">IF(AND(L506&gt;0,L506&lt;90),"A",IF(AND(L506&gt;90,L506&lt;123),"B",IF(AND(L506&gt;122,L506&lt;159),"C",IF(AND(L506&gt;159,L506&lt;185),"D",IF(AND(L506&gt;185,L506&lt;230),"E",IF(AND(L506&gt;230,L506&lt;350),"F",NONE))))))</f>
        <v>C</v>
      </c>
      <c r="T506" s="230">
        <f>VLOOKUP(O506,'PREMIUM TABLES'!$G$165:$H$172,2,FALSE)</f>
        <v>0.13</v>
      </c>
      <c r="U506" s="230">
        <f>VLOOKUP(P506,'PREMIUM TABLES'!$G$208:$H$209,2,FALSE)</f>
        <v>2.5000000000000001E-2</v>
      </c>
      <c r="V506" s="230">
        <f>VLOOKUP(Q506,'PREMIUM TABLES'!$G$175:$H$195,2,FALSE)</f>
        <v>0.15</v>
      </c>
      <c r="W506" s="230">
        <f>VLOOKUP(R506,'PREMIUM TABLES'!$G$214:$H$219,2,FALSE)</f>
        <v>0.15</v>
      </c>
      <c r="X506" s="230">
        <f>VLOOKUP(S506,'PREMIUM TABLES'!$F$199:$H$205,3,FALSE)</f>
        <v>3.5000000000000003E-2</v>
      </c>
      <c r="Y506" s="231">
        <f t="shared" si="74"/>
        <v>0.49</v>
      </c>
      <c r="Z506" s="231" t="str" cm="1">
        <f t="array" ref="Z506">IF(AND(Y506&gt;0,Y506&lt;0.5),"C",IF(AND(Y506&gt;=0.5,Y506&lt;0.73),"B",IF(AND(Y506&gt;=0.73,Y506&lt;0.98),"A",NONE)))</f>
        <v>C</v>
      </c>
      <c r="AA506" s="231" t="str">
        <f>VLOOKUP(G506,'ALL (R)'!$N$5:$R$862,5,FALSE)</f>
        <v>R 12</v>
      </c>
      <c r="AB506" s="232">
        <f>VLOOKUP(AA506,FACTS!$B$2:$L$14,10,FALSE)</f>
        <v>61625</v>
      </c>
      <c r="AC506" s="232">
        <f>VLOOKUP(AA506,FACTS!$B$2:$L$14,11,FALSE)</f>
        <v>68875</v>
      </c>
      <c r="AD506" s="232">
        <f>VLOOKUP(AA506,FACTS!$B$2:$N$14,13,FALSE)</f>
        <v>7250</v>
      </c>
      <c r="AE506" s="232">
        <f t="shared" si="75"/>
        <v>3552.5</v>
      </c>
      <c r="AF506" s="232">
        <f t="shared" si="76"/>
        <v>65177.5</v>
      </c>
      <c r="AG506" s="232">
        <f>AF506*FACTS!$T$2</f>
        <v>21508.575000000001</v>
      </c>
      <c r="AH506" s="232">
        <f>Table1[[#This Row],[UNIT (BUILDING) RATE (SEMI FINISHED)]]+4500</f>
        <v>69677.5</v>
      </c>
      <c r="AI506" s="232">
        <f>Table1[[#This Row],[UNIT (BUILDING) RATE (SEMI FINISHED)]]+7500</f>
        <v>72677.5</v>
      </c>
      <c r="AJ506" s="232">
        <f t="shared" si="77"/>
        <v>10102512.5</v>
      </c>
      <c r="AK506" s="232">
        <f>Table1[[#This Row],[UNIT (BUILDING) RATE (BASIC FINISH)]]*Table1[[#This Row],[Unit Selling Area]]</f>
        <v>10800012.5</v>
      </c>
      <c r="AL506" s="232">
        <f>Table1[[#This Row],[UNIT (BUILDING) RATE (FULLY FINISH)]]*Table1[[#This Row],[Unit Selling Area]]</f>
        <v>11265012.5</v>
      </c>
      <c r="AM506" s="232">
        <f t="shared" si="78"/>
        <v>0</v>
      </c>
      <c r="AN506" s="232">
        <f>(AM506+AJ506)*FACTS!$S$2</f>
        <v>858713.56250000012</v>
      </c>
      <c r="AO506" s="101">
        <f>VLOOKUP(S506,FACTS!$A$17:$C$23,3,FALSE)</f>
        <v>2</v>
      </c>
      <c r="AP506" s="232">
        <f>VLOOKUP(AA506,FACTS!$B$2:$J$14,9,FALSE)</f>
        <v>290000</v>
      </c>
      <c r="AQ506" s="232">
        <f>Table1[[#This Row],[PARKING VALUE]]*1</f>
        <v>290000</v>
      </c>
      <c r="AR506" s="232">
        <f t="shared" si="72"/>
        <v>10392512.5</v>
      </c>
      <c r="AS506" s="440">
        <f>Table1[[#This Row],[TOTAL CARS VALUE]]+Table1[[#This Row],[UNIT (BUILDING) VALUE BASIC FINISHED]]+Table1[[#This Row],[UNIT (GARDEN) VALUE]]</f>
        <v>11090012.5</v>
      </c>
      <c r="AT506" s="232">
        <f>Table1[[#This Row],[TOTAL CARS VALUE]]+Table1[[#This Row],[UNIT (GARDEN) VALUE]]+Table1[[#This Row],[UNIT (BUILDING) VALUE FULLY FINISHED]]</f>
        <v>11555012.5</v>
      </c>
      <c r="AU506" s="233">
        <f>VLOOKUP(I506,'C PHASES'!$I$108:$J$110,2,FALSE)</f>
        <v>45839</v>
      </c>
      <c r="AV506" s="233">
        <f>VLOOKUP(AA506,'C PHASES'!$I$113:$J$125,2,FALSE)</f>
        <v>46204</v>
      </c>
    </row>
    <row r="507" spans="1:48" x14ac:dyDescent="0.25">
      <c r="A507" s="235"/>
      <c r="B507" s="227" t="str">
        <f t="shared" si="71"/>
        <v>B</v>
      </c>
      <c r="C507" s="227" t="s">
        <v>91</v>
      </c>
      <c r="D507" s="227" t="s">
        <v>1147</v>
      </c>
      <c r="E507" s="228">
        <v>4</v>
      </c>
      <c r="F507" s="101">
        <v>1</v>
      </c>
      <c r="G507" s="87" t="str">
        <f t="shared" si="80"/>
        <v>B1741</v>
      </c>
      <c r="H507" s="87" t="s">
        <v>1294</v>
      </c>
      <c r="I507" s="89" t="str">
        <f>VLOOKUP(C507,'PREMIUM TABLES'!$G$107:$H$149,2,FALSE)</f>
        <v>C1</v>
      </c>
      <c r="J507" s="87">
        <v>129.58000000000001</v>
      </c>
      <c r="K507" s="87">
        <v>140.70876529913636</v>
      </c>
      <c r="L507" s="87">
        <v>158</v>
      </c>
      <c r="O507" s="87" t="s">
        <v>180</v>
      </c>
      <c r="P507" s="87" t="s">
        <v>226</v>
      </c>
      <c r="Q507" s="229" t="s">
        <v>198</v>
      </c>
      <c r="R507" s="87" t="str">
        <f>VLOOKUP(E507,'PREMIUM TABLES'!$F$214:$G$219,2,FALSE)</f>
        <v>FORTH</v>
      </c>
      <c r="S507" s="87" t="str" cm="1">
        <f t="array" ref="S507">IF(AND(L507&gt;0,L507&lt;90),"A",IF(AND(L507&gt;90,L507&lt;123),"B",IF(AND(L507&gt;122,L507&lt;159),"C",IF(AND(L507&gt;159,L507&lt;185),"D",IF(AND(L507&gt;185,L507&lt;230),"E",IF(AND(L507&gt;230,L507&lt;350),"F",NONE))))))</f>
        <v>C</v>
      </c>
      <c r="T507" s="230">
        <f>VLOOKUP(O507,'PREMIUM TABLES'!$G$165:$H$172,2,FALSE)</f>
        <v>0.13</v>
      </c>
      <c r="U507" s="230">
        <f>VLOOKUP(P507,'PREMIUM TABLES'!$G$208:$H$209,2,FALSE)</f>
        <v>0.05</v>
      </c>
      <c r="V507" s="230">
        <f>VLOOKUP(Q507,'PREMIUM TABLES'!$G$175:$H$195,2,FALSE)</f>
        <v>0.15</v>
      </c>
      <c r="W507" s="230">
        <f>VLOOKUP(R507,'PREMIUM TABLES'!$G$214:$H$219,2,FALSE)</f>
        <v>0.06</v>
      </c>
      <c r="X507" s="230">
        <f>VLOOKUP(S507,'PREMIUM TABLES'!$F$199:$H$205,3,FALSE)</f>
        <v>3.5000000000000003E-2</v>
      </c>
      <c r="Y507" s="231">
        <f t="shared" si="74"/>
        <v>0.42499999999999993</v>
      </c>
      <c r="Z507" s="231" t="str" cm="1">
        <f t="array" ref="Z507">IF(AND(Y507&gt;0,Y507&lt;0.5),"C",IF(AND(Y507&gt;=0.5,Y507&lt;0.73),"B",IF(AND(Y507&gt;=0.73,Y507&lt;0.98),"A",NONE)))</f>
        <v>C</v>
      </c>
      <c r="AA507" s="231" t="str">
        <f>VLOOKUP(G507,'ALL (R)'!$N$5:$R$862,5,FALSE)</f>
        <v>R 7</v>
      </c>
      <c r="AB507" s="232">
        <f>VLOOKUP(AA507,FACTS!$B$2:$L$14,10,FALSE)</f>
        <v>50150</v>
      </c>
      <c r="AC507" s="232">
        <f>VLOOKUP(AA507,FACTS!$B$2:$L$14,11,FALSE)</f>
        <v>56050</v>
      </c>
      <c r="AD507" s="232">
        <f>VLOOKUP(AA507,FACTS!$B$2:$N$14,13,FALSE)</f>
        <v>5900</v>
      </c>
      <c r="AE507" s="232">
        <f t="shared" si="75"/>
        <v>2507.4999999999995</v>
      </c>
      <c r="AF507" s="232">
        <f t="shared" si="76"/>
        <v>52657.5</v>
      </c>
      <c r="AG507" s="232">
        <f>AF507*FACTS!$T$2</f>
        <v>17376.975000000002</v>
      </c>
      <c r="AH507" s="232">
        <f>Table1[[#This Row],[UNIT (BUILDING) RATE (SEMI FINISHED)]]+4500</f>
        <v>57157.5</v>
      </c>
      <c r="AI507" s="232">
        <f>Table1[[#This Row],[UNIT (BUILDING) RATE (SEMI FINISHED)]]+7500</f>
        <v>60157.5</v>
      </c>
      <c r="AJ507" s="232">
        <f t="shared" si="77"/>
        <v>8319885</v>
      </c>
      <c r="AK507" s="232">
        <f>Table1[[#This Row],[UNIT (BUILDING) RATE (BASIC FINISH)]]*Table1[[#This Row],[Unit Selling Area]]</f>
        <v>9030885</v>
      </c>
      <c r="AL507" s="232">
        <f>Table1[[#This Row],[UNIT (BUILDING) RATE (FULLY FINISH)]]*Table1[[#This Row],[Unit Selling Area]]</f>
        <v>9504885</v>
      </c>
      <c r="AM507" s="232">
        <f t="shared" si="78"/>
        <v>0</v>
      </c>
      <c r="AN507" s="232">
        <f>(AM507+AJ507)*FACTS!$S$2</f>
        <v>707190.22500000009</v>
      </c>
      <c r="AO507" s="101">
        <f>VLOOKUP(S507,FACTS!$A$17:$C$23,3,FALSE)</f>
        <v>2</v>
      </c>
      <c r="AP507" s="232">
        <f>VLOOKUP(AA507,FACTS!$B$2:$J$14,9,FALSE)</f>
        <v>236000</v>
      </c>
      <c r="AQ507" s="232">
        <f>Table1[[#This Row],[PARKING VALUE]]*1</f>
        <v>236000</v>
      </c>
      <c r="AR507" s="232">
        <f t="shared" si="72"/>
        <v>8555885</v>
      </c>
      <c r="AS507" s="440">
        <f>Table1[[#This Row],[TOTAL CARS VALUE]]+Table1[[#This Row],[UNIT (BUILDING) VALUE BASIC FINISHED]]+Table1[[#This Row],[UNIT (GARDEN) VALUE]]</f>
        <v>9266885</v>
      </c>
      <c r="AT507" s="232">
        <f>Table1[[#This Row],[TOTAL CARS VALUE]]+Table1[[#This Row],[UNIT (GARDEN) VALUE]]+Table1[[#This Row],[UNIT (BUILDING) VALUE FULLY FINISHED]]</f>
        <v>9740885</v>
      </c>
      <c r="AU507" s="233">
        <f>VLOOKUP(I507,'C PHASES'!$I$108:$J$110,2,FALSE)</f>
        <v>45839</v>
      </c>
      <c r="AV507" s="233">
        <f>VLOOKUP(AA507,'C PHASES'!$I$113:$J$125,2,FALSE)</f>
        <v>45748</v>
      </c>
    </row>
    <row r="508" spans="1:48" x14ac:dyDescent="0.25">
      <c r="A508" s="235"/>
      <c r="B508" s="227" t="str">
        <f t="shared" ref="B508:B571" si="81">LEFT(C508,1)</f>
        <v>B</v>
      </c>
      <c r="C508" s="227" t="s">
        <v>91</v>
      </c>
      <c r="D508" s="227" t="s">
        <v>1147</v>
      </c>
      <c r="E508" s="228">
        <v>4</v>
      </c>
      <c r="F508" s="101">
        <v>2</v>
      </c>
      <c r="G508" s="87" t="str">
        <f t="shared" si="80"/>
        <v>B1742</v>
      </c>
      <c r="H508" s="87" t="s">
        <v>1294</v>
      </c>
      <c r="I508" s="89" t="str">
        <f>VLOOKUP(C508,'PREMIUM TABLES'!$G$107:$H$149,2,FALSE)</f>
        <v>C1</v>
      </c>
      <c r="J508" s="87">
        <v>131.38</v>
      </c>
      <c r="K508" s="87">
        <v>142.66335534033439</v>
      </c>
      <c r="L508" s="87">
        <v>160</v>
      </c>
      <c r="O508" s="87" t="s">
        <v>187</v>
      </c>
      <c r="P508" s="87" t="s">
        <v>226</v>
      </c>
      <c r="Q508" s="229" t="s">
        <v>209</v>
      </c>
      <c r="R508" s="87" t="str">
        <f>VLOOKUP(E508,'PREMIUM TABLES'!$F$214:$G$219,2,FALSE)</f>
        <v>FORTH</v>
      </c>
      <c r="S508" s="87" t="str" cm="1">
        <f t="array" ref="S508">IF(AND(L508&gt;0,L508&lt;90),"A",IF(AND(L508&gt;90,L508&lt;123),"B",IF(AND(L508&gt;122,L508&lt;159),"C",IF(AND(L508&gt;159,L508&lt;185),"D",IF(AND(L508&gt;185,L508&lt;230),"E",IF(AND(L508&gt;230,L508&lt;350),"F",NONE))))))</f>
        <v>D</v>
      </c>
      <c r="T508" s="230">
        <f>VLOOKUP(O508,'PREMIUM TABLES'!$G$165:$H$172,2,FALSE)</f>
        <v>0.08</v>
      </c>
      <c r="U508" s="230">
        <f>VLOOKUP(P508,'PREMIUM TABLES'!$G$208:$H$209,2,FALSE)</f>
        <v>0.05</v>
      </c>
      <c r="V508" s="230">
        <f>VLOOKUP(Q508,'PREMIUM TABLES'!$G$175:$H$195,2,FALSE)</f>
        <v>0.6</v>
      </c>
      <c r="W508" s="230">
        <f>VLOOKUP(R508,'PREMIUM TABLES'!$G$214:$H$219,2,FALSE)</f>
        <v>0.06</v>
      </c>
      <c r="X508" s="230">
        <f>VLOOKUP(S508,'PREMIUM TABLES'!$F$199:$H$205,3,FALSE)</f>
        <v>2.5000000000000001E-2</v>
      </c>
      <c r="Y508" s="231">
        <f t="shared" si="74"/>
        <v>0.81500000000000006</v>
      </c>
      <c r="Z508" s="231" t="str" cm="1">
        <f t="array" ref="Z508">IF(AND(Y508&gt;0,Y508&lt;0.5),"C",IF(AND(Y508&gt;=0.5,Y508&lt;0.73),"B",IF(AND(Y508&gt;=0.73,Y508&lt;0.98),"A",NONE)))</f>
        <v>A</v>
      </c>
      <c r="AA508" s="231" t="str">
        <f>VLOOKUP(G508,'ALL (R)'!$N$5:$R$862,5,FALSE)</f>
        <v>R 7</v>
      </c>
      <c r="AB508" s="232">
        <f>VLOOKUP(AA508,FACTS!$B$2:$L$14,10,FALSE)</f>
        <v>50150</v>
      </c>
      <c r="AC508" s="232">
        <f>VLOOKUP(AA508,FACTS!$B$2:$L$14,11,FALSE)</f>
        <v>56050</v>
      </c>
      <c r="AD508" s="232">
        <f>VLOOKUP(AA508,FACTS!$B$2:$N$14,13,FALSE)</f>
        <v>5900</v>
      </c>
      <c r="AE508" s="232">
        <f t="shared" si="75"/>
        <v>4808.5</v>
      </c>
      <c r="AF508" s="232">
        <f t="shared" si="76"/>
        <v>54958.5</v>
      </c>
      <c r="AG508" s="232">
        <f>AF508*FACTS!$T$2</f>
        <v>18136.305</v>
      </c>
      <c r="AH508" s="232">
        <f>Table1[[#This Row],[UNIT (BUILDING) RATE (SEMI FINISHED)]]+4500</f>
        <v>59458.5</v>
      </c>
      <c r="AI508" s="232">
        <f>Table1[[#This Row],[UNIT (BUILDING) RATE (SEMI FINISHED)]]+7500</f>
        <v>62458.5</v>
      </c>
      <c r="AJ508" s="232">
        <f t="shared" si="77"/>
        <v>8793360</v>
      </c>
      <c r="AK508" s="232">
        <f>Table1[[#This Row],[UNIT (BUILDING) RATE (BASIC FINISH)]]*Table1[[#This Row],[Unit Selling Area]]</f>
        <v>9513360</v>
      </c>
      <c r="AL508" s="232">
        <f>Table1[[#This Row],[UNIT (BUILDING) RATE (FULLY FINISH)]]*Table1[[#This Row],[Unit Selling Area]]</f>
        <v>9993360</v>
      </c>
      <c r="AM508" s="232">
        <f t="shared" si="78"/>
        <v>0</v>
      </c>
      <c r="AN508" s="232">
        <f>(AM508+AJ508)*FACTS!$S$2</f>
        <v>747435.60000000009</v>
      </c>
      <c r="AO508" s="101">
        <f>VLOOKUP(S508,FACTS!$A$17:$C$23,3,FALSE)</f>
        <v>2</v>
      </c>
      <c r="AP508" s="232">
        <f>VLOOKUP(AA508,FACTS!$B$2:$J$14,9,FALSE)</f>
        <v>236000</v>
      </c>
      <c r="AQ508" s="232">
        <f>Table1[[#This Row],[PARKING VALUE]]*1</f>
        <v>236000</v>
      </c>
      <c r="AR508" s="232">
        <f t="shared" si="72"/>
        <v>9029360</v>
      </c>
      <c r="AS508" s="440">
        <f>Table1[[#This Row],[TOTAL CARS VALUE]]+Table1[[#This Row],[UNIT (BUILDING) VALUE BASIC FINISHED]]+Table1[[#This Row],[UNIT (GARDEN) VALUE]]</f>
        <v>9749360</v>
      </c>
      <c r="AT508" s="232">
        <f>Table1[[#This Row],[TOTAL CARS VALUE]]+Table1[[#This Row],[UNIT (GARDEN) VALUE]]+Table1[[#This Row],[UNIT (BUILDING) VALUE FULLY FINISHED]]</f>
        <v>10229360</v>
      </c>
      <c r="AU508" s="233">
        <f>VLOOKUP(I508,'C PHASES'!$I$108:$J$110,2,FALSE)</f>
        <v>45839</v>
      </c>
      <c r="AV508" s="233">
        <f>VLOOKUP(AA508,'C PHASES'!$I$113:$J$125,2,FALSE)</f>
        <v>45748</v>
      </c>
    </row>
    <row r="509" spans="1:48" x14ac:dyDescent="0.25">
      <c r="A509" s="235"/>
      <c r="B509" s="227" t="str">
        <f t="shared" si="81"/>
        <v>B</v>
      </c>
      <c r="C509" s="227" t="s">
        <v>91</v>
      </c>
      <c r="D509" s="227" t="s">
        <v>1147</v>
      </c>
      <c r="E509" s="228">
        <v>4</v>
      </c>
      <c r="F509" s="101">
        <v>3</v>
      </c>
      <c r="G509" s="87" t="str">
        <f t="shared" si="80"/>
        <v>B1743</v>
      </c>
      <c r="H509" s="87" t="s">
        <v>1294</v>
      </c>
      <c r="I509" s="89" t="str">
        <f>VLOOKUP(C509,'PREMIUM TABLES'!$G$107:$H$149,2,FALSE)</f>
        <v>C1</v>
      </c>
      <c r="J509" s="87">
        <v>127.19</v>
      </c>
      <c r="K509" s="87">
        <v>138.1135040777678</v>
      </c>
      <c r="L509" s="87">
        <v>155</v>
      </c>
      <c r="O509" s="87" t="s">
        <v>187</v>
      </c>
      <c r="P509" s="87" t="s">
        <v>190</v>
      </c>
      <c r="Q509" s="229" t="s">
        <v>209</v>
      </c>
      <c r="R509" s="87" t="str">
        <f>VLOOKUP(E509,'PREMIUM TABLES'!$F$214:$G$219,2,FALSE)</f>
        <v>FORTH</v>
      </c>
      <c r="S509" s="87" t="str" cm="1">
        <f t="array" ref="S509">IF(AND(L509&gt;0,L509&lt;90),"A",IF(AND(L509&gt;90,L509&lt;123),"B",IF(AND(L509&gt;122,L509&lt;159),"C",IF(AND(L509&gt;159,L509&lt;185),"D",IF(AND(L509&gt;185,L509&lt;230),"E",IF(AND(L509&gt;230,L509&lt;350),"F",NONE))))))</f>
        <v>C</v>
      </c>
      <c r="T509" s="230">
        <f>VLOOKUP(O509,'PREMIUM TABLES'!$G$165:$H$172,2,FALSE)</f>
        <v>0.08</v>
      </c>
      <c r="U509" s="230">
        <f>VLOOKUP(P509,'PREMIUM TABLES'!$G$208:$H$209,2,FALSE)</f>
        <v>2.5000000000000001E-2</v>
      </c>
      <c r="V509" s="230">
        <f>VLOOKUP(Q509,'PREMIUM TABLES'!$G$175:$H$195,2,FALSE)</f>
        <v>0.6</v>
      </c>
      <c r="W509" s="230">
        <f>VLOOKUP(R509,'PREMIUM TABLES'!$G$214:$H$219,2,FALSE)</f>
        <v>0.06</v>
      </c>
      <c r="X509" s="230">
        <f>VLOOKUP(S509,'PREMIUM TABLES'!$F$199:$H$205,3,FALSE)</f>
        <v>3.5000000000000003E-2</v>
      </c>
      <c r="Y509" s="231">
        <f t="shared" si="74"/>
        <v>0.79999999999999993</v>
      </c>
      <c r="Z509" s="231" t="str" cm="1">
        <f t="array" ref="Z509">IF(AND(Y509&gt;0,Y509&lt;0.5),"C",IF(AND(Y509&gt;=0.5,Y509&lt;0.73),"B",IF(AND(Y509&gt;=0.73,Y509&lt;0.98),"A",NONE)))</f>
        <v>A</v>
      </c>
      <c r="AA509" s="231" t="str">
        <f>VLOOKUP(G509,'ALL (R)'!$N$5:$R$862,5,FALSE)</f>
        <v>R 6</v>
      </c>
      <c r="AB509" s="232">
        <f>VLOOKUP(AA509,FACTS!$B$2:$L$14,10,FALSE)</f>
        <v>48450.000000000007</v>
      </c>
      <c r="AC509" s="232">
        <f>VLOOKUP(AA509,FACTS!$B$2:$L$14,11,FALSE)</f>
        <v>54150.000000000007</v>
      </c>
      <c r="AD509" s="232">
        <f>VLOOKUP(AA509,FACTS!$B$2:$N$14,13,FALSE)</f>
        <v>5700</v>
      </c>
      <c r="AE509" s="232">
        <f t="shared" si="75"/>
        <v>4560</v>
      </c>
      <c r="AF509" s="232">
        <f t="shared" si="76"/>
        <v>53010.000000000007</v>
      </c>
      <c r="AG509" s="232">
        <f>AF509*FACTS!$T$2</f>
        <v>17493.300000000003</v>
      </c>
      <c r="AH509" s="232">
        <f>Table1[[#This Row],[UNIT (BUILDING) RATE (SEMI FINISHED)]]+4500</f>
        <v>57510.000000000007</v>
      </c>
      <c r="AI509" s="232">
        <f>Table1[[#This Row],[UNIT (BUILDING) RATE (SEMI FINISHED)]]+7500</f>
        <v>60510.000000000007</v>
      </c>
      <c r="AJ509" s="232">
        <f t="shared" si="77"/>
        <v>8216550.0000000009</v>
      </c>
      <c r="AK509" s="232">
        <f>Table1[[#This Row],[UNIT (BUILDING) RATE (BASIC FINISH)]]*Table1[[#This Row],[Unit Selling Area]]</f>
        <v>8914050.0000000019</v>
      </c>
      <c r="AL509" s="232">
        <f>Table1[[#This Row],[UNIT (BUILDING) RATE (FULLY FINISH)]]*Table1[[#This Row],[Unit Selling Area]]</f>
        <v>9379050.0000000019</v>
      </c>
      <c r="AM509" s="232">
        <f t="shared" si="78"/>
        <v>0</v>
      </c>
      <c r="AN509" s="232">
        <f>(AM509+AJ509)*FACTS!$S$2</f>
        <v>698406.75000000012</v>
      </c>
      <c r="AO509" s="101">
        <f>VLOOKUP(S509,FACTS!$A$17:$C$23,3,FALSE)</f>
        <v>2</v>
      </c>
      <c r="AP509" s="232">
        <f>VLOOKUP(AA509,FACTS!$B$2:$J$14,9,FALSE)</f>
        <v>228000.00000000003</v>
      </c>
      <c r="AQ509" s="232">
        <f>Table1[[#This Row],[PARKING VALUE]]*1</f>
        <v>228000.00000000003</v>
      </c>
      <c r="AR509" s="232">
        <f t="shared" si="72"/>
        <v>8444550.0000000019</v>
      </c>
      <c r="AS509" s="440">
        <f>Table1[[#This Row],[TOTAL CARS VALUE]]+Table1[[#This Row],[UNIT (BUILDING) VALUE BASIC FINISHED]]+Table1[[#This Row],[UNIT (GARDEN) VALUE]]</f>
        <v>9142050.0000000019</v>
      </c>
      <c r="AT509" s="232">
        <f>Table1[[#This Row],[TOTAL CARS VALUE]]+Table1[[#This Row],[UNIT (GARDEN) VALUE]]+Table1[[#This Row],[UNIT (BUILDING) VALUE FULLY FINISHED]]</f>
        <v>9607050.0000000019</v>
      </c>
      <c r="AU509" s="233">
        <f>VLOOKUP(I509,'C PHASES'!$I$108:$J$110,2,FALSE)</f>
        <v>45839</v>
      </c>
      <c r="AV509" s="233">
        <f>VLOOKUP(AA509,'C PHASES'!$I$113:$J$125,2,FALSE)</f>
        <v>45658</v>
      </c>
    </row>
    <row r="510" spans="1:48" x14ac:dyDescent="0.25">
      <c r="A510" s="235"/>
      <c r="B510" s="227" t="str">
        <f t="shared" si="81"/>
        <v>B</v>
      </c>
      <c r="C510" s="227" t="s">
        <v>91</v>
      </c>
      <c r="D510" s="227" t="s">
        <v>1147</v>
      </c>
      <c r="E510" s="228">
        <v>4</v>
      </c>
      <c r="F510" s="101">
        <v>4</v>
      </c>
      <c r="G510" s="87" t="str">
        <f t="shared" si="80"/>
        <v>B1744</v>
      </c>
      <c r="H510" s="87" t="s">
        <v>1294</v>
      </c>
      <c r="I510" s="89" t="str">
        <f>VLOOKUP(C510,'PREMIUM TABLES'!$G$107:$H$149,2,FALSE)</f>
        <v>C1</v>
      </c>
      <c r="J510" s="87">
        <v>125.13</v>
      </c>
      <c r="K510" s="87">
        <v>135.87658436395222</v>
      </c>
      <c r="L510" s="87">
        <v>153</v>
      </c>
      <c r="O510" s="87" t="s">
        <v>180</v>
      </c>
      <c r="P510" s="87" t="s">
        <v>190</v>
      </c>
      <c r="Q510" s="229" t="s">
        <v>198</v>
      </c>
      <c r="R510" s="87" t="str">
        <f>VLOOKUP(E510,'PREMIUM TABLES'!$F$214:$G$219,2,FALSE)</f>
        <v>FORTH</v>
      </c>
      <c r="S510" s="87" t="str" cm="1">
        <f t="array" ref="S510">IF(AND(L510&gt;0,L510&lt;90),"A",IF(AND(L510&gt;90,L510&lt;123),"B",IF(AND(L510&gt;122,L510&lt;159),"C",IF(AND(L510&gt;159,L510&lt;185),"D",IF(AND(L510&gt;185,L510&lt;230),"E",IF(AND(L510&gt;230,L510&lt;350),"F",NONE))))))</f>
        <v>C</v>
      </c>
      <c r="T510" s="230">
        <f>VLOOKUP(O510,'PREMIUM TABLES'!$G$165:$H$172,2,FALSE)</f>
        <v>0.13</v>
      </c>
      <c r="U510" s="230">
        <f>VLOOKUP(P510,'PREMIUM TABLES'!$G$208:$H$209,2,FALSE)</f>
        <v>2.5000000000000001E-2</v>
      </c>
      <c r="V510" s="230">
        <f>VLOOKUP(Q510,'PREMIUM TABLES'!$G$175:$H$195,2,FALSE)</f>
        <v>0.15</v>
      </c>
      <c r="W510" s="230">
        <f>VLOOKUP(R510,'PREMIUM TABLES'!$G$214:$H$219,2,FALSE)</f>
        <v>0.06</v>
      </c>
      <c r="X510" s="230">
        <f>VLOOKUP(S510,'PREMIUM TABLES'!$F$199:$H$205,3,FALSE)</f>
        <v>3.5000000000000003E-2</v>
      </c>
      <c r="Y510" s="231">
        <f t="shared" si="74"/>
        <v>0.4</v>
      </c>
      <c r="Z510" s="231" t="str" cm="1">
        <f t="array" ref="Z510">IF(AND(Y510&gt;0,Y510&lt;0.5),"C",IF(AND(Y510&gt;=0.5,Y510&lt;0.73),"B",IF(AND(Y510&gt;=0.73,Y510&lt;0.98),"A",NONE)))</f>
        <v>C</v>
      </c>
      <c r="AA510" s="231" t="str">
        <f>VLOOKUP(G510,'ALL (R)'!$N$5:$R$862,5,FALSE)</f>
        <v>R 5</v>
      </c>
      <c r="AB510" s="232">
        <f>VLOOKUP(AA510,FACTS!$B$2:$L$14,10,FALSE)</f>
        <v>46750.000000000007</v>
      </c>
      <c r="AC510" s="232">
        <f>VLOOKUP(AA510,FACTS!$B$2:$L$14,11,FALSE)</f>
        <v>52250.000000000007</v>
      </c>
      <c r="AD510" s="232">
        <f>VLOOKUP(AA510,FACTS!$B$2:$N$14,13,FALSE)</f>
        <v>5500</v>
      </c>
      <c r="AE510" s="232">
        <f t="shared" si="75"/>
        <v>2200</v>
      </c>
      <c r="AF510" s="232">
        <f t="shared" si="76"/>
        <v>48950.000000000007</v>
      </c>
      <c r="AG510" s="232">
        <f>AF510*FACTS!$T$2</f>
        <v>16153.500000000004</v>
      </c>
      <c r="AH510" s="232">
        <f>Table1[[#This Row],[UNIT (BUILDING) RATE (SEMI FINISHED)]]+4500</f>
        <v>53450.000000000007</v>
      </c>
      <c r="AI510" s="232">
        <f>Table1[[#This Row],[UNIT (BUILDING) RATE (SEMI FINISHED)]]+7500</f>
        <v>56450.000000000007</v>
      </c>
      <c r="AJ510" s="232">
        <f t="shared" si="77"/>
        <v>7489350.0000000009</v>
      </c>
      <c r="AK510" s="232">
        <f>Table1[[#This Row],[UNIT (BUILDING) RATE (BASIC FINISH)]]*Table1[[#This Row],[Unit Selling Area]]</f>
        <v>8177850.0000000009</v>
      </c>
      <c r="AL510" s="232">
        <f>Table1[[#This Row],[UNIT (BUILDING) RATE (FULLY FINISH)]]*Table1[[#This Row],[Unit Selling Area]]</f>
        <v>8636850.0000000019</v>
      </c>
      <c r="AM510" s="232">
        <f t="shared" si="78"/>
        <v>0</v>
      </c>
      <c r="AN510" s="232">
        <f>(AM510+AJ510)*FACTS!$S$2</f>
        <v>636594.75000000012</v>
      </c>
      <c r="AO510" s="101">
        <f>VLOOKUP(S510,FACTS!$A$17:$C$23,3,FALSE)</f>
        <v>2</v>
      </c>
      <c r="AP510" s="232">
        <f>VLOOKUP(AA510,FACTS!$B$2:$J$14,9,FALSE)</f>
        <v>220000.00000000003</v>
      </c>
      <c r="AQ510" s="232">
        <f>Table1[[#This Row],[PARKING VALUE]]*1</f>
        <v>220000.00000000003</v>
      </c>
      <c r="AR510" s="232">
        <f t="shared" si="72"/>
        <v>7709350.0000000009</v>
      </c>
      <c r="AS510" s="440">
        <f>Table1[[#This Row],[TOTAL CARS VALUE]]+Table1[[#This Row],[UNIT (BUILDING) VALUE BASIC FINISHED]]+Table1[[#This Row],[UNIT (GARDEN) VALUE]]</f>
        <v>8397850.0000000019</v>
      </c>
      <c r="AT510" s="232">
        <f>Table1[[#This Row],[TOTAL CARS VALUE]]+Table1[[#This Row],[UNIT (GARDEN) VALUE]]+Table1[[#This Row],[UNIT (BUILDING) VALUE FULLY FINISHED]]</f>
        <v>8856850.0000000019</v>
      </c>
      <c r="AU510" s="233">
        <f>VLOOKUP(I510,'C PHASES'!$I$108:$J$110,2,FALSE)</f>
        <v>45839</v>
      </c>
      <c r="AV510" s="233">
        <f>VLOOKUP(AA510,'C PHASES'!$I$113:$J$125,2,FALSE)</f>
        <v>45566</v>
      </c>
    </row>
    <row r="511" spans="1:48" ht="22.5" x14ac:dyDescent="0.25">
      <c r="A511" s="235" t="s">
        <v>31</v>
      </c>
      <c r="B511" s="227" t="str">
        <f t="shared" si="81"/>
        <v>B</v>
      </c>
      <c r="C511" s="227" t="s">
        <v>97</v>
      </c>
      <c r="D511" s="227" t="s">
        <v>1147</v>
      </c>
      <c r="E511" s="228">
        <v>0</v>
      </c>
      <c r="F511" s="101">
        <v>1</v>
      </c>
      <c r="G511" s="87" t="str">
        <f>LEFT(C511,3)&amp;E511&amp;F511</f>
        <v>B1801</v>
      </c>
      <c r="H511" s="87" t="s">
        <v>1293</v>
      </c>
      <c r="I511" s="89" t="str">
        <f>VLOOKUP(C511,'PREMIUM TABLES'!$G$107:$H$149,2,FALSE)</f>
        <v>C1</v>
      </c>
      <c r="J511" s="87">
        <v>94.92</v>
      </c>
      <c r="K511" s="87">
        <v>105.12823941945527</v>
      </c>
      <c r="L511" s="87">
        <v>116</v>
      </c>
      <c r="M511" s="87">
        <v>62.982999999999997</v>
      </c>
      <c r="O511" s="87" t="s">
        <v>180</v>
      </c>
      <c r="P511" s="87" t="s">
        <v>190</v>
      </c>
      <c r="Q511" s="229" t="s">
        <v>198</v>
      </c>
      <c r="R511" s="87" t="str">
        <f>VLOOKUP(E511,'PREMIUM TABLES'!$F$214:$G$219,2,FALSE)</f>
        <v>GROUND</v>
      </c>
      <c r="S511" s="87" t="str" cm="1">
        <f t="array" ref="S511">IF(AND(L511&gt;0,L511&lt;90),"A",IF(AND(L511&gt;90,L511&lt;123),"B",IF(AND(L511&gt;122,L511&lt;159),"C",IF(AND(L511&gt;159,L511&lt;185),"D",IF(AND(L511&gt;185,L511&lt;230),"E",IF(AND(L511&gt;230,L511&lt;350),"F",NONE))))))</f>
        <v>B</v>
      </c>
      <c r="T511" s="230">
        <f>VLOOKUP(O511,'PREMIUM TABLES'!$G$165:$H$172,2,FALSE)</f>
        <v>0.13</v>
      </c>
      <c r="U511" s="230">
        <f>VLOOKUP(P511,'PREMIUM TABLES'!$G$208:$H$209,2,FALSE)</f>
        <v>2.5000000000000001E-2</v>
      </c>
      <c r="V511" s="230">
        <f>VLOOKUP(Q511,'PREMIUM TABLES'!$G$175:$H$195,2,FALSE)</f>
        <v>0.15</v>
      </c>
      <c r="W511" s="230">
        <f>VLOOKUP(R511,'PREMIUM TABLES'!$G$214:$H$219,2,FALSE)</f>
        <v>0.05</v>
      </c>
      <c r="X511" s="230">
        <f>VLOOKUP(S511,'PREMIUM TABLES'!$F$199:$H$205,3,FALSE)</f>
        <v>0.04</v>
      </c>
      <c r="Y511" s="231">
        <f t="shared" si="74"/>
        <v>0.39499999999999996</v>
      </c>
      <c r="Z511" s="231" t="str" cm="1">
        <f t="array" ref="Z511">IF(AND(Y511&gt;0,Y511&lt;0.5),"C",IF(AND(Y511&gt;=0.5,Y511&lt;0.73),"B",IF(AND(Y511&gt;=0.73,Y511&lt;0.98),"A",NONE)))</f>
        <v>C</v>
      </c>
      <c r="AA511" s="231" t="str">
        <f>VLOOKUP(G511,'ALL (R)'!$N$5:$R$862,5,FALSE)</f>
        <v>R 4</v>
      </c>
      <c r="AB511" s="232">
        <f>VLOOKUP(AA511,FACTS!$B$2:$L$14,10,FALSE)</f>
        <v>45687.5</v>
      </c>
      <c r="AC511" s="232">
        <f>VLOOKUP(AA511,FACTS!$B$2:$L$14,11,FALSE)</f>
        <v>51062.5</v>
      </c>
      <c r="AD511" s="232">
        <f>VLOOKUP(AA511,FACTS!$B$2:$N$14,13,FALSE)</f>
        <v>5375</v>
      </c>
      <c r="AE511" s="232">
        <f t="shared" si="75"/>
        <v>2123.125</v>
      </c>
      <c r="AF511" s="232">
        <f t="shared" si="76"/>
        <v>47810.625</v>
      </c>
      <c r="AG511" s="232">
        <f>AF511*FACTS!$T$2</f>
        <v>15777.50625</v>
      </c>
      <c r="AH511" s="232">
        <f>Table1[[#This Row],[UNIT (BUILDING) RATE (SEMI FINISHED)]]+4500</f>
        <v>52310.625</v>
      </c>
      <c r="AI511" s="232">
        <f>Table1[[#This Row],[UNIT (BUILDING) RATE (SEMI FINISHED)]]+7500</f>
        <v>55310.625</v>
      </c>
      <c r="AJ511" s="232">
        <f t="shared" si="77"/>
        <v>5546032.5</v>
      </c>
      <c r="AK511" s="232">
        <f>Table1[[#This Row],[UNIT (BUILDING) RATE (BASIC FINISH)]]*Table1[[#This Row],[Unit Selling Area]]</f>
        <v>6068032.5</v>
      </c>
      <c r="AL511" s="232">
        <f>Table1[[#This Row],[UNIT (BUILDING) RATE (FULLY FINISH)]]*Table1[[#This Row],[Unit Selling Area]]</f>
        <v>6416032.5</v>
      </c>
      <c r="AM511" s="232">
        <f t="shared" si="78"/>
        <v>993714.67614374997</v>
      </c>
      <c r="AN511" s="232">
        <f>(AM511+AJ511)*FACTS!$S$2</f>
        <v>555878.50997221877</v>
      </c>
      <c r="AO511" s="101">
        <f>VLOOKUP(S511,FACTS!$A$17:$C$23,3,FALSE)</f>
        <v>1</v>
      </c>
      <c r="AP511" s="232">
        <f>VLOOKUP(AA511,FACTS!$B$2:$J$14,9,FALSE)</f>
        <v>215000</v>
      </c>
      <c r="AQ511" s="232">
        <f>Table1[[#This Row],[PARKING VALUE]]*1</f>
        <v>215000</v>
      </c>
      <c r="AR511" s="232">
        <f t="shared" si="72"/>
        <v>6754747.1761437505</v>
      </c>
      <c r="AS511" s="440">
        <f>Table1[[#This Row],[TOTAL CARS VALUE]]+Table1[[#This Row],[UNIT (BUILDING) VALUE BASIC FINISHED]]+Table1[[#This Row],[UNIT (GARDEN) VALUE]]</f>
        <v>7276747.1761437496</v>
      </c>
      <c r="AT511" s="232">
        <f>Table1[[#This Row],[TOTAL CARS VALUE]]+Table1[[#This Row],[UNIT (GARDEN) VALUE]]+Table1[[#This Row],[UNIT (BUILDING) VALUE FULLY FINISHED]]</f>
        <v>7624747.1761437505</v>
      </c>
      <c r="AU511" s="233">
        <f>VLOOKUP(I511,'C PHASES'!$I$108:$J$110,2,FALSE)</f>
        <v>45839</v>
      </c>
      <c r="AV511" s="233">
        <f>VLOOKUP(AA511,'C PHASES'!$I$113:$J$125,2,FALSE)</f>
        <v>45474</v>
      </c>
    </row>
    <row r="512" spans="1:48" x14ac:dyDescent="0.25">
      <c r="A512" s="235"/>
      <c r="B512" s="227" t="str">
        <f t="shared" si="81"/>
        <v>B</v>
      </c>
      <c r="C512" s="227" t="s">
        <v>97</v>
      </c>
      <c r="D512" s="227" t="s">
        <v>1147</v>
      </c>
      <c r="E512" s="228">
        <v>0</v>
      </c>
      <c r="F512" s="101">
        <v>2</v>
      </c>
      <c r="G512" s="87" t="str">
        <f t="shared" ref="G512:G530" si="82">LEFT(C512,3)&amp;E512&amp;F512</f>
        <v>B1802</v>
      </c>
      <c r="H512" s="87" t="s">
        <v>1294</v>
      </c>
      <c r="I512" s="89" t="str">
        <f>VLOOKUP(C512,'PREMIUM TABLES'!$G$107:$H$149,2,FALSE)</f>
        <v>C1</v>
      </c>
      <c r="J512" s="87">
        <v>163.35</v>
      </c>
      <c r="K512" s="87">
        <v>180.91759280623702</v>
      </c>
      <c r="L512" s="87">
        <v>199</v>
      </c>
      <c r="M512" s="87">
        <v>76.321799999999996</v>
      </c>
      <c r="O512" s="87" t="s">
        <v>187</v>
      </c>
      <c r="P512" s="87" t="s">
        <v>190</v>
      </c>
      <c r="Q512" s="229" t="s">
        <v>209</v>
      </c>
      <c r="R512" s="87" t="str">
        <f>VLOOKUP(E512,'PREMIUM TABLES'!$F$214:$G$219,2,FALSE)</f>
        <v>GROUND</v>
      </c>
      <c r="S512" s="87" t="str" cm="1">
        <f t="array" ref="S512">IF(AND(L512&gt;0,L512&lt;90),"A",IF(AND(L512&gt;90,L512&lt;123),"B",IF(AND(L512&gt;122,L512&lt;159),"C",IF(AND(L512&gt;159,L512&lt;185),"D",IF(AND(L512&gt;185,L512&lt;230),"E",IF(AND(L512&gt;230,L512&lt;350),"F",NONE))))))</f>
        <v>E</v>
      </c>
      <c r="T512" s="230">
        <f>VLOOKUP(O512,'PREMIUM TABLES'!$G$165:$H$172,2,FALSE)</f>
        <v>0.08</v>
      </c>
      <c r="U512" s="230">
        <f>VLOOKUP(P512,'PREMIUM TABLES'!$G$208:$H$209,2,FALSE)</f>
        <v>2.5000000000000001E-2</v>
      </c>
      <c r="V512" s="230">
        <f>VLOOKUP(Q512,'PREMIUM TABLES'!$G$175:$H$195,2,FALSE)</f>
        <v>0.6</v>
      </c>
      <c r="W512" s="230">
        <f>VLOOKUP(R512,'PREMIUM TABLES'!$G$214:$H$219,2,FALSE)</f>
        <v>0.05</v>
      </c>
      <c r="X512" s="230">
        <f>VLOOKUP(S512,'PREMIUM TABLES'!$F$199:$H$205,3,FALSE)</f>
        <v>1.4999999999999999E-2</v>
      </c>
      <c r="Y512" s="231">
        <f t="shared" si="74"/>
        <v>0.77</v>
      </c>
      <c r="Z512" s="231" t="str" cm="1">
        <f t="array" ref="Z512">IF(AND(Y512&gt;0,Y512&lt;0.5),"C",IF(AND(Y512&gt;=0.5,Y512&lt;0.73),"B",IF(AND(Y512&gt;=0.73,Y512&lt;0.98),"A",NONE)))</f>
        <v>A</v>
      </c>
      <c r="AA512" s="231" t="str">
        <f>VLOOKUP(G512,'ALL (R)'!$N$5:$R$862,5,FALSE)</f>
        <v>R 3</v>
      </c>
      <c r="AB512" s="232">
        <f>VLOOKUP(AA512,FACTS!$B$2:$L$14,10,FALSE)</f>
        <v>44625</v>
      </c>
      <c r="AC512" s="232">
        <f>VLOOKUP(AA512,FACTS!$B$2:$L$14,11,FALSE)</f>
        <v>49875</v>
      </c>
      <c r="AD512" s="232">
        <f>VLOOKUP(AA512,FACTS!$B$2:$N$14,13,FALSE)</f>
        <v>5250</v>
      </c>
      <c r="AE512" s="232">
        <f t="shared" si="75"/>
        <v>4042.5</v>
      </c>
      <c r="AF512" s="232">
        <f t="shared" si="76"/>
        <v>48667.5</v>
      </c>
      <c r="AG512" s="232">
        <f>AF512*FACTS!$T$2</f>
        <v>16060.275000000001</v>
      </c>
      <c r="AH512" s="232">
        <f>Table1[[#This Row],[UNIT (BUILDING) RATE (SEMI FINISHED)]]+4500</f>
        <v>53167.5</v>
      </c>
      <c r="AI512" s="232">
        <f>Table1[[#This Row],[UNIT (BUILDING) RATE (SEMI FINISHED)]]+7500</f>
        <v>56167.5</v>
      </c>
      <c r="AJ512" s="232">
        <f t="shared" si="77"/>
        <v>9684832.5</v>
      </c>
      <c r="AK512" s="232">
        <f>Table1[[#This Row],[UNIT (BUILDING) RATE (BASIC FINISH)]]*Table1[[#This Row],[Unit Selling Area]]</f>
        <v>10580332.5</v>
      </c>
      <c r="AL512" s="232">
        <f>Table1[[#This Row],[UNIT (BUILDING) RATE (FULLY FINISH)]]*Table1[[#This Row],[Unit Selling Area]]</f>
        <v>11177332.5</v>
      </c>
      <c r="AM512" s="232">
        <f t="shared" si="78"/>
        <v>1225749.0964949999</v>
      </c>
      <c r="AN512" s="232">
        <f>(AM512+AJ512)*FACTS!$S$2</f>
        <v>927399.43570207513</v>
      </c>
      <c r="AO512" s="101">
        <f>VLOOKUP(S512,FACTS!$A$17:$C$23,3,FALSE)</f>
        <v>2</v>
      </c>
      <c r="AP512" s="232">
        <f>VLOOKUP(AA512,FACTS!$B$2:$J$14,9,FALSE)</f>
        <v>210000</v>
      </c>
      <c r="AQ512" s="232">
        <f>Table1[[#This Row],[PARKING VALUE]]*1</f>
        <v>210000</v>
      </c>
      <c r="AR512" s="232">
        <f t="shared" si="72"/>
        <v>11120581.596495001</v>
      </c>
      <c r="AS512" s="440">
        <f>Table1[[#This Row],[TOTAL CARS VALUE]]+Table1[[#This Row],[UNIT (BUILDING) VALUE BASIC FINISHED]]+Table1[[#This Row],[UNIT (GARDEN) VALUE]]</f>
        <v>12016081.596495001</v>
      </c>
      <c r="AT512" s="232">
        <f>Table1[[#This Row],[TOTAL CARS VALUE]]+Table1[[#This Row],[UNIT (GARDEN) VALUE]]+Table1[[#This Row],[UNIT (BUILDING) VALUE FULLY FINISHED]]</f>
        <v>12613081.596495001</v>
      </c>
      <c r="AU512" s="233">
        <f>VLOOKUP(I512,'C PHASES'!$I$108:$J$110,2,FALSE)</f>
        <v>45839</v>
      </c>
      <c r="AV512" s="233">
        <f>VLOOKUP(AA512,'C PHASES'!$I$113:$J$125,2,FALSE)</f>
        <v>45383</v>
      </c>
    </row>
    <row r="513" spans="1:48" x14ac:dyDescent="0.25">
      <c r="A513" s="235"/>
      <c r="B513" s="227" t="str">
        <f t="shared" si="81"/>
        <v>B</v>
      </c>
      <c r="C513" s="227" t="s">
        <v>97</v>
      </c>
      <c r="D513" s="227" t="s">
        <v>1147</v>
      </c>
      <c r="E513" s="228">
        <v>0</v>
      </c>
      <c r="F513" s="101">
        <v>3</v>
      </c>
      <c r="G513" s="87" t="str">
        <f t="shared" si="82"/>
        <v>B1803</v>
      </c>
      <c r="H513" s="87" t="s">
        <v>1295</v>
      </c>
      <c r="I513" s="89" t="str">
        <f>VLOOKUP(C513,'PREMIUM TABLES'!$G$107:$H$149,2,FALSE)</f>
        <v>C1</v>
      </c>
      <c r="J513" s="87">
        <v>183.89</v>
      </c>
      <c r="K513" s="87">
        <v>203.66658182515411</v>
      </c>
      <c r="L513" s="87">
        <v>224</v>
      </c>
      <c r="M513" s="87">
        <v>61.571399999999997</v>
      </c>
      <c r="O513" s="87" t="s">
        <v>187</v>
      </c>
      <c r="P513" s="87" t="s">
        <v>226</v>
      </c>
      <c r="Q513" s="229" t="s">
        <v>209</v>
      </c>
      <c r="R513" s="87" t="str">
        <f>VLOOKUP(E513,'PREMIUM TABLES'!$F$214:$G$219,2,FALSE)</f>
        <v>GROUND</v>
      </c>
      <c r="S513" s="87" t="str" cm="1">
        <f t="array" ref="S513">IF(AND(L513&gt;0,L513&lt;90),"A",IF(AND(L513&gt;90,L513&lt;123),"B",IF(AND(L513&gt;122,L513&lt;159),"C",IF(AND(L513&gt;159,L513&lt;185),"D",IF(AND(L513&gt;185,L513&lt;230),"E",IF(AND(L513&gt;230,L513&lt;350),"F",NONE))))))</f>
        <v>E</v>
      </c>
      <c r="T513" s="230">
        <f>VLOOKUP(O513,'PREMIUM TABLES'!$G$165:$H$172,2,FALSE)</f>
        <v>0.08</v>
      </c>
      <c r="U513" s="230">
        <f>VLOOKUP(P513,'PREMIUM TABLES'!$G$208:$H$209,2,FALSE)</f>
        <v>0.05</v>
      </c>
      <c r="V513" s="230">
        <f>VLOOKUP(Q513,'PREMIUM TABLES'!$G$175:$H$195,2,FALSE)</f>
        <v>0.6</v>
      </c>
      <c r="W513" s="230">
        <f>VLOOKUP(R513,'PREMIUM TABLES'!$G$214:$H$219,2,FALSE)</f>
        <v>0.05</v>
      </c>
      <c r="X513" s="230">
        <f>VLOOKUP(S513,'PREMIUM TABLES'!$F$199:$H$205,3,FALSE)</f>
        <v>1.4999999999999999E-2</v>
      </c>
      <c r="Y513" s="231">
        <f t="shared" si="74"/>
        <v>0.79500000000000004</v>
      </c>
      <c r="Z513" s="231" t="str" cm="1">
        <f t="array" ref="Z513">IF(AND(Y513&gt;0,Y513&lt;0.5),"C",IF(AND(Y513&gt;=0.5,Y513&lt;0.73),"B",IF(AND(Y513&gt;=0.73,Y513&lt;0.98),"A",NONE)))</f>
        <v>A</v>
      </c>
      <c r="AA513" s="231" t="str">
        <f>VLOOKUP(G513,'ALL (R)'!$N$5:$R$862,5,FALSE)</f>
        <v>R 5</v>
      </c>
      <c r="AB513" s="232">
        <f>VLOOKUP(AA513,FACTS!$B$2:$L$14,10,FALSE)</f>
        <v>46750.000000000007</v>
      </c>
      <c r="AC513" s="232">
        <f>VLOOKUP(AA513,FACTS!$B$2:$L$14,11,FALSE)</f>
        <v>52250.000000000007</v>
      </c>
      <c r="AD513" s="232">
        <f>VLOOKUP(AA513,FACTS!$B$2:$N$14,13,FALSE)</f>
        <v>5500</v>
      </c>
      <c r="AE513" s="232">
        <f t="shared" si="75"/>
        <v>4372.5</v>
      </c>
      <c r="AF513" s="232">
        <f t="shared" si="76"/>
        <v>51122.500000000007</v>
      </c>
      <c r="AG513" s="232">
        <f>AF513*FACTS!$T$2</f>
        <v>16870.425000000003</v>
      </c>
      <c r="AH513" s="232">
        <f>Table1[[#This Row],[UNIT (BUILDING) RATE (SEMI FINISHED)]]+4500</f>
        <v>55622.500000000007</v>
      </c>
      <c r="AI513" s="232">
        <f>Table1[[#This Row],[UNIT (BUILDING) RATE (SEMI FINISHED)]]+7500</f>
        <v>58622.500000000007</v>
      </c>
      <c r="AJ513" s="232">
        <f t="shared" si="77"/>
        <v>11451440.000000002</v>
      </c>
      <c r="AK513" s="232">
        <f>Table1[[#This Row],[UNIT (BUILDING) RATE (BASIC FINISH)]]*Table1[[#This Row],[Unit Selling Area]]</f>
        <v>12459440.000000002</v>
      </c>
      <c r="AL513" s="232">
        <f>Table1[[#This Row],[UNIT (BUILDING) RATE (FULLY FINISH)]]*Table1[[#This Row],[Unit Selling Area]]</f>
        <v>13131440.000000002</v>
      </c>
      <c r="AM513" s="232">
        <f t="shared" si="78"/>
        <v>1038735.6858450001</v>
      </c>
      <c r="AN513" s="232">
        <f>(AM513+AJ513)*FACTS!$S$2</f>
        <v>1061664.9332968253</v>
      </c>
      <c r="AO513" s="101">
        <f>VLOOKUP(S513,FACTS!$A$17:$C$23,3,FALSE)</f>
        <v>2</v>
      </c>
      <c r="AP513" s="232">
        <f>VLOOKUP(AA513,FACTS!$B$2:$J$14,9,FALSE)</f>
        <v>220000.00000000003</v>
      </c>
      <c r="AQ513" s="232">
        <f>Table1[[#This Row],[PARKING VALUE]]*1</f>
        <v>220000.00000000003</v>
      </c>
      <c r="AR513" s="232">
        <f t="shared" si="72"/>
        <v>12710175.685845003</v>
      </c>
      <c r="AS513" s="440">
        <f>Table1[[#This Row],[TOTAL CARS VALUE]]+Table1[[#This Row],[UNIT (BUILDING) VALUE BASIC FINISHED]]+Table1[[#This Row],[UNIT (GARDEN) VALUE]]</f>
        <v>13718175.685845003</v>
      </c>
      <c r="AT513" s="232">
        <f>Table1[[#This Row],[TOTAL CARS VALUE]]+Table1[[#This Row],[UNIT (GARDEN) VALUE]]+Table1[[#This Row],[UNIT (BUILDING) VALUE FULLY FINISHED]]</f>
        <v>14390175.685845003</v>
      </c>
      <c r="AU513" s="233">
        <f>VLOOKUP(I513,'C PHASES'!$I$108:$J$110,2,FALSE)</f>
        <v>45839</v>
      </c>
      <c r="AV513" s="233">
        <f>VLOOKUP(AA513,'C PHASES'!$I$113:$J$125,2,FALSE)</f>
        <v>45566</v>
      </c>
    </row>
    <row r="514" spans="1:48" x14ac:dyDescent="0.25">
      <c r="A514" s="235"/>
      <c r="B514" s="227" t="str">
        <f t="shared" si="81"/>
        <v>B</v>
      </c>
      <c r="C514" s="227" t="s">
        <v>97</v>
      </c>
      <c r="D514" s="227" t="s">
        <v>1147</v>
      </c>
      <c r="E514" s="228">
        <v>0</v>
      </c>
      <c r="F514" s="101">
        <v>4</v>
      </c>
      <c r="G514" s="87" t="str">
        <f t="shared" si="82"/>
        <v>B1804</v>
      </c>
      <c r="H514" s="87" t="s">
        <v>1294</v>
      </c>
      <c r="I514" s="89" t="str">
        <f>VLOOKUP(C514,'PREMIUM TABLES'!$G$107:$H$149,2,FALSE)</f>
        <v>C1</v>
      </c>
      <c r="J514" s="87">
        <v>144.21</v>
      </c>
      <c r="K514" s="87">
        <v>159.71916779055672</v>
      </c>
      <c r="L514" s="87">
        <v>176</v>
      </c>
      <c r="M514" s="87">
        <v>85.360500000000002</v>
      </c>
      <c r="O514" s="87" t="s">
        <v>180</v>
      </c>
      <c r="P514" s="87" t="s">
        <v>226</v>
      </c>
      <c r="Q514" s="229" t="s">
        <v>198</v>
      </c>
      <c r="R514" s="87" t="str">
        <f>VLOOKUP(E514,'PREMIUM TABLES'!$F$214:$G$219,2,FALSE)</f>
        <v>GROUND</v>
      </c>
      <c r="S514" s="87" t="str" cm="1">
        <f t="array" ref="S514">IF(AND(L514&gt;0,L514&lt;90),"A",IF(AND(L514&gt;90,L514&lt;123),"B",IF(AND(L514&gt;122,L514&lt;159),"C",IF(AND(L514&gt;159,L514&lt;185),"D",IF(AND(L514&gt;185,L514&lt;230),"E",IF(AND(L514&gt;230,L514&lt;350),"F",NONE))))))</f>
        <v>D</v>
      </c>
      <c r="T514" s="230">
        <f>VLOOKUP(O514,'PREMIUM TABLES'!$G$165:$H$172,2,FALSE)</f>
        <v>0.13</v>
      </c>
      <c r="U514" s="230">
        <f>VLOOKUP(P514,'PREMIUM TABLES'!$G$208:$H$209,2,FALSE)</f>
        <v>0.05</v>
      </c>
      <c r="V514" s="230">
        <f>VLOOKUP(Q514,'PREMIUM TABLES'!$G$175:$H$195,2,FALSE)</f>
        <v>0.15</v>
      </c>
      <c r="W514" s="230">
        <f>VLOOKUP(R514,'PREMIUM TABLES'!$G$214:$H$219,2,FALSE)</f>
        <v>0.05</v>
      </c>
      <c r="X514" s="230">
        <f>VLOOKUP(S514,'PREMIUM TABLES'!$F$199:$H$205,3,FALSE)</f>
        <v>2.5000000000000001E-2</v>
      </c>
      <c r="Y514" s="231">
        <f t="shared" si="74"/>
        <v>0.40499999999999997</v>
      </c>
      <c r="Z514" s="231" t="str" cm="1">
        <f t="array" ref="Z514">IF(AND(Y514&gt;0,Y514&lt;0.5),"C",IF(AND(Y514&gt;=0.5,Y514&lt;0.73),"B",IF(AND(Y514&gt;=0.73,Y514&lt;0.98),"A",NONE)))</f>
        <v>C</v>
      </c>
      <c r="AA514" s="231" t="str">
        <f>VLOOKUP(G514,'ALL (R)'!$N$5:$R$862,5,FALSE)</f>
        <v>R 6</v>
      </c>
      <c r="AB514" s="232">
        <f>VLOOKUP(AA514,FACTS!$B$2:$L$14,10,FALSE)</f>
        <v>48450.000000000007</v>
      </c>
      <c r="AC514" s="232">
        <f>VLOOKUP(AA514,FACTS!$B$2:$L$14,11,FALSE)</f>
        <v>54150.000000000007</v>
      </c>
      <c r="AD514" s="232">
        <f>VLOOKUP(AA514,FACTS!$B$2:$N$14,13,FALSE)</f>
        <v>5700</v>
      </c>
      <c r="AE514" s="232">
        <f t="shared" si="75"/>
        <v>2308.5</v>
      </c>
      <c r="AF514" s="232">
        <f t="shared" si="76"/>
        <v>50758.500000000007</v>
      </c>
      <c r="AG514" s="232">
        <f>AF514*FACTS!$T$2</f>
        <v>16750.305000000004</v>
      </c>
      <c r="AH514" s="232">
        <f>Table1[[#This Row],[UNIT (BUILDING) RATE (SEMI FINISHED)]]+4500</f>
        <v>55258.500000000007</v>
      </c>
      <c r="AI514" s="232">
        <f>Table1[[#This Row],[UNIT (BUILDING) RATE (SEMI FINISHED)]]+7500</f>
        <v>58258.500000000007</v>
      </c>
      <c r="AJ514" s="232">
        <f t="shared" si="77"/>
        <v>8933496.0000000019</v>
      </c>
      <c r="AK514" s="232">
        <f>Table1[[#This Row],[UNIT (BUILDING) RATE (BASIC FINISH)]]*Table1[[#This Row],[Unit Selling Area]]</f>
        <v>9725496.0000000019</v>
      </c>
      <c r="AL514" s="232">
        <f>Table1[[#This Row],[UNIT (BUILDING) RATE (FULLY FINISH)]]*Table1[[#This Row],[Unit Selling Area]]</f>
        <v>10253496.000000002</v>
      </c>
      <c r="AM514" s="232">
        <f t="shared" si="78"/>
        <v>1429814.4099525004</v>
      </c>
      <c r="AN514" s="232">
        <f>(AM514+AJ514)*FACTS!$S$2</f>
        <v>880881.38484596275</v>
      </c>
      <c r="AO514" s="101">
        <f>VLOOKUP(S514,FACTS!$A$17:$C$23,3,FALSE)</f>
        <v>2</v>
      </c>
      <c r="AP514" s="232">
        <f>VLOOKUP(AA514,FACTS!$B$2:$J$14,9,FALSE)</f>
        <v>228000.00000000003</v>
      </c>
      <c r="AQ514" s="232">
        <f>Table1[[#This Row],[PARKING VALUE]]*1</f>
        <v>228000.00000000003</v>
      </c>
      <c r="AR514" s="232">
        <f t="shared" si="72"/>
        <v>10591310.409952503</v>
      </c>
      <c r="AS514" s="440">
        <f>Table1[[#This Row],[TOTAL CARS VALUE]]+Table1[[#This Row],[UNIT (BUILDING) VALUE BASIC FINISHED]]+Table1[[#This Row],[UNIT (GARDEN) VALUE]]</f>
        <v>11383310.409952503</v>
      </c>
      <c r="AT514" s="232">
        <f>Table1[[#This Row],[TOTAL CARS VALUE]]+Table1[[#This Row],[UNIT (GARDEN) VALUE]]+Table1[[#This Row],[UNIT (BUILDING) VALUE FULLY FINISHED]]</f>
        <v>11911310.409952503</v>
      </c>
      <c r="AU514" s="233">
        <f>VLOOKUP(I514,'C PHASES'!$I$108:$J$110,2,FALSE)</f>
        <v>45839</v>
      </c>
      <c r="AV514" s="233">
        <f>VLOOKUP(AA514,'C PHASES'!$I$113:$J$125,2,FALSE)</f>
        <v>45658</v>
      </c>
    </row>
    <row r="515" spans="1:48" x14ac:dyDescent="0.25">
      <c r="A515" s="235"/>
      <c r="B515" s="227" t="str">
        <f t="shared" si="81"/>
        <v>B</v>
      </c>
      <c r="C515" s="227" t="s">
        <v>97</v>
      </c>
      <c r="D515" s="227" t="s">
        <v>1147</v>
      </c>
      <c r="E515" s="228">
        <v>1</v>
      </c>
      <c r="F515" s="101">
        <v>1</v>
      </c>
      <c r="G515" s="87" t="str">
        <f t="shared" si="82"/>
        <v>B1811</v>
      </c>
      <c r="H515" s="87" t="s">
        <v>1293</v>
      </c>
      <c r="I515" s="89" t="str">
        <f>VLOOKUP(C515,'PREMIUM TABLES'!$G$107:$H$149,2,FALSE)</f>
        <v>C1</v>
      </c>
      <c r="J515" s="87">
        <v>96.29</v>
      </c>
      <c r="K515" s="87">
        <v>106.64557705119415</v>
      </c>
      <c r="L515" s="87">
        <v>117</v>
      </c>
      <c r="O515" s="87" t="s">
        <v>180</v>
      </c>
      <c r="P515" s="87" t="s">
        <v>190</v>
      </c>
      <c r="Q515" s="229" t="s">
        <v>198</v>
      </c>
      <c r="R515" s="87" t="str">
        <f>VLOOKUP(E515,'PREMIUM TABLES'!$F$214:$G$219,2,FALSE)</f>
        <v>FIRST</v>
      </c>
      <c r="S515" s="87" t="str" cm="1">
        <f t="array" ref="S515">IF(AND(L515&gt;0,L515&lt;90),"A",IF(AND(L515&gt;90,L515&lt;123),"B",IF(AND(L515&gt;122,L515&lt;159),"C",IF(AND(L515&gt;159,L515&lt;185),"D",IF(AND(L515&gt;185,L515&lt;230),"E",IF(AND(L515&gt;230,L515&lt;350),"F",NONE))))))</f>
        <v>B</v>
      </c>
      <c r="T515" s="230">
        <f>VLOOKUP(O515,'PREMIUM TABLES'!$G$165:$H$172,2,FALSE)</f>
        <v>0.13</v>
      </c>
      <c r="U515" s="230">
        <f>VLOOKUP(P515,'PREMIUM TABLES'!$G$208:$H$209,2,FALSE)</f>
        <v>2.5000000000000001E-2</v>
      </c>
      <c r="V515" s="230">
        <f>VLOOKUP(Q515,'PREMIUM TABLES'!$G$175:$H$195,2,FALSE)</f>
        <v>0.15</v>
      </c>
      <c r="W515" s="230">
        <f>VLOOKUP(R515,'PREMIUM TABLES'!$G$214:$H$219,2,FALSE)</f>
        <v>7.0000000000000007E-2</v>
      </c>
      <c r="X515" s="230">
        <f>VLOOKUP(S515,'PREMIUM TABLES'!$F$199:$H$205,3,FALSE)</f>
        <v>0.04</v>
      </c>
      <c r="Y515" s="231">
        <f t="shared" si="74"/>
        <v>0.41499999999999998</v>
      </c>
      <c r="Z515" s="231" t="str" cm="1">
        <f t="array" ref="Z515">IF(AND(Y515&gt;0,Y515&lt;0.5),"C",IF(AND(Y515&gt;=0.5,Y515&lt;0.73),"B",IF(AND(Y515&gt;=0.73,Y515&lt;0.98),"A",NONE)))</f>
        <v>C</v>
      </c>
      <c r="AA515" s="231" t="str">
        <f>VLOOKUP(G515,'ALL (R)'!$N$5:$R$862,5,FALSE)</f>
        <v>R 7</v>
      </c>
      <c r="AB515" s="232">
        <f>VLOOKUP(AA515,FACTS!$B$2:$L$14,10,FALSE)</f>
        <v>50150</v>
      </c>
      <c r="AC515" s="232">
        <f>VLOOKUP(AA515,FACTS!$B$2:$L$14,11,FALSE)</f>
        <v>56050</v>
      </c>
      <c r="AD515" s="232">
        <f>VLOOKUP(AA515,FACTS!$B$2:$N$14,13,FALSE)</f>
        <v>5900</v>
      </c>
      <c r="AE515" s="232">
        <f t="shared" si="75"/>
        <v>2448.5</v>
      </c>
      <c r="AF515" s="232">
        <f t="shared" si="76"/>
        <v>52598.5</v>
      </c>
      <c r="AG515" s="232">
        <f>AF515*FACTS!$T$2</f>
        <v>17357.505000000001</v>
      </c>
      <c r="AH515" s="232">
        <f>Table1[[#This Row],[UNIT (BUILDING) RATE (SEMI FINISHED)]]+4500</f>
        <v>57098.5</v>
      </c>
      <c r="AI515" s="232">
        <f>Table1[[#This Row],[UNIT (BUILDING) RATE (SEMI FINISHED)]]+7500</f>
        <v>60098.5</v>
      </c>
      <c r="AJ515" s="232">
        <f t="shared" si="77"/>
        <v>6154024.5</v>
      </c>
      <c r="AK515" s="232">
        <f>Table1[[#This Row],[UNIT (BUILDING) RATE (BASIC FINISH)]]*Table1[[#This Row],[Unit Selling Area]]</f>
        <v>6680524.5</v>
      </c>
      <c r="AL515" s="232">
        <f>Table1[[#This Row],[UNIT (BUILDING) RATE (FULLY FINISH)]]*Table1[[#This Row],[Unit Selling Area]]</f>
        <v>7031524.5</v>
      </c>
      <c r="AM515" s="232">
        <f t="shared" si="78"/>
        <v>0</v>
      </c>
      <c r="AN515" s="232">
        <f>(AM515+AJ515)*FACTS!$S$2</f>
        <v>523092.08250000002</v>
      </c>
      <c r="AO515" s="101">
        <f>VLOOKUP(S515,FACTS!$A$17:$C$23,3,FALSE)</f>
        <v>1</v>
      </c>
      <c r="AP515" s="232">
        <f>VLOOKUP(AA515,FACTS!$B$2:$J$14,9,FALSE)</f>
        <v>236000</v>
      </c>
      <c r="AQ515" s="232">
        <f>Table1[[#This Row],[PARKING VALUE]]*1</f>
        <v>236000</v>
      </c>
      <c r="AR515" s="232">
        <f t="shared" si="72"/>
        <v>6390024.5</v>
      </c>
      <c r="AS515" s="440">
        <f>Table1[[#This Row],[TOTAL CARS VALUE]]+Table1[[#This Row],[UNIT (BUILDING) VALUE BASIC FINISHED]]+Table1[[#This Row],[UNIT (GARDEN) VALUE]]</f>
        <v>6916524.5</v>
      </c>
      <c r="AT515" s="232">
        <f>Table1[[#This Row],[TOTAL CARS VALUE]]+Table1[[#This Row],[UNIT (GARDEN) VALUE]]+Table1[[#This Row],[UNIT (BUILDING) VALUE FULLY FINISHED]]</f>
        <v>7267524.5</v>
      </c>
      <c r="AU515" s="233">
        <f>VLOOKUP(I515,'C PHASES'!$I$108:$J$110,2,FALSE)</f>
        <v>45839</v>
      </c>
      <c r="AV515" s="233">
        <f>VLOOKUP(AA515,'C PHASES'!$I$113:$J$125,2,FALSE)</f>
        <v>45748</v>
      </c>
    </row>
    <row r="516" spans="1:48" x14ac:dyDescent="0.25">
      <c r="A516" s="235"/>
      <c r="B516" s="227" t="str">
        <f t="shared" si="81"/>
        <v>B</v>
      </c>
      <c r="C516" s="227" t="s">
        <v>97</v>
      </c>
      <c r="D516" s="227" t="s">
        <v>1147</v>
      </c>
      <c r="E516" s="228">
        <v>1</v>
      </c>
      <c r="F516" s="101">
        <v>2</v>
      </c>
      <c r="G516" s="87" t="str">
        <f t="shared" si="82"/>
        <v>B1812</v>
      </c>
      <c r="H516" s="87" t="s">
        <v>1294</v>
      </c>
      <c r="I516" s="89" t="str">
        <f>VLOOKUP(C516,'PREMIUM TABLES'!$G$107:$H$149,2,FALSE)</f>
        <v>C1</v>
      </c>
      <c r="J516" s="87">
        <v>163.05000000000001</v>
      </c>
      <c r="K516" s="87">
        <v>180.58532909125773</v>
      </c>
      <c r="L516" s="87">
        <v>199</v>
      </c>
      <c r="O516" s="87" t="s">
        <v>187</v>
      </c>
      <c r="P516" s="87" t="s">
        <v>190</v>
      </c>
      <c r="Q516" s="229" t="s">
        <v>209</v>
      </c>
      <c r="R516" s="87" t="str">
        <f>VLOOKUP(E516,'PREMIUM TABLES'!$F$214:$G$219,2,FALSE)</f>
        <v>FIRST</v>
      </c>
      <c r="S516" s="87" t="str" cm="1">
        <f t="array" ref="S516">IF(AND(L516&gt;0,L516&lt;90),"A",IF(AND(L516&gt;90,L516&lt;123),"B",IF(AND(L516&gt;122,L516&lt;159),"C",IF(AND(L516&gt;159,L516&lt;185),"D",IF(AND(L516&gt;185,L516&lt;230),"E",IF(AND(L516&gt;230,L516&lt;350),"F",NONE))))))</f>
        <v>E</v>
      </c>
      <c r="T516" s="230">
        <f>VLOOKUP(O516,'PREMIUM TABLES'!$G$165:$H$172,2,FALSE)</f>
        <v>0.08</v>
      </c>
      <c r="U516" s="230">
        <f>VLOOKUP(P516,'PREMIUM TABLES'!$G$208:$H$209,2,FALSE)</f>
        <v>2.5000000000000001E-2</v>
      </c>
      <c r="V516" s="230">
        <f>VLOOKUP(Q516,'PREMIUM TABLES'!$G$175:$H$195,2,FALSE)</f>
        <v>0.6</v>
      </c>
      <c r="W516" s="230">
        <f>VLOOKUP(R516,'PREMIUM TABLES'!$G$214:$H$219,2,FALSE)</f>
        <v>7.0000000000000007E-2</v>
      </c>
      <c r="X516" s="230">
        <f>VLOOKUP(S516,'PREMIUM TABLES'!$F$199:$H$205,3,FALSE)</f>
        <v>1.4999999999999999E-2</v>
      </c>
      <c r="Y516" s="231">
        <f t="shared" si="74"/>
        <v>0.78999999999999992</v>
      </c>
      <c r="Z516" s="231" t="str" cm="1">
        <f t="array" ref="Z516">IF(AND(Y516&gt;0,Y516&lt;0.5),"C",IF(AND(Y516&gt;=0.5,Y516&lt;0.73),"B",IF(AND(Y516&gt;=0.73,Y516&lt;0.98),"A",NONE)))</f>
        <v>A</v>
      </c>
      <c r="AA516" s="231" t="str">
        <f>VLOOKUP(G516,'ALL (R)'!$N$5:$R$862,5,FALSE)</f>
        <v>R 5</v>
      </c>
      <c r="AB516" s="232">
        <f>VLOOKUP(AA516,FACTS!$B$2:$L$14,10,FALSE)</f>
        <v>46750.000000000007</v>
      </c>
      <c r="AC516" s="232">
        <f>VLOOKUP(AA516,FACTS!$B$2:$L$14,11,FALSE)</f>
        <v>52250.000000000007</v>
      </c>
      <c r="AD516" s="232">
        <f>VLOOKUP(AA516,FACTS!$B$2:$N$14,13,FALSE)</f>
        <v>5500</v>
      </c>
      <c r="AE516" s="232">
        <f t="shared" si="75"/>
        <v>4345</v>
      </c>
      <c r="AF516" s="232">
        <f t="shared" si="76"/>
        <v>51095.000000000007</v>
      </c>
      <c r="AG516" s="232">
        <f>AF516*FACTS!$T$2</f>
        <v>16861.350000000002</v>
      </c>
      <c r="AH516" s="232">
        <f>Table1[[#This Row],[UNIT (BUILDING) RATE (SEMI FINISHED)]]+4500</f>
        <v>55595.000000000007</v>
      </c>
      <c r="AI516" s="232">
        <f>Table1[[#This Row],[UNIT (BUILDING) RATE (SEMI FINISHED)]]+7500</f>
        <v>58595.000000000007</v>
      </c>
      <c r="AJ516" s="232">
        <f t="shared" si="77"/>
        <v>10167905.000000002</v>
      </c>
      <c r="AK516" s="232">
        <f>Table1[[#This Row],[UNIT (BUILDING) RATE (BASIC FINISH)]]*Table1[[#This Row],[Unit Selling Area]]</f>
        <v>11063405.000000002</v>
      </c>
      <c r="AL516" s="232">
        <f>Table1[[#This Row],[UNIT (BUILDING) RATE (FULLY FINISH)]]*Table1[[#This Row],[Unit Selling Area]]</f>
        <v>11660405.000000002</v>
      </c>
      <c r="AM516" s="232">
        <f t="shared" si="78"/>
        <v>0</v>
      </c>
      <c r="AN516" s="232">
        <f>(AM516+AJ516)*FACTS!$S$2</f>
        <v>864271.92500000016</v>
      </c>
      <c r="AO516" s="101">
        <f>VLOOKUP(S516,FACTS!$A$17:$C$23,3,FALSE)</f>
        <v>2</v>
      </c>
      <c r="AP516" s="232">
        <f>VLOOKUP(AA516,FACTS!$B$2:$J$14,9,FALSE)</f>
        <v>220000.00000000003</v>
      </c>
      <c r="AQ516" s="232">
        <f>Table1[[#This Row],[PARKING VALUE]]*1</f>
        <v>220000.00000000003</v>
      </c>
      <c r="AR516" s="232">
        <f t="shared" si="72"/>
        <v>10387905.000000002</v>
      </c>
      <c r="AS516" s="440">
        <f>Table1[[#This Row],[TOTAL CARS VALUE]]+Table1[[#This Row],[UNIT (BUILDING) VALUE BASIC FINISHED]]+Table1[[#This Row],[UNIT (GARDEN) VALUE]]</f>
        <v>11283405.000000002</v>
      </c>
      <c r="AT516" s="232">
        <f>Table1[[#This Row],[TOTAL CARS VALUE]]+Table1[[#This Row],[UNIT (GARDEN) VALUE]]+Table1[[#This Row],[UNIT (BUILDING) VALUE FULLY FINISHED]]</f>
        <v>11880405.000000002</v>
      </c>
      <c r="AU516" s="233">
        <f>VLOOKUP(I516,'C PHASES'!$I$108:$J$110,2,FALSE)</f>
        <v>45839</v>
      </c>
      <c r="AV516" s="233">
        <f>VLOOKUP(AA516,'C PHASES'!$I$113:$J$125,2,FALSE)</f>
        <v>45566</v>
      </c>
    </row>
    <row r="517" spans="1:48" x14ac:dyDescent="0.25">
      <c r="A517" s="235"/>
      <c r="B517" s="227" t="str">
        <f t="shared" si="81"/>
        <v>B</v>
      </c>
      <c r="C517" s="227" t="s">
        <v>97</v>
      </c>
      <c r="D517" s="227" t="s">
        <v>1147</v>
      </c>
      <c r="E517" s="228">
        <v>1</v>
      </c>
      <c r="F517" s="101">
        <v>3</v>
      </c>
      <c r="G517" s="87" t="str">
        <f t="shared" si="82"/>
        <v>B1813</v>
      </c>
      <c r="H517" s="87" t="s">
        <v>1295</v>
      </c>
      <c r="I517" s="89" t="str">
        <f>VLOOKUP(C517,'PREMIUM TABLES'!$G$107:$H$149,2,FALSE)</f>
        <v>C1</v>
      </c>
      <c r="J517" s="87">
        <v>183.59</v>
      </c>
      <c r="K517" s="87">
        <v>203.33431811017482</v>
      </c>
      <c r="L517" s="87">
        <v>224</v>
      </c>
      <c r="O517" s="87" t="s">
        <v>187</v>
      </c>
      <c r="P517" s="87" t="s">
        <v>226</v>
      </c>
      <c r="Q517" s="229" t="s">
        <v>209</v>
      </c>
      <c r="R517" s="87" t="str">
        <f>VLOOKUP(E517,'PREMIUM TABLES'!$F$214:$G$219,2,FALSE)</f>
        <v>FIRST</v>
      </c>
      <c r="S517" s="87" t="str" cm="1">
        <f t="array" ref="S517">IF(AND(L517&gt;0,L517&lt;90),"A",IF(AND(L517&gt;90,L517&lt;123),"B",IF(AND(L517&gt;122,L517&lt;159),"C",IF(AND(L517&gt;159,L517&lt;185),"D",IF(AND(L517&gt;185,L517&lt;230),"E",IF(AND(L517&gt;230,L517&lt;350),"F",NONE))))))</f>
        <v>E</v>
      </c>
      <c r="T517" s="230">
        <f>VLOOKUP(O517,'PREMIUM TABLES'!$G$165:$H$172,2,FALSE)</f>
        <v>0.08</v>
      </c>
      <c r="U517" s="230">
        <f>VLOOKUP(P517,'PREMIUM TABLES'!$G$208:$H$209,2,FALSE)</f>
        <v>0.05</v>
      </c>
      <c r="V517" s="230">
        <f>VLOOKUP(Q517,'PREMIUM TABLES'!$G$175:$H$195,2,FALSE)</f>
        <v>0.6</v>
      </c>
      <c r="W517" s="230">
        <f>VLOOKUP(R517,'PREMIUM TABLES'!$G$214:$H$219,2,FALSE)</f>
        <v>7.0000000000000007E-2</v>
      </c>
      <c r="X517" s="230">
        <f>VLOOKUP(S517,'PREMIUM TABLES'!$F$199:$H$205,3,FALSE)</f>
        <v>1.4999999999999999E-2</v>
      </c>
      <c r="Y517" s="231">
        <f t="shared" si="74"/>
        <v>0.81500000000000006</v>
      </c>
      <c r="Z517" s="231" t="str" cm="1">
        <f t="array" ref="Z517">IF(AND(Y517&gt;0,Y517&lt;0.5),"C",IF(AND(Y517&gt;=0.5,Y517&lt;0.73),"B",IF(AND(Y517&gt;=0.73,Y517&lt;0.98),"A",NONE)))</f>
        <v>A</v>
      </c>
      <c r="AA517" s="231" t="str">
        <f>VLOOKUP(G517,'ALL (R)'!$N$5:$R$862,5,FALSE)</f>
        <v>R 7</v>
      </c>
      <c r="AB517" s="232">
        <f>VLOOKUP(AA517,FACTS!$B$2:$L$14,10,FALSE)</f>
        <v>50150</v>
      </c>
      <c r="AC517" s="232">
        <f>VLOOKUP(AA517,FACTS!$B$2:$L$14,11,FALSE)</f>
        <v>56050</v>
      </c>
      <c r="AD517" s="232">
        <f>VLOOKUP(AA517,FACTS!$B$2:$N$14,13,FALSE)</f>
        <v>5900</v>
      </c>
      <c r="AE517" s="232">
        <f t="shared" si="75"/>
        <v>4808.5</v>
      </c>
      <c r="AF517" s="232">
        <f t="shared" si="76"/>
        <v>54958.5</v>
      </c>
      <c r="AG517" s="232">
        <f>AF517*FACTS!$T$2</f>
        <v>18136.305</v>
      </c>
      <c r="AH517" s="232">
        <f>Table1[[#This Row],[UNIT (BUILDING) RATE (SEMI FINISHED)]]+4500</f>
        <v>59458.5</v>
      </c>
      <c r="AI517" s="232">
        <f>Table1[[#This Row],[UNIT (BUILDING) RATE (SEMI FINISHED)]]+7500</f>
        <v>62458.5</v>
      </c>
      <c r="AJ517" s="232">
        <f t="shared" si="77"/>
        <v>12310704</v>
      </c>
      <c r="AK517" s="232">
        <f>Table1[[#This Row],[UNIT (BUILDING) RATE (BASIC FINISH)]]*Table1[[#This Row],[Unit Selling Area]]</f>
        <v>13318704</v>
      </c>
      <c r="AL517" s="232">
        <f>Table1[[#This Row],[UNIT (BUILDING) RATE (FULLY FINISH)]]*Table1[[#This Row],[Unit Selling Area]]</f>
        <v>13990704</v>
      </c>
      <c r="AM517" s="232">
        <f t="shared" si="78"/>
        <v>0</v>
      </c>
      <c r="AN517" s="232">
        <f>(AM517+AJ517)*FACTS!$S$2</f>
        <v>1046409.8400000001</v>
      </c>
      <c r="AO517" s="101">
        <f>VLOOKUP(S517,FACTS!$A$17:$C$23,3,FALSE)</f>
        <v>2</v>
      </c>
      <c r="AP517" s="232">
        <f>VLOOKUP(AA517,FACTS!$B$2:$J$14,9,FALSE)</f>
        <v>236000</v>
      </c>
      <c r="AQ517" s="232">
        <f>Table1[[#This Row],[PARKING VALUE]]*1</f>
        <v>236000</v>
      </c>
      <c r="AR517" s="232">
        <f t="shared" ref="AR517:AR580" si="83">AQ517+AM517+AJ517</f>
        <v>12546704</v>
      </c>
      <c r="AS517" s="440">
        <f>Table1[[#This Row],[TOTAL CARS VALUE]]+Table1[[#This Row],[UNIT (BUILDING) VALUE BASIC FINISHED]]+Table1[[#This Row],[UNIT (GARDEN) VALUE]]</f>
        <v>13554704</v>
      </c>
      <c r="AT517" s="232">
        <f>Table1[[#This Row],[TOTAL CARS VALUE]]+Table1[[#This Row],[UNIT (GARDEN) VALUE]]+Table1[[#This Row],[UNIT (BUILDING) VALUE FULLY FINISHED]]</f>
        <v>14226704</v>
      </c>
      <c r="AU517" s="233">
        <f>VLOOKUP(I517,'C PHASES'!$I$108:$J$110,2,FALSE)</f>
        <v>45839</v>
      </c>
      <c r="AV517" s="233">
        <f>VLOOKUP(AA517,'C PHASES'!$I$113:$J$125,2,FALSE)</f>
        <v>45748</v>
      </c>
    </row>
    <row r="518" spans="1:48" x14ac:dyDescent="0.25">
      <c r="A518" s="235"/>
      <c r="B518" s="227" t="str">
        <f t="shared" si="81"/>
        <v>B</v>
      </c>
      <c r="C518" s="227" t="s">
        <v>97</v>
      </c>
      <c r="D518" s="227" t="s">
        <v>1147</v>
      </c>
      <c r="E518" s="228">
        <v>1</v>
      </c>
      <c r="F518" s="101">
        <v>4</v>
      </c>
      <c r="G518" s="87" t="str">
        <f t="shared" si="82"/>
        <v>B1814</v>
      </c>
      <c r="H518" s="87" t="s">
        <v>1294</v>
      </c>
      <c r="I518" s="89" t="str">
        <f>VLOOKUP(C518,'PREMIUM TABLES'!$G$107:$H$149,2,FALSE)</f>
        <v>C1</v>
      </c>
      <c r="J518" s="87">
        <v>141.59</v>
      </c>
      <c r="K518" s="87">
        <v>156.81739801307072</v>
      </c>
      <c r="L518" s="87">
        <v>173</v>
      </c>
      <c r="O518" s="87" t="s">
        <v>180</v>
      </c>
      <c r="P518" s="87" t="s">
        <v>226</v>
      </c>
      <c r="Q518" s="229" t="s">
        <v>198</v>
      </c>
      <c r="R518" s="87" t="str">
        <f>VLOOKUP(E518,'PREMIUM TABLES'!$F$214:$G$219,2,FALSE)</f>
        <v>FIRST</v>
      </c>
      <c r="S518" s="87" t="str" cm="1">
        <f t="array" ref="S518">IF(AND(L518&gt;0,L518&lt;90),"A",IF(AND(L518&gt;90,L518&lt;123),"B",IF(AND(L518&gt;122,L518&lt;159),"C",IF(AND(L518&gt;159,L518&lt;185),"D",IF(AND(L518&gt;185,L518&lt;230),"E",IF(AND(L518&gt;230,L518&lt;350),"F",NONE))))))</f>
        <v>D</v>
      </c>
      <c r="T518" s="230">
        <f>VLOOKUP(O518,'PREMIUM TABLES'!$G$165:$H$172,2,FALSE)</f>
        <v>0.13</v>
      </c>
      <c r="U518" s="230">
        <f>VLOOKUP(P518,'PREMIUM TABLES'!$G$208:$H$209,2,FALSE)</f>
        <v>0.05</v>
      </c>
      <c r="V518" s="230">
        <f>VLOOKUP(Q518,'PREMIUM TABLES'!$G$175:$H$195,2,FALSE)</f>
        <v>0.15</v>
      </c>
      <c r="W518" s="230">
        <f>VLOOKUP(R518,'PREMIUM TABLES'!$G$214:$H$219,2,FALSE)</f>
        <v>7.0000000000000007E-2</v>
      </c>
      <c r="X518" s="230">
        <f>VLOOKUP(S518,'PREMIUM TABLES'!$F$199:$H$205,3,FALSE)</f>
        <v>2.5000000000000001E-2</v>
      </c>
      <c r="Y518" s="231">
        <f t="shared" ref="Y518:Y581" si="84">SUM(T518:X518)</f>
        <v>0.42499999999999999</v>
      </c>
      <c r="Z518" s="231" t="str" cm="1">
        <f t="array" ref="Z518">IF(AND(Y518&gt;0,Y518&lt;0.5),"C",IF(AND(Y518&gt;=0.5,Y518&lt;0.73),"B",IF(AND(Y518&gt;=0.73,Y518&lt;0.98),"A",NONE)))</f>
        <v>C</v>
      </c>
      <c r="AA518" s="231" t="str">
        <f>VLOOKUP(G518,'ALL (R)'!$N$5:$R$862,5,FALSE)</f>
        <v>R 8</v>
      </c>
      <c r="AB518" s="232">
        <f>VLOOKUP(AA518,FACTS!$B$2:$L$14,10,FALSE)</f>
        <v>51850</v>
      </c>
      <c r="AC518" s="232">
        <f>VLOOKUP(AA518,FACTS!$B$2:$L$14,11,FALSE)</f>
        <v>57950</v>
      </c>
      <c r="AD518" s="232">
        <f>VLOOKUP(AA518,FACTS!$B$2:$N$14,13,FALSE)</f>
        <v>6100</v>
      </c>
      <c r="AE518" s="232">
        <f t="shared" ref="AE518:AE581" si="85">AD518*Y518</f>
        <v>2592.5</v>
      </c>
      <c r="AF518" s="232">
        <f t="shared" ref="AF518:AF581" si="86">AE518+AB518</f>
        <v>54442.5</v>
      </c>
      <c r="AG518" s="232">
        <f>AF518*FACTS!$T$2</f>
        <v>17966.025000000001</v>
      </c>
      <c r="AH518" s="232">
        <f>Table1[[#This Row],[UNIT (BUILDING) RATE (SEMI FINISHED)]]+4500</f>
        <v>58942.5</v>
      </c>
      <c r="AI518" s="232">
        <f>Table1[[#This Row],[UNIT (BUILDING) RATE (SEMI FINISHED)]]+7500</f>
        <v>61942.5</v>
      </c>
      <c r="AJ518" s="232">
        <f t="shared" ref="AJ518:AJ581" si="87">AF518*L518</f>
        <v>9418552.5</v>
      </c>
      <c r="AK518" s="232">
        <f>Table1[[#This Row],[UNIT (BUILDING) RATE (BASIC FINISH)]]*Table1[[#This Row],[Unit Selling Area]]</f>
        <v>10197052.5</v>
      </c>
      <c r="AL518" s="232">
        <f>Table1[[#This Row],[UNIT (BUILDING) RATE (FULLY FINISH)]]*Table1[[#This Row],[Unit Selling Area]]</f>
        <v>10716052.5</v>
      </c>
      <c r="AM518" s="232">
        <f t="shared" ref="AM518:AM581" si="88">AG518*M518</f>
        <v>0</v>
      </c>
      <c r="AN518" s="232">
        <f>(AM518+AJ518)*FACTS!$S$2</f>
        <v>800576.96250000002</v>
      </c>
      <c r="AO518" s="101">
        <f>VLOOKUP(S518,FACTS!$A$17:$C$23,3,FALSE)</f>
        <v>2</v>
      </c>
      <c r="AP518" s="232">
        <f>VLOOKUP(AA518,FACTS!$B$2:$J$14,9,FALSE)</f>
        <v>244000</v>
      </c>
      <c r="AQ518" s="232">
        <f>Table1[[#This Row],[PARKING VALUE]]*1</f>
        <v>244000</v>
      </c>
      <c r="AR518" s="232">
        <f t="shared" si="83"/>
        <v>9662552.5</v>
      </c>
      <c r="AS518" s="440">
        <f>Table1[[#This Row],[TOTAL CARS VALUE]]+Table1[[#This Row],[UNIT (BUILDING) VALUE BASIC FINISHED]]+Table1[[#This Row],[UNIT (GARDEN) VALUE]]</f>
        <v>10441052.5</v>
      </c>
      <c r="AT518" s="232">
        <f>Table1[[#This Row],[TOTAL CARS VALUE]]+Table1[[#This Row],[UNIT (GARDEN) VALUE]]+Table1[[#This Row],[UNIT (BUILDING) VALUE FULLY FINISHED]]</f>
        <v>10960052.5</v>
      </c>
      <c r="AU518" s="233">
        <f>VLOOKUP(I518,'C PHASES'!$I$108:$J$110,2,FALSE)</f>
        <v>45839</v>
      </c>
      <c r="AV518" s="233">
        <f>VLOOKUP(AA518,'C PHASES'!$I$113:$J$125,2,FALSE)</f>
        <v>45839</v>
      </c>
    </row>
    <row r="519" spans="1:48" x14ac:dyDescent="0.25">
      <c r="A519" s="235"/>
      <c r="B519" s="227" t="str">
        <f t="shared" si="81"/>
        <v>B</v>
      </c>
      <c r="C519" s="227" t="s">
        <v>97</v>
      </c>
      <c r="D519" s="227" t="s">
        <v>1147</v>
      </c>
      <c r="E519" s="228">
        <v>2</v>
      </c>
      <c r="F519" s="101">
        <v>1</v>
      </c>
      <c r="G519" s="87" t="str">
        <f t="shared" si="82"/>
        <v>B1821</v>
      </c>
      <c r="H519" s="87" t="s">
        <v>1294</v>
      </c>
      <c r="I519" s="89" t="str">
        <f>VLOOKUP(C519,'PREMIUM TABLES'!$G$107:$H$149,2,FALSE)</f>
        <v>C1</v>
      </c>
      <c r="J519" s="87">
        <v>141.15</v>
      </c>
      <c r="K519" s="87">
        <v>156.33007789776772</v>
      </c>
      <c r="L519" s="87">
        <v>172</v>
      </c>
      <c r="O519" s="87" t="s">
        <v>180</v>
      </c>
      <c r="P519" s="87" t="s">
        <v>190</v>
      </c>
      <c r="Q519" s="229" t="s">
        <v>198</v>
      </c>
      <c r="R519" s="87" t="str">
        <f>VLOOKUP(E519,'PREMIUM TABLES'!$F$214:$G$219,2,FALSE)</f>
        <v>SECOND</v>
      </c>
      <c r="S519" s="87" t="str" cm="1">
        <f t="array" ref="S519">IF(AND(L519&gt;0,L519&lt;90),"A",IF(AND(L519&gt;90,L519&lt;123),"B",IF(AND(L519&gt;122,L519&lt;159),"C",IF(AND(L519&gt;159,L519&lt;185),"D",IF(AND(L519&gt;185,L519&lt;230),"E",IF(AND(L519&gt;230,L519&lt;350),"F",NONE))))))</f>
        <v>D</v>
      </c>
      <c r="T519" s="230">
        <f>VLOOKUP(O519,'PREMIUM TABLES'!$G$165:$H$172,2,FALSE)</f>
        <v>0.13</v>
      </c>
      <c r="U519" s="230">
        <f>VLOOKUP(P519,'PREMIUM TABLES'!$G$208:$H$209,2,FALSE)</f>
        <v>2.5000000000000001E-2</v>
      </c>
      <c r="V519" s="230">
        <f>VLOOKUP(Q519,'PREMIUM TABLES'!$G$175:$H$195,2,FALSE)</f>
        <v>0.15</v>
      </c>
      <c r="W519" s="230">
        <f>VLOOKUP(R519,'PREMIUM TABLES'!$G$214:$H$219,2,FALSE)</f>
        <v>0.11</v>
      </c>
      <c r="X519" s="230">
        <f>VLOOKUP(S519,'PREMIUM TABLES'!$F$199:$H$205,3,FALSE)</f>
        <v>2.5000000000000001E-2</v>
      </c>
      <c r="Y519" s="231">
        <f t="shared" si="84"/>
        <v>0.44</v>
      </c>
      <c r="Z519" s="231" t="str" cm="1">
        <f t="array" ref="Z519">IF(AND(Y519&gt;0,Y519&lt;0.5),"C",IF(AND(Y519&gt;=0.5,Y519&lt;0.73),"B",IF(AND(Y519&gt;=0.73,Y519&lt;0.98),"A",NONE)))</f>
        <v>C</v>
      </c>
      <c r="AA519" s="231" t="str">
        <f>VLOOKUP(G519,'ALL (R)'!$N$5:$R$862,5,FALSE)</f>
        <v>R 8</v>
      </c>
      <c r="AB519" s="232">
        <f>VLOOKUP(AA519,FACTS!$B$2:$L$14,10,FALSE)</f>
        <v>51850</v>
      </c>
      <c r="AC519" s="232">
        <f>VLOOKUP(AA519,FACTS!$B$2:$L$14,11,FALSE)</f>
        <v>57950</v>
      </c>
      <c r="AD519" s="232">
        <f>VLOOKUP(AA519,FACTS!$B$2:$N$14,13,FALSE)</f>
        <v>6100</v>
      </c>
      <c r="AE519" s="232">
        <f t="shared" si="85"/>
        <v>2684</v>
      </c>
      <c r="AF519" s="232">
        <f t="shared" si="86"/>
        <v>54534</v>
      </c>
      <c r="AG519" s="232">
        <f>AF519*FACTS!$T$2</f>
        <v>17996.22</v>
      </c>
      <c r="AH519" s="232">
        <f>Table1[[#This Row],[UNIT (BUILDING) RATE (SEMI FINISHED)]]+4500</f>
        <v>59034</v>
      </c>
      <c r="AI519" s="232">
        <f>Table1[[#This Row],[UNIT (BUILDING) RATE (SEMI FINISHED)]]+7500</f>
        <v>62034</v>
      </c>
      <c r="AJ519" s="232">
        <f t="shared" si="87"/>
        <v>9379848</v>
      </c>
      <c r="AK519" s="232">
        <f>Table1[[#This Row],[UNIT (BUILDING) RATE (BASIC FINISH)]]*Table1[[#This Row],[Unit Selling Area]]</f>
        <v>10153848</v>
      </c>
      <c r="AL519" s="232">
        <f>Table1[[#This Row],[UNIT (BUILDING) RATE (FULLY FINISH)]]*Table1[[#This Row],[Unit Selling Area]]</f>
        <v>10669848</v>
      </c>
      <c r="AM519" s="232">
        <f t="shared" si="88"/>
        <v>0</v>
      </c>
      <c r="AN519" s="232">
        <f>(AM519+AJ519)*FACTS!$S$2</f>
        <v>797287.08000000007</v>
      </c>
      <c r="AO519" s="101">
        <f>VLOOKUP(S519,FACTS!$A$17:$C$23,3,FALSE)</f>
        <v>2</v>
      </c>
      <c r="AP519" s="232">
        <f>VLOOKUP(AA519,FACTS!$B$2:$J$14,9,FALSE)</f>
        <v>244000</v>
      </c>
      <c r="AQ519" s="232">
        <f>Table1[[#This Row],[PARKING VALUE]]*1</f>
        <v>244000</v>
      </c>
      <c r="AR519" s="232">
        <f t="shared" si="83"/>
        <v>9623848</v>
      </c>
      <c r="AS519" s="440">
        <f>Table1[[#This Row],[TOTAL CARS VALUE]]+Table1[[#This Row],[UNIT (BUILDING) VALUE BASIC FINISHED]]+Table1[[#This Row],[UNIT (GARDEN) VALUE]]</f>
        <v>10397848</v>
      </c>
      <c r="AT519" s="232">
        <f>Table1[[#This Row],[TOTAL CARS VALUE]]+Table1[[#This Row],[UNIT (GARDEN) VALUE]]+Table1[[#This Row],[UNIT (BUILDING) VALUE FULLY FINISHED]]</f>
        <v>10913848</v>
      </c>
      <c r="AU519" s="233">
        <f>VLOOKUP(I519,'C PHASES'!$I$108:$J$110,2,FALSE)</f>
        <v>45839</v>
      </c>
      <c r="AV519" s="233">
        <f>VLOOKUP(AA519,'C PHASES'!$I$113:$J$125,2,FALSE)</f>
        <v>45839</v>
      </c>
    </row>
    <row r="520" spans="1:48" x14ac:dyDescent="0.25">
      <c r="A520" s="235"/>
      <c r="B520" s="227" t="str">
        <f t="shared" si="81"/>
        <v>B</v>
      </c>
      <c r="C520" s="227" t="s">
        <v>97</v>
      </c>
      <c r="D520" s="227" t="s">
        <v>1147</v>
      </c>
      <c r="E520" s="228">
        <v>2</v>
      </c>
      <c r="F520" s="101">
        <v>2</v>
      </c>
      <c r="G520" s="87" t="str">
        <f t="shared" si="82"/>
        <v>B1822</v>
      </c>
      <c r="H520" s="87" t="s">
        <v>1294</v>
      </c>
      <c r="I520" s="89" t="str">
        <f>VLOOKUP(C520,'PREMIUM TABLES'!$G$107:$H$149,2,FALSE)</f>
        <v>C1</v>
      </c>
      <c r="J520" s="87">
        <v>167.88</v>
      </c>
      <c r="K520" s="87">
        <v>185.93477490242469</v>
      </c>
      <c r="L520" s="87">
        <v>205</v>
      </c>
      <c r="O520" s="87" t="s">
        <v>187</v>
      </c>
      <c r="P520" s="87" t="s">
        <v>190</v>
      </c>
      <c r="Q520" s="229" t="s">
        <v>209</v>
      </c>
      <c r="R520" s="87" t="str">
        <f>VLOOKUP(E520,'PREMIUM TABLES'!$F$214:$G$219,2,FALSE)</f>
        <v>SECOND</v>
      </c>
      <c r="S520" s="87" t="str" cm="1">
        <f t="array" ref="S520">IF(AND(L520&gt;0,L520&lt;90),"A",IF(AND(L520&gt;90,L520&lt;123),"B",IF(AND(L520&gt;122,L520&lt;159),"C",IF(AND(L520&gt;159,L520&lt;185),"D",IF(AND(L520&gt;185,L520&lt;230),"E",IF(AND(L520&gt;230,L520&lt;350),"F",NONE))))))</f>
        <v>E</v>
      </c>
      <c r="T520" s="230">
        <f>VLOOKUP(O520,'PREMIUM TABLES'!$G$165:$H$172,2,FALSE)</f>
        <v>0.08</v>
      </c>
      <c r="U520" s="230">
        <f>VLOOKUP(P520,'PREMIUM TABLES'!$G$208:$H$209,2,FALSE)</f>
        <v>2.5000000000000001E-2</v>
      </c>
      <c r="V520" s="230">
        <f>VLOOKUP(Q520,'PREMIUM TABLES'!$G$175:$H$195,2,FALSE)</f>
        <v>0.6</v>
      </c>
      <c r="W520" s="230">
        <f>VLOOKUP(R520,'PREMIUM TABLES'!$G$214:$H$219,2,FALSE)</f>
        <v>0.11</v>
      </c>
      <c r="X520" s="230">
        <f>VLOOKUP(S520,'PREMIUM TABLES'!$F$199:$H$205,3,FALSE)</f>
        <v>1.4999999999999999E-2</v>
      </c>
      <c r="Y520" s="231">
        <f t="shared" si="84"/>
        <v>0.83</v>
      </c>
      <c r="Z520" s="231" t="str" cm="1">
        <f t="array" ref="Z520">IF(AND(Y520&gt;0,Y520&lt;0.5),"C",IF(AND(Y520&gt;=0.5,Y520&lt;0.73),"B",IF(AND(Y520&gt;=0.73,Y520&lt;0.98),"A",NONE)))</f>
        <v>A</v>
      </c>
      <c r="AA520" s="231" t="str">
        <f>VLOOKUP(G520,'ALL (R)'!$N$5:$R$862,5,FALSE)</f>
        <v>R 7</v>
      </c>
      <c r="AB520" s="232">
        <f>VLOOKUP(AA520,FACTS!$B$2:$L$14,10,FALSE)</f>
        <v>50150</v>
      </c>
      <c r="AC520" s="232">
        <f>VLOOKUP(AA520,FACTS!$B$2:$L$14,11,FALSE)</f>
        <v>56050</v>
      </c>
      <c r="AD520" s="232">
        <f>VLOOKUP(AA520,FACTS!$B$2:$N$14,13,FALSE)</f>
        <v>5900</v>
      </c>
      <c r="AE520" s="232">
        <f t="shared" si="85"/>
        <v>4897</v>
      </c>
      <c r="AF520" s="232">
        <f t="shared" si="86"/>
        <v>55047</v>
      </c>
      <c r="AG520" s="232">
        <f>AF520*FACTS!$T$2</f>
        <v>18165.510000000002</v>
      </c>
      <c r="AH520" s="232">
        <f>Table1[[#This Row],[UNIT (BUILDING) RATE (SEMI FINISHED)]]+4500</f>
        <v>59547</v>
      </c>
      <c r="AI520" s="232">
        <f>Table1[[#This Row],[UNIT (BUILDING) RATE (SEMI FINISHED)]]+7500</f>
        <v>62547</v>
      </c>
      <c r="AJ520" s="232">
        <f t="shared" si="87"/>
        <v>11284635</v>
      </c>
      <c r="AK520" s="232">
        <f>Table1[[#This Row],[UNIT (BUILDING) RATE (BASIC FINISH)]]*Table1[[#This Row],[Unit Selling Area]]</f>
        <v>12207135</v>
      </c>
      <c r="AL520" s="232">
        <f>Table1[[#This Row],[UNIT (BUILDING) RATE (FULLY FINISH)]]*Table1[[#This Row],[Unit Selling Area]]</f>
        <v>12822135</v>
      </c>
      <c r="AM520" s="232">
        <f t="shared" si="88"/>
        <v>0</v>
      </c>
      <c r="AN520" s="232">
        <f>(AM520+AJ520)*FACTS!$S$2</f>
        <v>959193.97500000009</v>
      </c>
      <c r="AO520" s="101">
        <f>VLOOKUP(S520,FACTS!$A$17:$C$23,3,FALSE)</f>
        <v>2</v>
      </c>
      <c r="AP520" s="232">
        <f>VLOOKUP(AA520,FACTS!$B$2:$J$14,9,FALSE)</f>
        <v>236000</v>
      </c>
      <c r="AQ520" s="232">
        <f>Table1[[#This Row],[PARKING VALUE]]*1</f>
        <v>236000</v>
      </c>
      <c r="AR520" s="232">
        <f t="shared" si="83"/>
        <v>11520635</v>
      </c>
      <c r="AS520" s="440">
        <f>Table1[[#This Row],[TOTAL CARS VALUE]]+Table1[[#This Row],[UNIT (BUILDING) VALUE BASIC FINISHED]]+Table1[[#This Row],[UNIT (GARDEN) VALUE]]</f>
        <v>12443135</v>
      </c>
      <c r="AT520" s="232">
        <f>Table1[[#This Row],[TOTAL CARS VALUE]]+Table1[[#This Row],[UNIT (GARDEN) VALUE]]+Table1[[#This Row],[UNIT (BUILDING) VALUE FULLY FINISHED]]</f>
        <v>13058135</v>
      </c>
      <c r="AU520" s="233">
        <f>VLOOKUP(I520,'C PHASES'!$I$108:$J$110,2,FALSE)</f>
        <v>45839</v>
      </c>
      <c r="AV520" s="233">
        <f>VLOOKUP(AA520,'C PHASES'!$I$113:$J$125,2,FALSE)</f>
        <v>45748</v>
      </c>
    </row>
    <row r="521" spans="1:48" x14ac:dyDescent="0.25">
      <c r="A521" s="235"/>
      <c r="B521" s="227" t="str">
        <f t="shared" si="81"/>
        <v>B</v>
      </c>
      <c r="C521" s="227" t="s">
        <v>97</v>
      </c>
      <c r="D521" s="227" t="s">
        <v>1147</v>
      </c>
      <c r="E521" s="228">
        <v>2</v>
      </c>
      <c r="F521" s="101">
        <v>3</v>
      </c>
      <c r="G521" s="87" t="str">
        <f t="shared" si="82"/>
        <v>B1823</v>
      </c>
      <c r="H521" s="87" t="s">
        <v>1295</v>
      </c>
      <c r="I521" s="89" t="str">
        <f>VLOOKUP(C521,'PREMIUM TABLES'!$G$107:$H$149,2,FALSE)</f>
        <v>C1</v>
      </c>
      <c r="J521" s="87">
        <v>187.09</v>
      </c>
      <c r="K521" s="87">
        <v>207.21072811826681</v>
      </c>
      <c r="L521" s="87">
        <v>228</v>
      </c>
      <c r="O521" s="87" t="s">
        <v>187</v>
      </c>
      <c r="P521" s="87" t="s">
        <v>226</v>
      </c>
      <c r="Q521" s="229" t="s">
        <v>209</v>
      </c>
      <c r="R521" s="87" t="str">
        <f>VLOOKUP(E521,'PREMIUM TABLES'!$F$214:$G$219,2,FALSE)</f>
        <v>SECOND</v>
      </c>
      <c r="S521" s="87" t="str" cm="1">
        <f t="array" ref="S521">IF(AND(L521&gt;0,L521&lt;90),"A",IF(AND(L521&gt;90,L521&lt;123),"B",IF(AND(L521&gt;122,L521&lt;159),"C",IF(AND(L521&gt;159,L521&lt;185),"D",IF(AND(L521&gt;185,L521&lt;230),"E",IF(AND(L521&gt;230,L521&lt;350),"F",NONE))))))</f>
        <v>E</v>
      </c>
      <c r="T521" s="230">
        <f>VLOOKUP(O521,'PREMIUM TABLES'!$G$165:$H$172,2,FALSE)</f>
        <v>0.08</v>
      </c>
      <c r="U521" s="230">
        <f>VLOOKUP(P521,'PREMIUM TABLES'!$G$208:$H$209,2,FALSE)</f>
        <v>0.05</v>
      </c>
      <c r="V521" s="230">
        <f>VLOOKUP(Q521,'PREMIUM TABLES'!$G$175:$H$195,2,FALSE)</f>
        <v>0.6</v>
      </c>
      <c r="W521" s="230">
        <f>VLOOKUP(R521,'PREMIUM TABLES'!$G$214:$H$219,2,FALSE)</f>
        <v>0.11</v>
      </c>
      <c r="X521" s="230">
        <f>VLOOKUP(S521,'PREMIUM TABLES'!$F$199:$H$205,3,FALSE)</f>
        <v>1.4999999999999999E-2</v>
      </c>
      <c r="Y521" s="231">
        <f t="shared" si="84"/>
        <v>0.85499999999999998</v>
      </c>
      <c r="Z521" s="231" t="str" cm="1">
        <f t="array" ref="Z521">IF(AND(Y521&gt;0,Y521&lt;0.5),"C",IF(AND(Y521&gt;=0.5,Y521&lt;0.73),"B",IF(AND(Y521&gt;=0.73,Y521&lt;0.98),"A",NONE)))</f>
        <v>A</v>
      </c>
      <c r="AA521" s="231" t="str">
        <f>VLOOKUP(G521,'ALL (R)'!$N$5:$R$862,5,FALSE)</f>
        <v>R 8</v>
      </c>
      <c r="AB521" s="232">
        <f>VLOOKUP(AA521,FACTS!$B$2:$L$14,10,FALSE)</f>
        <v>51850</v>
      </c>
      <c r="AC521" s="232">
        <f>VLOOKUP(AA521,FACTS!$B$2:$L$14,11,FALSE)</f>
        <v>57950</v>
      </c>
      <c r="AD521" s="232">
        <f>VLOOKUP(AA521,FACTS!$B$2:$N$14,13,FALSE)</f>
        <v>6100</v>
      </c>
      <c r="AE521" s="232">
        <f t="shared" si="85"/>
        <v>5215.5</v>
      </c>
      <c r="AF521" s="232">
        <f t="shared" si="86"/>
        <v>57065.5</v>
      </c>
      <c r="AG521" s="232">
        <f>AF521*FACTS!$T$2</f>
        <v>18831.615000000002</v>
      </c>
      <c r="AH521" s="232">
        <f>Table1[[#This Row],[UNIT (BUILDING) RATE (SEMI FINISHED)]]+4500</f>
        <v>61565.5</v>
      </c>
      <c r="AI521" s="232">
        <f>Table1[[#This Row],[UNIT (BUILDING) RATE (SEMI FINISHED)]]+7500</f>
        <v>64565.5</v>
      </c>
      <c r="AJ521" s="232">
        <f t="shared" si="87"/>
        <v>13010934</v>
      </c>
      <c r="AK521" s="232">
        <f>Table1[[#This Row],[UNIT (BUILDING) RATE (BASIC FINISH)]]*Table1[[#This Row],[Unit Selling Area]]</f>
        <v>14036934</v>
      </c>
      <c r="AL521" s="232">
        <f>Table1[[#This Row],[UNIT (BUILDING) RATE (FULLY FINISH)]]*Table1[[#This Row],[Unit Selling Area]]</f>
        <v>14720934</v>
      </c>
      <c r="AM521" s="232">
        <f t="shared" si="88"/>
        <v>0</v>
      </c>
      <c r="AN521" s="232">
        <f>(AM521+AJ521)*FACTS!$S$2</f>
        <v>1105929.3900000001</v>
      </c>
      <c r="AO521" s="101">
        <f>VLOOKUP(S521,FACTS!$A$17:$C$23,3,FALSE)</f>
        <v>2</v>
      </c>
      <c r="AP521" s="232">
        <f>VLOOKUP(AA521,FACTS!$B$2:$J$14,9,FALSE)</f>
        <v>244000</v>
      </c>
      <c r="AQ521" s="232">
        <f>Table1[[#This Row],[PARKING VALUE]]*1</f>
        <v>244000</v>
      </c>
      <c r="AR521" s="232">
        <f t="shared" si="83"/>
        <v>13254934</v>
      </c>
      <c r="AS521" s="440">
        <f>Table1[[#This Row],[TOTAL CARS VALUE]]+Table1[[#This Row],[UNIT (BUILDING) VALUE BASIC FINISHED]]+Table1[[#This Row],[UNIT (GARDEN) VALUE]]</f>
        <v>14280934</v>
      </c>
      <c r="AT521" s="232">
        <f>Table1[[#This Row],[TOTAL CARS VALUE]]+Table1[[#This Row],[UNIT (GARDEN) VALUE]]+Table1[[#This Row],[UNIT (BUILDING) VALUE FULLY FINISHED]]</f>
        <v>14964934</v>
      </c>
      <c r="AU521" s="233">
        <f>VLOOKUP(I521,'C PHASES'!$I$108:$J$110,2,FALSE)</f>
        <v>45839</v>
      </c>
      <c r="AV521" s="233">
        <f>VLOOKUP(AA521,'C PHASES'!$I$113:$J$125,2,FALSE)</f>
        <v>45839</v>
      </c>
    </row>
    <row r="522" spans="1:48" x14ac:dyDescent="0.25">
      <c r="A522" s="235"/>
      <c r="B522" s="227" t="str">
        <f t="shared" si="81"/>
        <v>B</v>
      </c>
      <c r="C522" s="227" t="s">
        <v>97</v>
      </c>
      <c r="D522" s="227" t="s">
        <v>1147</v>
      </c>
      <c r="E522" s="228">
        <v>2</v>
      </c>
      <c r="F522" s="101">
        <v>4</v>
      </c>
      <c r="G522" s="87" t="str">
        <f t="shared" si="82"/>
        <v>B1824</v>
      </c>
      <c r="H522" s="87" t="s">
        <v>1294</v>
      </c>
      <c r="I522" s="89" t="str">
        <f>VLOOKUP(C522,'PREMIUM TABLES'!$G$107:$H$149,2,FALSE)</f>
        <v>C1</v>
      </c>
      <c r="J522" s="87">
        <v>143.97</v>
      </c>
      <c r="K522" s="87">
        <v>159.45335681857327</v>
      </c>
      <c r="L522" s="87">
        <v>176</v>
      </c>
      <c r="O522" s="87" t="s">
        <v>180</v>
      </c>
      <c r="P522" s="87" t="s">
        <v>226</v>
      </c>
      <c r="Q522" s="229" t="s">
        <v>198</v>
      </c>
      <c r="R522" s="87" t="str">
        <f>VLOOKUP(E522,'PREMIUM TABLES'!$F$214:$G$219,2,FALSE)</f>
        <v>SECOND</v>
      </c>
      <c r="S522" s="87" t="str" cm="1">
        <f t="array" ref="S522">IF(AND(L522&gt;0,L522&lt;90),"A",IF(AND(L522&gt;90,L522&lt;123),"B",IF(AND(L522&gt;122,L522&lt;159),"C",IF(AND(L522&gt;159,L522&lt;185),"D",IF(AND(L522&gt;185,L522&lt;230),"E",IF(AND(L522&gt;230,L522&lt;350),"F",NONE))))))</f>
        <v>D</v>
      </c>
      <c r="T522" s="230">
        <f>VLOOKUP(O522,'PREMIUM TABLES'!$G$165:$H$172,2,FALSE)</f>
        <v>0.13</v>
      </c>
      <c r="U522" s="230">
        <f>VLOOKUP(P522,'PREMIUM TABLES'!$G$208:$H$209,2,FALSE)</f>
        <v>0.05</v>
      </c>
      <c r="V522" s="230">
        <f>VLOOKUP(Q522,'PREMIUM TABLES'!$G$175:$H$195,2,FALSE)</f>
        <v>0.15</v>
      </c>
      <c r="W522" s="230">
        <f>VLOOKUP(R522,'PREMIUM TABLES'!$G$214:$H$219,2,FALSE)</f>
        <v>0.11</v>
      </c>
      <c r="X522" s="230">
        <f>VLOOKUP(S522,'PREMIUM TABLES'!$F$199:$H$205,3,FALSE)</f>
        <v>2.5000000000000001E-2</v>
      </c>
      <c r="Y522" s="231">
        <f t="shared" si="84"/>
        <v>0.46499999999999997</v>
      </c>
      <c r="Z522" s="231" t="str" cm="1">
        <f t="array" ref="Z522">IF(AND(Y522&gt;0,Y522&lt;0.5),"C",IF(AND(Y522&gt;=0.5,Y522&lt;0.73),"B",IF(AND(Y522&gt;=0.73,Y522&lt;0.98),"A",NONE)))</f>
        <v>C</v>
      </c>
      <c r="AA522" s="231" t="str">
        <f>VLOOKUP(G522,'ALL (R)'!$N$5:$R$862,5,FALSE)</f>
        <v>R 11</v>
      </c>
      <c r="AB522" s="232">
        <f>VLOOKUP(AA522,FACTS!$B$2:$L$14,10,FALSE)</f>
        <v>58649.999999999993</v>
      </c>
      <c r="AC522" s="232">
        <f>VLOOKUP(AA522,FACTS!$B$2:$L$14,11,FALSE)</f>
        <v>65550</v>
      </c>
      <c r="AD522" s="232">
        <f>VLOOKUP(AA522,FACTS!$B$2:$N$14,13,FALSE)</f>
        <v>6900.0000000000073</v>
      </c>
      <c r="AE522" s="232">
        <f t="shared" si="85"/>
        <v>3208.5000000000032</v>
      </c>
      <c r="AF522" s="232">
        <f t="shared" si="86"/>
        <v>61858.499999999993</v>
      </c>
      <c r="AG522" s="232">
        <f>AF522*FACTS!$T$2</f>
        <v>20413.305</v>
      </c>
      <c r="AH522" s="232">
        <f>Table1[[#This Row],[UNIT (BUILDING) RATE (SEMI FINISHED)]]+4500</f>
        <v>66358.5</v>
      </c>
      <c r="AI522" s="232">
        <f>Table1[[#This Row],[UNIT (BUILDING) RATE (SEMI FINISHED)]]+7500</f>
        <v>69358.5</v>
      </c>
      <c r="AJ522" s="232">
        <f t="shared" si="87"/>
        <v>10887095.999999998</v>
      </c>
      <c r="AK522" s="232">
        <f>Table1[[#This Row],[UNIT (BUILDING) RATE (BASIC FINISH)]]*Table1[[#This Row],[Unit Selling Area]]</f>
        <v>11679096</v>
      </c>
      <c r="AL522" s="232">
        <f>Table1[[#This Row],[UNIT (BUILDING) RATE (FULLY FINISH)]]*Table1[[#This Row],[Unit Selling Area]]</f>
        <v>12207096</v>
      </c>
      <c r="AM522" s="232">
        <f t="shared" si="88"/>
        <v>0</v>
      </c>
      <c r="AN522" s="232">
        <f>(AM522+AJ522)*FACTS!$S$2</f>
        <v>925403.15999999992</v>
      </c>
      <c r="AO522" s="101">
        <f>VLOOKUP(S522,FACTS!$A$17:$C$23,3,FALSE)</f>
        <v>2</v>
      </c>
      <c r="AP522" s="232">
        <f>VLOOKUP(AA522,FACTS!$B$2:$J$14,9,FALSE)</f>
        <v>276000</v>
      </c>
      <c r="AQ522" s="232">
        <f>Table1[[#This Row],[PARKING VALUE]]*1</f>
        <v>276000</v>
      </c>
      <c r="AR522" s="232">
        <f t="shared" si="83"/>
        <v>11163095.999999998</v>
      </c>
      <c r="AS522" s="440">
        <f>Table1[[#This Row],[TOTAL CARS VALUE]]+Table1[[#This Row],[UNIT (BUILDING) VALUE BASIC FINISHED]]+Table1[[#This Row],[UNIT (GARDEN) VALUE]]</f>
        <v>11955096</v>
      </c>
      <c r="AT522" s="232">
        <f>Table1[[#This Row],[TOTAL CARS VALUE]]+Table1[[#This Row],[UNIT (GARDEN) VALUE]]+Table1[[#This Row],[UNIT (BUILDING) VALUE FULLY FINISHED]]</f>
        <v>12483096</v>
      </c>
      <c r="AU522" s="233">
        <f>VLOOKUP(I522,'C PHASES'!$I$108:$J$110,2,FALSE)</f>
        <v>45839</v>
      </c>
      <c r="AV522" s="233">
        <f>VLOOKUP(AA522,'C PHASES'!$I$113:$J$125,2,FALSE)</f>
        <v>46113</v>
      </c>
    </row>
    <row r="523" spans="1:48" x14ac:dyDescent="0.25">
      <c r="A523" s="235"/>
      <c r="B523" s="227" t="str">
        <f t="shared" si="81"/>
        <v>B</v>
      </c>
      <c r="C523" s="227" t="s">
        <v>97</v>
      </c>
      <c r="D523" s="227" t="s">
        <v>1147</v>
      </c>
      <c r="E523" s="228">
        <v>3</v>
      </c>
      <c r="F523" s="101">
        <v>1</v>
      </c>
      <c r="G523" s="87" t="str">
        <f t="shared" si="82"/>
        <v>B1831</v>
      </c>
      <c r="H523" s="87" t="s">
        <v>1294</v>
      </c>
      <c r="I523" s="89" t="str">
        <f>VLOOKUP(C523,'PREMIUM TABLES'!$G$107:$H$149,2,FALSE)</f>
        <v>C1</v>
      </c>
      <c r="J523" s="87">
        <v>141.38999999999999</v>
      </c>
      <c r="K523" s="87">
        <v>156.59588886975115</v>
      </c>
      <c r="L523" s="87">
        <v>172</v>
      </c>
      <c r="O523" s="87" t="s">
        <v>180</v>
      </c>
      <c r="P523" s="87" t="s">
        <v>190</v>
      </c>
      <c r="Q523" s="229" t="s">
        <v>198</v>
      </c>
      <c r="R523" s="87" t="str">
        <f>VLOOKUP(E523,'PREMIUM TABLES'!$F$214:$G$219,2,FALSE)</f>
        <v>THIRD</v>
      </c>
      <c r="S523" s="87" t="str" cm="1">
        <f t="array" ref="S523">IF(AND(L523&gt;0,L523&lt;90),"A",IF(AND(L523&gt;90,L523&lt;123),"B",IF(AND(L523&gt;122,L523&lt;159),"C",IF(AND(L523&gt;159,L523&lt;185),"D",IF(AND(L523&gt;185,L523&lt;230),"E",IF(AND(L523&gt;230,L523&lt;350),"F",NONE))))))</f>
        <v>D</v>
      </c>
      <c r="T523" s="230">
        <f>VLOOKUP(O523,'PREMIUM TABLES'!$G$165:$H$172,2,FALSE)</f>
        <v>0.13</v>
      </c>
      <c r="U523" s="230">
        <f>VLOOKUP(P523,'PREMIUM TABLES'!$G$208:$H$209,2,FALSE)</f>
        <v>2.5000000000000001E-2</v>
      </c>
      <c r="V523" s="230">
        <f>VLOOKUP(Q523,'PREMIUM TABLES'!$G$175:$H$195,2,FALSE)</f>
        <v>0.15</v>
      </c>
      <c r="W523" s="230">
        <f>VLOOKUP(R523,'PREMIUM TABLES'!$G$214:$H$219,2,FALSE)</f>
        <v>0.15</v>
      </c>
      <c r="X523" s="230">
        <f>VLOOKUP(S523,'PREMIUM TABLES'!$F$199:$H$205,3,FALSE)</f>
        <v>2.5000000000000001E-2</v>
      </c>
      <c r="Y523" s="231">
        <f t="shared" si="84"/>
        <v>0.48</v>
      </c>
      <c r="Z523" s="231" t="str" cm="1">
        <f t="array" ref="Z523">IF(AND(Y523&gt;0,Y523&lt;0.5),"C",IF(AND(Y523&gt;=0.5,Y523&lt;0.73),"B",IF(AND(Y523&gt;=0.73,Y523&lt;0.98),"A",NONE)))</f>
        <v>C</v>
      </c>
      <c r="AA523" s="231" t="str">
        <f>VLOOKUP(G523,'ALL (R)'!$N$5:$R$862,5,FALSE)</f>
        <v>R 12</v>
      </c>
      <c r="AB523" s="232">
        <f>VLOOKUP(AA523,FACTS!$B$2:$L$14,10,FALSE)</f>
        <v>61625</v>
      </c>
      <c r="AC523" s="232">
        <f>VLOOKUP(AA523,FACTS!$B$2:$L$14,11,FALSE)</f>
        <v>68875</v>
      </c>
      <c r="AD523" s="232">
        <f>VLOOKUP(AA523,FACTS!$B$2:$N$14,13,FALSE)</f>
        <v>7250</v>
      </c>
      <c r="AE523" s="232">
        <f t="shared" si="85"/>
        <v>3480</v>
      </c>
      <c r="AF523" s="232">
        <f t="shared" si="86"/>
        <v>65105</v>
      </c>
      <c r="AG523" s="232">
        <f>AF523*FACTS!$T$2</f>
        <v>21484.65</v>
      </c>
      <c r="AH523" s="232">
        <f>Table1[[#This Row],[UNIT (BUILDING) RATE (SEMI FINISHED)]]+4500</f>
        <v>69605</v>
      </c>
      <c r="AI523" s="232">
        <f>Table1[[#This Row],[UNIT (BUILDING) RATE (SEMI FINISHED)]]+7500</f>
        <v>72605</v>
      </c>
      <c r="AJ523" s="232">
        <f t="shared" si="87"/>
        <v>11198060</v>
      </c>
      <c r="AK523" s="232">
        <f>Table1[[#This Row],[UNIT (BUILDING) RATE (BASIC FINISH)]]*Table1[[#This Row],[Unit Selling Area]]</f>
        <v>11972060</v>
      </c>
      <c r="AL523" s="232">
        <f>Table1[[#This Row],[UNIT (BUILDING) RATE (FULLY FINISH)]]*Table1[[#This Row],[Unit Selling Area]]</f>
        <v>12488060</v>
      </c>
      <c r="AM523" s="232">
        <f t="shared" si="88"/>
        <v>0</v>
      </c>
      <c r="AN523" s="232">
        <f>(AM523+AJ523)*FACTS!$S$2</f>
        <v>951835.10000000009</v>
      </c>
      <c r="AO523" s="101">
        <f>VLOOKUP(S523,FACTS!$A$17:$C$23,3,FALSE)</f>
        <v>2</v>
      </c>
      <c r="AP523" s="232">
        <f>VLOOKUP(AA523,FACTS!$B$2:$J$14,9,FALSE)</f>
        <v>290000</v>
      </c>
      <c r="AQ523" s="232">
        <f>Table1[[#This Row],[PARKING VALUE]]*1</f>
        <v>290000</v>
      </c>
      <c r="AR523" s="232">
        <f t="shared" si="83"/>
        <v>11488060</v>
      </c>
      <c r="AS523" s="440">
        <f>Table1[[#This Row],[TOTAL CARS VALUE]]+Table1[[#This Row],[UNIT (BUILDING) VALUE BASIC FINISHED]]+Table1[[#This Row],[UNIT (GARDEN) VALUE]]</f>
        <v>12262060</v>
      </c>
      <c r="AT523" s="232">
        <f>Table1[[#This Row],[TOTAL CARS VALUE]]+Table1[[#This Row],[UNIT (GARDEN) VALUE]]+Table1[[#This Row],[UNIT (BUILDING) VALUE FULLY FINISHED]]</f>
        <v>12778060</v>
      </c>
      <c r="AU523" s="233">
        <f>VLOOKUP(I523,'C PHASES'!$I$108:$J$110,2,FALSE)</f>
        <v>45839</v>
      </c>
      <c r="AV523" s="233">
        <f>VLOOKUP(AA523,'C PHASES'!$I$113:$J$125,2,FALSE)</f>
        <v>46204</v>
      </c>
    </row>
    <row r="524" spans="1:48" x14ac:dyDescent="0.25">
      <c r="A524" s="235"/>
      <c r="B524" s="227" t="str">
        <f t="shared" si="81"/>
        <v>B</v>
      </c>
      <c r="C524" s="227" t="s">
        <v>97</v>
      </c>
      <c r="D524" s="227" t="s">
        <v>1147</v>
      </c>
      <c r="E524" s="228">
        <v>3</v>
      </c>
      <c r="F524" s="101">
        <v>2</v>
      </c>
      <c r="G524" s="87" t="str">
        <f t="shared" si="82"/>
        <v>B1832</v>
      </c>
      <c r="H524" s="87" t="s">
        <v>1294</v>
      </c>
      <c r="I524" s="89" t="str">
        <f>VLOOKUP(C524,'PREMIUM TABLES'!$G$107:$H$149,2,FALSE)</f>
        <v>C1</v>
      </c>
      <c r="J524" s="87">
        <v>165.71</v>
      </c>
      <c r="K524" s="87">
        <v>183.53140069740763</v>
      </c>
      <c r="L524" s="87">
        <v>202</v>
      </c>
      <c r="O524" s="87" t="s">
        <v>187</v>
      </c>
      <c r="P524" s="87" t="s">
        <v>190</v>
      </c>
      <c r="Q524" s="229" t="s">
        <v>209</v>
      </c>
      <c r="R524" s="87" t="str">
        <f>VLOOKUP(E524,'PREMIUM TABLES'!$F$214:$G$219,2,FALSE)</f>
        <v>THIRD</v>
      </c>
      <c r="S524" s="87" t="str" cm="1">
        <f t="array" ref="S524">IF(AND(L524&gt;0,L524&lt;90),"A",IF(AND(L524&gt;90,L524&lt;123),"B",IF(AND(L524&gt;122,L524&lt;159),"C",IF(AND(L524&gt;159,L524&lt;185),"D",IF(AND(L524&gt;185,L524&lt;230),"E",IF(AND(L524&gt;230,L524&lt;350),"F",NONE))))))</f>
        <v>E</v>
      </c>
      <c r="T524" s="230">
        <f>VLOOKUP(O524,'PREMIUM TABLES'!$G$165:$H$172,2,FALSE)</f>
        <v>0.08</v>
      </c>
      <c r="U524" s="230">
        <f>VLOOKUP(P524,'PREMIUM TABLES'!$G$208:$H$209,2,FALSE)</f>
        <v>2.5000000000000001E-2</v>
      </c>
      <c r="V524" s="230">
        <f>VLOOKUP(Q524,'PREMIUM TABLES'!$G$175:$H$195,2,FALSE)</f>
        <v>0.6</v>
      </c>
      <c r="W524" s="230">
        <f>VLOOKUP(R524,'PREMIUM TABLES'!$G$214:$H$219,2,FALSE)</f>
        <v>0.15</v>
      </c>
      <c r="X524" s="230">
        <f>VLOOKUP(S524,'PREMIUM TABLES'!$F$199:$H$205,3,FALSE)</f>
        <v>1.4999999999999999E-2</v>
      </c>
      <c r="Y524" s="231">
        <f t="shared" si="84"/>
        <v>0.87</v>
      </c>
      <c r="Z524" s="231" t="str" cm="1">
        <f t="array" ref="Z524">IF(AND(Y524&gt;0,Y524&lt;0.5),"C",IF(AND(Y524&gt;=0.5,Y524&lt;0.73),"B",IF(AND(Y524&gt;=0.73,Y524&lt;0.98),"A",NONE)))</f>
        <v>A</v>
      </c>
      <c r="AA524" s="231" t="str">
        <f>VLOOKUP(G524,'ALL (R)'!$N$5:$R$862,5,FALSE)</f>
        <v>R 9</v>
      </c>
      <c r="AB524" s="232">
        <f>VLOOKUP(AA524,FACTS!$B$2:$L$14,10,FALSE)</f>
        <v>53550</v>
      </c>
      <c r="AC524" s="232">
        <f>VLOOKUP(AA524,FACTS!$B$2:$L$14,11,FALSE)</f>
        <v>59850</v>
      </c>
      <c r="AD524" s="232">
        <f>VLOOKUP(AA524,FACTS!$B$2:$N$14,13,FALSE)</f>
        <v>6300</v>
      </c>
      <c r="AE524" s="232">
        <f t="shared" si="85"/>
        <v>5481</v>
      </c>
      <c r="AF524" s="232">
        <f t="shared" si="86"/>
        <v>59031</v>
      </c>
      <c r="AG524" s="232">
        <f>AF524*FACTS!$T$2</f>
        <v>19480.23</v>
      </c>
      <c r="AH524" s="232">
        <f>Table1[[#This Row],[UNIT (BUILDING) RATE (SEMI FINISHED)]]+4500</f>
        <v>63531</v>
      </c>
      <c r="AI524" s="232">
        <f>Table1[[#This Row],[UNIT (BUILDING) RATE (SEMI FINISHED)]]+7500</f>
        <v>66531</v>
      </c>
      <c r="AJ524" s="232">
        <f t="shared" si="87"/>
        <v>11924262</v>
      </c>
      <c r="AK524" s="232">
        <f>Table1[[#This Row],[UNIT (BUILDING) RATE (BASIC FINISH)]]*Table1[[#This Row],[Unit Selling Area]]</f>
        <v>12833262</v>
      </c>
      <c r="AL524" s="232">
        <f>Table1[[#This Row],[UNIT (BUILDING) RATE (FULLY FINISH)]]*Table1[[#This Row],[Unit Selling Area]]</f>
        <v>13439262</v>
      </c>
      <c r="AM524" s="232">
        <f t="shared" si="88"/>
        <v>0</v>
      </c>
      <c r="AN524" s="232">
        <f>(AM524+AJ524)*FACTS!$S$2</f>
        <v>1013562.27</v>
      </c>
      <c r="AO524" s="101">
        <f>VLOOKUP(S524,FACTS!$A$17:$C$23,3,FALSE)</f>
        <v>2</v>
      </c>
      <c r="AP524" s="232">
        <f>VLOOKUP(AA524,FACTS!$B$2:$J$14,9,FALSE)</f>
        <v>252000</v>
      </c>
      <c r="AQ524" s="232">
        <f>Table1[[#This Row],[PARKING VALUE]]*1</f>
        <v>252000</v>
      </c>
      <c r="AR524" s="232">
        <f t="shared" si="83"/>
        <v>12176262</v>
      </c>
      <c r="AS524" s="440">
        <f>Table1[[#This Row],[TOTAL CARS VALUE]]+Table1[[#This Row],[UNIT (BUILDING) VALUE BASIC FINISHED]]+Table1[[#This Row],[UNIT (GARDEN) VALUE]]</f>
        <v>13085262</v>
      </c>
      <c r="AT524" s="232">
        <f>Table1[[#This Row],[TOTAL CARS VALUE]]+Table1[[#This Row],[UNIT (GARDEN) VALUE]]+Table1[[#This Row],[UNIT (BUILDING) VALUE FULLY FINISHED]]</f>
        <v>13691262</v>
      </c>
      <c r="AU524" s="233">
        <f>VLOOKUP(I524,'C PHASES'!$I$108:$J$110,2,FALSE)</f>
        <v>45839</v>
      </c>
      <c r="AV524" s="233">
        <f>VLOOKUP(AA524,'C PHASES'!$I$113:$J$125,2,FALSE)</f>
        <v>45931</v>
      </c>
    </row>
    <row r="525" spans="1:48" x14ac:dyDescent="0.25">
      <c r="A525" s="235"/>
      <c r="B525" s="227" t="str">
        <f t="shared" si="81"/>
        <v>B</v>
      </c>
      <c r="C525" s="227" t="s">
        <v>97</v>
      </c>
      <c r="D525" s="227" t="s">
        <v>1147</v>
      </c>
      <c r="E525" s="228">
        <v>3</v>
      </c>
      <c r="F525" s="101">
        <v>3</v>
      </c>
      <c r="G525" s="87" t="str">
        <f t="shared" si="82"/>
        <v>B1833</v>
      </c>
      <c r="H525" s="87" t="s">
        <v>1295</v>
      </c>
      <c r="I525" s="89" t="str">
        <f>VLOOKUP(C525,'PREMIUM TABLES'!$G$107:$H$149,2,FALSE)</f>
        <v>C1</v>
      </c>
      <c r="J525" s="87">
        <v>187.91</v>
      </c>
      <c r="K525" s="87">
        <v>208.11891560587694</v>
      </c>
      <c r="L525" s="87">
        <v>229</v>
      </c>
      <c r="O525" s="87" t="s">
        <v>187</v>
      </c>
      <c r="P525" s="87" t="s">
        <v>226</v>
      </c>
      <c r="Q525" s="229" t="s">
        <v>209</v>
      </c>
      <c r="R525" s="87" t="str">
        <f>VLOOKUP(E525,'PREMIUM TABLES'!$F$214:$G$219,2,FALSE)</f>
        <v>THIRD</v>
      </c>
      <c r="S525" s="87" t="str" cm="1">
        <f t="array" ref="S525">IF(AND(L525&gt;0,L525&lt;90),"A",IF(AND(L525&gt;90,L525&lt;123),"B",IF(AND(L525&gt;122,L525&lt;159),"C",IF(AND(L525&gt;159,L525&lt;185),"D",IF(AND(L525&gt;185,L525&lt;230),"E",IF(AND(L525&gt;230,L525&lt;350),"F",NONE))))))</f>
        <v>E</v>
      </c>
      <c r="T525" s="230">
        <f>VLOOKUP(O525,'PREMIUM TABLES'!$G$165:$H$172,2,FALSE)</f>
        <v>0.08</v>
      </c>
      <c r="U525" s="230">
        <f>VLOOKUP(P525,'PREMIUM TABLES'!$G$208:$H$209,2,FALSE)</f>
        <v>0.05</v>
      </c>
      <c r="V525" s="230">
        <f>VLOOKUP(Q525,'PREMIUM TABLES'!$G$175:$H$195,2,FALSE)</f>
        <v>0.6</v>
      </c>
      <c r="W525" s="230">
        <f>VLOOKUP(R525,'PREMIUM TABLES'!$G$214:$H$219,2,FALSE)</f>
        <v>0.15</v>
      </c>
      <c r="X525" s="230">
        <f>VLOOKUP(S525,'PREMIUM TABLES'!$F$199:$H$205,3,FALSE)</f>
        <v>1.4999999999999999E-2</v>
      </c>
      <c r="Y525" s="231">
        <f t="shared" si="84"/>
        <v>0.89500000000000002</v>
      </c>
      <c r="Z525" s="231" t="str" cm="1">
        <f t="array" ref="Z525">IF(AND(Y525&gt;0,Y525&lt;0.5),"C",IF(AND(Y525&gt;=0.5,Y525&lt;0.73),"B",IF(AND(Y525&gt;=0.73,Y525&lt;0.98),"A",NONE)))</f>
        <v>A</v>
      </c>
      <c r="AA525" s="231" t="str">
        <f>VLOOKUP(G525,'ALL (R)'!$N$5:$R$862,5,FALSE)</f>
        <v>R 11</v>
      </c>
      <c r="AB525" s="232">
        <f>VLOOKUP(AA525,FACTS!$B$2:$L$14,10,FALSE)</f>
        <v>58649.999999999993</v>
      </c>
      <c r="AC525" s="232">
        <f>VLOOKUP(AA525,FACTS!$B$2:$L$14,11,FALSE)</f>
        <v>65550</v>
      </c>
      <c r="AD525" s="232">
        <f>VLOOKUP(AA525,FACTS!$B$2:$N$14,13,FALSE)</f>
        <v>6900.0000000000073</v>
      </c>
      <c r="AE525" s="232">
        <f t="shared" si="85"/>
        <v>6175.5000000000064</v>
      </c>
      <c r="AF525" s="232">
        <f t="shared" si="86"/>
        <v>64825.5</v>
      </c>
      <c r="AG525" s="232">
        <f>AF525*FACTS!$T$2</f>
        <v>21392.415000000001</v>
      </c>
      <c r="AH525" s="232">
        <f>Table1[[#This Row],[UNIT (BUILDING) RATE (SEMI FINISHED)]]+4500</f>
        <v>69325.5</v>
      </c>
      <c r="AI525" s="232">
        <f>Table1[[#This Row],[UNIT (BUILDING) RATE (SEMI FINISHED)]]+7500</f>
        <v>72325.5</v>
      </c>
      <c r="AJ525" s="232">
        <f t="shared" si="87"/>
        <v>14845039.5</v>
      </c>
      <c r="AK525" s="232">
        <f>Table1[[#This Row],[UNIT (BUILDING) RATE (BASIC FINISH)]]*Table1[[#This Row],[Unit Selling Area]]</f>
        <v>15875539.5</v>
      </c>
      <c r="AL525" s="232">
        <f>Table1[[#This Row],[UNIT (BUILDING) RATE (FULLY FINISH)]]*Table1[[#This Row],[Unit Selling Area]]</f>
        <v>16562539.5</v>
      </c>
      <c r="AM525" s="232">
        <f t="shared" si="88"/>
        <v>0</v>
      </c>
      <c r="AN525" s="232">
        <f>(AM525+AJ525)*FACTS!$S$2</f>
        <v>1261828.3575000002</v>
      </c>
      <c r="AO525" s="101">
        <f>VLOOKUP(S525,FACTS!$A$17:$C$23,3,FALSE)</f>
        <v>2</v>
      </c>
      <c r="AP525" s="232">
        <f>VLOOKUP(AA525,FACTS!$B$2:$J$14,9,FALSE)</f>
        <v>276000</v>
      </c>
      <c r="AQ525" s="232">
        <f>Table1[[#This Row],[PARKING VALUE]]*1</f>
        <v>276000</v>
      </c>
      <c r="AR525" s="232">
        <f t="shared" si="83"/>
        <v>15121039.5</v>
      </c>
      <c r="AS525" s="440">
        <f>Table1[[#This Row],[TOTAL CARS VALUE]]+Table1[[#This Row],[UNIT (BUILDING) VALUE BASIC FINISHED]]+Table1[[#This Row],[UNIT (GARDEN) VALUE]]</f>
        <v>16151539.5</v>
      </c>
      <c r="AT525" s="232">
        <f>Table1[[#This Row],[TOTAL CARS VALUE]]+Table1[[#This Row],[UNIT (GARDEN) VALUE]]+Table1[[#This Row],[UNIT (BUILDING) VALUE FULLY FINISHED]]</f>
        <v>16838539.5</v>
      </c>
      <c r="AU525" s="233">
        <f>VLOOKUP(I525,'C PHASES'!$I$108:$J$110,2,FALSE)</f>
        <v>45839</v>
      </c>
      <c r="AV525" s="233">
        <f>VLOOKUP(AA525,'C PHASES'!$I$113:$J$125,2,FALSE)</f>
        <v>46113</v>
      </c>
    </row>
    <row r="526" spans="1:48" x14ac:dyDescent="0.25">
      <c r="A526" s="235"/>
      <c r="B526" s="227" t="str">
        <f t="shared" si="81"/>
        <v>B</v>
      </c>
      <c r="C526" s="227" t="s">
        <v>97</v>
      </c>
      <c r="D526" s="227" t="s">
        <v>1147</v>
      </c>
      <c r="E526" s="228">
        <v>3</v>
      </c>
      <c r="F526" s="101">
        <v>4</v>
      </c>
      <c r="G526" s="87" t="str">
        <f t="shared" si="82"/>
        <v>B1834</v>
      </c>
      <c r="H526" s="87" t="s">
        <v>1294</v>
      </c>
      <c r="I526" s="89" t="str">
        <f>VLOOKUP(C526,'PREMIUM TABLES'!$G$107:$H$149,2,FALSE)</f>
        <v>C1</v>
      </c>
      <c r="J526" s="87">
        <v>144.21</v>
      </c>
      <c r="K526" s="87">
        <v>159.71916779055672</v>
      </c>
      <c r="L526" s="87">
        <v>176</v>
      </c>
      <c r="O526" s="87" t="s">
        <v>180</v>
      </c>
      <c r="P526" s="87" t="s">
        <v>226</v>
      </c>
      <c r="Q526" s="229" t="s">
        <v>198</v>
      </c>
      <c r="R526" s="87" t="str">
        <f>VLOOKUP(E526,'PREMIUM TABLES'!$F$214:$G$219,2,FALSE)</f>
        <v>THIRD</v>
      </c>
      <c r="S526" s="87" t="str" cm="1">
        <f t="array" ref="S526">IF(AND(L526&gt;0,L526&lt;90),"A",IF(AND(L526&gt;90,L526&lt;123),"B",IF(AND(L526&gt;122,L526&lt;159),"C",IF(AND(L526&gt;159,L526&lt;185),"D",IF(AND(L526&gt;185,L526&lt;230),"E",IF(AND(L526&gt;230,L526&lt;350),"F",NONE))))))</f>
        <v>D</v>
      </c>
      <c r="T526" s="230">
        <f>VLOOKUP(O526,'PREMIUM TABLES'!$G$165:$H$172,2,FALSE)</f>
        <v>0.13</v>
      </c>
      <c r="U526" s="230">
        <f>VLOOKUP(P526,'PREMIUM TABLES'!$G$208:$H$209,2,FALSE)</f>
        <v>0.05</v>
      </c>
      <c r="V526" s="230">
        <f>VLOOKUP(Q526,'PREMIUM TABLES'!$G$175:$H$195,2,FALSE)</f>
        <v>0.15</v>
      </c>
      <c r="W526" s="230">
        <f>VLOOKUP(R526,'PREMIUM TABLES'!$G$214:$H$219,2,FALSE)</f>
        <v>0.15</v>
      </c>
      <c r="X526" s="230">
        <f>VLOOKUP(S526,'PREMIUM TABLES'!$F$199:$H$205,3,FALSE)</f>
        <v>2.5000000000000001E-2</v>
      </c>
      <c r="Y526" s="231">
        <f t="shared" si="84"/>
        <v>0.505</v>
      </c>
      <c r="Z526" s="231" t="str" cm="1">
        <f t="array" ref="Z526">IF(AND(Y526&gt;0,Y526&lt;0.5),"C",IF(AND(Y526&gt;=0.5,Y526&lt;0.73),"B",IF(AND(Y526&gt;=0.73,Y526&lt;0.98),"A",NONE)))</f>
        <v>B</v>
      </c>
      <c r="AA526" s="231" t="str">
        <f>VLOOKUP(G526,'ALL (R)'!$N$5:$R$862,5,FALSE)</f>
        <v>R 1</v>
      </c>
      <c r="AB526" s="232">
        <f>VLOOKUP(AA526,FACTS!$B$2:$L$14,10,FALSE)</f>
        <v>42500</v>
      </c>
      <c r="AC526" s="232">
        <f>VLOOKUP(AA526,FACTS!$B$2:$L$14,11,FALSE)</f>
        <v>47500</v>
      </c>
      <c r="AD526" s="232">
        <f>VLOOKUP(AA526,FACTS!$B$2:$N$14,13,FALSE)</f>
        <v>5000</v>
      </c>
      <c r="AE526" s="232">
        <f t="shared" si="85"/>
        <v>2525</v>
      </c>
      <c r="AF526" s="232">
        <f t="shared" si="86"/>
        <v>45025</v>
      </c>
      <c r="AG526" s="232">
        <f>AF526*FACTS!$T$2</f>
        <v>14858.25</v>
      </c>
      <c r="AH526" s="232">
        <f>Table1[[#This Row],[UNIT (BUILDING) RATE (SEMI FINISHED)]]+4500</f>
        <v>49525</v>
      </c>
      <c r="AI526" s="232">
        <f>Table1[[#This Row],[UNIT (BUILDING) RATE (SEMI FINISHED)]]+7500</f>
        <v>52525</v>
      </c>
      <c r="AJ526" s="232">
        <f t="shared" si="87"/>
        <v>7924400</v>
      </c>
      <c r="AK526" s="232">
        <f>Table1[[#This Row],[UNIT (BUILDING) RATE (BASIC FINISH)]]*Table1[[#This Row],[Unit Selling Area]]</f>
        <v>8716400</v>
      </c>
      <c r="AL526" s="232">
        <f>Table1[[#This Row],[UNIT (BUILDING) RATE (FULLY FINISH)]]*Table1[[#This Row],[Unit Selling Area]]</f>
        <v>9244400</v>
      </c>
      <c r="AM526" s="232">
        <f t="shared" si="88"/>
        <v>0</v>
      </c>
      <c r="AN526" s="232">
        <f>(AM526+AJ526)*FACTS!$S$2</f>
        <v>673574</v>
      </c>
      <c r="AO526" s="101">
        <f>VLOOKUP(S526,FACTS!$A$17:$C$23,3,FALSE)</f>
        <v>2</v>
      </c>
      <c r="AP526" s="232">
        <f>VLOOKUP(AA526,FACTS!$B$2:$J$14,9,FALSE)</f>
        <v>200000</v>
      </c>
      <c r="AQ526" s="232">
        <f>Table1[[#This Row],[PARKING VALUE]]*1</f>
        <v>200000</v>
      </c>
      <c r="AR526" s="232">
        <f t="shared" si="83"/>
        <v>8124400</v>
      </c>
      <c r="AS526" s="440">
        <f>Table1[[#This Row],[TOTAL CARS VALUE]]+Table1[[#This Row],[UNIT (BUILDING) VALUE BASIC FINISHED]]+Table1[[#This Row],[UNIT (GARDEN) VALUE]]</f>
        <v>8916400</v>
      </c>
      <c r="AT526" s="232">
        <f>Table1[[#This Row],[TOTAL CARS VALUE]]+Table1[[#This Row],[UNIT (GARDEN) VALUE]]+Table1[[#This Row],[UNIT (BUILDING) VALUE FULLY FINISHED]]</f>
        <v>9444400</v>
      </c>
      <c r="AU526" s="233">
        <f>VLOOKUP(I526,'C PHASES'!$I$108:$J$110,2,FALSE)</f>
        <v>45839</v>
      </c>
      <c r="AV526" s="233">
        <f>VLOOKUP(AA526,'C PHASES'!$I$113:$J$125,2,FALSE)</f>
        <v>45170</v>
      </c>
    </row>
    <row r="527" spans="1:48" x14ac:dyDescent="0.25">
      <c r="A527" s="235"/>
      <c r="B527" s="227" t="str">
        <f t="shared" si="81"/>
        <v>B</v>
      </c>
      <c r="C527" s="227" t="s">
        <v>97</v>
      </c>
      <c r="D527" s="227" t="s">
        <v>1147</v>
      </c>
      <c r="E527" s="228">
        <v>4</v>
      </c>
      <c r="F527" s="101">
        <v>1</v>
      </c>
      <c r="G527" s="87" t="str">
        <f t="shared" si="82"/>
        <v>B1841</v>
      </c>
      <c r="H527" s="87" t="s">
        <v>1294</v>
      </c>
      <c r="I527" s="89" t="str">
        <f>VLOOKUP(C527,'PREMIUM TABLES'!$G$107:$H$149,2,FALSE)</f>
        <v>C1</v>
      </c>
      <c r="J527" s="87">
        <v>139.09</v>
      </c>
      <c r="K527" s="87">
        <v>154.04853372157643</v>
      </c>
      <c r="L527" s="87">
        <v>170</v>
      </c>
      <c r="O527" s="87" t="s">
        <v>180</v>
      </c>
      <c r="P527" s="87" t="s">
        <v>190</v>
      </c>
      <c r="Q527" s="229" t="s">
        <v>198</v>
      </c>
      <c r="R527" s="87" t="str">
        <f>VLOOKUP(E527,'PREMIUM TABLES'!$F$214:$G$219,2,FALSE)</f>
        <v>FORTH</v>
      </c>
      <c r="S527" s="87" t="str" cm="1">
        <f t="array" ref="S527">IF(AND(L527&gt;0,L527&lt;90),"A",IF(AND(L527&gt;90,L527&lt;123),"B",IF(AND(L527&gt;122,L527&lt;159),"C",IF(AND(L527&gt;159,L527&lt;185),"D",IF(AND(L527&gt;185,L527&lt;230),"E",IF(AND(L527&gt;230,L527&lt;350),"F",NONE))))))</f>
        <v>D</v>
      </c>
      <c r="T527" s="230">
        <f>VLOOKUP(O527,'PREMIUM TABLES'!$G$165:$H$172,2,FALSE)</f>
        <v>0.13</v>
      </c>
      <c r="U527" s="230">
        <f>VLOOKUP(P527,'PREMIUM TABLES'!$G$208:$H$209,2,FALSE)</f>
        <v>2.5000000000000001E-2</v>
      </c>
      <c r="V527" s="230">
        <f>VLOOKUP(Q527,'PREMIUM TABLES'!$G$175:$H$195,2,FALSE)</f>
        <v>0.15</v>
      </c>
      <c r="W527" s="230">
        <f>VLOOKUP(R527,'PREMIUM TABLES'!$G$214:$H$219,2,FALSE)</f>
        <v>0.06</v>
      </c>
      <c r="X527" s="230">
        <f>VLOOKUP(S527,'PREMIUM TABLES'!$F$199:$H$205,3,FALSE)</f>
        <v>2.5000000000000001E-2</v>
      </c>
      <c r="Y527" s="231">
        <f t="shared" si="84"/>
        <v>0.39</v>
      </c>
      <c r="Z527" s="231" t="str" cm="1">
        <f t="array" ref="Z527">IF(AND(Y527&gt;0,Y527&lt;0.5),"C",IF(AND(Y527&gt;=0.5,Y527&lt;0.73),"B",IF(AND(Y527&gt;=0.73,Y527&lt;0.98),"A",NONE)))</f>
        <v>C</v>
      </c>
      <c r="AA527" s="231" t="str">
        <f>VLOOKUP(G527,'ALL (R)'!$N$5:$R$862,5,FALSE)</f>
        <v>R 4</v>
      </c>
      <c r="AB527" s="232">
        <f>VLOOKUP(AA527,FACTS!$B$2:$L$14,10,FALSE)</f>
        <v>45687.5</v>
      </c>
      <c r="AC527" s="232">
        <f>VLOOKUP(AA527,FACTS!$B$2:$L$14,11,FALSE)</f>
        <v>51062.5</v>
      </c>
      <c r="AD527" s="232">
        <f>VLOOKUP(AA527,FACTS!$B$2:$N$14,13,FALSE)</f>
        <v>5375</v>
      </c>
      <c r="AE527" s="232">
        <f t="shared" si="85"/>
        <v>2096.25</v>
      </c>
      <c r="AF527" s="232">
        <f t="shared" si="86"/>
        <v>47783.75</v>
      </c>
      <c r="AG527" s="232">
        <f>AF527*FACTS!$T$2</f>
        <v>15768.637500000001</v>
      </c>
      <c r="AH527" s="232">
        <f>Table1[[#This Row],[UNIT (BUILDING) RATE (SEMI FINISHED)]]+4500</f>
        <v>52283.75</v>
      </c>
      <c r="AI527" s="232">
        <f>Table1[[#This Row],[UNIT (BUILDING) RATE (SEMI FINISHED)]]+7500</f>
        <v>55283.75</v>
      </c>
      <c r="AJ527" s="232">
        <f t="shared" si="87"/>
        <v>8123237.5</v>
      </c>
      <c r="AK527" s="232">
        <f>Table1[[#This Row],[UNIT (BUILDING) RATE (BASIC FINISH)]]*Table1[[#This Row],[Unit Selling Area]]</f>
        <v>8888237.5</v>
      </c>
      <c r="AL527" s="232">
        <f>Table1[[#This Row],[UNIT (BUILDING) RATE (FULLY FINISH)]]*Table1[[#This Row],[Unit Selling Area]]</f>
        <v>9398237.5</v>
      </c>
      <c r="AM527" s="232">
        <f t="shared" si="88"/>
        <v>0</v>
      </c>
      <c r="AN527" s="232">
        <f>(AM527+AJ527)*FACTS!$S$2</f>
        <v>690475.1875</v>
      </c>
      <c r="AO527" s="101">
        <f>VLOOKUP(S527,FACTS!$A$17:$C$23,3,FALSE)</f>
        <v>2</v>
      </c>
      <c r="AP527" s="232">
        <f>VLOOKUP(AA527,FACTS!$B$2:$J$14,9,FALSE)</f>
        <v>215000</v>
      </c>
      <c r="AQ527" s="232">
        <f>Table1[[#This Row],[PARKING VALUE]]*1</f>
        <v>215000</v>
      </c>
      <c r="AR527" s="232">
        <f t="shared" si="83"/>
        <v>8338237.5</v>
      </c>
      <c r="AS527" s="440">
        <f>Table1[[#This Row],[TOTAL CARS VALUE]]+Table1[[#This Row],[UNIT (BUILDING) VALUE BASIC FINISHED]]+Table1[[#This Row],[UNIT (GARDEN) VALUE]]</f>
        <v>9103237.5</v>
      </c>
      <c r="AT527" s="232">
        <f>Table1[[#This Row],[TOTAL CARS VALUE]]+Table1[[#This Row],[UNIT (GARDEN) VALUE]]+Table1[[#This Row],[UNIT (BUILDING) VALUE FULLY FINISHED]]</f>
        <v>9613237.5</v>
      </c>
      <c r="AU527" s="233">
        <f>VLOOKUP(I527,'C PHASES'!$I$108:$J$110,2,FALSE)</f>
        <v>45839</v>
      </c>
      <c r="AV527" s="233">
        <f>VLOOKUP(AA527,'C PHASES'!$I$113:$J$125,2,FALSE)</f>
        <v>45474</v>
      </c>
    </row>
    <row r="528" spans="1:48" x14ac:dyDescent="0.25">
      <c r="A528" s="235"/>
      <c r="B528" s="227" t="str">
        <f t="shared" si="81"/>
        <v>B</v>
      </c>
      <c r="C528" s="227" t="s">
        <v>97</v>
      </c>
      <c r="D528" s="227" t="s">
        <v>1147</v>
      </c>
      <c r="E528" s="228">
        <v>4</v>
      </c>
      <c r="F528" s="101">
        <v>2</v>
      </c>
      <c r="G528" s="87" t="str">
        <f t="shared" si="82"/>
        <v>B1842</v>
      </c>
      <c r="H528" s="87" t="s">
        <v>1294</v>
      </c>
      <c r="I528" s="89" t="str">
        <f>VLOOKUP(C528,'PREMIUM TABLES'!$G$107:$H$149,2,FALSE)</f>
        <v>C1</v>
      </c>
      <c r="J528" s="87">
        <v>163.35</v>
      </c>
      <c r="K528" s="87">
        <v>180.91759280623702</v>
      </c>
      <c r="L528" s="87">
        <v>199</v>
      </c>
      <c r="O528" s="87" t="s">
        <v>187</v>
      </c>
      <c r="P528" s="87" t="s">
        <v>190</v>
      </c>
      <c r="Q528" s="229" t="s">
        <v>209</v>
      </c>
      <c r="R528" s="87" t="str">
        <f>VLOOKUP(E528,'PREMIUM TABLES'!$F$214:$G$219,2,FALSE)</f>
        <v>FORTH</v>
      </c>
      <c r="S528" s="87" t="str" cm="1">
        <f t="array" ref="S528">IF(AND(L528&gt;0,L528&lt;90),"A",IF(AND(L528&gt;90,L528&lt;123),"B",IF(AND(L528&gt;122,L528&lt;159),"C",IF(AND(L528&gt;159,L528&lt;185),"D",IF(AND(L528&gt;185,L528&lt;230),"E",IF(AND(L528&gt;230,L528&lt;350),"F",NONE))))))</f>
        <v>E</v>
      </c>
      <c r="T528" s="230">
        <f>VLOOKUP(O528,'PREMIUM TABLES'!$G$165:$H$172,2,FALSE)</f>
        <v>0.08</v>
      </c>
      <c r="U528" s="230">
        <f>VLOOKUP(P528,'PREMIUM TABLES'!$G$208:$H$209,2,FALSE)</f>
        <v>2.5000000000000001E-2</v>
      </c>
      <c r="V528" s="230">
        <f>VLOOKUP(Q528,'PREMIUM TABLES'!$G$175:$H$195,2,FALSE)</f>
        <v>0.6</v>
      </c>
      <c r="W528" s="230">
        <f>VLOOKUP(R528,'PREMIUM TABLES'!$G$214:$H$219,2,FALSE)</f>
        <v>0.06</v>
      </c>
      <c r="X528" s="230">
        <f>VLOOKUP(S528,'PREMIUM TABLES'!$F$199:$H$205,3,FALSE)</f>
        <v>1.4999999999999999E-2</v>
      </c>
      <c r="Y528" s="231">
        <f t="shared" si="84"/>
        <v>0.77999999999999992</v>
      </c>
      <c r="Z528" s="231" t="str" cm="1">
        <f t="array" ref="Z528">IF(AND(Y528&gt;0,Y528&lt;0.5),"C",IF(AND(Y528&gt;=0.5,Y528&lt;0.73),"B",IF(AND(Y528&gt;=0.73,Y528&lt;0.98),"A",NONE)))</f>
        <v>A</v>
      </c>
      <c r="AA528" s="231" t="str">
        <f>VLOOKUP(G528,'ALL (R)'!$N$5:$R$862,5,FALSE)</f>
        <v>R 4</v>
      </c>
      <c r="AB528" s="232">
        <f>VLOOKUP(AA528,FACTS!$B$2:$L$14,10,FALSE)</f>
        <v>45687.5</v>
      </c>
      <c r="AC528" s="232">
        <f>VLOOKUP(AA528,FACTS!$B$2:$L$14,11,FALSE)</f>
        <v>51062.5</v>
      </c>
      <c r="AD528" s="232">
        <f>VLOOKUP(AA528,FACTS!$B$2:$N$14,13,FALSE)</f>
        <v>5375</v>
      </c>
      <c r="AE528" s="232">
        <f t="shared" si="85"/>
        <v>4192.5</v>
      </c>
      <c r="AF528" s="232">
        <f t="shared" si="86"/>
        <v>49880</v>
      </c>
      <c r="AG528" s="232">
        <f>AF528*FACTS!$T$2</f>
        <v>16460.400000000001</v>
      </c>
      <c r="AH528" s="232">
        <f>Table1[[#This Row],[UNIT (BUILDING) RATE (SEMI FINISHED)]]+4500</f>
        <v>54380</v>
      </c>
      <c r="AI528" s="232">
        <f>Table1[[#This Row],[UNIT (BUILDING) RATE (SEMI FINISHED)]]+7500</f>
        <v>57380</v>
      </c>
      <c r="AJ528" s="232">
        <f t="shared" si="87"/>
        <v>9926120</v>
      </c>
      <c r="AK528" s="232">
        <f>Table1[[#This Row],[UNIT (BUILDING) RATE (BASIC FINISH)]]*Table1[[#This Row],[Unit Selling Area]]</f>
        <v>10821620</v>
      </c>
      <c r="AL528" s="232">
        <f>Table1[[#This Row],[UNIT (BUILDING) RATE (FULLY FINISH)]]*Table1[[#This Row],[Unit Selling Area]]</f>
        <v>11418620</v>
      </c>
      <c r="AM528" s="232">
        <f t="shared" si="88"/>
        <v>0</v>
      </c>
      <c r="AN528" s="232">
        <f>(AM528+AJ528)*FACTS!$S$2</f>
        <v>843720.20000000007</v>
      </c>
      <c r="AO528" s="101">
        <f>VLOOKUP(S528,FACTS!$A$17:$C$23,3,FALSE)</f>
        <v>2</v>
      </c>
      <c r="AP528" s="232">
        <f>VLOOKUP(AA528,FACTS!$B$2:$J$14,9,FALSE)</f>
        <v>215000</v>
      </c>
      <c r="AQ528" s="232">
        <f>Table1[[#This Row],[PARKING VALUE]]*1</f>
        <v>215000</v>
      </c>
      <c r="AR528" s="232">
        <f t="shared" si="83"/>
        <v>10141120</v>
      </c>
      <c r="AS528" s="440">
        <f>Table1[[#This Row],[TOTAL CARS VALUE]]+Table1[[#This Row],[UNIT (BUILDING) VALUE BASIC FINISHED]]+Table1[[#This Row],[UNIT (GARDEN) VALUE]]</f>
        <v>11036620</v>
      </c>
      <c r="AT528" s="232">
        <f>Table1[[#This Row],[TOTAL CARS VALUE]]+Table1[[#This Row],[UNIT (GARDEN) VALUE]]+Table1[[#This Row],[UNIT (BUILDING) VALUE FULLY FINISHED]]</f>
        <v>11633620</v>
      </c>
      <c r="AU528" s="233">
        <f>VLOOKUP(I528,'C PHASES'!$I$108:$J$110,2,FALSE)</f>
        <v>45839</v>
      </c>
      <c r="AV528" s="233">
        <f>VLOOKUP(AA528,'C PHASES'!$I$113:$J$125,2,FALSE)</f>
        <v>45474</v>
      </c>
    </row>
    <row r="529" spans="1:48" x14ac:dyDescent="0.25">
      <c r="A529" s="235"/>
      <c r="B529" s="227" t="str">
        <f t="shared" si="81"/>
        <v>B</v>
      </c>
      <c r="C529" s="227" t="s">
        <v>97</v>
      </c>
      <c r="D529" s="227" t="s">
        <v>1147</v>
      </c>
      <c r="E529" s="228">
        <v>4</v>
      </c>
      <c r="F529" s="101">
        <v>3</v>
      </c>
      <c r="G529" s="87" t="str">
        <f t="shared" si="82"/>
        <v>B1843</v>
      </c>
      <c r="H529" s="87" t="s">
        <v>1295</v>
      </c>
      <c r="I529" s="89" t="str">
        <f>VLOOKUP(C529,'PREMIUM TABLES'!$G$107:$H$149,2,FALSE)</f>
        <v>C1</v>
      </c>
      <c r="J529" s="87">
        <v>182.56</v>
      </c>
      <c r="K529" s="87">
        <v>202.19354602207918</v>
      </c>
      <c r="L529" s="87">
        <v>223</v>
      </c>
      <c r="O529" s="87" t="s">
        <v>187</v>
      </c>
      <c r="P529" s="87" t="s">
        <v>226</v>
      </c>
      <c r="Q529" s="229" t="s">
        <v>209</v>
      </c>
      <c r="R529" s="87" t="str">
        <f>VLOOKUP(E529,'PREMIUM TABLES'!$F$214:$G$219,2,FALSE)</f>
        <v>FORTH</v>
      </c>
      <c r="S529" s="87" t="str" cm="1">
        <f t="array" ref="S529">IF(AND(L529&gt;0,L529&lt;90),"A",IF(AND(L529&gt;90,L529&lt;123),"B",IF(AND(L529&gt;122,L529&lt;159),"C",IF(AND(L529&gt;159,L529&lt;185),"D",IF(AND(L529&gt;185,L529&lt;230),"E",IF(AND(L529&gt;230,L529&lt;350),"F",NONE))))))</f>
        <v>E</v>
      </c>
      <c r="T529" s="230">
        <f>VLOOKUP(O529,'PREMIUM TABLES'!$G$165:$H$172,2,FALSE)</f>
        <v>0.08</v>
      </c>
      <c r="U529" s="230">
        <f>VLOOKUP(P529,'PREMIUM TABLES'!$G$208:$H$209,2,FALSE)</f>
        <v>0.05</v>
      </c>
      <c r="V529" s="230">
        <f>VLOOKUP(Q529,'PREMIUM TABLES'!$G$175:$H$195,2,FALSE)</f>
        <v>0.6</v>
      </c>
      <c r="W529" s="230">
        <f>VLOOKUP(R529,'PREMIUM TABLES'!$G$214:$H$219,2,FALSE)</f>
        <v>0.06</v>
      </c>
      <c r="X529" s="230">
        <f>VLOOKUP(S529,'PREMIUM TABLES'!$F$199:$H$205,3,FALSE)</f>
        <v>1.4999999999999999E-2</v>
      </c>
      <c r="Y529" s="231">
        <f t="shared" si="84"/>
        <v>0.80500000000000005</v>
      </c>
      <c r="Z529" s="231" t="str" cm="1">
        <f t="array" ref="Z529">IF(AND(Y529&gt;0,Y529&lt;0.5),"C",IF(AND(Y529&gt;=0.5,Y529&lt;0.73),"B",IF(AND(Y529&gt;=0.73,Y529&lt;0.98),"A",NONE)))</f>
        <v>A</v>
      </c>
      <c r="AA529" s="231" t="str">
        <f>VLOOKUP(G529,'ALL (R)'!$N$5:$R$862,5,FALSE)</f>
        <v>R 6</v>
      </c>
      <c r="AB529" s="232">
        <f>VLOOKUP(AA529,FACTS!$B$2:$L$14,10,FALSE)</f>
        <v>48450.000000000007</v>
      </c>
      <c r="AC529" s="232">
        <f>VLOOKUP(AA529,FACTS!$B$2:$L$14,11,FALSE)</f>
        <v>54150.000000000007</v>
      </c>
      <c r="AD529" s="232">
        <f>VLOOKUP(AA529,FACTS!$B$2:$N$14,13,FALSE)</f>
        <v>5700</v>
      </c>
      <c r="AE529" s="232">
        <f t="shared" si="85"/>
        <v>4588.5</v>
      </c>
      <c r="AF529" s="232">
        <f t="shared" si="86"/>
        <v>53038.500000000007</v>
      </c>
      <c r="AG529" s="232">
        <f>AF529*FACTS!$T$2</f>
        <v>17502.705000000002</v>
      </c>
      <c r="AH529" s="232">
        <f>Table1[[#This Row],[UNIT (BUILDING) RATE (SEMI FINISHED)]]+4500</f>
        <v>57538.500000000007</v>
      </c>
      <c r="AI529" s="232">
        <f>Table1[[#This Row],[UNIT (BUILDING) RATE (SEMI FINISHED)]]+7500</f>
        <v>60538.500000000007</v>
      </c>
      <c r="AJ529" s="232">
        <f t="shared" si="87"/>
        <v>11827585.500000002</v>
      </c>
      <c r="AK529" s="232">
        <f>Table1[[#This Row],[UNIT (BUILDING) RATE (BASIC FINISH)]]*Table1[[#This Row],[Unit Selling Area]]</f>
        <v>12831085.500000002</v>
      </c>
      <c r="AL529" s="232">
        <f>Table1[[#This Row],[UNIT (BUILDING) RATE (FULLY FINISH)]]*Table1[[#This Row],[Unit Selling Area]]</f>
        <v>13500085.500000002</v>
      </c>
      <c r="AM529" s="232">
        <f t="shared" si="88"/>
        <v>0</v>
      </c>
      <c r="AN529" s="232">
        <f>(AM529+AJ529)*FACTS!$S$2</f>
        <v>1005344.7675000002</v>
      </c>
      <c r="AO529" s="101">
        <f>VLOOKUP(S529,FACTS!$A$17:$C$23,3,FALSE)</f>
        <v>2</v>
      </c>
      <c r="AP529" s="232">
        <f>VLOOKUP(AA529,FACTS!$B$2:$J$14,9,FALSE)</f>
        <v>228000.00000000003</v>
      </c>
      <c r="AQ529" s="232">
        <f>Table1[[#This Row],[PARKING VALUE]]*1</f>
        <v>228000.00000000003</v>
      </c>
      <c r="AR529" s="232">
        <f t="shared" si="83"/>
        <v>12055585.500000002</v>
      </c>
      <c r="AS529" s="440">
        <f>Table1[[#This Row],[TOTAL CARS VALUE]]+Table1[[#This Row],[UNIT (BUILDING) VALUE BASIC FINISHED]]+Table1[[#This Row],[UNIT (GARDEN) VALUE]]</f>
        <v>13059085.500000002</v>
      </c>
      <c r="AT529" s="232">
        <f>Table1[[#This Row],[TOTAL CARS VALUE]]+Table1[[#This Row],[UNIT (GARDEN) VALUE]]+Table1[[#This Row],[UNIT (BUILDING) VALUE FULLY FINISHED]]</f>
        <v>13728085.500000002</v>
      </c>
      <c r="AU529" s="233">
        <f>VLOOKUP(I529,'C PHASES'!$I$108:$J$110,2,FALSE)</f>
        <v>45839</v>
      </c>
      <c r="AV529" s="233">
        <f>VLOOKUP(AA529,'C PHASES'!$I$113:$J$125,2,FALSE)</f>
        <v>45658</v>
      </c>
    </row>
    <row r="530" spans="1:48" x14ac:dyDescent="0.25">
      <c r="A530" s="235"/>
      <c r="B530" s="227" t="str">
        <f t="shared" si="81"/>
        <v>B</v>
      </c>
      <c r="C530" s="227" t="s">
        <v>97</v>
      </c>
      <c r="D530" s="227" t="s">
        <v>1147</v>
      </c>
      <c r="E530" s="228">
        <v>4</v>
      </c>
      <c r="F530" s="101">
        <v>4</v>
      </c>
      <c r="G530" s="87" t="str">
        <f t="shared" si="82"/>
        <v>B1844</v>
      </c>
      <c r="H530" s="87" t="s">
        <v>1294</v>
      </c>
      <c r="I530" s="89" t="str">
        <f>VLOOKUP(C530,'PREMIUM TABLES'!$G$107:$H$149,2,FALSE)</f>
        <v>C1</v>
      </c>
      <c r="J530" s="87">
        <v>141.91</v>
      </c>
      <c r="K530" s="87">
        <v>157.17181264238198</v>
      </c>
      <c r="L530" s="87">
        <v>173</v>
      </c>
      <c r="O530" s="87" t="s">
        <v>180</v>
      </c>
      <c r="P530" s="87" t="s">
        <v>226</v>
      </c>
      <c r="Q530" s="229" t="s">
        <v>198</v>
      </c>
      <c r="R530" s="87" t="str">
        <f>VLOOKUP(E530,'PREMIUM TABLES'!$F$214:$G$219,2,FALSE)</f>
        <v>FORTH</v>
      </c>
      <c r="S530" s="87" t="str" cm="1">
        <f t="array" ref="S530">IF(AND(L530&gt;0,L530&lt;90),"A",IF(AND(L530&gt;90,L530&lt;123),"B",IF(AND(L530&gt;122,L530&lt;159),"C",IF(AND(L530&gt;159,L530&lt;185),"D",IF(AND(L530&gt;185,L530&lt;230),"E",IF(AND(L530&gt;230,L530&lt;350),"F",NONE))))))</f>
        <v>D</v>
      </c>
      <c r="T530" s="230">
        <f>VLOOKUP(O530,'PREMIUM TABLES'!$G$165:$H$172,2,FALSE)</f>
        <v>0.13</v>
      </c>
      <c r="U530" s="230">
        <f>VLOOKUP(P530,'PREMIUM TABLES'!$G$208:$H$209,2,FALSE)</f>
        <v>0.05</v>
      </c>
      <c r="V530" s="230">
        <f>VLOOKUP(Q530,'PREMIUM TABLES'!$G$175:$H$195,2,FALSE)</f>
        <v>0.15</v>
      </c>
      <c r="W530" s="230">
        <f>VLOOKUP(R530,'PREMIUM TABLES'!$G$214:$H$219,2,FALSE)</f>
        <v>0.06</v>
      </c>
      <c r="X530" s="230">
        <f>VLOOKUP(S530,'PREMIUM TABLES'!$F$199:$H$205,3,FALSE)</f>
        <v>2.5000000000000001E-2</v>
      </c>
      <c r="Y530" s="231">
        <f t="shared" si="84"/>
        <v>0.41499999999999998</v>
      </c>
      <c r="Z530" s="231" t="str" cm="1">
        <f t="array" ref="Z530">IF(AND(Y530&gt;0,Y530&lt;0.5),"C",IF(AND(Y530&gt;=0.5,Y530&lt;0.73),"B",IF(AND(Y530&gt;=0.73,Y530&lt;0.98),"A",NONE)))</f>
        <v>C</v>
      </c>
      <c r="AA530" s="231" t="str">
        <f>VLOOKUP(G530,'ALL (R)'!$N$5:$R$862,5,FALSE)</f>
        <v>R 7</v>
      </c>
      <c r="AB530" s="232">
        <f>VLOOKUP(AA530,FACTS!$B$2:$L$14,10,FALSE)</f>
        <v>50150</v>
      </c>
      <c r="AC530" s="232">
        <f>VLOOKUP(AA530,FACTS!$B$2:$L$14,11,FALSE)</f>
        <v>56050</v>
      </c>
      <c r="AD530" s="232">
        <f>VLOOKUP(AA530,FACTS!$B$2:$N$14,13,FALSE)</f>
        <v>5900</v>
      </c>
      <c r="AE530" s="232">
        <f t="shared" si="85"/>
        <v>2448.5</v>
      </c>
      <c r="AF530" s="232">
        <f t="shared" si="86"/>
        <v>52598.5</v>
      </c>
      <c r="AG530" s="232">
        <f>AF530*FACTS!$T$2</f>
        <v>17357.505000000001</v>
      </c>
      <c r="AH530" s="232">
        <f>Table1[[#This Row],[UNIT (BUILDING) RATE (SEMI FINISHED)]]+4500</f>
        <v>57098.5</v>
      </c>
      <c r="AI530" s="232">
        <f>Table1[[#This Row],[UNIT (BUILDING) RATE (SEMI FINISHED)]]+7500</f>
        <v>60098.5</v>
      </c>
      <c r="AJ530" s="232">
        <f t="shared" si="87"/>
        <v>9099540.5</v>
      </c>
      <c r="AK530" s="232">
        <f>Table1[[#This Row],[UNIT (BUILDING) RATE (BASIC FINISH)]]*Table1[[#This Row],[Unit Selling Area]]</f>
        <v>9878040.5</v>
      </c>
      <c r="AL530" s="232">
        <f>Table1[[#This Row],[UNIT (BUILDING) RATE (FULLY FINISH)]]*Table1[[#This Row],[Unit Selling Area]]</f>
        <v>10397040.5</v>
      </c>
      <c r="AM530" s="232">
        <f t="shared" si="88"/>
        <v>0</v>
      </c>
      <c r="AN530" s="232">
        <f>(AM530+AJ530)*FACTS!$S$2</f>
        <v>773460.9425</v>
      </c>
      <c r="AO530" s="101">
        <f>VLOOKUP(S530,FACTS!$A$17:$C$23,3,FALSE)</f>
        <v>2</v>
      </c>
      <c r="AP530" s="232">
        <f>VLOOKUP(AA530,FACTS!$B$2:$J$14,9,FALSE)</f>
        <v>236000</v>
      </c>
      <c r="AQ530" s="232">
        <f>Table1[[#This Row],[PARKING VALUE]]*1</f>
        <v>236000</v>
      </c>
      <c r="AR530" s="232">
        <f t="shared" si="83"/>
        <v>9335540.5</v>
      </c>
      <c r="AS530" s="440">
        <f>Table1[[#This Row],[TOTAL CARS VALUE]]+Table1[[#This Row],[UNIT (BUILDING) VALUE BASIC FINISHED]]+Table1[[#This Row],[UNIT (GARDEN) VALUE]]</f>
        <v>10114040.5</v>
      </c>
      <c r="AT530" s="232">
        <f>Table1[[#This Row],[TOTAL CARS VALUE]]+Table1[[#This Row],[UNIT (GARDEN) VALUE]]+Table1[[#This Row],[UNIT (BUILDING) VALUE FULLY FINISHED]]</f>
        <v>10633040.5</v>
      </c>
      <c r="AU530" s="233">
        <f>VLOOKUP(I530,'C PHASES'!$I$108:$J$110,2,FALSE)</f>
        <v>45839</v>
      </c>
      <c r="AV530" s="233">
        <f>VLOOKUP(AA530,'C PHASES'!$I$113:$J$125,2,FALSE)</f>
        <v>45748</v>
      </c>
    </row>
    <row r="531" spans="1:48" ht="22.5" x14ac:dyDescent="0.25">
      <c r="A531" s="235" t="s">
        <v>31</v>
      </c>
      <c r="B531" s="227" t="str">
        <f t="shared" si="81"/>
        <v>B</v>
      </c>
      <c r="C531" s="227" t="s">
        <v>96</v>
      </c>
      <c r="D531" s="227" t="s">
        <v>1147</v>
      </c>
      <c r="E531" s="228">
        <v>0</v>
      </c>
      <c r="F531" s="101">
        <v>1</v>
      </c>
      <c r="G531" s="87" t="str">
        <f>LEFT(C531,3)&amp;E531&amp;F531</f>
        <v>B1901</v>
      </c>
      <c r="H531" s="87" t="s">
        <v>1294</v>
      </c>
      <c r="I531" s="89" t="str">
        <f>VLOOKUP(C531,'PREMIUM TABLES'!$G$107:$H$149,2,FALSE)</f>
        <v>C1</v>
      </c>
      <c r="J531" s="87">
        <v>144.21</v>
      </c>
      <c r="K531" s="87">
        <v>159.71916779055672</v>
      </c>
      <c r="L531" s="87">
        <v>176</v>
      </c>
      <c r="M531" s="87">
        <v>80.513400000000004</v>
      </c>
      <c r="O531" s="87" t="s">
        <v>180</v>
      </c>
      <c r="P531" s="87" t="s">
        <v>226</v>
      </c>
      <c r="Q531" s="229" t="s">
        <v>195</v>
      </c>
      <c r="R531" s="87" t="str">
        <f>VLOOKUP(E531,'PREMIUM TABLES'!$F$214:$G$219,2,FALSE)</f>
        <v>GROUND</v>
      </c>
      <c r="S531" s="87" t="str" cm="1">
        <f t="array" ref="S531">IF(AND(L531&gt;0,L531&lt;90),"A",IF(AND(L531&gt;90,L531&lt;123),"B",IF(AND(L531&gt;122,L531&lt;159),"C",IF(AND(L531&gt;159,L531&lt;185),"D",IF(AND(L531&gt;185,L531&lt;230),"E",IF(AND(L531&gt;230,L531&lt;350),"F",NONE))))))</f>
        <v>D</v>
      </c>
      <c r="T531" s="230">
        <f>VLOOKUP(O531,'PREMIUM TABLES'!$G$165:$H$172,2,FALSE)</f>
        <v>0.13</v>
      </c>
      <c r="U531" s="230">
        <f>VLOOKUP(P531,'PREMIUM TABLES'!$G$208:$H$209,2,FALSE)</f>
        <v>0.05</v>
      </c>
      <c r="V531" s="230">
        <f>VLOOKUP(Q531,'PREMIUM TABLES'!$G$175:$H$195,2,FALSE)</f>
        <v>0.25</v>
      </c>
      <c r="W531" s="230">
        <f>VLOOKUP(R531,'PREMIUM TABLES'!$G$214:$H$219,2,FALSE)</f>
        <v>0.05</v>
      </c>
      <c r="X531" s="230">
        <f>VLOOKUP(S531,'PREMIUM TABLES'!$F$199:$H$205,3,FALSE)</f>
        <v>2.5000000000000001E-2</v>
      </c>
      <c r="Y531" s="231">
        <f t="shared" si="84"/>
        <v>0.505</v>
      </c>
      <c r="Z531" s="231" t="str" cm="1">
        <f t="array" ref="Z531">IF(AND(Y531&gt;0,Y531&lt;0.5),"C",IF(AND(Y531&gt;=0.5,Y531&lt;0.73),"B",IF(AND(Y531&gt;=0.73,Y531&lt;0.98),"A",NONE)))</f>
        <v>B</v>
      </c>
      <c r="AA531" s="231" t="str">
        <f>VLOOKUP(G531,'ALL (R)'!$N$5:$R$862,5,FALSE)</f>
        <v>R 1</v>
      </c>
      <c r="AB531" s="232">
        <f>VLOOKUP(AA531,FACTS!$B$2:$L$14,10,FALSE)</f>
        <v>42500</v>
      </c>
      <c r="AC531" s="232">
        <f>VLOOKUP(AA531,FACTS!$B$2:$L$14,11,FALSE)</f>
        <v>47500</v>
      </c>
      <c r="AD531" s="232">
        <f>VLOOKUP(AA531,FACTS!$B$2:$N$14,13,FALSE)</f>
        <v>5000</v>
      </c>
      <c r="AE531" s="232">
        <f t="shared" si="85"/>
        <v>2525</v>
      </c>
      <c r="AF531" s="232">
        <f t="shared" si="86"/>
        <v>45025</v>
      </c>
      <c r="AG531" s="232">
        <f>AF531*FACTS!$T$2</f>
        <v>14858.25</v>
      </c>
      <c r="AH531" s="232">
        <f>Table1[[#This Row],[UNIT (BUILDING) RATE (SEMI FINISHED)]]+4500</f>
        <v>49525</v>
      </c>
      <c r="AI531" s="232">
        <f>Table1[[#This Row],[UNIT (BUILDING) RATE (SEMI FINISHED)]]+7500</f>
        <v>52525</v>
      </c>
      <c r="AJ531" s="232">
        <f t="shared" si="87"/>
        <v>7924400</v>
      </c>
      <c r="AK531" s="232">
        <f>Table1[[#This Row],[UNIT (BUILDING) RATE (BASIC FINISH)]]*Table1[[#This Row],[Unit Selling Area]]</f>
        <v>8716400</v>
      </c>
      <c r="AL531" s="232">
        <f>Table1[[#This Row],[UNIT (BUILDING) RATE (FULLY FINISH)]]*Table1[[#This Row],[Unit Selling Area]]</f>
        <v>9244400</v>
      </c>
      <c r="AM531" s="232">
        <f t="shared" si="88"/>
        <v>1196288.2255500001</v>
      </c>
      <c r="AN531" s="232">
        <f>(AM531+AJ531)*FACTS!$S$2</f>
        <v>775258.49917175004</v>
      </c>
      <c r="AO531" s="101">
        <f>VLOOKUP(S531,FACTS!$A$17:$C$23,3,FALSE)</f>
        <v>2</v>
      </c>
      <c r="AP531" s="232">
        <f>VLOOKUP(AA531,FACTS!$B$2:$J$14,9,FALSE)</f>
        <v>200000</v>
      </c>
      <c r="AQ531" s="232">
        <f>Table1[[#This Row],[PARKING VALUE]]*1</f>
        <v>200000</v>
      </c>
      <c r="AR531" s="232">
        <f t="shared" si="83"/>
        <v>9320688.2255499996</v>
      </c>
      <c r="AS531" s="440">
        <f>Table1[[#This Row],[TOTAL CARS VALUE]]+Table1[[#This Row],[UNIT (BUILDING) VALUE BASIC FINISHED]]+Table1[[#This Row],[UNIT (GARDEN) VALUE]]</f>
        <v>10112688.22555</v>
      </c>
      <c r="AT531" s="232">
        <f>Table1[[#This Row],[TOTAL CARS VALUE]]+Table1[[#This Row],[UNIT (GARDEN) VALUE]]+Table1[[#This Row],[UNIT (BUILDING) VALUE FULLY FINISHED]]</f>
        <v>10640688.22555</v>
      </c>
      <c r="AU531" s="233">
        <f>VLOOKUP(I531,'C PHASES'!$I$108:$J$110,2,FALSE)</f>
        <v>45839</v>
      </c>
      <c r="AV531" s="233">
        <f>VLOOKUP(AA531,'C PHASES'!$I$113:$J$125,2,FALSE)</f>
        <v>45170</v>
      </c>
    </row>
    <row r="532" spans="1:48" x14ac:dyDescent="0.25">
      <c r="A532" s="235"/>
      <c r="B532" s="227" t="str">
        <f t="shared" si="81"/>
        <v>B</v>
      </c>
      <c r="C532" s="227" t="s">
        <v>96</v>
      </c>
      <c r="D532" s="227" t="s">
        <v>1147</v>
      </c>
      <c r="E532" s="228">
        <v>0</v>
      </c>
      <c r="F532" s="101">
        <v>2</v>
      </c>
      <c r="G532" s="87" t="str">
        <f t="shared" ref="G532:G550" si="89">LEFT(C532,3)&amp;E532&amp;F532</f>
        <v>B1902</v>
      </c>
      <c r="H532" s="87" t="s">
        <v>1295</v>
      </c>
      <c r="I532" s="89" t="str">
        <f>VLOOKUP(C532,'PREMIUM TABLES'!$G$107:$H$149,2,FALSE)</f>
        <v>C1</v>
      </c>
      <c r="J532" s="87">
        <v>183.89</v>
      </c>
      <c r="K532" s="87">
        <v>203.66658182515411</v>
      </c>
      <c r="L532" s="87">
        <v>224</v>
      </c>
      <c r="M532" s="87">
        <v>61.571399999999997</v>
      </c>
      <c r="O532" s="87" t="s">
        <v>187</v>
      </c>
      <c r="P532" s="87" t="s">
        <v>226</v>
      </c>
      <c r="Q532" s="229" t="s">
        <v>209</v>
      </c>
      <c r="R532" s="87" t="str">
        <f>VLOOKUP(E532,'PREMIUM TABLES'!$F$214:$G$219,2,FALSE)</f>
        <v>GROUND</v>
      </c>
      <c r="S532" s="87" t="str" cm="1">
        <f t="array" ref="S532">IF(AND(L532&gt;0,L532&lt;90),"A",IF(AND(L532&gt;90,L532&lt;123),"B",IF(AND(L532&gt;122,L532&lt;159),"C",IF(AND(L532&gt;159,L532&lt;185),"D",IF(AND(L532&gt;185,L532&lt;230),"E",IF(AND(L532&gt;230,L532&lt;350),"F",NONE))))))</f>
        <v>E</v>
      </c>
      <c r="T532" s="230">
        <f>VLOOKUP(O532,'PREMIUM TABLES'!$G$165:$H$172,2,FALSE)</f>
        <v>0.08</v>
      </c>
      <c r="U532" s="230">
        <f>VLOOKUP(P532,'PREMIUM TABLES'!$G$208:$H$209,2,FALSE)</f>
        <v>0.05</v>
      </c>
      <c r="V532" s="230">
        <f>VLOOKUP(Q532,'PREMIUM TABLES'!$G$175:$H$195,2,FALSE)</f>
        <v>0.6</v>
      </c>
      <c r="W532" s="230">
        <f>VLOOKUP(R532,'PREMIUM TABLES'!$G$214:$H$219,2,FALSE)</f>
        <v>0.05</v>
      </c>
      <c r="X532" s="230">
        <f>VLOOKUP(S532,'PREMIUM TABLES'!$F$199:$H$205,3,FALSE)</f>
        <v>1.4999999999999999E-2</v>
      </c>
      <c r="Y532" s="231">
        <f t="shared" si="84"/>
        <v>0.79500000000000004</v>
      </c>
      <c r="Z532" s="231" t="str" cm="1">
        <f t="array" ref="Z532">IF(AND(Y532&gt;0,Y532&lt;0.5),"C",IF(AND(Y532&gt;=0.5,Y532&lt;0.73),"B",IF(AND(Y532&gt;=0.73,Y532&lt;0.98),"A",NONE)))</f>
        <v>A</v>
      </c>
      <c r="AA532" s="231" t="str">
        <f>VLOOKUP(G532,'ALL (R)'!$N$5:$R$862,5,FALSE)</f>
        <v>R 5</v>
      </c>
      <c r="AB532" s="232">
        <f>VLOOKUP(AA532,FACTS!$B$2:$L$14,10,FALSE)</f>
        <v>46750.000000000007</v>
      </c>
      <c r="AC532" s="232">
        <f>VLOOKUP(AA532,FACTS!$B$2:$L$14,11,FALSE)</f>
        <v>52250.000000000007</v>
      </c>
      <c r="AD532" s="232">
        <f>VLOOKUP(AA532,FACTS!$B$2:$N$14,13,FALSE)</f>
        <v>5500</v>
      </c>
      <c r="AE532" s="232">
        <f t="shared" si="85"/>
        <v>4372.5</v>
      </c>
      <c r="AF532" s="232">
        <f t="shared" si="86"/>
        <v>51122.500000000007</v>
      </c>
      <c r="AG532" s="232">
        <f>AF532*FACTS!$T$2</f>
        <v>16870.425000000003</v>
      </c>
      <c r="AH532" s="232">
        <f>Table1[[#This Row],[UNIT (BUILDING) RATE (SEMI FINISHED)]]+4500</f>
        <v>55622.500000000007</v>
      </c>
      <c r="AI532" s="232">
        <f>Table1[[#This Row],[UNIT (BUILDING) RATE (SEMI FINISHED)]]+7500</f>
        <v>58622.500000000007</v>
      </c>
      <c r="AJ532" s="232">
        <f t="shared" si="87"/>
        <v>11451440.000000002</v>
      </c>
      <c r="AK532" s="232">
        <f>Table1[[#This Row],[UNIT (BUILDING) RATE (BASIC FINISH)]]*Table1[[#This Row],[Unit Selling Area]]</f>
        <v>12459440.000000002</v>
      </c>
      <c r="AL532" s="232">
        <f>Table1[[#This Row],[UNIT (BUILDING) RATE (FULLY FINISH)]]*Table1[[#This Row],[Unit Selling Area]]</f>
        <v>13131440.000000002</v>
      </c>
      <c r="AM532" s="232">
        <f t="shared" si="88"/>
        <v>1038735.6858450001</v>
      </c>
      <c r="AN532" s="232">
        <f>(AM532+AJ532)*FACTS!$S$2</f>
        <v>1061664.9332968253</v>
      </c>
      <c r="AO532" s="101">
        <f>VLOOKUP(S532,FACTS!$A$17:$C$23,3,FALSE)</f>
        <v>2</v>
      </c>
      <c r="AP532" s="232">
        <f>VLOOKUP(AA532,FACTS!$B$2:$J$14,9,FALSE)</f>
        <v>220000.00000000003</v>
      </c>
      <c r="AQ532" s="232">
        <f>Table1[[#This Row],[PARKING VALUE]]*1</f>
        <v>220000.00000000003</v>
      </c>
      <c r="AR532" s="232">
        <f t="shared" si="83"/>
        <v>12710175.685845003</v>
      </c>
      <c r="AS532" s="440">
        <f>Table1[[#This Row],[TOTAL CARS VALUE]]+Table1[[#This Row],[UNIT (BUILDING) VALUE BASIC FINISHED]]+Table1[[#This Row],[UNIT (GARDEN) VALUE]]</f>
        <v>13718175.685845003</v>
      </c>
      <c r="AT532" s="232">
        <f>Table1[[#This Row],[TOTAL CARS VALUE]]+Table1[[#This Row],[UNIT (GARDEN) VALUE]]+Table1[[#This Row],[UNIT (BUILDING) VALUE FULLY FINISHED]]</f>
        <v>14390175.685845003</v>
      </c>
      <c r="AU532" s="233">
        <f>VLOOKUP(I532,'C PHASES'!$I$108:$J$110,2,FALSE)</f>
        <v>45839</v>
      </c>
      <c r="AV532" s="233">
        <f>VLOOKUP(AA532,'C PHASES'!$I$113:$J$125,2,FALSE)</f>
        <v>45566</v>
      </c>
    </row>
    <row r="533" spans="1:48" x14ac:dyDescent="0.25">
      <c r="A533" s="235"/>
      <c r="B533" s="227" t="str">
        <f t="shared" si="81"/>
        <v>B</v>
      </c>
      <c r="C533" s="227" t="s">
        <v>96</v>
      </c>
      <c r="D533" s="227" t="s">
        <v>1147</v>
      </c>
      <c r="E533" s="228">
        <v>0</v>
      </c>
      <c r="F533" s="101">
        <v>3</v>
      </c>
      <c r="G533" s="87" t="str">
        <f t="shared" si="89"/>
        <v>B1903</v>
      </c>
      <c r="H533" s="87" t="s">
        <v>1294</v>
      </c>
      <c r="I533" s="89" t="str">
        <f>VLOOKUP(C533,'PREMIUM TABLES'!$G$107:$H$149,2,FALSE)</f>
        <v>C1</v>
      </c>
      <c r="J533" s="87">
        <v>163.35</v>
      </c>
      <c r="K533" s="87">
        <v>180.91759280623702</v>
      </c>
      <c r="L533" s="87">
        <v>199</v>
      </c>
      <c r="M533" s="87">
        <v>76.321799999999996</v>
      </c>
      <c r="O533" s="87" t="s">
        <v>187</v>
      </c>
      <c r="P533" s="87" t="s">
        <v>190</v>
      </c>
      <c r="Q533" s="229" t="s">
        <v>209</v>
      </c>
      <c r="R533" s="87" t="str">
        <f>VLOOKUP(E533,'PREMIUM TABLES'!$F$214:$G$219,2,FALSE)</f>
        <v>GROUND</v>
      </c>
      <c r="S533" s="87" t="str" cm="1">
        <f t="array" ref="S533">IF(AND(L533&gt;0,L533&lt;90),"A",IF(AND(L533&gt;90,L533&lt;123),"B",IF(AND(L533&gt;122,L533&lt;159),"C",IF(AND(L533&gt;159,L533&lt;185),"D",IF(AND(L533&gt;185,L533&lt;230),"E",IF(AND(L533&gt;230,L533&lt;350),"F",NONE))))))</f>
        <v>E</v>
      </c>
      <c r="T533" s="230">
        <f>VLOOKUP(O533,'PREMIUM TABLES'!$G$165:$H$172,2,FALSE)</f>
        <v>0.08</v>
      </c>
      <c r="U533" s="230">
        <f>VLOOKUP(P533,'PREMIUM TABLES'!$G$208:$H$209,2,FALSE)</f>
        <v>2.5000000000000001E-2</v>
      </c>
      <c r="V533" s="230">
        <f>VLOOKUP(Q533,'PREMIUM TABLES'!$G$175:$H$195,2,FALSE)</f>
        <v>0.6</v>
      </c>
      <c r="W533" s="230">
        <f>VLOOKUP(R533,'PREMIUM TABLES'!$G$214:$H$219,2,FALSE)</f>
        <v>0.05</v>
      </c>
      <c r="X533" s="230">
        <f>VLOOKUP(S533,'PREMIUM TABLES'!$F$199:$H$205,3,FALSE)</f>
        <v>1.4999999999999999E-2</v>
      </c>
      <c r="Y533" s="231">
        <f t="shared" si="84"/>
        <v>0.77</v>
      </c>
      <c r="Z533" s="231" t="str" cm="1">
        <f t="array" ref="Z533">IF(AND(Y533&gt;0,Y533&lt;0.5),"C",IF(AND(Y533&gt;=0.5,Y533&lt;0.73),"B",IF(AND(Y533&gt;=0.73,Y533&lt;0.98),"A",NONE)))</f>
        <v>A</v>
      </c>
      <c r="AA533" s="231" t="str">
        <f>VLOOKUP(G533,'ALL (R)'!$N$5:$R$862,5,FALSE)</f>
        <v>R 4</v>
      </c>
      <c r="AB533" s="232">
        <f>VLOOKUP(AA533,FACTS!$B$2:$L$14,10,FALSE)</f>
        <v>45687.5</v>
      </c>
      <c r="AC533" s="232">
        <f>VLOOKUP(AA533,FACTS!$B$2:$L$14,11,FALSE)</f>
        <v>51062.5</v>
      </c>
      <c r="AD533" s="232">
        <f>VLOOKUP(AA533,FACTS!$B$2:$N$14,13,FALSE)</f>
        <v>5375</v>
      </c>
      <c r="AE533" s="232">
        <f t="shared" si="85"/>
        <v>4138.75</v>
      </c>
      <c r="AF533" s="232">
        <f t="shared" si="86"/>
        <v>49826.25</v>
      </c>
      <c r="AG533" s="232">
        <f>AF533*FACTS!$T$2</f>
        <v>16442.662500000002</v>
      </c>
      <c r="AH533" s="232">
        <f>Table1[[#This Row],[UNIT (BUILDING) RATE (SEMI FINISHED)]]+4500</f>
        <v>54326.25</v>
      </c>
      <c r="AI533" s="232">
        <f>Table1[[#This Row],[UNIT (BUILDING) RATE (SEMI FINISHED)]]+7500</f>
        <v>57326.25</v>
      </c>
      <c r="AJ533" s="232">
        <f t="shared" si="87"/>
        <v>9915423.75</v>
      </c>
      <c r="AK533" s="232">
        <f>Table1[[#This Row],[UNIT (BUILDING) RATE (BASIC FINISH)]]*Table1[[#This Row],[Unit Selling Area]]</f>
        <v>10810923.75</v>
      </c>
      <c r="AL533" s="232">
        <f>Table1[[#This Row],[UNIT (BUILDING) RATE (FULLY FINISH)]]*Table1[[#This Row],[Unit Selling Area]]</f>
        <v>11407923.75</v>
      </c>
      <c r="AM533" s="232">
        <f t="shared" si="88"/>
        <v>1254933.5987925001</v>
      </c>
      <c r="AN533" s="232">
        <f>(AM533+AJ533)*FACTS!$S$2</f>
        <v>949480.37464736262</v>
      </c>
      <c r="AO533" s="101">
        <f>VLOOKUP(S533,FACTS!$A$17:$C$23,3,FALSE)</f>
        <v>2</v>
      </c>
      <c r="AP533" s="232">
        <f>VLOOKUP(AA533,FACTS!$B$2:$J$14,9,FALSE)</f>
        <v>215000</v>
      </c>
      <c r="AQ533" s="232">
        <f>Table1[[#This Row],[PARKING VALUE]]*1</f>
        <v>215000</v>
      </c>
      <c r="AR533" s="232">
        <f t="shared" si="83"/>
        <v>11385357.348792501</v>
      </c>
      <c r="AS533" s="440">
        <f>Table1[[#This Row],[TOTAL CARS VALUE]]+Table1[[#This Row],[UNIT (BUILDING) VALUE BASIC FINISHED]]+Table1[[#This Row],[UNIT (GARDEN) VALUE]]</f>
        <v>12280857.348792501</v>
      </c>
      <c r="AT533" s="232">
        <f>Table1[[#This Row],[TOTAL CARS VALUE]]+Table1[[#This Row],[UNIT (GARDEN) VALUE]]+Table1[[#This Row],[UNIT (BUILDING) VALUE FULLY FINISHED]]</f>
        <v>12877857.348792501</v>
      </c>
      <c r="AU533" s="233">
        <f>VLOOKUP(I533,'C PHASES'!$I$108:$J$110,2,FALSE)</f>
        <v>45839</v>
      </c>
      <c r="AV533" s="233">
        <f>VLOOKUP(AA533,'C PHASES'!$I$113:$J$125,2,FALSE)</f>
        <v>45474</v>
      </c>
    </row>
    <row r="534" spans="1:48" x14ac:dyDescent="0.25">
      <c r="A534" s="235"/>
      <c r="B534" s="227" t="str">
        <f t="shared" si="81"/>
        <v>B</v>
      </c>
      <c r="C534" s="227" t="s">
        <v>96</v>
      </c>
      <c r="D534" s="227" t="s">
        <v>1147</v>
      </c>
      <c r="E534" s="228">
        <v>0</v>
      </c>
      <c r="F534" s="101">
        <v>4</v>
      </c>
      <c r="G534" s="87" t="str">
        <f t="shared" si="89"/>
        <v>B1904</v>
      </c>
      <c r="H534" s="87" t="s">
        <v>1294</v>
      </c>
      <c r="I534" s="89" t="str">
        <f>VLOOKUP(C534,'PREMIUM TABLES'!$G$107:$H$149,2,FALSE)</f>
        <v>C1</v>
      </c>
      <c r="J534" s="87">
        <v>94.92</v>
      </c>
      <c r="K534" s="87">
        <v>105.12823941945527</v>
      </c>
      <c r="L534" s="87">
        <v>116</v>
      </c>
      <c r="M534" s="87">
        <v>62.141199999999998</v>
      </c>
      <c r="O534" s="87" t="s">
        <v>180</v>
      </c>
      <c r="P534" s="87" t="s">
        <v>190</v>
      </c>
      <c r="Q534" s="229" t="s">
        <v>195</v>
      </c>
      <c r="R534" s="87" t="str">
        <f>VLOOKUP(E534,'PREMIUM TABLES'!$F$214:$G$219,2,FALSE)</f>
        <v>GROUND</v>
      </c>
      <c r="S534" s="87" t="str" cm="1">
        <f t="array" ref="S534">IF(AND(L534&gt;0,L534&lt;90),"A",IF(AND(L534&gt;90,L534&lt;123),"B",IF(AND(L534&gt;122,L534&lt;159),"C",IF(AND(L534&gt;159,L534&lt;185),"D",IF(AND(L534&gt;185,L534&lt;230),"E",IF(AND(L534&gt;230,L534&lt;350),"F",NONE))))))</f>
        <v>B</v>
      </c>
      <c r="T534" s="230">
        <f>VLOOKUP(O534,'PREMIUM TABLES'!$G$165:$H$172,2,FALSE)</f>
        <v>0.13</v>
      </c>
      <c r="U534" s="230">
        <f>VLOOKUP(P534,'PREMIUM TABLES'!$G$208:$H$209,2,FALSE)</f>
        <v>2.5000000000000001E-2</v>
      </c>
      <c r="V534" s="230">
        <f>VLOOKUP(Q534,'PREMIUM TABLES'!$G$175:$H$195,2,FALSE)</f>
        <v>0.25</v>
      </c>
      <c r="W534" s="230">
        <f>VLOOKUP(R534,'PREMIUM TABLES'!$G$214:$H$219,2,FALSE)</f>
        <v>0.05</v>
      </c>
      <c r="X534" s="230">
        <f>VLOOKUP(S534,'PREMIUM TABLES'!$F$199:$H$205,3,FALSE)</f>
        <v>0.04</v>
      </c>
      <c r="Y534" s="231">
        <f t="shared" si="84"/>
        <v>0.495</v>
      </c>
      <c r="Z534" s="231" t="str" cm="1">
        <f t="array" ref="Z534">IF(AND(Y534&gt;0,Y534&lt;0.5),"C",IF(AND(Y534&gt;=0.5,Y534&lt;0.73),"B",IF(AND(Y534&gt;=0.73,Y534&lt;0.98),"A",NONE)))</f>
        <v>C</v>
      </c>
      <c r="AA534" s="231" t="str">
        <f>VLOOKUP(G534,'ALL (R)'!$N$5:$R$862,5,FALSE)</f>
        <v>R 12</v>
      </c>
      <c r="AB534" s="232">
        <f>VLOOKUP(AA534,FACTS!$B$2:$L$14,10,FALSE)</f>
        <v>61625</v>
      </c>
      <c r="AC534" s="232">
        <f>VLOOKUP(AA534,FACTS!$B$2:$L$14,11,FALSE)</f>
        <v>68875</v>
      </c>
      <c r="AD534" s="232">
        <f>VLOOKUP(AA534,FACTS!$B$2:$N$14,13,FALSE)</f>
        <v>7250</v>
      </c>
      <c r="AE534" s="232">
        <f t="shared" si="85"/>
        <v>3588.75</v>
      </c>
      <c r="AF534" s="232">
        <f t="shared" si="86"/>
        <v>65213.75</v>
      </c>
      <c r="AG534" s="232">
        <f>AF534*FACTS!$T$2</f>
        <v>21520.537500000002</v>
      </c>
      <c r="AH534" s="232">
        <f>Table1[[#This Row],[UNIT (BUILDING) RATE (SEMI FINISHED)]]+4500</f>
        <v>69713.75</v>
      </c>
      <c r="AI534" s="232">
        <f>Table1[[#This Row],[UNIT (BUILDING) RATE (SEMI FINISHED)]]+7500</f>
        <v>72713.75</v>
      </c>
      <c r="AJ534" s="232">
        <f t="shared" si="87"/>
        <v>7564795</v>
      </c>
      <c r="AK534" s="232">
        <f>Table1[[#This Row],[UNIT (BUILDING) RATE (BASIC FINISH)]]*Table1[[#This Row],[Unit Selling Area]]</f>
        <v>8086795</v>
      </c>
      <c r="AL534" s="232">
        <f>Table1[[#This Row],[UNIT (BUILDING) RATE (FULLY FINISH)]]*Table1[[#This Row],[Unit Selling Area]]</f>
        <v>8434795</v>
      </c>
      <c r="AM534" s="232">
        <f t="shared" si="88"/>
        <v>1337312.024895</v>
      </c>
      <c r="AN534" s="232">
        <f>(AM534+AJ534)*FACTS!$S$2</f>
        <v>756679.09711607499</v>
      </c>
      <c r="AO534" s="101">
        <f>VLOOKUP(S534,FACTS!$A$17:$C$23,3,FALSE)</f>
        <v>1</v>
      </c>
      <c r="AP534" s="232">
        <f>VLOOKUP(AA534,FACTS!$B$2:$J$14,9,FALSE)</f>
        <v>290000</v>
      </c>
      <c r="AQ534" s="232">
        <f>Table1[[#This Row],[PARKING VALUE]]*1</f>
        <v>290000</v>
      </c>
      <c r="AR534" s="232">
        <f t="shared" si="83"/>
        <v>9192107.0248949993</v>
      </c>
      <c r="AS534" s="440">
        <f>Table1[[#This Row],[TOTAL CARS VALUE]]+Table1[[#This Row],[UNIT (BUILDING) VALUE BASIC FINISHED]]+Table1[[#This Row],[UNIT (GARDEN) VALUE]]</f>
        <v>9714107.0248949993</v>
      </c>
      <c r="AT534" s="232">
        <f>Table1[[#This Row],[TOTAL CARS VALUE]]+Table1[[#This Row],[UNIT (GARDEN) VALUE]]+Table1[[#This Row],[UNIT (BUILDING) VALUE FULLY FINISHED]]</f>
        <v>10062107.024894999</v>
      </c>
      <c r="AU534" s="233">
        <f>VLOOKUP(I534,'C PHASES'!$I$108:$J$110,2,FALSE)</f>
        <v>45839</v>
      </c>
      <c r="AV534" s="233">
        <f>VLOOKUP(AA534,'C PHASES'!$I$113:$J$125,2,FALSE)</f>
        <v>46204</v>
      </c>
    </row>
    <row r="535" spans="1:48" x14ac:dyDescent="0.25">
      <c r="A535" s="235"/>
      <c r="B535" s="227" t="str">
        <f t="shared" si="81"/>
        <v>B</v>
      </c>
      <c r="C535" s="227" t="s">
        <v>96</v>
      </c>
      <c r="D535" s="227" t="s">
        <v>1147</v>
      </c>
      <c r="E535" s="228">
        <v>1</v>
      </c>
      <c r="F535" s="101">
        <v>1</v>
      </c>
      <c r="G535" s="87" t="str">
        <f t="shared" si="89"/>
        <v>B1911</v>
      </c>
      <c r="H535" s="87" t="s">
        <v>1294</v>
      </c>
      <c r="I535" s="89" t="str">
        <f>VLOOKUP(C535,'PREMIUM TABLES'!$G$107:$H$149,2,FALSE)</f>
        <v>C1</v>
      </c>
      <c r="J535" s="87">
        <v>141.59</v>
      </c>
      <c r="K535" s="87">
        <v>156.81739801307072</v>
      </c>
      <c r="L535" s="87">
        <v>173</v>
      </c>
      <c r="O535" s="87" t="s">
        <v>180</v>
      </c>
      <c r="P535" s="87" t="s">
        <v>226</v>
      </c>
      <c r="Q535" s="229" t="s">
        <v>195</v>
      </c>
      <c r="R535" s="87" t="str">
        <f>VLOOKUP(E535,'PREMIUM TABLES'!$F$214:$G$219,2,FALSE)</f>
        <v>FIRST</v>
      </c>
      <c r="S535" s="87" t="str" cm="1">
        <f t="array" ref="S535">IF(AND(L535&gt;0,L535&lt;90),"A",IF(AND(L535&gt;90,L535&lt;123),"B",IF(AND(L535&gt;122,L535&lt;159),"C",IF(AND(L535&gt;159,L535&lt;185),"D",IF(AND(L535&gt;185,L535&lt;230),"E",IF(AND(L535&gt;230,L535&lt;350),"F",NONE))))))</f>
        <v>D</v>
      </c>
      <c r="T535" s="230">
        <f>VLOOKUP(O535,'PREMIUM TABLES'!$G$165:$H$172,2,FALSE)</f>
        <v>0.13</v>
      </c>
      <c r="U535" s="230">
        <f>VLOOKUP(P535,'PREMIUM TABLES'!$G$208:$H$209,2,FALSE)</f>
        <v>0.05</v>
      </c>
      <c r="V535" s="230">
        <f>VLOOKUP(Q535,'PREMIUM TABLES'!$G$175:$H$195,2,FALSE)</f>
        <v>0.25</v>
      </c>
      <c r="W535" s="230">
        <f>VLOOKUP(R535,'PREMIUM TABLES'!$G$214:$H$219,2,FALSE)</f>
        <v>7.0000000000000007E-2</v>
      </c>
      <c r="X535" s="230">
        <f>VLOOKUP(S535,'PREMIUM TABLES'!$F$199:$H$205,3,FALSE)</f>
        <v>2.5000000000000001E-2</v>
      </c>
      <c r="Y535" s="231">
        <f t="shared" si="84"/>
        <v>0.52500000000000002</v>
      </c>
      <c r="Z535" s="231" t="str" cm="1">
        <f t="array" ref="Z535">IF(AND(Y535&gt;0,Y535&lt;0.5),"C",IF(AND(Y535&gt;=0.5,Y535&lt;0.73),"B",IF(AND(Y535&gt;=0.73,Y535&lt;0.98),"A",NONE)))</f>
        <v>B</v>
      </c>
      <c r="AA535" s="231" t="str">
        <f>VLOOKUP(G535,'ALL (R)'!$N$5:$R$862,5,FALSE)</f>
        <v>R 1</v>
      </c>
      <c r="AB535" s="232">
        <f>VLOOKUP(AA535,FACTS!$B$2:$L$14,10,FALSE)</f>
        <v>42500</v>
      </c>
      <c r="AC535" s="232">
        <f>VLOOKUP(AA535,FACTS!$B$2:$L$14,11,FALSE)</f>
        <v>47500</v>
      </c>
      <c r="AD535" s="232">
        <f>VLOOKUP(AA535,FACTS!$B$2:$N$14,13,FALSE)</f>
        <v>5000</v>
      </c>
      <c r="AE535" s="232">
        <f t="shared" si="85"/>
        <v>2625</v>
      </c>
      <c r="AF535" s="232">
        <f t="shared" si="86"/>
        <v>45125</v>
      </c>
      <c r="AG535" s="232">
        <f>AF535*FACTS!$T$2</f>
        <v>14891.25</v>
      </c>
      <c r="AH535" s="232">
        <f>Table1[[#This Row],[UNIT (BUILDING) RATE (SEMI FINISHED)]]+4500</f>
        <v>49625</v>
      </c>
      <c r="AI535" s="232">
        <f>Table1[[#This Row],[UNIT (BUILDING) RATE (SEMI FINISHED)]]+7500</f>
        <v>52625</v>
      </c>
      <c r="AJ535" s="232">
        <f t="shared" si="87"/>
        <v>7806625</v>
      </c>
      <c r="AK535" s="232">
        <f>Table1[[#This Row],[UNIT (BUILDING) RATE (BASIC FINISH)]]*Table1[[#This Row],[Unit Selling Area]]</f>
        <v>8585125</v>
      </c>
      <c r="AL535" s="232">
        <f>Table1[[#This Row],[UNIT (BUILDING) RATE (FULLY FINISH)]]*Table1[[#This Row],[Unit Selling Area]]</f>
        <v>9104125</v>
      </c>
      <c r="AM535" s="232">
        <f t="shared" si="88"/>
        <v>0</v>
      </c>
      <c r="AN535" s="232">
        <f>(AM535+AJ535)*FACTS!$S$2</f>
        <v>663563.125</v>
      </c>
      <c r="AO535" s="101">
        <f>VLOOKUP(S535,FACTS!$A$17:$C$23,3,FALSE)</f>
        <v>2</v>
      </c>
      <c r="AP535" s="232">
        <f>VLOOKUP(AA535,FACTS!$B$2:$J$14,9,FALSE)</f>
        <v>200000</v>
      </c>
      <c r="AQ535" s="232">
        <f>Table1[[#This Row],[PARKING VALUE]]*1</f>
        <v>200000</v>
      </c>
      <c r="AR535" s="232">
        <f t="shared" si="83"/>
        <v>8006625</v>
      </c>
      <c r="AS535" s="440">
        <f>Table1[[#This Row],[TOTAL CARS VALUE]]+Table1[[#This Row],[UNIT (BUILDING) VALUE BASIC FINISHED]]+Table1[[#This Row],[UNIT (GARDEN) VALUE]]</f>
        <v>8785125</v>
      </c>
      <c r="AT535" s="232">
        <f>Table1[[#This Row],[TOTAL CARS VALUE]]+Table1[[#This Row],[UNIT (GARDEN) VALUE]]+Table1[[#This Row],[UNIT (BUILDING) VALUE FULLY FINISHED]]</f>
        <v>9304125</v>
      </c>
      <c r="AU535" s="233">
        <f>VLOOKUP(I535,'C PHASES'!$I$108:$J$110,2,FALSE)</f>
        <v>45839</v>
      </c>
      <c r="AV535" s="233">
        <f>VLOOKUP(AA535,'C PHASES'!$I$113:$J$125,2,FALSE)</f>
        <v>45170</v>
      </c>
    </row>
    <row r="536" spans="1:48" x14ac:dyDescent="0.25">
      <c r="A536" s="235"/>
      <c r="B536" s="227" t="str">
        <f t="shared" si="81"/>
        <v>B</v>
      </c>
      <c r="C536" s="227" t="s">
        <v>96</v>
      </c>
      <c r="D536" s="227" t="s">
        <v>1147</v>
      </c>
      <c r="E536" s="228">
        <v>1</v>
      </c>
      <c r="F536" s="101">
        <v>2</v>
      </c>
      <c r="G536" s="87" t="str">
        <f t="shared" si="89"/>
        <v>B1912</v>
      </c>
      <c r="H536" s="87" t="s">
        <v>1295</v>
      </c>
      <c r="I536" s="89" t="str">
        <f>VLOOKUP(C536,'PREMIUM TABLES'!$G$107:$H$149,2,FALSE)</f>
        <v>C1</v>
      </c>
      <c r="J536" s="87">
        <v>183.59</v>
      </c>
      <c r="K536" s="87">
        <v>203.33431811017482</v>
      </c>
      <c r="L536" s="87">
        <v>224</v>
      </c>
      <c r="O536" s="87" t="s">
        <v>187</v>
      </c>
      <c r="P536" s="87" t="s">
        <v>226</v>
      </c>
      <c r="Q536" s="229" t="s">
        <v>209</v>
      </c>
      <c r="R536" s="87" t="str">
        <f>VLOOKUP(E536,'PREMIUM TABLES'!$F$214:$G$219,2,FALSE)</f>
        <v>FIRST</v>
      </c>
      <c r="S536" s="87" t="str" cm="1">
        <f t="array" ref="S536">IF(AND(L536&gt;0,L536&lt;90),"A",IF(AND(L536&gt;90,L536&lt;123),"B",IF(AND(L536&gt;122,L536&lt;159),"C",IF(AND(L536&gt;159,L536&lt;185),"D",IF(AND(L536&gt;185,L536&lt;230),"E",IF(AND(L536&gt;230,L536&lt;350),"F",NONE))))))</f>
        <v>E</v>
      </c>
      <c r="T536" s="230">
        <f>VLOOKUP(O536,'PREMIUM TABLES'!$G$165:$H$172,2,FALSE)</f>
        <v>0.08</v>
      </c>
      <c r="U536" s="230">
        <f>VLOOKUP(P536,'PREMIUM TABLES'!$G$208:$H$209,2,FALSE)</f>
        <v>0.05</v>
      </c>
      <c r="V536" s="230">
        <f>VLOOKUP(Q536,'PREMIUM TABLES'!$G$175:$H$195,2,FALSE)</f>
        <v>0.6</v>
      </c>
      <c r="W536" s="230">
        <f>VLOOKUP(R536,'PREMIUM TABLES'!$G$214:$H$219,2,FALSE)</f>
        <v>7.0000000000000007E-2</v>
      </c>
      <c r="X536" s="230">
        <f>VLOOKUP(S536,'PREMIUM TABLES'!$F$199:$H$205,3,FALSE)</f>
        <v>1.4999999999999999E-2</v>
      </c>
      <c r="Y536" s="231">
        <f t="shared" si="84"/>
        <v>0.81500000000000006</v>
      </c>
      <c r="Z536" s="231" t="str" cm="1">
        <f t="array" ref="Z536">IF(AND(Y536&gt;0,Y536&lt;0.5),"C",IF(AND(Y536&gt;=0.5,Y536&lt;0.73),"B",IF(AND(Y536&gt;=0.73,Y536&lt;0.98),"A",NONE)))</f>
        <v>A</v>
      </c>
      <c r="AA536" s="231" t="str">
        <f>VLOOKUP(G536,'ALL (R)'!$N$5:$R$862,5,FALSE)</f>
        <v>R 7</v>
      </c>
      <c r="AB536" s="232">
        <f>VLOOKUP(AA536,FACTS!$B$2:$L$14,10,FALSE)</f>
        <v>50150</v>
      </c>
      <c r="AC536" s="232">
        <f>VLOOKUP(AA536,FACTS!$B$2:$L$14,11,FALSE)</f>
        <v>56050</v>
      </c>
      <c r="AD536" s="232">
        <f>VLOOKUP(AA536,FACTS!$B$2:$N$14,13,FALSE)</f>
        <v>5900</v>
      </c>
      <c r="AE536" s="232">
        <f t="shared" si="85"/>
        <v>4808.5</v>
      </c>
      <c r="AF536" s="232">
        <f t="shared" si="86"/>
        <v>54958.5</v>
      </c>
      <c r="AG536" s="232">
        <f>AF536*FACTS!$T$2</f>
        <v>18136.305</v>
      </c>
      <c r="AH536" s="232">
        <f>Table1[[#This Row],[UNIT (BUILDING) RATE (SEMI FINISHED)]]+4500</f>
        <v>59458.5</v>
      </c>
      <c r="AI536" s="232">
        <f>Table1[[#This Row],[UNIT (BUILDING) RATE (SEMI FINISHED)]]+7500</f>
        <v>62458.5</v>
      </c>
      <c r="AJ536" s="232">
        <f t="shared" si="87"/>
        <v>12310704</v>
      </c>
      <c r="AK536" s="232">
        <f>Table1[[#This Row],[UNIT (BUILDING) RATE (BASIC FINISH)]]*Table1[[#This Row],[Unit Selling Area]]</f>
        <v>13318704</v>
      </c>
      <c r="AL536" s="232">
        <f>Table1[[#This Row],[UNIT (BUILDING) RATE (FULLY FINISH)]]*Table1[[#This Row],[Unit Selling Area]]</f>
        <v>13990704</v>
      </c>
      <c r="AM536" s="232">
        <f t="shared" si="88"/>
        <v>0</v>
      </c>
      <c r="AN536" s="232">
        <f>(AM536+AJ536)*FACTS!$S$2</f>
        <v>1046409.8400000001</v>
      </c>
      <c r="AO536" s="101">
        <f>VLOOKUP(S536,FACTS!$A$17:$C$23,3,FALSE)</f>
        <v>2</v>
      </c>
      <c r="AP536" s="232">
        <f>VLOOKUP(AA536,FACTS!$B$2:$J$14,9,FALSE)</f>
        <v>236000</v>
      </c>
      <c r="AQ536" s="232">
        <f>Table1[[#This Row],[PARKING VALUE]]*1</f>
        <v>236000</v>
      </c>
      <c r="AR536" s="232">
        <f t="shared" si="83"/>
        <v>12546704</v>
      </c>
      <c r="AS536" s="440">
        <f>Table1[[#This Row],[TOTAL CARS VALUE]]+Table1[[#This Row],[UNIT (BUILDING) VALUE BASIC FINISHED]]+Table1[[#This Row],[UNIT (GARDEN) VALUE]]</f>
        <v>13554704</v>
      </c>
      <c r="AT536" s="232">
        <f>Table1[[#This Row],[TOTAL CARS VALUE]]+Table1[[#This Row],[UNIT (GARDEN) VALUE]]+Table1[[#This Row],[UNIT (BUILDING) VALUE FULLY FINISHED]]</f>
        <v>14226704</v>
      </c>
      <c r="AU536" s="233">
        <f>VLOOKUP(I536,'C PHASES'!$I$108:$J$110,2,FALSE)</f>
        <v>45839</v>
      </c>
      <c r="AV536" s="233">
        <f>VLOOKUP(AA536,'C PHASES'!$I$113:$J$125,2,FALSE)</f>
        <v>45748</v>
      </c>
    </row>
    <row r="537" spans="1:48" x14ac:dyDescent="0.25">
      <c r="A537" s="235"/>
      <c r="B537" s="227" t="str">
        <f t="shared" si="81"/>
        <v>B</v>
      </c>
      <c r="C537" s="227" t="s">
        <v>96</v>
      </c>
      <c r="D537" s="227" t="s">
        <v>1147</v>
      </c>
      <c r="E537" s="228">
        <v>1</v>
      </c>
      <c r="F537" s="101">
        <v>3</v>
      </c>
      <c r="G537" s="87" t="str">
        <f t="shared" si="89"/>
        <v>B1913</v>
      </c>
      <c r="H537" s="87" t="s">
        <v>1294</v>
      </c>
      <c r="I537" s="89" t="str">
        <f>VLOOKUP(C537,'PREMIUM TABLES'!$G$107:$H$149,2,FALSE)</f>
        <v>C1</v>
      </c>
      <c r="J537" s="87">
        <v>163.05000000000001</v>
      </c>
      <c r="K537" s="87">
        <v>180.58532909125773</v>
      </c>
      <c r="L537" s="87">
        <v>199</v>
      </c>
      <c r="O537" s="87" t="s">
        <v>187</v>
      </c>
      <c r="P537" s="87" t="s">
        <v>190</v>
      </c>
      <c r="Q537" s="229" t="s">
        <v>209</v>
      </c>
      <c r="R537" s="87" t="str">
        <f>VLOOKUP(E537,'PREMIUM TABLES'!$F$214:$G$219,2,FALSE)</f>
        <v>FIRST</v>
      </c>
      <c r="S537" s="87" t="str" cm="1">
        <f t="array" ref="S537">IF(AND(L537&gt;0,L537&lt;90),"A",IF(AND(L537&gt;90,L537&lt;123),"B",IF(AND(L537&gt;122,L537&lt;159),"C",IF(AND(L537&gt;159,L537&lt;185),"D",IF(AND(L537&gt;185,L537&lt;230),"E",IF(AND(L537&gt;230,L537&lt;350),"F",NONE))))))</f>
        <v>E</v>
      </c>
      <c r="T537" s="230">
        <f>VLOOKUP(O537,'PREMIUM TABLES'!$G$165:$H$172,2,FALSE)</f>
        <v>0.08</v>
      </c>
      <c r="U537" s="230">
        <f>VLOOKUP(P537,'PREMIUM TABLES'!$G$208:$H$209,2,FALSE)</f>
        <v>2.5000000000000001E-2</v>
      </c>
      <c r="V537" s="230">
        <f>VLOOKUP(Q537,'PREMIUM TABLES'!$G$175:$H$195,2,FALSE)</f>
        <v>0.6</v>
      </c>
      <c r="W537" s="230">
        <f>VLOOKUP(R537,'PREMIUM TABLES'!$G$214:$H$219,2,FALSE)</f>
        <v>7.0000000000000007E-2</v>
      </c>
      <c r="X537" s="230">
        <f>VLOOKUP(S537,'PREMIUM TABLES'!$F$199:$H$205,3,FALSE)</f>
        <v>1.4999999999999999E-2</v>
      </c>
      <c r="Y537" s="231">
        <f t="shared" si="84"/>
        <v>0.78999999999999992</v>
      </c>
      <c r="Z537" s="231" t="str" cm="1">
        <f t="array" ref="Z537">IF(AND(Y537&gt;0,Y537&lt;0.5),"C",IF(AND(Y537&gt;=0.5,Y537&lt;0.73),"B",IF(AND(Y537&gt;=0.73,Y537&lt;0.98),"A",NONE)))</f>
        <v>A</v>
      </c>
      <c r="AA537" s="231" t="str">
        <f>VLOOKUP(G537,'ALL (R)'!$N$5:$R$862,5,FALSE)</f>
        <v>R 5</v>
      </c>
      <c r="AB537" s="232">
        <f>VLOOKUP(AA537,FACTS!$B$2:$L$14,10,FALSE)</f>
        <v>46750.000000000007</v>
      </c>
      <c r="AC537" s="232">
        <f>VLOOKUP(AA537,FACTS!$B$2:$L$14,11,FALSE)</f>
        <v>52250.000000000007</v>
      </c>
      <c r="AD537" s="232">
        <f>VLOOKUP(AA537,FACTS!$B$2:$N$14,13,FALSE)</f>
        <v>5500</v>
      </c>
      <c r="AE537" s="232">
        <f t="shared" si="85"/>
        <v>4345</v>
      </c>
      <c r="AF537" s="232">
        <f t="shared" si="86"/>
        <v>51095.000000000007</v>
      </c>
      <c r="AG537" s="232">
        <f>AF537*FACTS!$T$2</f>
        <v>16861.350000000002</v>
      </c>
      <c r="AH537" s="232">
        <f>Table1[[#This Row],[UNIT (BUILDING) RATE (SEMI FINISHED)]]+4500</f>
        <v>55595.000000000007</v>
      </c>
      <c r="AI537" s="232">
        <f>Table1[[#This Row],[UNIT (BUILDING) RATE (SEMI FINISHED)]]+7500</f>
        <v>58595.000000000007</v>
      </c>
      <c r="AJ537" s="232">
        <f t="shared" si="87"/>
        <v>10167905.000000002</v>
      </c>
      <c r="AK537" s="232">
        <f>Table1[[#This Row],[UNIT (BUILDING) RATE (BASIC FINISH)]]*Table1[[#This Row],[Unit Selling Area]]</f>
        <v>11063405.000000002</v>
      </c>
      <c r="AL537" s="232">
        <f>Table1[[#This Row],[UNIT (BUILDING) RATE (FULLY FINISH)]]*Table1[[#This Row],[Unit Selling Area]]</f>
        <v>11660405.000000002</v>
      </c>
      <c r="AM537" s="232">
        <f t="shared" si="88"/>
        <v>0</v>
      </c>
      <c r="AN537" s="232">
        <f>(AM537+AJ537)*FACTS!$S$2</f>
        <v>864271.92500000016</v>
      </c>
      <c r="AO537" s="101">
        <f>VLOOKUP(S537,FACTS!$A$17:$C$23,3,FALSE)</f>
        <v>2</v>
      </c>
      <c r="AP537" s="232">
        <f>VLOOKUP(AA537,FACTS!$B$2:$J$14,9,FALSE)</f>
        <v>220000.00000000003</v>
      </c>
      <c r="AQ537" s="232">
        <f>Table1[[#This Row],[PARKING VALUE]]*1</f>
        <v>220000.00000000003</v>
      </c>
      <c r="AR537" s="232">
        <f t="shared" si="83"/>
        <v>10387905.000000002</v>
      </c>
      <c r="AS537" s="440">
        <f>Table1[[#This Row],[TOTAL CARS VALUE]]+Table1[[#This Row],[UNIT (BUILDING) VALUE BASIC FINISHED]]+Table1[[#This Row],[UNIT (GARDEN) VALUE]]</f>
        <v>11283405.000000002</v>
      </c>
      <c r="AT537" s="232">
        <f>Table1[[#This Row],[TOTAL CARS VALUE]]+Table1[[#This Row],[UNIT (GARDEN) VALUE]]+Table1[[#This Row],[UNIT (BUILDING) VALUE FULLY FINISHED]]</f>
        <v>11880405.000000002</v>
      </c>
      <c r="AU537" s="233">
        <f>VLOOKUP(I537,'C PHASES'!$I$108:$J$110,2,FALSE)</f>
        <v>45839</v>
      </c>
      <c r="AV537" s="233">
        <f>VLOOKUP(AA537,'C PHASES'!$I$113:$J$125,2,FALSE)</f>
        <v>45566</v>
      </c>
    </row>
    <row r="538" spans="1:48" x14ac:dyDescent="0.25">
      <c r="A538" s="235"/>
      <c r="B538" s="227" t="str">
        <f t="shared" si="81"/>
        <v>B</v>
      </c>
      <c r="C538" s="227" t="s">
        <v>96</v>
      </c>
      <c r="D538" s="227" t="s">
        <v>1147</v>
      </c>
      <c r="E538" s="228">
        <v>1</v>
      </c>
      <c r="F538" s="101">
        <v>4</v>
      </c>
      <c r="G538" s="87" t="str">
        <f t="shared" si="89"/>
        <v>B1914</v>
      </c>
      <c r="H538" s="87" t="s">
        <v>1293</v>
      </c>
      <c r="I538" s="89" t="str">
        <f>VLOOKUP(C538,'PREMIUM TABLES'!$G$107:$H$149,2,FALSE)</f>
        <v>C1</v>
      </c>
      <c r="J538" s="87">
        <v>96.29</v>
      </c>
      <c r="K538" s="87">
        <v>106.64557705119415</v>
      </c>
      <c r="L538" s="87">
        <v>117</v>
      </c>
      <c r="O538" s="87" t="s">
        <v>180</v>
      </c>
      <c r="P538" s="87" t="s">
        <v>190</v>
      </c>
      <c r="Q538" s="229" t="s">
        <v>195</v>
      </c>
      <c r="R538" s="87" t="str">
        <f>VLOOKUP(E538,'PREMIUM TABLES'!$F$214:$G$219,2,FALSE)</f>
        <v>FIRST</v>
      </c>
      <c r="S538" s="87" t="str" cm="1">
        <f t="array" ref="S538">IF(AND(L538&gt;0,L538&lt;90),"A",IF(AND(L538&gt;90,L538&lt;123),"B",IF(AND(L538&gt;122,L538&lt;159),"C",IF(AND(L538&gt;159,L538&lt;185),"D",IF(AND(L538&gt;185,L538&lt;230),"E",IF(AND(L538&gt;230,L538&lt;350),"F",NONE))))))</f>
        <v>B</v>
      </c>
      <c r="T538" s="230">
        <f>VLOOKUP(O538,'PREMIUM TABLES'!$G$165:$H$172,2,FALSE)</f>
        <v>0.13</v>
      </c>
      <c r="U538" s="230">
        <f>VLOOKUP(P538,'PREMIUM TABLES'!$G$208:$H$209,2,FALSE)</f>
        <v>2.5000000000000001E-2</v>
      </c>
      <c r="V538" s="230">
        <f>VLOOKUP(Q538,'PREMIUM TABLES'!$G$175:$H$195,2,FALSE)</f>
        <v>0.25</v>
      </c>
      <c r="W538" s="230">
        <f>VLOOKUP(R538,'PREMIUM TABLES'!$G$214:$H$219,2,FALSE)</f>
        <v>7.0000000000000007E-2</v>
      </c>
      <c r="X538" s="230">
        <f>VLOOKUP(S538,'PREMIUM TABLES'!$F$199:$H$205,3,FALSE)</f>
        <v>0.04</v>
      </c>
      <c r="Y538" s="231">
        <f t="shared" si="84"/>
        <v>0.51500000000000001</v>
      </c>
      <c r="Z538" s="231" t="str" cm="1">
        <f t="array" ref="Z538">IF(AND(Y538&gt;0,Y538&lt;0.5),"C",IF(AND(Y538&gt;=0.5,Y538&lt;0.73),"B",IF(AND(Y538&gt;=0.73,Y538&lt;0.98),"A",NONE)))</f>
        <v>B</v>
      </c>
      <c r="AA538" s="231" t="str">
        <f>VLOOKUP(G538,'ALL (R)'!$N$5:$R$862,5,FALSE)</f>
        <v>R 1</v>
      </c>
      <c r="AB538" s="232">
        <f>VLOOKUP(AA538,FACTS!$B$2:$L$14,10,FALSE)</f>
        <v>42500</v>
      </c>
      <c r="AC538" s="232">
        <f>VLOOKUP(AA538,FACTS!$B$2:$L$14,11,FALSE)</f>
        <v>47500</v>
      </c>
      <c r="AD538" s="232">
        <f>VLOOKUP(AA538,FACTS!$B$2:$N$14,13,FALSE)</f>
        <v>5000</v>
      </c>
      <c r="AE538" s="232">
        <f t="shared" si="85"/>
        <v>2575</v>
      </c>
      <c r="AF538" s="232">
        <f t="shared" si="86"/>
        <v>45075</v>
      </c>
      <c r="AG538" s="232">
        <f>AF538*FACTS!$T$2</f>
        <v>14874.75</v>
      </c>
      <c r="AH538" s="232">
        <f>Table1[[#This Row],[UNIT (BUILDING) RATE (SEMI FINISHED)]]+4500</f>
        <v>49575</v>
      </c>
      <c r="AI538" s="232">
        <f>Table1[[#This Row],[UNIT (BUILDING) RATE (SEMI FINISHED)]]+7500</f>
        <v>52575</v>
      </c>
      <c r="AJ538" s="232">
        <f t="shared" si="87"/>
        <v>5273775</v>
      </c>
      <c r="AK538" s="232">
        <f>Table1[[#This Row],[UNIT (BUILDING) RATE (BASIC FINISH)]]*Table1[[#This Row],[Unit Selling Area]]</f>
        <v>5800275</v>
      </c>
      <c r="AL538" s="232">
        <f>Table1[[#This Row],[UNIT (BUILDING) RATE (FULLY FINISH)]]*Table1[[#This Row],[Unit Selling Area]]</f>
        <v>6151275</v>
      </c>
      <c r="AM538" s="232">
        <f t="shared" si="88"/>
        <v>0</v>
      </c>
      <c r="AN538" s="232">
        <f>(AM538+AJ538)*FACTS!$S$2</f>
        <v>448270.87500000006</v>
      </c>
      <c r="AO538" s="101">
        <f>VLOOKUP(S538,FACTS!$A$17:$C$23,3,FALSE)</f>
        <v>1</v>
      </c>
      <c r="AP538" s="232">
        <f>VLOOKUP(AA538,FACTS!$B$2:$J$14,9,FALSE)</f>
        <v>200000</v>
      </c>
      <c r="AQ538" s="232">
        <f>Table1[[#This Row],[PARKING VALUE]]*1</f>
        <v>200000</v>
      </c>
      <c r="AR538" s="232">
        <f t="shared" si="83"/>
        <v>5473775</v>
      </c>
      <c r="AS538" s="440">
        <f>Table1[[#This Row],[TOTAL CARS VALUE]]+Table1[[#This Row],[UNIT (BUILDING) VALUE BASIC FINISHED]]+Table1[[#This Row],[UNIT (GARDEN) VALUE]]</f>
        <v>6000275</v>
      </c>
      <c r="AT538" s="232">
        <f>Table1[[#This Row],[TOTAL CARS VALUE]]+Table1[[#This Row],[UNIT (GARDEN) VALUE]]+Table1[[#This Row],[UNIT (BUILDING) VALUE FULLY FINISHED]]</f>
        <v>6351275</v>
      </c>
      <c r="AU538" s="233">
        <f>VLOOKUP(I538,'C PHASES'!$I$108:$J$110,2,FALSE)</f>
        <v>45839</v>
      </c>
      <c r="AV538" s="233">
        <f>VLOOKUP(AA538,'C PHASES'!$I$113:$J$125,2,FALSE)</f>
        <v>45170</v>
      </c>
    </row>
    <row r="539" spans="1:48" x14ac:dyDescent="0.25">
      <c r="A539" s="235"/>
      <c r="B539" s="227" t="str">
        <f t="shared" si="81"/>
        <v>B</v>
      </c>
      <c r="C539" s="227" t="s">
        <v>96</v>
      </c>
      <c r="D539" s="227" t="s">
        <v>1147</v>
      </c>
      <c r="E539" s="228">
        <v>2</v>
      </c>
      <c r="F539" s="101">
        <v>1</v>
      </c>
      <c r="G539" s="87" t="str">
        <f t="shared" si="89"/>
        <v>B1921</v>
      </c>
      <c r="H539" s="87" t="s">
        <v>1294</v>
      </c>
      <c r="I539" s="89" t="str">
        <f>VLOOKUP(C539,'PREMIUM TABLES'!$G$107:$H$149,2,FALSE)</f>
        <v>C1</v>
      </c>
      <c r="J539" s="87">
        <v>143.97</v>
      </c>
      <c r="K539" s="87">
        <v>159.45335681857327</v>
      </c>
      <c r="L539" s="87">
        <v>176</v>
      </c>
      <c r="O539" s="87" t="s">
        <v>180</v>
      </c>
      <c r="P539" s="87" t="s">
        <v>226</v>
      </c>
      <c r="Q539" s="229" t="s">
        <v>195</v>
      </c>
      <c r="R539" s="87" t="str">
        <f>VLOOKUP(E539,'PREMIUM TABLES'!$F$214:$G$219,2,FALSE)</f>
        <v>SECOND</v>
      </c>
      <c r="S539" s="87" t="str" cm="1">
        <f t="array" ref="S539">IF(AND(L539&gt;0,L539&lt;90),"A",IF(AND(L539&gt;90,L539&lt;123),"B",IF(AND(L539&gt;122,L539&lt;159),"C",IF(AND(L539&gt;159,L539&lt;185),"D",IF(AND(L539&gt;185,L539&lt;230),"E",IF(AND(L539&gt;230,L539&lt;350),"F",NONE))))))</f>
        <v>D</v>
      </c>
      <c r="T539" s="230">
        <f>VLOOKUP(O539,'PREMIUM TABLES'!$G$165:$H$172,2,FALSE)</f>
        <v>0.13</v>
      </c>
      <c r="U539" s="230">
        <f>VLOOKUP(P539,'PREMIUM TABLES'!$G$208:$H$209,2,FALSE)</f>
        <v>0.05</v>
      </c>
      <c r="V539" s="230">
        <f>VLOOKUP(Q539,'PREMIUM TABLES'!$G$175:$H$195,2,FALSE)</f>
        <v>0.25</v>
      </c>
      <c r="W539" s="230">
        <f>VLOOKUP(R539,'PREMIUM TABLES'!$G$214:$H$219,2,FALSE)</f>
        <v>0.11</v>
      </c>
      <c r="X539" s="230">
        <f>VLOOKUP(S539,'PREMIUM TABLES'!$F$199:$H$205,3,FALSE)</f>
        <v>2.5000000000000001E-2</v>
      </c>
      <c r="Y539" s="231">
        <f t="shared" si="84"/>
        <v>0.56500000000000006</v>
      </c>
      <c r="Z539" s="231" t="str" cm="1">
        <f t="array" ref="Z539">IF(AND(Y539&gt;0,Y539&lt;0.5),"C",IF(AND(Y539&gt;=0.5,Y539&lt;0.73),"B",IF(AND(Y539&gt;=0.73,Y539&lt;0.98),"A",NONE)))</f>
        <v>B</v>
      </c>
      <c r="AA539" s="231" t="str">
        <f>VLOOKUP(G539,'ALL (R)'!$N$5:$R$862,5,FALSE)</f>
        <v>R 1</v>
      </c>
      <c r="AB539" s="232">
        <f>VLOOKUP(AA539,FACTS!$B$2:$L$14,10,FALSE)</f>
        <v>42500</v>
      </c>
      <c r="AC539" s="232">
        <f>VLOOKUP(AA539,FACTS!$B$2:$L$14,11,FALSE)</f>
        <v>47500</v>
      </c>
      <c r="AD539" s="232">
        <f>VLOOKUP(AA539,FACTS!$B$2:$N$14,13,FALSE)</f>
        <v>5000</v>
      </c>
      <c r="AE539" s="232">
        <f t="shared" si="85"/>
        <v>2825.0000000000005</v>
      </c>
      <c r="AF539" s="232">
        <f t="shared" si="86"/>
        <v>45325</v>
      </c>
      <c r="AG539" s="232">
        <f>AF539*FACTS!$T$2</f>
        <v>14957.25</v>
      </c>
      <c r="AH539" s="232">
        <f>Table1[[#This Row],[UNIT (BUILDING) RATE (SEMI FINISHED)]]+4500</f>
        <v>49825</v>
      </c>
      <c r="AI539" s="232">
        <f>Table1[[#This Row],[UNIT (BUILDING) RATE (SEMI FINISHED)]]+7500</f>
        <v>52825</v>
      </c>
      <c r="AJ539" s="232">
        <f t="shared" si="87"/>
        <v>7977200</v>
      </c>
      <c r="AK539" s="232">
        <f>Table1[[#This Row],[UNIT (BUILDING) RATE (BASIC FINISH)]]*Table1[[#This Row],[Unit Selling Area]]</f>
        <v>8769200</v>
      </c>
      <c r="AL539" s="232">
        <f>Table1[[#This Row],[UNIT (BUILDING) RATE (FULLY FINISH)]]*Table1[[#This Row],[Unit Selling Area]]</f>
        <v>9297200</v>
      </c>
      <c r="AM539" s="232">
        <f t="shared" si="88"/>
        <v>0</v>
      </c>
      <c r="AN539" s="232">
        <f>(AM539+AJ539)*FACTS!$S$2</f>
        <v>678062</v>
      </c>
      <c r="AO539" s="101">
        <f>VLOOKUP(S539,FACTS!$A$17:$C$23,3,FALSE)</f>
        <v>2</v>
      </c>
      <c r="AP539" s="232">
        <f>VLOOKUP(AA539,FACTS!$B$2:$J$14,9,FALSE)</f>
        <v>200000</v>
      </c>
      <c r="AQ539" s="232">
        <f>Table1[[#This Row],[PARKING VALUE]]*1</f>
        <v>200000</v>
      </c>
      <c r="AR539" s="232">
        <f t="shared" si="83"/>
        <v>8177200</v>
      </c>
      <c r="AS539" s="440">
        <f>Table1[[#This Row],[TOTAL CARS VALUE]]+Table1[[#This Row],[UNIT (BUILDING) VALUE BASIC FINISHED]]+Table1[[#This Row],[UNIT (GARDEN) VALUE]]</f>
        <v>8969200</v>
      </c>
      <c r="AT539" s="232">
        <f>Table1[[#This Row],[TOTAL CARS VALUE]]+Table1[[#This Row],[UNIT (GARDEN) VALUE]]+Table1[[#This Row],[UNIT (BUILDING) VALUE FULLY FINISHED]]</f>
        <v>9497200</v>
      </c>
      <c r="AU539" s="233">
        <f>VLOOKUP(I539,'C PHASES'!$I$108:$J$110,2,FALSE)</f>
        <v>45839</v>
      </c>
      <c r="AV539" s="233">
        <f>VLOOKUP(AA539,'C PHASES'!$I$113:$J$125,2,FALSE)</f>
        <v>45170</v>
      </c>
    </row>
    <row r="540" spans="1:48" x14ac:dyDescent="0.25">
      <c r="A540" s="235"/>
      <c r="B540" s="227" t="str">
        <f t="shared" si="81"/>
        <v>B</v>
      </c>
      <c r="C540" s="227" t="s">
        <v>96</v>
      </c>
      <c r="D540" s="227" t="s">
        <v>1147</v>
      </c>
      <c r="E540" s="228">
        <v>2</v>
      </c>
      <c r="F540" s="101">
        <v>2</v>
      </c>
      <c r="G540" s="87" t="str">
        <f t="shared" si="89"/>
        <v>B1922</v>
      </c>
      <c r="H540" s="87" t="s">
        <v>1295</v>
      </c>
      <c r="I540" s="89" t="str">
        <f>VLOOKUP(C540,'PREMIUM TABLES'!$G$107:$H$149,2,FALSE)</f>
        <v>C1</v>
      </c>
      <c r="J540" s="87">
        <v>187.09</v>
      </c>
      <c r="K540" s="87">
        <v>207.21072811826681</v>
      </c>
      <c r="L540" s="87">
        <v>228</v>
      </c>
      <c r="O540" s="87" t="s">
        <v>187</v>
      </c>
      <c r="P540" s="87" t="s">
        <v>226</v>
      </c>
      <c r="Q540" s="229" t="s">
        <v>209</v>
      </c>
      <c r="R540" s="87" t="str">
        <f>VLOOKUP(E540,'PREMIUM TABLES'!$F$214:$G$219,2,FALSE)</f>
        <v>SECOND</v>
      </c>
      <c r="S540" s="87" t="str" cm="1">
        <f t="array" ref="S540">IF(AND(L540&gt;0,L540&lt;90),"A",IF(AND(L540&gt;90,L540&lt;123),"B",IF(AND(L540&gt;122,L540&lt;159),"C",IF(AND(L540&gt;159,L540&lt;185),"D",IF(AND(L540&gt;185,L540&lt;230),"E",IF(AND(L540&gt;230,L540&lt;350),"F",NONE))))))</f>
        <v>E</v>
      </c>
      <c r="T540" s="230">
        <f>VLOOKUP(O540,'PREMIUM TABLES'!$G$165:$H$172,2,FALSE)</f>
        <v>0.08</v>
      </c>
      <c r="U540" s="230">
        <f>VLOOKUP(P540,'PREMIUM TABLES'!$G$208:$H$209,2,FALSE)</f>
        <v>0.05</v>
      </c>
      <c r="V540" s="230">
        <f>VLOOKUP(Q540,'PREMIUM TABLES'!$G$175:$H$195,2,FALSE)</f>
        <v>0.6</v>
      </c>
      <c r="W540" s="230">
        <f>VLOOKUP(R540,'PREMIUM TABLES'!$G$214:$H$219,2,FALSE)</f>
        <v>0.11</v>
      </c>
      <c r="X540" s="230">
        <f>VLOOKUP(S540,'PREMIUM TABLES'!$F$199:$H$205,3,FALSE)</f>
        <v>1.4999999999999999E-2</v>
      </c>
      <c r="Y540" s="231">
        <f t="shared" si="84"/>
        <v>0.85499999999999998</v>
      </c>
      <c r="Z540" s="231" t="str" cm="1">
        <f t="array" ref="Z540">IF(AND(Y540&gt;0,Y540&lt;0.5),"C",IF(AND(Y540&gt;=0.5,Y540&lt;0.73),"B",IF(AND(Y540&gt;=0.73,Y540&lt;0.98),"A",NONE)))</f>
        <v>A</v>
      </c>
      <c r="AA540" s="231" t="str">
        <f>VLOOKUP(G540,'ALL (R)'!$N$5:$R$862,5,FALSE)</f>
        <v>R 8</v>
      </c>
      <c r="AB540" s="232">
        <f>VLOOKUP(AA540,FACTS!$B$2:$L$14,10,FALSE)</f>
        <v>51850</v>
      </c>
      <c r="AC540" s="232">
        <f>VLOOKUP(AA540,FACTS!$B$2:$L$14,11,FALSE)</f>
        <v>57950</v>
      </c>
      <c r="AD540" s="232">
        <f>VLOOKUP(AA540,FACTS!$B$2:$N$14,13,FALSE)</f>
        <v>6100</v>
      </c>
      <c r="AE540" s="232">
        <f t="shared" si="85"/>
        <v>5215.5</v>
      </c>
      <c r="AF540" s="232">
        <f t="shared" si="86"/>
        <v>57065.5</v>
      </c>
      <c r="AG540" s="232">
        <f>AF540*FACTS!$T$2</f>
        <v>18831.615000000002</v>
      </c>
      <c r="AH540" s="232">
        <f>Table1[[#This Row],[UNIT (BUILDING) RATE (SEMI FINISHED)]]+4500</f>
        <v>61565.5</v>
      </c>
      <c r="AI540" s="232">
        <f>Table1[[#This Row],[UNIT (BUILDING) RATE (SEMI FINISHED)]]+7500</f>
        <v>64565.5</v>
      </c>
      <c r="AJ540" s="232">
        <f t="shared" si="87"/>
        <v>13010934</v>
      </c>
      <c r="AK540" s="232">
        <f>Table1[[#This Row],[UNIT (BUILDING) RATE (BASIC FINISH)]]*Table1[[#This Row],[Unit Selling Area]]</f>
        <v>14036934</v>
      </c>
      <c r="AL540" s="232">
        <f>Table1[[#This Row],[UNIT (BUILDING) RATE (FULLY FINISH)]]*Table1[[#This Row],[Unit Selling Area]]</f>
        <v>14720934</v>
      </c>
      <c r="AM540" s="232">
        <f t="shared" si="88"/>
        <v>0</v>
      </c>
      <c r="AN540" s="232">
        <f>(AM540+AJ540)*FACTS!$S$2</f>
        <v>1105929.3900000001</v>
      </c>
      <c r="AO540" s="101">
        <f>VLOOKUP(S540,FACTS!$A$17:$C$23,3,FALSE)</f>
        <v>2</v>
      </c>
      <c r="AP540" s="232">
        <f>VLOOKUP(AA540,FACTS!$B$2:$J$14,9,FALSE)</f>
        <v>244000</v>
      </c>
      <c r="AQ540" s="232">
        <f>Table1[[#This Row],[PARKING VALUE]]*1</f>
        <v>244000</v>
      </c>
      <c r="AR540" s="232">
        <f t="shared" si="83"/>
        <v>13254934</v>
      </c>
      <c r="AS540" s="440">
        <f>Table1[[#This Row],[TOTAL CARS VALUE]]+Table1[[#This Row],[UNIT (BUILDING) VALUE BASIC FINISHED]]+Table1[[#This Row],[UNIT (GARDEN) VALUE]]</f>
        <v>14280934</v>
      </c>
      <c r="AT540" s="232">
        <f>Table1[[#This Row],[TOTAL CARS VALUE]]+Table1[[#This Row],[UNIT (GARDEN) VALUE]]+Table1[[#This Row],[UNIT (BUILDING) VALUE FULLY FINISHED]]</f>
        <v>14964934</v>
      </c>
      <c r="AU540" s="233">
        <f>VLOOKUP(I540,'C PHASES'!$I$108:$J$110,2,FALSE)</f>
        <v>45839</v>
      </c>
      <c r="AV540" s="233">
        <f>VLOOKUP(AA540,'C PHASES'!$I$113:$J$125,2,FALSE)</f>
        <v>45839</v>
      </c>
    </row>
    <row r="541" spans="1:48" x14ac:dyDescent="0.25">
      <c r="A541" s="235"/>
      <c r="B541" s="227" t="str">
        <f t="shared" si="81"/>
        <v>B</v>
      </c>
      <c r="C541" s="227" t="s">
        <v>96</v>
      </c>
      <c r="D541" s="227" t="s">
        <v>1147</v>
      </c>
      <c r="E541" s="228">
        <v>2</v>
      </c>
      <c r="F541" s="101">
        <v>3</v>
      </c>
      <c r="G541" s="87" t="str">
        <f t="shared" si="89"/>
        <v>B1923</v>
      </c>
      <c r="H541" s="87" t="s">
        <v>1294</v>
      </c>
      <c r="I541" s="89" t="str">
        <f>VLOOKUP(C541,'PREMIUM TABLES'!$G$107:$H$149,2,FALSE)</f>
        <v>C1</v>
      </c>
      <c r="J541" s="87">
        <v>167.88</v>
      </c>
      <c r="K541" s="87">
        <v>185.93477490242469</v>
      </c>
      <c r="L541" s="87">
        <v>205</v>
      </c>
      <c r="O541" s="87" t="s">
        <v>187</v>
      </c>
      <c r="P541" s="87" t="s">
        <v>190</v>
      </c>
      <c r="Q541" s="229" t="s">
        <v>209</v>
      </c>
      <c r="R541" s="87" t="str">
        <f>VLOOKUP(E541,'PREMIUM TABLES'!$F$214:$G$219,2,FALSE)</f>
        <v>SECOND</v>
      </c>
      <c r="S541" s="87" t="str" cm="1">
        <f t="array" ref="S541">IF(AND(L541&gt;0,L541&lt;90),"A",IF(AND(L541&gt;90,L541&lt;123),"B",IF(AND(L541&gt;122,L541&lt;159),"C",IF(AND(L541&gt;159,L541&lt;185),"D",IF(AND(L541&gt;185,L541&lt;230),"E",IF(AND(L541&gt;230,L541&lt;350),"F",NONE))))))</f>
        <v>E</v>
      </c>
      <c r="T541" s="230">
        <f>VLOOKUP(O541,'PREMIUM TABLES'!$G$165:$H$172,2,FALSE)</f>
        <v>0.08</v>
      </c>
      <c r="U541" s="230">
        <f>VLOOKUP(P541,'PREMIUM TABLES'!$G$208:$H$209,2,FALSE)</f>
        <v>2.5000000000000001E-2</v>
      </c>
      <c r="V541" s="230">
        <f>VLOOKUP(Q541,'PREMIUM TABLES'!$G$175:$H$195,2,FALSE)</f>
        <v>0.6</v>
      </c>
      <c r="W541" s="230">
        <f>VLOOKUP(R541,'PREMIUM TABLES'!$G$214:$H$219,2,FALSE)</f>
        <v>0.11</v>
      </c>
      <c r="X541" s="230">
        <f>VLOOKUP(S541,'PREMIUM TABLES'!$F$199:$H$205,3,FALSE)</f>
        <v>1.4999999999999999E-2</v>
      </c>
      <c r="Y541" s="231">
        <f t="shared" si="84"/>
        <v>0.83</v>
      </c>
      <c r="Z541" s="231" t="str" cm="1">
        <f t="array" ref="Z541">IF(AND(Y541&gt;0,Y541&lt;0.5),"C",IF(AND(Y541&gt;=0.5,Y541&lt;0.73),"B",IF(AND(Y541&gt;=0.73,Y541&lt;0.98),"A",NONE)))</f>
        <v>A</v>
      </c>
      <c r="AA541" s="231" t="str">
        <f>VLOOKUP(G541,'ALL (R)'!$N$5:$R$862,5,FALSE)</f>
        <v>R 8</v>
      </c>
      <c r="AB541" s="232">
        <f>VLOOKUP(AA541,FACTS!$B$2:$L$14,10,FALSE)</f>
        <v>51850</v>
      </c>
      <c r="AC541" s="232">
        <f>VLOOKUP(AA541,FACTS!$B$2:$L$14,11,FALSE)</f>
        <v>57950</v>
      </c>
      <c r="AD541" s="232">
        <f>VLOOKUP(AA541,FACTS!$B$2:$N$14,13,FALSE)</f>
        <v>6100</v>
      </c>
      <c r="AE541" s="232">
        <f t="shared" si="85"/>
        <v>5063</v>
      </c>
      <c r="AF541" s="232">
        <f t="shared" si="86"/>
        <v>56913</v>
      </c>
      <c r="AG541" s="232">
        <f>AF541*FACTS!$T$2</f>
        <v>18781.29</v>
      </c>
      <c r="AH541" s="232">
        <f>Table1[[#This Row],[UNIT (BUILDING) RATE (SEMI FINISHED)]]+4500</f>
        <v>61413</v>
      </c>
      <c r="AI541" s="232">
        <f>Table1[[#This Row],[UNIT (BUILDING) RATE (SEMI FINISHED)]]+7500</f>
        <v>64413</v>
      </c>
      <c r="AJ541" s="232">
        <f t="shared" si="87"/>
        <v>11667165</v>
      </c>
      <c r="AK541" s="232">
        <f>Table1[[#This Row],[UNIT (BUILDING) RATE (BASIC FINISH)]]*Table1[[#This Row],[Unit Selling Area]]</f>
        <v>12589665</v>
      </c>
      <c r="AL541" s="232">
        <f>Table1[[#This Row],[UNIT (BUILDING) RATE (FULLY FINISH)]]*Table1[[#This Row],[Unit Selling Area]]</f>
        <v>13204665</v>
      </c>
      <c r="AM541" s="232">
        <f t="shared" si="88"/>
        <v>0</v>
      </c>
      <c r="AN541" s="232">
        <f>(AM541+AJ541)*FACTS!$S$2</f>
        <v>991709.02500000002</v>
      </c>
      <c r="AO541" s="101">
        <f>VLOOKUP(S541,FACTS!$A$17:$C$23,3,FALSE)</f>
        <v>2</v>
      </c>
      <c r="AP541" s="232">
        <f>VLOOKUP(AA541,FACTS!$B$2:$J$14,9,FALSE)</f>
        <v>244000</v>
      </c>
      <c r="AQ541" s="232">
        <f>Table1[[#This Row],[PARKING VALUE]]*1</f>
        <v>244000</v>
      </c>
      <c r="AR541" s="232">
        <f t="shared" si="83"/>
        <v>11911165</v>
      </c>
      <c r="AS541" s="440">
        <f>Table1[[#This Row],[TOTAL CARS VALUE]]+Table1[[#This Row],[UNIT (BUILDING) VALUE BASIC FINISHED]]+Table1[[#This Row],[UNIT (GARDEN) VALUE]]</f>
        <v>12833665</v>
      </c>
      <c r="AT541" s="232">
        <f>Table1[[#This Row],[TOTAL CARS VALUE]]+Table1[[#This Row],[UNIT (GARDEN) VALUE]]+Table1[[#This Row],[UNIT (BUILDING) VALUE FULLY FINISHED]]</f>
        <v>13448665</v>
      </c>
      <c r="AU541" s="233">
        <f>VLOOKUP(I541,'C PHASES'!$I$108:$J$110,2,FALSE)</f>
        <v>45839</v>
      </c>
      <c r="AV541" s="233">
        <f>VLOOKUP(AA541,'C PHASES'!$I$113:$J$125,2,FALSE)</f>
        <v>45839</v>
      </c>
    </row>
    <row r="542" spans="1:48" x14ac:dyDescent="0.25">
      <c r="A542" s="235"/>
      <c r="B542" s="227" t="str">
        <f t="shared" si="81"/>
        <v>B</v>
      </c>
      <c r="C542" s="227" t="s">
        <v>96</v>
      </c>
      <c r="D542" s="227" t="s">
        <v>1147</v>
      </c>
      <c r="E542" s="228">
        <v>2</v>
      </c>
      <c r="F542" s="101">
        <v>4</v>
      </c>
      <c r="G542" s="87" t="str">
        <f t="shared" si="89"/>
        <v>B1924</v>
      </c>
      <c r="H542" s="87" t="s">
        <v>1294</v>
      </c>
      <c r="I542" s="89" t="str">
        <f>VLOOKUP(C542,'PREMIUM TABLES'!$G$107:$H$149,2,FALSE)</f>
        <v>C1</v>
      </c>
      <c r="J542" s="87">
        <v>141.15</v>
      </c>
      <c r="K542" s="87">
        <v>156.33007789776772</v>
      </c>
      <c r="L542" s="87">
        <v>172</v>
      </c>
      <c r="O542" s="87" t="s">
        <v>180</v>
      </c>
      <c r="P542" s="87" t="s">
        <v>190</v>
      </c>
      <c r="Q542" s="229" t="s">
        <v>195</v>
      </c>
      <c r="R542" s="87" t="str">
        <f>VLOOKUP(E542,'PREMIUM TABLES'!$F$214:$G$219,2,FALSE)</f>
        <v>SECOND</v>
      </c>
      <c r="S542" s="87" t="str" cm="1">
        <f t="array" ref="S542">IF(AND(L542&gt;0,L542&lt;90),"A",IF(AND(L542&gt;90,L542&lt;123),"B",IF(AND(L542&gt;122,L542&lt;159),"C",IF(AND(L542&gt;159,L542&lt;185),"D",IF(AND(L542&gt;185,L542&lt;230),"E",IF(AND(L542&gt;230,L542&lt;350),"F",NONE))))))</f>
        <v>D</v>
      </c>
      <c r="T542" s="230">
        <f>VLOOKUP(O542,'PREMIUM TABLES'!$G$165:$H$172,2,FALSE)</f>
        <v>0.13</v>
      </c>
      <c r="U542" s="230">
        <f>VLOOKUP(P542,'PREMIUM TABLES'!$G$208:$H$209,2,FALSE)</f>
        <v>2.5000000000000001E-2</v>
      </c>
      <c r="V542" s="230">
        <f>VLOOKUP(Q542,'PREMIUM TABLES'!$G$175:$H$195,2,FALSE)</f>
        <v>0.25</v>
      </c>
      <c r="W542" s="230">
        <f>VLOOKUP(R542,'PREMIUM TABLES'!$G$214:$H$219,2,FALSE)</f>
        <v>0.11</v>
      </c>
      <c r="X542" s="230">
        <f>VLOOKUP(S542,'PREMIUM TABLES'!$F$199:$H$205,3,FALSE)</f>
        <v>2.5000000000000001E-2</v>
      </c>
      <c r="Y542" s="231">
        <f t="shared" si="84"/>
        <v>0.54</v>
      </c>
      <c r="Z542" s="231" t="str" cm="1">
        <f t="array" ref="Z542">IF(AND(Y542&gt;0,Y542&lt;0.5),"C",IF(AND(Y542&gt;=0.5,Y542&lt;0.73),"B",IF(AND(Y542&gt;=0.73,Y542&lt;0.98),"A",NONE)))</f>
        <v>B</v>
      </c>
      <c r="AA542" s="231" t="str">
        <f>VLOOKUP(G542,'ALL (R)'!$N$5:$R$862,5,FALSE)</f>
        <v>R 1</v>
      </c>
      <c r="AB542" s="232">
        <f>VLOOKUP(AA542,FACTS!$B$2:$L$14,10,FALSE)</f>
        <v>42500</v>
      </c>
      <c r="AC542" s="232">
        <f>VLOOKUP(AA542,FACTS!$B$2:$L$14,11,FALSE)</f>
        <v>47500</v>
      </c>
      <c r="AD542" s="232">
        <f>VLOOKUP(AA542,FACTS!$B$2:$N$14,13,FALSE)</f>
        <v>5000</v>
      </c>
      <c r="AE542" s="232">
        <f t="shared" si="85"/>
        <v>2700</v>
      </c>
      <c r="AF542" s="232">
        <f t="shared" si="86"/>
        <v>45200</v>
      </c>
      <c r="AG542" s="232">
        <f>AF542*FACTS!$T$2</f>
        <v>14916</v>
      </c>
      <c r="AH542" s="232">
        <f>Table1[[#This Row],[UNIT (BUILDING) RATE (SEMI FINISHED)]]+4500</f>
        <v>49700</v>
      </c>
      <c r="AI542" s="232">
        <f>Table1[[#This Row],[UNIT (BUILDING) RATE (SEMI FINISHED)]]+7500</f>
        <v>52700</v>
      </c>
      <c r="AJ542" s="232">
        <f t="shared" si="87"/>
        <v>7774400</v>
      </c>
      <c r="AK542" s="232">
        <f>Table1[[#This Row],[UNIT (BUILDING) RATE (BASIC FINISH)]]*Table1[[#This Row],[Unit Selling Area]]</f>
        <v>8548400</v>
      </c>
      <c r="AL542" s="232">
        <f>Table1[[#This Row],[UNIT (BUILDING) RATE (FULLY FINISH)]]*Table1[[#This Row],[Unit Selling Area]]</f>
        <v>9064400</v>
      </c>
      <c r="AM542" s="232">
        <f t="shared" si="88"/>
        <v>0</v>
      </c>
      <c r="AN542" s="232">
        <f>(AM542+AJ542)*FACTS!$S$2</f>
        <v>660824</v>
      </c>
      <c r="AO542" s="101">
        <f>VLOOKUP(S542,FACTS!$A$17:$C$23,3,FALSE)</f>
        <v>2</v>
      </c>
      <c r="AP542" s="232">
        <f>VLOOKUP(AA542,FACTS!$B$2:$J$14,9,FALSE)</f>
        <v>200000</v>
      </c>
      <c r="AQ542" s="232">
        <f>Table1[[#This Row],[PARKING VALUE]]*1</f>
        <v>200000</v>
      </c>
      <c r="AR542" s="232">
        <f t="shared" si="83"/>
        <v>7974400</v>
      </c>
      <c r="AS542" s="440">
        <f>Table1[[#This Row],[TOTAL CARS VALUE]]+Table1[[#This Row],[UNIT (BUILDING) VALUE BASIC FINISHED]]+Table1[[#This Row],[UNIT (GARDEN) VALUE]]</f>
        <v>8748400</v>
      </c>
      <c r="AT542" s="232">
        <f>Table1[[#This Row],[TOTAL CARS VALUE]]+Table1[[#This Row],[UNIT (GARDEN) VALUE]]+Table1[[#This Row],[UNIT (BUILDING) VALUE FULLY FINISHED]]</f>
        <v>9264400</v>
      </c>
      <c r="AU542" s="233">
        <f>VLOOKUP(I542,'C PHASES'!$I$108:$J$110,2,FALSE)</f>
        <v>45839</v>
      </c>
      <c r="AV542" s="233">
        <f>VLOOKUP(AA542,'C PHASES'!$I$113:$J$125,2,FALSE)</f>
        <v>45170</v>
      </c>
    </row>
    <row r="543" spans="1:48" x14ac:dyDescent="0.25">
      <c r="A543" s="235"/>
      <c r="B543" s="227" t="str">
        <f t="shared" si="81"/>
        <v>B</v>
      </c>
      <c r="C543" s="227" t="s">
        <v>96</v>
      </c>
      <c r="D543" s="227" t="s">
        <v>1147</v>
      </c>
      <c r="E543" s="228">
        <v>3</v>
      </c>
      <c r="F543" s="101">
        <v>1</v>
      </c>
      <c r="G543" s="87" t="str">
        <f t="shared" si="89"/>
        <v>B1931</v>
      </c>
      <c r="H543" s="87" t="s">
        <v>1294</v>
      </c>
      <c r="I543" s="89" t="str">
        <f>VLOOKUP(C543,'PREMIUM TABLES'!$G$107:$H$149,2,FALSE)</f>
        <v>C1</v>
      </c>
      <c r="J543" s="87">
        <v>144.21</v>
      </c>
      <c r="K543" s="87">
        <v>159.71916779055672</v>
      </c>
      <c r="L543" s="87">
        <v>176</v>
      </c>
      <c r="O543" s="87" t="s">
        <v>180</v>
      </c>
      <c r="P543" s="87" t="s">
        <v>226</v>
      </c>
      <c r="Q543" s="229" t="s">
        <v>195</v>
      </c>
      <c r="R543" s="87" t="str">
        <f>VLOOKUP(E543,'PREMIUM TABLES'!$F$214:$G$219,2,FALSE)</f>
        <v>THIRD</v>
      </c>
      <c r="S543" s="87" t="str" cm="1">
        <f t="array" ref="S543">IF(AND(L543&gt;0,L543&lt;90),"A",IF(AND(L543&gt;90,L543&lt;123),"B",IF(AND(L543&gt;122,L543&lt;159),"C",IF(AND(L543&gt;159,L543&lt;185),"D",IF(AND(L543&gt;185,L543&lt;230),"E",IF(AND(L543&gt;230,L543&lt;350),"F",NONE))))))</f>
        <v>D</v>
      </c>
      <c r="T543" s="230">
        <f>VLOOKUP(O543,'PREMIUM TABLES'!$G$165:$H$172,2,FALSE)</f>
        <v>0.13</v>
      </c>
      <c r="U543" s="230">
        <f>VLOOKUP(P543,'PREMIUM TABLES'!$G$208:$H$209,2,FALSE)</f>
        <v>0.05</v>
      </c>
      <c r="V543" s="230">
        <f>VLOOKUP(Q543,'PREMIUM TABLES'!$G$175:$H$195,2,FALSE)</f>
        <v>0.25</v>
      </c>
      <c r="W543" s="230">
        <f>VLOOKUP(R543,'PREMIUM TABLES'!$G$214:$H$219,2,FALSE)</f>
        <v>0.15</v>
      </c>
      <c r="X543" s="230">
        <f>VLOOKUP(S543,'PREMIUM TABLES'!$F$199:$H$205,3,FALSE)</f>
        <v>2.5000000000000001E-2</v>
      </c>
      <c r="Y543" s="231">
        <f t="shared" si="84"/>
        <v>0.60499999999999998</v>
      </c>
      <c r="Z543" s="231" t="str" cm="1">
        <f t="array" ref="Z543">IF(AND(Y543&gt;0,Y543&lt;0.5),"C",IF(AND(Y543&gt;=0.5,Y543&lt;0.73),"B",IF(AND(Y543&gt;=0.73,Y543&lt;0.98),"A",NONE)))</f>
        <v>B</v>
      </c>
      <c r="AA543" s="231" t="str">
        <f>VLOOKUP(G543,'ALL (R)'!$N$5:$R$862,5,FALSE)</f>
        <v>R 2</v>
      </c>
      <c r="AB543" s="232">
        <f>VLOOKUP(AA543,FACTS!$B$2:$L$14,10,FALSE)</f>
        <v>43562.499999999993</v>
      </c>
      <c r="AC543" s="232">
        <f>VLOOKUP(AA543,FACTS!$B$2:$L$14,11,FALSE)</f>
        <v>48687.499999999993</v>
      </c>
      <c r="AD543" s="232">
        <f>VLOOKUP(AA543,FACTS!$B$2:$N$14,13,FALSE)</f>
        <v>5125</v>
      </c>
      <c r="AE543" s="232">
        <f t="shared" si="85"/>
        <v>3100.625</v>
      </c>
      <c r="AF543" s="232">
        <f t="shared" si="86"/>
        <v>46663.124999999993</v>
      </c>
      <c r="AG543" s="232">
        <f>AF543*FACTS!$T$2</f>
        <v>15398.831249999997</v>
      </c>
      <c r="AH543" s="232">
        <f>Table1[[#This Row],[UNIT (BUILDING) RATE (SEMI FINISHED)]]+4500</f>
        <v>51163.124999999993</v>
      </c>
      <c r="AI543" s="232">
        <f>Table1[[#This Row],[UNIT (BUILDING) RATE (SEMI FINISHED)]]+7500</f>
        <v>54163.124999999993</v>
      </c>
      <c r="AJ543" s="232">
        <f t="shared" si="87"/>
        <v>8212709.9999999991</v>
      </c>
      <c r="AK543" s="232">
        <f>Table1[[#This Row],[UNIT (BUILDING) RATE (BASIC FINISH)]]*Table1[[#This Row],[Unit Selling Area]]</f>
        <v>9004709.9999999981</v>
      </c>
      <c r="AL543" s="232">
        <f>Table1[[#This Row],[UNIT (BUILDING) RATE (FULLY FINISH)]]*Table1[[#This Row],[Unit Selling Area]]</f>
        <v>9532709.9999999981</v>
      </c>
      <c r="AM543" s="232">
        <f t="shared" si="88"/>
        <v>0</v>
      </c>
      <c r="AN543" s="232">
        <f>(AM543+AJ543)*FACTS!$S$2</f>
        <v>698080.35</v>
      </c>
      <c r="AO543" s="101">
        <f>VLOOKUP(S543,FACTS!$A$17:$C$23,3,FALSE)</f>
        <v>2</v>
      </c>
      <c r="AP543" s="232">
        <f>VLOOKUP(AA543,FACTS!$B$2:$J$14,9,FALSE)</f>
        <v>204999.99999999997</v>
      </c>
      <c r="AQ543" s="232">
        <f>Table1[[#This Row],[PARKING VALUE]]*1</f>
        <v>204999.99999999997</v>
      </c>
      <c r="AR543" s="232">
        <f t="shared" si="83"/>
        <v>8417709.9999999981</v>
      </c>
      <c r="AS543" s="440">
        <f>Table1[[#This Row],[TOTAL CARS VALUE]]+Table1[[#This Row],[UNIT (BUILDING) VALUE BASIC FINISHED]]+Table1[[#This Row],[UNIT (GARDEN) VALUE]]</f>
        <v>9209709.9999999981</v>
      </c>
      <c r="AT543" s="232">
        <f>Table1[[#This Row],[TOTAL CARS VALUE]]+Table1[[#This Row],[UNIT (GARDEN) VALUE]]+Table1[[#This Row],[UNIT (BUILDING) VALUE FULLY FINISHED]]</f>
        <v>9737709.9999999981</v>
      </c>
      <c r="AU543" s="233">
        <f>VLOOKUP(I543,'C PHASES'!$I$108:$J$110,2,FALSE)</f>
        <v>45839</v>
      </c>
      <c r="AV543" s="233">
        <f>VLOOKUP(AA543,'C PHASES'!$I$113:$J$125,2,FALSE)</f>
        <v>45292</v>
      </c>
    </row>
    <row r="544" spans="1:48" x14ac:dyDescent="0.25">
      <c r="A544" s="235"/>
      <c r="B544" s="227" t="str">
        <f t="shared" si="81"/>
        <v>B</v>
      </c>
      <c r="C544" s="227" t="s">
        <v>96</v>
      </c>
      <c r="D544" s="227" t="s">
        <v>1147</v>
      </c>
      <c r="E544" s="228">
        <v>3</v>
      </c>
      <c r="F544" s="101">
        <v>2</v>
      </c>
      <c r="G544" s="87" t="str">
        <f t="shared" si="89"/>
        <v>B1932</v>
      </c>
      <c r="H544" s="87" t="s">
        <v>1295</v>
      </c>
      <c r="I544" s="89" t="str">
        <f>VLOOKUP(C544,'PREMIUM TABLES'!$G$107:$H$149,2,FALSE)</f>
        <v>C1</v>
      </c>
      <c r="J544" s="87">
        <v>187.91</v>
      </c>
      <c r="K544" s="87">
        <v>208.11891560587694</v>
      </c>
      <c r="L544" s="87">
        <v>229</v>
      </c>
      <c r="O544" s="87" t="s">
        <v>187</v>
      </c>
      <c r="P544" s="87" t="s">
        <v>226</v>
      </c>
      <c r="Q544" s="229" t="s">
        <v>209</v>
      </c>
      <c r="R544" s="87" t="str">
        <f>VLOOKUP(E544,'PREMIUM TABLES'!$F$214:$G$219,2,FALSE)</f>
        <v>THIRD</v>
      </c>
      <c r="S544" s="87" t="str" cm="1">
        <f t="array" ref="S544">IF(AND(L544&gt;0,L544&lt;90),"A",IF(AND(L544&gt;90,L544&lt;123),"B",IF(AND(L544&gt;122,L544&lt;159),"C",IF(AND(L544&gt;159,L544&lt;185),"D",IF(AND(L544&gt;185,L544&lt;230),"E",IF(AND(L544&gt;230,L544&lt;350),"F",NONE))))))</f>
        <v>E</v>
      </c>
      <c r="T544" s="230">
        <f>VLOOKUP(O544,'PREMIUM TABLES'!$G$165:$H$172,2,FALSE)</f>
        <v>0.08</v>
      </c>
      <c r="U544" s="230">
        <f>VLOOKUP(P544,'PREMIUM TABLES'!$G$208:$H$209,2,FALSE)</f>
        <v>0.05</v>
      </c>
      <c r="V544" s="230">
        <f>VLOOKUP(Q544,'PREMIUM TABLES'!$G$175:$H$195,2,FALSE)</f>
        <v>0.6</v>
      </c>
      <c r="W544" s="230">
        <f>VLOOKUP(R544,'PREMIUM TABLES'!$G$214:$H$219,2,FALSE)</f>
        <v>0.15</v>
      </c>
      <c r="X544" s="230">
        <f>VLOOKUP(S544,'PREMIUM TABLES'!$F$199:$H$205,3,FALSE)</f>
        <v>1.4999999999999999E-2</v>
      </c>
      <c r="Y544" s="231">
        <f t="shared" si="84"/>
        <v>0.89500000000000002</v>
      </c>
      <c r="Z544" s="231" t="str" cm="1">
        <f t="array" ref="Z544">IF(AND(Y544&gt;0,Y544&lt;0.5),"C",IF(AND(Y544&gt;=0.5,Y544&lt;0.73),"B",IF(AND(Y544&gt;=0.73,Y544&lt;0.98),"A",NONE)))</f>
        <v>A</v>
      </c>
      <c r="AA544" s="231" t="str">
        <f>VLOOKUP(G544,'ALL (R)'!$N$5:$R$862,5,FALSE)</f>
        <v>R 11</v>
      </c>
      <c r="AB544" s="232">
        <f>VLOOKUP(AA544,FACTS!$B$2:$L$14,10,FALSE)</f>
        <v>58649.999999999993</v>
      </c>
      <c r="AC544" s="232">
        <f>VLOOKUP(AA544,FACTS!$B$2:$L$14,11,FALSE)</f>
        <v>65550</v>
      </c>
      <c r="AD544" s="232">
        <f>VLOOKUP(AA544,FACTS!$B$2:$N$14,13,FALSE)</f>
        <v>6900.0000000000073</v>
      </c>
      <c r="AE544" s="232">
        <f t="shared" si="85"/>
        <v>6175.5000000000064</v>
      </c>
      <c r="AF544" s="232">
        <f t="shared" si="86"/>
        <v>64825.5</v>
      </c>
      <c r="AG544" s="232">
        <f>AF544*FACTS!$T$2</f>
        <v>21392.415000000001</v>
      </c>
      <c r="AH544" s="232">
        <f>Table1[[#This Row],[UNIT (BUILDING) RATE (SEMI FINISHED)]]+4500</f>
        <v>69325.5</v>
      </c>
      <c r="AI544" s="232">
        <f>Table1[[#This Row],[UNIT (BUILDING) RATE (SEMI FINISHED)]]+7500</f>
        <v>72325.5</v>
      </c>
      <c r="AJ544" s="232">
        <f t="shared" si="87"/>
        <v>14845039.5</v>
      </c>
      <c r="AK544" s="232">
        <f>Table1[[#This Row],[UNIT (BUILDING) RATE (BASIC FINISH)]]*Table1[[#This Row],[Unit Selling Area]]</f>
        <v>15875539.5</v>
      </c>
      <c r="AL544" s="232">
        <f>Table1[[#This Row],[UNIT (BUILDING) RATE (FULLY FINISH)]]*Table1[[#This Row],[Unit Selling Area]]</f>
        <v>16562539.5</v>
      </c>
      <c r="AM544" s="232">
        <f t="shared" si="88"/>
        <v>0</v>
      </c>
      <c r="AN544" s="232">
        <f>(AM544+AJ544)*FACTS!$S$2</f>
        <v>1261828.3575000002</v>
      </c>
      <c r="AO544" s="101">
        <f>VLOOKUP(S544,FACTS!$A$17:$C$23,3,FALSE)</f>
        <v>2</v>
      </c>
      <c r="AP544" s="232">
        <f>VLOOKUP(AA544,FACTS!$B$2:$J$14,9,FALSE)</f>
        <v>276000</v>
      </c>
      <c r="AQ544" s="232">
        <f>Table1[[#This Row],[PARKING VALUE]]*1</f>
        <v>276000</v>
      </c>
      <c r="AR544" s="232">
        <f t="shared" si="83"/>
        <v>15121039.5</v>
      </c>
      <c r="AS544" s="440">
        <f>Table1[[#This Row],[TOTAL CARS VALUE]]+Table1[[#This Row],[UNIT (BUILDING) VALUE BASIC FINISHED]]+Table1[[#This Row],[UNIT (GARDEN) VALUE]]</f>
        <v>16151539.5</v>
      </c>
      <c r="AT544" s="232">
        <f>Table1[[#This Row],[TOTAL CARS VALUE]]+Table1[[#This Row],[UNIT (GARDEN) VALUE]]+Table1[[#This Row],[UNIT (BUILDING) VALUE FULLY FINISHED]]</f>
        <v>16838539.5</v>
      </c>
      <c r="AU544" s="233">
        <f>VLOOKUP(I544,'C PHASES'!$I$108:$J$110,2,FALSE)</f>
        <v>45839</v>
      </c>
      <c r="AV544" s="233">
        <f>VLOOKUP(AA544,'C PHASES'!$I$113:$J$125,2,FALSE)</f>
        <v>46113</v>
      </c>
    </row>
    <row r="545" spans="1:48" x14ac:dyDescent="0.25">
      <c r="A545" s="235"/>
      <c r="B545" s="227" t="str">
        <f t="shared" si="81"/>
        <v>B</v>
      </c>
      <c r="C545" s="227" t="s">
        <v>96</v>
      </c>
      <c r="D545" s="227" t="s">
        <v>1147</v>
      </c>
      <c r="E545" s="228">
        <v>3</v>
      </c>
      <c r="F545" s="101">
        <v>3</v>
      </c>
      <c r="G545" s="87" t="str">
        <f t="shared" si="89"/>
        <v>B1933</v>
      </c>
      <c r="H545" s="87" t="s">
        <v>1294</v>
      </c>
      <c r="I545" s="89" t="str">
        <f>VLOOKUP(C545,'PREMIUM TABLES'!$G$107:$H$149,2,FALSE)</f>
        <v>C1</v>
      </c>
      <c r="J545" s="87">
        <v>165.71</v>
      </c>
      <c r="K545" s="87">
        <v>183.53140069740763</v>
      </c>
      <c r="L545" s="87">
        <v>202</v>
      </c>
      <c r="O545" s="87" t="s">
        <v>187</v>
      </c>
      <c r="P545" s="87" t="s">
        <v>190</v>
      </c>
      <c r="Q545" s="229" t="s">
        <v>209</v>
      </c>
      <c r="R545" s="87" t="str">
        <f>VLOOKUP(E545,'PREMIUM TABLES'!$F$214:$G$219,2,FALSE)</f>
        <v>THIRD</v>
      </c>
      <c r="S545" s="87" t="str" cm="1">
        <f t="array" ref="S545">IF(AND(L545&gt;0,L545&lt;90),"A",IF(AND(L545&gt;90,L545&lt;123),"B",IF(AND(L545&gt;122,L545&lt;159),"C",IF(AND(L545&gt;159,L545&lt;185),"D",IF(AND(L545&gt;185,L545&lt;230),"E",IF(AND(L545&gt;230,L545&lt;350),"F",NONE))))))</f>
        <v>E</v>
      </c>
      <c r="T545" s="230">
        <f>VLOOKUP(O545,'PREMIUM TABLES'!$G$165:$H$172,2,FALSE)</f>
        <v>0.08</v>
      </c>
      <c r="U545" s="230">
        <f>VLOOKUP(P545,'PREMIUM TABLES'!$G$208:$H$209,2,FALSE)</f>
        <v>2.5000000000000001E-2</v>
      </c>
      <c r="V545" s="230">
        <f>VLOOKUP(Q545,'PREMIUM TABLES'!$G$175:$H$195,2,FALSE)</f>
        <v>0.6</v>
      </c>
      <c r="W545" s="230">
        <f>VLOOKUP(R545,'PREMIUM TABLES'!$G$214:$H$219,2,FALSE)</f>
        <v>0.15</v>
      </c>
      <c r="X545" s="230">
        <f>VLOOKUP(S545,'PREMIUM TABLES'!$F$199:$H$205,3,FALSE)</f>
        <v>1.4999999999999999E-2</v>
      </c>
      <c r="Y545" s="231">
        <f t="shared" si="84"/>
        <v>0.87</v>
      </c>
      <c r="Z545" s="231" t="str" cm="1">
        <f t="array" ref="Z545">IF(AND(Y545&gt;0,Y545&lt;0.5),"C",IF(AND(Y545&gt;=0.5,Y545&lt;0.73),"B",IF(AND(Y545&gt;=0.73,Y545&lt;0.98),"A",NONE)))</f>
        <v>A</v>
      </c>
      <c r="AA545" s="231" t="str">
        <f>VLOOKUP(G545,'ALL (R)'!$N$5:$R$862,5,FALSE)</f>
        <v>R 9</v>
      </c>
      <c r="AB545" s="232">
        <f>VLOOKUP(AA545,FACTS!$B$2:$L$14,10,FALSE)</f>
        <v>53550</v>
      </c>
      <c r="AC545" s="232">
        <f>VLOOKUP(AA545,FACTS!$B$2:$L$14,11,FALSE)</f>
        <v>59850</v>
      </c>
      <c r="AD545" s="232">
        <f>VLOOKUP(AA545,FACTS!$B$2:$N$14,13,FALSE)</f>
        <v>6300</v>
      </c>
      <c r="AE545" s="232">
        <f t="shared" si="85"/>
        <v>5481</v>
      </c>
      <c r="AF545" s="232">
        <f t="shared" si="86"/>
        <v>59031</v>
      </c>
      <c r="AG545" s="232">
        <f>AF545*FACTS!$T$2</f>
        <v>19480.23</v>
      </c>
      <c r="AH545" s="232">
        <f>Table1[[#This Row],[UNIT (BUILDING) RATE (SEMI FINISHED)]]+4500</f>
        <v>63531</v>
      </c>
      <c r="AI545" s="232">
        <f>Table1[[#This Row],[UNIT (BUILDING) RATE (SEMI FINISHED)]]+7500</f>
        <v>66531</v>
      </c>
      <c r="AJ545" s="232">
        <f t="shared" si="87"/>
        <v>11924262</v>
      </c>
      <c r="AK545" s="232">
        <f>Table1[[#This Row],[UNIT (BUILDING) RATE (BASIC FINISH)]]*Table1[[#This Row],[Unit Selling Area]]</f>
        <v>12833262</v>
      </c>
      <c r="AL545" s="232">
        <f>Table1[[#This Row],[UNIT (BUILDING) RATE (FULLY FINISH)]]*Table1[[#This Row],[Unit Selling Area]]</f>
        <v>13439262</v>
      </c>
      <c r="AM545" s="232">
        <f t="shared" si="88"/>
        <v>0</v>
      </c>
      <c r="AN545" s="232">
        <f>(AM545+AJ545)*FACTS!$S$2</f>
        <v>1013562.27</v>
      </c>
      <c r="AO545" s="101">
        <f>VLOOKUP(S545,FACTS!$A$17:$C$23,3,FALSE)</f>
        <v>2</v>
      </c>
      <c r="AP545" s="232">
        <f>VLOOKUP(AA545,FACTS!$B$2:$J$14,9,FALSE)</f>
        <v>252000</v>
      </c>
      <c r="AQ545" s="232">
        <f>Table1[[#This Row],[PARKING VALUE]]*1</f>
        <v>252000</v>
      </c>
      <c r="AR545" s="232">
        <f t="shared" si="83"/>
        <v>12176262</v>
      </c>
      <c r="AS545" s="440">
        <f>Table1[[#This Row],[TOTAL CARS VALUE]]+Table1[[#This Row],[UNIT (BUILDING) VALUE BASIC FINISHED]]+Table1[[#This Row],[UNIT (GARDEN) VALUE]]</f>
        <v>13085262</v>
      </c>
      <c r="AT545" s="232">
        <f>Table1[[#This Row],[TOTAL CARS VALUE]]+Table1[[#This Row],[UNIT (GARDEN) VALUE]]+Table1[[#This Row],[UNIT (BUILDING) VALUE FULLY FINISHED]]</f>
        <v>13691262</v>
      </c>
      <c r="AU545" s="233">
        <f>VLOOKUP(I545,'C PHASES'!$I$108:$J$110,2,FALSE)</f>
        <v>45839</v>
      </c>
      <c r="AV545" s="233">
        <f>VLOOKUP(AA545,'C PHASES'!$I$113:$J$125,2,FALSE)</f>
        <v>45931</v>
      </c>
    </row>
    <row r="546" spans="1:48" x14ac:dyDescent="0.25">
      <c r="A546" s="235"/>
      <c r="B546" s="227" t="str">
        <f t="shared" si="81"/>
        <v>B</v>
      </c>
      <c r="C546" s="227" t="s">
        <v>96</v>
      </c>
      <c r="D546" s="227" t="s">
        <v>1147</v>
      </c>
      <c r="E546" s="228">
        <v>3</v>
      </c>
      <c r="F546" s="101">
        <v>4</v>
      </c>
      <c r="G546" s="87" t="str">
        <f t="shared" si="89"/>
        <v>B1934</v>
      </c>
      <c r="H546" s="87" t="s">
        <v>1294</v>
      </c>
      <c r="I546" s="89" t="str">
        <f>VLOOKUP(C546,'PREMIUM TABLES'!$G$107:$H$149,2,FALSE)</f>
        <v>C1</v>
      </c>
      <c r="J546" s="87">
        <v>141.38999999999999</v>
      </c>
      <c r="K546" s="87">
        <v>156.59588886975115</v>
      </c>
      <c r="L546" s="87">
        <v>172</v>
      </c>
      <c r="O546" s="87" t="s">
        <v>180</v>
      </c>
      <c r="P546" s="87" t="s">
        <v>190</v>
      </c>
      <c r="Q546" s="229" t="s">
        <v>195</v>
      </c>
      <c r="R546" s="87" t="str">
        <f>VLOOKUP(E546,'PREMIUM TABLES'!$F$214:$G$219,2,FALSE)</f>
        <v>THIRD</v>
      </c>
      <c r="S546" s="87" t="str" cm="1">
        <f t="array" ref="S546">IF(AND(L546&gt;0,L546&lt;90),"A",IF(AND(L546&gt;90,L546&lt;123),"B",IF(AND(L546&gt;122,L546&lt;159),"C",IF(AND(L546&gt;159,L546&lt;185),"D",IF(AND(L546&gt;185,L546&lt;230),"E",IF(AND(L546&gt;230,L546&lt;350),"F",NONE))))))</f>
        <v>D</v>
      </c>
      <c r="T546" s="230">
        <f>VLOOKUP(O546,'PREMIUM TABLES'!$G$165:$H$172,2,FALSE)</f>
        <v>0.13</v>
      </c>
      <c r="U546" s="230">
        <f>VLOOKUP(P546,'PREMIUM TABLES'!$G$208:$H$209,2,FALSE)</f>
        <v>2.5000000000000001E-2</v>
      </c>
      <c r="V546" s="230">
        <f>VLOOKUP(Q546,'PREMIUM TABLES'!$G$175:$H$195,2,FALSE)</f>
        <v>0.25</v>
      </c>
      <c r="W546" s="230">
        <f>VLOOKUP(R546,'PREMIUM TABLES'!$G$214:$H$219,2,FALSE)</f>
        <v>0.15</v>
      </c>
      <c r="X546" s="230">
        <f>VLOOKUP(S546,'PREMIUM TABLES'!$F$199:$H$205,3,FALSE)</f>
        <v>2.5000000000000001E-2</v>
      </c>
      <c r="Y546" s="231">
        <f t="shared" si="84"/>
        <v>0.58000000000000007</v>
      </c>
      <c r="Z546" s="231" t="str" cm="1">
        <f t="array" ref="Z546">IF(AND(Y546&gt;0,Y546&lt;0.5),"C",IF(AND(Y546&gt;=0.5,Y546&lt;0.73),"B",IF(AND(Y546&gt;=0.73,Y546&lt;0.98),"A",NONE)))</f>
        <v>B</v>
      </c>
      <c r="AA546" s="231" t="str">
        <f>VLOOKUP(G546,'ALL (R)'!$N$5:$R$862,5,FALSE)</f>
        <v>R 1</v>
      </c>
      <c r="AB546" s="232">
        <f>VLOOKUP(AA546,FACTS!$B$2:$L$14,10,FALSE)</f>
        <v>42500</v>
      </c>
      <c r="AC546" s="232">
        <f>VLOOKUP(AA546,FACTS!$B$2:$L$14,11,FALSE)</f>
        <v>47500</v>
      </c>
      <c r="AD546" s="232">
        <f>VLOOKUP(AA546,FACTS!$B$2:$N$14,13,FALSE)</f>
        <v>5000</v>
      </c>
      <c r="AE546" s="232">
        <f t="shared" si="85"/>
        <v>2900.0000000000005</v>
      </c>
      <c r="AF546" s="232">
        <f t="shared" si="86"/>
        <v>45400</v>
      </c>
      <c r="AG546" s="232">
        <f>AF546*FACTS!$T$2</f>
        <v>14982</v>
      </c>
      <c r="AH546" s="232">
        <f>Table1[[#This Row],[UNIT (BUILDING) RATE (SEMI FINISHED)]]+4500</f>
        <v>49900</v>
      </c>
      <c r="AI546" s="232">
        <f>Table1[[#This Row],[UNIT (BUILDING) RATE (SEMI FINISHED)]]+7500</f>
        <v>52900</v>
      </c>
      <c r="AJ546" s="232">
        <f t="shared" si="87"/>
        <v>7808800</v>
      </c>
      <c r="AK546" s="232">
        <f>Table1[[#This Row],[UNIT (BUILDING) RATE (BASIC FINISH)]]*Table1[[#This Row],[Unit Selling Area]]</f>
        <v>8582800</v>
      </c>
      <c r="AL546" s="232">
        <f>Table1[[#This Row],[UNIT (BUILDING) RATE (FULLY FINISH)]]*Table1[[#This Row],[Unit Selling Area]]</f>
        <v>9098800</v>
      </c>
      <c r="AM546" s="232">
        <f t="shared" si="88"/>
        <v>0</v>
      </c>
      <c r="AN546" s="232">
        <f>(AM546+AJ546)*FACTS!$S$2</f>
        <v>663748</v>
      </c>
      <c r="AO546" s="101">
        <f>VLOOKUP(S546,FACTS!$A$17:$C$23,3,FALSE)</f>
        <v>2</v>
      </c>
      <c r="AP546" s="232">
        <f>VLOOKUP(AA546,FACTS!$B$2:$J$14,9,FALSE)</f>
        <v>200000</v>
      </c>
      <c r="AQ546" s="232">
        <f>Table1[[#This Row],[PARKING VALUE]]*1</f>
        <v>200000</v>
      </c>
      <c r="AR546" s="232">
        <f t="shared" si="83"/>
        <v>8008800</v>
      </c>
      <c r="AS546" s="440">
        <f>Table1[[#This Row],[TOTAL CARS VALUE]]+Table1[[#This Row],[UNIT (BUILDING) VALUE BASIC FINISHED]]+Table1[[#This Row],[UNIT (GARDEN) VALUE]]</f>
        <v>8782800</v>
      </c>
      <c r="AT546" s="232">
        <f>Table1[[#This Row],[TOTAL CARS VALUE]]+Table1[[#This Row],[UNIT (GARDEN) VALUE]]+Table1[[#This Row],[UNIT (BUILDING) VALUE FULLY FINISHED]]</f>
        <v>9298800</v>
      </c>
      <c r="AU546" s="233">
        <f>VLOOKUP(I546,'C PHASES'!$I$108:$J$110,2,FALSE)</f>
        <v>45839</v>
      </c>
      <c r="AV546" s="233">
        <f>VLOOKUP(AA546,'C PHASES'!$I$113:$J$125,2,FALSE)</f>
        <v>45170</v>
      </c>
    </row>
    <row r="547" spans="1:48" x14ac:dyDescent="0.25">
      <c r="A547" s="235"/>
      <c r="B547" s="227" t="str">
        <f t="shared" si="81"/>
        <v>B</v>
      </c>
      <c r="C547" s="227" t="s">
        <v>96</v>
      </c>
      <c r="D547" s="227" t="s">
        <v>1147</v>
      </c>
      <c r="E547" s="228">
        <v>4</v>
      </c>
      <c r="F547" s="101">
        <v>1</v>
      </c>
      <c r="G547" s="87" t="str">
        <f t="shared" si="89"/>
        <v>B1941</v>
      </c>
      <c r="H547" s="87" t="s">
        <v>1294</v>
      </c>
      <c r="I547" s="89" t="str">
        <f>VLOOKUP(C547,'PREMIUM TABLES'!$G$107:$H$149,2,FALSE)</f>
        <v>C1</v>
      </c>
      <c r="J547" s="87">
        <v>141.91</v>
      </c>
      <c r="K547" s="87">
        <v>157.17181264238198</v>
      </c>
      <c r="L547" s="87">
        <v>173</v>
      </c>
      <c r="O547" s="87" t="s">
        <v>180</v>
      </c>
      <c r="P547" s="87" t="s">
        <v>226</v>
      </c>
      <c r="Q547" s="229" t="s">
        <v>195</v>
      </c>
      <c r="R547" s="87" t="str">
        <f>VLOOKUP(E547,'PREMIUM TABLES'!$F$214:$G$219,2,FALSE)</f>
        <v>FORTH</v>
      </c>
      <c r="S547" s="87" t="str" cm="1">
        <f t="array" ref="S547">IF(AND(L547&gt;0,L547&lt;90),"A",IF(AND(L547&gt;90,L547&lt;123),"B",IF(AND(L547&gt;122,L547&lt;159),"C",IF(AND(L547&gt;159,L547&lt;185),"D",IF(AND(L547&gt;185,L547&lt;230),"E",IF(AND(L547&gt;230,L547&lt;350),"F",NONE))))))</f>
        <v>D</v>
      </c>
      <c r="T547" s="230">
        <f>VLOOKUP(O547,'PREMIUM TABLES'!$G$165:$H$172,2,FALSE)</f>
        <v>0.13</v>
      </c>
      <c r="U547" s="230">
        <f>VLOOKUP(P547,'PREMIUM TABLES'!$G$208:$H$209,2,FALSE)</f>
        <v>0.05</v>
      </c>
      <c r="V547" s="230">
        <f>VLOOKUP(Q547,'PREMIUM TABLES'!$G$175:$H$195,2,FALSE)</f>
        <v>0.25</v>
      </c>
      <c r="W547" s="230">
        <f>VLOOKUP(R547,'PREMIUM TABLES'!$G$214:$H$219,2,FALSE)</f>
        <v>0.06</v>
      </c>
      <c r="X547" s="230">
        <f>VLOOKUP(S547,'PREMIUM TABLES'!$F$199:$H$205,3,FALSE)</f>
        <v>2.5000000000000001E-2</v>
      </c>
      <c r="Y547" s="231">
        <f t="shared" si="84"/>
        <v>0.51500000000000001</v>
      </c>
      <c r="Z547" s="231" t="str" cm="1">
        <f t="array" ref="Z547">IF(AND(Y547&gt;0,Y547&lt;0.5),"C",IF(AND(Y547&gt;=0.5,Y547&lt;0.73),"B",IF(AND(Y547&gt;=0.73,Y547&lt;0.98),"A",NONE)))</f>
        <v>B</v>
      </c>
      <c r="AA547" s="231" t="str">
        <f>VLOOKUP(G547,'ALL (R)'!$N$5:$R$862,5,FALSE)</f>
        <v>R 1</v>
      </c>
      <c r="AB547" s="232">
        <f>VLOOKUP(AA547,FACTS!$B$2:$L$14,10,FALSE)</f>
        <v>42500</v>
      </c>
      <c r="AC547" s="232">
        <f>VLOOKUP(AA547,FACTS!$B$2:$L$14,11,FALSE)</f>
        <v>47500</v>
      </c>
      <c r="AD547" s="232">
        <f>VLOOKUP(AA547,FACTS!$B$2:$N$14,13,FALSE)</f>
        <v>5000</v>
      </c>
      <c r="AE547" s="232">
        <f t="shared" si="85"/>
        <v>2575</v>
      </c>
      <c r="AF547" s="232">
        <f t="shared" si="86"/>
        <v>45075</v>
      </c>
      <c r="AG547" s="232">
        <f>AF547*FACTS!$T$2</f>
        <v>14874.75</v>
      </c>
      <c r="AH547" s="232">
        <f>Table1[[#This Row],[UNIT (BUILDING) RATE (SEMI FINISHED)]]+4500</f>
        <v>49575</v>
      </c>
      <c r="AI547" s="232">
        <f>Table1[[#This Row],[UNIT (BUILDING) RATE (SEMI FINISHED)]]+7500</f>
        <v>52575</v>
      </c>
      <c r="AJ547" s="232">
        <f t="shared" si="87"/>
        <v>7797975</v>
      </c>
      <c r="AK547" s="232">
        <f>Table1[[#This Row],[UNIT (BUILDING) RATE (BASIC FINISH)]]*Table1[[#This Row],[Unit Selling Area]]</f>
        <v>8576475</v>
      </c>
      <c r="AL547" s="232">
        <f>Table1[[#This Row],[UNIT (BUILDING) RATE (FULLY FINISH)]]*Table1[[#This Row],[Unit Selling Area]]</f>
        <v>9095475</v>
      </c>
      <c r="AM547" s="232">
        <f t="shared" si="88"/>
        <v>0</v>
      </c>
      <c r="AN547" s="232">
        <f>(AM547+AJ547)*FACTS!$S$2</f>
        <v>662827.875</v>
      </c>
      <c r="AO547" s="101">
        <f>VLOOKUP(S547,FACTS!$A$17:$C$23,3,FALSE)</f>
        <v>2</v>
      </c>
      <c r="AP547" s="232">
        <f>VLOOKUP(AA547,FACTS!$B$2:$J$14,9,FALSE)</f>
        <v>200000</v>
      </c>
      <c r="AQ547" s="232">
        <f>Table1[[#This Row],[PARKING VALUE]]*1</f>
        <v>200000</v>
      </c>
      <c r="AR547" s="232">
        <f t="shared" si="83"/>
        <v>7997975</v>
      </c>
      <c r="AS547" s="440">
        <f>Table1[[#This Row],[TOTAL CARS VALUE]]+Table1[[#This Row],[UNIT (BUILDING) VALUE BASIC FINISHED]]+Table1[[#This Row],[UNIT (GARDEN) VALUE]]</f>
        <v>8776475</v>
      </c>
      <c r="AT547" s="232">
        <f>Table1[[#This Row],[TOTAL CARS VALUE]]+Table1[[#This Row],[UNIT (GARDEN) VALUE]]+Table1[[#This Row],[UNIT (BUILDING) VALUE FULLY FINISHED]]</f>
        <v>9295475</v>
      </c>
      <c r="AU547" s="233">
        <f>VLOOKUP(I547,'C PHASES'!$I$108:$J$110,2,FALSE)</f>
        <v>45839</v>
      </c>
      <c r="AV547" s="233">
        <f>VLOOKUP(AA547,'C PHASES'!$I$113:$J$125,2,FALSE)</f>
        <v>45170</v>
      </c>
    </row>
    <row r="548" spans="1:48" x14ac:dyDescent="0.25">
      <c r="A548" s="235"/>
      <c r="B548" s="227" t="str">
        <f t="shared" si="81"/>
        <v>B</v>
      </c>
      <c r="C548" s="227" t="s">
        <v>96</v>
      </c>
      <c r="D548" s="227" t="s">
        <v>1147</v>
      </c>
      <c r="E548" s="228">
        <v>4</v>
      </c>
      <c r="F548" s="101">
        <v>2</v>
      </c>
      <c r="G548" s="87" t="str">
        <f t="shared" si="89"/>
        <v>B1942</v>
      </c>
      <c r="H548" s="87" t="s">
        <v>1295</v>
      </c>
      <c r="I548" s="89" t="str">
        <f>VLOOKUP(C548,'PREMIUM TABLES'!$G$107:$H$149,2,FALSE)</f>
        <v>C1</v>
      </c>
      <c r="J548" s="87">
        <v>182.56</v>
      </c>
      <c r="K548" s="87">
        <v>202.19354602207918</v>
      </c>
      <c r="L548" s="87">
        <v>223</v>
      </c>
      <c r="O548" s="87" t="s">
        <v>187</v>
      </c>
      <c r="P548" s="87" t="s">
        <v>226</v>
      </c>
      <c r="Q548" s="229" t="s">
        <v>209</v>
      </c>
      <c r="R548" s="87" t="str">
        <f>VLOOKUP(E548,'PREMIUM TABLES'!$F$214:$G$219,2,FALSE)</f>
        <v>FORTH</v>
      </c>
      <c r="S548" s="87" t="str" cm="1">
        <f t="array" ref="S548">IF(AND(L548&gt;0,L548&lt;90),"A",IF(AND(L548&gt;90,L548&lt;123),"B",IF(AND(L548&gt;122,L548&lt;159),"C",IF(AND(L548&gt;159,L548&lt;185),"D",IF(AND(L548&gt;185,L548&lt;230),"E",IF(AND(L548&gt;230,L548&lt;350),"F",NONE))))))</f>
        <v>E</v>
      </c>
      <c r="T548" s="230">
        <f>VLOOKUP(O548,'PREMIUM TABLES'!$G$165:$H$172,2,FALSE)</f>
        <v>0.08</v>
      </c>
      <c r="U548" s="230">
        <f>VLOOKUP(P548,'PREMIUM TABLES'!$G$208:$H$209,2,FALSE)</f>
        <v>0.05</v>
      </c>
      <c r="V548" s="230">
        <f>VLOOKUP(Q548,'PREMIUM TABLES'!$G$175:$H$195,2,FALSE)</f>
        <v>0.6</v>
      </c>
      <c r="W548" s="230">
        <f>VLOOKUP(R548,'PREMIUM TABLES'!$G$214:$H$219,2,FALSE)</f>
        <v>0.06</v>
      </c>
      <c r="X548" s="230">
        <f>VLOOKUP(S548,'PREMIUM TABLES'!$F$199:$H$205,3,FALSE)</f>
        <v>1.4999999999999999E-2</v>
      </c>
      <c r="Y548" s="231">
        <f t="shared" si="84"/>
        <v>0.80500000000000005</v>
      </c>
      <c r="Z548" s="231" t="str" cm="1">
        <f t="array" ref="Z548">IF(AND(Y548&gt;0,Y548&lt;0.5),"C",IF(AND(Y548&gt;=0.5,Y548&lt;0.73),"B",IF(AND(Y548&gt;=0.73,Y548&lt;0.98),"A",NONE)))</f>
        <v>A</v>
      </c>
      <c r="AA548" s="231" t="str">
        <f>VLOOKUP(G548,'ALL (R)'!$N$5:$R$862,5,FALSE)</f>
        <v>R 6</v>
      </c>
      <c r="AB548" s="232">
        <f>VLOOKUP(AA548,FACTS!$B$2:$L$14,10,FALSE)</f>
        <v>48450.000000000007</v>
      </c>
      <c r="AC548" s="232">
        <f>VLOOKUP(AA548,FACTS!$B$2:$L$14,11,FALSE)</f>
        <v>54150.000000000007</v>
      </c>
      <c r="AD548" s="232">
        <f>VLOOKUP(AA548,FACTS!$B$2:$N$14,13,FALSE)</f>
        <v>5700</v>
      </c>
      <c r="AE548" s="232">
        <f t="shared" si="85"/>
        <v>4588.5</v>
      </c>
      <c r="AF548" s="232">
        <f t="shared" si="86"/>
        <v>53038.500000000007</v>
      </c>
      <c r="AG548" s="232">
        <f>AF548*FACTS!$T$2</f>
        <v>17502.705000000002</v>
      </c>
      <c r="AH548" s="232">
        <f>Table1[[#This Row],[UNIT (BUILDING) RATE (SEMI FINISHED)]]+4500</f>
        <v>57538.500000000007</v>
      </c>
      <c r="AI548" s="232">
        <f>Table1[[#This Row],[UNIT (BUILDING) RATE (SEMI FINISHED)]]+7500</f>
        <v>60538.500000000007</v>
      </c>
      <c r="AJ548" s="232">
        <f t="shared" si="87"/>
        <v>11827585.500000002</v>
      </c>
      <c r="AK548" s="232">
        <f>Table1[[#This Row],[UNIT (BUILDING) RATE (BASIC FINISH)]]*Table1[[#This Row],[Unit Selling Area]]</f>
        <v>12831085.500000002</v>
      </c>
      <c r="AL548" s="232">
        <f>Table1[[#This Row],[UNIT (BUILDING) RATE (FULLY FINISH)]]*Table1[[#This Row],[Unit Selling Area]]</f>
        <v>13500085.500000002</v>
      </c>
      <c r="AM548" s="232">
        <f t="shared" si="88"/>
        <v>0</v>
      </c>
      <c r="AN548" s="232">
        <f>(AM548+AJ548)*FACTS!$S$2</f>
        <v>1005344.7675000002</v>
      </c>
      <c r="AO548" s="101">
        <f>VLOOKUP(S548,FACTS!$A$17:$C$23,3,FALSE)</f>
        <v>2</v>
      </c>
      <c r="AP548" s="232">
        <f>VLOOKUP(AA548,FACTS!$B$2:$J$14,9,FALSE)</f>
        <v>228000.00000000003</v>
      </c>
      <c r="AQ548" s="232">
        <f>Table1[[#This Row],[PARKING VALUE]]*1</f>
        <v>228000.00000000003</v>
      </c>
      <c r="AR548" s="232">
        <f t="shared" si="83"/>
        <v>12055585.500000002</v>
      </c>
      <c r="AS548" s="440">
        <f>Table1[[#This Row],[TOTAL CARS VALUE]]+Table1[[#This Row],[UNIT (BUILDING) VALUE BASIC FINISHED]]+Table1[[#This Row],[UNIT (GARDEN) VALUE]]</f>
        <v>13059085.500000002</v>
      </c>
      <c r="AT548" s="232">
        <f>Table1[[#This Row],[TOTAL CARS VALUE]]+Table1[[#This Row],[UNIT (GARDEN) VALUE]]+Table1[[#This Row],[UNIT (BUILDING) VALUE FULLY FINISHED]]</f>
        <v>13728085.500000002</v>
      </c>
      <c r="AU548" s="233">
        <f>VLOOKUP(I548,'C PHASES'!$I$108:$J$110,2,FALSE)</f>
        <v>45839</v>
      </c>
      <c r="AV548" s="233">
        <f>VLOOKUP(AA548,'C PHASES'!$I$113:$J$125,2,FALSE)</f>
        <v>45658</v>
      </c>
    </row>
    <row r="549" spans="1:48" x14ac:dyDescent="0.25">
      <c r="A549" s="235"/>
      <c r="B549" s="227" t="str">
        <f t="shared" si="81"/>
        <v>B</v>
      </c>
      <c r="C549" s="227" t="s">
        <v>96</v>
      </c>
      <c r="D549" s="227" t="s">
        <v>1147</v>
      </c>
      <c r="E549" s="228">
        <v>4</v>
      </c>
      <c r="F549" s="101">
        <v>3</v>
      </c>
      <c r="G549" s="87" t="str">
        <f t="shared" si="89"/>
        <v>B1943</v>
      </c>
      <c r="H549" s="87" t="s">
        <v>1294</v>
      </c>
      <c r="I549" s="89" t="str">
        <f>VLOOKUP(C549,'PREMIUM TABLES'!$G$107:$H$149,2,FALSE)</f>
        <v>C1</v>
      </c>
      <c r="J549" s="87">
        <v>163.35</v>
      </c>
      <c r="K549" s="87">
        <v>180.91759280623702</v>
      </c>
      <c r="L549" s="87">
        <v>199</v>
      </c>
      <c r="O549" s="87" t="s">
        <v>187</v>
      </c>
      <c r="P549" s="87" t="s">
        <v>190</v>
      </c>
      <c r="Q549" s="229" t="s">
        <v>209</v>
      </c>
      <c r="R549" s="87" t="str">
        <f>VLOOKUP(E549,'PREMIUM TABLES'!$F$214:$G$219,2,FALSE)</f>
        <v>FORTH</v>
      </c>
      <c r="S549" s="87" t="str" cm="1">
        <f t="array" ref="S549">IF(AND(L549&gt;0,L549&lt;90),"A",IF(AND(L549&gt;90,L549&lt;123),"B",IF(AND(L549&gt;122,L549&lt;159),"C",IF(AND(L549&gt;159,L549&lt;185),"D",IF(AND(L549&gt;185,L549&lt;230),"E",IF(AND(L549&gt;230,L549&lt;350),"F",NONE))))))</f>
        <v>E</v>
      </c>
      <c r="T549" s="230">
        <f>VLOOKUP(O549,'PREMIUM TABLES'!$G$165:$H$172,2,FALSE)</f>
        <v>0.08</v>
      </c>
      <c r="U549" s="230">
        <f>VLOOKUP(P549,'PREMIUM TABLES'!$G$208:$H$209,2,FALSE)</f>
        <v>2.5000000000000001E-2</v>
      </c>
      <c r="V549" s="230">
        <f>VLOOKUP(Q549,'PREMIUM TABLES'!$G$175:$H$195,2,FALSE)</f>
        <v>0.6</v>
      </c>
      <c r="W549" s="230">
        <f>VLOOKUP(R549,'PREMIUM TABLES'!$G$214:$H$219,2,FALSE)</f>
        <v>0.06</v>
      </c>
      <c r="X549" s="230">
        <f>VLOOKUP(S549,'PREMIUM TABLES'!$F$199:$H$205,3,FALSE)</f>
        <v>1.4999999999999999E-2</v>
      </c>
      <c r="Y549" s="231">
        <f t="shared" si="84"/>
        <v>0.77999999999999992</v>
      </c>
      <c r="Z549" s="231" t="str" cm="1">
        <f t="array" ref="Z549">IF(AND(Y549&gt;0,Y549&lt;0.5),"C",IF(AND(Y549&gt;=0.5,Y549&lt;0.73),"B",IF(AND(Y549&gt;=0.73,Y549&lt;0.98),"A",NONE)))</f>
        <v>A</v>
      </c>
      <c r="AA549" s="231" t="str">
        <f>VLOOKUP(G549,'ALL (R)'!$N$5:$R$862,5,FALSE)</f>
        <v>R 4</v>
      </c>
      <c r="AB549" s="232">
        <f>VLOOKUP(AA549,FACTS!$B$2:$L$14,10,FALSE)</f>
        <v>45687.5</v>
      </c>
      <c r="AC549" s="232">
        <f>VLOOKUP(AA549,FACTS!$B$2:$L$14,11,FALSE)</f>
        <v>51062.5</v>
      </c>
      <c r="AD549" s="232">
        <f>VLOOKUP(AA549,FACTS!$B$2:$N$14,13,FALSE)</f>
        <v>5375</v>
      </c>
      <c r="AE549" s="232">
        <f t="shared" si="85"/>
        <v>4192.5</v>
      </c>
      <c r="AF549" s="232">
        <f t="shared" si="86"/>
        <v>49880</v>
      </c>
      <c r="AG549" s="232">
        <f>AF549*FACTS!$T$2</f>
        <v>16460.400000000001</v>
      </c>
      <c r="AH549" s="232">
        <f>Table1[[#This Row],[UNIT (BUILDING) RATE (SEMI FINISHED)]]+4500</f>
        <v>54380</v>
      </c>
      <c r="AI549" s="232">
        <f>Table1[[#This Row],[UNIT (BUILDING) RATE (SEMI FINISHED)]]+7500</f>
        <v>57380</v>
      </c>
      <c r="AJ549" s="232">
        <f t="shared" si="87"/>
        <v>9926120</v>
      </c>
      <c r="AK549" s="232">
        <f>Table1[[#This Row],[UNIT (BUILDING) RATE (BASIC FINISH)]]*Table1[[#This Row],[Unit Selling Area]]</f>
        <v>10821620</v>
      </c>
      <c r="AL549" s="232">
        <f>Table1[[#This Row],[UNIT (BUILDING) RATE (FULLY FINISH)]]*Table1[[#This Row],[Unit Selling Area]]</f>
        <v>11418620</v>
      </c>
      <c r="AM549" s="232">
        <f t="shared" si="88"/>
        <v>0</v>
      </c>
      <c r="AN549" s="232">
        <f>(AM549+AJ549)*FACTS!$S$2</f>
        <v>843720.20000000007</v>
      </c>
      <c r="AO549" s="101">
        <f>VLOOKUP(S549,FACTS!$A$17:$C$23,3,FALSE)</f>
        <v>2</v>
      </c>
      <c r="AP549" s="232">
        <f>VLOOKUP(AA549,FACTS!$B$2:$J$14,9,FALSE)</f>
        <v>215000</v>
      </c>
      <c r="AQ549" s="232">
        <f>Table1[[#This Row],[PARKING VALUE]]*1</f>
        <v>215000</v>
      </c>
      <c r="AR549" s="232">
        <f t="shared" si="83"/>
        <v>10141120</v>
      </c>
      <c r="AS549" s="440">
        <f>Table1[[#This Row],[TOTAL CARS VALUE]]+Table1[[#This Row],[UNIT (BUILDING) VALUE BASIC FINISHED]]+Table1[[#This Row],[UNIT (GARDEN) VALUE]]</f>
        <v>11036620</v>
      </c>
      <c r="AT549" s="232">
        <f>Table1[[#This Row],[TOTAL CARS VALUE]]+Table1[[#This Row],[UNIT (GARDEN) VALUE]]+Table1[[#This Row],[UNIT (BUILDING) VALUE FULLY FINISHED]]</f>
        <v>11633620</v>
      </c>
      <c r="AU549" s="233">
        <f>VLOOKUP(I549,'C PHASES'!$I$108:$J$110,2,FALSE)</f>
        <v>45839</v>
      </c>
      <c r="AV549" s="233">
        <f>VLOOKUP(AA549,'C PHASES'!$I$113:$J$125,2,FALSE)</f>
        <v>45474</v>
      </c>
    </row>
    <row r="550" spans="1:48" x14ac:dyDescent="0.25">
      <c r="A550" s="235"/>
      <c r="B550" s="227" t="str">
        <f t="shared" si="81"/>
        <v>B</v>
      </c>
      <c r="C550" s="227" t="s">
        <v>96</v>
      </c>
      <c r="D550" s="227" t="s">
        <v>1147</v>
      </c>
      <c r="E550" s="228">
        <v>4</v>
      </c>
      <c r="F550" s="101">
        <v>4</v>
      </c>
      <c r="G550" s="87" t="str">
        <f t="shared" si="89"/>
        <v>B1944</v>
      </c>
      <c r="H550" s="87" t="s">
        <v>1294</v>
      </c>
      <c r="I550" s="89" t="str">
        <f>VLOOKUP(C550,'PREMIUM TABLES'!$G$107:$H$149,2,FALSE)</f>
        <v>C1</v>
      </c>
      <c r="J550" s="87">
        <v>139.09</v>
      </c>
      <c r="K550" s="87">
        <v>154.04853372157643</v>
      </c>
      <c r="L550" s="87">
        <v>170</v>
      </c>
      <c r="O550" s="87" t="s">
        <v>180</v>
      </c>
      <c r="P550" s="87" t="s">
        <v>190</v>
      </c>
      <c r="Q550" s="229" t="s">
        <v>195</v>
      </c>
      <c r="R550" s="87" t="str">
        <f>VLOOKUP(E550,'PREMIUM TABLES'!$F$214:$G$219,2,FALSE)</f>
        <v>FORTH</v>
      </c>
      <c r="S550" s="87" t="str" cm="1">
        <f t="array" ref="S550">IF(AND(L550&gt;0,L550&lt;90),"A",IF(AND(L550&gt;90,L550&lt;123),"B",IF(AND(L550&gt;122,L550&lt;159),"C",IF(AND(L550&gt;159,L550&lt;185),"D",IF(AND(L550&gt;185,L550&lt;230),"E",IF(AND(L550&gt;230,L550&lt;350),"F",NONE))))))</f>
        <v>D</v>
      </c>
      <c r="T550" s="230">
        <f>VLOOKUP(O550,'PREMIUM TABLES'!$G$165:$H$172,2,FALSE)</f>
        <v>0.13</v>
      </c>
      <c r="U550" s="230">
        <f>VLOOKUP(P550,'PREMIUM TABLES'!$G$208:$H$209,2,FALSE)</f>
        <v>2.5000000000000001E-2</v>
      </c>
      <c r="V550" s="230">
        <f>VLOOKUP(Q550,'PREMIUM TABLES'!$G$175:$H$195,2,FALSE)</f>
        <v>0.25</v>
      </c>
      <c r="W550" s="230">
        <f>VLOOKUP(R550,'PREMIUM TABLES'!$G$214:$H$219,2,FALSE)</f>
        <v>0.06</v>
      </c>
      <c r="X550" s="230">
        <f>VLOOKUP(S550,'PREMIUM TABLES'!$F$199:$H$205,3,FALSE)</f>
        <v>2.5000000000000001E-2</v>
      </c>
      <c r="Y550" s="231">
        <f t="shared" si="84"/>
        <v>0.49000000000000005</v>
      </c>
      <c r="Z550" s="231" t="str" cm="1">
        <f t="array" ref="Z550">IF(AND(Y550&gt;0,Y550&lt;0.5),"C",IF(AND(Y550&gt;=0.5,Y550&lt;0.73),"B",IF(AND(Y550&gt;=0.73,Y550&lt;0.98),"A",NONE)))</f>
        <v>C</v>
      </c>
      <c r="AA550" s="231" t="str">
        <f>VLOOKUP(G550,'ALL (R)'!$N$5:$R$862,5,FALSE)</f>
        <v>R 12</v>
      </c>
      <c r="AB550" s="232">
        <f>VLOOKUP(AA550,FACTS!$B$2:$L$14,10,FALSE)</f>
        <v>61625</v>
      </c>
      <c r="AC550" s="232">
        <f>VLOOKUP(AA550,FACTS!$B$2:$L$14,11,FALSE)</f>
        <v>68875</v>
      </c>
      <c r="AD550" s="232">
        <f>VLOOKUP(AA550,FACTS!$B$2:$N$14,13,FALSE)</f>
        <v>7250</v>
      </c>
      <c r="AE550" s="232">
        <f t="shared" si="85"/>
        <v>3552.5000000000005</v>
      </c>
      <c r="AF550" s="232">
        <f t="shared" si="86"/>
        <v>65177.5</v>
      </c>
      <c r="AG550" s="232">
        <f>AF550*FACTS!$T$2</f>
        <v>21508.575000000001</v>
      </c>
      <c r="AH550" s="232">
        <f>Table1[[#This Row],[UNIT (BUILDING) RATE (SEMI FINISHED)]]+4500</f>
        <v>69677.5</v>
      </c>
      <c r="AI550" s="232">
        <f>Table1[[#This Row],[UNIT (BUILDING) RATE (SEMI FINISHED)]]+7500</f>
        <v>72677.5</v>
      </c>
      <c r="AJ550" s="232">
        <f t="shared" si="87"/>
        <v>11080175</v>
      </c>
      <c r="AK550" s="232">
        <f>Table1[[#This Row],[UNIT (BUILDING) RATE (BASIC FINISH)]]*Table1[[#This Row],[Unit Selling Area]]</f>
        <v>11845175</v>
      </c>
      <c r="AL550" s="232">
        <f>Table1[[#This Row],[UNIT (BUILDING) RATE (FULLY FINISH)]]*Table1[[#This Row],[Unit Selling Area]]</f>
        <v>12355175</v>
      </c>
      <c r="AM550" s="232">
        <f t="shared" si="88"/>
        <v>0</v>
      </c>
      <c r="AN550" s="232">
        <f>(AM550+AJ550)*FACTS!$S$2</f>
        <v>941814.87500000012</v>
      </c>
      <c r="AO550" s="101">
        <f>VLOOKUP(S550,FACTS!$A$17:$C$23,3,FALSE)</f>
        <v>2</v>
      </c>
      <c r="AP550" s="232">
        <f>VLOOKUP(AA550,FACTS!$B$2:$J$14,9,FALSE)</f>
        <v>290000</v>
      </c>
      <c r="AQ550" s="232">
        <f>Table1[[#This Row],[PARKING VALUE]]*1</f>
        <v>290000</v>
      </c>
      <c r="AR550" s="232">
        <f t="shared" si="83"/>
        <v>11370175</v>
      </c>
      <c r="AS550" s="440">
        <f>Table1[[#This Row],[TOTAL CARS VALUE]]+Table1[[#This Row],[UNIT (BUILDING) VALUE BASIC FINISHED]]+Table1[[#This Row],[UNIT (GARDEN) VALUE]]</f>
        <v>12135175</v>
      </c>
      <c r="AT550" s="232">
        <f>Table1[[#This Row],[TOTAL CARS VALUE]]+Table1[[#This Row],[UNIT (GARDEN) VALUE]]+Table1[[#This Row],[UNIT (BUILDING) VALUE FULLY FINISHED]]</f>
        <v>12645175</v>
      </c>
      <c r="AU550" s="233">
        <f>VLOOKUP(I550,'C PHASES'!$I$108:$J$110,2,FALSE)</f>
        <v>45839</v>
      </c>
      <c r="AV550" s="233">
        <f>VLOOKUP(AA550,'C PHASES'!$I$113:$J$125,2,FALSE)</f>
        <v>46204</v>
      </c>
    </row>
    <row r="551" spans="1:48" ht="22.5" x14ac:dyDescent="0.25">
      <c r="A551" s="236" t="s">
        <v>33</v>
      </c>
      <c r="B551" s="227" t="str">
        <f t="shared" si="81"/>
        <v>C</v>
      </c>
      <c r="C551" s="227" t="s">
        <v>49</v>
      </c>
      <c r="D551" s="227" t="s">
        <v>1147</v>
      </c>
      <c r="E551" s="228">
        <v>0</v>
      </c>
      <c r="F551" s="101">
        <v>1</v>
      </c>
      <c r="G551" s="87" t="str">
        <f>LEFT(C551,2)&amp;E551&amp;F551</f>
        <v>C101</v>
      </c>
      <c r="H551" s="87" t="s">
        <v>1293</v>
      </c>
      <c r="I551" s="89" t="str">
        <f>VLOOKUP(C551,'PREMIUM TABLES'!$G$107:$H$149,2,FALSE)</f>
        <v>C2</v>
      </c>
      <c r="J551" s="89">
        <v>95.254000000000005</v>
      </c>
      <c r="K551" s="87">
        <v>105.53950812408786</v>
      </c>
      <c r="L551" s="87">
        <v>116</v>
      </c>
      <c r="M551" s="87">
        <v>61.845599999999997</v>
      </c>
      <c r="O551" s="87" t="s">
        <v>187</v>
      </c>
      <c r="P551" s="87" t="s">
        <v>190</v>
      </c>
      <c r="Q551" s="229" t="s">
        <v>199</v>
      </c>
      <c r="R551" s="87" t="str">
        <f>VLOOKUP(E551,'PREMIUM TABLES'!$F$214:$G$219,2,FALSE)</f>
        <v>GROUND</v>
      </c>
      <c r="S551" s="87" t="str" cm="1">
        <f t="array" ref="S551">IF(AND(L551&gt;0,L551&lt;90),"A",IF(AND(L551&gt;90,L551&lt;123),"B",IF(AND(L551&gt;122,L551&lt;159),"C",IF(AND(L551&gt;159,L551&lt;185),"D",IF(AND(L551&gt;185,L551&lt;230),"E",IF(AND(L551&gt;230,L551&lt;350),"F",NONE))))))</f>
        <v>B</v>
      </c>
      <c r="T551" s="230">
        <f>VLOOKUP(O551,'PREMIUM TABLES'!$G$165:$H$172,2,FALSE)</f>
        <v>0.08</v>
      </c>
      <c r="U551" s="230">
        <f>VLOOKUP(P551,'PREMIUM TABLES'!$G$208:$H$209,2,FALSE)</f>
        <v>2.5000000000000001E-2</v>
      </c>
      <c r="V551" s="230">
        <f>VLOOKUP(Q551,'PREMIUM TABLES'!$G$175:$H$195,2,FALSE)</f>
        <v>0.13</v>
      </c>
      <c r="W551" s="230">
        <f>VLOOKUP(R551,'PREMIUM TABLES'!$G$214:$H$219,2,FALSE)</f>
        <v>0.05</v>
      </c>
      <c r="X551" s="230">
        <f>VLOOKUP(S551,'PREMIUM TABLES'!$F$199:$H$205,3,FALSE)</f>
        <v>0.04</v>
      </c>
      <c r="Y551" s="231">
        <f t="shared" si="84"/>
        <v>0.32500000000000001</v>
      </c>
      <c r="Z551" s="231" t="str" cm="1">
        <f t="array" ref="Z551">IF(AND(Y551&gt;0,Y551&lt;0.5),"C",IF(AND(Y551&gt;=0.5,Y551&lt;0.73),"B",IF(AND(Y551&gt;=0.73,Y551&lt;0.98),"A",NONE)))</f>
        <v>C</v>
      </c>
      <c r="AA551" s="231" t="str">
        <f>VLOOKUP(G551,'ALL (R)'!$N$5:$R$862,5,FALSE)</f>
        <v>R 1</v>
      </c>
      <c r="AB551" s="232">
        <f>VLOOKUP(AA551,FACTS!$B$2:$L$14,10,FALSE)</f>
        <v>42500</v>
      </c>
      <c r="AC551" s="232">
        <f>VLOOKUP(AA551,FACTS!$B$2:$L$14,11,FALSE)</f>
        <v>47500</v>
      </c>
      <c r="AD551" s="232">
        <f>VLOOKUP(AA551,FACTS!$B$2:$N$14,13,FALSE)</f>
        <v>5000</v>
      </c>
      <c r="AE551" s="232">
        <f t="shared" si="85"/>
        <v>1625</v>
      </c>
      <c r="AF551" s="232">
        <f t="shared" si="86"/>
        <v>44125</v>
      </c>
      <c r="AG551" s="232">
        <f>AF551*FACTS!$T$2</f>
        <v>14561.25</v>
      </c>
      <c r="AH551" s="232">
        <f>Table1[[#This Row],[UNIT (BUILDING) RATE (SEMI FINISHED)]]+4500</f>
        <v>48625</v>
      </c>
      <c r="AI551" s="232">
        <f>Table1[[#This Row],[UNIT (BUILDING) RATE (SEMI FINISHED)]]+7500</f>
        <v>51625</v>
      </c>
      <c r="AJ551" s="232">
        <f t="shared" si="87"/>
        <v>5118500</v>
      </c>
      <c r="AK551" s="232">
        <f>Table1[[#This Row],[UNIT (BUILDING) RATE (BASIC FINISH)]]*Table1[[#This Row],[Unit Selling Area]]</f>
        <v>5640500</v>
      </c>
      <c r="AL551" s="232">
        <f>Table1[[#This Row],[UNIT (BUILDING) RATE (FULLY FINISH)]]*Table1[[#This Row],[Unit Selling Area]]</f>
        <v>5988500</v>
      </c>
      <c r="AM551" s="232">
        <f t="shared" si="88"/>
        <v>900549.24300000002</v>
      </c>
      <c r="AN551" s="232">
        <f>(AM551+AJ551)*FACTS!$S$2</f>
        <v>511619.18565500004</v>
      </c>
      <c r="AO551" s="101">
        <f>VLOOKUP(S551,FACTS!$A$17:$C$23,3,FALSE)</f>
        <v>1</v>
      </c>
      <c r="AP551" s="232">
        <f>VLOOKUP(AA551,FACTS!$B$2:$J$14,9,FALSE)</f>
        <v>200000</v>
      </c>
      <c r="AQ551" s="232">
        <f>Table1[[#This Row],[PARKING VALUE]]*1</f>
        <v>200000</v>
      </c>
      <c r="AR551" s="232">
        <f t="shared" si="83"/>
        <v>6219049.2429999998</v>
      </c>
      <c r="AS551" s="440">
        <f>Table1[[#This Row],[TOTAL CARS VALUE]]+Table1[[#This Row],[UNIT (BUILDING) VALUE BASIC FINISHED]]+Table1[[#This Row],[UNIT (GARDEN) VALUE]]</f>
        <v>6741049.2429999998</v>
      </c>
      <c r="AT551" s="232">
        <f>Table1[[#This Row],[TOTAL CARS VALUE]]+Table1[[#This Row],[UNIT (GARDEN) VALUE]]+Table1[[#This Row],[UNIT (BUILDING) VALUE FULLY FINISHED]]</f>
        <v>7089049.2429999998</v>
      </c>
      <c r="AU551" s="233">
        <f>VLOOKUP(I551,'C PHASES'!$I$108:$J$110,2,FALSE)</f>
        <v>46204</v>
      </c>
      <c r="AV551" s="233">
        <f>VLOOKUP(AA551,'C PHASES'!$I$113:$J$125,2,FALSE)</f>
        <v>45170</v>
      </c>
    </row>
    <row r="552" spans="1:48" x14ac:dyDescent="0.25">
      <c r="A552" s="236"/>
      <c r="B552" s="227" t="str">
        <f t="shared" si="81"/>
        <v>C</v>
      </c>
      <c r="C552" s="227" t="s">
        <v>49</v>
      </c>
      <c r="D552" s="227" t="s">
        <v>1147</v>
      </c>
      <c r="E552" s="228">
        <v>0</v>
      </c>
      <c r="F552" s="101">
        <v>2</v>
      </c>
      <c r="G552" s="87" t="str">
        <f t="shared" ref="G552:G570" si="90">LEFT(C552,2)&amp;E552&amp;F552</f>
        <v>C102</v>
      </c>
      <c r="H552" s="87" t="s">
        <v>1294</v>
      </c>
      <c r="I552" s="89" t="str">
        <f>VLOOKUP(C552,'PREMIUM TABLES'!$G$107:$H$149,2,FALSE)</f>
        <v>C2</v>
      </c>
      <c r="J552" s="89">
        <v>162.82599999999999</v>
      </c>
      <c r="K552" s="87">
        <v>180.40791935050211</v>
      </c>
      <c r="L552" s="87">
        <v>199</v>
      </c>
      <c r="M552" s="87">
        <v>77.610299999999995</v>
      </c>
      <c r="O552" s="87" t="s">
        <v>180</v>
      </c>
      <c r="P552" s="87" t="s">
        <v>190</v>
      </c>
      <c r="Q552" s="229" t="s">
        <v>192</v>
      </c>
      <c r="R552" s="87" t="str">
        <f>VLOOKUP(E552,'PREMIUM TABLES'!$F$214:$G$219,2,FALSE)</f>
        <v>GROUND</v>
      </c>
      <c r="S552" s="87" t="str" cm="1">
        <f t="array" ref="S552">IF(AND(L552&gt;0,L552&lt;90),"A",IF(AND(L552&gt;90,L552&lt;123),"B",IF(AND(L552&gt;122,L552&lt;159),"C",IF(AND(L552&gt;159,L552&lt;185),"D",IF(AND(L552&gt;185,L552&lt;230),"E",IF(AND(L552&gt;230,L552&lt;350),"F",NONE))))))</f>
        <v>E</v>
      </c>
      <c r="T552" s="230">
        <f>VLOOKUP(O552,'PREMIUM TABLES'!$G$165:$H$172,2,FALSE)</f>
        <v>0.13</v>
      </c>
      <c r="U552" s="230">
        <f>VLOOKUP(P552,'PREMIUM TABLES'!$G$208:$H$209,2,FALSE)</f>
        <v>2.5000000000000001E-2</v>
      </c>
      <c r="V552" s="230">
        <f>VLOOKUP(Q552,'PREMIUM TABLES'!$G$175:$H$195,2,FALSE)</f>
        <v>0.46</v>
      </c>
      <c r="W552" s="230">
        <f>VLOOKUP(R552,'PREMIUM TABLES'!$G$214:$H$219,2,FALSE)</f>
        <v>0.05</v>
      </c>
      <c r="X552" s="230">
        <f>VLOOKUP(S552,'PREMIUM TABLES'!$F$199:$H$205,3,FALSE)</f>
        <v>1.4999999999999999E-2</v>
      </c>
      <c r="Y552" s="231">
        <f t="shared" si="84"/>
        <v>0.68</v>
      </c>
      <c r="Z552" s="231" t="str" cm="1">
        <f t="array" ref="Z552">IF(AND(Y552&gt;0,Y552&lt;0.5),"C",IF(AND(Y552&gt;=0.5,Y552&lt;0.73),"B",IF(AND(Y552&gt;=0.73,Y552&lt;0.98),"A",NONE)))</f>
        <v>B</v>
      </c>
      <c r="AA552" s="231" t="str">
        <f>VLOOKUP(G552,'ALL (R)'!$N$5:$R$862,5,FALSE)</f>
        <v>R 7</v>
      </c>
      <c r="AB552" s="232">
        <f>VLOOKUP(AA552,FACTS!$B$2:$L$14,10,FALSE)</f>
        <v>50150</v>
      </c>
      <c r="AC552" s="232">
        <f>VLOOKUP(AA552,FACTS!$B$2:$L$14,11,FALSE)</f>
        <v>56050</v>
      </c>
      <c r="AD552" s="232">
        <f>VLOOKUP(AA552,FACTS!$B$2:$N$14,13,FALSE)</f>
        <v>5900</v>
      </c>
      <c r="AE552" s="232">
        <f t="shared" si="85"/>
        <v>4012.0000000000005</v>
      </c>
      <c r="AF552" s="232">
        <f t="shared" si="86"/>
        <v>54162</v>
      </c>
      <c r="AG552" s="232">
        <f>AF552*FACTS!$T$2</f>
        <v>17873.46</v>
      </c>
      <c r="AH552" s="232">
        <f>Table1[[#This Row],[UNIT (BUILDING) RATE (SEMI FINISHED)]]+4500</f>
        <v>58662</v>
      </c>
      <c r="AI552" s="232">
        <f>Table1[[#This Row],[UNIT (BUILDING) RATE (SEMI FINISHED)]]+7500</f>
        <v>61662</v>
      </c>
      <c r="AJ552" s="232">
        <f t="shared" si="87"/>
        <v>10778238</v>
      </c>
      <c r="AK552" s="232">
        <f>Table1[[#This Row],[UNIT (BUILDING) RATE (BASIC FINISH)]]*Table1[[#This Row],[Unit Selling Area]]</f>
        <v>11673738</v>
      </c>
      <c r="AL552" s="232">
        <f>Table1[[#This Row],[UNIT (BUILDING) RATE (FULLY FINISH)]]*Table1[[#This Row],[Unit Selling Area]]</f>
        <v>12270738</v>
      </c>
      <c r="AM552" s="232">
        <f t="shared" si="88"/>
        <v>1387164.5926379999</v>
      </c>
      <c r="AN552" s="232">
        <f>(AM552+AJ552)*FACTS!$S$2</f>
        <v>1034059.2203742302</v>
      </c>
      <c r="AO552" s="101">
        <f>VLOOKUP(S552,FACTS!$A$17:$C$23,3,FALSE)</f>
        <v>2</v>
      </c>
      <c r="AP552" s="232">
        <f>VLOOKUP(AA552,FACTS!$B$2:$J$14,9,FALSE)</f>
        <v>236000</v>
      </c>
      <c r="AQ552" s="232">
        <f>Table1[[#This Row],[PARKING VALUE]]*1</f>
        <v>236000</v>
      </c>
      <c r="AR552" s="232">
        <f t="shared" si="83"/>
        <v>12401402.592638001</v>
      </c>
      <c r="AS552" s="440">
        <f>Table1[[#This Row],[TOTAL CARS VALUE]]+Table1[[#This Row],[UNIT (BUILDING) VALUE BASIC FINISHED]]+Table1[[#This Row],[UNIT (GARDEN) VALUE]]</f>
        <v>13296902.592638001</v>
      </c>
      <c r="AT552" s="232">
        <f>Table1[[#This Row],[TOTAL CARS VALUE]]+Table1[[#This Row],[UNIT (GARDEN) VALUE]]+Table1[[#This Row],[UNIT (BUILDING) VALUE FULLY FINISHED]]</f>
        <v>13893902.592638001</v>
      </c>
      <c r="AU552" s="233">
        <f>VLOOKUP(I552,'C PHASES'!$I$108:$J$110,2,FALSE)</f>
        <v>46204</v>
      </c>
      <c r="AV552" s="233">
        <f>VLOOKUP(AA552,'C PHASES'!$I$113:$J$125,2,FALSE)</f>
        <v>45748</v>
      </c>
    </row>
    <row r="553" spans="1:48" x14ac:dyDescent="0.25">
      <c r="A553" s="236"/>
      <c r="B553" s="227" t="str">
        <f t="shared" si="81"/>
        <v>C</v>
      </c>
      <c r="C553" s="227" t="s">
        <v>49</v>
      </c>
      <c r="D553" s="227" t="s">
        <v>1147</v>
      </c>
      <c r="E553" s="228">
        <v>0</v>
      </c>
      <c r="F553" s="101">
        <v>3</v>
      </c>
      <c r="G553" s="87" t="str">
        <f t="shared" si="90"/>
        <v>C103</v>
      </c>
      <c r="H553" s="87" t="s">
        <v>1295</v>
      </c>
      <c r="I553" s="89" t="str">
        <f>VLOOKUP(C553,'PREMIUM TABLES'!$G$107:$H$149,2,FALSE)</f>
        <v>C2</v>
      </c>
      <c r="J553" s="89">
        <v>183.887</v>
      </c>
      <c r="K553" s="87">
        <v>203.74308197465874</v>
      </c>
      <c r="L553" s="87">
        <v>224</v>
      </c>
      <c r="M553" s="87">
        <v>61.527700000000003</v>
      </c>
      <c r="O553" s="87" t="s">
        <v>180</v>
      </c>
      <c r="P553" s="87" t="s">
        <v>226</v>
      </c>
      <c r="Q553" s="229" t="s">
        <v>209</v>
      </c>
      <c r="R553" s="87" t="str">
        <f>VLOOKUP(E553,'PREMIUM TABLES'!$F$214:$G$219,2,FALSE)</f>
        <v>GROUND</v>
      </c>
      <c r="S553" s="87" t="str" cm="1">
        <f t="array" ref="S553">IF(AND(L553&gt;0,L553&lt;90),"A",IF(AND(L553&gt;90,L553&lt;123),"B",IF(AND(L553&gt;122,L553&lt;159),"C",IF(AND(L553&gt;159,L553&lt;185),"D",IF(AND(L553&gt;185,L553&lt;230),"E",IF(AND(L553&gt;230,L553&lt;350),"F",NONE))))))</f>
        <v>E</v>
      </c>
      <c r="T553" s="230">
        <f>VLOOKUP(O553,'PREMIUM TABLES'!$G$165:$H$172,2,FALSE)</f>
        <v>0.13</v>
      </c>
      <c r="U553" s="230">
        <f>VLOOKUP(P553,'PREMIUM TABLES'!$G$208:$H$209,2,FALSE)</f>
        <v>0.05</v>
      </c>
      <c r="V553" s="230">
        <f>VLOOKUP(Q553,'PREMIUM TABLES'!$G$175:$H$195,2,FALSE)</f>
        <v>0.6</v>
      </c>
      <c r="W553" s="230">
        <f>VLOOKUP(R553,'PREMIUM TABLES'!$G$214:$H$219,2,FALSE)</f>
        <v>0.05</v>
      </c>
      <c r="X553" s="230">
        <f>VLOOKUP(S553,'PREMIUM TABLES'!$F$199:$H$205,3,FALSE)</f>
        <v>1.4999999999999999E-2</v>
      </c>
      <c r="Y553" s="231">
        <f t="shared" si="84"/>
        <v>0.84500000000000008</v>
      </c>
      <c r="Z553" s="231" t="str" cm="1">
        <f t="array" ref="Z553">IF(AND(Y553&gt;0,Y553&lt;0.5),"C",IF(AND(Y553&gt;=0.5,Y553&lt;0.73),"B",IF(AND(Y553&gt;=0.73,Y553&lt;0.98),"A",NONE)))</f>
        <v>A</v>
      </c>
      <c r="AA553" s="231" t="str">
        <f>VLOOKUP(G553,'ALL (R)'!$N$5:$R$862,5,FALSE)</f>
        <v>R 8</v>
      </c>
      <c r="AB553" s="232">
        <f>VLOOKUP(AA553,FACTS!$B$2:$L$14,10,FALSE)</f>
        <v>51850</v>
      </c>
      <c r="AC553" s="232">
        <f>VLOOKUP(AA553,FACTS!$B$2:$L$14,11,FALSE)</f>
        <v>57950</v>
      </c>
      <c r="AD553" s="232">
        <f>VLOOKUP(AA553,FACTS!$B$2:$N$14,13,FALSE)</f>
        <v>6100</v>
      </c>
      <c r="AE553" s="232">
        <f t="shared" si="85"/>
        <v>5154.5000000000009</v>
      </c>
      <c r="AF553" s="232">
        <f t="shared" si="86"/>
        <v>57004.5</v>
      </c>
      <c r="AG553" s="232">
        <f>AF553*FACTS!$T$2</f>
        <v>18811.485000000001</v>
      </c>
      <c r="AH553" s="232">
        <f>Table1[[#This Row],[UNIT (BUILDING) RATE (SEMI FINISHED)]]+4500</f>
        <v>61504.5</v>
      </c>
      <c r="AI553" s="232">
        <f>Table1[[#This Row],[UNIT (BUILDING) RATE (SEMI FINISHED)]]+7500</f>
        <v>64504.5</v>
      </c>
      <c r="AJ553" s="232">
        <f t="shared" si="87"/>
        <v>12769008</v>
      </c>
      <c r="AK553" s="232">
        <f>Table1[[#This Row],[UNIT (BUILDING) RATE (BASIC FINISH)]]*Table1[[#This Row],[Unit Selling Area]]</f>
        <v>13777008</v>
      </c>
      <c r="AL553" s="232">
        <f>Table1[[#This Row],[UNIT (BUILDING) RATE (FULLY FINISH)]]*Table1[[#This Row],[Unit Selling Area]]</f>
        <v>14449008</v>
      </c>
      <c r="AM553" s="232">
        <f t="shared" si="88"/>
        <v>1157427.4056345001</v>
      </c>
      <c r="AN553" s="232">
        <f>(AM553+AJ553)*FACTS!$S$2</f>
        <v>1183747.0094789325</v>
      </c>
      <c r="AO553" s="101">
        <f>VLOOKUP(S553,FACTS!$A$17:$C$23,3,FALSE)</f>
        <v>2</v>
      </c>
      <c r="AP553" s="232">
        <f>VLOOKUP(AA553,FACTS!$B$2:$J$14,9,FALSE)</f>
        <v>244000</v>
      </c>
      <c r="AQ553" s="232">
        <f>Table1[[#This Row],[PARKING VALUE]]*1</f>
        <v>244000</v>
      </c>
      <c r="AR553" s="232">
        <f t="shared" si="83"/>
        <v>14170435.4056345</v>
      </c>
      <c r="AS553" s="440">
        <f>Table1[[#This Row],[TOTAL CARS VALUE]]+Table1[[#This Row],[UNIT (BUILDING) VALUE BASIC FINISHED]]+Table1[[#This Row],[UNIT (GARDEN) VALUE]]</f>
        <v>15178435.4056345</v>
      </c>
      <c r="AT553" s="232">
        <f>Table1[[#This Row],[TOTAL CARS VALUE]]+Table1[[#This Row],[UNIT (GARDEN) VALUE]]+Table1[[#This Row],[UNIT (BUILDING) VALUE FULLY FINISHED]]</f>
        <v>15850435.4056345</v>
      </c>
      <c r="AU553" s="233">
        <f>VLOOKUP(I553,'C PHASES'!$I$108:$J$110,2,FALSE)</f>
        <v>46204</v>
      </c>
      <c r="AV553" s="233">
        <f>VLOOKUP(AA553,'C PHASES'!$I$113:$J$125,2,FALSE)</f>
        <v>45839</v>
      </c>
    </row>
    <row r="554" spans="1:48" x14ac:dyDescent="0.25">
      <c r="A554" s="236"/>
      <c r="B554" s="227" t="str">
        <f t="shared" si="81"/>
        <v>C</v>
      </c>
      <c r="C554" s="227" t="s">
        <v>49</v>
      </c>
      <c r="D554" s="227" t="s">
        <v>1147</v>
      </c>
      <c r="E554" s="228">
        <v>0</v>
      </c>
      <c r="F554" s="101">
        <v>4</v>
      </c>
      <c r="G554" s="87" t="str">
        <f t="shared" si="90"/>
        <v>C104</v>
      </c>
      <c r="H554" s="87" t="s">
        <v>1294</v>
      </c>
      <c r="I554" s="89" t="str">
        <f>VLOOKUP(C554,'PREMIUM TABLES'!$G$107:$H$149,2,FALSE)</f>
        <v>C2</v>
      </c>
      <c r="J554" s="89">
        <v>147.54499999999999</v>
      </c>
      <c r="K554" s="87">
        <v>163.47687998581205</v>
      </c>
      <c r="L554" s="87">
        <v>180</v>
      </c>
      <c r="M554" s="87">
        <v>79.64</v>
      </c>
      <c r="O554" s="87" t="s">
        <v>187</v>
      </c>
      <c r="P554" s="87" t="s">
        <v>226</v>
      </c>
      <c r="Q554" s="229" t="s">
        <v>227</v>
      </c>
      <c r="R554" s="87" t="str">
        <f>VLOOKUP(E554,'PREMIUM TABLES'!$F$214:$G$219,2,FALSE)</f>
        <v>GROUND</v>
      </c>
      <c r="S554" s="87" t="str" cm="1">
        <f t="array" ref="S554">IF(AND(L554&gt;0,L554&lt;90),"A",IF(AND(L554&gt;90,L554&lt;123),"B",IF(AND(L554&gt;122,L554&lt;159),"C",IF(AND(L554&gt;159,L554&lt;185),"D",IF(AND(L554&gt;185,L554&lt;230),"E",IF(AND(L554&gt;230,L554&lt;350),"F",NONE))))))</f>
        <v>D</v>
      </c>
      <c r="T554" s="230">
        <f>VLOOKUP(O554,'PREMIUM TABLES'!$G$165:$H$172,2,FALSE)</f>
        <v>0.08</v>
      </c>
      <c r="U554" s="230">
        <f>VLOOKUP(P554,'PREMIUM TABLES'!$G$208:$H$209,2,FALSE)</f>
        <v>0.05</v>
      </c>
      <c r="V554" s="230">
        <f>VLOOKUP(Q554,'PREMIUM TABLES'!$G$175:$H$195,2,FALSE)</f>
        <v>0.48</v>
      </c>
      <c r="W554" s="230">
        <f>VLOOKUP(R554,'PREMIUM TABLES'!$G$214:$H$219,2,FALSE)</f>
        <v>0.05</v>
      </c>
      <c r="X554" s="230">
        <f>VLOOKUP(S554,'PREMIUM TABLES'!$F$199:$H$205,3,FALSE)</f>
        <v>2.5000000000000001E-2</v>
      </c>
      <c r="Y554" s="231">
        <f t="shared" si="84"/>
        <v>0.68500000000000005</v>
      </c>
      <c r="Z554" s="231" t="str" cm="1">
        <f t="array" ref="Z554">IF(AND(Y554&gt;0,Y554&lt;0.5),"C",IF(AND(Y554&gt;=0.5,Y554&lt;0.73),"B",IF(AND(Y554&gt;=0.73,Y554&lt;0.98),"A",NONE)))</f>
        <v>B</v>
      </c>
      <c r="AA554" s="231" t="str">
        <f>VLOOKUP(G554,'ALL (R)'!$N$5:$R$862,5,FALSE)</f>
        <v>R 8</v>
      </c>
      <c r="AB554" s="232">
        <f>VLOOKUP(AA554,FACTS!$B$2:$L$14,10,FALSE)</f>
        <v>51850</v>
      </c>
      <c r="AC554" s="232">
        <f>VLOOKUP(AA554,FACTS!$B$2:$L$14,11,FALSE)</f>
        <v>57950</v>
      </c>
      <c r="AD554" s="232">
        <f>VLOOKUP(AA554,FACTS!$B$2:$N$14,13,FALSE)</f>
        <v>6100</v>
      </c>
      <c r="AE554" s="232">
        <f t="shared" si="85"/>
        <v>4178.5</v>
      </c>
      <c r="AF554" s="232">
        <f t="shared" si="86"/>
        <v>56028.5</v>
      </c>
      <c r="AG554" s="232">
        <f>AF554*FACTS!$T$2</f>
        <v>18489.405000000002</v>
      </c>
      <c r="AH554" s="232">
        <f>Table1[[#This Row],[UNIT (BUILDING) RATE (SEMI FINISHED)]]+4500</f>
        <v>60528.5</v>
      </c>
      <c r="AI554" s="232">
        <f>Table1[[#This Row],[UNIT (BUILDING) RATE (SEMI FINISHED)]]+7500</f>
        <v>63528.5</v>
      </c>
      <c r="AJ554" s="232">
        <f t="shared" si="87"/>
        <v>10085130</v>
      </c>
      <c r="AK554" s="232">
        <f>Table1[[#This Row],[UNIT (BUILDING) RATE (BASIC FINISH)]]*Table1[[#This Row],[Unit Selling Area]]</f>
        <v>10895130</v>
      </c>
      <c r="AL554" s="232">
        <f>Table1[[#This Row],[UNIT (BUILDING) RATE (FULLY FINISH)]]*Table1[[#This Row],[Unit Selling Area]]</f>
        <v>11435130</v>
      </c>
      <c r="AM554" s="232">
        <f t="shared" si="88"/>
        <v>1472496.2142000003</v>
      </c>
      <c r="AN554" s="232">
        <f>(AM554+AJ554)*FACTS!$S$2</f>
        <v>982398.22820700018</v>
      </c>
      <c r="AO554" s="101">
        <f>VLOOKUP(S554,FACTS!$A$17:$C$23,3,FALSE)</f>
        <v>2</v>
      </c>
      <c r="AP554" s="232">
        <f>VLOOKUP(AA554,FACTS!$B$2:$J$14,9,FALSE)</f>
        <v>244000</v>
      </c>
      <c r="AQ554" s="232">
        <f>Table1[[#This Row],[PARKING VALUE]]*1</f>
        <v>244000</v>
      </c>
      <c r="AR554" s="232">
        <f t="shared" si="83"/>
        <v>11801626.214200001</v>
      </c>
      <c r="AS554" s="440">
        <f>Table1[[#This Row],[TOTAL CARS VALUE]]+Table1[[#This Row],[UNIT (BUILDING) VALUE BASIC FINISHED]]+Table1[[#This Row],[UNIT (GARDEN) VALUE]]</f>
        <v>12611626.214200001</v>
      </c>
      <c r="AT554" s="232">
        <f>Table1[[#This Row],[TOTAL CARS VALUE]]+Table1[[#This Row],[UNIT (GARDEN) VALUE]]+Table1[[#This Row],[UNIT (BUILDING) VALUE FULLY FINISHED]]</f>
        <v>13151626.214200001</v>
      </c>
      <c r="AU554" s="233">
        <f>VLOOKUP(I554,'C PHASES'!$I$108:$J$110,2,FALSE)</f>
        <v>46204</v>
      </c>
      <c r="AV554" s="233">
        <f>VLOOKUP(AA554,'C PHASES'!$I$113:$J$125,2,FALSE)</f>
        <v>45839</v>
      </c>
    </row>
    <row r="555" spans="1:48" x14ac:dyDescent="0.25">
      <c r="A555" s="236"/>
      <c r="B555" s="227" t="str">
        <f t="shared" si="81"/>
        <v>C</v>
      </c>
      <c r="C555" s="227" t="s">
        <v>49</v>
      </c>
      <c r="D555" s="227" t="s">
        <v>1147</v>
      </c>
      <c r="E555" s="228">
        <v>1</v>
      </c>
      <c r="F555" s="101">
        <v>1</v>
      </c>
      <c r="G555" s="87" t="str">
        <f t="shared" si="90"/>
        <v>C111</v>
      </c>
      <c r="H555" s="87" t="s">
        <v>1293</v>
      </c>
      <c r="I555" s="89" t="str">
        <f>VLOOKUP(C555,'PREMIUM TABLES'!$G$107:$H$149,2,FALSE)</f>
        <v>C2</v>
      </c>
      <c r="J555" s="89">
        <v>96.311000000000007</v>
      </c>
      <c r="K555" s="87">
        <v>106.71064277551626</v>
      </c>
      <c r="L555" s="87">
        <v>117</v>
      </c>
      <c r="M555" s="89"/>
      <c r="N555" s="89"/>
      <c r="O555" s="87" t="s">
        <v>187</v>
      </c>
      <c r="P555" s="87" t="s">
        <v>190</v>
      </c>
      <c r="Q555" s="229" t="s">
        <v>199</v>
      </c>
      <c r="R555" s="87" t="str">
        <f>VLOOKUP(E555,'PREMIUM TABLES'!$F$214:$G$219,2,FALSE)</f>
        <v>FIRST</v>
      </c>
      <c r="S555" s="87" t="str" cm="1">
        <f t="array" ref="S555">IF(AND(L555&gt;0,L555&lt;90),"A",IF(AND(L555&gt;90,L555&lt;123),"B",IF(AND(L555&gt;122,L555&lt;159),"C",IF(AND(L555&gt;159,L555&lt;185),"D",IF(AND(L555&gt;185,L555&lt;230),"E",IF(AND(L555&gt;230,L555&lt;350),"F",NONE))))))</f>
        <v>B</v>
      </c>
      <c r="T555" s="230">
        <f>VLOOKUP(O555,'PREMIUM TABLES'!$G$165:$H$172,2,FALSE)</f>
        <v>0.08</v>
      </c>
      <c r="U555" s="230">
        <f>VLOOKUP(P555,'PREMIUM TABLES'!$G$208:$H$209,2,FALSE)</f>
        <v>2.5000000000000001E-2</v>
      </c>
      <c r="V555" s="230">
        <f>VLOOKUP(Q555,'PREMIUM TABLES'!$G$175:$H$195,2,FALSE)</f>
        <v>0.13</v>
      </c>
      <c r="W555" s="230">
        <f>VLOOKUP(R555,'PREMIUM TABLES'!$G$214:$H$219,2,FALSE)</f>
        <v>7.0000000000000007E-2</v>
      </c>
      <c r="X555" s="230">
        <f>VLOOKUP(S555,'PREMIUM TABLES'!$F$199:$H$205,3,FALSE)</f>
        <v>0.04</v>
      </c>
      <c r="Y555" s="231">
        <f t="shared" si="84"/>
        <v>0.34500000000000003</v>
      </c>
      <c r="Z555" s="231" t="str" cm="1">
        <f t="array" ref="Z555">IF(AND(Y555&gt;0,Y555&lt;0.5),"C",IF(AND(Y555&gt;=0.5,Y555&lt;0.73),"B",IF(AND(Y555&gt;=0.73,Y555&lt;0.98),"A",NONE)))</f>
        <v>C</v>
      </c>
      <c r="AA555" s="231" t="str">
        <f>VLOOKUP(G555,'ALL (R)'!$N$5:$R$862,5,FALSE)</f>
        <v>R 1</v>
      </c>
      <c r="AB555" s="232">
        <f>VLOOKUP(AA555,FACTS!$B$2:$L$14,10,FALSE)</f>
        <v>42500</v>
      </c>
      <c r="AC555" s="232">
        <f>VLOOKUP(AA555,FACTS!$B$2:$L$14,11,FALSE)</f>
        <v>47500</v>
      </c>
      <c r="AD555" s="232">
        <f>VLOOKUP(AA555,FACTS!$B$2:$N$14,13,FALSE)</f>
        <v>5000</v>
      </c>
      <c r="AE555" s="232">
        <f t="shared" si="85"/>
        <v>1725.0000000000002</v>
      </c>
      <c r="AF555" s="232">
        <f t="shared" si="86"/>
        <v>44225</v>
      </c>
      <c r="AG555" s="232">
        <f>AF555*FACTS!$T$2</f>
        <v>14594.25</v>
      </c>
      <c r="AH555" s="232">
        <f>Table1[[#This Row],[UNIT (BUILDING) RATE (SEMI FINISHED)]]+4500</f>
        <v>48725</v>
      </c>
      <c r="AI555" s="232">
        <f>Table1[[#This Row],[UNIT (BUILDING) RATE (SEMI FINISHED)]]+7500</f>
        <v>51725</v>
      </c>
      <c r="AJ555" s="232">
        <f t="shared" si="87"/>
        <v>5174325</v>
      </c>
      <c r="AK555" s="232">
        <f>Table1[[#This Row],[UNIT (BUILDING) RATE (BASIC FINISH)]]*Table1[[#This Row],[Unit Selling Area]]</f>
        <v>5700825</v>
      </c>
      <c r="AL555" s="232">
        <f>Table1[[#This Row],[UNIT (BUILDING) RATE (FULLY FINISH)]]*Table1[[#This Row],[Unit Selling Area]]</f>
        <v>6051825</v>
      </c>
      <c r="AM555" s="232">
        <f t="shared" si="88"/>
        <v>0</v>
      </c>
      <c r="AN555" s="232">
        <f>(AM555+AJ555)*FACTS!$S$2</f>
        <v>439817.62500000006</v>
      </c>
      <c r="AO555" s="101">
        <f>VLOOKUP(S555,FACTS!$A$17:$C$23,3,FALSE)</f>
        <v>1</v>
      </c>
      <c r="AP555" s="232">
        <f>VLOOKUP(AA555,FACTS!$B$2:$J$14,9,FALSE)</f>
        <v>200000</v>
      </c>
      <c r="AQ555" s="232">
        <f>Table1[[#This Row],[PARKING VALUE]]*1</f>
        <v>200000</v>
      </c>
      <c r="AR555" s="232">
        <f t="shared" si="83"/>
        <v>5374325</v>
      </c>
      <c r="AS555" s="440">
        <f>Table1[[#This Row],[TOTAL CARS VALUE]]+Table1[[#This Row],[UNIT (BUILDING) VALUE BASIC FINISHED]]+Table1[[#This Row],[UNIT (GARDEN) VALUE]]</f>
        <v>5900825</v>
      </c>
      <c r="AT555" s="232">
        <f>Table1[[#This Row],[TOTAL CARS VALUE]]+Table1[[#This Row],[UNIT (GARDEN) VALUE]]+Table1[[#This Row],[UNIT (BUILDING) VALUE FULLY FINISHED]]</f>
        <v>6251825</v>
      </c>
      <c r="AU555" s="233">
        <f>VLOOKUP(I555,'C PHASES'!$I$108:$J$110,2,FALSE)</f>
        <v>46204</v>
      </c>
      <c r="AV555" s="233">
        <f>VLOOKUP(AA555,'C PHASES'!$I$113:$J$125,2,FALSE)</f>
        <v>45170</v>
      </c>
    </row>
    <row r="556" spans="1:48" x14ac:dyDescent="0.25">
      <c r="A556" s="236"/>
      <c r="B556" s="227" t="str">
        <f t="shared" si="81"/>
        <v>C</v>
      </c>
      <c r="C556" s="227" t="s">
        <v>49</v>
      </c>
      <c r="D556" s="227" t="s">
        <v>1147</v>
      </c>
      <c r="E556" s="228">
        <v>1</v>
      </c>
      <c r="F556" s="101">
        <v>2</v>
      </c>
      <c r="G556" s="87" t="str">
        <f t="shared" si="90"/>
        <v>C112</v>
      </c>
      <c r="H556" s="87" t="s">
        <v>1294</v>
      </c>
      <c r="I556" s="89" t="str">
        <f>VLOOKUP(C556,'PREMIUM TABLES'!$G$107:$H$149,2,FALSE)</f>
        <v>C2</v>
      </c>
      <c r="J556" s="89">
        <v>162.57599999999999</v>
      </c>
      <c r="K556" s="87">
        <v>180.13092439983313</v>
      </c>
      <c r="L556" s="87">
        <v>198</v>
      </c>
      <c r="M556" s="89"/>
      <c r="N556" s="89"/>
      <c r="O556" s="87" t="s">
        <v>180</v>
      </c>
      <c r="P556" s="87" t="s">
        <v>190</v>
      </c>
      <c r="Q556" s="229" t="s">
        <v>192</v>
      </c>
      <c r="R556" s="87" t="str">
        <f>VLOOKUP(E556,'PREMIUM TABLES'!$F$214:$G$219,2,FALSE)</f>
        <v>FIRST</v>
      </c>
      <c r="S556" s="87" t="str" cm="1">
        <f t="array" ref="S556">IF(AND(L556&gt;0,L556&lt;90),"A",IF(AND(L556&gt;90,L556&lt;123),"B",IF(AND(L556&gt;122,L556&lt;159),"C",IF(AND(L556&gt;159,L556&lt;185),"D",IF(AND(L556&gt;185,L556&lt;230),"E",IF(AND(L556&gt;230,L556&lt;350),"F",NONE))))))</f>
        <v>E</v>
      </c>
      <c r="T556" s="230">
        <f>VLOOKUP(O556,'PREMIUM TABLES'!$G$165:$H$172,2,FALSE)</f>
        <v>0.13</v>
      </c>
      <c r="U556" s="230">
        <f>VLOOKUP(P556,'PREMIUM TABLES'!$G$208:$H$209,2,FALSE)</f>
        <v>2.5000000000000001E-2</v>
      </c>
      <c r="V556" s="230">
        <f>VLOOKUP(Q556,'PREMIUM TABLES'!$G$175:$H$195,2,FALSE)</f>
        <v>0.46</v>
      </c>
      <c r="W556" s="230">
        <f>VLOOKUP(R556,'PREMIUM TABLES'!$G$214:$H$219,2,FALSE)</f>
        <v>7.0000000000000007E-2</v>
      </c>
      <c r="X556" s="230">
        <f>VLOOKUP(S556,'PREMIUM TABLES'!$F$199:$H$205,3,FALSE)</f>
        <v>1.4999999999999999E-2</v>
      </c>
      <c r="Y556" s="231">
        <f t="shared" si="84"/>
        <v>0.70000000000000007</v>
      </c>
      <c r="Z556" s="231" t="str" cm="1">
        <f t="array" ref="Z556">IF(AND(Y556&gt;0,Y556&lt;0.5),"C",IF(AND(Y556&gt;=0.5,Y556&lt;0.73),"B",IF(AND(Y556&gt;=0.73,Y556&lt;0.98),"A",NONE)))</f>
        <v>B</v>
      </c>
      <c r="AA556" s="231" t="str">
        <f>VLOOKUP(G556,'ALL (R)'!$N$5:$R$862,5,FALSE)</f>
        <v>R 9</v>
      </c>
      <c r="AB556" s="232">
        <f>VLOOKUP(AA556,FACTS!$B$2:$L$14,10,FALSE)</f>
        <v>53550</v>
      </c>
      <c r="AC556" s="232">
        <f>VLOOKUP(AA556,FACTS!$B$2:$L$14,11,FALSE)</f>
        <v>59850</v>
      </c>
      <c r="AD556" s="232">
        <f>VLOOKUP(AA556,FACTS!$B$2:$N$14,13,FALSE)</f>
        <v>6300</v>
      </c>
      <c r="AE556" s="232">
        <f t="shared" si="85"/>
        <v>4410</v>
      </c>
      <c r="AF556" s="232">
        <f t="shared" si="86"/>
        <v>57960</v>
      </c>
      <c r="AG556" s="232">
        <f>AF556*FACTS!$T$2</f>
        <v>19126.8</v>
      </c>
      <c r="AH556" s="232">
        <f>Table1[[#This Row],[UNIT (BUILDING) RATE (SEMI FINISHED)]]+4500</f>
        <v>62460</v>
      </c>
      <c r="AI556" s="232">
        <f>Table1[[#This Row],[UNIT (BUILDING) RATE (SEMI FINISHED)]]+7500</f>
        <v>65460</v>
      </c>
      <c r="AJ556" s="232">
        <f t="shared" si="87"/>
        <v>11476080</v>
      </c>
      <c r="AK556" s="232">
        <f>Table1[[#This Row],[UNIT (BUILDING) RATE (BASIC FINISH)]]*Table1[[#This Row],[Unit Selling Area]]</f>
        <v>12367080</v>
      </c>
      <c r="AL556" s="232">
        <f>Table1[[#This Row],[UNIT (BUILDING) RATE (FULLY FINISH)]]*Table1[[#This Row],[Unit Selling Area]]</f>
        <v>12961080</v>
      </c>
      <c r="AM556" s="232">
        <f t="shared" si="88"/>
        <v>0</v>
      </c>
      <c r="AN556" s="232">
        <f>(AM556+AJ556)*FACTS!$S$2</f>
        <v>975466.8</v>
      </c>
      <c r="AO556" s="101">
        <f>VLOOKUP(S556,FACTS!$A$17:$C$23,3,FALSE)</f>
        <v>2</v>
      </c>
      <c r="AP556" s="232">
        <f>VLOOKUP(AA556,FACTS!$B$2:$J$14,9,FALSE)</f>
        <v>252000</v>
      </c>
      <c r="AQ556" s="232">
        <f>Table1[[#This Row],[PARKING VALUE]]*1</f>
        <v>252000</v>
      </c>
      <c r="AR556" s="232">
        <f t="shared" si="83"/>
        <v>11728080</v>
      </c>
      <c r="AS556" s="440">
        <f>Table1[[#This Row],[TOTAL CARS VALUE]]+Table1[[#This Row],[UNIT (BUILDING) VALUE BASIC FINISHED]]+Table1[[#This Row],[UNIT (GARDEN) VALUE]]</f>
        <v>12619080</v>
      </c>
      <c r="AT556" s="232">
        <f>Table1[[#This Row],[TOTAL CARS VALUE]]+Table1[[#This Row],[UNIT (GARDEN) VALUE]]+Table1[[#This Row],[UNIT (BUILDING) VALUE FULLY FINISHED]]</f>
        <v>13213080</v>
      </c>
      <c r="AU556" s="233">
        <f>VLOOKUP(I556,'C PHASES'!$I$108:$J$110,2,FALSE)</f>
        <v>46204</v>
      </c>
      <c r="AV556" s="233">
        <f>VLOOKUP(AA556,'C PHASES'!$I$113:$J$125,2,FALSE)</f>
        <v>45931</v>
      </c>
    </row>
    <row r="557" spans="1:48" x14ac:dyDescent="0.25">
      <c r="A557" s="236"/>
      <c r="B557" s="227" t="str">
        <f t="shared" si="81"/>
        <v>C</v>
      </c>
      <c r="C557" s="227" t="s">
        <v>49</v>
      </c>
      <c r="D557" s="227" t="s">
        <v>1147</v>
      </c>
      <c r="E557" s="228">
        <v>1</v>
      </c>
      <c r="F557" s="101">
        <v>3</v>
      </c>
      <c r="G557" s="87" t="str">
        <f t="shared" si="90"/>
        <v>C113</v>
      </c>
      <c r="H557" s="87" t="s">
        <v>1295</v>
      </c>
      <c r="I557" s="89" t="str">
        <f>VLOOKUP(C557,'PREMIUM TABLES'!$G$107:$H$149,2,FALSE)</f>
        <v>C2</v>
      </c>
      <c r="J557" s="89">
        <v>183.637</v>
      </c>
      <c r="K557" s="87">
        <v>203.46608702398976</v>
      </c>
      <c r="L557" s="87">
        <v>224</v>
      </c>
      <c r="M557" s="89"/>
      <c r="N557" s="89"/>
      <c r="O557" s="87" t="s">
        <v>180</v>
      </c>
      <c r="P557" s="87" t="s">
        <v>226</v>
      </c>
      <c r="Q557" s="229" t="s">
        <v>209</v>
      </c>
      <c r="R557" s="87" t="str">
        <f>VLOOKUP(E557,'PREMIUM TABLES'!$F$214:$G$219,2,FALSE)</f>
        <v>FIRST</v>
      </c>
      <c r="S557" s="87" t="str" cm="1">
        <f t="array" ref="S557">IF(AND(L557&gt;0,L557&lt;90),"A",IF(AND(L557&gt;90,L557&lt;123),"B",IF(AND(L557&gt;122,L557&lt;159),"C",IF(AND(L557&gt;159,L557&lt;185),"D",IF(AND(L557&gt;185,L557&lt;230),"E",IF(AND(L557&gt;230,L557&lt;350),"F",NONE))))))</f>
        <v>E</v>
      </c>
      <c r="T557" s="230">
        <f>VLOOKUP(O557,'PREMIUM TABLES'!$G$165:$H$172,2,FALSE)</f>
        <v>0.13</v>
      </c>
      <c r="U557" s="230">
        <f>VLOOKUP(P557,'PREMIUM TABLES'!$G$208:$H$209,2,FALSE)</f>
        <v>0.05</v>
      </c>
      <c r="V557" s="230">
        <f>VLOOKUP(Q557,'PREMIUM TABLES'!$G$175:$H$195,2,FALSE)</f>
        <v>0.6</v>
      </c>
      <c r="W557" s="230">
        <f>VLOOKUP(R557,'PREMIUM TABLES'!$G$214:$H$219,2,FALSE)</f>
        <v>7.0000000000000007E-2</v>
      </c>
      <c r="X557" s="230">
        <f>VLOOKUP(S557,'PREMIUM TABLES'!$F$199:$H$205,3,FALSE)</f>
        <v>1.4999999999999999E-2</v>
      </c>
      <c r="Y557" s="231">
        <f t="shared" si="84"/>
        <v>0.8650000000000001</v>
      </c>
      <c r="Z557" s="231" t="str" cm="1">
        <f t="array" ref="Z557">IF(AND(Y557&gt;0,Y557&lt;0.5),"C",IF(AND(Y557&gt;=0.5,Y557&lt;0.73),"B",IF(AND(Y557&gt;=0.73,Y557&lt;0.98),"A",NONE)))</f>
        <v>A</v>
      </c>
      <c r="AA557" s="231" t="str">
        <f>VLOOKUP(G557,'ALL (R)'!$N$5:$R$862,5,FALSE)</f>
        <v>R 9</v>
      </c>
      <c r="AB557" s="232">
        <f>VLOOKUP(AA557,FACTS!$B$2:$L$14,10,FALSE)</f>
        <v>53550</v>
      </c>
      <c r="AC557" s="232">
        <f>VLOOKUP(AA557,FACTS!$B$2:$L$14,11,FALSE)</f>
        <v>59850</v>
      </c>
      <c r="AD557" s="232">
        <f>VLOOKUP(AA557,FACTS!$B$2:$N$14,13,FALSE)</f>
        <v>6300</v>
      </c>
      <c r="AE557" s="232">
        <f t="shared" si="85"/>
        <v>5449.5000000000009</v>
      </c>
      <c r="AF557" s="232">
        <f t="shared" si="86"/>
        <v>58999.5</v>
      </c>
      <c r="AG557" s="232">
        <f>AF557*FACTS!$T$2</f>
        <v>19469.834999999999</v>
      </c>
      <c r="AH557" s="232">
        <f>Table1[[#This Row],[UNIT (BUILDING) RATE (SEMI FINISHED)]]+4500</f>
        <v>63499.5</v>
      </c>
      <c r="AI557" s="232">
        <f>Table1[[#This Row],[UNIT (BUILDING) RATE (SEMI FINISHED)]]+7500</f>
        <v>66499.5</v>
      </c>
      <c r="AJ557" s="232">
        <f t="shared" si="87"/>
        <v>13215888</v>
      </c>
      <c r="AK557" s="232">
        <f>Table1[[#This Row],[UNIT (BUILDING) RATE (BASIC FINISH)]]*Table1[[#This Row],[Unit Selling Area]]</f>
        <v>14223888</v>
      </c>
      <c r="AL557" s="232">
        <f>Table1[[#This Row],[UNIT (BUILDING) RATE (FULLY FINISH)]]*Table1[[#This Row],[Unit Selling Area]]</f>
        <v>14895888</v>
      </c>
      <c r="AM557" s="232">
        <f t="shared" si="88"/>
        <v>0</v>
      </c>
      <c r="AN557" s="232">
        <f>(AM557+AJ557)*FACTS!$S$2</f>
        <v>1123350.48</v>
      </c>
      <c r="AO557" s="101">
        <f>VLOOKUP(S557,FACTS!$A$17:$C$23,3,FALSE)</f>
        <v>2</v>
      </c>
      <c r="AP557" s="232">
        <f>VLOOKUP(AA557,FACTS!$B$2:$J$14,9,FALSE)</f>
        <v>252000</v>
      </c>
      <c r="AQ557" s="232">
        <f>Table1[[#This Row],[PARKING VALUE]]*1</f>
        <v>252000</v>
      </c>
      <c r="AR557" s="232">
        <f t="shared" si="83"/>
        <v>13467888</v>
      </c>
      <c r="AS557" s="440">
        <f>Table1[[#This Row],[TOTAL CARS VALUE]]+Table1[[#This Row],[UNIT (BUILDING) VALUE BASIC FINISHED]]+Table1[[#This Row],[UNIT (GARDEN) VALUE]]</f>
        <v>14475888</v>
      </c>
      <c r="AT557" s="232">
        <f>Table1[[#This Row],[TOTAL CARS VALUE]]+Table1[[#This Row],[UNIT (GARDEN) VALUE]]+Table1[[#This Row],[UNIT (BUILDING) VALUE FULLY FINISHED]]</f>
        <v>15147888</v>
      </c>
      <c r="AU557" s="233">
        <f>VLOOKUP(I557,'C PHASES'!$I$108:$J$110,2,FALSE)</f>
        <v>46204</v>
      </c>
      <c r="AV557" s="233">
        <f>VLOOKUP(AA557,'C PHASES'!$I$113:$J$125,2,FALSE)</f>
        <v>45931</v>
      </c>
    </row>
    <row r="558" spans="1:48" x14ac:dyDescent="0.25">
      <c r="A558" s="236"/>
      <c r="B558" s="227" t="str">
        <f t="shared" si="81"/>
        <v>C</v>
      </c>
      <c r="C558" s="227" t="s">
        <v>49</v>
      </c>
      <c r="D558" s="227" t="s">
        <v>1147</v>
      </c>
      <c r="E558" s="228">
        <v>1</v>
      </c>
      <c r="F558" s="101">
        <v>4</v>
      </c>
      <c r="G558" s="87" t="str">
        <f t="shared" si="90"/>
        <v>C114</v>
      </c>
      <c r="H558" s="87" t="s">
        <v>1294</v>
      </c>
      <c r="I558" s="89" t="str">
        <f>VLOOKUP(C558,'PREMIUM TABLES'!$G$107:$H$149,2,FALSE)</f>
        <v>C2</v>
      </c>
      <c r="J558" s="89">
        <v>141.66300000000001</v>
      </c>
      <c r="K558" s="87">
        <v>156.95974278647259</v>
      </c>
      <c r="L558" s="87">
        <v>173</v>
      </c>
      <c r="M558" s="89"/>
      <c r="N558" s="89"/>
      <c r="O558" s="87" t="s">
        <v>187</v>
      </c>
      <c r="P558" s="87" t="s">
        <v>226</v>
      </c>
      <c r="Q558" s="229" t="s">
        <v>227</v>
      </c>
      <c r="R558" s="87" t="str">
        <f>VLOOKUP(E558,'PREMIUM TABLES'!$F$214:$G$219,2,FALSE)</f>
        <v>FIRST</v>
      </c>
      <c r="S558" s="87" t="str" cm="1">
        <f t="array" ref="S558">IF(AND(L558&gt;0,L558&lt;90),"A",IF(AND(L558&gt;90,L558&lt;123),"B",IF(AND(L558&gt;122,L558&lt;159),"C",IF(AND(L558&gt;159,L558&lt;185),"D",IF(AND(L558&gt;185,L558&lt;230),"E",IF(AND(L558&gt;230,L558&lt;350),"F",NONE))))))</f>
        <v>D</v>
      </c>
      <c r="T558" s="230">
        <f>VLOOKUP(O558,'PREMIUM TABLES'!$G$165:$H$172,2,FALSE)</f>
        <v>0.08</v>
      </c>
      <c r="U558" s="230">
        <f>VLOOKUP(P558,'PREMIUM TABLES'!$G$208:$H$209,2,FALSE)</f>
        <v>0.05</v>
      </c>
      <c r="V558" s="230">
        <f>VLOOKUP(Q558,'PREMIUM TABLES'!$G$175:$H$195,2,FALSE)</f>
        <v>0.48</v>
      </c>
      <c r="W558" s="230">
        <f>VLOOKUP(R558,'PREMIUM TABLES'!$G$214:$H$219,2,FALSE)</f>
        <v>7.0000000000000007E-2</v>
      </c>
      <c r="X558" s="230">
        <f>VLOOKUP(S558,'PREMIUM TABLES'!$F$199:$H$205,3,FALSE)</f>
        <v>2.5000000000000001E-2</v>
      </c>
      <c r="Y558" s="231">
        <f t="shared" si="84"/>
        <v>0.70499999999999996</v>
      </c>
      <c r="Z558" s="231" t="str" cm="1">
        <f t="array" ref="Z558">IF(AND(Y558&gt;0,Y558&lt;0.5),"C",IF(AND(Y558&gt;=0.5,Y558&lt;0.73),"B",IF(AND(Y558&gt;=0.73,Y558&lt;0.98),"A",NONE)))</f>
        <v>B</v>
      </c>
      <c r="AA558" s="231" t="str">
        <f>VLOOKUP(G558,'ALL (R)'!$N$5:$R$862,5,FALSE)</f>
        <v>R 10</v>
      </c>
      <c r="AB558" s="232">
        <f>VLOOKUP(AA558,FACTS!$B$2:$L$14,10,FALSE)</f>
        <v>56100</v>
      </c>
      <c r="AC558" s="232">
        <f>VLOOKUP(AA558,FACTS!$B$2:$L$14,11,FALSE)</f>
        <v>62700</v>
      </c>
      <c r="AD558" s="232">
        <f>VLOOKUP(AA558,FACTS!$B$2:$N$14,13,FALSE)</f>
        <v>6600</v>
      </c>
      <c r="AE558" s="232">
        <f t="shared" si="85"/>
        <v>4653</v>
      </c>
      <c r="AF558" s="232">
        <f t="shared" si="86"/>
        <v>60753</v>
      </c>
      <c r="AG558" s="232">
        <f>AF558*FACTS!$T$2</f>
        <v>20048.490000000002</v>
      </c>
      <c r="AH558" s="232">
        <f>Table1[[#This Row],[UNIT (BUILDING) RATE (SEMI FINISHED)]]+4500</f>
        <v>65253</v>
      </c>
      <c r="AI558" s="232">
        <f>Table1[[#This Row],[UNIT (BUILDING) RATE (SEMI FINISHED)]]+7500</f>
        <v>68253</v>
      </c>
      <c r="AJ558" s="232">
        <f t="shared" si="87"/>
        <v>10510269</v>
      </c>
      <c r="AK558" s="232">
        <f>Table1[[#This Row],[UNIT (BUILDING) RATE (BASIC FINISH)]]*Table1[[#This Row],[Unit Selling Area]]</f>
        <v>11288769</v>
      </c>
      <c r="AL558" s="232">
        <f>Table1[[#This Row],[UNIT (BUILDING) RATE (FULLY FINISH)]]*Table1[[#This Row],[Unit Selling Area]]</f>
        <v>11807769</v>
      </c>
      <c r="AM558" s="232">
        <f t="shared" si="88"/>
        <v>0</v>
      </c>
      <c r="AN558" s="232">
        <f>(AM558+AJ558)*FACTS!$S$2</f>
        <v>893372.86500000011</v>
      </c>
      <c r="AO558" s="101">
        <f>VLOOKUP(S558,FACTS!$A$17:$C$23,3,FALSE)</f>
        <v>2</v>
      </c>
      <c r="AP558" s="232">
        <f>VLOOKUP(AA558,FACTS!$B$2:$J$14,9,FALSE)</f>
        <v>264000</v>
      </c>
      <c r="AQ558" s="232">
        <f>Table1[[#This Row],[PARKING VALUE]]*1</f>
        <v>264000</v>
      </c>
      <c r="AR558" s="232">
        <f t="shared" si="83"/>
        <v>10774269</v>
      </c>
      <c r="AS558" s="440">
        <f>Table1[[#This Row],[TOTAL CARS VALUE]]+Table1[[#This Row],[UNIT (BUILDING) VALUE BASIC FINISHED]]+Table1[[#This Row],[UNIT (GARDEN) VALUE]]</f>
        <v>11552769</v>
      </c>
      <c r="AT558" s="232">
        <f>Table1[[#This Row],[TOTAL CARS VALUE]]+Table1[[#This Row],[UNIT (GARDEN) VALUE]]+Table1[[#This Row],[UNIT (BUILDING) VALUE FULLY FINISHED]]</f>
        <v>12071769</v>
      </c>
      <c r="AU558" s="233">
        <f>VLOOKUP(I558,'C PHASES'!$I$108:$J$110,2,FALSE)</f>
        <v>46204</v>
      </c>
      <c r="AV558" s="233">
        <f>VLOOKUP(AA558,'C PHASES'!$I$113:$J$125,2,FALSE)</f>
        <v>46023</v>
      </c>
    </row>
    <row r="559" spans="1:48" x14ac:dyDescent="0.25">
      <c r="A559" s="236"/>
      <c r="B559" s="227" t="str">
        <f t="shared" si="81"/>
        <v>C</v>
      </c>
      <c r="C559" s="227" t="s">
        <v>49</v>
      </c>
      <c r="D559" s="227" t="s">
        <v>1147</v>
      </c>
      <c r="E559" s="228">
        <v>2</v>
      </c>
      <c r="F559" s="101">
        <v>1</v>
      </c>
      <c r="G559" s="87" t="str">
        <f t="shared" si="90"/>
        <v>C121</v>
      </c>
      <c r="H559" s="87" t="s">
        <v>1294</v>
      </c>
      <c r="I559" s="89" t="str">
        <f>VLOOKUP(C559,'PREMIUM TABLES'!$G$107:$H$149,2,FALSE)</f>
        <v>C2</v>
      </c>
      <c r="J559" s="89">
        <v>141.22499999999999</v>
      </c>
      <c r="K559" s="87">
        <v>156.47444763290054</v>
      </c>
      <c r="L559" s="87">
        <v>172</v>
      </c>
      <c r="M559" s="89"/>
      <c r="N559" s="89"/>
      <c r="O559" s="87" t="s">
        <v>187</v>
      </c>
      <c r="P559" s="87" t="s">
        <v>190</v>
      </c>
      <c r="Q559" s="229" t="s">
        <v>199</v>
      </c>
      <c r="R559" s="87" t="str">
        <f>VLOOKUP(E559,'PREMIUM TABLES'!$F$214:$G$219,2,FALSE)</f>
        <v>SECOND</v>
      </c>
      <c r="S559" s="87" t="str" cm="1">
        <f t="array" ref="S559">IF(AND(L559&gt;0,L559&lt;90),"A",IF(AND(L559&gt;90,L559&lt;123),"B",IF(AND(L559&gt;122,L559&lt;159),"C",IF(AND(L559&gt;159,L559&lt;185),"D",IF(AND(L559&gt;185,L559&lt;230),"E",IF(AND(L559&gt;230,L559&lt;350),"F",NONE))))))</f>
        <v>D</v>
      </c>
      <c r="T559" s="230">
        <f>VLOOKUP(O559,'PREMIUM TABLES'!$G$165:$H$172,2,FALSE)</f>
        <v>0.08</v>
      </c>
      <c r="U559" s="230">
        <f>VLOOKUP(P559,'PREMIUM TABLES'!$G$208:$H$209,2,FALSE)</f>
        <v>2.5000000000000001E-2</v>
      </c>
      <c r="V559" s="230">
        <f>VLOOKUP(Q559,'PREMIUM TABLES'!$G$175:$H$195,2,FALSE)</f>
        <v>0.13</v>
      </c>
      <c r="W559" s="230">
        <f>VLOOKUP(R559,'PREMIUM TABLES'!$G$214:$H$219,2,FALSE)</f>
        <v>0.11</v>
      </c>
      <c r="X559" s="230">
        <f>VLOOKUP(S559,'PREMIUM TABLES'!$F$199:$H$205,3,FALSE)</f>
        <v>2.5000000000000001E-2</v>
      </c>
      <c r="Y559" s="231">
        <f t="shared" si="84"/>
        <v>0.37000000000000005</v>
      </c>
      <c r="Z559" s="231" t="str" cm="1">
        <f t="array" ref="Z559">IF(AND(Y559&gt;0,Y559&lt;0.5),"C",IF(AND(Y559&gt;=0.5,Y559&lt;0.73),"B",IF(AND(Y559&gt;=0.73,Y559&lt;0.98),"A",NONE)))</f>
        <v>C</v>
      </c>
      <c r="AA559" s="231" t="str">
        <f>VLOOKUP(G559,'ALL (R)'!$N$5:$R$862,5,FALSE)</f>
        <v>R 2</v>
      </c>
      <c r="AB559" s="232">
        <f>VLOOKUP(AA559,FACTS!$B$2:$L$14,10,FALSE)</f>
        <v>43562.499999999993</v>
      </c>
      <c r="AC559" s="232">
        <f>VLOOKUP(AA559,FACTS!$B$2:$L$14,11,FALSE)</f>
        <v>48687.499999999993</v>
      </c>
      <c r="AD559" s="232">
        <f>VLOOKUP(AA559,FACTS!$B$2:$N$14,13,FALSE)</f>
        <v>5125</v>
      </c>
      <c r="AE559" s="232">
        <f t="shared" si="85"/>
        <v>1896.2500000000002</v>
      </c>
      <c r="AF559" s="232">
        <f t="shared" si="86"/>
        <v>45458.749999999993</v>
      </c>
      <c r="AG559" s="232">
        <f>AF559*FACTS!$T$2</f>
        <v>15001.387499999999</v>
      </c>
      <c r="AH559" s="232">
        <f>Table1[[#This Row],[UNIT (BUILDING) RATE (SEMI FINISHED)]]+4500</f>
        <v>49958.749999999993</v>
      </c>
      <c r="AI559" s="232">
        <f>Table1[[#This Row],[UNIT (BUILDING) RATE (SEMI FINISHED)]]+7500</f>
        <v>52958.749999999993</v>
      </c>
      <c r="AJ559" s="232">
        <f t="shared" si="87"/>
        <v>7818904.9999999991</v>
      </c>
      <c r="AK559" s="232">
        <f>Table1[[#This Row],[UNIT (BUILDING) RATE (BASIC FINISH)]]*Table1[[#This Row],[Unit Selling Area]]</f>
        <v>8592904.9999999981</v>
      </c>
      <c r="AL559" s="232">
        <f>Table1[[#This Row],[UNIT (BUILDING) RATE (FULLY FINISH)]]*Table1[[#This Row],[Unit Selling Area]]</f>
        <v>9108904.9999999981</v>
      </c>
      <c r="AM559" s="232">
        <f t="shared" si="88"/>
        <v>0</v>
      </c>
      <c r="AN559" s="232">
        <f>(AM559+AJ559)*FACTS!$S$2</f>
        <v>664606.92499999993</v>
      </c>
      <c r="AO559" s="101">
        <f>VLOOKUP(S559,FACTS!$A$17:$C$23,3,FALSE)</f>
        <v>2</v>
      </c>
      <c r="AP559" s="232">
        <f>VLOOKUP(AA559,FACTS!$B$2:$J$14,9,FALSE)</f>
        <v>204999.99999999997</v>
      </c>
      <c r="AQ559" s="232">
        <f>Table1[[#This Row],[PARKING VALUE]]*1</f>
        <v>204999.99999999997</v>
      </c>
      <c r="AR559" s="232">
        <f t="shared" si="83"/>
        <v>8023904.9999999991</v>
      </c>
      <c r="AS559" s="440">
        <f>Table1[[#This Row],[TOTAL CARS VALUE]]+Table1[[#This Row],[UNIT (BUILDING) VALUE BASIC FINISHED]]+Table1[[#This Row],[UNIT (GARDEN) VALUE]]</f>
        <v>8797904.9999999981</v>
      </c>
      <c r="AT559" s="232">
        <f>Table1[[#This Row],[TOTAL CARS VALUE]]+Table1[[#This Row],[UNIT (GARDEN) VALUE]]+Table1[[#This Row],[UNIT (BUILDING) VALUE FULLY FINISHED]]</f>
        <v>9313904.9999999981</v>
      </c>
      <c r="AU559" s="233">
        <f>VLOOKUP(I559,'C PHASES'!$I$108:$J$110,2,FALSE)</f>
        <v>46204</v>
      </c>
      <c r="AV559" s="233">
        <f>VLOOKUP(AA559,'C PHASES'!$I$113:$J$125,2,FALSE)</f>
        <v>45292</v>
      </c>
    </row>
    <row r="560" spans="1:48" x14ac:dyDescent="0.25">
      <c r="A560" s="236"/>
      <c r="B560" s="227" t="str">
        <f t="shared" si="81"/>
        <v>C</v>
      </c>
      <c r="C560" s="227" t="s">
        <v>49</v>
      </c>
      <c r="D560" s="227" t="s">
        <v>1147</v>
      </c>
      <c r="E560" s="228">
        <v>2</v>
      </c>
      <c r="F560" s="101">
        <v>2</v>
      </c>
      <c r="G560" s="87" t="str">
        <f t="shared" si="90"/>
        <v>C122</v>
      </c>
      <c r="H560" s="87" t="s">
        <v>1294</v>
      </c>
      <c r="I560" s="89" t="str">
        <f>VLOOKUP(C560,'PREMIUM TABLES'!$G$107:$H$149,2,FALSE)</f>
        <v>C2</v>
      </c>
      <c r="J560" s="89">
        <v>167.214</v>
      </c>
      <c r="K560" s="87">
        <v>185.26973472464385</v>
      </c>
      <c r="L560" s="87">
        <v>204</v>
      </c>
      <c r="M560" s="89"/>
      <c r="N560" s="89"/>
      <c r="O560" s="87" t="s">
        <v>180</v>
      </c>
      <c r="P560" s="87" t="s">
        <v>190</v>
      </c>
      <c r="Q560" s="229" t="s">
        <v>192</v>
      </c>
      <c r="R560" s="87" t="str">
        <f>VLOOKUP(E560,'PREMIUM TABLES'!$F$214:$G$219,2,FALSE)</f>
        <v>SECOND</v>
      </c>
      <c r="S560" s="87" t="str" cm="1">
        <f t="array" ref="S560">IF(AND(L560&gt;0,L560&lt;90),"A",IF(AND(L560&gt;90,L560&lt;123),"B",IF(AND(L560&gt;122,L560&lt;159),"C",IF(AND(L560&gt;159,L560&lt;185),"D",IF(AND(L560&gt;185,L560&lt;230),"E",IF(AND(L560&gt;230,L560&lt;350),"F",NONE))))))</f>
        <v>E</v>
      </c>
      <c r="T560" s="230">
        <f>VLOOKUP(O560,'PREMIUM TABLES'!$G$165:$H$172,2,FALSE)</f>
        <v>0.13</v>
      </c>
      <c r="U560" s="230">
        <f>VLOOKUP(P560,'PREMIUM TABLES'!$G$208:$H$209,2,FALSE)</f>
        <v>2.5000000000000001E-2</v>
      </c>
      <c r="V560" s="230">
        <f>VLOOKUP(Q560,'PREMIUM TABLES'!$G$175:$H$195,2,FALSE)</f>
        <v>0.46</v>
      </c>
      <c r="W560" s="230">
        <f>VLOOKUP(R560,'PREMIUM TABLES'!$G$214:$H$219,2,FALSE)</f>
        <v>0.11</v>
      </c>
      <c r="X560" s="230">
        <f>VLOOKUP(S560,'PREMIUM TABLES'!$F$199:$H$205,3,FALSE)</f>
        <v>1.4999999999999999E-2</v>
      </c>
      <c r="Y560" s="231">
        <f t="shared" si="84"/>
        <v>0.74</v>
      </c>
      <c r="Z560" s="231" t="str" cm="1">
        <f t="array" ref="Z560">IF(AND(Y560&gt;0,Y560&lt;0.5),"C",IF(AND(Y560&gt;=0.5,Y560&lt;0.73),"B",IF(AND(Y560&gt;=0.73,Y560&lt;0.98),"A",NONE)))</f>
        <v>A</v>
      </c>
      <c r="AA560" s="231" t="str">
        <f>VLOOKUP(G560,'ALL (R)'!$N$5:$R$862,5,FALSE)</f>
        <v>R 1</v>
      </c>
      <c r="AB560" s="232">
        <f>VLOOKUP(AA560,FACTS!$B$2:$L$14,10,FALSE)</f>
        <v>42500</v>
      </c>
      <c r="AC560" s="232">
        <f>VLOOKUP(AA560,FACTS!$B$2:$L$14,11,FALSE)</f>
        <v>47500</v>
      </c>
      <c r="AD560" s="232">
        <f>VLOOKUP(AA560,FACTS!$B$2:$N$14,13,FALSE)</f>
        <v>5000</v>
      </c>
      <c r="AE560" s="232">
        <f t="shared" si="85"/>
        <v>3700</v>
      </c>
      <c r="AF560" s="232">
        <f t="shared" si="86"/>
        <v>46200</v>
      </c>
      <c r="AG560" s="232">
        <f>AF560*FACTS!$T$2</f>
        <v>15246</v>
      </c>
      <c r="AH560" s="232">
        <f>Table1[[#This Row],[UNIT (BUILDING) RATE (SEMI FINISHED)]]+4500</f>
        <v>50700</v>
      </c>
      <c r="AI560" s="232">
        <f>Table1[[#This Row],[UNIT (BUILDING) RATE (SEMI FINISHED)]]+7500</f>
        <v>53700</v>
      </c>
      <c r="AJ560" s="232">
        <f t="shared" si="87"/>
        <v>9424800</v>
      </c>
      <c r="AK560" s="232">
        <f>Table1[[#This Row],[UNIT (BUILDING) RATE (BASIC FINISH)]]*Table1[[#This Row],[Unit Selling Area]]</f>
        <v>10342800</v>
      </c>
      <c r="AL560" s="232">
        <f>Table1[[#This Row],[UNIT (BUILDING) RATE (FULLY FINISH)]]*Table1[[#This Row],[Unit Selling Area]]</f>
        <v>10954800</v>
      </c>
      <c r="AM560" s="232">
        <f t="shared" si="88"/>
        <v>0</v>
      </c>
      <c r="AN560" s="232">
        <f>(AM560+AJ560)*FACTS!$S$2</f>
        <v>801108</v>
      </c>
      <c r="AO560" s="101">
        <f>VLOOKUP(S560,FACTS!$A$17:$C$23,3,FALSE)</f>
        <v>2</v>
      </c>
      <c r="AP560" s="232">
        <f>VLOOKUP(AA560,FACTS!$B$2:$J$14,9,FALSE)</f>
        <v>200000</v>
      </c>
      <c r="AQ560" s="232">
        <f>Table1[[#This Row],[PARKING VALUE]]*1</f>
        <v>200000</v>
      </c>
      <c r="AR560" s="232">
        <f t="shared" si="83"/>
        <v>9624800</v>
      </c>
      <c r="AS560" s="440">
        <f>Table1[[#This Row],[TOTAL CARS VALUE]]+Table1[[#This Row],[UNIT (BUILDING) VALUE BASIC FINISHED]]+Table1[[#This Row],[UNIT (GARDEN) VALUE]]</f>
        <v>10542800</v>
      </c>
      <c r="AT560" s="232">
        <f>Table1[[#This Row],[TOTAL CARS VALUE]]+Table1[[#This Row],[UNIT (GARDEN) VALUE]]+Table1[[#This Row],[UNIT (BUILDING) VALUE FULLY FINISHED]]</f>
        <v>11154800</v>
      </c>
      <c r="AU560" s="233">
        <f>VLOOKUP(I560,'C PHASES'!$I$108:$J$110,2,FALSE)</f>
        <v>46204</v>
      </c>
      <c r="AV560" s="233">
        <f>VLOOKUP(AA560,'C PHASES'!$I$113:$J$125,2,FALSE)</f>
        <v>45170</v>
      </c>
    </row>
    <row r="561" spans="1:48" x14ac:dyDescent="0.25">
      <c r="A561" s="236"/>
      <c r="B561" s="227" t="str">
        <f t="shared" si="81"/>
        <v>C</v>
      </c>
      <c r="C561" s="227" t="s">
        <v>49</v>
      </c>
      <c r="D561" s="227" t="s">
        <v>1147</v>
      </c>
      <c r="E561" s="228">
        <v>2</v>
      </c>
      <c r="F561" s="101">
        <v>3</v>
      </c>
      <c r="G561" s="87" t="str">
        <f t="shared" si="90"/>
        <v>C123</v>
      </c>
      <c r="H561" s="87" t="s">
        <v>1295</v>
      </c>
      <c r="I561" s="89" t="str">
        <f>VLOOKUP(C561,'PREMIUM TABLES'!$G$107:$H$149,2,FALSE)</f>
        <v>C2</v>
      </c>
      <c r="J561" s="89">
        <v>187.10300000000001</v>
      </c>
      <c r="K561" s="87">
        <v>207.30634502006436</v>
      </c>
      <c r="L561" s="87">
        <v>228</v>
      </c>
      <c r="M561" s="89"/>
      <c r="N561" s="89"/>
      <c r="O561" s="87" t="s">
        <v>180</v>
      </c>
      <c r="P561" s="87" t="s">
        <v>226</v>
      </c>
      <c r="Q561" s="229" t="s">
        <v>209</v>
      </c>
      <c r="R561" s="87" t="str">
        <f>VLOOKUP(E561,'PREMIUM TABLES'!$F$214:$G$219,2,FALSE)</f>
        <v>SECOND</v>
      </c>
      <c r="S561" s="87" t="str" cm="1">
        <f t="array" ref="S561">IF(AND(L561&gt;0,L561&lt;90),"A",IF(AND(L561&gt;90,L561&lt;123),"B",IF(AND(L561&gt;122,L561&lt;159),"C",IF(AND(L561&gt;159,L561&lt;185),"D",IF(AND(L561&gt;185,L561&lt;230),"E",IF(AND(L561&gt;230,L561&lt;350),"F",NONE))))))</f>
        <v>E</v>
      </c>
      <c r="T561" s="230">
        <f>VLOOKUP(O561,'PREMIUM TABLES'!$G$165:$H$172,2,FALSE)</f>
        <v>0.13</v>
      </c>
      <c r="U561" s="230">
        <f>VLOOKUP(P561,'PREMIUM TABLES'!$G$208:$H$209,2,FALSE)</f>
        <v>0.05</v>
      </c>
      <c r="V561" s="230">
        <f>VLOOKUP(Q561,'PREMIUM TABLES'!$G$175:$H$195,2,FALSE)</f>
        <v>0.6</v>
      </c>
      <c r="W561" s="230">
        <f>VLOOKUP(R561,'PREMIUM TABLES'!$G$214:$H$219,2,FALSE)</f>
        <v>0.11</v>
      </c>
      <c r="X561" s="230">
        <f>VLOOKUP(S561,'PREMIUM TABLES'!$F$199:$H$205,3,FALSE)</f>
        <v>1.4999999999999999E-2</v>
      </c>
      <c r="Y561" s="231">
        <f t="shared" si="84"/>
        <v>0.90500000000000003</v>
      </c>
      <c r="Z561" s="231" t="str" cm="1">
        <f t="array" ref="Z561">IF(AND(Y561&gt;0,Y561&lt;0.5),"C",IF(AND(Y561&gt;=0.5,Y561&lt;0.73),"B",IF(AND(Y561&gt;=0.73,Y561&lt;0.98),"A",NONE)))</f>
        <v>A</v>
      </c>
      <c r="AA561" s="231" t="str">
        <f>VLOOKUP(G561,'ALL (R)'!$N$5:$R$862,5,FALSE)</f>
        <v>R 12</v>
      </c>
      <c r="AB561" s="232">
        <f>VLOOKUP(AA561,FACTS!$B$2:$L$14,10,FALSE)</f>
        <v>61625</v>
      </c>
      <c r="AC561" s="232">
        <f>VLOOKUP(AA561,FACTS!$B$2:$L$14,11,FALSE)</f>
        <v>68875</v>
      </c>
      <c r="AD561" s="232">
        <f>VLOOKUP(AA561,FACTS!$B$2:$N$14,13,FALSE)</f>
        <v>7250</v>
      </c>
      <c r="AE561" s="232">
        <f t="shared" si="85"/>
        <v>6561.25</v>
      </c>
      <c r="AF561" s="232">
        <f t="shared" si="86"/>
        <v>68186.25</v>
      </c>
      <c r="AG561" s="232">
        <f>AF561*FACTS!$T$2</f>
        <v>22501.462500000001</v>
      </c>
      <c r="AH561" s="232">
        <f>Table1[[#This Row],[UNIT (BUILDING) RATE (SEMI FINISHED)]]+4500</f>
        <v>72686.25</v>
      </c>
      <c r="AI561" s="232">
        <f>Table1[[#This Row],[UNIT (BUILDING) RATE (SEMI FINISHED)]]+7500</f>
        <v>75686.25</v>
      </c>
      <c r="AJ561" s="232">
        <f t="shared" si="87"/>
        <v>15546465</v>
      </c>
      <c r="AK561" s="232">
        <f>Table1[[#This Row],[UNIT (BUILDING) RATE (BASIC FINISH)]]*Table1[[#This Row],[Unit Selling Area]]</f>
        <v>16572465</v>
      </c>
      <c r="AL561" s="232">
        <f>Table1[[#This Row],[UNIT (BUILDING) RATE (FULLY FINISH)]]*Table1[[#This Row],[Unit Selling Area]]</f>
        <v>17256465</v>
      </c>
      <c r="AM561" s="232">
        <f t="shared" si="88"/>
        <v>0</v>
      </c>
      <c r="AN561" s="232">
        <f>(AM561+AJ561)*FACTS!$S$2</f>
        <v>1321449.5250000001</v>
      </c>
      <c r="AO561" s="101">
        <f>VLOOKUP(S561,FACTS!$A$17:$C$23,3,FALSE)</f>
        <v>2</v>
      </c>
      <c r="AP561" s="232">
        <f>VLOOKUP(AA561,FACTS!$B$2:$J$14,9,FALSE)</f>
        <v>290000</v>
      </c>
      <c r="AQ561" s="232">
        <f>Table1[[#This Row],[PARKING VALUE]]*1</f>
        <v>290000</v>
      </c>
      <c r="AR561" s="232">
        <f t="shared" si="83"/>
        <v>15836465</v>
      </c>
      <c r="AS561" s="440">
        <f>Table1[[#This Row],[TOTAL CARS VALUE]]+Table1[[#This Row],[UNIT (BUILDING) VALUE BASIC FINISHED]]+Table1[[#This Row],[UNIT (GARDEN) VALUE]]</f>
        <v>16862465</v>
      </c>
      <c r="AT561" s="232">
        <f>Table1[[#This Row],[TOTAL CARS VALUE]]+Table1[[#This Row],[UNIT (GARDEN) VALUE]]+Table1[[#This Row],[UNIT (BUILDING) VALUE FULLY FINISHED]]</f>
        <v>17546465</v>
      </c>
      <c r="AU561" s="233">
        <f>VLOOKUP(I561,'C PHASES'!$I$108:$J$110,2,FALSE)</f>
        <v>46204</v>
      </c>
      <c r="AV561" s="233">
        <f>VLOOKUP(AA561,'C PHASES'!$I$113:$J$125,2,FALSE)</f>
        <v>46204</v>
      </c>
    </row>
    <row r="562" spans="1:48" x14ac:dyDescent="0.25">
      <c r="A562" s="236"/>
      <c r="B562" s="227" t="str">
        <f t="shared" si="81"/>
        <v>C</v>
      </c>
      <c r="C562" s="227" t="s">
        <v>49</v>
      </c>
      <c r="D562" s="227" t="s">
        <v>1147</v>
      </c>
      <c r="E562" s="228">
        <v>2</v>
      </c>
      <c r="F562" s="101">
        <v>4</v>
      </c>
      <c r="G562" s="87" t="str">
        <f t="shared" si="90"/>
        <v>C124</v>
      </c>
      <c r="H562" s="87" t="s">
        <v>1294</v>
      </c>
      <c r="I562" s="89" t="str">
        <f>VLOOKUP(C562,'PREMIUM TABLES'!$G$107:$H$149,2,FALSE)</f>
        <v>C2</v>
      </c>
      <c r="J562" s="89">
        <v>143.989</v>
      </c>
      <c r="K562" s="87">
        <v>159.53690380749666</v>
      </c>
      <c r="L562" s="87">
        <v>176</v>
      </c>
      <c r="M562" s="89"/>
      <c r="N562" s="89"/>
      <c r="O562" s="87" t="s">
        <v>187</v>
      </c>
      <c r="P562" s="87" t="s">
        <v>226</v>
      </c>
      <c r="Q562" s="229" t="s">
        <v>227</v>
      </c>
      <c r="R562" s="87" t="str">
        <f>VLOOKUP(E562,'PREMIUM TABLES'!$F$214:$G$219,2,FALSE)</f>
        <v>SECOND</v>
      </c>
      <c r="S562" s="87" t="str" cm="1">
        <f t="array" ref="S562">IF(AND(L562&gt;0,L562&lt;90),"A",IF(AND(L562&gt;90,L562&lt;123),"B",IF(AND(L562&gt;122,L562&lt;159),"C",IF(AND(L562&gt;159,L562&lt;185),"D",IF(AND(L562&gt;185,L562&lt;230),"E",IF(AND(L562&gt;230,L562&lt;350),"F",NONE))))))</f>
        <v>D</v>
      </c>
      <c r="T562" s="230">
        <f>VLOOKUP(O562,'PREMIUM TABLES'!$G$165:$H$172,2,FALSE)</f>
        <v>0.08</v>
      </c>
      <c r="U562" s="230">
        <f>VLOOKUP(P562,'PREMIUM TABLES'!$G$208:$H$209,2,FALSE)</f>
        <v>0.05</v>
      </c>
      <c r="V562" s="230">
        <f>VLOOKUP(Q562,'PREMIUM TABLES'!$G$175:$H$195,2,FALSE)</f>
        <v>0.48</v>
      </c>
      <c r="W562" s="230">
        <f>VLOOKUP(R562,'PREMIUM TABLES'!$G$214:$H$219,2,FALSE)</f>
        <v>0.11</v>
      </c>
      <c r="X562" s="230">
        <f>VLOOKUP(S562,'PREMIUM TABLES'!$F$199:$H$205,3,FALSE)</f>
        <v>2.5000000000000001E-2</v>
      </c>
      <c r="Y562" s="231">
        <f t="shared" si="84"/>
        <v>0.745</v>
      </c>
      <c r="Z562" s="231" t="str" cm="1">
        <f t="array" ref="Z562">IF(AND(Y562&gt;0,Y562&lt;0.5),"C",IF(AND(Y562&gt;=0.5,Y562&lt;0.73),"B",IF(AND(Y562&gt;=0.73,Y562&lt;0.98),"A",NONE)))</f>
        <v>A</v>
      </c>
      <c r="AA562" s="231" t="str">
        <f>VLOOKUP(G562,'ALL (R)'!$N$5:$R$862,5,FALSE)</f>
        <v>R 1</v>
      </c>
      <c r="AB562" s="232">
        <f>VLOOKUP(AA562,FACTS!$B$2:$L$14,10,FALSE)</f>
        <v>42500</v>
      </c>
      <c r="AC562" s="232">
        <f>VLOOKUP(AA562,FACTS!$B$2:$L$14,11,FALSE)</f>
        <v>47500</v>
      </c>
      <c r="AD562" s="232">
        <f>VLOOKUP(AA562,FACTS!$B$2:$N$14,13,FALSE)</f>
        <v>5000</v>
      </c>
      <c r="AE562" s="232">
        <f t="shared" si="85"/>
        <v>3725</v>
      </c>
      <c r="AF562" s="232">
        <f t="shared" si="86"/>
        <v>46225</v>
      </c>
      <c r="AG562" s="232">
        <f>AF562*FACTS!$T$2</f>
        <v>15254.25</v>
      </c>
      <c r="AH562" s="232">
        <f>Table1[[#This Row],[UNIT (BUILDING) RATE (SEMI FINISHED)]]+4500</f>
        <v>50725</v>
      </c>
      <c r="AI562" s="232">
        <f>Table1[[#This Row],[UNIT (BUILDING) RATE (SEMI FINISHED)]]+7500</f>
        <v>53725</v>
      </c>
      <c r="AJ562" s="232">
        <f t="shared" si="87"/>
        <v>8135600</v>
      </c>
      <c r="AK562" s="232">
        <f>Table1[[#This Row],[UNIT (BUILDING) RATE (BASIC FINISH)]]*Table1[[#This Row],[Unit Selling Area]]</f>
        <v>8927600</v>
      </c>
      <c r="AL562" s="232">
        <f>Table1[[#This Row],[UNIT (BUILDING) RATE (FULLY FINISH)]]*Table1[[#This Row],[Unit Selling Area]]</f>
        <v>9455600</v>
      </c>
      <c r="AM562" s="232">
        <f t="shared" si="88"/>
        <v>0</v>
      </c>
      <c r="AN562" s="232">
        <f>(AM562+AJ562)*FACTS!$S$2</f>
        <v>691526</v>
      </c>
      <c r="AO562" s="101">
        <f>VLOOKUP(S562,FACTS!$A$17:$C$23,3,FALSE)</f>
        <v>2</v>
      </c>
      <c r="AP562" s="232">
        <f>VLOOKUP(AA562,FACTS!$B$2:$J$14,9,FALSE)</f>
        <v>200000</v>
      </c>
      <c r="AQ562" s="232">
        <f>Table1[[#This Row],[PARKING VALUE]]*1</f>
        <v>200000</v>
      </c>
      <c r="AR562" s="232">
        <f t="shared" si="83"/>
        <v>8335600</v>
      </c>
      <c r="AS562" s="440">
        <f>Table1[[#This Row],[TOTAL CARS VALUE]]+Table1[[#This Row],[UNIT (BUILDING) VALUE BASIC FINISHED]]+Table1[[#This Row],[UNIT (GARDEN) VALUE]]</f>
        <v>9127600</v>
      </c>
      <c r="AT562" s="232">
        <f>Table1[[#This Row],[TOTAL CARS VALUE]]+Table1[[#This Row],[UNIT (GARDEN) VALUE]]+Table1[[#This Row],[UNIT (BUILDING) VALUE FULLY FINISHED]]</f>
        <v>9655600</v>
      </c>
      <c r="AU562" s="233">
        <f>VLOOKUP(I562,'C PHASES'!$I$108:$J$110,2,FALSE)</f>
        <v>46204</v>
      </c>
      <c r="AV562" s="233">
        <f>VLOOKUP(AA562,'C PHASES'!$I$113:$J$125,2,FALSE)</f>
        <v>45170</v>
      </c>
    </row>
    <row r="563" spans="1:48" x14ac:dyDescent="0.25">
      <c r="A563" s="236"/>
      <c r="B563" s="227" t="str">
        <f t="shared" si="81"/>
        <v>C</v>
      </c>
      <c r="C563" s="227" t="s">
        <v>49</v>
      </c>
      <c r="D563" s="227" t="s">
        <v>1147</v>
      </c>
      <c r="E563" s="228">
        <v>3</v>
      </c>
      <c r="F563" s="101">
        <v>1</v>
      </c>
      <c r="G563" s="87" t="str">
        <f t="shared" si="90"/>
        <v>C131</v>
      </c>
      <c r="H563" s="87" t="s">
        <v>1294</v>
      </c>
      <c r="I563" s="89" t="str">
        <f>VLOOKUP(C563,'PREMIUM TABLES'!$G$107:$H$149,2,FALSE)</f>
        <v>C2</v>
      </c>
      <c r="J563" s="89">
        <v>141.131</v>
      </c>
      <c r="K563" s="87">
        <v>156.37029753144901</v>
      </c>
      <c r="L563" s="87">
        <v>172</v>
      </c>
      <c r="M563" s="89"/>
      <c r="N563" s="89"/>
      <c r="O563" s="87" t="s">
        <v>187</v>
      </c>
      <c r="P563" s="87" t="s">
        <v>190</v>
      </c>
      <c r="Q563" s="229" t="s">
        <v>199</v>
      </c>
      <c r="R563" s="87" t="str">
        <f>VLOOKUP(E563,'PREMIUM TABLES'!$F$214:$G$219,2,FALSE)</f>
        <v>THIRD</v>
      </c>
      <c r="S563" s="87" t="str" cm="1">
        <f t="array" ref="S563">IF(AND(L563&gt;0,L563&lt;90),"A",IF(AND(L563&gt;90,L563&lt;123),"B",IF(AND(L563&gt;122,L563&lt;159),"C",IF(AND(L563&gt;159,L563&lt;185),"D",IF(AND(L563&gt;185,L563&lt;230),"E",IF(AND(L563&gt;230,L563&lt;350),"F",NONE))))))</f>
        <v>D</v>
      </c>
      <c r="T563" s="230">
        <f>VLOOKUP(O563,'PREMIUM TABLES'!$G$165:$H$172,2,FALSE)</f>
        <v>0.08</v>
      </c>
      <c r="U563" s="230">
        <f>VLOOKUP(P563,'PREMIUM TABLES'!$G$208:$H$209,2,FALSE)</f>
        <v>2.5000000000000001E-2</v>
      </c>
      <c r="V563" s="230">
        <f>VLOOKUP(Q563,'PREMIUM TABLES'!$G$175:$H$195,2,FALSE)</f>
        <v>0.13</v>
      </c>
      <c r="W563" s="230">
        <f>VLOOKUP(R563,'PREMIUM TABLES'!$G$214:$H$219,2,FALSE)</f>
        <v>0.15</v>
      </c>
      <c r="X563" s="230">
        <f>VLOOKUP(S563,'PREMIUM TABLES'!$F$199:$H$205,3,FALSE)</f>
        <v>2.5000000000000001E-2</v>
      </c>
      <c r="Y563" s="231">
        <f t="shared" si="84"/>
        <v>0.41000000000000003</v>
      </c>
      <c r="Z563" s="231" t="str" cm="1">
        <f t="array" ref="Z563">IF(AND(Y563&gt;0,Y563&lt;0.5),"C",IF(AND(Y563&gt;=0.5,Y563&lt;0.73),"B",IF(AND(Y563&gt;=0.73,Y563&lt;0.98),"A",NONE)))</f>
        <v>C</v>
      </c>
      <c r="AA563" s="231" t="str">
        <f>VLOOKUP(G563,'ALL (R)'!$N$5:$R$862,5,FALSE)</f>
        <v>R 6</v>
      </c>
      <c r="AB563" s="232">
        <f>VLOOKUP(AA563,FACTS!$B$2:$L$14,10,FALSE)</f>
        <v>48450.000000000007</v>
      </c>
      <c r="AC563" s="232">
        <f>VLOOKUP(AA563,FACTS!$B$2:$L$14,11,FALSE)</f>
        <v>54150.000000000007</v>
      </c>
      <c r="AD563" s="232">
        <f>VLOOKUP(AA563,FACTS!$B$2:$N$14,13,FALSE)</f>
        <v>5700</v>
      </c>
      <c r="AE563" s="232">
        <f t="shared" si="85"/>
        <v>2337</v>
      </c>
      <c r="AF563" s="232">
        <f t="shared" si="86"/>
        <v>50787.000000000007</v>
      </c>
      <c r="AG563" s="232">
        <f>AF563*FACTS!$T$2</f>
        <v>16759.710000000003</v>
      </c>
      <c r="AH563" s="232">
        <f>Table1[[#This Row],[UNIT (BUILDING) RATE (SEMI FINISHED)]]+4500</f>
        <v>55287.000000000007</v>
      </c>
      <c r="AI563" s="232">
        <f>Table1[[#This Row],[UNIT (BUILDING) RATE (SEMI FINISHED)]]+7500</f>
        <v>58287.000000000007</v>
      </c>
      <c r="AJ563" s="232">
        <f t="shared" si="87"/>
        <v>8735364.0000000019</v>
      </c>
      <c r="AK563" s="232">
        <f>Table1[[#This Row],[UNIT (BUILDING) RATE (BASIC FINISH)]]*Table1[[#This Row],[Unit Selling Area]]</f>
        <v>9509364.0000000019</v>
      </c>
      <c r="AL563" s="232">
        <f>Table1[[#This Row],[UNIT (BUILDING) RATE (FULLY FINISH)]]*Table1[[#This Row],[Unit Selling Area]]</f>
        <v>10025364.000000002</v>
      </c>
      <c r="AM563" s="232">
        <f t="shared" si="88"/>
        <v>0</v>
      </c>
      <c r="AN563" s="232">
        <f>(AM563+AJ563)*FACTS!$S$2</f>
        <v>742505.94000000018</v>
      </c>
      <c r="AO563" s="101">
        <f>VLOOKUP(S563,FACTS!$A$17:$C$23,3,FALSE)</f>
        <v>2</v>
      </c>
      <c r="AP563" s="232">
        <f>VLOOKUP(AA563,FACTS!$B$2:$J$14,9,FALSE)</f>
        <v>228000.00000000003</v>
      </c>
      <c r="AQ563" s="232">
        <f>Table1[[#This Row],[PARKING VALUE]]*1</f>
        <v>228000.00000000003</v>
      </c>
      <c r="AR563" s="232">
        <f t="shared" si="83"/>
        <v>8963364.0000000019</v>
      </c>
      <c r="AS563" s="440">
        <f>Table1[[#This Row],[TOTAL CARS VALUE]]+Table1[[#This Row],[UNIT (BUILDING) VALUE BASIC FINISHED]]+Table1[[#This Row],[UNIT (GARDEN) VALUE]]</f>
        <v>9737364.0000000019</v>
      </c>
      <c r="AT563" s="232">
        <f>Table1[[#This Row],[TOTAL CARS VALUE]]+Table1[[#This Row],[UNIT (GARDEN) VALUE]]+Table1[[#This Row],[UNIT (BUILDING) VALUE FULLY FINISHED]]</f>
        <v>10253364.000000002</v>
      </c>
      <c r="AU563" s="233">
        <f>VLOOKUP(I563,'C PHASES'!$I$108:$J$110,2,FALSE)</f>
        <v>46204</v>
      </c>
      <c r="AV563" s="233">
        <f>VLOOKUP(AA563,'C PHASES'!$I$113:$J$125,2,FALSE)</f>
        <v>45658</v>
      </c>
    </row>
    <row r="564" spans="1:48" x14ac:dyDescent="0.25">
      <c r="A564" s="236"/>
      <c r="B564" s="227" t="str">
        <f t="shared" si="81"/>
        <v>C</v>
      </c>
      <c r="C564" s="227" t="s">
        <v>49</v>
      </c>
      <c r="D564" s="227" t="s">
        <v>1147</v>
      </c>
      <c r="E564" s="228">
        <v>3</v>
      </c>
      <c r="F564" s="101">
        <v>2</v>
      </c>
      <c r="G564" s="87" t="str">
        <f t="shared" si="90"/>
        <v>C132</v>
      </c>
      <c r="H564" s="87" t="s">
        <v>1294</v>
      </c>
      <c r="I564" s="89" t="str">
        <f>VLOOKUP(C564,'PREMIUM TABLES'!$G$107:$H$149,2,FALSE)</f>
        <v>C2</v>
      </c>
      <c r="J564" s="89">
        <v>164.43600000000001</v>
      </c>
      <c r="K564" s="87">
        <v>182.19176683281029</v>
      </c>
      <c r="L564" s="87">
        <v>201</v>
      </c>
      <c r="M564" s="89"/>
      <c r="N564" s="89"/>
      <c r="O564" s="87" t="s">
        <v>180</v>
      </c>
      <c r="P564" s="87" t="s">
        <v>190</v>
      </c>
      <c r="Q564" s="229" t="s">
        <v>192</v>
      </c>
      <c r="R564" s="87" t="str">
        <f>VLOOKUP(E564,'PREMIUM TABLES'!$F$214:$G$219,2,FALSE)</f>
        <v>THIRD</v>
      </c>
      <c r="S564" s="87" t="str" cm="1">
        <f t="array" ref="S564">IF(AND(L564&gt;0,L564&lt;90),"A",IF(AND(L564&gt;90,L564&lt;123),"B",IF(AND(L564&gt;122,L564&lt;159),"C",IF(AND(L564&gt;159,L564&lt;185),"D",IF(AND(L564&gt;185,L564&lt;230),"E",IF(AND(L564&gt;230,L564&lt;350),"F",NONE))))))</f>
        <v>E</v>
      </c>
      <c r="T564" s="230">
        <f>VLOOKUP(O564,'PREMIUM TABLES'!$G$165:$H$172,2,FALSE)</f>
        <v>0.13</v>
      </c>
      <c r="U564" s="230">
        <f>VLOOKUP(P564,'PREMIUM TABLES'!$G$208:$H$209,2,FALSE)</f>
        <v>2.5000000000000001E-2</v>
      </c>
      <c r="V564" s="230">
        <f>VLOOKUP(Q564,'PREMIUM TABLES'!$G$175:$H$195,2,FALSE)</f>
        <v>0.46</v>
      </c>
      <c r="W564" s="230">
        <f>VLOOKUP(R564,'PREMIUM TABLES'!$G$214:$H$219,2,FALSE)</f>
        <v>0.15</v>
      </c>
      <c r="X564" s="230">
        <f>VLOOKUP(S564,'PREMIUM TABLES'!$F$199:$H$205,3,FALSE)</f>
        <v>1.4999999999999999E-2</v>
      </c>
      <c r="Y564" s="231">
        <f t="shared" si="84"/>
        <v>0.78</v>
      </c>
      <c r="Z564" s="231" t="str" cm="1">
        <f t="array" ref="Z564">IF(AND(Y564&gt;0,Y564&lt;0.5),"C",IF(AND(Y564&gt;=0.5,Y564&lt;0.73),"B",IF(AND(Y564&gt;=0.73,Y564&lt;0.98),"A",NONE)))</f>
        <v>A</v>
      </c>
      <c r="AA564" s="231" t="str">
        <f>VLOOKUP(G564,'ALL (R)'!$N$5:$R$862,5,FALSE)</f>
        <v>R 4</v>
      </c>
      <c r="AB564" s="232">
        <f>VLOOKUP(AA564,FACTS!$B$2:$L$14,10,FALSE)</f>
        <v>45687.5</v>
      </c>
      <c r="AC564" s="232">
        <f>VLOOKUP(AA564,FACTS!$B$2:$L$14,11,FALSE)</f>
        <v>51062.5</v>
      </c>
      <c r="AD564" s="232">
        <f>VLOOKUP(AA564,FACTS!$B$2:$N$14,13,FALSE)</f>
        <v>5375</v>
      </c>
      <c r="AE564" s="232">
        <f t="shared" si="85"/>
        <v>4192.5</v>
      </c>
      <c r="AF564" s="232">
        <f t="shared" si="86"/>
        <v>49880</v>
      </c>
      <c r="AG564" s="232">
        <f>AF564*FACTS!$T$2</f>
        <v>16460.400000000001</v>
      </c>
      <c r="AH564" s="232">
        <f>Table1[[#This Row],[UNIT (BUILDING) RATE (SEMI FINISHED)]]+4500</f>
        <v>54380</v>
      </c>
      <c r="AI564" s="232">
        <f>Table1[[#This Row],[UNIT (BUILDING) RATE (SEMI FINISHED)]]+7500</f>
        <v>57380</v>
      </c>
      <c r="AJ564" s="232">
        <f t="shared" si="87"/>
        <v>10025880</v>
      </c>
      <c r="AK564" s="232">
        <f>Table1[[#This Row],[UNIT (BUILDING) RATE (BASIC FINISH)]]*Table1[[#This Row],[Unit Selling Area]]</f>
        <v>10930380</v>
      </c>
      <c r="AL564" s="232">
        <f>Table1[[#This Row],[UNIT (BUILDING) RATE (FULLY FINISH)]]*Table1[[#This Row],[Unit Selling Area]]</f>
        <v>11533380</v>
      </c>
      <c r="AM564" s="232">
        <f t="shared" si="88"/>
        <v>0</v>
      </c>
      <c r="AN564" s="232">
        <f>(AM564+AJ564)*FACTS!$S$2</f>
        <v>852199.8</v>
      </c>
      <c r="AO564" s="101">
        <f>VLOOKUP(S564,FACTS!$A$17:$C$23,3,FALSE)</f>
        <v>2</v>
      </c>
      <c r="AP564" s="232">
        <f>VLOOKUP(AA564,FACTS!$B$2:$J$14,9,FALSE)</f>
        <v>215000</v>
      </c>
      <c r="AQ564" s="232">
        <f>Table1[[#This Row],[PARKING VALUE]]*1</f>
        <v>215000</v>
      </c>
      <c r="AR564" s="232">
        <f t="shared" si="83"/>
        <v>10240880</v>
      </c>
      <c r="AS564" s="440">
        <f>Table1[[#This Row],[TOTAL CARS VALUE]]+Table1[[#This Row],[UNIT (BUILDING) VALUE BASIC FINISHED]]+Table1[[#This Row],[UNIT (GARDEN) VALUE]]</f>
        <v>11145380</v>
      </c>
      <c r="AT564" s="232">
        <f>Table1[[#This Row],[TOTAL CARS VALUE]]+Table1[[#This Row],[UNIT (GARDEN) VALUE]]+Table1[[#This Row],[UNIT (BUILDING) VALUE FULLY FINISHED]]</f>
        <v>11748380</v>
      </c>
      <c r="AU564" s="233">
        <f>VLOOKUP(I564,'C PHASES'!$I$108:$J$110,2,FALSE)</f>
        <v>46204</v>
      </c>
      <c r="AV564" s="233">
        <f>VLOOKUP(AA564,'C PHASES'!$I$113:$J$125,2,FALSE)</f>
        <v>45474</v>
      </c>
    </row>
    <row r="565" spans="1:48" x14ac:dyDescent="0.25">
      <c r="A565" s="236"/>
      <c r="B565" s="227" t="str">
        <f t="shared" si="81"/>
        <v>C</v>
      </c>
      <c r="C565" s="227" t="s">
        <v>49</v>
      </c>
      <c r="D565" s="227" t="s">
        <v>1147</v>
      </c>
      <c r="E565" s="228">
        <v>3</v>
      </c>
      <c r="F565" s="101">
        <v>3</v>
      </c>
      <c r="G565" s="87" t="str">
        <f t="shared" si="90"/>
        <v>C133</v>
      </c>
      <c r="H565" s="87" t="s">
        <v>1295</v>
      </c>
      <c r="I565" s="89" t="str">
        <f>VLOOKUP(C565,'PREMIUM TABLES'!$G$107:$H$149,2,FALSE)</f>
        <v>C2</v>
      </c>
      <c r="J565" s="89">
        <v>187.20400000000001</v>
      </c>
      <c r="K565" s="87">
        <v>207.41825098013462</v>
      </c>
      <c r="L565" s="87">
        <v>228</v>
      </c>
      <c r="M565" s="89"/>
      <c r="N565" s="89"/>
      <c r="O565" s="87" t="s">
        <v>180</v>
      </c>
      <c r="P565" s="87" t="s">
        <v>226</v>
      </c>
      <c r="Q565" s="229" t="s">
        <v>209</v>
      </c>
      <c r="R565" s="87" t="str">
        <f>VLOOKUP(E565,'PREMIUM TABLES'!$F$214:$G$219,2,FALSE)</f>
        <v>THIRD</v>
      </c>
      <c r="S565" s="87" t="str" cm="1">
        <f t="array" ref="S565">IF(AND(L565&gt;0,L565&lt;90),"A",IF(AND(L565&gt;90,L565&lt;123),"B",IF(AND(L565&gt;122,L565&lt;159),"C",IF(AND(L565&gt;159,L565&lt;185),"D",IF(AND(L565&gt;185,L565&lt;230),"E",IF(AND(L565&gt;230,L565&lt;350),"F",NONE))))))</f>
        <v>E</v>
      </c>
      <c r="T565" s="230">
        <f>VLOOKUP(O565,'PREMIUM TABLES'!$G$165:$H$172,2,FALSE)</f>
        <v>0.13</v>
      </c>
      <c r="U565" s="230">
        <f>VLOOKUP(P565,'PREMIUM TABLES'!$G$208:$H$209,2,FALSE)</f>
        <v>0.05</v>
      </c>
      <c r="V565" s="230">
        <f>VLOOKUP(Q565,'PREMIUM TABLES'!$G$175:$H$195,2,FALSE)</f>
        <v>0.6</v>
      </c>
      <c r="W565" s="230">
        <f>VLOOKUP(R565,'PREMIUM TABLES'!$G$214:$H$219,2,FALSE)</f>
        <v>0.15</v>
      </c>
      <c r="X565" s="230">
        <f>VLOOKUP(S565,'PREMIUM TABLES'!$F$199:$H$205,3,FALSE)</f>
        <v>1.4999999999999999E-2</v>
      </c>
      <c r="Y565" s="231">
        <f t="shared" si="84"/>
        <v>0.94500000000000006</v>
      </c>
      <c r="Z565" s="231" t="str" cm="1">
        <f t="array" ref="Z565">IF(AND(Y565&gt;0,Y565&lt;0.5),"C",IF(AND(Y565&gt;=0.5,Y565&lt;0.73),"B",IF(AND(Y565&gt;=0.73,Y565&lt;0.98),"A",NONE)))</f>
        <v>A</v>
      </c>
      <c r="AA565" s="231" t="str">
        <f>VLOOKUP(G565,'ALL (R)'!$N$5:$R$862,5,FALSE)</f>
        <v>R 12</v>
      </c>
      <c r="AB565" s="232">
        <f>VLOOKUP(AA565,FACTS!$B$2:$L$14,10,FALSE)</f>
        <v>61625</v>
      </c>
      <c r="AC565" s="232">
        <f>VLOOKUP(AA565,FACTS!$B$2:$L$14,11,FALSE)</f>
        <v>68875</v>
      </c>
      <c r="AD565" s="232">
        <f>VLOOKUP(AA565,FACTS!$B$2:$N$14,13,FALSE)</f>
        <v>7250</v>
      </c>
      <c r="AE565" s="232">
        <f t="shared" si="85"/>
        <v>6851.25</v>
      </c>
      <c r="AF565" s="232">
        <f t="shared" si="86"/>
        <v>68476.25</v>
      </c>
      <c r="AG565" s="232">
        <f>AF565*FACTS!$T$2</f>
        <v>22597.162500000002</v>
      </c>
      <c r="AH565" s="232">
        <f>Table1[[#This Row],[UNIT (BUILDING) RATE (SEMI FINISHED)]]+4500</f>
        <v>72976.25</v>
      </c>
      <c r="AI565" s="232">
        <f>Table1[[#This Row],[UNIT (BUILDING) RATE (SEMI FINISHED)]]+7500</f>
        <v>75976.25</v>
      </c>
      <c r="AJ565" s="232">
        <f t="shared" si="87"/>
        <v>15612585</v>
      </c>
      <c r="AK565" s="232">
        <f>Table1[[#This Row],[UNIT (BUILDING) RATE (BASIC FINISH)]]*Table1[[#This Row],[Unit Selling Area]]</f>
        <v>16638585</v>
      </c>
      <c r="AL565" s="232">
        <f>Table1[[#This Row],[UNIT (BUILDING) RATE (FULLY FINISH)]]*Table1[[#This Row],[Unit Selling Area]]</f>
        <v>17322585</v>
      </c>
      <c r="AM565" s="232">
        <f t="shared" si="88"/>
        <v>0</v>
      </c>
      <c r="AN565" s="232">
        <f>(AM565+AJ565)*FACTS!$S$2</f>
        <v>1327069.7250000001</v>
      </c>
      <c r="AO565" s="101">
        <f>VLOOKUP(S565,FACTS!$A$17:$C$23,3,FALSE)</f>
        <v>2</v>
      </c>
      <c r="AP565" s="232">
        <f>VLOOKUP(AA565,FACTS!$B$2:$J$14,9,FALSE)</f>
        <v>290000</v>
      </c>
      <c r="AQ565" s="232">
        <f>Table1[[#This Row],[PARKING VALUE]]*1</f>
        <v>290000</v>
      </c>
      <c r="AR565" s="232">
        <f t="shared" si="83"/>
        <v>15902585</v>
      </c>
      <c r="AS565" s="440">
        <f>Table1[[#This Row],[TOTAL CARS VALUE]]+Table1[[#This Row],[UNIT (BUILDING) VALUE BASIC FINISHED]]+Table1[[#This Row],[UNIT (GARDEN) VALUE]]</f>
        <v>16928585</v>
      </c>
      <c r="AT565" s="232">
        <f>Table1[[#This Row],[TOTAL CARS VALUE]]+Table1[[#This Row],[UNIT (GARDEN) VALUE]]+Table1[[#This Row],[UNIT (BUILDING) VALUE FULLY FINISHED]]</f>
        <v>17612585</v>
      </c>
      <c r="AU565" s="233">
        <f>VLOOKUP(I565,'C PHASES'!$I$108:$J$110,2,FALSE)</f>
        <v>46204</v>
      </c>
      <c r="AV565" s="233">
        <f>VLOOKUP(AA565,'C PHASES'!$I$113:$J$125,2,FALSE)</f>
        <v>46204</v>
      </c>
    </row>
    <row r="566" spans="1:48" x14ac:dyDescent="0.25">
      <c r="A566" s="236"/>
      <c r="B566" s="227" t="str">
        <f t="shared" si="81"/>
        <v>C</v>
      </c>
      <c r="C566" s="227" t="s">
        <v>49</v>
      </c>
      <c r="D566" s="227" t="s">
        <v>1147</v>
      </c>
      <c r="E566" s="228">
        <v>3</v>
      </c>
      <c r="F566" s="101">
        <v>4</v>
      </c>
      <c r="G566" s="87" t="str">
        <f t="shared" si="90"/>
        <v>C134</v>
      </c>
      <c r="H566" s="87" t="s">
        <v>1294</v>
      </c>
      <c r="I566" s="89" t="str">
        <f>VLOOKUP(C566,'PREMIUM TABLES'!$G$107:$H$149,2,FALSE)</f>
        <v>C2</v>
      </c>
      <c r="J566" s="89">
        <v>143.911</v>
      </c>
      <c r="K566" s="87">
        <v>159.45048138288794</v>
      </c>
      <c r="L566" s="87">
        <v>176</v>
      </c>
      <c r="M566" s="89"/>
      <c r="N566" s="89"/>
      <c r="O566" s="87" t="s">
        <v>187</v>
      </c>
      <c r="P566" s="87" t="s">
        <v>226</v>
      </c>
      <c r="Q566" s="229" t="s">
        <v>227</v>
      </c>
      <c r="R566" s="87" t="str">
        <f>VLOOKUP(E566,'PREMIUM TABLES'!$F$214:$G$219,2,FALSE)</f>
        <v>THIRD</v>
      </c>
      <c r="S566" s="87" t="str" cm="1">
        <f t="array" ref="S566">IF(AND(L566&gt;0,L566&lt;90),"A",IF(AND(L566&gt;90,L566&lt;123),"B",IF(AND(L566&gt;122,L566&lt;159),"C",IF(AND(L566&gt;159,L566&lt;185),"D",IF(AND(L566&gt;185,L566&lt;230),"E",IF(AND(L566&gt;230,L566&lt;350),"F",NONE))))))</f>
        <v>D</v>
      </c>
      <c r="T566" s="230">
        <f>VLOOKUP(O566,'PREMIUM TABLES'!$G$165:$H$172,2,FALSE)</f>
        <v>0.08</v>
      </c>
      <c r="U566" s="230">
        <f>VLOOKUP(P566,'PREMIUM TABLES'!$G$208:$H$209,2,FALSE)</f>
        <v>0.05</v>
      </c>
      <c r="V566" s="230">
        <f>VLOOKUP(Q566,'PREMIUM TABLES'!$G$175:$H$195,2,FALSE)</f>
        <v>0.48</v>
      </c>
      <c r="W566" s="230">
        <f>VLOOKUP(R566,'PREMIUM TABLES'!$G$214:$H$219,2,FALSE)</f>
        <v>0.15</v>
      </c>
      <c r="X566" s="230">
        <f>VLOOKUP(S566,'PREMIUM TABLES'!$F$199:$H$205,3,FALSE)</f>
        <v>2.5000000000000001E-2</v>
      </c>
      <c r="Y566" s="231">
        <f t="shared" si="84"/>
        <v>0.78500000000000003</v>
      </c>
      <c r="Z566" s="231" t="str" cm="1">
        <f t="array" ref="Z566">IF(AND(Y566&gt;0,Y566&lt;0.5),"C",IF(AND(Y566&gt;=0.5,Y566&lt;0.73),"B",IF(AND(Y566&gt;=0.73,Y566&lt;0.98),"A",NONE)))</f>
        <v>A</v>
      </c>
      <c r="AA566" s="231" t="str">
        <f>VLOOKUP(G566,'ALL (R)'!$N$5:$R$862,5,FALSE)</f>
        <v>R 4</v>
      </c>
      <c r="AB566" s="232">
        <f>VLOOKUP(AA566,FACTS!$B$2:$L$14,10,FALSE)</f>
        <v>45687.5</v>
      </c>
      <c r="AC566" s="232">
        <f>VLOOKUP(AA566,FACTS!$B$2:$L$14,11,FALSE)</f>
        <v>51062.5</v>
      </c>
      <c r="AD566" s="232">
        <f>VLOOKUP(AA566,FACTS!$B$2:$N$14,13,FALSE)</f>
        <v>5375</v>
      </c>
      <c r="AE566" s="232">
        <f t="shared" si="85"/>
        <v>4219.375</v>
      </c>
      <c r="AF566" s="232">
        <f t="shared" si="86"/>
        <v>49906.875</v>
      </c>
      <c r="AG566" s="232">
        <f>AF566*FACTS!$T$2</f>
        <v>16469.268749999999</v>
      </c>
      <c r="AH566" s="232">
        <f>Table1[[#This Row],[UNIT (BUILDING) RATE (SEMI FINISHED)]]+4500</f>
        <v>54406.875</v>
      </c>
      <c r="AI566" s="232">
        <f>Table1[[#This Row],[UNIT (BUILDING) RATE (SEMI FINISHED)]]+7500</f>
        <v>57406.875</v>
      </c>
      <c r="AJ566" s="232">
        <f t="shared" si="87"/>
        <v>8783610</v>
      </c>
      <c r="AK566" s="232">
        <f>Table1[[#This Row],[UNIT (BUILDING) RATE (BASIC FINISH)]]*Table1[[#This Row],[Unit Selling Area]]</f>
        <v>9575610</v>
      </c>
      <c r="AL566" s="232">
        <f>Table1[[#This Row],[UNIT (BUILDING) RATE (FULLY FINISH)]]*Table1[[#This Row],[Unit Selling Area]]</f>
        <v>10103610</v>
      </c>
      <c r="AM566" s="232">
        <f t="shared" si="88"/>
        <v>0</v>
      </c>
      <c r="AN566" s="232">
        <f>(AM566+AJ566)*FACTS!$S$2</f>
        <v>746606.85000000009</v>
      </c>
      <c r="AO566" s="101">
        <f>VLOOKUP(S566,FACTS!$A$17:$C$23,3,FALSE)</f>
        <v>2</v>
      </c>
      <c r="AP566" s="232">
        <f>VLOOKUP(AA566,FACTS!$B$2:$J$14,9,FALSE)</f>
        <v>215000</v>
      </c>
      <c r="AQ566" s="232">
        <f>Table1[[#This Row],[PARKING VALUE]]*1</f>
        <v>215000</v>
      </c>
      <c r="AR566" s="232">
        <f t="shared" si="83"/>
        <v>8998610</v>
      </c>
      <c r="AS566" s="440">
        <f>Table1[[#This Row],[TOTAL CARS VALUE]]+Table1[[#This Row],[UNIT (BUILDING) VALUE BASIC FINISHED]]+Table1[[#This Row],[UNIT (GARDEN) VALUE]]</f>
        <v>9790610</v>
      </c>
      <c r="AT566" s="232">
        <f>Table1[[#This Row],[TOTAL CARS VALUE]]+Table1[[#This Row],[UNIT (GARDEN) VALUE]]+Table1[[#This Row],[UNIT (BUILDING) VALUE FULLY FINISHED]]</f>
        <v>10318610</v>
      </c>
      <c r="AU566" s="233">
        <f>VLOOKUP(I566,'C PHASES'!$I$108:$J$110,2,FALSE)</f>
        <v>46204</v>
      </c>
      <c r="AV566" s="233">
        <f>VLOOKUP(AA566,'C PHASES'!$I$113:$J$125,2,FALSE)</f>
        <v>45474</v>
      </c>
    </row>
    <row r="567" spans="1:48" x14ac:dyDescent="0.25">
      <c r="A567" s="236"/>
      <c r="B567" s="227" t="str">
        <f t="shared" si="81"/>
        <v>C</v>
      </c>
      <c r="C567" s="227" t="s">
        <v>49</v>
      </c>
      <c r="D567" s="227" t="s">
        <v>1147</v>
      </c>
      <c r="E567" s="228">
        <v>4</v>
      </c>
      <c r="F567" s="101">
        <v>1</v>
      </c>
      <c r="G567" s="87" t="str">
        <f t="shared" si="90"/>
        <v>C141</v>
      </c>
      <c r="H567" s="87" t="s">
        <v>1294</v>
      </c>
      <c r="I567" s="89" t="str">
        <f>VLOOKUP(C567,'PREMIUM TABLES'!$G$107:$H$149,2,FALSE)</f>
        <v>C2</v>
      </c>
      <c r="J567" s="89">
        <v>139.16499999999999</v>
      </c>
      <c r="K567" s="87">
        <v>154.19200923938823</v>
      </c>
      <c r="L567" s="87">
        <v>170</v>
      </c>
      <c r="M567" s="89"/>
      <c r="N567" s="89"/>
      <c r="O567" s="87" t="s">
        <v>187</v>
      </c>
      <c r="P567" s="87" t="s">
        <v>190</v>
      </c>
      <c r="Q567" s="229" t="s">
        <v>199</v>
      </c>
      <c r="R567" s="87" t="str">
        <f>VLOOKUP(E567,'PREMIUM TABLES'!$F$214:$G$219,2,FALSE)</f>
        <v>FORTH</v>
      </c>
      <c r="S567" s="87" t="str" cm="1">
        <f t="array" ref="S567">IF(AND(L567&gt;0,L567&lt;90),"A",IF(AND(L567&gt;90,L567&lt;123),"B",IF(AND(L567&gt;122,L567&lt;159),"C",IF(AND(L567&gt;159,L567&lt;185),"D",IF(AND(L567&gt;185,L567&lt;230),"E",IF(AND(L567&gt;230,L567&lt;350),"F",NONE))))))</f>
        <v>D</v>
      </c>
      <c r="T567" s="230">
        <f>VLOOKUP(O567,'PREMIUM TABLES'!$G$165:$H$172,2,FALSE)</f>
        <v>0.08</v>
      </c>
      <c r="U567" s="230">
        <f>VLOOKUP(P567,'PREMIUM TABLES'!$G$208:$H$209,2,FALSE)</f>
        <v>2.5000000000000001E-2</v>
      </c>
      <c r="V567" s="230">
        <f>VLOOKUP(Q567,'PREMIUM TABLES'!$G$175:$H$195,2,FALSE)</f>
        <v>0.13</v>
      </c>
      <c r="W567" s="230">
        <f>VLOOKUP(R567,'PREMIUM TABLES'!$G$214:$H$219,2,FALSE)</f>
        <v>0.06</v>
      </c>
      <c r="X567" s="230">
        <f>VLOOKUP(S567,'PREMIUM TABLES'!$F$199:$H$205,3,FALSE)</f>
        <v>2.5000000000000001E-2</v>
      </c>
      <c r="Y567" s="231">
        <f t="shared" si="84"/>
        <v>0.32000000000000006</v>
      </c>
      <c r="Z567" s="231" t="str" cm="1">
        <f t="array" ref="Z567">IF(AND(Y567&gt;0,Y567&lt;0.5),"C",IF(AND(Y567&gt;=0.5,Y567&lt;0.73),"B",IF(AND(Y567&gt;=0.73,Y567&lt;0.98),"A",NONE)))</f>
        <v>C</v>
      </c>
      <c r="AA567" s="231" t="str">
        <f>VLOOKUP(G567,'ALL (R)'!$N$5:$R$862,5,FALSE)</f>
        <v>R 1</v>
      </c>
      <c r="AB567" s="232">
        <f>VLOOKUP(AA567,FACTS!$B$2:$L$14,10,FALSE)</f>
        <v>42500</v>
      </c>
      <c r="AC567" s="232">
        <f>VLOOKUP(AA567,FACTS!$B$2:$L$14,11,FALSE)</f>
        <v>47500</v>
      </c>
      <c r="AD567" s="232">
        <f>VLOOKUP(AA567,FACTS!$B$2:$N$14,13,FALSE)</f>
        <v>5000</v>
      </c>
      <c r="AE567" s="232">
        <f t="shared" si="85"/>
        <v>1600.0000000000002</v>
      </c>
      <c r="AF567" s="232">
        <f t="shared" si="86"/>
        <v>44100</v>
      </c>
      <c r="AG567" s="232">
        <f>AF567*FACTS!$T$2</f>
        <v>14553</v>
      </c>
      <c r="AH567" s="232">
        <f>Table1[[#This Row],[UNIT (BUILDING) RATE (SEMI FINISHED)]]+4500</f>
        <v>48600</v>
      </c>
      <c r="AI567" s="232">
        <f>Table1[[#This Row],[UNIT (BUILDING) RATE (SEMI FINISHED)]]+7500</f>
        <v>51600</v>
      </c>
      <c r="AJ567" s="232">
        <f t="shared" si="87"/>
        <v>7497000</v>
      </c>
      <c r="AK567" s="232">
        <f>Table1[[#This Row],[UNIT (BUILDING) RATE (BASIC FINISH)]]*Table1[[#This Row],[Unit Selling Area]]</f>
        <v>8262000</v>
      </c>
      <c r="AL567" s="232">
        <f>Table1[[#This Row],[UNIT (BUILDING) RATE (FULLY FINISH)]]*Table1[[#This Row],[Unit Selling Area]]</f>
        <v>8772000</v>
      </c>
      <c r="AM567" s="232">
        <f t="shared" si="88"/>
        <v>0</v>
      </c>
      <c r="AN567" s="232">
        <f>(AM567+AJ567)*FACTS!$S$2</f>
        <v>637245</v>
      </c>
      <c r="AO567" s="101">
        <f>VLOOKUP(S567,FACTS!$A$17:$C$23,3,FALSE)</f>
        <v>2</v>
      </c>
      <c r="AP567" s="232">
        <f>VLOOKUP(AA567,FACTS!$B$2:$J$14,9,FALSE)</f>
        <v>200000</v>
      </c>
      <c r="AQ567" s="232">
        <f>Table1[[#This Row],[PARKING VALUE]]*1</f>
        <v>200000</v>
      </c>
      <c r="AR567" s="232">
        <f t="shared" si="83"/>
        <v>7697000</v>
      </c>
      <c r="AS567" s="440">
        <f>Table1[[#This Row],[TOTAL CARS VALUE]]+Table1[[#This Row],[UNIT (BUILDING) VALUE BASIC FINISHED]]+Table1[[#This Row],[UNIT (GARDEN) VALUE]]</f>
        <v>8462000</v>
      </c>
      <c r="AT567" s="232">
        <f>Table1[[#This Row],[TOTAL CARS VALUE]]+Table1[[#This Row],[UNIT (GARDEN) VALUE]]+Table1[[#This Row],[UNIT (BUILDING) VALUE FULLY FINISHED]]</f>
        <v>8972000</v>
      </c>
      <c r="AU567" s="233">
        <f>VLOOKUP(I567,'C PHASES'!$I$108:$J$110,2,FALSE)</f>
        <v>46204</v>
      </c>
      <c r="AV567" s="233">
        <f>VLOOKUP(AA567,'C PHASES'!$I$113:$J$125,2,FALSE)</f>
        <v>45170</v>
      </c>
    </row>
    <row r="568" spans="1:48" x14ac:dyDescent="0.25">
      <c r="A568" s="236"/>
      <c r="B568" s="227" t="str">
        <f t="shared" si="81"/>
        <v>C</v>
      </c>
      <c r="C568" s="227" t="s">
        <v>49</v>
      </c>
      <c r="D568" s="227" t="s">
        <v>1147</v>
      </c>
      <c r="E568" s="228">
        <v>4</v>
      </c>
      <c r="F568" s="101">
        <v>2</v>
      </c>
      <c r="G568" s="87" t="str">
        <f t="shared" si="90"/>
        <v>C142</v>
      </c>
      <c r="H568" s="87" t="s">
        <v>1294</v>
      </c>
      <c r="I568" s="89" t="str">
        <f>VLOOKUP(C568,'PREMIUM TABLES'!$G$107:$H$149,2,FALSE)</f>
        <v>C2</v>
      </c>
      <c r="J568" s="89">
        <v>162.49</v>
      </c>
      <c r="K568" s="87">
        <v>180.03563813680304</v>
      </c>
      <c r="L568" s="87">
        <v>198</v>
      </c>
      <c r="M568" s="89"/>
      <c r="N568" s="89"/>
      <c r="O568" s="87" t="s">
        <v>180</v>
      </c>
      <c r="P568" s="87" t="s">
        <v>190</v>
      </c>
      <c r="Q568" s="229" t="s">
        <v>192</v>
      </c>
      <c r="R568" s="87" t="str">
        <f>VLOOKUP(E568,'PREMIUM TABLES'!$F$214:$G$219,2,FALSE)</f>
        <v>FORTH</v>
      </c>
      <c r="S568" s="87" t="str" cm="1">
        <f t="array" ref="S568">IF(AND(L568&gt;0,L568&lt;90),"A",IF(AND(L568&gt;90,L568&lt;123),"B",IF(AND(L568&gt;122,L568&lt;159),"C",IF(AND(L568&gt;159,L568&lt;185),"D",IF(AND(L568&gt;185,L568&lt;230),"E",IF(AND(L568&gt;230,L568&lt;350),"F",NONE))))))</f>
        <v>E</v>
      </c>
      <c r="T568" s="230">
        <f>VLOOKUP(O568,'PREMIUM TABLES'!$G$165:$H$172,2,FALSE)</f>
        <v>0.13</v>
      </c>
      <c r="U568" s="230">
        <f>VLOOKUP(P568,'PREMIUM TABLES'!$G$208:$H$209,2,FALSE)</f>
        <v>2.5000000000000001E-2</v>
      </c>
      <c r="V568" s="230">
        <f>VLOOKUP(Q568,'PREMIUM TABLES'!$G$175:$H$195,2,FALSE)</f>
        <v>0.46</v>
      </c>
      <c r="W568" s="230">
        <f>VLOOKUP(R568,'PREMIUM TABLES'!$G$214:$H$219,2,FALSE)</f>
        <v>0.06</v>
      </c>
      <c r="X568" s="230">
        <f>VLOOKUP(S568,'PREMIUM TABLES'!$F$199:$H$205,3,FALSE)</f>
        <v>1.4999999999999999E-2</v>
      </c>
      <c r="Y568" s="231">
        <f t="shared" si="84"/>
        <v>0.69000000000000006</v>
      </c>
      <c r="Z568" s="231" t="str" cm="1">
        <f t="array" ref="Z568">IF(AND(Y568&gt;0,Y568&lt;0.5),"C",IF(AND(Y568&gt;=0.5,Y568&lt;0.73),"B",IF(AND(Y568&gt;=0.73,Y568&lt;0.98),"A",NONE)))</f>
        <v>B</v>
      </c>
      <c r="AA568" s="231" t="str">
        <f>VLOOKUP(G568,'ALL (R)'!$N$5:$R$862,5,FALSE)</f>
        <v>R 8</v>
      </c>
      <c r="AB568" s="232">
        <f>VLOOKUP(AA568,FACTS!$B$2:$L$14,10,FALSE)</f>
        <v>51850</v>
      </c>
      <c r="AC568" s="232">
        <f>VLOOKUP(AA568,FACTS!$B$2:$L$14,11,FALSE)</f>
        <v>57950</v>
      </c>
      <c r="AD568" s="232">
        <f>VLOOKUP(AA568,FACTS!$B$2:$N$14,13,FALSE)</f>
        <v>6100</v>
      </c>
      <c r="AE568" s="232">
        <f t="shared" si="85"/>
        <v>4209</v>
      </c>
      <c r="AF568" s="232">
        <f t="shared" si="86"/>
        <v>56059</v>
      </c>
      <c r="AG568" s="232">
        <f>AF568*FACTS!$T$2</f>
        <v>18499.47</v>
      </c>
      <c r="AH568" s="232">
        <f>Table1[[#This Row],[UNIT (BUILDING) RATE (SEMI FINISHED)]]+4500</f>
        <v>60559</v>
      </c>
      <c r="AI568" s="232">
        <f>Table1[[#This Row],[UNIT (BUILDING) RATE (SEMI FINISHED)]]+7500</f>
        <v>63559</v>
      </c>
      <c r="AJ568" s="232">
        <f t="shared" si="87"/>
        <v>11099682</v>
      </c>
      <c r="AK568" s="232">
        <f>Table1[[#This Row],[UNIT (BUILDING) RATE (BASIC FINISH)]]*Table1[[#This Row],[Unit Selling Area]]</f>
        <v>11990682</v>
      </c>
      <c r="AL568" s="232">
        <f>Table1[[#This Row],[UNIT (BUILDING) RATE (FULLY FINISH)]]*Table1[[#This Row],[Unit Selling Area]]</f>
        <v>12584682</v>
      </c>
      <c r="AM568" s="232">
        <f t="shared" si="88"/>
        <v>0</v>
      </c>
      <c r="AN568" s="232">
        <f>(AM568+AJ568)*FACTS!$S$2</f>
        <v>943472.97000000009</v>
      </c>
      <c r="AO568" s="101">
        <f>VLOOKUP(S568,FACTS!$A$17:$C$23,3,FALSE)</f>
        <v>2</v>
      </c>
      <c r="AP568" s="232">
        <f>VLOOKUP(AA568,FACTS!$B$2:$J$14,9,FALSE)</f>
        <v>244000</v>
      </c>
      <c r="AQ568" s="232">
        <f>Table1[[#This Row],[PARKING VALUE]]*1</f>
        <v>244000</v>
      </c>
      <c r="AR568" s="232">
        <f t="shared" si="83"/>
        <v>11343682</v>
      </c>
      <c r="AS568" s="440">
        <f>Table1[[#This Row],[TOTAL CARS VALUE]]+Table1[[#This Row],[UNIT (BUILDING) VALUE BASIC FINISHED]]+Table1[[#This Row],[UNIT (GARDEN) VALUE]]</f>
        <v>12234682</v>
      </c>
      <c r="AT568" s="232">
        <f>Table1[[#This Row],[TOTAL CARS VALUE]]+Table1[[#This Row],[UNIT (GARDEN) VALUE]]+Table1[[#This Row],[UNIT (BUILDING) VALUE FULLY FINISHED]]</f>
        <v>12828682</v>
      </c>
      <c r="AU568" s="233">
        <f>VLOOKUP(I568,'C PHASES'!$I$108:$J$110,2,FALSE)</f>
        <v>46204</v>
      </c>
      <c r="AV568" s="233">
        <f>VLOOKUP(AA568,'C PHASES'!$I$113:$J$125,2,FALSE)</f>
        <v>45839</v>
      </c>
    </row>
    <row r="569" spans="1:48" x14ac:dyDescent="0.25">
      <c r="A569" s="236"/>
      <c r="B569" s="227" t="str">
        <f t="shared" si="81"/>
        <v>C</v>
      </c>
      <c r="C569" s="227" t="s">
        <v>49</v>
      </c>
      <c r="D569" s="227" t="s">
        <v>1147</v>
      </c>
      <c r="E569" s="228">
        <v>4</v>
      </c>
      <c r="F569" s="101">
        <v>3</v>
      </c>
      <c r="G569" s="87" t="str">
        <f t="shared" si="90"/>
        <v>C143</v>
      </c>
      <c r="H569" s="87" t="s">
        <v>1295</v>
      </c>
      <c r="I569" s="89" t="str">
        <f>VLOOKUP(C569,'PREMIUM TABLES'!$G$107:$H$149,2,FALSE)</f>
        <v>C2</v>
      </c>
      <c r="J569" s="89">
        <v>182.357</v>
      </c>
      <c r="K569" s="87">
        <v>202.04787287656464</v>
      </c>
      <c r="L569" s="87">
        <v>222</v>
      </c>
      <c r="M569" s="89"/>
      <c r="N569" s="89"/>
      <c r="O569" s="87" t="s">
        <v>180</v>
      </c>
      <c r="P569" s="87" t="s">
        <v>226</v>
      </c>
      <c r="Q569" s="229" t="s">
        <v>209</v>
      </c>
      <c r="R569" s="87" t="str">
        <f>VLOOKUP(E569,'PREMIUM TABLES'!$F$214:$G$219,2,FALSE)</f>
        <v>FORTH</v>
      </c>
      <c r="S569" s="87" t="str" cm="1">
        <f t="array" ref="S569">IF(AND(L569&gt;0,L569&lt;90),"A",IF(AND(L569&gt;90,L569&lt;123),"B",IF(AND(L569&gt;122,L569&lt;159),"C",IF(AND(L569&gt;159,L569&lt;185),"D",IF(AND(L569&gt;185,L569&lt;230),"E",IF(AND(L569&gt;230,L569&lt;350),"F",NONE))))))</f>
        <v>E</v>
      </c>
      <c r="T569" s="230">
        <f>VLOOKUP(O569,'PREMIUM TABLES'!$G$165:$H$172,2,FALSE)</f>
        <v>0.13</v>
      </c>
      <c r="U569" s="230">
        <f>VLOOKUP(P569,'PREMIUM TABLES'!$G$208:$H$209,2,FALSE)</f>
        <v>0.05</v>
      </c>
      <c r="V569" s="230">
        <f>VLOOKUP(Q569,'PREMIUM TABLES'!$G$175:$H$195,2,FALSE)</f>
        <v>0.6</v>
      </c>
      <c r="W569" s="230">
        <f>VLOOKUP(R569,'PREMIUM TABLES'!$G$214:$H$219,2,FALSE)</f>
        <v>0.06</v>
      </c>
      <c r="X569" s="230">
        <f>VLOOKUP(S569,'PREMIUM TABLES'!$F$199:$H$205,3,FALSE)</f>
        <v>1.4999999999999999E-2</v>
      </c>
      <c r="Y569" s="231">
        <f t="shared" si="84"/>
        <v>0.85500000000000009</v>
      </c>
      <c r="Z569" s="231" t="str" cm="1">
        <f t="array" ref="Z569">IF(AND(Y569&gt;0,Y569&lt;0.5),"C",IF(AND(Y569&gt;=0.5,Y569&lt;0.73),"B",IF(AND(Y569&gt;=0.73,Y569&lt;0.98),"A",NONE)))</f>
        <v>A</v>
      </c>
      <c r="AA569" s="231" t="str">
        <f>VLOOKUP(G569,'ALL (R)'!$N$5:$R$862,5,FALSE)</f>
        <v>R 8</v>
      </c>
      <c r="AB569" s="232">
        <f>VLOOKUP(AA569,FACTS!$B$2:$L$14,10,FALSE)</f>
        <v>51850</v>
      </c>
      <c r="AC569" s="232">
        <f>VLOOKUP(AA569,FACTS!$B$2:$L$14,11,FALSE)</f>
        <v>57950</v>
      </c>
      <c r="AD569" s="232">
        <f>VLOOKUP(AA569,FACTS!$B$2:$N$14,13,FALSE)</f>
        <v>6100</v>
      </c>
      <c r="AE569" s="232">
        <f t="shared" si="85"/>
        <v>5215.5000000000009</v>
      </c>
      <c r="AF569" s="232">
        <f t="shared" si="86"/>
        <v>57065.5</v>
      </c>
      <c r="AG569" s="232">
        <f>AF569*FACTS!$T$2</f>
        <v>18831.615000000002</v>
      </c>
      <c r="AH569" s="232">
        <f>Table1[[#This Row],[UNIT (BUILDING) RATE (SEMI FINISHED)]]+4500</f>
        <v>61565.5</v>
      </c>
      <c r="AI569" s="232">
        <f>Table1[[#This Row],[UNIT (BUILDING) RATE (SEMI FINISHED)]]+7500</f>
        <v>64565.5</v>
      </c>
      <c r="AJ569" s="232">
        <f t="shared" si="87"/>
        <v>12668541</v>
      </c>
      <c r="AK569" s="232">
        <f>Table1[[#This Row],[UNIT (BUILDING) RATE (BASIC FINISH)]]*Table1[[#This Row],[Unit Selling Area]]</f>
        <v>13667541</v>
      </c>
      <c r="AL569" s="232">
        <f>Table1[[#This Row],[UNIT (BUILDING) RATE (FULLY FINISH)]]*Table1[[#This Row],[Unit Selling Area]]</f>
        <v>14333541</v>
      </c>
      <c r="AM569" s="232">
        <f t="shared" si="88"/>
        <v>0</v>
      </c>
      <c r="AN569" s="232">
        <f>(AM569+AJ569)*FACTS!$S$2</f>
        <v>1076825.9850000001</v>
      </c>
      <c r="AO569" s="101">
        <f>VLOOKUP(S569,FACTS!$A$17:$C$23,3,FALSE)</f>
        <v>2</v>
      </c>
      <c r="AP569" s="232">
        <f>VLOOKUP(AA569,FACTS!$B$2:$J$14,9,FALSE)</f>
        <v>244000</v>
      </c>
      <c r="AQ569" s="232">
        <f>Table1[[#This Row],[PARKING VALUE]]*1</f>
        <v>244000</v>
      </c>
      <c r="AR569" s="232">
        <f t="shared" si="83"/>
        <v>12912541</v>
      </c>
      <c r="AS569" s="440">
        <f>Table1[[#This Row],[TOTAL CARS VALUE]]+Table1[[#This Row],[UNIT (BUILDING) VALUE BASIC FINISHED]]+Table1[[#This Row],[UNIT (GARDEN) VALUE]]</f>
        <v>13911541</v>
      </c>
      <c r="AT569" s="232">
        <f>Table1[[#This Row],[TOTAL CARS VALUE]]+Table1[[#This Row],[UNIT (GARDEN) VALUE]]+Table1[[#This Row],[UNIT (BUILDING) VALUE FULLY FINISHED]]</f>
        <v>14577541</v>
      </c>
      <c r="AU569" s="233">
        <f>VLOOKUP(I569,'C PHASES'!$I$108:$J$110,2,FALSE)</f>
        <v>46204</v>
      </c>
      <c r="AV569" s="233">
        <f>VLOOKUP(AA569,'C PHASES'!$I$113:$J$125,2,FALSE)</f>
        <v>45839</v>
      </c>
    </row>
    <row r="570" spans="1:48" x14ac:dyDescent="0.25">
      <c r="A570" s="236"/>
      <c r="B570" s="227" t="str">
        <f t="shared" si="81"/>
        <v>C</v>
      </c>
      <c r="C570" s="227" t="s">
        <v>49</v>
      </c>
      <c r="D570" s="227" t="s">
        <v>1147</v>
      </c>
      <c r="E570" s="228">
        <v>4</v>
      </c>
      <c r="F570" s="101">
        <v>4</v>
      </c>
      <c r="G570" s="87" t="str">
        <f t="shared" si="90"/>
        <v>C144</v>
      </c>
      <c r="H570" s="87" t="s">
        <v>1294</v>
      </c>
      <c r="I570" s="89" t="str">
        <f>VLOOKUP(C570,'PREMIUM TABLES'!$G$107:$H$149,2,FALSE)</f>
        <v>C2</v>
      </c>
      <c r="J570" s="89">
        <v>141.929</v>
      </c>
      <c r="K570" s="87">
        <v>157.25446541398435</v>
      </c>
      <c r="L570" s="87">
        <v>173</v>
      </c>
      <c r="M570" s="89"/>
      <c r="N570" s="89"/>
      <c r="O570" s="87" t="s">
        <v>187</v>
      </c>
      <c r="P570" s="87" t="s">
        <v>226</v>
      </c>
      <c r="Q570" s="229" t="s">
        <v>227</v>
      </c>
      <c r="R570" s="87" t="str">
        <f>VLOOKUP(E570,'PREMIUM TABLES'!$F$214:$G$219,2,FALSE)</f>
        <v>FORTH</v>
      </c>
      <c r="S570" s="87" t="str" cm="1">
        <f t="array" ref="S570">IF(AND(L570&gt;0,L570&lt;90),"A",IF(AND(L570&gt;90,L570&lt;123),"B",IF(AND(L570&gt;122,L570&lt;159),"C",IF(AND(L570&gt;159,L570&lt;185),"D",IF(AND(L570&gt;185,L570&lt;230),"E",IF(AND(L570&gt;230,L570&lt;350),"F",NONE))))))</f>
        <v>D</v>
      </c>
      <c r="T570" s="230">
        <f>VLOOKUP(O570,'PREMIUM TABLES'!$G$165:$H$172,2,FALSE)</f>
        <v>0.08</v>
      </c>
      <c r="U570" s="230">
        <f>VLOOKUP(P570,'PREMIUM TABLES'!$G$208:$H$209,2,FALSE)</f>
        <v>0.05</v>
      </c>
      <c r="V570" s="230">
        <f>VLOOKUP(Q570,'PREMIUM TABLES'!$G$175:$H$195,2,FALSE)</f>
        <v>0.48</v>
      </c>
      <c r="W570" s="230">
        <f>VLOOKUP(R570,'PREMIUM TABLES'!$G$214:$H$219,2,FALSE)</f>
        <v>0.06</v>
      </c>
      <c r="X570" s="230">
        <f>VLOOKUP(S570,'PREMIUM TABLES'!$F$199:$H$205,3,FALSE)</f>
        <v>2.5000000000000001E-2</v>
      </c>
      <c r="Y570" s="231">
        <f t="shared" si="84"/>
        <v>0.69499999999999995</v>
      </c>
      <c r="Z570" s="231" t="str" cm="1">
        <f t="array" ref="Z570">IF(AND(Y570&gt;0,Y570&lt;0.5),"C",IF(AND(Y570&gt;=0.5,Y570&lt;0.73),"B",IF(AND(Y570&gt;=0.73,Y570&lt;0.98),"A",NONE)))</f>
        <v>B</v>
      </c>
      <c r="AA570" s="231" t="str">
        <f>VLOOKUP(G570,'ALL (R)'!$N$5:$R$862,5,FALSE)</f>
        <v>R 8</v>
      </c>
      <c r="AB570" s="232">
        <f>VLOOKUP(AA570,FACTS!$B$2:$L$14,10,FALSE)</f>
        <v>51850</v>
      </c>
      <c r="AC570" s="232">
        <f>VLOOKUP(AA570,FACTS!$B$2:$L$14,11,FALSE)</f>
        <v>57950</v>
      </c>
      <c r="AD570" s="232">
        <f>VLOOKUP(AA570,FACTS!$B$2:$N$14,13,FALSE)</f>
        <v>6100</v>
      </c>
      <c r="AE570" s="232">
        <f t="shared" si="85"/>
        <v>4239.5</v>
      </c>
      <c r="AF570" s="232">
        <f t="shared" si="86"/>
        <v>56089.5</v>
      </c>
      <c r="AG570" s="232">
        <f>AF570*FACTS!$T$2</f>
        <v>18509.535</v>
      </c>
      <c r="AH570" s="232">
        <f>Table1[[#This Row],[UNIT (BUILDING) RATE (SEMI FINISHED)]]+4500</f>
        <v>60589.5</v>
      </c>
      <c r="AI570" s="232">
        <f>Table1[[#This Row],[UNIT (BUILDING) RATE (SEMI FINISHED)]]+7500</f>
        <v>63589.5</v>
      </c>
      <c r="AJ570" s="232">
        <f t="shared" si="87"/>
        <v>9703483.5</v>
      </c>
      <c r="AK570" s="232">
        <f>Table1[[#This Row],[UNIT (BUILDING) RATE (BASIC FINISH)]]*Table1[[#This Row],[Unit Selling Area]]</f>
        <v>10481983.5</v>
      </c>
      <c r="AL570" s="232">
        <f>Table1[[#This Row],[UNIT (BUILDING) RATE (FULLY FINISH)]]*Table1[[#This Row],[Unit Selling Area]]</f>
        <v>11000983.5</v>
      </c>
      <c r="AM570" s="232">
        <f t="shared" si="88"/>
        <v>0</v>
      </c>
      <c r="AN570" s="232">
        <f>(AM570+AJ570)*FACTS!$S$2</f>
        <v>824796.09750000003</v>
      </c>
      <c r="AO570" s="101">
        <f>VLOOKUP(S570,FACTS!$A$17:$C$23,3,FALSE)</f>
        <v>2</v>
      </c>
      <c r="AP570" s="232">
        <f>VLOOKUP(AA570,FACTS!$B$2:$J$14,9,FALSE)</f>
        <v>244000</v>
      </c>
      <c r="AQ570" s="232">
        <f>Table1[[#This Row],[PARKING VALUE]]*1</f>
        <v>244000</v>
      </c>
      <c r="AR570" s="232">
        <f t="shared" si="83"/>
        <v>9947483.5</v>
      </c>
      <c r="AS570" s="440">
        <f>Table1[[#This Row],[TOTAL CARS VALUE]]+Table1[[#This Row],[UNIT (BUILDING) VALUE BASIC FINISHED]]+Table1[[#This Row],[UNIT (GARDEN) VALUE]]</f>
        <v>10725983.5</v>
      </c>
      <c r="AT570" s="232">
        <f>Table1[[#This Row],[TOTAL CARS VALUE]]+Table1[[#This Row],[UNIT (GARDEN) VALUE]]+Table1[[#This Row],[UNIT (BUILDING) VALUE FULLY FINISHED]]</f>
        <v>11244983.5</v>
      </c>
      <c r="AU570" s="233">
        <f>VLOOKUP(I570,'C PHASES'!$I$108:$J$110,2,FALSE)</f>
        <v>46204</v>
      </c>
      <c r="AV570" s="233">
        <f>VLOOKUP(AA570,'C PHASES'!$I$113:$J$125,2,FALSE)</f>
        <v>45839</v>
      </c>
    </row>
    <row r="571" spans="1:48" ht="22.5" x14ac:dyDescent="0.25">
      <c r="A571" s="236" t="s">
        <v>33</v>
      </c>
      <c r="B571" s="227" t="str">
        <f t="shared" si="81"/>
        <v>C</v>
      </c>
      <c r="C571" s="227" t="s">
        <v>37</v>
      </c>
      <c r="D571" s="227" t="s">
        <v>1147</v>
      </c>
      <c r="E571" s="228">
        <v>0</v>
      </c>
      <c r="F571" s="101">
        <v>1</v>
      </c>
      <c r="G571" s="87" t="str">
        <f>LEFT(C571,2)&amp;E571&amp;F571</f>
        <v>C201</v>
      </c>
      <c r="H571" s="87" t="s">
        <v>1294</v>
      </c>
      <c r="I571" s="89" t="str">
        <f>VLOOKUP(C571,'PREMIUM TABLES'!$G$107:$H$149,2,FALSE)</f>
        <v>C2</v>
      </c>
      <c r="J571" s="89">
        <v>141.82499999999999</v>
      </c>
      <c r="K571" s="87">
        <v>159.04192828545919</v>
      </c>
      <c r="L571" s="87">
        <v>173</v>
      </c>
      <c r="M571" s="87">
        <v>77.2149</v>
      </c>
      <c r="O571" s="87" t="s">
        <v>187</v>
      </c>
      <c r="P571" s="87" t="s">
        <v>190</v>
      </c>
      <c r="Q571" s="229" t="s">
        <v>198</v>
      </c>
      <c r="R571" s="87" t="str">
        <f>VLOOKUP(E571,'PREMIUM TABLES'!$F$214:$G$219,2,FALSE)</f>
        <v>GROUND</v>
      </c>
      <c r="S571" s="87" t="str" cm="1">
        <f t="array" ref="S571">IF(AND(L571&gt;0,L571&lt;90),"A",IF(AND(L571&gt;90,L571&lt;123),"B",IF(AND(L571&gt;122,L571&lt;159),"C",IF(AND(L571&gt;159,L571&lt;185),"D",IF(AND(L571&gt;185,L571&lt;230),"E",IF(AND(L571&gt;230,L571&lt;350),"F",NONE))))))</f>
        <v>D</v>
      </c>
      <c r="T571" s="230">
        <f>VLOOKUP(O571,'PREMIUM TABLES'!$G$165:$H$172,2,FALSE)</f>
        <v>0.08</v>
      </c>
      <c r="U571" s="230">
        <f>VLOOKUP(P571,'PREMIUM TABLES'!$G$208:$H$209,2,FALSE)</f>
        <v>2.5000000000000001E-2</v>
      </c>
      <c r="V571" s="230">
        <f>VLOOKUP(Q571,'PREMIUM TABLES'!$G$175:$H$195,2,FALSE)</f>
        <v>0.15</v>
      </c>
      <c r="W571" s="230">
        <f>VLOOKUP(R571,'PREMIUM TABLES'!$G$214:$H$219,2,FALSE)</f>
        <v>0.05</v>
      </c>
      <c r="X571" s="230">
        <f>VLOOKUP(S571,'PREMIUM TABLES'!$F$199:$H$205,3,FALSE)</f>
        <v>2.5000000000000001E-2</v>
      </c>
      <c r="Y571" s="231">
        <f t="shared" si="84"/>
        <v>0.33</v>
      </c>
      <c r="Z571" s="231" t="str" cm="1">
        <f t="array" ref="Z571">IF(AND(Y571&gt;0,Y571&lt;0.5),"C",IF(AND(Y571&gt;=0.5,Y571&lt;0.73),"B",IF(AND(Y571&gt;=0.73,Y571&lt;0.98),"A",NONE)))</f>
        <v>C</v>
      </c>
      <c r="AA571" s="231" t="str">
        <f>VLOOKUP(G571,'ALL (R)'!$N$5:$R$862,5,FALSE)</f>
        <v>R 1</v>
      </c>
      <c r="AB571" s="232">
        <f>VLOOKUP(AA571,FACTS!$B$2:$L$14,10,FALSE)</f>
        <v>42500</v>
      </c>
      <c r="AC571" s="232">
        <f>VLOOKUP(AA571,FACTS!$B$2:$L$14,11,FALSE)</f>
        <v>47500</v>
      </c>
      <c r="AD571" s="232">
        <f>VLOOKUP(AA571,FACTS!$B$2:$N$14,13,FALSE)</f>
        <v>5000</v>
      </c>
      <c r="AE571" s="232">
        <f t="shared" si="85"/>
        <v>1650</v>
      </c>
      <c r="AF571" s="232">
        <f t="shared" si="86"/>
        <v>44150</v>
      </c>
      <c r="AG571" s="232">
        <f>AF571*FACTS!$T$2</f>
        <v>14569.5</v>
      </c>
      <c r="AH571" s="232">
        <f>Table1[[#This Row],[UNIT (BUILDING) RATE (SEMI FINISHED)]]+4500</f>
        <v>48650</v>
      </c>
      <c r="AI571" s="232">
        <f>Table1[[#This Row],[UNIT (BUILDING) RATE (SEMI FINISHED)]]+7500</f>
        <v>51650</v>
      </c>
      <c r="AJ571" s="232">
        <f t="shared" si="87"/>
        <v>7637950</v>
      </c>
      <c r="AK571" s="232">
        <f>Table1[[#This Row],[UNIT (BUILDING) RATE (BASIC FINISH)]]*Table1[[#This Row],[Unit Selling Area]]</f>
        <v>8416450</v>
      </c>
      <c r="AL571" s="232">
        <f>Table1[[#This Row],[UNIT (BUILDING) RATE (FULLY FINISH)]]*Table1[[#This Row],[Unit Selling Area]]</f>
        <v>8935450</v>
      </c>
      <c r="AM571" s="232">
        <f t="shared" si="88"/>
        <v>1124982.4855500001</v>
      </c>
      <c r="AN571" s="232">
        <f>(AM571+AJ571)*FACTS!$S$2</f>
        <v>744849.26127174997</v>
      </c>
      <c r="AO571" s="101">
        <f>VLOOKUP(S571,FACTS!$A$17:$C$23,3,FALSE)</f>
        <v>2</v>
      </c>
      <c r="AP571" s="232">
        <f>VLOOKUP(AA571,FACTS!$B$2:$J$14,9,FALSE)</f>
        <v>200000</v>
      </c>
      <c r="AQ571" s="232">
        <f>Table1[[#This Row],[PARKING VALUE]]*1</f>
        <v>200000</v>
      </c>
      <c r="AR571" s="232">
        <f t="shared" si="83"/>
        <v>8962932.4855499994</v>
      </c>
      <c r="AS571" s="440">
        <f>Table1[[#This Row],[TOTAL CARS VALUE]]+Table1[[#This Row],[UNIT (BUILDING) VALUE BASIC FINISHED]]+Table1[[#This Row],[UNIT (GARDEN) VALUE]]</f>
        <v>9741432.4855499994</v>
      </c>
      <c r="AT571" s="232">
        <f>Table1[[#This Row],[TOTAL CARS VALUE]]+Table1[[#This Row],[UNIT (GARDEN) VALUE]]+Table1[[#This Row],[UNIT (BUILDING) VALUE FULLY FINISHED]]</f>
        <v>10260432.485549999</v>
      </c>
      <c r="AU571" s="233">
        <f>VLOOKUP(I571,'C PHASES'!$I$108:$J$110,2,FALSE)</f>
        <v>46204</v>
      </c>
      <c r="AV571" s="233">
        <f>VLOOKUP(AA571,'C PHASES'!$I$113:$J$125,2,FALSE)</f>
        <v>45170</v>
      </c>
    </row>
    <row r="572" spans="1:48" s="202" customFormat="1" x14ac:dyDescent="0.25">
      <c r="A572" s="236"/>
      <c r="B572" s="227" t="s">
        <v>205</v>
      </c>
      <c r="C572" s="227" t="s">
        <v>37</v>
      </c>
      <c r="D572" s="227" t="s">
        <v>1147</v>
      </c>
      <c r="E572" s="228">
        <v>0</v>
      </c>
      <c r="F572" s="101">
        <v>2</v>
      </c>
      <c r="G572" s="87" t="s">
        <v>999</v>
      </c>
      <c r="H572" s="87" t="s">
        <v>1297</v>
      </c>
      <c r="I572" s="89" t="s">
        <v>37</v>
      </c>
      <c r="J572" s="89">
        <f>'DATA FOR DUPLEX'!H25</f>
        <v>142.05600000000001</v>
      </c>
      <c r="K572" s="89">
        <f>'DATA FOR DUPLEX'!I25</f>
        <v>159.30097066468673</v>
      </c>
      <c r="L572" s="89">
        <v>344</v>
      </c>
      <c r="M572" s="89">
        <f>'DATA FOR DUPLEX'!K25</f>
        <v>97.868200000000002</v>
      </c>
      <c r="N572" s="87"/>
      <c r="O572" s="87" t="s">
        <v>180</v>
      </c>
      <c r="P572" s="87" t="s">
        <v>190</v>
      </c>
      <c r="Q572" s="229" t="s">
        <v>192</v>
      </c>
      <c r="R572" s="87" t="str">
        <f>VLOOKUP(E572,'PREMIUM TABLES'!$F$214:$G$219,2,FALSE)</f>
        <v>GROUND</v>
      </c>
      <c r="S572" s="87" t="str" cm="1">
        <f t="array" ref="S572">IF(AND(L572&gt;0,L572&lt;90),"A",IF(AND(L572&gt;90,L572&lt;123),"B",IF(AND(L572&gt;122,L572&lt;159),"C",IF(AND(L572&gt;159,L572&lt;185),"D",IF(AND(L572&gt;185,L572&lt;230),"E",IF(AND(L572&gt;230,L572&lt;350),"F",NONE))))))</f>
        <v>F</v>
      </c>
      <c r="T572" s="230">
        <f>VLOOKUP(O572,'PREMIUM TABLES'!$G$165:$H$172,2,FALSE)</f>
        <v>0.13</v>
      </c>
      <c r="U572" s="230">
        <f>VLOOKUP(P572,'PREMIUM TABLES'!$G$208:$H$209,2,FALSE)</f>
        <v>2.5000000000000001E-2</v>
      </c>
      <c r="V572" s="230">
        <f>VLOOKUP(Q572,'PREMIUM TABLES'!$G$175:$H$195,2,FALSE)</f>
        <v>0.46</v>
      </c>
      <c r="W572" s="230">
        <f>VLOOKUP(R572,'PREMIUM TABLES'!$G$214:$H$219,2,FALSE)</f>
        <v>0.05</v>
      </c>
      <c r="X572" s="230">
        <f>VLOOKUP(S572,'PREMIUM TABLES'!$F$199:$H$205,3,FALSE)</f>
        <v>0</v>
      </c>
      <c r="Y572" s="231">
        <f t="shared" si="84"/>
        <v>0.66500000000000004</v>
      </c>
      <c r="Z572" s="231" t="str" cm="1">
        <f t="array" ref="Z572">IF(AND(Y572&gt;0,Y572&lt;0.5),"C",IF(AND(Y572&gt;=0.5,Y572&lt;0.73),"B",IF(AND(Y572&gt;=0.73,Y572&lt;0.98),"A",NONE)))</f>
        <v>B</v>
      </c>
      <c r="AA572" s="231" t="str">
        <f>VLOOKUP(G572,'ALL (R)'!$N$5:$R$862,5,FALSE)</f>
        <v>R 6</v>
      </c>
      <c r="AB572" s="232">
        <f>VLOOKUP(AA572,FACTS!$B$2:$L$14,10,FALSE)</f>
        <v>48450.000000000007</v>
      </c>
      <c r="AC572" s="232">
        <f>VLOOKUP(AA572,FACTS!$B$2:$L$14,11,FALSE)</f>
        <v>54150.000000000007</v>
      </c>
      <c r="AD572" s="232">
        <f>VLOOKUP(AA572,FACTS!$B$2:$N$14,13,FALSE)</f>
        <v>5700</v>
      </c>
      <c r="AE572" s="232">
        <f t="shared" si="85"/>
        <v>3790.5</v>
      </c>
      <c r="AF572" s="232">
        <f t="shared" si="86"/>
        <v>52240.500000000007</v>
      </c>
      <c r="AG572" s="232">
        <f>AF572*FACTS!$T$2</f>
        <v>17239.365000000002</v>
      </c>
      <c r="AH572" s="232">
        <f>Table1[[#This Row],[UNIT (BUILDING) RATE (SEMI FINISHED)]]+4500</f>
        <v>56740.500000000007</v>
      </c>
      <c r="AI572" s="232">
        <f>Table1[[#This Row],[UNIT (BUILDING) RATE (SEMI FINISHED)]]+7500</f>
        <v>59740.500000000007</v>
      </c>
      <c r="AJ572" s="232">
        <f t="shared" si="87"/>
        <v>17970732.000000004</v>
      </c>
      <c r="AK572" s="232">
        <f>Table1[[#This Row],[UNIT (BUILDING) RATE (BASIC FINISH)]]*Table1[[#This Row],[Unit Selling Area]]</f>
        <v>19518732.000000004</v>
      </c>
      <c r="AL572" s="232">
        <f>Table1[[#This Row],[UNIT (BUILDING) RATE (FULLY FINISH)]]*Table1[[#This Row],[Unit Selling Area]]</f>
        <v>20550732.000000004</v>
      </c>
      <c r="AM572" s="232">
        <f t="shared" si="88"/>
        <v>1687185.6216930002</v>
      </c>
      <c r="AN572" s="232">
        <f>(AM572+AJ572)*FACTS!$S$2</f>
        <v>1670922.9978439054</v>
      </c>
      <c r="AO572" s="101">
        <f>VLOOKUP(S572,FACTS!$A$17:$C$23,3,FALSE)</f>
        <v>2</v>
      </c>
      <c r="AP572" s="232">
        <f>VLOOKUP(AA572,FACTS!$B$2:$J$14,9,FALSE)</f>
        <v>228000.00000000003</v>
      </c>
      <c r="AQ572" s="232">
        <f>Table1[[#This Row],[PARKING VALUE]]*1</f>
        <v>228000.00000000003</v>
      </c>
      <c r="AR572" s="232">
        <f t="shared" si="83"/>
        <v>19885917.621693004</v>
      </c>
      <c r="AS572" s="440">
        <f>Table1[[#This Row],[TOTAL CARS VALUE]]+Table1[[#This Row],[UNIT (BUILDING) VALUE BASIC FINISHED]]+Table1[[#This Row],[UNIT (GARDEN) VALUE]]</f>
        <v>21433917.621693004</v>
      </c>
      <c r="AT572" s="232">
        <f>Table1[[#This Row],[TOTAL CARS VALUE]]+Table1[[#This Row],[UNIT (GARDEN) VALUE]]+Table1[[#This Row],[UNIT (BUILDING) VALUE FULLY FINISHED]]</f>
        <v>22465917.621693004</v>
      </c>
      <c r="AU572" s="233">
        <f>VLOOKUP(I572,'C PHASES'!$I$108:$J$110,2,FALSE)</f>
        <v>46204</v>
      </c>
      <c r="AV572" s="233">
        <f>VLOOKUP(AA572,'C PHASES'!$I$113:$J$125,2,FALSE)</f>
        <v>45658</v>
      </c>
    </row>
    <row r="573" spans="1:48" s="202" customFormat="1" x14ac:dyDescent="0.25">
      <c r="A573" s="236"/>
      <c r="B573" s="227" t="s">
        <v>205</v>
      </c>
      <c r="C573" s="227" t="s">
        <v>37</v>
      </c>
      <c r="D573" s="227" t="s">
        <v>1147</v>
      </c>
      <c r="E573" s="228">
        <v>0</v>
      </c>
      <c r="F573" s="101">
        <v>3</v>
      </c>
      <c r="G573" s="87" t="s">
        <v>1000</v>
      </c>
      <c r="H573" s="87" t="s">
        <v>1297</v>
      </c>
      <c r="I573" s="89" t="s">
        <v>37</v>
      </c>
      <c r="J573" s="89">
        <f>'DATA FOR DUPLEX'!H27</f>
        <v>142.197</v>
      </c>
      <c r="K573" s="89">
        <f>'DATA FOR DUPLEX'!I27</f>
        <v>159.45908744161781</v>
      </c>
      <c r="L573" s="89">
        <v>344</v>
      </c>
      <c r="M573" s="89">
        <f>'DATA FOR DUPLEX'!K27</f>
        <v>97.259299999999996</v>
      </c>
      <c r="N573" s="87"/>
      <c r="O573" s="87" t="s">
        <v>180</v>
      </c>
      <c r="P573" s="87" t="s">
        <v>190</v>
      </c>
      <c r="Q573" s="229" t="s">
        <v>192</v>
      </c>
      <c r="R573" s="87" t="str">
        <f>VLOOKUP(E573,'PREMIUM TABLES'!$F$214:$G$219,2,FALSE)</f>
        <v>GROUND</v>
      </c>
      <c r="S573" s="87" t="str" cm="1">
        <f t="array" ref="S573">IF(AND(L573&gt;0,L573&lt;90),"A",IF(AND(L573&gt;90,L573&lt;123),"B",IF(AND(L573&gt;122,L573&lt;159),"C",IF(AND(L573&gt;159,L573&lt;185),"D",IF(AND(L573&gt;185,L573&lt;230),"E",IF(AND(L573&gt;230,L573&lt;350),"F",NONE))))))</f>
        <v>F</v>
      </c>
      <c r="T573" s="230">
        <f>VLOOKUP(O573,'PREMIUM TABLES'!$G$165:$H$172,2,FALSE)</f>
        <v>0.13</v>
      </c>
      <c r="U573" s="230">
        <f>VLOOKUP(P573,'PREMIUM TABLES'!$G$208:$H$209,2,FALSE)</f>
        <v>2.5000000000000001E-2</v>
      </c>
      <c r="V573" s="230">
        <f>VLOOKUP(Q573,'PREMIUM TABLES'!$G$175:$H$195,2,FALSE)</f>
        <v>0.46</v>
      </c>
      <c r="W573" s="230">
        <f>VLOOKUP(R573,'PREMIUM TABLES'!$G$214:$H$219,2,FALSE)</f>
        <v>0.05</v>
      </c>
      <c r="X573" s="230">
        <f>VLOOKUP(S573,'PREMIUM TABLES'!$F$199:$H$205,3,FALSE)</f>
        <v>0</v>
      </c>
      <c r="Y573" s="231">
        <f t="shared" si="84"/>
        <v>0.66500000000000004</v>
      </c>
      <c r="Z573" s="231" t="str" cm="1">
        <f t="array" ref="Z573">IF(AND(Y573&gt;0,Y573&lt;0.5),"C",IF(AND(Y573&gt;=0.5,Y573&lt;0.73),"B",IF(AND(Y573&gt;=0.73,Y573&lt;0.98),"A",NONE)))</f>
        <v>B</v>
      </c>
      <c r="AA573" s="231" t="str">
        <f>VLOOKUP(G573,'ALL (R)'!$N$5:$R$862,5,FALSE)</f>
        <v>R 5</v>
      </c>
      <c r="AB573" s="232">
        <f>VLOOKUP(AA573,FACTS!$B$2:$L$14,10,FALSE)</f>
        <v>46750.000000000007</v>
      </c>
      <c r="AC573" s="232">
        <f>VLOOKUP(AA573,FACTS!$B$2:$L$14,11,FALSE)</f>
        <v>52250.000000000007</v>
      </c>
      <c r="AD573" s="232">
        <f>VLOOKUP(AA573,FACTS!$B$2:$N$14,13,FALSE)</f>
        <v>5500</v>
      </c>
      <c r="AE573" s="232">
        <f t="shared" si="85"/>
        <v>3657.5</v>
      </c>
      <c r="AF573" s="232">
        <f t="shared" si="86"/>
        <v>50407.500000000007</v>
      </c>
      <c r="AG573" s="232">
        <f>AF573*FACTS!$T$2</f>
        <v>16634.475000000002</v>
      </c>
      <c r="AH573" s="232">
        <f>Table1[[#This Row],[UNIT (BUILDING) RATE (SEMI FINISHED)]]+4500</f>
        <v>54907.500000000007</v>
      </c>
      <c r="AI573" s="232">
        <f>Table1[[#This Row],[UNIT (BUILDING) RATE (SEMI FINISHED)]]+7500</f>
        <v>57907.500000000007</v>
      </c>
      <c r="AJ573" s="232">
        <f t="shared" si="87"/>
        <v>17340180.000000004</v>
      </c>
      <c r="AK573" s="232">
        <f>Table1[[#This Row],[UNIT (BUILDING) RATE (BASIC FINISH)]]*Table1[[#This Row],[Unit Selling Area]]</f>
        <v>18888180.000000004</v>
      </c>
      <c r="AL573" s="232">
        <f>Table1[[#This Row],[UNIT (BUILDING) RATE (FULLY FINISH)]]*Table1[[#This Row],[Unit Selling Area]]</f>
        <v>19920180.000000004</v>
      </c>
      <c r="AM573" s="232">
        <f t="shared" si="88"/>
        <v>1617857.3943675002</v>
      </c>
      <c r="AN573" s="232">
        <f>(AM573+AJ573)*FACTS!$S$2</f>
        <v>1611433.178521238</v>
      </c>
      <c r="AO573" s="101">
        <f>VLOOKUP(S573,FACTS!$A$17:$C$23,3,FALSE)</f>
        <v>2</v>
      </c>
      <c r="AP573" s="232">
        <f>VLOOKUP(AA573,FACTS!$B$2:$J$14,9,FALSE)</f>
        <v>220000.00000000003</v>
      </c>
      <c r="AQ573" s="232">
        <f>Table1[[#This Row],[PARKING VALUE]]*1</f>
        <v>220000.00000000003</v>
      </c>
      <c r="AR573" s="232">
        <f t="shared" si="83"/>
        <v>19178037.394367505</v>
      </c>
      <c r="AS573" s="440">
        <f>Table1[[#This Row],[TOTAL CARS VALUE]]+Table1[[#This Row],[UNIT (BUILDING) VALUE BASIC FINISHED]]+Table1[[#This Row],[UNIT (GARDEN) VALUE]]</f>
        <v>20726037.394367505</v>
      </c>
      <c r="AT573" s="232">
        <f>Table1[[#This Row],[TOTAL CARS VALUE]]+Table1[[#This Row],[UNIT (GARDEN) VALUE]]+Table1[[#This Row],[UNIT (BUILDING) VALUE FULLY FINISHED]]</f>
        <v>21758037.394367505</v>
      </c>
      <c r="AU573" s="233">
        <f>VLOOKUP(I573,'C PHASES'!$I$108:$J$110,2,FALSE)</f>
        <v>46204</v>
      </c>
      <c r="AV573" s="233">
        <f>VLOOKUP(AA573,'C PHASES'!$I$113:$J$125,2,FALSE)</f>
        <v>45566</v>
      </c>
    </row>
    <row r="574" spans="1:48" x14ac:dyDescent="0.25">
      <c r="A574" s="236"/>
      <c r="B574" s="227" t="str">
        <f t="shared" ref="B574:B633" si="91">LEFT(C574,1)</f>
        <v>C</v>
      </c>
      <c r="C574" s="227" t="s">
        <v>37</v>
      </c>
      <c r="D574" s="227" t="s">
        <v>1147</v>
      </c>
      <c r="E574" s="228">
        <v>0</v>
      </c>
      <c r="F574" s="101">
        <v>4</v>
      </c>
      <c r="G574" s="87" t="str">
        <f t="shared" ref="G574:G588" si="92">LEFT(C574,2)&amp;E574&amp;F574</f>
        <v>C204</v>
      </c>
      <c r="H574" s="87" t="s">
        <v>1293</v>
      </c>
      <c r="I574" s="89" t="str">
        <f>VLOOKUP(C574,'PREMIUM TABLES'!$G$107:$H$149,2,FALSE)</f>
        <v>C2</v>
      </c>
      <c r="J574" s="89">
        <v>95.254000000000005</v>
      </c>
      <c r="K574" s="87">
        <v>106.81741467938045</v>
      </c>
      <c r="L574" s="87">
        <v>116</v>
      </c>
      <c r="M574" s="87">
        <v>61.752000000000002</v>
      </c>
      <c r="O574" s="87" t="s">
        <v>187</v>
      </c>
      <c r="P574" s="87" t="s">
        <v>190</v>
      </c>
      <c r="Q574" s="229" t="s">
        <v>198</v>
      </c>
      <c r="R574" s="87" t="str">
        <f>VLOOKUP(E574,'PREMIUM TABLES'!$F$214:$G$219,2,FALSE)</f>
        <v>GROUND</v>
      </c>
      <c r="S574" s="87" t="str" cm="1">
        <f t="array" ref="S574">IF(AND(L574&gt;0,L574&lt;90),"A",IF(AND(L574&gt;90,L574&lt;123),"B",IF(AND(L574&gt;122,L574&lt;159),"C",IF(AND(L574&gt;159,L574&lt;185),"D",IF(AND(L574&gt;185,L574&lt;230),"E",IF(AND(L574&gt;230,L574&lt;350),"F",NONE))))))</f>
        <v>B</v>
      </c>
      <c r="T574" s="230">
        <f>VLOOKUP(O574,'PREMIUM TABLES'!$G$165:$H$172,2,FALSE)</f>
        <v>0.08</v>
      </c>
      <c r="U574" s="230">
        <f>VLOOKUP(P574,'PREMIUM TABLES'!$G$208:$H$209,2,FALSE)</f>
        <v>2.5000000000000001E-2</v>
      </c>
      <c r="V574" s="230">
        <f>VLOOKUP(Q574,'PREMIUM TABLES'!$G$175:$H$195,2,FALSE)</f>
        <v>0.15</v>
      </c>
      <c r="W574" s="230">
        <f>VLOOKUP(R574,'PREMIUM TABLES'!$G$214:$H$219,2,FALSE)</f>
        <v>0.05</v>
      </c>
      <c r="X574" s="230">
        <f>VLOOKUP(S574,'PREMIUM TABLES'!$F$199:$H$205,3,FALSE)</f>
        <v>0.04</v>
      </c>
      <c r="Y574" s="231">
        <f t="shared" si="84"/>
        <v>0.34499999999999997</v>
      </c>
      <c r="Z574" s="231" t="str" cm="1">
        <f t="array" ref="Z574">IF(AND(Y574&gt;0,Y574&lt;0.5),"C",IF(AND(Y574&gt;=0.5,Y574&lt;0.73),"B",IF(AND(Y574&gt;=0.73,Y574&lt;0.98),"A",NONE)))</f>
        <v>C</v>
      </c>
      <c r="AA574" s="231" t="str">
        <f>VLOOKUP(G574,'ALL (R)'!$N$5:$R$862,5,FALSE)</f>
        <v>R 1</v>
      </c>
      <c r="AB574" s="232">
        <f>VLOOKUP(AA574,FACTS!$B$2:$L$14,10,FALSE)</f>
        <v>42500</v>
      </c>
      <c r="AC574" s="232">
        <f>VLOOKUP(AA574,FACTS!$B$2:$L$14,11,FALSE)</f>
        <v>47500</v>
      </c>
      <c r="AD574" s="232">
        <f>VLOOKUP(AA574,FACTS!$B$2:$N$14,13,FALSE)</f>
        <v>5000</v>
      </c>
      <c r="AE574" s="232">
        <f t="shared" si="85"/>
        <v>1724.9999999999998</v>
      </c>
      <c r="AF574" s="232">
        <f t="shared" si="86"/>
        <v>44225</v>
      </c>
      <c r="AG574" s="232">
        <f>AF574*FACTS!$T$2</f>
        <v>14594.25</v>
      </c>
      <c r="AH574" s="232">
        <f>Table1[[#This Row],[UNIT (BUILDING) RATE (SEMI FINISHED)]]+4500</f>
        <v>48725</v>
      </c>
      <c r="AI574" s="232">
        <f>Table1[[#This Row],[UNIT (BUILDING) RATE (SEMI FINISHED)]]+7500</f>
        <v>51725</v>
      </c>
      <c r="AJ574" s="232">
        <f t="shared" si="87"/>
        <v>5130100</v>
      </c>
      <c r="AK574" s="232">
        <f>Table1[[#This Row],[UNIT (BUILDING) RATE (BASIC FINISH)]]*Table1[[#This Row],[Unit Selling Area]]</f>
        <v>5652100</v>
      </c>
      <c r="AL574" s="232">
        <f>Table1[[#This Row],[UNIT (BUILDING) RATE (FULLY FINISH)]]*Table1[[#This Row],[Unit Selling Area]]</f>
        <v>6000100</v>
      </c>
      <c r="AM574" s="232">
        <f t="shared" si="88"/>
        <v>901224.12600000005</v>
      </c>
      <c r="AN574" s="232">
        <f>(AM574+AJ574)*FACTS!$S$2</f>
        <v>512662.55071000004</v>
      </c>
      <c r="AO574" s="101">
        <f>VLOOKUP(S574,FACTS!$A$17:$C$23,3,FALSE)</f>
        <v>1</v>
      </c>
      <c r="AP574" s="232">
        <f>VLOOKUP(AA574,FACTS!$B$2:$J$14,9,FALSE)</f>
        <v>200000</v>
      </c>
      <c r="AQ574" s="232">
        <f>Table1[[#This Row],[PARKING VALUE]]*1</f>
        <v>200000</v>
      </c>
      <c r="AR574" s="232">
        <f t="shared" si="83"/>
        <v>6231324.1260000002</v>
      </c>
      <c r="AS574" s="440">
        <f>Table1[[#This Row],[TOTAL CARS VALUE]]+Table1[[#This Row],[UNIT (BUILDING) VALUE BASIC FINISHED]]+Table1[[#This Row],[UNIT (GARDEN) VALUE]]</f>
        <v>6753324.1260000002</v>
      </c>
      <c r="AT574" s="232">
        <f>Table1[[#This Row],[TOTAL CARS VALUE]]+Table1[[#This Row],[UNIT (GARDEN) VALUE]]+Table1[[#This Row],[UNIT (BUILDING) VALUE FULLY FINISHED]]</f>
        <v>7101324.1260000002</v>
      </c>
      <c r="AU574" s="233">
        <f>VLOOKUP(I574,'C PHASES'!$I$108:$J$110,2,FALSE)</f>
        <v>46204</v>
      </c>
      <c r="AV574" s="233">
        <f>VLOOKUP(AA574,'C PHASES'!$I$113:$J$125,2,FALSE)</f>
        <v>45170</v>
      </c>
    </row>
    <row r="575" spans="1:48" x14ac:dyDescent="0.25">
      <c r="A575" s="236"/>
      <c r="B575" s="227" t="str">
        <f t="shared" si="91"/>
        <v>C</v>
      </c>
      <c r="C575" s="227" t="s">
        <v>37</v>
      </c>
      <c r="D575" s="227" t="s">
        <v>1147</v>
      </c>
      <c r="E575" s="228">
        <v>1</v>
      </c>
      <c r="F575" s="101">
        <v>1</v>
      </c>
      <c r="G575" s="87" t="str">
        <f t="shared" si="92"/>
        <v>C211</v>
      </c>
      <c r="H575" s="87" t="s">
        <v>1294</v>
      </c>
      <c r="I575" s="89" t="str">
        <f>VLOOKUP(C575,'PREMIUM TABLES'!$G$107:$H$149,2,FALSE)</f>
        <v>C2</v>
      </c>
      <c r="J575" s="89">
        <v>142.977</v>
      </c>
      <c r="K575" s="87">
        <v>160.33377599485354</v>
      </c>
      <c r="L575" s="87">
        <v>174</v>
      </c>
      <c r="M575" s="89"/>
      <c r="N575" s="89"/>
      <c r="O575" s="87" t="s">
        <v>187</v>
      </c>
      <c r="P575" s="87" t="s">
        <v>190</v>
      </c>
      <c r="Q575" s="229" t="s">
        <v>198</v>
      </c>
      <c r="R575" s="87" t="str">
        <f>VLOOKUP(E575,'PREMIUM TABLES'!$F$214:$G$219,2,FALSE)</f>
        <v>FIRST</v>
      </c>
      <c r="S575" s="87" t="str" cm="1">
        <f t="array" ref="S575">IF(AND(L575&gt;0,L575&lt;90),"A",IF(AND(L575&gt;90,L575&lt;123),"B",IF(AND(L575&gt;122,L575&lt;159),"C",IF(AND(L575&gt;159,L575&lt;185),"D",IF(AND(L575&gt;185,L575&lt;230),"E",IF(AND(L575&gt;230,L575&lt;350),"F",NONE))))))</f>
        <v>D</v>
      </c>
      <c r="T575" s="230">
        <f>VLOOKUP(O575,'PREMIUM TABLES'!$G$165:$H$172,2,FALSE)</f>
        <v>0.08</v>
      </c>
      <c r="U575" s="230">
        <f>VLOOKUP(P575,'PREMIUM TABLES'!$G$208:$H$209,2,FALSE)</f>
        <v>2.5000000000000001E-2</v>
      </c>
      <c r="V575" s="230">
        <f>VLOOKUP(Q575,'PREMIUM TABLES'!$G$175:$H$195,2,FALSE)</f>
        <v>0.15</v>
      </c>
      <c r="W575" s="230">
        <f>VLOOKUP(R575,'PREMIUM TABLES'!$G$214:$H$219,2,FALSE)</f>
        <v>7.0000000000000007E-2</v>
      </c>
      <c r="X575" s="230">
        <f>VLOOKUP(S575,'PREMIUM TABLES'!$F$199:$H$205,3,FALSE)</f>
        <v>2.5000000000000001E-2</v>
      </c>
      <c r="Y575" s="231">
        <f t="shared" si="84"/>
        <v>0.35000000000000003</v>
      </c>
      <c r="Z575" s="231" t="str" cm="1">
        <f t="array" ref="Z575">IF(AND(Y575&gt;0,Y575&lt;0.5),"C",IF(AND(Y575&gt;=0.5,Y575&lt;0.73),"B",IF(AND(Y575&gt;=0.73,Y575&lt;0.98),"A",NONE)))</f>
        <v>C</v>
      </c>
      <c r="AA575" s="231" t="str">
        <f>VLOOKUP(G575,'ALL (R)'!$N$5:$R$862,5,FALSE)</f>
        <v>R 1</v>
      </c>
      <c r="AB575" s="232">
        <f>VLOOKUP(AA575,FACTS!$B$2:$L$14,10,FALSE)</f>
        <v>42500</v>
      </c>
      <c r="AC575" s="232">
        <f>VLOOKUP(AA575,FACTS!$B$2:$L$14,11,FALSE)</f>
        <v>47500</v>
      </c>
      <c r="AD575" s="232">
        <f>VLOOKUP(AA575,FACTS!$B$2:$N$14,13,FALSE)</f>
        <v>5000</v>
      </c>
      <c r="AE575" s="232">
        <f t="shared" si="85"/>
        <v>1750.0000000000002</v>
      </c>
      <c r="AF575" s="232">
        <f t="shared" si="86"/>
        <v>44250</v>
      </c>
      <c r="AG575" s="232">
        <f>AF575*FACTS!$T$2</f>
        <v>14602.5</v>
      </c>
      <c r="AH575" s="232">
        <f>Table1[[#This Row],[UNIT (BUILDING) RATE (SEMI FINISHED)]]+4500</f>
        <v>48750</v>
      </c>
      <c r="AI575" s="232">
        <f>Table1[[#This Row],[UNIT (BUILDING) RATE (SEMI FINISHED)]]+7500</f>
        <v>51750</v>
      </c>
      <c r="AJ575" s="232">
        <f t="shared" si="87"/>
        <v>7699500</v>
      </c>
      <c r="AK575" s="232">
        <f>Table1[[#This Row],[UNIT (BUILDING) RATE (BASIC FINISH)]]*Table1[[#This Row],[Unit Selling Area]]</f>
        <v>8482500</v>
      </c>
      <c r="AL575" s="232">
        <f>Table1[[#This Row],[UNIT (BUILDING) RATE (FULLY FINISH)]]*Table1[[#This Row],[Unit Selling Area]]</f>
        <v>9004500</v>
      </c>
      <c r="AM575" s="232">
        <f t="shared" si="88"/>
        <v>0</v>
      </c>
      <c r="AN575" s="232">
        <f>(AM575+AJ575)*FACTS!$S$2</f>
        <v>654457.5</v>
      </c>
      <c r="AO575" s="101">
        <f>VLOOKUP(S575,FACTS!$A$17:$C$23,3,FALSE)</f>
        <v>2</v>
      </c>
      <c r="AP575" s="232">
        <f>VLOOKUP(AA575,FACTS!$B$2:$J$14,9,FALSE)</f>
        <v>200000</v>
      </c>
      <c r="AQ575" s="232">
        <f>Table1[[#This Row],[PARKING VALUE]]*1</f>
        <v>200000</v>
      </c>
      <c r="AR575" s="232">
        <f t="shared" si="83"/>
        <v>7899500</v>
      </c>
      <c r="AS575" s="440">
        <f>Table1[[#This Row],[TOTAL CARS VALUE]]+Table1[[#This Row],[UNIT (BUILDING) VALUE BASIC FINISHED]]+Table1[[#This Row],[UNIT (GARDEN) VALUE]]</f>
        <v>8682500</v>
      </c>
      <c r="AT575" s="232">
        <f>Table1[[#This Row],[TOTAL CARS VALUE]]+Table1[[#This Row],[UNIT (GARDEN) VALUE]]+Table1[[#This Row],[UNIT (BUILDING) VALUE FULLY FINISHED]]</f>
        <v>9204500</v>
      </c>
      <c r="AU575" s="233">
        <f>VLOOKUP(I575,'C PHASES'!$I$108:$J$110,2,FALSE)</f>
        <v>46204</v>
      </c>
      <c r="AV575" s="233">
        <f>VLOOKUP(AA575,'C PHASES'!$I$113:$J$125,2,FALSE)</f>
        <v>45170</v>
      </c>
    </row>
    <row r="576" spans="1:48" x14ac:dyDescent="0.25">
      <c r="A576" s="236"/>
      <c r="B576" s="227" t="str">
        <f t="shared" si="91"/>
        <v>C</v>
      </c>
      <c r="C576" s="227" t="s">
        <v>37</v>
      </c>
      <c r="D576" s="227" t="s">
        <v>1147</v>
      </c>
      <c r="E576" s="228">
        <v>1</v>
      </c>
      <c r="F576" s="101">
        <v>4</v>
      </c>
      <c r="G576" s="87" t="str">
        <f t="shared" si="92"/>
        <v>C214</v>
      </c>
      <c r="H576" s="87" t="s">
        <v>1293</v>
      </c>
      <c r="I576" s="89" t="str">
        <f>VLOOKUP(C576,'PREMIUM TABLES'!$G$107:$H$149,2,FALSE)</f>
        <v>C2</v>
      </c>
      <c r="J576" s="89">
        <v>96.311000000000007</v>
      </c>
      <c r="K576" s="87">
        <v>108.00272980857298</v>
      </c>
      <c r="L576" s="87">
        <v>117</v>
      </c>
      <c r="M576" s="89"/>
      <c r="N576" s="89"/>
      <c r="O576" s="87" t="s">
        <v>187</v>
      </c>
      <c r="P576" s="87" t="s">
        <v>190</v>
      </c>
      <c r="Q576" s="229" t="s">
        <v>198</v>
      </c>
      <c r="R576" s="87" t="str">
        <f>VLOOKUP(E576,'PREMIUM TABLES'!$F$214:$G$219,2,FALSE)</f>
        <v>FIRST</v>
      </c>
      <c r="S576" s="87" t="str" cm="1">
        <f t="array" ref="S576">IF(AND(L576&gt;0,L576&lt;90),"A",IF(AND(L576&gt;90,L576&lt;123),"B",IF(AND(L576&gt;122,L576&lt;159),"C",IF(AND(L576&gt;159,L576&lt;185),"D",IF(AND(L576&gt;185,L576&lt;230),"E",IF(AND(L576&gt;230,L576&lt;350),"F",NONE))))))</f>
        <v>B</v>
      </c>
      <c r="T576" s="230">
        <f>VLOOKUP(O576,'PREMIUM TABLES'!$G$165:$H$172,2,FALSE)</f>
        <v>0.08</v>
      </c>
      <c r="U576" s="230">
        <f>VLOOKUP(P576,'PREMIUM TABLES'!$G$208:$H$209,2,FALSE)</f>
        <v>2.5000000000000001E-2</v>
      </c>
      <c r="V576" s="230">
        <f>VLOOKUP(Q576,'PREMIUM TABLES'!$G$175:$H$195,2,FALSE)</f>
        <v>0.15</v>
      </c>
      <c r="W576" s="230">
        <f>VLOOKUP(R576,'PREMIUM TABLES'!$G$214:$H$219,2,FALSE)</f>
        <v>7.0000000000000007E-2</v>
      </c>
      <c r="X576" s="230">
        <f>VLOOKUP(S576,'PREMIUM TABLES'!$F$199:$H$205,3,FALSE)</f>
        <v>0.04</v>
      </c>
      <c r="Y576" s="231">
        <f t="shared" si="84"/>
        <v>0.36499999999999999</v>
      </c>
      <c r="Z576" s="231" t="str" cm="1">
        <f t="array" ref="Z576">IF(AND(Y576&gt;0,Y576&lt;0.5),"C",IF(AND(Y576&gt;=0.5,Y576&lt;0.73),"B",IF(AND(Y576&gt;=0.73,Y576&lt;0.98),"A",NONE)))</f>
        <v>C</v>
      </c>
      <c r="AA576" s="231" t="str">
        <f>VLOOKUP(G576,'ALL (R)'!$N$5:$R$862,5,FALSE)</f>
        <v>R 2</v>
      </c>
      <c r="AB576" s="232">
        <f>VLOOKUP(AA576,FACTS!$B$2:$L$14,10,FALSE)</f>
        <v>43562.499999999993</v>
      </c>
      <c r="AC576" s="232">
        <f>VLOOKUP(AA576,FACTS!$B$2:$L$14,11,FALSE)</f>
        <v>48687.499999999993</v>
      </c>
      <c r="AD576" s="232">
        <f>VLOOKUP(AA576,FACTS!$B$2:$N$14,13,FALSE)</f>
        <v>5125</v>
      </c>
      <c r="AE576" s="232">
        <f t="shared" si="85"/>
        <v>1870.625</v>
      </c>
      <c r="AF576" s="232">
        <f t="shared" si="86"/>
        <v>45433.124999999993</v>
      </c>
      <c r="AG576" s="232">
        <f>AF576*FACTS!$T$2</f>
        <v>14992.931249999998</v>
      </c>
      <c r="AH576" s="232">
        <f>Table1[[#This Row],[UNIT (BUILDING) RATE (SEMI FINISHED)]]+4500</f>
        <v>49933.124999999993</v>
      </c>
      <c r="AI576" s="232">
        <f>Table1[[#This Row],[UNIT (BUILDING) RATE (SEMI FINISHED)]]+7500</f>
        <v>52933.124999999993</v>
      </c>
      <c r="AJ576" s="232">
        <f t="shared" si="87"/>
        <v>5315675.6249999991</v>
      </c>
      <c r="AK576" s="232">
        <f>Table1[[#This Row],[UNIT (BUILDING) RATE (BASIC FINISH)]]*Table1[[#This Row],[Unit Selling Area]]</f>
        <v>5842175.6249999991</v>
      </c>
      <c r="AL576" s="232">
        <f>Table1[[#This Row],[UNIT (BUILDING) RATE (FULLY FINISH)]]*Table1[[#This Row],[Unit Selling Area]]</f>
        <v>6193175.6249999991</v>
      </c>
      <c r="AM576" s="232">
        <f t="shared" si="88"/>
        <v>0</v>
      </c>
      <c r="AN576" s="232">
        <f>(AM576+AJ576)*FACTS!$S$2</f>
        <v>451832.42812499998</v>
      </c>
      <c r="AO576" s="101">
        <f>VLOOKUP(S576,FACTS!$A$17:$C$23,3,FALSE)</f>
        <v>1</v>
      </c>
      <c r="AP576" s="232">
        <f>VLOOKUP(AA576,FACTS!$B$2:$J$14,9,FALSE)</f>
        <v>204999.99999999997</v>
      </c>
      <c r="AQ576" s="232">
        <f>Table1[[#This Row],[PARKING VALUE]]*1</f>
        <v>204999.99999999997</v>
      </c>
      <c r="AR576" s="232">
        <f t="shared" si="83"/>
        <v>5520675.6249999991</v>
      </c>
      <c r="AS576" s="440">
        <f>Table1[[#This Row],[TOTAL CARS VALUE]]+Table1[[#This Row],[UNIT (BUILDING) VALUE BASIC FINISHED]]+Table1[[#This Row],[UNIT (GARDEN) VALUE]]</f>
        <v>6047175.6249999991</v>
      </c>
      <c r="AT576" s="232">
        <f>Table1[[#This Row],[TOTAL CARS VALUE]]+Table1[[#This Row],[UNIT (GARDEN) VALUE]]+Table1[[#This Row],[UNIT (BUILDING) VALUE FULLY FINISHED]]</f>
        <v>6398175.6249999991</v>
      </c>
      <c r="AU576" s="233">
        <f>VLOOKUP(I576,'C PHASES'!$I$108:$J$110,2,FALSE)</f>
        <v>46204</v>
      </c>
      <c r="AV576" s="233">
        <f>VLOOKUP(AA576,'C PHASES'!$I$113:$J$125,2,FALSE)</f>
        <v>45292</v>
      </c>
    </row>
    <row r="577" spans="1:48" x14ac:dyDescent="0.25">
      <c r="A577" s="236"/>
      <c r="B577" s="227" t="str">
        <f t="shared" si="91"/>
        <v>C</v>
      </c>
      <c r="C577" s="227" t="s">
        <v>37</v>
      </c>
      <c r="D577" s="227" t="s">
        <v>1147</v>
      </c>
      <c r="E577" s="228">
        <v>2</v>
      </c>
      <c r="F577" s="101">
        <v>1</v>
      </c>
      <c r="G577" s="87" t="str">
        <f t="shared" si="92"/>
        <v>C221</v>
      </c>
      <c r="H577" s="87" t="s">
        <v>1294</v>
      </c>
      <c r="I577" s="89" t="str">
        <f>VLOOKUP(C577,'PREMIUM TABLES'!$G$107:$H$149,2,FALSE)</f>
        <v>C2</v>
      </c>
      <c r="J577" s="89">
        <v>141.18700000000001</v>
      </c>
      <c r="K577" s="87">
        <v>158.32647790473564</v>
      </c>
      <c r="L577" s="87">
        <v>172</v>
      </c>
      <c r="M577" s="89"/>
      <c r="N577" s="89"/>
      <c r="O577" s="87" t="s">
        <v>187</v>
      </c>
      <c r="P577" s="87" t="s">
        <v>190</v>
      </c>
      <c r="Q577" s="229" t="s">
        <v>198</v>
      </c>
      <c r="R577" s="87" t="str">
        <f>VLOOKUP(E577,'PREMIUM TABLES'!$F$214:$G$219,2,FALSE)</f>
        <v>SECOND</v>
      </c>
      <c r="S577" s="87" t="str" cm="1">
        <f t="array" ref="S577">IF(AND(L577&gt;0,L577&lt;90),"A",IF(AND(L577&gt;90,L577&lt;123),"B",IF(AND(L577&gt;122,L577&lt;159),"C",IF(AND(L577&gt;159,L577&lt;185),"D",IF(AND(L577&gt;185,L577&lt;230),"E",IF(AND(L577&gt;230,L577&lt;350),"F",NONE))))))</f>
        <v>D</v>
      </c>
      <c r="T577" s="230">
        <f>VLOOKUP(O577,'PREMIUM TABLES'!$G$165:$H$172,2,FALSE)</f>
        <v>0.08</v>
      </c>
      <c r="U577" s="230">
        <f>VLOOKUP(P577,'PREMIUM TABLES'!$G$208:$H$209,2,FALSE)</f>
        <v>2.5000000000000001E-2</v>
      </c>
      <c r="V577" s="230">
        <f>VLOOKUP(Q577,'PREMIUM TABLES'!$G$175:$H$195,2,FALSE)</f>
        <v>0.15</v>
      </c>
      <c r="W577" s="230">
        <f>VLOOKUP(R577,'PREMIUM TABLES'!$G$214:$H$219,2,FALSE)</f>
        <v>0.11</v>
      </c>
      <c r="X577" s="230">
        <f>VLOOKUP(S577,'PREMIUM TABLES'!$F$199:$H$205,3,FALSE)</f>
        <v>2.5000000000000001E-2</v>
      </c>
      <c r="Y577" s="231">
        <f t="shared" si="84"/>
        <v>0.39</v>
      </c>
      <c r="Z577" s="231" t="str" cm="1">
        <f t="array" ref="Z577">IF(AND(Y577&gt;0,Y577&lt;0.5),"C",IF(AND(Y577&gt;=0.5,Y577&lt;0.73),"B",IF(AND(Y577&gt;=0.73,Y577&lt;0.98),"A",NONE)))</f>
        <v>C</v>
      </c>
      <c r="AA577" s="231" t="str">
        <f>VLOOKUP(G577,'ALL (R)'!$N$5:$R$862,5,FALSE)</f>
        <v>R 4</v>
      </c>
      <c r="AB577" s="232">
        <f>VLOOKUP(AA577,FACTS!$B$2:$L$14,10,FALSE)</f>
        <v>45687.5</v>
      </c>
      <c r="AC577" s="232">
        <f>VLOOKUP(AA577,FACTS!$B$2:$L$14,11,FALSE)</f>
        <v>51062.5</v>
      </c>
      <c r="AD577" s="232">
        <f>VLOOKUP(AA577,FACTS!$B$2:$N$14,13,FALSE)</f>
        <v>5375</v>
      </c>
      <c r="AE577" s="232">
        <f t="shared" si="85"/>
        <v>2096.25</v>
      </c>
      <c r="AF577" s="232">
        <f t="shared" si="86"/>
        <v>47783.75</v>
      </c>
      <c r="AG577" s="232">
        <f>AF577*FACTS!$T$2</f>
        <v>15768.637500000001</v>
      </c>
      <c r="AH577" s="232">
        <f>Table1[[#This Row],[UNIT (BUILDING) RATE (SEMI FINISHED)]]+4500</f>
        <v>52283.75</v>
      </c>
      <c r="AI577" s="232">
        <f>Table1[[#This Row],[UNIT (BUILDING) RATE (SEMI FINISHED)]]+7500</f>
        <v>55283.75</v>
      </c>
      <c r="AJ577" s="232">
        <f t="shared" si="87"/>
        <v>8218805</v>
      </c>
      <c r="AK577" s="232">
        <f>Table1[[#This Row],[UNIT (BUILDING) RATE (BASIC FINISH)]]*Table1[[#This Row],[Unit Selling Area]]</f>
        <v>8992805</v>
      </c>
      <c r="AL577" s="232">
        <f>Table1[[#This Row],[UNIT (BUILDING) RATE (FULLY FINISH)]]*Table1[[#This Row],[Unit Selling Area]]</f>
        <v>9508805</v>
      </c>
      <c r="AM577" s="232">
        <f t="shared" si="88"/>
        <v>0</v>
      </c>
      <c r="AN577" s="232">
        <f>(AM577+AJ577)*FACTS!$S$2</f>
        <v>698598.42500000005</v>
      </c>
      <c r="AO577" s="101">
        <f>VLOOKUP(S577,FACTS!$A$17:$C$23,3,FALSE)</f>
        <v>2</v>
      </c>
      <c r="AP577" s="232">
        <f>VLOOKUP(AA577,FACTS!$B$2:$J$14,9,FALSE)</f>
        <v>215000</v>
      </c>
      <c r="AQ577" s="232">
        <f>Table1[[#This Row],[PARKING VALUE]]*1</f>
        <v>215000</v>
      </c>
      <c r="AR577" s="232">
        <f t="shared" si="83"/>
        <v>8433805</v>
      </c>
      <c r="AS577" s="440">
        <f>Table1[[#This Row],[TOTAL CARS VALUE]]+Table1[[#This Row],[UNIT (BUILDING) VALUE BASIC FINISHED]]+Table1[[#This Row],[UNIT (GARDEN) VALUE]]</f>
        <v>9207805</v>
      </c>
      <c r="AT577" s="232">
        <f>Table1[[#This Row],[TOTAL CARS VALUE]]+Table1[[#This Row],[UNIT (GARDEN) VALUE]]+Table1[[#This Row],[UNIT (BUILDING) VALUE FULLY FINISHED]]</f>
        <v>9723805</v>
      </c>
      <c r="AU577" s="233">
        <f>VLOOKUP(I577,'C PHASES'!$I$108:$J$110,2,FALSE)</f>
        <v>46204</v>
      </c>
      <c r="AV577" s="233">
        <f>VLOOKUP(AA577,'C PHASES'!$I$113:$J$125,2,FALSE)</f>
        <v>45474</v>
      </c>
    </row>
    <row r="578" spans="1:48" x14ac:dyDescent="0.25">
      <c r="A578" s="236"/>
      <c r="B578" s="227" t="str">
        <f t="shared" si="91"/>
        <v>C</v>
      </c>
      <c r="C578" s="227" t="s">
        <v>37</v>
      </c>
      <c r="D578" s="227" t="s">
        <v>1147</v>
      </c>
      <c r="E578" s="228">
        <v>2</v>
      </c>
      <c r="F578" s="101">
        <v>2</v>
      </c>
      <c r="G578" s="87" t="str">
        <f t="shared" si="92"/>
        <v>C222</v>
      </c>
      <c r="H578" s="87" t="s">
        <v>1294</v>
      </c>
      <c r="I578" s="89" t="str">
        <f>VLOOKUP(C578,'PREMIUM TABLES'!$G$107:$H$149,2,FALSE)</f>
        <v>C2</v>
      </c>
      <c r="J578" s="89">
        <v>141.446</v>
      </c>
      <c r="K578" s="87">
        <v>158.61691936023314</v>
      </c>
      <c r="L578" s="87">
        <v>173</v>
      </c>
      <c r="M578" s="89"/>
      <c r="N578" s="89"/>
      <c r="O578" s="87" t="s">
        <v>180</v>
      </c>
      <c r="P578" s="87" t="s">
        <v>190</v>
      </c>
      <c r="Q578" s="229" t="s">
        <v>192</v>
      </c>
      <c r="R578" s="87" t="str">
        <f>VLOOKUP(E578,'PREMIUM TABLES'!$F$214:$G$219,2,FALSE)</f>
        <v>SECOND</v>
      </c>
      <c r="S578" s="87" t="str" cm="1">
        <f t="array" ref="S578">IF(AND(L578&gt;0,L578&lt;90),"A",IF(AND(L578&gt;90,L578&lt;123),"B",IF(AND(L578&gt;122,L578&lt;159),"C",IF(AND(L578&gt;159,L578&lt;185),"D",IF(AND(L578&gt;185,L578&lt;230),"E",IF(AND(L578&gt;230,L578&lt;350),"F",NONE))))))</f>
        <v>D</v>
      </c>
      <c r="T578" s="230">
        <f>VLOOKUP(O578,'PREMIUM TABLES'!$G$165:$H$172,2,FALSE)</f>
        <v>0.13</v>
      </c>
      <c r="U578" s="230">
        <f>VLOOKUP(P578,'PREMIUM TABLES'!$G$208:$H$209,2,FALSE)</f>
        <v>2.5000000000000001E-2</v>
      </c>
      <c r="V578" s="230">
        <f>VLOOKUP(Q578,'PREMIUM TABLES'!$G$175:$H$195,2,FALSE)</f>
        <v>0.46</v>
      </c>
      <c r="W578" s="230">
        <f>VLOOKUP(R578,'PREMIUM TABLES'!$G$214:$H$219,2,FALSE)</f>
        <v>0.11</v>
      </c>
      <c r="X578" s="230">
        <f>VLOOKUP(S578,'PREMIUM TABLES'!$F$199:$H$205,3,FALSE)</f>
        <v>2.5000000000000001E-2</v>
      </c>
      <c r="Y578" s="231">
        <f t="shared" si="84"/>
        <v>0.75</v>
      </c>
      <c r="Z578" s="231" t="str" cm="1">
        <f t="array" ref="Z578">IF(AND(Y578&gt;0,Y578&lt;0.5),"C",IF(AND(Y578&gt;=0.5,Y578&lt;0.73),"B",IF(AND(Y578&gt;=0.73,Y578&lt;0.98),"A",NONE)))</f>
        <v>A</v>
      </c>
      <c r="AA578" s="231" t="str">
        <f>VLOOKUP(G578,'ALL (R)'!$N$5:$R$862,5,FALSE)</f>
        <v>R 2</v>
      </c>
      <c r="AB578" s="232">
        <f>VLOOKUP(AA578,FACTS!$B$2:$L$14,10,FALSE)</f>
        <v>43562.499999999993</v>
      </c>
      <c r="AC578" s="232">
        <f>VLOOKUP(AA578,FACTS!$B$2:$L$14,11,FALSE)</f>
        <v>48687.499999999993</v>
      </c>
      <c r="AD578" s="232">
        <f>VLOOKUP(AA578,FACTS!$B$2:$N$14,13,FALSE)</f>
        <v>5125</v>
      </c>
      <c r="AE578" s="232">
        <f t="shared" si="85"/>
        <v>3843.75</v>
      </c>
      <c r="AF578" s="232">
        <f t="shared" si="86"/>
        <v>47406.249999999993</v>
      </c>
      <c r="AG578" s="232">
        <f>AF578*FACTS!$T$2</f>
        <v>15644.062499999998</v>
      </c>
      <c r="AH578" s="232">
        <f>Table1[[#This Row],[UNIT (BUILDING) RATE (SEMI FINISHED)]]+4500</f>
        <v>51906.249999999993</v>
      </c>
      <c r="AI578" s="232">
        <f>Table1[[#This Row],[UNIT (BUILDING) RATE (SEMI FINISHED)]]+7500</f>
        <v>54906.249999999993</v>
      </c>
      <c r="AJ578" s="232">
        <f t="shared" si="87"/>
        <v>8201281.2499999991</v>
      </c>
      <c r="AK578" s="232">
        <f>Table1[[#This Row],[UNIT (BUILDING) RATE (BASIC FINISH)]]*Table1[[#This Row],[Unit Selling Area]]</f>
        <v>8979781.2499999981</v>
      </c>
      <c r="AL578" s="232">
        <f>Table1[[#This Row],[UNIT (BUILDING) RATE (FULLY FINISH)]]*Table1[[#This Row],[Unit Selling Area]]</f>
        <v>9498781.2499999981</v>
      </c>
      <c r="AM578" s="232">
        <f t="shared" si="88"/>
        <v>0</v>
      </c>
      <c r="AN578" s="232">
        <f>(AM578+AJ578)*FACTS!$S$2</f>
        <v>697108.90625</v>
      </c>
      <c r="AO578" s="101">
        <f>VLOOKUP(S578,FACTS!$A$17:$C$23,3,FALSE)</f>
        <v>2</v>
      </c>
      <c r="AP578" s="232">
        <f>VLOOKUP(AA578,FACTS!$B$2:$J$14,9,FALSE)</f>
        <v>204999.99999999997</v>
      </c>
      <c r="AQ578" s="232">
        <f>Table1[[#This Row],[PARKING VALUE]]*1</f>
        <v>204999.99999999997</v>
      </c>
      <c r="AR578" s="232">
        <f t="shared" si="83"/>
        <v>8406281.2499999981</v>
      </c>
      <c r="AS578" s="440">
        <f>Table1[[#This Row],[TOTAL CARS VALUE]]+Table1[[#This Row],[UNIT (BUILDING) VALUE BASIC FINISHED]]+Table1[[#This Row],[UNIT (GARDEN) VALUE]]</f>
        <v>9184781.2499999981</v>
      </c>
      <c r="AT578" s="232">
        <f>Table1[[#This Row],[TOTAL CARS VALUE]]+Table1[[#This Row],[UNIT (GARDEN) VALUE]]+Table1[[#This Row],[UNIT (BUILDING) VALUE FULLY FINISHED]]</f>
        <v>9703781.2499999981</v>
      </c>
      <c r="AU578" s="233">
        <f>VLOOKUP(I578,'C PHASES'!$I$108:$J$110,2,FALSE)</f>
        <v>46204</v>
      </c>
      <c r="AV578" s="233">
        <f>VLOOKUP(AA578,'C PHASES'!$I$113:$J$125,2,FALSE)</f>
        <v>45292</v>
      </c>
    </row>
    <row r="579" spans="1:48" x14ac:dyDescent="0.25">
      <c r="A579" s="236"/>
      <c r="B579" s="227" t="str">
        <f t="shared" si="91"/>
        <v>C</v>
      </c>
      <c r="C579" s="227" t="s">
        <v>37</v>
      </c>
      <c r="D579" s="227" t="s">
        <v>1147</v>
      </c>
      <c r="E579" s="228">
        <v>2</v>
      </c>
      <c r="F579" s="101">
        <v>3</v>
      </c>
      <c r="G579" s="87" t="str">
        <f t="shared" si="92"/>
        <v>C223</v>
      </c>
      <c r="H579" s="87" t="s">
        <v>1294</v>
      </c>
      <c r="I579" s="89" t="str">
        <f>VLOOKUP(C579,'PREMIUM TABLES'!$G$107:$H$149,2,FALSE)</f>
        <v>C2</v>
      </c>
      <c r="J579" s="89">
        <v>141.572</v>
      </c>
      <c r="K579" s="87">
        <v>158.75821520344815</v>
      </c>
      <c r="L579" s="87">
        <v>173</v>
      </c>
      <c r="M579" s="89"/>
      <c r="N579" s="89"/>
      <c r="O579" s="87" t="s">
        <v>180</v>
      </c>
      <c r="P579" s="87" t="s">
        <v>190</v>
      </c>
      <c r="Q579" s="229" t="s">
        <v>192</v>
      </c>
      <c r="R579" s="87" t="str">
        <f>VLOOKUP(E579,'PREMIUM TABLES'!$F$214:$G$219,2,FALSE)</f>
        <v>SECOND</v>
      </c>
      <c r="S579" s="87" t="str" cm="1">
        <f t="array" ref="S579">IF(AND(L579&gt;0,L579&lt;90),"A",IF(AND(L579&gt;90,L579&lt;123),"B",IF(AND(L579&gt;122,L579&lt;159),"C",IF(AND(L579&gt;159,L579&lt;185),"D",IF(AND(L579&gt;185,L579&lt;230),"E",IF(AND(L579&gt;230,L579&lt;350),"F",NONE))))))</f>
        <v>D</v>
      </c>
      <c r="T579" s="230">
        <f>VLOOKUP(O579,'PREMIUM TABLES'!$G$165:$H$172,2,FALSE)</f>
        <v>0.13</v>
      </c>
      <c r="U579" s="230">
        <f>VLOOKUP(P579,'PREMIUM TABLES'!$G$208:$H$209,2,FALSE)</f>
        <v>2.5000000000000001E-2</v>
      </c>
      <c r="V579" s="230">
        <f>VLOOKUP(Q579,'PREMIUM TABLES'!$G$175:$H$195,2,FALSE)</f>
        <v>0.46</v>
      </c>
      <c r="W579" s="230">
        <f>VLOOKUP(R579,'PREMIUM TABLES'!$G$214:$H$219,2,FALSE)</f>
        <v>0.11</v>
      </c>
      <c r="X579" s="230">
        <f>VLOOKUP(S579,'PREMIUM TABLES'!$F$199:$H$205,3,FALSE)</f>
        <v>2.5000000000000001E-2</v>
      </c>
      <c r="Y579" s="231">
        <f t="shared" si="84"/>
        <v>0.75</v>
      </c>
      <c r="Z579" s="231" t="str" cm="1">
        <f t="array" ref="Z579">IF(AND(Y579&gt;0,Y579&lt;0.5),"C",IF(AND(Y579&gt;=0.5,Y579&lt;0.73),"B",IF(AND(Y579&gt;=0.73,Y579&lt;0.98),"A",NONE)))</f>
        <v>A</v>
      </c>
      <c r="AA579" s="231" t="str">
        <f>VLOOKUP(G579,'ALL (R)'!$N$5:$R$862,5,FALSE)</f>
        <v>R 2</v>
      </c>
      <c r="AB579" s="232">
        <f>VLOOKUP(AA579,FACTS!$B$2:$L$14,10,FALSE)</f>
        <v>43562.499999999993</v>
      </c>
      <c r="AC579" s="232">
        <f>VLOOKUP(AA579,FACTS!$B$2:$L$14,11,FALSE)</f>
        <v>48687.499999999993</v>
      </c>
      <c r="AD579" s="232">
        <f>VLOOKUP(AA579,FACTS!$B$2:$N$14,13,FALSE)</f>
        <v>5125</v>
      </c>
      <c r="AE579" s="232">
        <f t="shared" si="85"/>
        <v>3843.75</v>
      </c>
      <c r="AF579" s="232">
        <f t="shared" si="86"/>
        <v>47406.249999999993</v>
      </c>
      <c r="AG579" s="232">
        <f>AF579*FACTS!$T$2</f>
        <v>15644.062499999998</v>
      </c>
      <c r="AH579" s="232">
        <f>Table1[[#This Row],[UNIT (BUILDING) RATE (SEMI FINISHED)]]+4500</f>
        <v>51906.249999999993</v>
      </c>
      <c r="AI579" s="232">
        <f>Table1[[#This Row],[UNIT (BUILDING) RATE (SEMI FINISHED)]]+7500</f>
        <v>54906.249999999993</v>
      </c>
      <c r="AJ579" s="232">
        <f t="shared" si="87"/>
        <v>8201281.2499999991</v>
      </c>
      <c r="AK579" s="232">
        <f>Table1[[#This Row],[UNIT (BUILDING) RATE (BASIC FINISH)]]*Table1[[#This Row],[Unit Selling Area]]</f>
        <v>8979781.2499999981</v>
      </c>
      <c r="AL579" s="232">
        <f>Table1[[#This Row],[UNIT (BUILDING) RATE (FULLY FINISH)]]*Table1[[#This Row],[Unit Selling Area]]</f>
        <v>9498781.2499999981</v>
      </c>
      <c r="AM579" s="232">
        <f t="shared" si="88"/>
        <v>0</v>
      </c>
      <c r="AN579" s="232">
        <f>(AM579+AJ579)*FACTS!$S$2</f>
        <v>697108.90625</v>
      </c>
      <c r="AO579" s="101">
        <f>VLOOKUP(S579,FACTS!$A$17:$C$23,3,FALSE)</f>
        <v>2</v>
      </c>
      <c r="AP579" s="232">
        <f>VLOOKUP(AA579,FACTS!$B$2:$J$14,9,FALSE)</f>
        <v>204999.99999999997</v>
      </c>
      <c r="AQ579" s="232">
        <f>Table1[[#This Row],[PARKING VALUE]]*1</f>
        <v>204999.99999999997</v>
      </c>
      <c r="AR579" s="232">
        <f t="shared" si="83"/>
        <v>8406281.2499999981</v>
      </c>
      <c r="AS579" s="440">
        <f>Table1[[#This Row],[TOTAL CARS VALUE]]+Table1[[#This Row],[UNIT (BUILDING) VALUE BASIC FINISHED]]+Table1[[#This Row],[UNIT (GARDEN) VALUE]]</f>
        <v>9184781.2499999981</v>
      </c>
      <c r="AT579" s="232">
        <f>Table1[[#This Row],[TOTAL CARS VALUE]]+Table1[[#This Row],[UNIT (GARDEN) VALUE]]+Table1[[#This Row],[UNIT (BUILDING) VALUE FULLY FINISHED]]</f>
        <v>9703781.2499999981</v>
      </c>
      <c r="AU579" s="233">
        <f>VLOOKUP(I579,'C PHASES'!$I$108:$J$110,2,FALSE)</f>
        <v>46204</v>
      </c>
      <c r="AV579" s="233">
        <f>VLOOKUP(AA579,'C PHASES'!$I$113:$J$125,2,FALSE)</f>
        <v>45292</v>
      </c>
    </row>
    <row r="580" spans="1:48" x14ac:dyDescent="0.25">
      <c r="A580" s="236"/>
      <c r="B580" s="227" t="str">
        <f t="shared" si="91"/>
        <v>C</v>
      </c>
      <c r="C580" s="227" t="s">
        <v>37</v>
      </c>
      <c r="D580" s="227" t="s">
        <v>1147</v>
      </c>
      <c r="E580" s="228">
        <v>2</v>
      </c>
      <c r="F580" s="101">
        <v>4</v>
      </c>
      <c r="G580" s="87" t="str">
        <f t="shared" si="92"/>
        <v>C224</v>
      </c>
      <c r="H580" s="87" t="s">
        <v>1294</v>
      </c>
      <c r="I580" s="89" t="str">
        <f>VLOOKUP(C580,'PREMIUM TABLES'!$G$107:$H$149,2,FALSE)</f>
        <v>C2</v>
      </c>
      <c r="J580" s="89">
        <v>141.226</v>
      </c>
      <c r="K580" s="87">
        <v>158.37021233239741</v>
      </c>
      <c r="L580" s="87">
        <v>172</v>
      </c>
      <c r="M580" s="89"/>
      <c r="N580" s="89"/>
      <c r="O580" s="87" t="s">
        <v>187</v>
      </c>
      <c r="P580" s="87" t="s">
        <v>190</v>
      </c>
      <c r="Q580" s="229" t="s">
        <v>198</v>
      </c>
      <c r="R580" s="87" t="str">
        <f>VLOOKUP(E580,'PREMIUM TABLES'!$F$214:$G$219,2,FALSE)</f>
        <v>SECOND</v>
      </c>
      <c r="S580" s="87" t="str" cm="1">
        <f t="array" ref="S580">IF(AND(L580&gt;0,L580&lt;90),"A",IF(AND(L580&gt;90,L580&lt;123),"B",IF(AND(L580&gt;122,L580&lt;159),"C",IF(AND(L580&gt;159,L580&lt;185),"D",IF(AND(L580&gt;185,L580&lt;230),"E",IF(AND(L580&gt;230,L580&lt;350),"F",NONE))))))</f>
        <v>D</v>
      </c>
      <c r="T580" s="230">
        <f>VLOOKUP(O580,'PREMIUM TABLES'!$G$165:$H$172,2,FALSE)</f>
        <v>0.08</v>
      </c>
      <c r="U580" s="230">
        <f>VLOOKUP(P580,'PREMIUM TABLES'!$G$208:$H$209,2,FALSE)</f>
        <v>2.5000000000000001E-2</v>
      </c>
      <c r="V580" s="230">
        <f>VLOOKUP(Q580,'PREMIUM TABLES'!$G$175:$H$195,2,FALSE)</f>
        <v>0.15</v>
      </c>
      <c r="W580" s="230">
        <f>VLOOKUP(R580,'PREMIUM TABLES'!$G$214:$H$219,2,FALSE)</f>
        <v>0.11</v>
      </c>
      <c r="X580" s="230">
        <f>VLOOKUP(S580,'PREMIUM TABLES'!$F$199:$H$205,3,FALSE)</f>
        <v>2.5000000000000001E-2</v>
      </c>
      <c r="Y580" s="231">
        <f t="shared" si="84"/>
        <v>0.39</v>
      </c>
      <c r="Z580" s="231" t="str" cm="1">
        <f t="array" ref="Z580">IF(AND(Y580&gt;0,Y580&lt;0.5),"C",IF(AND(Y580&gt;=0.5,Y580&lt;0.73),"B",IF(AND(Y580&gt;=0.73,Y580&lt;0.98),"A",NONE)))</f>
        <v>C</v>
      </c>
      <c r="AA580" s="231" t="str">
        <f>VLOOKUP(G580,'ALL (R)'!$N$5:$R$862,5,FALSE)</f>
        <v>R 4</v>
      </c>
      <c r="AB580" s="232">
        <f>VLOOKUP(AA580,FACTS!$B$2:$L$14,10,FALSE)</f>
        <v>45687.5</v>
      </c>
      <c r="AC580" s="232">
        <f>VLOOKUP(AA580,FACTS!$B$2:$L$14,11,FALSE)</f>
        <v>51062.5</v>
      </c>
      <c r="AD580" s="232">
        <f>VLOOKUP(AA580,FACTS!$B$2:$N$14,13,FALSE)</f>
        <v>5375</v>
      </c>
      <c r="AE580" s="232">
        <f t="shared" si="85"/>
        <v>2096.25</v>
      </c>
      <c r="AF580" s="232">
        <f t="shared" si="86"/>
        <v>47783.75</v>
      </c>
      <c r="AG580" s="232">
        <f>AF580*FACTS!$T$2</f>
        <v>15768.637500000001</v>
      </c>
      <c r="AH580" s="232">
        <f>Table1[[#This Row],[UNIT (BUILDING) RATE (SEMI FINISHED)]]+4500</f>
        <v>52283.75</v>
      </c>
      <c r="AI580" s="232">
        <f>Table1[[#This Row],[UNIT (BUILDING) RATE (SEMI FINISHED)]]+7500</f>
        <v>55283.75</v>
      </c>
      <c r="AJ580" s="232">
        <f t="shared" si="87"/>
        <v>8218805</v>
      </c>
      <c r="AK580" s="232">
        <f>Table1[[#This Row],[UNIT (BUILDING) RATE (BASIC FINISH)]]*Table1[[#This Row],[Unit Selling Area]]</f>
        <v>8992805</v>
      </c>
      <c r="AL580" s="232">
        <f>Table1[[#This Row],[UNIT (BUILDING) RATE (FULLY FINISH)]]*Table1[[#This Row],[Unit Selling Area]]</f>
        <v>9508805</v>
      </c>
      <c r="AM580" s="232">
        <f t="shared" si="88"/>
        <v>0</v>
      </c>
      <c r="AN580" s="232">
        <f>(AM580+AJ580)*FACTS!$S$2</f>
        <v>698598.42500000005</v>
      </c>
      <c r="AO580" s="101">
        <f>VLOOKUP(S580,FACTS!$A$17:$C$23,3,FALSE)</f>
        <v>2</v>
      </c>
      <c r="AP580" s="232">
        <f>VLOOKUP(AA580,FACTS!$B$2:$J$14,9,FALSE)</f>
        <v>215000</v>
      </c>
      <c r="AQ580" s="232">
        <f>Table1[[#This Row],[PARKING VALUE]]*1</f>
        <v>215000</v>
      </c>
      <c r="AR580" s="232">
        <f t="shared" si="83"/>
        <v>8433805</v>
      </c>
      <c r="AS580" s="440">
        <f>Table1[[#This Row],[TOTAL CARS VALUE]]+Table1[[#This Row],[UNIT (BUILDING) VALUE BASIC FINISHED]]+Table1[[#This Row],[UNIT (GARDEN) VALUE]]</f>
        <v>9207805</v>
      </c>
      <c r="AT580" s="232">
        <f>Table1[[#This Row],[TOTAL CARS VALUE]]+Table1[[#This Row],[UNIT (GARDEN) VALUE]]+Table1[[#This Row],[UNIT (BUILDING) VALUE FULLY FINISHED]]</f>
        <v>9723805</v>
      </c>
      <c r="AU580" s="233">
        <f>VLOOKUP(I580,'C PHASES'!$I$108:$J$110,2,FALSE)</f>
        <v>46204</v>
      </c>
      <c r="AV580" s="233">
        <f>VLOOKUP(AA580,'C PHASES'!$I$113:$J$125,2,FALSE)</f>
        <v>45474</v>
      </c>
    </row>
    <row r="581" spans="1:48" x14ac:dyDescent="0.25">
      <c r="A581" s="236"/>
      <c r="B581" s="227" t="str">
        <f t="shared" si="91"/>
        <v>C</v>
      </c>
      <c r="C581" s="227" t="s">
        <v>37</v>
      </c>
      <c r="D581" s="227" t="s">
        <v>1147</v>
      </c>
      <c r="E581" s="228">
        <v>3</v>
      </c>
      <c r="F581" s="101">
        <v>1</v>
      </c>
      <c r="G581" s="87" t="str">
        <f t="shared" si="92"/>
        <v>C231</v>
      </c>
      <c r="H581" s="87" t="s">
        <v>1294</v>
      </c>
      <c r="I581" s="89" t="str">
        <f>VLOOKUP(C581,'PREMIUM TABLES'!$G$107:$H$149,2,FALSE)</f>
        <v>C2</v>
      </c>
      <c r="J581" s="89">
        <v>141.48599999999999</v>
      </c>
      <c r="K581" s="87">
        <v>158.66177518347598</v>
      </c>
      <c r="L581" s="87">
        <v>173</v>
      </c>
      <c r="M581" s="89"/>
      <c r="N581" s="89"/>
      <c r="O581" s="87" t="s">
        <v>187</v>
      </c>
      <c r="P581" s="87" t="s">
        <v>190</v>
      </c>
      <c r="Q581" s="229" t="s">
        <v>198</v>
      </c>
      <c r="R581" s="87" t="str">
        <f>VLOOKUP(E581,'PREMIUM TABLES'!$F$214:$G$219,2,FALSE)</f>
        <v>THIRD</v>
      </c>
      <c r="S581" s="87" t="str" cm="1">
        <f t="array" ref="S581">IF(AND(L581&gt;0,L581&lt;90),"A",IF(AND(L581&gt;90,L581&lt;123),"B",IF(AND(L581&gt;122,L581&lt;159),"C",IF(AND(L581&gt;159,L581&lt;185),"D",IF(AND(L581&gt;185,L581&lt;230),"E",IF(AND(L581&gt;230,L581&lt;350),"F",NONE))))))</f>
        <v>D</v>
      </c>
      <c r="T581" s="230">
        <f>VLOOKUP(O581,'PREMIUM TABLES'!$G$165:$H$172,2,FALSE)</f>
        <v>0.08</v>
      </c>
      <c r="U581" s="230">
        <f>VLOOKUP(P581,'PREMIUM TABLES'!$G$208:$H$209,2,FALSE)</f>
        <v>2.5000000000000001E-2</v>
      </c>
      <c r="V581" s="230">
        <f>VLOOKUP(Q581,'PREMIUM TABLES'!$G$175:$H$195,2,FALSE)</f>
        <v>0.15</v>
      </c>
      <c r="W581" s="230">
        <f>VLOOKUP(R581,'PREMIUM TABLES'!$G$214:$H$219,2,FALSE)</f>
        <v>0.15</v>
      </c>
      <c r="X581" s="230">
        <f>VLOOKUP(S581,'PREMIUM TABLES'!$F$199:$H$205,3,FALSE)</f>
        <v>2.5000000000000001E-2</v>
      </c>
      <c r="Y581" s="231">
        <f t="shared" si="84"/>
        <v>0.43000000000000005</v>
      </c>
      <c r="Z581" s="231" t="str" cm="1">
        <f t="array" ref="Z581">IF(AND(Y581&gt;0,Y581&lt;0.5),"C",IF(AND(Y581&gt;=0.5,Y581&lt;0.73),"B",IF(AND(Y581&gt;=0.73,Y581&lt;0.98),"A",NONE)))</f>
        <v>C</v>
      </c>
      <c r="AA581" s="231" t="str">
        <f>VLOOKUP(G581,'ALL (R)'!$N$5:$R$862,5,FALSE)</f>
        <v>R 8</v>
      </c>
      <c r="AB581" s="232">
        <f>VLOOKUP(AA581,FACTS!$B$2:$L$14,10,FALSE)</f>
        <v>51850</v>
      </c>
      <c r="AC581" s="232">
        <f>VLOOKUP(AA581,FACTS!$B$2:$L$14,11,FALSE)</f>
        <v>57950</v>
      </c>
      <c r="AD581" s="232">
        <f>VLOOKUP(AA581,FACTS!$B$2:$N$14,13,FALSE)</f>
        <v>6100</v>
      </c>
      <c r="AE581" s="232">
        <f t="shared" si="85"/>
        <v>2623.0000000000005</v>
      </c>
      <c r="AF581" s="232">
        <f t="shared" si="86"/>
        <v>54473</v>
      </c>
      <c r="AG581" s="232">
        <f>AF581*FACTS!$T$2</f>
        <v>17976.09</v>
      </c>
      <c r="AH581" s="232">
        <f>Table1[[#This Row],[UNIT (BUILDING) RATE (SEMI FINISHED)]]+4500</f>
        <v>58973</v>
      </c>
      <c r="AI581" s="232">
        <f>Table1[[#This Row],[UNIT (BUILDING) RATE (SEMI FINISHED)]]+7500</f>
        <v>61973</v>
      </c>
      <c r="AJ581" s="232">
        <f t="shared" si="87"/>
        <v>9423829</v>
      </c>
      <c r="AK581" s="232">
        <f>Table1[[#This Row],[UNIT (BUILDING) RATE (BASIC FINISH)]]*Table1[[#This Row],[Unit Selling Area]]</f>
        <v>10202329</v>
      </c>
      <c r="AL581" s="232">
        <f>Table1[[#This Row],[UNIT (BUILDING) RATE (FULLY FINISH)]]*Table1[[#This Row],[Unit Selling Area]]</f>
        <v>10721329</v>
      </c>
      <c r="AM581" s="232">
        <f t="shared" si="88"/>
        <v>0</v>
      </c>
      <c r="AN581" s="232">
        <f>(AM581+AJ581)*FACTS!$S$2</f>
        <v>801025.46500000008</v>
      </c>
      <c r="AO581" s="101">
        <f>VLOOKUP(S581,FACTS!$A$17:$C$23,3,FALSE)</f>
        <v>2</v>
      </c>
      <c r="AP581" s="232">
        <f>VLOOKUP(AA581,FACTS!$B$2:$J$14,9,FALSE)</f>
        <v>244000</v>
      </c>
      <c r="AQ581" s="232">
        <f>Table1[[#This Row],[PARKING VALUE]]*1</f>
        <v>244000</v>
      </c>
      <c r="AR581" s="232">
        <f t="shared" ref="AR581:AR644" si="93">AQ581+AM581+AJ581</f>
        <v>9667829</v>
      </c>
      <c r="AS581" s="440">
        <f>Table1[[#This Row],[TOTAL CARS VALUE]]+Table1[[#This Row],[UNIT (BUILDING) VALUE BASIC FINISHED]]+Table1[[#This Row],[UNIT (GARDEN) VALUE]]</f>
        <v>10446329</v>
      </c>
      <c r="AT581" s="232">
        <f>Table1[[#This Row],[TOTAL CARS VALUE]]+Table1[[#This Row],[UNIT (GARDEN) VALUE]]+Table1[[#This Row],[UNIT (BUILDING) VALUE FULLY FINISHED]]</f>
        <v>10965329</v>
      </c>
      <c r="AU581" s="233">
        <f>VLOOKUP(I581,'C PHASES'!$I$108:$J$110,2,FALSE)</f>
        <v>46204</v>
      </c>
      <c r="AV581" s="233">
        <f>VLOOKUP(AA581,'C PHASES'!$I$113:$J$125,2,FALSE)</f>
        <v>45839</v>
      </c>
    </row>
    <row r="582" spans="1:48" x14ac:dyDescent="0.25">
      <c r="A582" s="236"/>
      <c r="B582" s="227" t="str">
        <f t="shared" si="91"/>
        <v>C</v>
      </c>
      <c r="C582" s="227" t="s">
        <v>37</v>
      </c>
      <c r="D582" s="227" t="s">
        <v>1147</v>
      </c>
      <c r="E582" s="228">
        <v>3</v>
      </c>
      <c r="F582" s="101">
        <v>2</v>
      </c>
      <c r="G582" s="87" t="str">
        <f t="shared" si="92"/>
        <v>C232</v>
      </c>
      <c r="H582" s="87" t="s">
        <v>1294</v>
      </c>
      <c r="I582" s="89" t="str">
        <f>VLOOKUP(C582,'PREMIUM TABLES'!$G$107:$H$149,2,FALSE)</f>
        <v>C2</v>
      </c>
      <c r="J582" s="89">
        <v>142.25399999999999</v>
      </c>
      <c r="K582" s="87">
        <v>159.52300698973886</v>
      </c>
      <c r="L582" s="87">
        <v>174</v>
      </c>
      <c r="M582" s="89"/>
      <c r="N582" s="89"/>
      <c r="O582" s="87" t="s">
        <v>180</v>
      </c>
      <c r="P582" s="87" t="s">
        <v>190</v>
      </c>
      <c r="Q582" s="229" t="s">
        <v>192</v>
      </c>
      <c r="R582" s="87" t="str">
        <f>VLOOKUP(E582,'PREMIUM TABLES'!$F$214:$G$219,2,FALSE)</f>
        <v>THIRD</v>
      </c>
      <c r="S582" s="87" t="str" cm="1">
        <f t="array" ref="S582">IF(AND(L582&gt;0,L582&lt;90),"A",IF(AND(L582&gt;90,L582&lt;123),"B",IF(AND(L582&gt;122,L582&lt;159),"C",IF(AND(L582&gt;159,L582&lt;185),"D",IF(AND(L582&gt;185,L582&lt;230),"E",IF(AND(L582&gt;230,L582&lt;350),"F",NONE))))))</f>
        <v>D</v>
      </c>
      <c r="T582" s="230">
        <f>VLOOKUP(O582,'PREMIUM TABLES'!$G$165:$H$172,2,FALSE)</f>
        <v>0.13</v>
      </c>
      <c r="U582" s="230">
        <f>VLOOKUP(P582,'PREMIUM TABLES'!$G$208:$H$209,2,FALSE)</f>
        <v>2.5000000000000001E-2</v>
      </c>
      <c r="V582" s="230">
        <f>VLOOKUP(Q582,'PREMIUM TABLES'!$G$175:$H$195,2,FALSE)</f>
        <v>0.46</v>
      </c>
      <c r="W582" s="230">
        <f>VLOOKUP(R582,'PREMIUM TABLES'!$G$214:$H$219,2,FALSE)</f>
        <v>0.15</v>
      </c>
      <c r="X582" s="230">
        <f>VLOOKUP(S582,'PREMIUM TABLES'!$F$199:$H$205,3,FALSE)</f>
        <v>2.5000000000000001E-2</v>
      </c>
      <c r="Y582" s="231">
        <f t="shared" ref="Y582:Y645" si="94">SUM(T582:X582)</f>
        <v>0.79</v>
      </c>
      <c r="Z582" s="231" t="str" cm="1">
        <f t="array" ref="Z582">IF(AND(Y582&gt;0,Y582&lt;0.5),"C",IF(AND(Y582&gt;=0.5,Y582&lt;0.73),"B",IF(AND(Y582&gt;=0.73,Y582&lt;0.98),"A",NONE)))</f>
        <v>A</v>
      </c>
      <c r="AA582" s="231" t="str">
        <f>VLOOKUP(G582,'ALL (R)'!$N$5:$R$862,5,FALSE)</f>
        <v>R 5</v>
      </c>
      <c r="AB582" s="232">
        <f>VLOOKUP(AA582,FACTS!$B$2:$L$14,10,FALSE)</f>
        <v>46750.000000000007</v>
      </c>
      <c r="AC582" s="232">
        <f>VLOOKUP(AA582,FACTS!$B$2:$L$14,11,FALSE)</f>
        <v>52250.000000000007</v>
      </c>
      <c r="AD582" s="232">
        <f>VLOOKUP(AA582,FACTS!$B$2:$N$14,13,FALSE)</f>
        <v>5500</v>
      </c>
      <c r="AE582" s="232">
        <f t="shared" ref="AE582:AE645" si="95">AD582*Y582</f>
        <v>4345</v>
      </c>
      <c r="AF582" s="232">
        <f t="shared" ref="AF582:AF645" si="96">AE582+AB582</f>
        <v>51095.000000000007</v>
      </c>
      <c r="AG582" s="232">
        <f>AF582*FACTS!$T$2</f>
        <v>16861.350000000002</v>
      </c>
      <c r="AH582" s="232">
        <f>Table1[[#This Row],[UNIT (BUILDING) RATE (SEMI FINISHED)]]+4500</f>
        <v>55595.000000000007</v>
      </c>
      <c r="AI582" s="232">
        <f>Table1[[#This Row],[UNIT (BUILDING) RATE (SEMI FINISHED)]]+7500</f>
        <v>58595.000000000007</v>
      </c>
      <c r="AJ582" s="232">
        <f t="shared" ref="AJ582:AJ645" si="97">AF582*L582</f>
        <v>8890530.0000000019</v>
      </c>
      <c r="AK582" s="232">
        <f>Table1[[#This Row],[UNIT (BUILDING) RATE (BASIC FINISH)]]*Table1[[#This Row],[Unit Selling Area]]</f>
        <v>9673530.0000000019</v>
      </c>
      <c r="AL582" s="232">
        <f>Table1[[#This Row],[UNIT (BUILDING) RATE (FULLY FINISH)]]*Table1[[#This Row],[Unit Selling Area]]</f>
        <v>10195530.000000002</v>
      </c>
      <c r="AM582" s="232">
        <f t="shared" ref="AM582:AM645" si="98">AG582*M582</f>
        <v>0</v>
      </c>
      <c r="AN582" s="232">
        <f>(AM582+AJ582)*FACTS!$S$2</f>
        <v>755695.05000000016</v>
      </c>
      <c r="AO582" s="101">
        <f>VLOOKUP(S582,FACTS!$A$17:$C$23,3,FALSE)</f>
        <v>2</v>
      </c>
      <c r="AP582" s="232">
        <f>VLOOKUP(AA582,FACTS!$B$2:$J$14,9,FALSE)</f>
        <v>220000.00000000003</v>
      </c>
      <c r="AQ582" s="232">
        <f>Table1[[#This Row],[PARKING VALUE]]*1</f>
        <v>220000.00000000003</v>
      </c>
      <c r="AR582" s="232">
        <f t="shared" si="93"/>
        <v>9110530.0000000019</v>
      </c>
      <c r="AS582" s="440">
        <f>Table1[[#This Row],[TOTAL CARS VALUE]]+Table1[[#This Row],[UNIT (BUILDING) VALUE BASIC FINISHED]]+Table1[[#This Row],[UNIT (GARDEN) VALUE]]</f>
        <v>9893530.0000000019</v>
      </c>
      <c r="AT582" s="232">
        <f>Table1[[#This Row],[TOTAL CARS VALUE]]+Table1[[#This Row],[UNIT (GARDEN) VALUE]]+Table1[[#This Row],[UNIT (BUILDING) VALUE FULLY FINISHED]]</f>
        <v>10415530.000000002</v>
      </c>
      <c r="AU582" s="233">
        <f>VLOOKUP(I582,'C PHASES'!$I$108:$J$110,2,FALSE)</f>
        <v>46204</v>
      </c>
      <c r="AV582" s="233">
        <f>VLOOKUP(AA582,'C PHASES'!$I$113:$J$125,2,FALSE)</f>
        <v>45566</v>
      </c>
    </row>
    <row r="583" spans="1:48" x14ac:dyDescent="0.25">
      <c r="A583" s="236"/>
      <c r="B583" s="227" t="str">
        <f t="shared" si="91"/>
        <v>C</v>
      </c>
      <c r="C583" s="227" t="s">
        <v>37</v>
      </c>
      <c r="D583" s="227" t="s">
        <v>1147</v>
      </c>
      <c r="E583" s="228">
        <v>3</v>
      </c>
      <c r="F583" s="101">
        <v>3</v>
      </c>
      <c r="G583" s="87" t="str">
        <f t="shared" si="92"/>
        <v>C233</v>
      </c>
      <c r="H583" s="87" t="s">
        <v>1294</v>
      </c>
      <c r="I583" s="89" t="str">
        <f>VLOOKUP(C583,'PREMIUM TABLES'!$G$107:$H$149,2,FALSE)</f>
        <v>C2</v>
      </c>
      <c r="J583" s="89">
        <v>142.37799999999999</v>
      </c>
      <c r="K583" s="87">
        <v>159.6620600417917</v>
      </c>
      <c r="L583" s="87">
        <v>174</v>
      </c>
      <c r="M583" s="89"/>
      <c r="N583" s="89"/>
      <c r="O583" s="87" t="s">
        <v>180</v>
      </c>
      <c r="P583" s="87" t="s">
        <v>190</v>
      </c>
      <c r="Q583" s="229" t="s">
        <v>192</v>
      </c>
      <c r="R583" s="87" t="str">
        <f>VLOOKUP(E583,'PREMIUM TABLES'!$F$214:$G$219,2,FALSE)</f>
        <v>THIRD</v>
      </c>
      <c r="S583" s="87" t="str" cm="1">
        <f t="array" ref="S583">IF(AND(L583&gt;0,L583&lt;90),"A",IF(AND(L583&gt;90,L583&lt;123),"B",IF(AND(L583&gt;122,L583&lt;159),"C",IF(AND(L583&gt;159,L583&lt;185),"D",IF(AND(L583&gt;185,L583&lt;230),"E",IF(AND(L583&gt;230,L583&lt;350),"F",NONE))))))</f>
        <v>D</v>
      </c>
      <c r="T583" s="230">
        <f>VLOOKUP(O583,'PREMIUM TABLES'!$G$165:$H$172,2,FALSE)</f>
        <v>0.13</v>
      </c>
      <c r="U583" s="230">
        <f>VLOOKUP(P583,'PREMIUM TABLES'!$G$208:$H$209,2,FALSE)</f>
        <v>2.5000000000000001E-2</v>
      </c>
      <c r="V583" s="230">
        <f>VLOOKUP(Q583,'PREMIUM TABLES'!$G$175:$H$195,2,FALSE)</f>
        <v>0.46</v>
      </c>
      <c r="W583" s="230">
        <f>VLOOKUP(R583,'PREMIUM TABLES'!$G$214:$H$219,2,FALSE)</f>
        <v>0.15</v>
      </c>
      <c r="X583" s="230">
        <f>VLOOKUP(S583,'PREMIUM TABLES'!$F$199:$H$205,3,FALSE)</f>
        <v>2.5000000000000001E-2</v>
      </c>
      <c r="Y583" s="231">
        <f t="shared" si="94"/>
        <v>0.79</v>
      </c>
      <c r="Z583" s="231" t="str" cm="1">
        <f t="array" ref="Z583">IF(AND(Y583&gt;0,Y583&lt;0.5),"C",IF(AND(Y583&gt;=0.5,Y583&lt;0.73),"B",IF(AND(Y583&gt;=0.73,Y583&lt;0.98),"A",NONE)))</f>
        <v>A</v>
      </c>
      <c r="AA583" s="231" t="str">
        <f>VLOOKUP(G583,'ALL (R)'!$N$5:$R$862,5,FALSE)</f>
        <v>R 5</v>
      </c>
      <c r="AB583" s="232">
        <f>VLOOKUP(AA583,FACTS!$B$2:$L$14,10,FALSE)</f>
        <v>46750.000000000007</v>
      </c>
      <c r="AC583" s="232">
        <f>VLOOKUP(AA583,FACTS!$B$2:$L$14,11,FALSE)</f>
        <v>52250.000000000007</v>
      </c>
      <c r="AD583" s="232">
        <f>VLOOKUP(AA583,FACTS!$B$2:$N$14,13,FALSE)</f>
        <v>5500</v>
      </c>
      <c r="AE583" s="232">
        <f t="shared" si="95"/>
        <v>4345</v>
      </c>
      <c r="AF583" s="232">
        <f t="shared" si="96"/>
        <v>51095.000000000007</v>
      </c>
      <c r="AG583" s="232">
        <f>AF583*FACTS!$T$2</f>
        <v>16861.350000000002</v>
      </c>
      <c r="AH583" s="232">
        <f>Table1[[#This Row],[UNIT (BUILDING) RATE (SEMI FINISHED)]]+4500</f>
        <v>55595.000000000007</v>
      </c>
      <c r="AI583" s="232">
        <f>Table1[[#This Row],[UNIT (BUILDING) RATE (SEMI FINISHED)]]+7500</f>
        <v>58595.000000000007</v>
      </c>
      <c r="AJ583" s="232">
        <f t="shared" si="97"/>
        <v>8890530.0000000019</v>
      </c>
      <c r="AK583" s="232">
        <f>Table1[[#This Row],[UNIT (BUILDING) RATE (BASIC FINISH)]]*Table1[[#This Row],[Unit Selling Area]]</f>
        <v>9673530.0000000019</v>
      </c>
      <c r="AL583" s="232">
        <f>Table1[[#This Row],[UNIT (BUILDING) RATE (FULLY FINISH)]]*Table1[[#This Row],[Unit Selling Area]]</f>
        <v>10195530.000000002</v>
      </c>
      <c r="AM583" s="232">
        <f t="shared" si="98"/>
        <v>0</v>
      </c>
      <c r="AN583" s="232">
        <f>(AM583+AJ583)*FACTS!$S$2</f>
        <v>755695.05000000016</v>
      </c>
      <c r="AO583" s="101">
        <f>VLOOKUP(S583,FACTS!$A$17:$C$23,3,FALSE)</f>
        <v>2</v>
      </c>
      <c r="AP583" s="232">
        <f>VLOOKUP(AA583,FACTS!$B$2:$J$14,9,FALSE)</f>
        <v>220000.00000000003</v>
      </c>
      <c r="AQ583" s="232">
        <f>Table1[[#This Row],[PARKING VALUE]]*1</f>
        <v>220000.00000000003</v>
      </c>
      <c r="AR583" s="232">
        <f t="shared" si="93"/>
        <v>9110530.0000000019</v>
      </c>
      <c r="AS583" s="440">
        <f>Table1[[#This Row],[TOTAL CARS VALUE]]+Table1[[#This Row],[UNIT (BUILDING) VALUE BASIC FINISHED]]+Table1[[#This Row],[UNIT (GARDEN) VALUE]]</f>
        <v>9893530.0000000019</v>
      </c>
      <c r="AT583" s="232">
        <f>Table1[[#This Row],[TOTAL CARS VALUE]]+Table1[[#This Row],[UNIT (GARDEN) VALUE]]+Table1[[#This Row],[UNIT (BUILDING) VALUE FULLY FINISHED]]</f>
        <v>10415530.000000002</v>
      </c>
      <c r="AU583" s="233">
        <f>VLOOKUP(I583,'C PHASES'!$I$108:$J$110,2,FALSE)</f>
        <v>46204</v>
      </c>
      <c r="AV583" s="233">
        <f>VLOOKUP(AA583,'C PHASES'!$I$113:$J$125,2,FALSE)</f>
        <v>45566</v>
      </c>
    </row>
    <row r="584" spans="1:48" x14ac:dyDescent="0.25">
      <c r="A584" s="236"/>
      <c r="B584" s="227" t="str">
        <f t="shared" si="91"/>
        <v>C</v>
      </c>
      <c r="C584" s="227" t="s">
        <v>37</v>
      </c>
      <c r="D584" s="227" t="s">
        <v>1147</v>
      </c>
      <c r="E584" s="228">
        <v>3</v>
      </c>
      <c r="F584" s="101">
        <v>4</v>
      </c>
      <c r="G584" s="87" t="str">
        <f t="shared" si="92"/>
        <v>C234</v>
      </c>
      <c r="H584" s="87" t="s">
        <v>1294</v>
      </c>
      <c r="I584" s="89" t="str">
        <f>VLOOKUP(C584,'PREMIUM TABLES'!$G$107:$H$149,2,FALSE)</f>
        <v>C2</v>
      </c>
      <c r="J584" s="89">
        <v>141.52600000000001</v>
      </c>
      <c r="K584" s="87">
        <v>158.70663100671885</v>
      </c>
      <c r="L584" s="87">
        <v>173</v>
      </c>
      <c r="M584" s="89"/>
      <c r="N584" s="89"/>
      <c r="O584" s="87" t="s">
        <v>187</v>
      </c>
      <c r="P584" s="87" t="s">
        <v>190</v>
      </c>
      <c r="Q584" s="229" t="s">
        <v>198</v>
      </c>
      <c r="R584" s="87" t="str">
        <f>VLOOKUP(E584,'PREMIUM TABLES'!$F$214:$G$219,2,FALSE)</f>
        <v>THIRD</v>
      </c>
      <c r="S584" s="87" t="str" cm="1">
        <f t="array" ref="S584">IF(AND(L584&gt;0,L584&lt;90),"A",IF(AND(L584&gt;90,L584&lt;123),"B",IF(AND(L584&gt;122,L584&lt;159),"C",IF(AND(L584&gt;159,L584&lt;185),"D",IF(AND(L584&gt;185,L584&lt;230),"E",IF(AND(L584&gt;230,L584&lt;350),"F",NONE))))))</f>
        <v>D</v>
      </c>
      <c r="T584" s="230">
        <f>VLOOKUP(O584,'PREMIUM TABLES'!$G$165:$H$172,2,FALSE)</f>
        <v>0.08</v>
      </c>
      <c r="U584" s="230">
        <f>VLOOKUP(P584,'PREMIUM TABLES'!$G$208:$H$209,2,FALSE)</f>
        <v>2.5000000000000001E-2</v>
      </c>
      <c r="V584" s="230">
        <f>VLOOKUP(Q584,'PREMIUM TABLES'!$G$175:$H$195,2,FALSE)</f>
        <v>0.15</v>
      </c>
      <c r="W584" s="230">
        <f>VLOOKUP(R584,'PREMIUM TABLES'!$G$214:$H$219,2,FALSE)</f>
        <v>0.15</v>
      </c>
      <c r="X584" s="230">
        <f>VLOOKUP(S584,'PREMIUM TABLES'!$F$199:$H$205,3,FALSE)</f>
        <v>2.5000000000000001E-2</v>
      </c>
      <c r="Y584" s="231">
        <f t="shared" si="94"/>
        <v>0.43000000000000005</v>
      </c>
      <c r="Z584" s="231" t="str" cm="1">
        <f t="array" ref="Z584">IF(AND(Y584&gt;0,Y584&lt;0.5),"C",IF(AND(Y584&gt;=0.5,Y584&lt;0.73),"B",IF(AND(Y584&gt;=0.73,Y584&lt;0.98),"A",NONE)))</f>
        <v>C</v>
      </c>
      <c r="AA584" s="231" t="str">
        <f>VLOOKUP(G584,'ALL (R)'!$N$5:$R$862,5,FALSE)</f>
        <v>R 8</v>
      </c>
      <c r="AB584" s="232">
        <f>VLOOKUP(AA584,FACTS!$B$2:$L$14,10,FALSE)</f>
        <v>51850</v>
      </c>
      <c r="AC584" s="232">
        <f>VLOOKUP(AA584,FACTS!$B$2:$L$14,11,FALSE)</f>
        <v>57950</v>
      </c>
      <c r="AD584" s="232">
        <f>VLOOKUP(AA584,FACTS!$B$2:$N$14,13,FALSE)</f>
        <v>6100</v>
      </c>
      <c r="AE584" s="232">
        <f t="shared" si="95"/>
        <v>2623.0000000000005</v>
      </c>
      <c r="AF584" s="232">
        <f t="shared" si="96"/>
        <v>54473</v>
      </c>
      <c r="AG584" s="232">
        <f>AF584*FACTS!$T$2</f>
        <v>17976.09</v>
      </c>
      <c r="AH584" s="232">
        <f>Table1[[#This Row],[UNIT (BUILDING) RATE (SEMI FINISHED)]]+4500</f>
        <v>58973</v>
      </c>
      <c r="AI584" s="232">
        <f>Table1[[#This Row],[UNIT (BUILDING) RATE (SEMI FINISHED)]]+7500</f>
        <v>61973</v>
      </c>
      <c r="AJ584" s="232">
        <f t="shared" si="97"/>
        <v>9423829</v>
      </c>
      <c r="AK584" s="232">
        <f>Table1[[#This Row],[UNIT (BUILDING) RATE (BASIC FINISH)]]*Table1[[#This Row],[Unit Selling Area]]</f>
        <v>10202329</v>
      </c>
      <c r="AL584" s="232">
        <f>Table1[[#This Row],[UNIT (BUILDING) RATE (FULLY FINISH)]]*Table1[[#This Row],[Unit Selling Area]]</f>
        <v>10721329</v>
      </c>
      <c r="AM584" s="232">
        <f t="shared" si="98"/>
        <v>0</v>
      </c>
      <c r="AN584" s="232">
        <f>(AM584+AJ584)*FACTS!$S$2</f>
        <v>801025.46500000008</v>
      </c>
      <c r="AO584" s="101">
        <f>VLOOKUP(S584,FACTS!$A$17:$C$23,3,FALSE)</f>
        <v>2</v>
      </c>
      <c r="AP584" s="232">
        <f>VLOOKUP(AA584,FACTS!$B$2:$J$14,9,FALSE)</f>
        <v>244000</v>
      </c>
      <c r="AQ584" s="232">
        <f>Table1[[#This Row],[PARKING VALUE]]*1</f>
        <v>244000</v>
      </c>
      <c r="AR584" s="232">
        <f t="shared" si="93"/>
        <v>9667829</v>
      </c>
      <c r="AS584" s="440">
        <f>Table1[[#This Row],[TOTAL CARS VALUE]]+Table1[[#This Row],[UNIT (BUILDING) VALUE BASIC FINISHED]]+Table1[[#This Row],[UNIT (GARDEN) VALUE]]</f>
        <v>10446329</v>
      </c>
      <c r="AT584" s="232">
        <f>Table1[[#This Row],[TOTAL CARS VALUE]]+Table1[[#This Row],[UNIT (GARDEN) VALUE]]+Table1[[#This Row],[UNIT (BUILDING) VALUE FULLY FINISHED]]</f>
        <v>10965329</v>
      </c>
      <c r="AU584" s="233">
        <f>VLOOKUP(I584,'C PHASES'!$I$108:$J$110,2,FALSE)</f>
        <v>46204</v>
      </c>
      <c r="AV584" s="233">
        <f>VLOOKUP(AA584,'C PHASES'!$I$113:$J$125,2,FALSE)</f>
        <v>45839</v>
      </c>
    </row>
    <row r="585" spans="1:48" x14ac:dyDescent="0.25">
      <c r="A585" s="236"/>
      <c r="B585" s="227" t="str">
        <f t="shared" si="91"/>
        <v>C</v>
      </c>
      <c r="C585" s="227" t="s">
        <v>37</v>
      </c>
      <c r="D585" s="227" t="s">
        <v>1147</v>
      </c>
      <c r="E585" s="228">
        <v>4</v>
      </c>
      <c r="F585" s="101">
        <v>1</v>
      </c>
      <c r="G585" s="87" t="str">
        <f t="shared" si="92"/>
        <v>C241</v>
      </c>
      <c r="H585" s="87" t="s">
        <v>1294</v>
      </c>
      <c r="I585" s="89" t="str">
        <f>VLOOKUP(C585,'PREMIUM TABLES'!$G$107:$H$149,2,FALSE)</f>
        <v>C2</v>
      </c>
      <c r="J585" s="89">
        <v>139.12</v>
      </c>
      <c r="K585" s="87">
        <v>156.00855323866094</v>
      </c>
      <c r="L585" s="87">
        <v>170</v>
      </c>
      <c r="M585" s="89"/>
      <c r="N585" s="89"/>
      <c r="O585" s="87" t="s">
        <v>187</v>
      </c>
      <c r="P585" s="87" t="s">
        <v>190</v>
      </c>
      <c r="Q585" s="229" t="s">
        <v>198</v>
      </c>
      <c r="R585" s="87" t="str">
        <f>VLOOKUP(E585,'PREMIUM TABLES'!$F$214:$G$219,2,FALSE)</f>
        <v>FORTH</v>
      </c>
      <c r="S585" s="87" t="str" cm="1">
        <f t="array" ref="S585">IF(AND(L585&gt;0,L585&lt;90),"A",IF(AND(L585&gt;90,L585&lt;123),"B",IF(AND(L585&gt;122,L585&lt;159),"C",IF(AND(L585&gt;159,L585&lt;185),"D",IF(AND(L585&gt;185,L585&lt;230),"E",IF(AND(L585&gt;230,L585&lt;350),"F",NONE))))))</f>
        <v>D</v>
      </c>
      <c r="T585" s="230">
        <f>VLOOKUP(O585,'PREMIUM TABLES'!$G$165:$H$172,2,FALSE)</f>
        <v>0.08</v>
      </c>
      <c r="U585" s="230">
        <f>VLOOKUP(P585,'PREMIUM TABLES'!$G$208:$H$209,2,FALSE)</f>
        <v>2.5000000000000001E-2</v>
      </c>
      <c r="V585" s="230">
        <f>VLOOKUP(Q585,'PREMIUM TABLES'!$G$175:$H$195,2,FALSE)</f>
        <v>0.15</v>
      </c>
      <c r="W585" s="230">
        <f>VLOOKUP(R585,'PREMIUM TABLES'!$G$214:$H$219,2,FALSE)</f>
        <v>0.06</v>
      </c>
      <c r="X585" s="230">
        <f>VLOOKUP(S585,'PREMIUM TABLES'!$F$199:$H$205,3,FALSE)</f>
        <v>2.5000000000000001E-2</v>
      </c>
      <c r="Y585" s="231">
        <f t="shared" si="94"/>
        <v>0.34</v>
      </c>
      <c r="Z585" s="231" t="str" cm="1">
        <f t="array" ref="Z585">IF(AND(Y585&gt;0,Y585&lt;0.5),"C",IF(AND(Y585&gt;=0.5,Y585&lt;0.73),"B",IF(AND(Y585&gt;=0.73,Y585&lt;0.98),"A",NONE)))</f>
        <v>C</v>
      </c>
      <c r="AA585" s="231" t="str">
        <f>VLOOKUP(G585,'ALL (R)'!$N$5:$R$862,5,FALSE)</f>
        <v>R 1</v>
      </c>
      <c r="AB585" s="232">
        <f>VLOOKUP(AA585,FACTS!$B$2:$L$14,10,FALSE)</f>
        <v>42500</v>
      </c>
      <c r="AC585" s="232">
        <f>VLOOKUP(AA585,FACTS!$B$2:$L$14,11,FALSE)</f>
        <v>47500</v>
      </c>
      <c r="AD585" s="232">
        <f>VLOOKUP(AA585,FACTS!$B$2:$N$14,13,FALSE)</f>
        <v>5000</v>
      </c>
      <c r="AE585" s="232">
        <f t="shared" si="95"/>
        <v>1700.0000000000002</v>
      </c>
      <c r="AF585" s="232">
        <f t="shared" si="96"/>
        <v>44200</v>
      </c>
      <c r="AG585" s="232">
        <f>AF585*FACTS!$T$2</f>
        <v>14586</v>
      </c>
      <c r="AH585" s="232">
        <f>Table1[[#This Row],[UNIT (BUILDING) RATE (SEMI FINISHED)]]+4500</f>
        <v>48700</v>
      </c>
      <c r="AI585" s="232">
        <f>Table1[[#This Row],[UNIT (BUILDING) RATE (SEMI FINISHED)]]+7500</f>
        <v>51700</v>
      </c>
      <c r="AJ585" s="232">
        <f t="shared" si="97"/>
        <v>7514000</v>
      </c>
      <c r="AK585" s="232">
        <f>Table1[[#This Row],[UNIT (BUILDING) RATE (BASIC FINISH)]]*Table1[[#This Row],[Unit Selling Area]]</f>
        <v>8279000</v>
      </c>
      <c r="AL585" s="232">
        <f>Table1[[#This Row],[UNIT (BUILDING) RATE (FULLY FINISH)]]*Table1[[#This Row],[Unit Selling Area]]</f>
        <v>8789000</v>
      </c>
      <c r="AM585" s="232">
        <f t="shared" si="98"/>
        <v>0</v>
      </c>
      <c r="AN585" s="232">
        <f>(AM585+AJ585)*FACTS!$S$2</f>
        <v>638690</v>
      </c>
      <c r="AO585" s="101">
        <f>VLOOKUP(S585,FACTS!$A$17:$C$23,3,FALSE)</f>
        <v>2</v>
      </c>
      <c r="AP585" s="232">
        <f>VLOOKUP(AA585,FACTS!$B$2:$J$14,9,FALSE)</f>
        <v>200000</v>
      </c>
      <c r="AQ585" s="232">
        <f>Table1[[#This Row],[PARKING VALUE]]*1</f>
        <v>200000</v>
      </c>
      <c r="AR585" s="232">
        <f t="shared" si="93"/>
        <v>7714000</v>
      </c>
      <c r="AS585" s="440">
        <f>Table1[[#This Row],[TOTAL CARS VALUE]]+Table1[[#This Row],[UNIT (BUILDING) VALUE BASIC FINISHED]]+Table1[[#This Row],[UNIT (GARDEN) VALUE]]</f>
        <v>8479000</v>
      </c>
      <c r="AT585" s="232">
        <f>Table1[[#This Row],[TOTAL CARS VALUE]]+Table1[[#This Row],[UNIT (GARDEN) VALUE]]+Table1[[#This Row],[UNIT (BUILDING) VALUE FULLY FINISHED]]</f>
        <v>8989000</v>
      </c>
      <c r="AU585" s="233">
        <f>VLOOKUP(I585,'C PHASES'!$I$108:$J$110,2,FALSE)</f>
        <v>46204</v>
      </c>
      <c r="AV585" s="233">
        <f>VLOOKUP(AA585,'C PHASES'!$I$113:$J$125,2,FALSE)</f>
        <v>45170</v>
      </c>
    </row>
    <row r="586" spans="1:48" x14ac:dyDescent="0.25">
      <c r="A586" s="236"/>
      <c r="B586" s="227" t="str">
        <f t="shared" si="91"/>
        <v>C</v>
      </c>
      <c r="C586" s="227" t="s">
        <v>37</v>
      </c>
      <c r="D586" s="227" t="s">
        <v>1147</v>
      </c>
      <c r="E586" s="228">
        <v>4</v>
      </c>
      <c r="F586" s="101">
        <v>2</v>
      </c>
      <c r="G586" s="87" t="str">
        <f t="shared" si="92"/>
        <v>C242</v>
      </c>
      <c r="H586" s="87" t="s">
        <v>1294</v>
      </c>
      <c r="I586" s="89" t="str">
        <f>VLOOKUP(C586,'PREMIUM TABLES'!$G$107:$H$149,2,FALSE)</f>
        <v>C2</v>
      </c>
      <c r="J586" s="89">
        <v>141.53399999999999</v>
      </c>
      <c r="K586" s="87">
        <v>158.71560217136741</v>
      </c>
      <c r="L586" s="87">
        <v>173</v>
      </c>
      <c r="M586" s="89"/>
      <c r="N586" s="89"/>
      <c r="O586" s="87" t="s">
        <v>180</v>
      </c>
      <c r="P586" s="87" t="s">
        <v>190</v>
      </c>
      <c r="Q586" s="229" t="s">
        <v>192</v>
      </c>
      <c r="R586" s="87" t="str">
        <f>VLOOKUP(E586,'PREMIUM TABLES'!$F$214:$G$219,2,FALSE)</f>
        <v>FORTH</v>
      </c>
      <c r="S586" s="87" t="str" cm="1">
        <f t="array" ref="S586">IF(AND(L586&gt;0,L586&lt;90),"A",IF(AND(L586&gt;90,L586&lt;123),"B",IF(AND(L586&gt;122,L586&lt;159),"C",IF(AND(L586&gt;159,L586&lt;185),"D",IF(AND(L586&gt;185,L586&lt;230),"E",IF(AND(L586&gt;230,L586&lt;350),"F",NONE))))))</f>
        <v>D</v>
      </c>
      <c r="T586" s="230">
        <f>VLOOKUP(O586,'PREMIUM TABLES'!$G$165:$H$172,2,FALSE)</f>
        <v>0.13</v>
      </c>
      <c r="U586" s="230">
        <f>VLOOKUP(P586,'PREMIUM TABLES'!$G$208:$H$209,2,FALSE)</f>
        <v>2.5000000000000001E-2</v>
      </c>
      <c r="V586" s="230">
        <f>VLOOKUP(Q586,'PREMIUM TABLES'!$G$175:$H$195,2,FALSE)</f>
        <v>0.46</v>
      </c>
      <c r="W586" s="230">
        <f>VLOOKUP(R586,'PREMIUM TABLES'!$G$214:$H$219,2,FALSE)</f>
        <v>0.06</v>
      </c>
      <c r="X586" s="230">
        <f>VLOOKUP(S586,'PREMIUM TABLES'!$F$199:$H$205,3,FALSE)</f>
        <v>2.5000000000000001E-2</v>
      </c>
      <c r="Y586" s="231">
        <f t="shared" si="94"/>
        <v>0.70000000000000007</v>
      </c>
      <c r="Z586" s="231" t="str" cm="1">
        <f t="array" ref="Z586">IF(AND(Y586&gt;0,Y586&lt;0.5),"C",IF(AND(Y586&gt;=0.5,Y586&lt;0.73),"B",IF(AND(Y586&gt;=0.73,Y586&lt;0.98),"A",NONE)))</f>
        <v>B</v>
      </c>
      <c r="AA586" s="231" t="str">
        <f>VLOOKUP(G586,'ALL (R)'!$N$5:$R$862,5,FALSE)</f>
        <v>R 9</v>
      </c>
      <c r="AB586" s="232">
        <f>VLOOKUP(AA586,FACTS!$B$2:$L$14,10,FALSE)</f>
        <v>53550</v>
      </c>
      <c r="AC586" s="232">
        <f>VLOOKUP(AA586,FACTS!$B$2:$L$14,11,FALSE)</f>
        <v>59850</v>
      </c>
      <c r="AD586" s="232">
        <f>VLOOKUP(AA586,FACTS!$B$2:$N$14,13,FALSE)</f>
        <v>6300</v>
      </c>
      <c r="AE586" s="232">
        <f t="shared" si="95"/>
        <v>4410</v>
      </c>
      <c r="AF586" s="232">
        <f t="shared" si="96"/>
        <v>57960</v>
      </c>
      <c r="AG586" s="232">
        <f>AF586*FACTS!$T$2</f>
        <v>19126.8</v>
      </c>
      <c r="AH586" s="232">
        <f>Table1[[#This Row],[UNIT (BUILDING) RATE (SEMI FINISHED)]]+4500</f>
        <v>62460</v>
      </c>
      <c r="AI586" s="232">
        <f>Table1[[#This Row],[UNIT (BUILDING) RATE (SEMI FINISHED)]]+7500</f>
        <v>65460</v>
      </c>
      <c r="AJ586" s="232">
        <f t="shared" si="97"/>
        <v>10027080</v>
      </c>
      <c r="AK586" s="232">
        <f>Table1[[#This Row],[UNIT (BUILDING) RATE (BASIC FINISH)]]*Table1[[#This Row],[Unit Selling Area]]</f>
        <v>10805580</v>
      </c>
      <c r="AL586" s="232">
        <f>Table1[[#This Row],[UNIT (BUILDING) RATE (FULLY FINISH)]]*Table1[[#This Row],[Unit Selling Area]]</f>
        <v>11324580</v>
      </c>
      <c r="AM586" s="232">
        <f t="shared" si="98"/>
        <v>0</v>
      </c>
      <c r="AN586" s="232">
        <f>(AM586+AJ586)*FACTS!$S$2</f>
        <v>852301.8</v>
      </c>
      <c r="AO586" s="101">
        <f>VLOOKUP(S586,FACTS!$A$17:$C$23,3,FALSE)</f>
        <v>2</v>
      </c>
      <c r="AP586" s="232">
        <f>VLOOKUP(AA586,FACTS!$B$2:$J$14,9,FALSE)</f>
        <v>252000</v>
      </c>
      <c r="AQ586" s="232">
        <f>Table1[[#This Row],[PARKING VALUE]]*1</f>
        <v>252000</v>
      </c>
      <c r="AR586" s="232">
        <f t="shared" si="93"/>
        <v>10279080</v>
      </c>
      <c r="AS586" s="440">
        <f>Table1[[#This Row],[TOTAL CARS VALUE]]+Table1[[#This Row],[UNIT (BUILDING) VALUE BASIC FINISHED]]+Table1[[#This Row],[UNIT (GARDEN) VALUE]]</f>
        <v>11057580</v>
      </c>
      <c r="AT586" s="232">
        <f>Table1[[#This Row],[TOTAL CARS VALUE]]+Table1[[#This Row],[UNIT (GARDEN) VALUE]]+Table1[[#This Row],[UNIT (BUILDING) VALUE FULLY FINISHED]]</f>
        <v>11576580</v>
      </c>
      <c r="AU586" s="233">
        <f>VLOOKUP(I586,'C PHASES'!$I$108:$J$110,2,FALSE)</f>
        <v>46204</v>
      </c>
      <c r="AV586" s="233">
        <f>VLOOKUP(AA586,'C PHASES'!$I$113:$J$125,2,FALSE)</f>
        <v>45931</v>
      </c>
    </row>
    <row r="587" spans="1:48" x14ac:dyDescent="0.25">
      <c r="A587" s="236"/>
      <c r="B587" s="227" t="str">
        <f t="shared" si="91"/>
        <v>C</v>
      </c>
      <c r="C587" s="227" t="s">
        <v>37</v>
      </c>
      <c r="D587" s="227" t="s">
        <v>1147</v>
      </c>
      <c r="E587" s="228">
        <v>4</v>
      </c>
      <c r="F587" s="101">
        <v>3</v>
      </c>
      <c r="G587" s="87" t="str">
        <f t="shared" si="92"/>
        <v>C243</v>
      </c>
      <c r="H587" s="87" t="s">
        <v>1294</v>
      </c>
      <c r="I587" s="89" t="str">
        <f>VLOOKUP(C587,'PREMIUM TABLES'!$G$107:$H$149,2,FALSE)</f>
        <v>C2</v>
      </c>
      <c r="J587" s="89">
        <v>141.65899999999999</v>
      </c>
      <c r="K587" s="87">
        <v>158.85577661900135</v>
      </c>
      <c r="L587" s="87">
        <v>173</v>
      </c>
      <c r="M587" s="89"/>
      <c r="N587" s="89"/>
      <c r="O587" s="87" t="s">
        <v>180</v>
      </c>
      <c r="P587" s="87" t="s">
        <v>190</v>
      </c>
      <c r="Q587" s="229" t="s">
        <v>192</v>
      </c>
      <c r="R587" s="87" t="str">
        <f>VLOOKUP(E587,'PREMIUM TABLES'!$F$214:$G$219,2,FALSE)</f>
        <v>FORTH</v>
      </c>
      <c r="S587" s="87" t="str" cm="1">
        <f t="array" ref="S587">IF(AND(L587&gt;0,L587&lt;90),"A",IF(AND(L587&gt;90,L587&lt;123),"B",IF(AND(L587&gt;122,L587&lt;159),"C",IF(AND(L587&gt;159,L587&lt;185),"D",IF(AND(L587&gt;185,L587&lt;230),"E",IF(AND(L587&gt;230,L587&lt;350),"F",NONE))))))</f>
        <v>D</v>
      </c>
      <c r="T587" s="230">
        <f>VLOOKUP(O587,'PREMIUM TABLES'!$G$165:$H$172,2,FALSE)</f>
        <v>0.13</v>
      </c>
      <c r="U587" s="230">
        <f>VLOOKUP(P587,'PREMIUM TABLES'!$G$208:$H$209,2,FALSE)</f>
        <v>2.5000000000000001E-2</v>
      </c>
      <c r="V587" s="230">
        <f>VLOOKUP(Q587,'PREMIUM TABLES'!$G$175:$H$195,2,FALSE)</f>
        <v>0.46</v>
      </c>
      <c r="W587" s="230">
        <f>VLOOKUP(R587,'PREMIUM TABLES'!$G$214:$H$219,2,FALSE)</f>
        <v>0.06</v>
      </c>
      <c r="X587" s="230">
        <f>VLOOKUP(S587,'PREMIUM TABLES'!$F$199:$H$205,3,FALSE)</f>
        <v>2.5000000000000001E-2</v>
      </c>
      <c r="Y587" s="231">
        <f t="shared" si="94"/>
        <v>0.70000000000000007</v>
      </c>
      <c r="Z587" s="231" t="str" cm="1">
        <f t="array" ref="Z587">IF(AND(Y587&gt;0,Y587&lt;0.5),"C",IF(AND(Y587&gt;=0.5,Y587&lt;0.73),"B",IF(AND(Y587&gt;=0.73,Y587&lt;0.98),"A",NONE)))</f>
        <v>B</v>
      </c>
      <c r="AA587" s="231" t="str">
        <f>VLOOKUP(G587,'ALL (R)'!$N$5:$R$862,5,FALSE)</f>
        <v>R 9</v>
      </c>
      <c r="AB587" s="232">
        <f>VLOOKUP(AA587,FACTS!$B$2:$L$14,10,FALSE)</f>
        <v>53550</v>
      </c>
      <c r="AC587" s="232">
        <f>VLOOKUP(AA587,FACTS!$B$2:$L$14,11,FALSE)</f>
        <v>59850</v>
      </c>
      <c r="AD587" s="232">
        <f>VLOOKUP(AA587,FACTS!$B$2:$N$14,13,FALSE)</f>
        <v>6300</v>
      </c>
      <c r="AE587" s="232">
        <f t="shared" si="95"/>
        <v>4410</v>
      </c>
      <c r="AF587" s="232">
        <f t="shared" si="96"/>
        <v>57960</v>
      </c>
      <c r="AG587" s="232">
        <f>AF587*FACTS!$T$2</f>
        <v>19126.8</v>
      </c>
      <c r="AH587" s="232">
        <f>Table1[[#This Row],[UNIT (BUILDING) RATE (SEMI FINISHED)]]+4500</f>
        <v>62460</v>
      </c>
      <c r="AI587" s="232">
        <f>Table1[[#This Row],[UNIT (BUILDING) RATE (SEMI FINISHED)]]+7500</f>
        <v>65460</v>
      </c>
      <c r="AJ587" s="232">
        <f t="shared" si="97"/>
        <v>10027080</v>
      </c>
      <c r="AK587" s="232">
        <f>Table1[[#This Row],[UNIT (BUILDING) RATE (BASIC FINISH)]]*Table1[[#This Row],[Unit Selling Area]]</f>
        <v>10805580</v>
      </c>
      <c r="AL587" s="232">
        <f>Table1[[#This Row],[UNIT (BUILDING) RATE (FULLY FINISH)]]*Table1[[#This Row],[Unit Selling Area]]</f>
        <v>11324580</v>
      </c>
      <c r="AM587" s="232">
        <f t="shared" si="98"/>
        <v>0</v>
      </c>
      <c r="AN587" s="232">
        <f>(AM587+AJ587)*FACTS!$S$2</f>
        <v>852301.8</v>
      </c>
      <c r="AO587" s="101">
        <f>VLOOKUP(S587,FACTS!$A$17:$C$23,3,FALSE)</f>
        <v>2</v>
      </c>
      <c r="AP587" s="232">
        <f>VLOOKUP(AA587,FACTS!$B$2:$J$14,9,FALSE)</f>
        <v>252000</v>
      </c>
      <c r="AQ587" s="232">
        <f>Table1[[#This Row],[PARKING VALUE]]*1</f>
        <v>252000</v>
      </c>
      <c r="AR587" s="232">
        <f t="shared" si="93"/>
        <v>10279080</v>
      </c>
      <c r="AS587" s="440">
        <f>Table1[[#This Row],[TOTAL CARS VALUE]]+Table1[[#This Row],[UNIT (BUILDING) VALUE BASIC FINISHED]]+Table1[[#This Row],[UNIT (GARDEN) VALUE]]</f>
        <v>11057580</v>
      </c>
      <c r="AT587" s="232">
        <f>Table1[[#This Row],[TOTAL CARS VALUE]]+Table1[[#This Row],[UNIT (GARDEN) VALUE]]+Table1[[#This Row],[UNIT (BUILDING) VALUE FULLY FINISHED]]</f>
        <v>11576580</v>
      </c>
      <c r="AU587" s="233">
        <f>VLOOKUP(I587,'C PHASES'!$I$108:$J$110,2,FALSE)</f>
        <v>46204</v>
      </c>
      <c r="AV587" s="233">
        <f>VLOOKUP(AA587,'C PHASES'!$I$113:$J$125,2,FALSE)</f>
        <v>45931</v>
      </c>
    </row>
    <row r="588" spans="1:48" x14ac:dyDescent="0.25">
      <c r="A588" s="236"/>
      <c r="B588" s="227" t="str">
        <f t="shared" si="91"/>
        <v>C</v>
      </c>
      <c r="C588" s="227" t="s">
        <v>37</v>
      </c>
      <c r="D588" s="227" t="s">
        <v>1147</v>
      </c>
      <c r="E588" s="228">
        <v>4</v>
      </c>
      <c r="F588" s="101">
        <v>4</v>
      </c>
      <c r="G588" s="87" t="str">
        <f t="shared" si="92"/>
        <v>C244</v>
      </c>
      <c r="H588" s="87" t="s">
        <v>1294</v>
      </c>
      <c r="I588" s="89" t="str">
        <f>VLOOKUP(C588,'PREMIUM TABLES'!$G$107:$H$149,2,FALSE)</f>
        <v>C2</v>
      </c>
      <c r="J588" s="89">
        <v>139.31659999999999</v>
      </c>
      <c r="K588" s="87">
        <v>156.22901960989958</v>
      </c>
      <c r="L588" s="87">
        <v>170</v>
      </c>
      <c r="M588" s="89"/>
      <c r="N588" s="89"/>
      <c r="O588" s="87" t="s">
        <v>187</v>
      </c>
      <c r="P588" s="87" t="s">
        <v>190</v>
      </c>
      <c r="Q588" s="229" t="s">
        <v>198</v>
      </c>
      <c r="R588" s="87" t="str">
        <f>VLOOKUP(E588,'PREMIUM TABLES'!$F$214:$G$219,2,FALSE)</f>
        <v>FORTH</v>
      </c>
      <c r="S588" s="87" t="str" cm="1">
        <f t="array" ref="S588">IF(AND(L588&gt;0,L588&lt;90),"A",IF(AND(L588&gt;90,L588&lt;123),"B",IF(AND(L588&gt;122,L588&lt;159),"C",IF(AND(L588&gt;159,L588&lt;185),"D",IF(AND(L588&gt;185,L588&lt;230),"E",IF(AND(L588&gt;230,L588&lt;350),"F",NONE))))))</f>
        <v>D</v>
      </c>
      <c r="T588" s="230">
        <f>VLOOKUP(O588,'PREMIUM TABLES'!$G$165:$H$172,2,FALSE)</f>
        <v>0.08</v>
      </c>
      <c r="U588" s="230">
        <f>VLOOKUP(P588,'PREMIUM TABLES'!$G$208:$H$209,2,FALSE)</f>
        <v>2.5000000000000001E-2</v>
      </c>
      <c r="V588" s="230">
        <f>VLOOKUP(Q588,'PREMIUM TABLES'!$G$175:$H$195,2,FALSE)</f>
        <v>0.15</v>
      </c>
      <c r="W588" s="230">
        <f>VLOOKUP(R588,'PREMIUM TABLES'!$G$214:$H$219,2,FALSE)</f>
        <v>0.06</v>
      </c>
      <c r="X588" s="230">
        <f>VLOOKUP(S588,'PREMIUM TABLES'!$F$199:$H$205,3,FALSE)</f>
        <v>2.5000000000000001E-2</v>
      </c>
      <c r="Y588" s="231">
        <f t="shared" si="94"/>
        <v>0.34</v>
      </c>
      <c r="Z588" s="231" t="str" cm="1">
        <f t="array" ref="Z588">IF(AND(Y588&gt;0,Y588&lt;0.5),"C",IF(AND(Y588&gt;=0.5,Y588&lt;0.73),"B",IF(AND(Y588&gt;=0.73,Y588&lt;0.98),"A",NONE)))</f>
        <v>C</v>
      </c>
      <c r="AA588" s="231" t="str">
        <f>VLOOKUP(G588,'ALL (R)'!$N$5:$R$862,5,FALSE)</f>
        <v>R 1</v>
      </c>
      <c r="AB588" s="232">
        <f>VLOOKUP(AA588,FACTS!$B$2:$L$14,10,FALSE)</f>
        <v>42500</v>
      </c>
      <c r="AC588" s="232">
        <f>VLOOKUP(AA588,FACTS!$B$2:$L$14,11,FALSE)</f>
        <v>47500</v>
      </c>
      <c r="AD588" s="232">
        <f>VLOOKUP(AA588,FACTS!$B$2:$N$14,13,FALSE)</f>
        <v>5000</v>
      </c>
      <c r="AE588" s="232">
        <f t="shared" si="95"/>
        <v>1700.0000000000002</v>
      </c>
      <c r="AF588" s="232">
        <f t="shared" si="96"/>
        <v>44200</v>
      </c>
      <c r="AG588" s="232">
        <f>AF588*FACTS!$T$2</f>
        <v>14586</v>
      </c>
      <c r="AH588" s="232">
        <f>Table1[[#This Row],[UNIT (BUILDING) RATE (SEMI FINISHED)]]+4500</f>
        <v>48700</v>
      </c>
      <c r="AI588" s="232">
        <f>Table1[[#This Row],[UNIT (BUILDING) RATE (SEMI FINISHED)]]+7500</f>
        <v>51700</v>
      </c>
      <c r="AJ588" s="232">
        <f t="shared" si="97"/>
        <v>7514000</v>
      </c>
      <c r="AK588" s="232">
        <f>Table1[[#This Row],[UNIT (BUILDING) RATE (BASIC FINISH)]]*Table1[[#This Row],[Unit Selling Area]]</f>
        <v>8279000</v>
      </c>
      <c r="AL588" s="232">
        <f>Table1[[#This Row],[UNIT (BUILDING) RATE (FULLY FINISH)]]*Table1[[#This Row],[Unit Selling Area]]</f>
        <v>8789000</v>
      </c>
      <c r="AM588" s="232">
        <f t="shared" si="98"/>
        <v>0</v>
      </c>
      <c r="AN588" s="232">
        <f>(AM588+AJ588)*FACTS!$S$2</f>
        <v>638690</v>
      </c>
      <c r="AO588" s="101">
        <f>VLOOKUP(S588,FACTS!$A$17:$C$23,3,FALSE)</f>
        <v>2</v>
      </c>
      <c r="AP588" s="232">
        <f>VLOOKUP(AA588,FACTS!$B$2:$J$14,9,FALSE)</f>
        <v>200000</v>
      </c>
      <c r="AQ588" s="232">
        <f>Table1[[#This Row],[PARKING VALUE]]*1</f>
        <v>200000</v>
      </c>
      <c r="AR588" s="232">
        <f t="shared" si="93"/>
        <v>7714000</v>
      </c>
      <c r="AS588" s="440">
        <f>Table1[[#This Row],[TOTAL CARS VALUE]]+Table1[[#This Row],[UNIT (BUILDING) VALUE BASIC FINISHED]]+Table1[[#This Row],[UNIT (GARDEN) VALUE]]</f>
        <v>8479000</v>
      </c>
      <c r="AT588" s="232">
        <f>Table1[[#This Row],[TOTAL CARS VALUE]]+Table1[[#This Row],[UNIT (GARDEN) VALUE]]+Table1[[#This Row],[UNIT (BUILDING) VALUE FULLY FINISHED]]</f>
        <v>8989000</v>
      </c>
      <c r="AU588" s="233">
        <f>VLOOKUP(I588,'C PHASES'!$I$108:$J$110,2,FALSE)</f>
        <v>46204</v>
      </c>
      <c r="AV588" s="233">
        <f>VLOOKUP(AA588,'C PHASES'!$I$113:$J$125,2,FALSE)</f>
        <v>45170</v>
      </c>
    </row>
    <row r="589" spans="1:48" ht="22.5" x14ac:dyDescent="0.25">
      <c r="A589" s="236" t="s">
        <v>33</v>
      </c>
      <c r="B589" s="227" t="str">
        <f t="shared" si="91"/>
        <v>C</v>
      </c>
      <c r="C589" s="227" t="s">
        <v>38</v>
      </c>
      <c r="D589" s="227" t="s">
        <v>1147</v>
      </c>
      <c r="E589" s="228">
        <v>0</v>
      </c>
      <c r="F589" s="101">
        <v>1</v>
      </c>
      <c r="G589" s="87" t="str">
        <f>LEFT(C589,2)&amp;E589&amp;F589</f>
        <v>C301</v>
      </c>
      <c r="H589" s="87" t="s">
        <v>1294</v>
      </c>
      <c r="I589" s="89" t="str">
        <f>VLOOKUP(C589,'PREMIUM TABLES'!$G$107:$H$149,2,FALSE)</f>
        <v>C2</v>
      </c>
      <c r="J589" s="89">
        <v>144.66300000000001</v>
      </c>
      <c r="K589" s="87">
        <v>160.29970969584483</v>
      </c>
      <c r="L589" s="87">
        <v>176</v>
      </c>
      <c r="M589" s="87">
        <v>78.760000000000005</v>
      </c>
      <c r="O589" s="87" t="s">
        <v>187</v>
      </c>
      <c r="P589" s="87" t="s">
        <v>226</v>
      </c>
      <c r="Q589" s="229" t="s">
        <v>228</v>
      </c>
      <c r="R589" s="87" t="str">
        <f>VLOOKUP(E589,'PREMIUM TABLES'!$F$214:$G$219,2,FALSE)</f>
        <v>GROUND</v>
      </c>
      <c r="S589" s="87" t="str" cm="1">
        <f t="array" ref="S589">IF(AND(L589&gt;0,L589&lt;90),"A",IF(AND(L589&gt;90,L589&lt;123),"B",IF(AND(L589&gt;122,L589&lt;159),"C",IF(AND(L589&gt;159,L589&lt;185),"D",IF(AND(L589&gt;185,L589&lt;230),"E",IF(AND(L589&gt;230,L589&lt;350),"F",NONE))))))</f>
        <v>D</v>
      </c>
      <c r="T589" s="230">
        <f>VLOOKUP(O589,'PREMIUM TABLES'!$G$165:$H$172,2,FALSE)</f>
        <v>0.08</v>
      </c>
      <c r="U589" s="230">
        <f>VLOOKUP(P589,'PREMIUM TABLES'!$G$208:$H$209,2,FALSE)</f>
        <v>0.05</v>
      </c>
      <c r="V589" s="230">
        <f>VLOOKUP(Q589,'PREMIUM TABLES'!$G$175:$H$195,2,FALSE)</f>
        <v>0.42400000000000004</v>
      </c>
      <c r="W589" s="230">
        <f>VLOOKUP(R589,'PREMIUM TABLES'!$G$214:$H$219,2,FALSE)</f>
        <v>0.05</v>
      </c>
      <c r="X589" s="230">
        <f>VLOOKUP(S589,'PREMIUM TABLES'!$F$199:$H$205,3,FALSE)</f>
        <v>2.5000000000000001E-2</v>
      </c>
      <c r="Y589" s="231">
        <f t="shared" si="94"/>
        <v>0.62900000000000011</v>
      </c>
      <c r="Z589" s="231" t="str" cm="1">
        <f t="array" ref="Z589">IF(AND(Y589&gt;0,Y589&lt;0.5),"C",IF(AND(Y589&gt;=0.5,Y589&lt;0.73),"B",IF(AND(Y589&gt;=0.73,Y589&lt;0.98),"A",NONE)))</f>
        <v>B</v>
      </c>
      <c r="AA589" s="231" t="str">
        <f>VLOOKUP(G589,'ALL (R)'!$N$5:$R$862,5,FALSE)</f>
        <v>R 3</v>
      </c>
      <c r="AB589" s="232">
        <f>VLOOKUP(AA589,FACTS!$B$2:$L$14,10,FALSE)</f>
        <v>44625</v>
      </c>
      <c r="AC589" s="232">
        <f>VLOOKUP(AA589,FACTS!$B$2:$L$14,11,FALSE)</f>
        <v>49875</v>
      </c>
      <c r="AD589" s="232">
        <f>VLOOKUP(AA589,FACTS!$B$2:$N$14,13,FALSE)</f>
        <v>5250</v>
      </c>
      <c r="AE589" s="232">
        <f t="shared" si="95"/>
        <v>3302.2500000000005</v>
      </c>
      <c r="AF589" s="232">
        <f t="shared" si="96"/>
        <v>47927.25</v>
      </c>
      <c r="AG589" s="232">
        <f>AF589*FACTS!$T$2</f>
        <v>15815.9925</v>
      </c>
      <c r="AH589" s="232">
        <f>Table1[[#This Row],[UNIT (BUILDING) RATE (SEMI FINISHED)]]+4500</f>
        <v>52427.25</v>
      </c>
      <c r="AI589" s="232">
        <f>Table1[[#This Row],[UNIT (BUILDING) RATE (SEMI FINISHED)]]+7500</f>
        <v>55427.25</v>
      </c>
      <c r="AJ589" s="232">
        <f t="shared" si="97"/>
        <v>8435196</v>
      </c>
      <c r="AK589" s="232">
        <f>Table1[[#This Row],[UNIT (BUILDING) RATE (BASIC FINISH)]]*Table1[[#This Row],[Unit Selling Area]]</f>
        <v>9227196</v>
      </c>
      <c r="AL589" s="232">
        <f>Table1[[#This Row],[UNIT (BUILDING) RATE (FULLY FINISH)]]*Table1[[#This Row],[Unit Selling Area]]</f>
        <v>9755196</v>
      </c>
      <c r="AM589" s="232">
        <f t="shared" si="98"/>
        <v>1245667.5693000001</v>
      </c>
      <c r="AN589" s="232">
        <f>(AM589+AJ589)*FACTS!$S$2</f>
        <v>822873.4033905</v>
      </c>
      <c r="AO589" s="101">
        <f>VLOOKUP(S589,FACTS!$A$17:$C$23,3,FALSE)</f>
        <v>2</v>
      </c>
      <c r="AP589" s="232">
        <f>VLOOKUP(AA589,FACTS!$B$2:$J$14,9,FALSE)</f>
        <v>210000</v>
      </c>
      <c r="AQ589" s="232">
        <f>Table1[[#This Row],[PARKING VALUE]]*1</f>
        <v>210000</v>
      </c>
      <c r="AR589" s="232">
        <f t="shared" si="93"/>
        <v>9890863.5692999996</v>
      </c>
      <c r="AS589" s="440">
        <f>Table1[[#This Row],[TOTAL CARS VALUE]]+Table1[[#This Row],[UNIT (BUILDING) VALUE BASIC FINISHED]]+Table1[[#This Row],[UNIT (GARDEN) VALUE]]</f>
        <v>10682863.5693</v>
      </c>
      <c r="AT589" s="232">
        <f>Table1[[#This Row],[TOTAL CARS VALUE]]+Table1[[#This Row],[UNIT (GARDEN) VALUE]]+Table1[[#This Row],[UNIT (BUILDING) VALUE FULLY FINISHED]]</f>
        <v>11210863.5693</v>
      </c>
      <c r="AU589" s="233">
        <f>VLOOKUP(I589,'C PHASES'!$I$108:$J$110,2,FALSE)</f>
        <v>46204</v>
      </c>
      <c r="AV589" s="233">
        <f>VLOOKUP(AA589,'C PHASES'!$I$113:$J$125,2,FALSE)</f>
        <v>45383</v>
      </c>
    </row>
    <row r="590" spans="1:48" x14ac:dyDescent="0.25">
      <c r="A590" s="236"/>
      <c r="B590" s="227" t="str">
        <f t="shared" si="91"/>
        <v>C</v>
      </c>
      <c r="C590" s="227" t="s">
        <v>38</v>
      </c>
      <c r="D590" s="227" t="s">
        <v>1147</v>
      </c>
      <c r="E590" s="228">
        <v>0</v>
      </c>
      <c r="F590" s="101">
        <v>2</v>
      </c>
      <c r="G590" s="87" t="str">
        <f t="shared" ref="G590:G608" si="99">LEFT(C590,2)&amp;E590&amp;F590</f>
        <v>C302</v>
      </c>
      <c r="H590" s="87" t="s">
        <v>1295</v>
      </c>
      <c r="I590" s="89" t="str">
        <f>VLOOKUP(C590,'PREMIUM TABLES'!$G$107:$H$149,2,FALSE)</f>
        <v>C2</v>
      </c>
      <c r="J590" s="89">
        <v>183.887</v>
      </c>
      <c r="K590" s="87">
        <v>203.76345518093646</v>
      </c>
      <c r="L590" s="87">
        <v>224</v>
      </c>
      <c r="M590" s="87">
        <v>61.522199999999998</v>
      </c>
      <c r="O590" s="87" t="s">
        <v>180</v>
      </c>
      <c r="P590" s="87" t="s">
        <v>226</v>
      </c>
      <c r="Q590" s="229" t="s">
        <v>210</v>
      </c>
      <c r="R590" s="87" t="str">
        <f>VLOOKUP(E590,'PREMIUM TABLES'!$F$214:$G$219,2,FALSE)</f>
        <v>GROUND</v>
      </c>
      <c r="S590" s="87" t="str" cm="1">
        <f t="array" ref="S590">IF(AND(L590&gt;0,L590&lt;90),"A",IF(AND(L590&gt;90,L590&lt;123),"B",IF(AND(L590&gt;122,L590&lt;159),"C",IF(AND(L590&gt;159,L590&lt;185),"D",IF(AND(L590&gt;185,L590&lt;230),"E",IF(AND(L590&gt;230,L590&lt;350),"F",NONE))))))</f>
        <v>E</v>
      </c>
      <c r="T590" s="230">
        <f>VLOOKUP(O590,'PREMIUM TABLES'!$G$165:$H$172,2,FALSE)</f>
        <v>0.13</v>
      </c>
      <c r="U590" s="230">
        <f>VLOOKUP(P590,'PREMIUM TABLES'!$G$208:$H$209,2,FALSE)</f>
        <v>0.05</v>
      </c>
      <c r="V590" s="230">
        <f>VLOOKUP(Q590,'PREMIUM TABLES'!$G$175:$H$195,2,FALSE)</f>
        <v>0.53</v>
      </c>
      <c r="W590" s="230">
        <f>VLOOKUP(R590,'PREMIUM TABLES'!$G$214:$H$219,2,FALSE)</f>
        <v>0.05</v>
      </c>
      <c r="X590" s="230">
        <f>VLOOKUP(S590,'PREMIUM TABLES'!$F$199:$H$205,3,FALSE)</f>
        <v>1.4999999999999999E-2</v>
      </c>
      <c r="Y590" s="231">
        <f t="shared" si="94"/>
        <v>0.77500000000000002</v>
      </c>
      <c r="Z590" s="231" t="str" cm="1">
        <f t="array" ref="Z590">IF(AND(Y590&gt;0,Y590&lt;0.5),"C",IF(AND(Y590&gt;=0.5,Y590&lt;0.73),"B",IF(AND(Y590&gt;=0.73,Y590&lt;0.98),"A",NONE)))</f>
        <v>A</v>
      </c>
      <c r="AA590" s="231" t="str">
        <f>VLOOKUP(G590,'ALL (R)'!$N$5:$R$862,5,FALSE)</f>
        <v>R 4</v>
      </c>
      <c r="AB590" s="232">
        <f>VLOOKUP(AA590,FACTS!$B$2:$L$14,10,FALSE)</f>
        <v>45687.5</v>
      </c>
      <c r="AC590" s="232">
        <f>VLOOKUP(AA590,FACTS!$B$2:$L$14,11,FALSE)</f>
        <v>51062.5</v>
      </c>
      <c r="AD590" s="232">
        <f>VLOOKUP(AA590,FACTS!$B$2:$N$14,13,FALSE)</f>
        <v>5375</v>
      </c>
      <c r="AE590" s="232">
        <f t="shared" si="95"/>
        <v>4165.625</v>
      </c>
      <c r="AF590" s="232">
        <f t="shared" si="96"/>
        <v>49853.125</v>
      </c>
      <c r="AG590" s="232">
        <f>AF590*FACTS!$T$2</f>
        <v>16451.53125</v>
      </c>
      <c r="AH590" s="232">
        <f>Table1[[#This Row],[UNIT (BUILDING) RATE (SEMI FINISHED)]]+4500</f>
        <v>54353.125</v>
      </c>
      <c r="AI590" s="232">
        <f>Table1[[#This Row],[UNIT (BUILDING) RATE (SEMI FINISHED)]]+7500</f>
        <v>57353.125</v>
      </c>
      <c r="AJ590" s="232">
        <f t="shared" si="97"/>
        <v>11167100</v>
      </c>
      <c r="AK590" s="232">
        <f>Table1[[#This Row],[UNIT (BUILDING) RATE (BASIC FINISH)]]*Table1[[#This Row],[Unit Selling Area]]</f>
        <v>12175100</v>
      </c>
      <c r="AL590" s="232">
        <f>Table1[[#This Row],[UNIT (BUILDING) RATE (FULLY FINISH)]]*Table1[[#This Row],[Unit Selling Area]]</f>
        <v>12847100</v>
      </c>
      <c r="AM590" s="232">
        <f t="shared" si="98"/>
        <v>1012134.3958687499</v>
      </c>
      <c r="AN590" s="232">
        <f>(AM590+AJ590)*FACTS!$S$2</f>
        <v>1035234.9236488439</v>
      </c>
      <c r="AO590" s="101">
        <f>VLOOKUP(S590,FACTS!$A$17:$C$23,3,FALSE)</f>
        <v>2</v>
      </c>
      <c r="AP590" s="232">
        <f>VLOOKUP(AA590,FACTS!$B$2:$J$14,9,FALSE)</f>
        <v>215000</v>
      </c>
      <c r="AQ590" s="232">
        <f>Table1[[#This Row],[PARKING VALUE]]*1</f>
        <v>215000</v>
      </c>
      <c r="AR590" s="232">
        <f t="shared" si="93"/>
        <v>12394234.39586875</v>
      </c>
      <c r="AS590" s="440">
        <f>Table1[[#This Row],[TOTAL CARS VALUE]]+Table1[[#This Row],[UNIT (BUILDING) VALUE BASIC FINISHED]]+Table1[[#This Row],[UNIT (GARDEN) VALUE]]</f>
        <v>13402234.39586875</v>
      </c>
      <c r="AT590" s="232">
        <f>Table1[[#This Row],[TOTAL CARS VALUE]]+Table1[[#This Row],[UNIT (GARDEN) VALUE]]+Table1[[#This Row],[UNIT (BUILDING) VALUE FULLY FINISHED]]</f>
        <v>14074234.39586875</v>
      </c>
      <c r="AU590" s="233">
        <f>VLOOKUP(I590,'C PHASES'!$I$108:$J$110,2,FALSE)</f>
        <v>46204</v>
      </c>
      <c r="AV590" s="233">
        <f>VLOOKUP(AA590,'C PHASES'!$I$113:$J$125,2,FALSE)</f>
        <v>45474</v>
      </c>
    </row>
    <row r="591" spans="1:48" x14ac:dyDescent="0.25">
      <c r="A591" s="236"/>
      <c r="B591" s="227" t="str">
        <f t="shared" si="91"/>
        <v>C</v>
      </c>
      <c r="C591" s="227" t="s">
        <v>38</v>
      </c>
      <c r="D591" s="227" t="s">
        <v>1147</v>
      </c>
      <c r="E591" s="228">
        <v>0</v>
      </c>
      <c r="F591" s="101">
        <v>3</v>
      </c>
      <c r="G591" s="87" t="str">
        <f t="shared" si="99"/>
        <v>C303</v>
      </c>
      <c r="H591" s="87" t="s">
        <v>1294</v>
      </c>
      <c r="I591" s="89" t="str">
        <f>VLOOKUP(C591,'PREMIUM TABLES'!$G$107:$H$149,2,FALSE)</f>
        <v>C2</v>
      </c>
      <c r="J591" s="89">
        <v>162.78100000000001</v>
      </c>
      <c r="K591" s="87">
        <v>180.37609508996297</v>
      </c>
      <c r="L591" s="87">
        <v>199</v>
      </c>
      <c r="M591" s="87">
        <v>77.576999999999998</v>
      </c>
      <c r="O591" s="87" t="s">
        <v>180</v>
      </c>
      <c r="P591" s="87" t="s">
        <v>190</v>
      </c>
      <c r="Q591" s="229" t="s">
        <v>192</v>
      </c>
      <c r="R591" s="87" t="str">
        <f>VLOOKUP(E591,'PREMIUM TABLES'!$F$214:$G$219,2,FALSE)</f>
        <v>GROUND</v>
      </c>
      <c r="S591" s="87" t="str" cm="1">
        <f t="array" ref="S591">IF(AND(L591&gt;0,L591&lt;90),"A",IF(AND(L591&gt;90,L591&lt;123),"B",IF(AND(L591&gt;122,L591&lt;159),"C",IF(AND(L591&gt;159,L591&lt;185),"D",IF(AND(L591&gt;185,L591&lt;230),"E",IF(AND(L591&gt;230,L591&lt;350),"F",NONE))))))</f>
        <v>E</v>
      </c>
      <c r="T591" s="230">
        <f>VLOOKUP(O591,'PREMIUM TABLES'!$G$165:$H$172,2,FALSE)</f>
        <v>0.13</v>
      </c>
      <c r="U591" s="230">
        <f>VLOOKUP(P591,'PREMIUM TABLES'!$G$208:$H$209,2,FALSE)</f>
        <v>2.5000000000000001E-2</v>
      </c>
      <c r="V591" s="230">
        <f>VLOOKUP(Q591,'PREMIUM TABLES'!$G$175:$H$195,2,FALSE)</f>
        <v>0.46</v>
      </c>
      <c r="W591" s="230">
        <f>VLOOKUP(R591,'PREMIUM TABLES'!$G$214:$H$219,2,FALSE)</f>
        <v>0.05</v>
      </c>
      <c r="X591" s="230">
        <f>VLOOKUP(S591,'PREMIUM TABLES'!$F$199:$H$205,3,FALSE)</f>
        <v>1.4999999999999999E-2</v>
      </c>
      <c r="Y591" s="231">
        <f t="shared" si="94"/>
        <v>0.68</v>
      </c>
      <c r="Z591" s="231" t="str" cm="1">
        <f t="array" ref="Z591">IF(AND(Y591&gt;0,Y591&lt;0.5),"C",IF(AND(Y591&gt;=0.5,Y591&lt;0.73),"B",IF(AND(Y591&gt;=0.73,Y591&lt;0.98),"A",NONE)))</f>
        <v>B</v>
      </c>
      <c r="AA591" s="231" t="str">
        <f>VLOOKUP(G591,'ALL (R)'!$N$5:$R$862,5,FALSE)</f>
        <v>R 7</v>
      </c>
      <c r="AB591" s="232">
        <f>VLOOKUP(AA591,FACTS!$B$2:$L$14,10,FALSE)</f>
        <v>50150</v>
      </c>
      <c r="AC591" s="232">
        <f>VLOOKUP(AA591,FACTS!$B$2:$L$14,11,FALSE)</f>
        <v>56050</v>
      </c>
      <c r="AD591" s="232">
        <f>VLOOKUP(AA591,FACTS!$B$2:$N$14,13,FALSE)</f>
        <v>5900</v>
      </c>
      <c r="AE591" s="232">
        <f t="shared" si="95"/>
        <v>4012.0000000000005</v>
      </c>
      <c r="AF591" s="232">
        <f t="shared" si="96"/>
        <v>54162</v>
      </c>
      <c r="AG591" s="232">
        <f>AF591*FACTS!$T$2</f>
        <v>17873.46</v>
      </c>
      <c r="AH591" s="232">
        <f>Table1[[#This Row],[UNIT (BUILDING) RATE (SEMI FINISHED)]]+4500</f>
        <v>58662</v>
      </c>
      <c r="AI591" s="232">
        <f>Table1[[#This Row],[UNIT (BUILDING) RATE (SEMI FINISHED)]]+7500</f>
        <v>61662</v>
      </c>
      <c r="AJ591" s="232">
        <f t="shared" si="97"/>
        <v>10778238</v>
      </c>
      <c r="AK591" s="232">
        <f>Table1[[#This Row],[UNIT (BUILDING) RATE (BASIC FINISH)]]*Table1[[#This Row],[Unit Selling Area]]</f>
        <v>11673738</v>
      </c>
      <c r="AL591" s="232">
        <f>Table1[[#This Row],[UNIT (BUILDING) RATE (FULLY FINISH)]]*Table1[[#This Row],[Unit Selling Area]]</f>
        <v>12270738</v>
      </c>
      <c r="AM591" s="232">
        <f t="shared" si="98"/>
        <v>1386569.4064199999</v>
      </c>
      <c r="AN591" s="232">
        <f>(AM591+AJ591)*FACTS!$S$2</f>
        <v>1034008.6295457</v>
      </c>
      <c r="AO591" s="101">
        <f>VLOOKUP(S591,FACTS!$A$17:$C$23,3,FALSE)</f>
        <v>2</v>
      </c>
      <c r="AP591" s="232">
        <f>VLOOKUP(AA591,FACTS!$B$2:$J$14,9,FALSE)</f>
        <v>236000</v>
      </c>
      <c r="AQ591" s="232">
        <f>Table1[[#This Row],[PARKING VALUE]]*1</f>
        <v>236000</v>
      </c>
      <c r="AR591" s="232">
        <f t="shared" si="93"/>
        <v>12400807.40642</v>
      </c>
      <c r="AS591" s="440">
        <f>Table1[[#This Row],[TOTAL CARS VALUE]]+Table1[[#This Row],[UNIT (BUILDING) VALUE BASIC FINISHED]]+Table1[[#This Row],[UNIT (GARDEN) VALUE]]</f>
        <v>13296307.40642</v>
      </c>
      <c r="AT591" s="232">
        <f>Table1[[#This Row],[TOTAL CARS VALUE]]+Table1[[#This Row],[UNIT (GARDEN) VALUE]]+Table1[[#This Row],[UNIT (BUILDING) VALUE FULLY FINISHED]]</f>
        <v>13893307.40642</v>
      </c>
      <c r="AU591" s="233">
        <f>VLOOKUP(I591,'C PHASES'!$I$108:$J$110,2,FALSE)</f>
        <v>46204</v>
      </c>
      <c r="AV591" s="233">
        <f>VLOOKUP(AA591,'C PHASES'!$I$113:$J$125,2,FALSE)</f>
        <v>45748</v>
      </c>
    </row>
    <row r="592" spans="1:48" x14ac:dyDescent="0.25">
      <c r="A592" s="236"/>
      <c r="B592" s="227" t="str">
        <f t="shared" si="91"/>
        <v>C</v>
      </c>
      <c r="C592" s="227" t="s">
        <v>38</v>
      </c>
      <c r="D592" s="227" t="s">
        <v>1147</v>
      </c>
      <c r="E592" s="228">
        <v>0</v>
      </c>
      <c r="F592" s="101">
        <v>4</v>
      </c>
      <c r="G592" s="87" t="str">
        <f t="shared" si="99"/>
        <v>C304</v>
      </c>
      <c r="H592" s="87" t="s">
        <v>1293</v>
      </c>
      <c r="I592" s="89" t="str">
        <f>VLOOKUP(C592,'PREMIUM TABLES'!$G$107:$H$149,2,FALSE)</f>
        <v>C2</v>
      </c>
      <c r="J592" s="89">
        <v>95.213999999999999</v>
      </c>
      <c r="K592" s="87">
        <v>105.50573788031609</v>
      </c>
      <c r="L592" s="87">
        <v>116</v>
      </c>
      <c r="M592" s="87">
        <v>61.500599999999999</v>
      </c>
      <c r="O592" s="87" t="s">
        <v>187</v>
      </c>
      <c r="P592" s="87" t="s">
        <v>190</v>
      </c>
      <c r="Q592" s="229" t="s">
        <v>199</v>
      </c>
      <c r="R592" s="87" t="str">
        <f>VLOOKUP(E592,'PREMIUM TABLES'!$F$214:$G$219,2,FALSE)</f>
        <v>GROUND</v>
      </c>
      <c r="S592" s="87" t="str" cm="1">
        <f t="array" ref="S592">IF(AND(L592&gt;0,L592&lt;90),"A",IF(AND(L592&gt;90,L592&lt;123),"B",IF(AND(L592&gt;122,L592&lt;159),"C",IF(AND(L592&gt;159,L592&lt;185),"D",IF(AND(L592&gt;185,L592&lt;230),"E",IF(AND(L592&gt;230,L592&lt;350),"F",NONE))))))</f>
        <v>B</v>
      </c>
      <c r="T592" s="230">
        <f>VLOOKUP(O592,'PREMIUM TABLES'!$G$165:$H$172,2,FALSE)</f>
        <v>0.08</v>
      </c>
      <c r="U592" s="230">
        <f>VLOOKUP(P592,'PREMIUM TABLES'!$G$208:$H$209,2,FALSE)</f>
        <v>2.5000000000000001E-2</v>
      </c>
      <c r="V592" s="230">
        <f>VLOOKUP(Q592,'PREMIUM TABLES'!$G$175:$H$195,2,FALSE)</f>
        <v>0.13</v>
      </c>
      <c r="W592" s="230">
        <f>VLOOKUP(R592,'PREMIUM TABLES'!$G$214:$H$219,2,FALSE)</f>
        <v>0.05</v>
      </c>
      <c r="X592" s="230">
        <f>VLOOKUP(S592,'PREMIUM TABLES'!$F$199:$H$205,3,FALSE)</f>
        <v>0.04</v>
      </c>
      <c r="Y592" s="231">
        <f t="shared" si="94"/>
        <v>0.32500000000000001</v>
      </c>
      <c r="Z592" s="231" t="str" cm="1">
        <f t="array" ref="Z592">IF(AND(Y592&gt;0,Y592&lt;0.5),"C",IF(AND(Y592&gt;=0.5,Y592&lt;0.73),"B",IF(AND(Y592&gt;=0.73,Y592&lt;0.98),"A",NONE)))</f>
        <v>C</v>
      </c>
      <c r="AA592" s="231" t="str">
        <f>VLOOKUP(G592,'ALL (R)'!$N$5:$R$862,5,FALSE)</f>
        <v>R 1</v>
      </c>
      <c r="AB592" s="232">
        <f>VLOOKUP(AA592,FACTS!$B$2:$L$14,10,FALSE)</f>
        <v>42500</v>
      </c>
      <c r="AC592" s="232">
        <f>VLOOKUP(AA592,FACTS!$B$2:$L$14,11,FALSE)</f>
        <v>47500</v>
      </c>
      <c r="AD592" s="232">
        <f>VLOOKUP(AA592,FACTS!$B$2:$N$14,13,FALSE)</f>
        <v>5000</v>
      </c>
      <c r="AE592" s="232">
        <f t="shared" si="95"/>
        <v>1625</v>
      </c>
      <c r="AF592" s="232">
        <f t="shared" si="96"/>
        <v>44125</v>
      </c>
      <c r="AG592" s="232">
        <f>AF592*FACTS!$T$2</f>
        <v>14561.25</v>
      </c>
      <c r="AH592" s="232">
        <f>Table1[[#This Row],[UNIT (BUILDING) RATE (SEMI FINISHED)]]+4500</f>
        <v>48625</v>
      </c>
      <c r="AI592" s="232">
        <f>Table1[[#This Row],[UNIT (BUILDING) RATE (SEMI FINISHED)]]+7500</f>
        <v>51625</v>
      </c>
      <c r="AJ592" s="232">
        <f t="shared" si="97"/>
        <v>5118500</v>
      </c>
      <c r="AK592" s="232">
        <f>Table1[[#This Row],[UNIT (BUILDING) RATE (BASIC FINISH)]]*Table1[[#This Row],[Unit Selling Area]]</f>
        <v>5640500</v>
      </c>
      <c r="AL592" s="232">
        <f>Table1[[#This Row],[UNIT (BUILDING) RATE (FULLY FINISH)]]*Table1[[#This Row],[Unit Selling Area]]</f>
        <v>5988500</v>
      </c>
      <c r="AM592" s="232">
        <f t="shared" si="98"/>
        <v>895525.61174999992</v>
      </c>
      <c r="AN592" s="232">
        <f>(AM592+AJ592)*FACTS!$S$2</f>
        <v>511192.17699875007</v>
      </c>
      <c r="AO592" s="101">
        <f>VLOOKUP(S592,FACTS!$A$17:$C$23,3,FALSE)</f>
        <v>1</v>
      </c>
      <c r="AP592" s="232">
        <f>VLOOKUP(AA592,FACTS!$B$2:$J$14,9,FALSE)</f>
        <v>200000</v>
      </c>
      <c r="AQ592" s="232">
        <f>Table1[[#This Row],[PARKING VALUE]]*1</f>
        <v>200000</v>
      </c>
      <c r="AR592" s="232">
        <f t="shared" si="93"/>
        <v>6214025.6117500002</v>
      </c>
      <c r="AS592" s="440">
        <f>Table1[[#This Row],[TOTAL CARS VALUE]]+Table1[[#This Row],[UNIT (BUILDING) VALUE BASIC FINISHED]]+Table1[[#This Row],[UNIT (GARDEN) VALUE]]</f>
        <v>6736025.6117500002</v>
      </c>
      <c r="AT592" s="232">
        <f>Table1[[#This Row],[TOTAL CARS VALUE]]+Table1[[#This Row],[UNIT (GARDEN) VALUE]]+Table1[[#This Row],[UNIT (BUILDING) VALUE FULLY FINISHED]]</f>
        <v>7084025.6117500002</v>
      </c>
      <c r="AU592" s="233">
        <f>VLOOKUP(I592,'C PHASES'!$I$108:$J$110,2,FALSE)</f>
        <v>46204</v>
      </c>
      <c r="AV592" s="233">
        <f>VLOOKUP(AA592,'C PHASES'!$I$113:$J$125,2,FALSE)</f>
        <v>45170</v>
      </c>
    </row>
    <row r="593" spans="1:48" x14ac:dyDescent="0.25">
      <c r="A593" s="236"/>
      <c r="B593" s="227" t="str">
        <f t="shared" si="91"/>
        <v>C</v>
      </c>
      <c r="C593" s="227" t="s">
        <v>38</v>
      </c>
      <c r="D593" s="227" t="s">
        <v>1147</v>
      </c>
      <c r="E593" s="228">
        <v>1</v>
      </c>
      <c r="F593" s="101">
        <v>1</v>
      </c>
      <c r="G593" s="87" t="str">
        <f t="shared" si="99"/>
        <v>C311</v>
      </c>
      <c r="H593" s="87" t="s">
        <v>1294</v>
      </c>
      <c r="I593" s="89" t="str">
        <f>VLOOKUP(C593,'PREMIUM TABLES'!$G$107:$H$149,2,FALSE)</f>
        <v>C2</v>
      </c>
      <c r="J593" s="89">
        <v>141.66300000000001</v>
      </c>
      <c r="K593" s="87">
        <v>156.9754379118535</v>
      </c>
      <c r="L593" s="87">
        <v>173</v>
      </c>
      <c r="M593" s="89"/>
      <c r="N593" s="89"/>
      <c r="O593" s="87" t="s">
        <v>187</v>
      </c>
      <c r="P593" s="87" t="s">
        <v>226</v>
      </c>
      <c r="Q593" s="229" t="s">
        <v>228</v>
      </c>
      <c r="R593" s="87" t="str">
        <f>VLOOKUP(E593,'PREMIUM TABLES'!$F$214:$G$219,2,FALSE)</f>
        <v>FIRST</v>
      </c>
      <c r="S593" s="87" t="str" cm="1">
        <f t="array" ref="S593">IF(AND(L593&gt;0,L593&lt;90),"A",IF(AND(L593&gt;90,L593&lt;123),"B",IF(AND(L593&gt;122,L593&lt;159),"C",IF(AND(L593&gt;159,L593&lt;185),"D",IF(AND(L593&gt;185,L593&lt;230),"E",IF(AND(L593&gt;230,L593&lt;350),"F",NONE))))))</f>
        <v>D</v>
      </c>
      <c r="T593" s="230">
        <f>VLOOKUP(O593,'PREMIUM TABLES'!$G$165:$H$172,2,FALSE)</f>
        <v>0.08</v>
      </c>
      <c r="U593" s="230">
        <f>VLOOKUP(P593,'PREMIUM TABLES'!$G$208:$H$209,2,FALSE)</f>
        <v>0.05</v>
      </c>
      <c r="V593" s="230">
        <f>VLOOKUP(Q593,'PREMIUM TABLES'!$G$175:$H$195,2,FALSE)</f>
        <v>0.42400000000000004</v>
      </c>
      <c r="W593" s="230">
        <f>VLOOKUP(R593,'PREMIUM TABLES'!$G$214:$H$219,2,FALSE)</f>
        <v>7.0000000000000007E-2</v>
      </c>
      <c r="X593" s="230">
        <f>VLOOKUP(S593,'PREMIUM TABLES'!$F$199:$H$205,3,FALSE)</f>
        <v>2.5000000000000001E-2</v>
      </c>
      <c r="Y593" s="231">
        <f t="shared" si="94"/>
        <v>0.64900000000000013</v>
      </c>
      <c r="Z593" s="231" t="str" cm="1">
        <f t="array" ref="Z593">IF(AND(Y593&gt;0,Y593&lt;0.5),"C",IF(AND(Y593&gt;=0.5,Y593&lt;0.73),"B",IF(AND(Y593&gt;=0.73,Y593&lt;0.98),"A",NONE)))</f>
        <v>B</v>
      </c>
      <c r="AA593" s="231" t="str">
        <f>VLOOKUP(G593,'ALL (R)'!$N$5:$R$862,5,FALSE)</f>
        <v>R 4</v>
      </c>
      <c r="AB593" s="232">
        <f>VLOOKUP(AA593,FACTS!$B$2:$L$14,10,FALSE)</f>
        <v>45687.5</v>
      </c>
      <c r="AC593" s="232">
        <f>VLOOKUP(AA593,FACTS!$B$2:$L$14,11,FALSE)</f>
        <v>51062.5</v>
      </c>
      <c r="AD593" s="232">
        <f>VLOOKUP(AA593,FACTS!$B$2:$N$14,13,FALSE)</f>
        <v>5375</v>
      </c>
      <c r="AE593" s="232">
        <f t="shared" si="95"/>
        <v>3488.3750000000009</v>
      </c>
      <c r="AF593" s="232">
        <f t="shared" si="96"/>
        <v>49175.875</v>
      </c>
      <c r="AG593" s="232">
        <f>AF593*FACTS!$T$2</f>
        <v>16228.038750000002</v>
      </c>
      <c r="AH593" s="232">
        <f>Table1[[#This Row],[UNIT (BUILDING) RATE (SEMI FINISHED)]]+4500</f>
        <v>53675.875</v>
      </c>
      <c r="AI593" s="232">
        <f>Table1[[#This Row],[UNIT (BUILDING) RATE (SEMI FINISHED)]]+7500</f>
        <v>56675.875</v>
      </c>
      <c r="AJ593" s="232">
        <f t="shared" si="97"/>
        <v>8507426.375</v>
      </c>
      <c r="AK593" s="232">
        <f>Table1[[#This Row],[UNIT (BUILDING) RATE (BASIC FINISH)]]*Table1[[#This Row],[Unit Selling Area]]</f>
        <v>9285926.375</v>
      </c>
      <c r="AL593" s="232">
        <f>Table1[[#This Row],[UNIT (BUILDING) RATE (FULLY FINISH)]]*Table1[[#This Row],[Unit Selling Area]]</f>
        <v>9804926.375</v>
      </c>
      <c r="AM593" s="232">
        <f t="shared" si="98"/>
        <v>0</v>
      </c>
      <c r="AN593" s="232">
        <f>(AM593+AJ593)*FACTS!$S$2</f>
        <v>723131.24187500007</v>
      </c>
      <c r="AO593" s="101">
        <f>VLOOKUP(S593,FACTS!$A$17:$C$23,3,FALSE)</f>
        <v>2</v>
      </c>
      <c r="AP593" s="232">
        <f>VLOOKUP(AA593,FACTS!$B$2:$J$14,9,FALSE)</f>
        <v>215000</v>
      </c>
      <c r="AQ593" s="232">
        <f>Table1[[#This Row],[PARKING VALUE]]*1</f>
        <v>215000</v>
      </c>
      <c r="AR593" s="232">
        <f t="shared" si="93"/>
        <v>8722426.375</v>
      </c>
      <c r="AS593" s="440">
        <f>Table1[[#This Row],[TOTAL CARS VALUE]]+Table1[[#This Row],[UNIT (BUILDING) VALUE BASIC FINISHED]]+Table1[[#This Row],[UNIT (GARDEN) VALUE]]</f>
        <v>9500926.375</v>
      </c>
      <c r="AT593" s="232">
        <f>Table1[[#This Row],[TOTAL CARS VALUE]]+Table1[[#This Row],[UNIT (GARDEN) VALUE]]+Table1[[#This Row],[UNIT (BUILDING) VALUE FULLY FINISHED]]</f>
        <v>10019926.375</v>
      </c>
      <c r="AU593" s="233">
        <f>VLOOKUP(I593,'C PHASES'!$I$108:$J$110,2,FALSE)</f>
        <v>46204</v>
      </c>
      <c r="AV593" s="233">
        <f>VLOOKUP(AA593,'C PHASES'!$I$113:$J$125,2,FALSE)</f>
        <v>45474</v>
      </c>
    </row>
    <row r="594" spans="1:48" x14ac:dyDescent="0.25">
      <c r="A594" s="236"/>
      <c r="B594" s="227" t="str">
        <f t="shared" si="91"/>
        <v>C</v>
      </c>
      <c r="C594" s="227" t="s">
        <v>38</v>
      </c>
      <c r="D594" s="227" t="s">
        <v>1147</v>
      </c>
      <c r="E594" s="228">
        <v>1</v>
      </c>
      <c r="F594" s="101">
        <v>2</v>
      </c>
      <c r="G594" s="87" t="str">
        <f t="shared" si="99"/>
        <v>C312</v>
      </c>
      <c r="H594" s="87" t="s">
        <v>1295</v>
      </c>
      <c r="I594" s="89" t="str">
        <f>VLOOKUP(C594,'PREMIUM TABLES'!$G$107:$H$149,2,FALSE)</f>
        <v>C2</v>
      </c>
      <c r="J594" s="89">
        <v>183.637</v>
      </c>
      <c r="K594" s="87">
        <v>203.48643253227053</v>
      </c>
      <c r="L594" s="87">
        <v>224</v>
      </c>
      <c r="M594" s="89"/>
      <c r="N594" s="89"/>
      <c r="O594" s="87" t="s">
        <v>180</v>
      </c>
      <c r="P594" s="87" t="s">
        <v>226</v>
      </c>
      <c r="Q594" s="229" t="s">
        <v>210</v>
      </c>
      <c r="R594" s="87" t="str">
        <f>VLOOKUP(E594,'PREMIUM TABLES'!$F$214:$G$219,2,FALSE)</f>
        <v>FIRST</v>
      </c>
      <c r="S594" s="87" t="str" cm="1">
        <f t="array" ref="S594">IF(AND(L594&gt;0,L594&lt;90),"A",IF(AND(L594&gt;90,L594&lt;123),"B",IF(AND(L594&gt;122,L594&lt;159),"C",IF(AND(L594&gt;159,L594&lt;185),"D",IF(AND(L594&gt;185,L594&lt;230),"E",IF(AND(L594&gt;230,L594&lt;350),"F",NONE))))))</f>
        <v>E</v>
      </c>
      <c r="T594" s="230">
        <f>VLOOKUP(O594,'PREMIUM TABLES'!$G$165:$H$172,2,FALSE)</f>
        <v>0.13</v>
      </c>
      <c r="U594" s="230">
        <f>VLOOKUP(P594,'PREMIUM TABLES'!$G$208:$H$209,2,FALSE)</f>
        <v>0.05</v>
      </c>
      <c r="V594" s="230">
        <f>VLOOKUP(Q594,'PREMIUM TABLES'!$G$175:$H$195,2,FALSE)</f>
        <v>0.53</v>
      </c>
      <c r="W594" s="230">
        <f>VLOOKUP(R594,'PREMIUM TABLES'!$G$214:$H$219,2,FALSE)</f>
        <v>7.0000000000000007E-2</v>
      </c>
      <c r="X594" s="230">
        <f>VLOOKUP(S594,'PREMIUM TABLES'!$F$199:$H$205,3,FALSE)</f>
        <v>1.4999999999999999E-2</v>
      </c>
      <c r="Y594" s="231">
        <f t="shared" si="94"/>
        <v>0.79500000000000004</v>
      </c>
      <c r="Z594" s="231" t="str" cm="1">
        <f t="array" ref="Z594">IF(AND(Y594&gt;0,Y594&lt;0.5),"C",IF(AND(Y594&gt;=0.5,Y594&lt;0.73),"B",IF(AND(Y594&gt;=0.73,Y594&lt;0.98),"A",NONE)))</f>
        <v>A</v>
      </c>
      <c r="AA594" s="231" t="str">
        <f>VLOOKUP(G594,'ALL (R)'!$N$5:$R$862,5,FALSE)</f>
        <v>R 5</v>
      </c>
      <c r="AB594" s="232">
        <f>VLOOKUP(AA594,FACTS!$B$2:$L$14,10,FALSE)</f>
        <v>46750.000000000007</v>
      </c>
      <c r="AC594" s="232">
        <f>VLOOKUP(AA594,FACTS!$B$2:$L$14,11,FALSE)</f>
        <v>52250.000000000007</v>
      </c>
      <c r="AD594" s="232">
        <f>VLOOKUP(AA594,FACTS!$B$2:$N$14,13,FALSE)</f>
        <v>5500</v>
      </c>
      <c r="AE594" s="232">
        <f t="shared" si="95"/>
        <v>4372.5</v>
      </c>
      <c r="AF594" s="232">
        <f t="shared" si="96"/>
        <v>51122.500000000007</v>
      </c>
      <c r="AG594" s="232">
        <f>AF594*FACTS!$T$2</f>
        <v>16870.425000000003</v>
      </c>
      <c r="AH594" s="232">
        <f>Table1[[#This Row],[UNIT (BUILDING) RATE (SEMI FINISHED)]]+4500</f>
        <v>55622.500000000007</v>
      </c>
      <c r="AI594" s="232">
        <f>Table1[[#This Row],[UNIT (BUILDING) RATE (SEMI FINISHED)]]+7500</f>
        <v>58622.500000000007</v>
      </c>
      <c r="AJ594" s="232">
        <f t="shared" si="97"/>
        <v>11451440.000000002</v>
      </c>
      <c r="AK594" s="232">
        <f>Table1[[#This Row],[UNIT (BUILDING) RATE (BASIC FINISH)]]*Table1[[#This Row],[Unit Selling Area]]</f>
        <v>12459440.000000002</v>
      </c>
      <c r="AL594" s="232">
        <f>Table1[[#This Row],[UNIT (BUILDING) RATE (FULLY FINISH)]]*Table1[[#This Row],[Unit Selling Area]]</f>
        <v>13131440.000000002</v>
      </c>
      <c r="AM594" s="232">
        <f t="shared" si="98"/>
        <v>0</v>
      </c>
      <c r="AN594" s="232">
        <f>(AM594+AJ594)*FACTS!$S$2</f>
        <v>973372.40000000026</v>
      </c>
      <c r="AO594" s="101">
        <f>VLOOKUP(S594,FACTS!$A$17:$C$23,3,FALSE)</f>
        <v>2</v>
      </c>
      <c r="AP594" s="232">
        <f>VLOOKUP(AA594,FACTS!$B$2:$J$14,9,FALSE)</f>
        <v>220000.00000000003</v>
      </c>
      <c r="AQ594" s="232">
        <f>Table1[[#This Row],[PARKING VALUE]]*1</f>
        <v>220000.00000000003</v>
      </c>
      <c r="AR594" s="232">
        <f t="shared" si="93"/>
        <v>11671440.000000002</v>
      </c>
      <c r="AS594" s="440">
        <f>Table1[[#This Row],[TOTAL CARS VALUE]]+Table1[[#This Row],[UNIT (BUILDING) VALUE BASIC FINISHED]]+Table1[[#This Row],[UNIT (GARDEN) VALUE]]</f>
        <v>12679440.000000002</v>
      </c>
      <c r="AT594" s="232">
        <f>Table1[[#This Row],[TOTAL CARS VALUE]]+Table1[[#This Row],[UNIT (GARDEN) VALUE]]+Table1[[#This Row],[UNIT (BUILDING) VALUE FULLY FINISHED]]</f>
        <v>13351440.000000002</v>
      </c>
      <c r="AU594" s="233">
        <f>VLOOKUP(I594,'C PHASES'!$I$108:$J$110,2,FALSE)</f>
        <v>46204</v>
      </c>
      <c r="AV594" s="233">
        <f>VLOOKUP(AA594,'C PHASES'!$I$113:$J$125,2,FALSE)</f>
        <v>45566</v>
      </c>
    </row>
    <row r="595" spans="1:48" x14ac:dyDescent="0.25">
      <c r="A595" s="236"/>
      <c r="B595" s="227" t="str">
        <f t="shared" si="91"/>
        <v>C</v>
      </c>
      <c r="C595" s="227" t="s">
        <v>38</v>
      </c>
      <c r="D595" s="227" t="s">
        <v>1147</v>
      </c>
      <c r="E595" s="228">
        <v>1</v>
      </c>
      <c r="F595" s="101">
        <v>3</v>
      </c>
      <c r="G595" s="87" t="str">
        <f t="shared" si="99"/>
        <v>C313</v>
      </c>
      <c r="H595" s="87" t="s">
        <v>1294</v>
      </c>
      <c r="I595" s="89" t="str">
        <f>VLOOKUP(C595,'PREMIUM TABLES'!$G$107:$H$149,2,FALSE)</f>
        <v>C2</v>
      </c>
      <c r="J595" s="89">
        <v>162.53100000000001</v>
      </c>
      <c r="K595" s="87">
        <v>180.09907244129704</v>
      </c>
      <c r="L595" s="87">
        <v>198</v>
      </c>
      <c r="M595" s="89"/>
      <c r="N595" s="89"/>
      <c r="O595" s="87" t="s">
        <v>180</v>
      </c>
      <c r="P595" s="87" t="s">
        <v>190</v>
      </c>
      <c r="Q595" s="229" t="s">
        <v>192</v>
      </c>
      <c r="R595" s="87" t="str">
        <f>VLOOKUP(E595,'PREMIUM TABLES'!$F$214:$G$219,2,FALSE)</f>
        <v>FIRST</v>
      </c>
      <c r="S595" s="87" t="str" cm="1">
        <f t="array" ref="S595">IF(AND(L595&gt;0,L595&lt;90),"A",IF(AND(L595&gt;90,L595&lt;123),"B",IF(AND(L595&gt;122,L595&lt;159),"C",IF(AND(L595&gt;159,L595&lt;185),"D",IF(AND(L595&gt;185,L595&lt;230),"E",IF(AND(L595&gt;230,L595&lt;350),"F",NONE))))))</f>
        <v>E</v>
      </c>
      <c r="T595" s="230">
        <f>VLOOKUP(O595,'PREMIUM TABLES'!$G$165:$H$172,2,FALSE)</f>
        <v>0.13</v>
      </c>
      <c r="U595" s="230">
        <f>VLOOKUP(P595,'PREMIUM TABLES'!$G$208:$H$209,2,FALSE)</f>
        <v>2.5000000000000001E-2</v>
      </c>
      <c r="V595" s="230">
        <f>VLOOKUP(Q595,'PREMIUM TABLES'!$G$175:$H$195,2,FALSE)</f>
        <v>0.46</v>
      </c>
      <c r="W595" s="230">
        <f>VLOOKUP(R595,'PREMIUM TABLES'!$G$214:$H$219,2,FALSE)</f>
        <v>7.0000000000000007E-2</v>
      </c>
      <c r="X595" s="230">
        <f>VLOOKUP(S595,'PREMIUM TABLES'!$F$199:$H$205,3,FALSE)</f>
        <v>1.4999999999999999E-2</v>
      </c>
      <c r="Y595" s="231">
        <f t="shared" si="94"/>
        <v>0.70000000000000007</v>
      </c>
      <c r="Z595" s="231" t="str" cm="1">
        <f t="array" ref="Z595">IF(AND(Y595&gt;0,Y595&lt;0.5),"C",IF(AND(Y595&gt;=0.5,Y595&lt;0.73),"B",IF(AND(Y595&gt;=0.73,Y595&lt;0.98),"A",NONE)))</f>
        <v>B</v>
      </c>
      <c r="AA595" s="231" t="str">
        <f>VLOOKUP(G595,'ALL (R)'!$N$5:$R$862,5,FALSE)</f>
        <v>R 9</v>
      </c>
      <c r="AB595" s="232">
        <f>VLOOKUP(AA595,FACTS!$B$2:$L$14,10,FALSE)</f>
        <v>53550</v>
      </c>
      <c r="AC595" s="232">
        <f>VLOOKUP(AA595,FACTS!$B$2:$L$14,11,FALSE)</f>
        <v>59850</v>
      </c>
      <c r="AD595" s="232">
        <f>VLOOKUP(AA595,FACTS!$B$2:$N$14,13,FALSE)</f>
        <v>6300</v>
      </c>
      <c r="AE595" s="232">
        <f t="shared" si="95"/>
        <v>4410</v>
      </c>
      <c r="AF595" s="232">
        <f t="shared" si="96"/>
        <v>57960</v>
      </c>
      <c r="AG595" s="232">
        <f>AF595*FACTS!$T$2</f>
        <v>19126.8</v>
      </c>
      <c r="AH595" s="232">
        <f>Table1[[#This Row],[UNIT (BUILDING) RATE (SEMI FINISHED)]]+4500</f>
        <v>62460</v>
      </c>
      <c r="AI595" s="232">
        <f>Table1[[#This Row],[UNIT (BUILDING) RATE (SEMI FINISHED)]]+7500</f>
        <v>65460</v>
      </c>
      <c r="AJ595" s="232">
        <f t="shared" si="97"/>
        <v>11476080</v>
      </c>
      <c r="AK595" s="232">
        <f>Table1[[#This Row],[UNIT (BUILDING) RATE (BASIC FINISH)]]*Table1[[#This Row],[Unit Selling Area]]</f>
        <v>12367080</v>
      </c>
      <c r="AL595" s="232">
        <f>Table1[[#This Row],[UNIT (BUILDING) RATE (FULLY FINISH)]]*Table1[[#This Row],[Unit Selling Area]]</f>
        <v>12961080</v>
      </c>
      <c r="AM595" s="232">
        <f t="shared" si="98"/>
        <v>0</v>
      </c>
      <c r="AN595" s="232">
        <f>(AM595+AJ595)*FACTS!$S$2</f>
        <v>975466.8</v>
      </c>
      <c r="AO595" s="101">
        <f>VLOOKUP(S595,FACTS!$A$17:$C$23,3,FALSE)</f>
        <v>2</v>
      </c>
      <c r="AP595" s="232">
        <f>VLOOKUP(AA595,FACTS!$B$2:$J$14,9,FALSE)</f>
        <v>252000</v>
      </c>
      <c r="AQ595" s="232">
        <f>Table1[[#This Row],[PARKING VALUE]]*1</f>
        <v>252000</v>
      </c>
      <c r="AR595" s="232">
        <f t="shared" si="93"/>
        <v>11728080</v>
      </c>
      <c r="AS595" s="440">
        <f>Table1[[#This Row],[TOTAL CARS VALUE]]+Table1[[#This Row],[UNIT (BUILDING) VALUE BASIC FINISHED]]+Table1[[#This Row],[UNIT (GARDEN) VALUE]]</f>
        <v>12619080</v>
      </c>
      <c r="AT595" s="232">
        <f>Table1[[#This Row],[TOTAL CARS VALUE]]+Table1[[#This Row],[UNIT (GARDEN) VALUE]]+Table1[[#This Row],[UNIT (BUILDING) VALUE FULLY FINISHED]]</f>
        <v>13213080</v>
      </c>
      <c r="AU595" s="233">
        <f>VLOOKUP(I595,'C PHASES'!$I$108:$J$110,2,FALSE)</f>
        <v>46204</v>
      </c>
      <c r="AV595" s="233">
        <f>VLOOKUP(AA595,'C PHASES'!$I$113:$J$125,2,FALSE)</f>
        <v>45931</v>
      </c>
    </row>
    <row r="596" spans="1:48" x14ac:dyDescent="0.25">
      <c r="A596" s="236"/>
      <c r="B596" s="227" t="str">
        <f t="shared" si="91"/>
        <v>C</v>
      </c>
      <c r="C596" s="227" t="s">
        <v>38</v>
      </c>
      <c r="D596" s="227" t="s">
        <v>1147</v>
      </c>
      <c r="E596" s="228">
        <v>1</v>
      </c>
      <c r="F596" s="101">
        <v>4</v>
      </c>
      <c r="G596" s="87" t="str">
        <f t="shared" si="99"/>
        <v>C314</v>
      </c>
      <c r="H596" s="87" t="s">
        <v>1293</v>
      </c>
      <c r="I596" s="89" t="str">
        <f>VLOOKUP(C596,'PREMIUM TABLES'!$G$107:$H$149,2,FALSE)</f>
        <v>C2</v>
      </c>
      <c r="J596" s="89">
        <v>96.271000000000001</v>
      </c>
      <c r="K596" s="87">
        <v>106.6769896388757</v>
      </c>
      <c r="L596" s="87">
        <v>117</v>
      </c>
      <c r="M596" s="89"/>
      <c r="N596" s="89"/>
      <c r="O596" s="87" t="s">
        <v>187</v>
      </c>
      <c r="P596" s="87" t="s">
        <v>190</v>
      </c>
      <c r="Q596" s="229" t="s">
        <v>199</v>
      </c>
      <c r="R596" s="87" t="str">
        <f>VLOOKUP(E596,'PREMIUM TABLES'!$F$214:$G$219,2,FALSE)</f>
        <v>FIRST</v>
      </c>
      <c r="S596" s="87" t="str" cm="1">
        <f t="array" ref="S596">IF(AND(L596&gt;0,L596&lt;90),"A",IF(AND(L596&gt;90,L596&lt;123),"B",IF(AND(L596&gt;122,L596&lt;159),"C",IF(AND(L596&gt;159,L596&lt;185),"D",IF(AND(L596&gt;185,L596&lt;230),"E",IF(AND(L596&gt;230,L596&lt;350),"F",NONE))))))</f>
        <v>B</v>
      </c>
      <c r="T596" s="230">
        <f>VLOOKUP(O596,'PREMIUM TABLES'!$G$165:$H$172,2,FALSE)</f>
        <v>0.08</v>
      </c>
      <c r="U596" s="230">
        <f>VLOOKUP(P596,'PREMIUM TABLES'!$G$208:$H$209,2,FALSE)</f>
        <v>2.5000000000000001E-2</v>
      </c>
      <c r="V596" s="230">
        <f>VLOOKUP(Q596,'PREMIUM TABLES'!$G$175:$H$195,2,FALSE)</f>
        <v>0.13</v>
      </c>
      <c r="W596" s="230">
        <f>VLOOKUP(R596,'PREMIUM TABLES'!$G$214:$H$219,2,FALSE)</f>
        <v>7.0000000000000007E-2</v>
      </c>
      <c r="X596" s="230">
        <f>VLOOKUP(S596,'PREMIUM TABLES'!$F$199:$H$205,3,FALSE)</f>
        <v>0.04</v>
      </c>
      <c r="Y596" s="231">
        <f t="shared" si="94"/>
        <v>0.34500000000000003</v>
      </c>
      <c r="Z596" s="231" t="str" cm="1">
        <f t="array" ref="Z596">IF(AND(Y596&gt;0,Y596&lt;0.5),"C",IF(AND(Y596&gt;=0.5,Y596&lt;0.73),"B",IF(AND(Y596&gt;=0.73,Y596&lt;0.98),"A",NONE)))</f>
        <v>C</v>
      </c>
      <c r="AA596" s="231" t="str">
        <f>VLOOKUP(G596,'ALL (R)'!$N$5:$R$862,5,FALSE)</f>
        <v>R 1</v>
      </c>
      <c r="AB596" s="232">
        <f>VLOOKUP(AA596,FACTS!$B$2:$L$14,10,FALSE)</f>
        <v>42500</v>
      </c>
      <c r="AC596" s="232">
        <f>VLOOKUP(AA596,FACTS!$B$2:$L$14,11,FALSE)</f>
        <v>47500</v>
      </c>
      <c r="AD596" s="232">
        <f>VLOOKUP(AA596,FACTS!$B$2:$N$14,13,FALSE)</f>
        <v>5000</v>
      </c>
      <c r="AE596" s="232">
        <f t="shared" si="95"/>
        <v>1725.0000000000002</v>
      </c>
      <c r="AF596" s="232">
        <f t="shared" si="96"/>
        <v>44225</v>
      </c>
      <c r="AG596" s="232">
        <f>AF596*FACTS!$T$2</f>
        <v>14594.25</v>
      </c>
      <c r="AH596" s="232">
        <f>Table1[[#This Row],[UNIT (BUILDING) RATE (SEMI FINISHED)]]+4500</f>
        <v>48725</v>
      </c>
      <c r="AI596" s="232">
        <f>Table1[[#This Row],[UNIT (BUILDING) RATE (SEMI FINISHED)]]+7500</f>
        <v>51725</v>
      </c>
      <c r="AJ596" s="232">
        <f t="shared" si="97"/>
        <v>5174325</v>
      </c>
      <c r="AK596" s="232">
        <f>Table1[[#This Row],[UNIT (BUILDING) RATE (BASIC FINISH)]]*Table1[[#This Row],[Unit Selling Area]]</f>
        <v>5700825</v>
      </c>
      <c r="AL596" s="232">
        <f>Table1[[#This Row],[UNIT (BUILDING) RATE (FULLY FINISH)]]*Table1[[#This Row],[Unit Selling Area]]</f>
        <v>6051825</v>
      </c>
      <c r="AM596" s="232">
        <f t="shared" si="98"/>
        <v>0</v>
      </c>
      <c r="AN596" s="232">
        <f>(AM596+AJ596)*FACTS!$S$2</f>
        <v>439817.62500000006</v>
      </c>
      <c r="AO596" s="101">
        <f>VLOOKUP(S596,FACTS!$A$17:$C$23,3,FALSE)</f>
        <v>1</v>
      </c>
      <c r="AP596" s="232">
        <f>VLOOKUP(AA596,FACTS!$B$2:$J$14,9,FALSE)</f>
        <v>200000</v>
      </c>
      <c r="AQ596" s="232">
        <f>Table1[[#This Row],[PARKING VALUE]]*1</f>
        <v>200000</v>
      </c>
      <c r="AR596" s="232">
        <f t="shared" si="93"/>
        <v>5374325</v>
      </c>
      <c r="AS596" s="440">
        <f>Table1[[#This Row],[TOTAL CARS VALUE]]+Table1[[#This Row],[UNIT (BUILDING) VALUE BASIC FINISHED]]+Table1[[#This Row],[UNIT (GARDEN) VALUE]]</f>
        <v>5900825</v>
      </c>
      <c r="AT596" s="232">
        <f>Table1[[#This Row],[TOTAL CARS VALUE]]+Table1[[#This Row],[UNIT (GARDEN) VALUE]]+Table1[[#This Row],[UNIT (BUILDING) VALUE FULLY FINISHED]]</f>
        <v>6251825</v>
      </c>
      <c r="AU596" s="233">
        <f>VLOOKUP(I596,'C PHASES'!$I$108:$J$110,2,FALSE)</f>
        <v>46204</v>
      </c>
      <c r="AV596" s="233">
        <f>VLOOKUP(AA596,'C PHASES'!$I$113:$J$125,2,FALSE)</f>
        <v>45170</v>
      </c>
    </row>
    <row r="597" spans="1:48" x14ac:dyDescent="0.25">
      <c r="A597" s="236"/>
      <c r="B597" s="227" t="str">
        <f t="shared" si="91"/>
        <v>C</v>
      </c>
      <c r="C597" s="227" t="s">
        <v>38</v>
      </c>
      <c r="D597" s="227" t="s">
        <v>1147</v>
      </c>
      <c r="E597" s="228">
        <v>2</v>
      </c>
      <c r="F597" s="101">
        <v>1</v>
      </c>
      <c r="G597" s="87" t="str">
        <f t="shared" si="99"/>
        <v>C321</v>
      </c>
      <c r="H597" s="87" t="s">
        <v>1294</v>
      </c>
      <c r="I597" s="89" t="str">
        <f>VLOOKUP(C597,'PREMIUM TABLES'!$G$107:$H$149,2,FALSE)</f>
        <v>C2</v>
      </c>
      <c r="J597" s="89">
        <v>143.989</v>
      </c>
      <c r="K597" s="87">
        <v>159.55285663504142</v>
      </c>
      <c r="L597" s="87">
        <v>176</v>
      </c>
      <c r="M597" s="89"/>
      <c r="N597" s="89"/>
      <c r="O597" s="87" t="s">
        <v>187</v>
      </c>
      <c r="P597" s="87" t="s">
        <v>226</v>
      </c>
      <c r="Q597" s="229" t="s">
        <v>228</v>
      </c>
      <c r="R597" s="87" t="str">
        <f>VLOOKUP(E597,'PREMIUM TABLES'!$F$214:$G$219,2,FALSE)</f>
        <v>SECOND</v>
      </c>
      <c r="S597" s="87" t="str" cm="1">
        <f t="array" ref="S597">IF(AND(L597&gt;0,L597&lt;90),"A",IF(AND(L597&gt;90,L597&lt;123),"B",IF(AND(L597&gt;122,L597&lt;159),"C",IF(AND(L597&gt;159,L597&lt;185),"D",IF(AND(L597&gt;185,L597&lt;230),"E",IF(AND(L597&gt;230,L597&lt;350),"F",NONE))))))</f>
        <v>D</v>
      </c>
      <c r="T597" s="230">
        <f>VLOOKUP(O597,'PREMIUM TABLES'!$G$165:$H$172,2,FALSE)</f>
        <v>0.08</v>
      </c>
      <c r="U597" s="230">
        <f>VLOOKUP(P597,'PREMIUM TABLES'!$G$208:$H$209,2,FALSE)</f>
        <v>0.05</v>
      </c>
      <c r="V597" s="230">
        <f>VLOOKUP(Q597,'PREMIUM TABLES'!$G$175:$H$195,2,FALSE)</f>
        <v>0.42400000000000004</v>
      </c>
      <c r="W597" s="230">
        <f>VLOOKUP(R597,'PREMIUM TABLES'!$G$214:$H$219,2,FALSE)</f>
        <v>0.11</v>
      </c>
      <c r="X597" s="230">
        <f>VLOOKUP(S597,'PREMIUM TABLES'!$F$199:$H$205,3,FALSE)</f>
        <v>2.5000000000000001E-2</v>
      </c>
      <c r="Y597" s="231">
        <f t="shared" si="94"/>
        <v>0.68900000000000006</v>
      </c>
      <c r="Z597" s="231" t="str" cm="1">
        <f t="array" ref="Z597">IF(AND(Y597&gt;0,Y597&lt;0.5),"C",IF(AND(Y597&gt;=0.5,Y597&lt;0.73),"B",IF(AND(Y597&gt;=0.73,Y597&lt;0.98),"A",NONE)))</f>
        <v>B</v>
      </c>
      <c r="AA597" s="231" t="str">
        <f>VLOOKUP(G597,'ALL (R)'!$N$5:$R$862,5,FALSE)</f>
        <v>R 8</v>
      </c>
      <c r="AB597" s="232">
        <f>VLOOKUP(AA597,FACTS!$B$2:$L$14,10,FALSE)</f>
        <v>51850</v>
      </c>
      <c r="AC597" s="232">
        <f>VLOOKUP(AA597,FACTS!$B$2:$L$14,11,FALSE)</f>
        <v>57950</v>
      </c>
      <c r="AD597" s="232">
        <f>VLOOKUP(AA597,FACTS!$B$2:$N$14,13,FALSE)</f>
        <v>6100</v>
      </c>
      <c r="AE597" s="232">
        <f t="shared" si="95"/>
        <v>4202.9000000000005</v>
      </c>
      <c r="AF597" s="232">
        <f t="shared" si="96"/>
        <v>56052.9</v>
      </c>
      <c r="AG597" s="232">
        <f>AF597*FACTS!$T$2</f>
        <v>18497.457000000002</v>
      </c>
      <c r="AH597" s="232">
        <f>Table1[[#This Row],[UNIT (BUILDING) RATE (SEMI FINISHED)]]+4500</f>
        <v>60552.9</v>
      </c>
      <c r="AI597" s="232">
        <f>Table1[[#This Row],[UNIT (BUILDING) RATE (SEMI FINISHED)]]+7500</f>
        <v>63552.9</v>
      </c>
      <c r="AJ597" s="232">
        <f t="shared" si="97"/>
        <v>9865310.4000000004</v>
      </c>
      <c r="AK597" s="232">
        <f>Table1[[#This Row],[UNIT (BUILDING) RATE (BASIC FINISH)]]*Table1[[#This Row],[Unit Selling Area]]</f>
        <v>10657310.4</v>
      </c>
      <c r="AL597" s="232">
        <f>Table1[[#This Row],[UNIT (BUILDING) RATE (FULLY FINISH)]]*Table1[[#This Row],[Unit Selling Area]]</f>
        <v>11185310.4</v>
      </c>
      <c r="AM597" s="232">
        <f t="shared" si="98"/>
        <v>0</v>
      </c>
      <c r="AN597" s="232">
        <f>(AM597+AJ597)*FACTS!$S$2</f>
        <v>838551.38400000008</v>
      </c>
      <c r="AO597" s="101">
        <f>VLOOKUP(S597,FACTS!$A$17:$C$23,3,FALSE)</f>
        <v>2</v>
      </c>
      <c r="AP597" s="232">
        <f>VLOOKUP(AA597,FACTS!$B$2:$J$14,9,FALSE)</f>
        <v>244000</v>
      </c>
      <c r="AQ597" s="232">
        <f>Table1[[#This Row],[PARKING VALUE]]*1</f>
        <v>244000</v>
      </c>
      <c r="AR597" s="232">
        <f t="shared" si="93"/>
        <v>10109310.4</v>
      </c>
      <c r="AS597" s="440">
        <f>Table1[[#This Row],[TOTAL CARS VALUE]]+Table1[[#This Row],[UNIT (BUILDING) VALUE BASIC FINISHED]]+Table1[[#This Row],[UNIT (GARDEN) VALUE]]</f>
        <v>10901310.4</v>
      </c>
      <c r="AT597" s="232">
        <f>Table1[[#This Row],[TOTAL CARS VALUE]]+Table1[[#This Row],[UNIT (GARDEN) VALUE]]+Table1[[#This Row],[UNIT (BUILDING) VALUE FULLY FINISHED]]</f>
        <v>11429310.4</v>
      </c>
      <c r="AU597" s="233">
        <f>VLOOKUP(I597,'C PHASES'!$I$108:$J$110,2,FALSE)</f>
        <v>46204</v>
      </c>
      <c r="AV597" s="233">
        <f>VLOOKUP(AA597,'C PHASES'!$I$113:$J$125,2,FALSE)</f>
        <v>45839</v>
      </c>
    </row>
    <row r="598" spans="1:48" x14ac:dyDescent="0.25">
      <c r="A598" s="236"/>
      <c r="B598" s="227" t="str">
        <f t="shared" si="91"/>
        <v>C</v>
      </c>
      <c r="C598" s="227" t="s">
        <v>38</v>
      </c>
      <c r="D598" s="227" t="s">
        <v>1147</v>
      </c>
      <c r="E598" s="228">
        <v>2</v>
      </c>
      <c r="F598" s="101">
        <v>2</v>
      </c>
      <c r="G598" s="87" t="str">
        <f t="shared" si="99"/>
        <v>C322</v>
      </c>
      <c r="H598" s="87" t="s">
        <v>1295</v>
      </c>
      <c r="I598" s="89" t="str">
        <f>VLOOKUP(C598,'PREMIUM TABLES'!$G$107:$H$149,2,FALSE)</f>
        <v>C2</v>
      </c>
      <c r="J598" s="89">
        <v>187.1</v>
      </c>
      <c r="K598" s="87">
        <v>207.32375026159116</v>
      </c>
      <c r="L598" s="87">
        <v>228</v>
      </c>
      <c r="M598" s="89"/>
      <c r="N598" s="89"/>
      <c r="O598" s="87" t="s">
        <v>180</v>
      </c>
      <c r="P598" s="87" t="s">
        <v>226</v>
      </c>
      <c r="Q598" s="229" t="s">
        <v>210</v>
      </c>
      <c r="R598" s="87" t="str">
        <f>VLOOKUP(E598,'PREMIUM TABLES'!$F$214:$G$219,2,FALSE)</f>
        <v>SECOND</v>
      </c>
      <c r="S598" s="87" t="str" cm="1">
        <f t="array" ref="S598">IF(AND(L598&gt;0,L598&lt;90),"A",IF(AND(L598&gt;90,L598&lt;123),"B",IF(AND(L598&gt;122,L598&lt;159),"C",IF(AND(L598&gt;159,L598&lt;185),"D",IF(AND(L598&gt;185,L598&lt;230),"E",IF(AND(L598&gt;230,L598&lt;350),"F",NONE))))))</f>
        <v>E</v>
      </c>
      <c r="T598" s="230">
        <f>VLOOKUP(O598,'PREMIUM TABLES'!$G$165:$H$172,2,FALSE)</f>
        <v>0.13</v>
      </c>
      <c r="U598" s="230">
        <f>VLOOKUP(P598,'PREMIUM TABLES'!$G$208:$H$209,2,FALSE)</f>
        <v>0.05</v>
      </c>
      <c r="V598" s="230">
        <f>VLOOKUP(Q598,'PREMIUM TABLES'!$G$175:$H$195,2,FALSE)</f>
        <v>0.53</v>
      </c>
      <c r="W598" s="230">
        <f>VLOOKUP(R598,'PREMIUM TABLES'!$G$214:$H$219,2,FALSE)</f>
        <v>0.11</v>
      </c>
      <c r="X598" s="230">
        <f>VLOOKUP(S598,'PREMIUM TABLES'!$F$199:$H$205,3,FALSE)</f>
        <v>1.4999999999999999E-2</v>
      </c>
      <c r="Y598" s="231">
        <f t="shared" si="94"/>
        <v>0.83499999999999996</v>
      </c>
      <c r="Z598" s="231" t="str" cm="1">
        <f t="array" ref="Z598">IF(AND(Y598&gt;0,Y598&lt;0.5),"C",IF(AND(Y598&gt;=0.5,Y598&lt;0.73),"B",IF(AND(Y598&gt;=0.73,Y598&lt;0.98),"A",NONE)))</f>
        <v>A</v>
      </c>
      <c r="AA598" s="231" t="str">
        <f>VLOOKUP(G598,'ALL (R)'!$N$5:$R$862,5,FALSE)</f>
        <v>R 8</v>
      </c>
      <c r="AB598" s="232">
        <f>VLOOKUP(AA598,FACTS!$B$2:$L$14,10,FALSE)</f>
        <v>51850</v>
      </c>
      <c r="AC598" s="232">
        <f>VLOOKUP(AA598,FACTS!$B$2:$L$14,11,FALSE)</f>
        <v>57950</v>
      </c>
      <c r="AD598" s="232">
        <f>VLOOKUP(AA598,FACTS!$B$2:$N$14,13,FALSE)</f>
        <v>6100</v>
      </c>
      <c r="AE598" s="232">
        <f t="shared" si="95"/>
        <v>5093.5</v>
      </c>
      <c r="AF598" s="232">
        <f t="shared" si="96"/>
        <v>56943.5</v>
      </c>
      <c r="AG598" s="232">
        <f>AF598*FACTS!$T$2</f>
        <v>18791.355</v>
      </c>
      <c r="AH598" s="232">
        <f>Table1[[#This Row],[UNIT (BUILDING) RATE (SEMI FINISHED)]]+4500</f>
        <v>61443.5</v>
      </c>
      <c r="AI598" s="232">
        <f>Table1[[#This Row],[UNIT (BUILDING) RATE (SEMI FINISHED)]]+7500</f>
        <v>64443.5</v>
      </c>
      <c r="AJ598" s="232">
        <f t="shared" si="97"/>
        <v>12983118</v>
      </c>
      <c r="AK598" s="232">
        <f>Table1[[#This Row],[UNIT (BUILDING) RATE (BASIC FINISH)]]*Table1[[#This Row],[Unit Selling Area]]</f>
        <v>14009118</v>
      </c>
      <c r="AL598" s="232">
        <f>Table1[[#This Row],[UNIT (BUILDING) RATE (FULLY FINISH)]]*Table1[[#This Row],[Unit Selling Area]]</f>
        <v>14693118</v>
      </c>
      <c r="AM598" s="232">
        <f t="shared" si="98"/>
        <v>0</v>
      </c>
      <c r="AN598" s="232">
        <f>(AM598+AJ598)*FACTS!$S$2</f>
        <v>1103565.03</v>
      </c>
      <c r="AO598" s="101">
        <f>VLOOKUP(S598,FACTS!$A$17:$C$23,3,FALSE)</f>
        <v>2</v>
      </c>
      <c r="AP598" s="232">
        <f>VLOOKUP(AA598,FACTS!$B$2:$J$14,9,FALSE)</f>
        <v>244000</v>
      </c>
      <c r="AQ598" s="232">
        <f>Table1[[#This Row],[PARKING VALUE]]*1</f>
        <v>244000</v>
      </c>
      <c r="AR598" s="232">
        <f t="shared" si="93"/>
        <v>13227118</v>
      </c>
      <c r="AS598" s="440">
        <f>Table1[[#This Row],[TOTAL CARS VALUE]]+Table1[[#This Row],[UNIT (BUILDING) VALUE BASIC FINISHED]]+Table1[[#This Row],[UNIT (GARDEN) VALUE]]</f>
        <v>14253118</v>
      </c>
      <c r="AT598" s="232">
        <f>Table1[[#This Row],[TOTAL CARS VALUE]]+Table1[[#This Row],[UNIT (GARDEN) VALUE]]+Table1[[#This Row],[UNIT (BUILDING) VALUE FULLY FINISHED]]</f>
        <v>14937118</v>
      </c>
      <c r="AU598" s="233">
        <f>VLOOKUP(I598,'C PHASES'!$I$108:$J$110,2,FALSE)</f>
        <v>46204</v>
      </c>
      <c r="AV598" s="233">
        <f>VLOOKUP(AA598,'C PHASES'!$I$113:$J$125,2,FALSE)</f>
        <v>45839</v>
      </c>
    </row>
    <row r="599" spans="1:48" x14ac:dyDescent="0.25">
      <c r="A599" s="236"/>
      <c r="B599" s="227" t="str">
        <f t="shared" si="91"/>
        <v>C</v>
      </c>
      <c r="C599" s="227" t="s">
        <v>38</v>
      </c>
      <c r="D599" s="227" t="s">
        <v>1147</v>
      </c>
      <c r="E599" s="228">
        <v>2</v>
      </c>
      <c r="F599" s="101">
        <v>3</v>
      </c>
      <c r="G599" s="87" t="str">
        <f t="shared" si="99"/>
        <v>C323</v>
      </c>
      <c r="H599" s="87" t="s">
        <v>1294</v>
      </c>
      <c r="I599" s="89" t="str">
        <f>VLOOKUP(C599,'PREMIUM TABLES'!$G$107:$H$149,2,FALSE)</f>
        <v>C2</v>
      </c>
      <c r="J599" s="89">
        <v>167.16900000000001</v>
      </c>
      <c r="K599" s="87">
        <v>185.23839661934761</v>
      </c>
      <c r="L599" s="87">
        <v>204</v>
      </c>
      <c r="M599" s="89"/>
      <c r="N599" s="89"/>
      <c r="O599" s="87" t="s">
        <v>180</v>
      </c>
      <c r="P599" s="87" t="s">
        <v>190</v>
      </c>
      <c r="Q599" s="229" t="s">
        <v>192</v>
      </c>
      <c r="R599" s="87" t="str">
        <f>VLOOKUP(E599,'PREMIUM TABLES'!$F$214:$G$219,2,FALSE)</f>
        <v>SECOND</v>
      </c>
      <c r="S599" s="87" t="str" cm="1">
        <f t="array" ref="S599">IF(AND(L599&gt;0,L599&lt;90),"A",IF(AND(L599&gt;90,L599&lt;123),"B",IF(AND(L599&gt;122,L599&lt;159),"C",IF(AND(L599&gt;159,L599&lt;185),"D",IF(AND(L599&gt;185,L599&lt;230),"E",IF(AND(L599&gt;230,L599&lt;350),"F",NONE))))))</f>
        <v>E</v>
      </c>
      <c r="T599" s="230">
        <f>VLOOKUP(O599,'PREMIUM TABLES'!$G$165:$H$172,2,FALSE)</f>
        <v>0.13</v>
      </c>
      <c r="U599" s="230">
        <f>VLOOKUP(P599,'PREMIUM TABLES'!$G$208:$H$209,2,FALSE)</f>
        <v>2.5000000000000001E-2</v>
      </c>
      <c r="V599" s="230">
        <f>VLOOKUP(Q599,'PREMIUM TABLES'!$G$175:$H$195,2,FALSE)</f>
        <v>0.46</v>
      </c>
      <c r="W599" s="230">
        <f>VLOOKUP(R599,'PREMIUM TABLES'!$G$214:$H$219,2,FALSE)</f>
        <v>0.11</v>
      </c>
      <c r="X599" s="230">
        <f>VLOOKUP(S599,'PREMIUM TABLES'!$F$199:$H$205,3,FALSE)</f>
        <v>1.4999999999999999E-2</v>
      </c>
      <c r="Y599" s="231">
        <f t="shared" si="94"/>
        <v>0.74</v>
      </c>
      <c r="Z599" s="231" t="str" cm="1">
        <f t="array" ref="Z599">IF(AND(Y599&gt;0,Y599&lt;0.5),"C",IF(AND(Y599&gt;=0.5,Y599&lt;0.73),"B",IF(AND(Y599&gt;=0.73,Y599&lt;0.98),"A",NONE)))</f>
        <v>A</v>
      </c>
      <c r="AA599" s="231" t="str">
        <f>VLOOKUP(G599,'ALL (R)'!$N$5:$R$862,5,FALSE)</f>
        <v>R 1</v>
      </c>
      <c r="AB599" s="232">
        <f>VLOOKUP(AA599,FACTS!$B$2:$L$14,10,FALSE)</f>
        <v>42500</v>
      </c>
      <c r="AC599" s="232">
        <f>VLOOKUP(AA599,FACTS!$B$2:$L$14,11,FALSE)</f>
        <v>47500</v>
      </c>
      <c r="AD599" s="232">
        <f>VLOOKUP(AA599,FACTS!$B$2:$N$14,13,FALSE)</f>
        <v>5000</v>
      </c>
      <c r="AE599" s="232">
        <f t="shared" si="95"/>
        <v>3700</v>
      </c>
      <c r="AF599" s="232">
        <f t="shared" si="96"/>
        <v>46200</v>
      </c>
      <c r="AG599" s="232">
        <f>AF599*FACTS!$T$2</f>
        <v>15246</v>
      </c>
      <c r="AH599" s="232">
        <f>Table1[[#This Row],[UNIT (BUILDING) RATE (SEMI FINISHED)]]+4500</f>
        <v>50700</v>
      </c>
      <c r="AI599" s="232">
        <f>Table1[[#This Row],[UNIT (BUILDING) RATE (SEMI FINISHED)]]+7500</f>
        <v>53700</v>
      </c>
      <c r="AJ599" s="232">
        <f t="shared" si="97"/>
        <v>9424800</v>
      </c>
      <c r="AK599" s="232">
        <f>Table1[[#This Row],[UNIT (BUILDING) RATE (BASIC FINISH)]]*Table1[[#This Row],[Unit Selling Area]]</f>
        <v>10342800</v>
      </c>
      <c r="AL599" s="232">
        <f>Table1[[#This Row],[UNIT (BUILDING) RATE (FULLY FINISH)]]*Table1[[#This Row],[Unit Selling Area]]</f>
        <v>10954800</v>
      </c>
      <c r="AM599" s="232">
        <f t="shared" si="98"/>
        <v>0</v>
      </c>
      <c r="AN599" s="232">
        <f>(AM599+AJ599)*FACTS!$S$2</f>
        <v>801108</v>
      </c>
      <c r="AO599" s="101">
        <f>VLOOKUP(S599,FACTS!$A$17:$C$23,3,FALSE)</f>
        <v>2</v>
      </c>
      <c r="AP599" s="232">
        <f>VLOOKUP(AA599,FACTS!$B$2:$J$14,9,FALSE)</f>
        <v>200000</v>
      </c>
      <c r="AQ599" s="232">
        <f>Table1[[#This Row],[PARKING VALUE]]*1</f>
        <v>200000</v>
      </c>
      <c r="AR599" s="232">
        <f t="shared" si="93"/>
        <v>9624800</v>
      </c>
      <c r="AS599" s="440">
        <f>Table1[[#This Row],[TOTAL CARS VALUE]]+Table1[[#This Row],[UNIT (BUILDING) VALUE BASIC FINISHED]]+Table1[[#This Row],[UNIT (GARDEN) VALUE]]</f>
        <v>10542800</v>
      </c>
      <c r="AT599" s="232">
        <f>Table1[[#This Row],[TOTAL CARS VALUE]]+Table1[[#This Row],[UNIT (GARDEN) VALUE]]+Table1[[#This Row],[UNIT (BUILDING) VALUE FULLY FINISHED]]</f>
        <v>11154800</v>
      </c>
      <c r="AU599" s="233">
        <f>VLOOKUP(I599,'C PHASES'!$I$108:$J$110,2,FALSE)</f>
        <v>46204</v>
      </c>
      <c r="AV599" s="233">
        <f>VLOOKUP(AA599,'C PHASES'!$I$113:$J$125,2,FALSE)</f>
        <v>45170</v>
      </c>
    </row>
    <row r="600" spans="1:48" x14ac:dyDescent="0.25">
      <c r="A600" s="236"/>
      <c r="B600" s="227" t="str">
        <f t="shared" si="91"/>
        <v>C</v>
      </c>
      <c r="C600" s="227" t="s">
        <v>38</v>
      </c>
      <c r="D600" s="227" t="s">
        <v>1147</v>
      </c>
      <c r="E600" s="228">
        <v>2</v>
      </c>
      <c r="F600" s="101">
        <v>4</v>
      </c>
      <c r="G600" s="87" t="str">
        <f t="shared" si="99"/>
        <v>C324</v>
      </c>
      <c r="H600" s="87" t="s">
        <v>1294</v>
      </c>
      <c r="I600" s="89" t="str">
        <f>VLOOKUP(C600,'PREMIUM TABLES'!$G$107:$H$149,2,FALSE)</f>
        <v>C2</v>
      </c>
      <c r="J600" s="89">
        <v>141.18700000000001</v>
      </c>
      <c r="K600" s="87">
        <v>156.44798678879354</v>
      </c>
      <c r="L600" s="87">
        <v>172</v>
      </c>
      <c r="M600" s="89"/>
      <c r="N600" s="89"/>
      <c r="O600" s="87" t="s">
        <v>187</v>
      </c>
      <c r="P600" s="87" t="s">
        <v>190</v>
      </c>
      <c r="Q600" s="229" t="s">
        <v>199</v>
      </c>
      <c r="R600" s="87" t="str">
        <f>VLOOKUP(E600,'PREMIUM TABLES'!$F$214:$G$219,2,FALSE)</f>
        <v>SECOND</v>
      </c>
      <c r="S600" s="87" t="str" cm="1">
        <f t="array" ref="S600">IF(AND(L600&gt;0,L600&lt;90),"A",IF(AND(L600&gt;90,L600&lt;123),"B",IF(AND(L600&gt;122,L600&lt;159),"C",IF(AND(L600&gt;159,L600&lt;185),"D",IF(AND(L600&gt;185,L600&lt;230),"E",IF(AND(L600&gt;230,L600&lt;350),"F",NONE))))))</f>
        <v>D</v>
      </c>
      <c r="T600" s="230">
        <f>VLOOKUP(O600,'PREMIUM TABLES'!$G$165:$H$172,2,FALSE)</f>
        <v>0.08</v>
      </c>
      <c r="U600" s="230">
        <f>VLOOKUP(P600,'PREMIUM TABLES'!$G$208:$H$209,2,FALSE)</f>
        <v>2.5000000000000001E-2</v>
      </c>
      <c r="V600" s="230">
        <f>VLOOKUP(Q600,'PREMIUM TABLES'!$G$175:$H$195,2,FALSE)</f>
        <v>0.13</v>
      </c>
      <c r="W600" s="230">
        <f>VLOOKUP(R600,'PREMIUM TABLES'!$G$214:$H$219,2,FALSE)</f>
        <v>0.11</v>
      </c>
      <c r="X600" s="230">
        <f>VLOOKUP(S600,'PREMIUM TABLES'!$F$199:$H$205,3,FALSE)</f>
        <v>2.5000000000000001E-2</v>
      </c>
      <c r="Y600" s="231">
        <f t="shared" si="94"/>
        <v>0.37000000000000005</v>
      </c>
      <c r="Z600" s="231" t="str" cm="1">
        <f t="array" ref="Z600">IF(AND(Y600&gt;0,Y600&lt;0.5),"C",IF(AND(Y600&gt;=0.5,Y600&lt;0.73),"B",IF(AND(Y600&gt;=0.73,Y600&lt;0.98),"A",NONE)))</f>
        <v>C</v>
      </c>
      <c r="AA600" s="231" t="str">
        <f>VLOOKUP(G600,'ALL (R)'!$N$5:$R$862,5,FALSE)</f>
        <v>R 2</v>
      </c>
      <c r="AB600" s="232">
        <f>VLOOKUP(AA600,FACTS!$B$2:$L$14,10,FALSE)</f>
        <v>43562.499999999993</v>
      </c>
      <c r="AC600" s="232">
        <f>VLOOKUP(AA600,FACTS!$B$2:$L$14,11,FALSE)</f>
        <v>48687.499999999993</v>
      </c>
      <c r="AD600" s="232">
        <f>VLOOKUP(AA600,FACTS!$B$2:$N$14,13,FALSE)</f>
        <v>5125</v>
      </c>
      <c r="AE600" s="232">
        <f t="shared" si="95"/>
        <v>1896.2500000000002</v>
      </c>
      <c r="AF600" s="232">
        <f t="shared" si="96"/>
        <v>45458.749999999993</v>
      </c>
      <c r="AG600" s="232">
        <f>AF600*FACTS!$T$2</f>
        <v>15001.387499999999</v>
      </c>
      <c r="AH600" s="232">
        <f>Table1[[#This Row],[UNIT (BUILDING) RATE (SEMI FINISHED)]]+4500</f>
        <v>49958.749999999993</v>
      </c>
      <c r="AI600" s="232">
        <f>Table1[[#This Row],[UNIT (BUILDING) RATE (SEMI FINISHED)]]+7500</f>
        <v>52958.749999999993</v>
      </c>
      <c r="AJ600" s="232">
        <f t="shared" si="97"/>
        <v>7818904.9999999991</v>
      </c>
      <c r="AK600" s="232">
        <f>Table1[[#This Row],[UNIT (BUILDING) RATE (BASIC FINISH)]]*Table1[[#This Row],[Unit Selling Area]]</f>
        <v>8592904.9999999981</v>
      </c>
      <c r="AL600" s="232">
        <f>Table1[[#This Row],[UNIT (BUILDING) RATE (FULLY FINISH)]]*Table1[[#This Row],[Unit Selling Area]]</f>
        <v>9108904.9999999981</v>
      </c>
      <c r="AM600" s="232">
        <f t="shared" si="98"/>
        <v>0</v>
      </c>
      <c r="AN600" s="232">
        <f>(AM600+AJ600)*FACTS!$S$2</f>
        <v>664606.92499999993</v>
      </c>
      <c r="AO600" s="101">
        <f>VLOOKUP(S600,FACTS!$A$17:$C$23,3,FALSE)</f>
        <v>2</v>
      </c>
      <c r="AP600" s="232">
        <f>VLOOKUP(AA600,FACTS!$B$2:$J$14,9,FALSE)</f>
        <v>204999.99999999997</v>
      </c>
      <c r="AQ600" s="232">
        <f>Table1[[#This Row],[PARKING VALUE]]*1</f>
        <v>204999.99999999997</v>
      </c>
      <c r="AR600" s="232">
        <f t="shared" si="93"/>
        <v>8023904.9999999991</v>
      </c>
      <c r="AS600" s="440">
        <f>Table1[[#This Row],[TOTAL CARS VALUE]]+Table1[[#This Row],[UNIT (BUILDING) VALUE BASIC FINISHED]]+Table1[[#This Row],[UNIT (GARDEN) VALUE]]</f>
        <v>8797904.9999999981</v>
      </c>
      <c r="AT600" s="232">
        <f>Table1[[#This Row],[TOTAL CARS VALUE]]+Table1[[#This Row],[UNIT (GARDEN) VALUE]]+Table1[[#This Row],[UNIT (BUILDING) VALUE FULLY FINISHED]]</f>
        <v>9313904.9999999981</v>
      </c>
      <c r="AU600" s="233">
        <f>VLOOKUP(I600,'C PHASES'!$I$108:$J$110,2,FALSE)</f>
        <v>46204</v>
      </c>
      <c r="AV600" s="233">
        <f>VLOOKUP(AA600,'C PHASES'!$I$113:$J$125,2,FALSE)</f>
        <v>45292</v>
      </c>
    </row>
    <row r="601" spans="1:48" x14ac:dyDescent="0.25">
      <c r="A601" s="236"/>
      <c r="B601" s="227" t="str">
        <f t="shared" si="91"/>
        <v>C</v>
      </c>
      <c r="C601" s="227" t="s">
        <v>38</v>
      </c>
      <c r="D601" s="227" t="s">
        <v>1147</v>
      </c>
      <c r="E601" s="228">
        <v>3</v>
      </c>
      <c r="F601" s="101">
        <v>1</v>
      </c>
      <c r="G601" s="87" t="str">
        <f t="shared" si="99"/>
        <v>C331</v>
      </c>
      <c r="H601" s="87" t="s">
        <v>1294</v>
      </c>
      <c r="I601" s="89" t="str">
        <f>VLOOKUP(C601,'PREMIUM TABLES'!$G$107:$H$149,2,FALSE)</f>
        <v>C2</v>
      </c>
      <c r="J601" s="89">
        <v>143.89599999999999</v>
      </c>
      <c r="K601" s="87">
        <v>159.44980420973766</v>
      </c>
      <c r="L601" s="87">
        <v>176</v>
      </c>
      <c r="M601" s="89"/>
      <c r="N601" s="89"/>
      <c r="O601" s="87" t="s">
        <v>187</v>
      </c>
      <c r="P601" s="87" t="s">
        <v>226</v>
      </c>
      <c r="Q601" s="229" t="s">
        <v>228</v>
      </c>
      <c r="R601" s="87" t="str">
        <f>VLOOKUP(E601,'PREMIUM TABLES'!$F$214:$G$219,2,FALSE)</f>
        <v>THIRD</v>
      </c>
      <c r="S601" s="87" t="str" cm="1">
        <f t="array" ref="S601">IF(AND(L601&gt;0,L601&lt;90),"A",IF(AND(L601&gt;90,L601&lt;123),"B",IF(AND(L601&gt;122,L601&lt;159),"C",IF(AND(L601&gt;159,L601&lt;185),"D",IF(AND(L601&gt;185,L601&lt;230),"E",IF(AND(L601&gt;230,L601&lt;350),"F",NONE))))))</f>
        <v>D</v>
      </c>
      <c r="T601" s="230">
        <f>VLOOKUP(O601,'PREMIUM TABLES'!$G$165:$H$172,2,FALSE)</f>
        <v>0.08</v>
      </c>
      <c r="U601" s="230">
        <f>VLOOKUP(P601,'PREMIUM TABLES'!$G$208:$H$209,2,FALSE)</f>
        <v>0.05</v>
      </c>
      <c r="V601" s="230">
        <f>VLOOKUP(Q601,'PREMIUM TABLES'!$G$175:$H$195,2,FALSE)</f>
        <v>0.42400000000000004</v>
      </c>
      <c r="W601" s="230">
        <f>VLOOKUP(R601,'PREMIUM TABLES'!$G$214:$H$219,2,FALSE)</f>
        <v>0.15</v>
      </c>
      <c r="X601" s="230">
        <f>VLOOKUP(S601,'PREMIUM TABLES'!$F$199:$H$205,3,FALSE)</f>
        <v>2.5000000000000001E-2</v>
      </c>
      <c r="Y601" s="231">
        <f t="shared" si="94"/>
        <v>0.72900000000000009</v>
      </c>
      <c r="Z601" s="231" t="str" cm="1">
        <f t="array" ref="Z601">IF(AND(Y601&gt;0,Y601&lt;0.5),"C",IF(AND(Y601&gt;=0.5,Y601&lt;0.73),"B",IF(AND(Y601&gt;=0.73,Y601&lt;0.98),"A",NONE)))</f>
        <v>B</v>
      </c>
      <c r="AA601" s="231" t="str">
        <f>VLOOKUP(G601,'ALL (R)'!$N$5:$R$862,5,FALSE)</f>
        <v>R 12</v>
      </c>
      <c r="AB601" s="232">
        <f>VLOOKUP(AA601,FACTS!$B$2:$L$14,10,FALSE)</f>
        <v>61625</v>
      </c>
      <c r="AC601" s="232">
        <f>VLOOKUP(AA601,FACTS!$B$2:$L$14,11,FALSE)</f>
        <v>68875</v>
      </c>
      <c r="AD601" s="232">
        <f>VLOOKUP(AA601,FACTS!$B$2:$N$14,13,FALSE)</f>
        <v>7250</v>
      </c>
      <c r="AE601" s="232">
        <f t="shared" si="95"/>
        <v>5285.2500000000009</v>
      </c>
      <c r="AF601" s="232">
        <f t="shared" si="96"/>
        <v>66910.25</v>
      </c>
      <c r="AG601" s="232">
        <f>AF601*FACTS!$T$2</f>
        <v>22080.3825</v>
      </c>
      <c r="AH601" s="232">
        <f>Table1[[#This Row],[UNIT (BUILDING) RATE (SEMI FINISHED)]]+4500</f>
        <v>71410.25</v>
      </c>
      <c r="AI601" s="232">
        <f>Table1[[#This Row],[UNIT (BUILDING) RATE (SEMI FINISHED)]]+7500</f>
        <v>74410.25</v>
      </c>
      <c r="AJ601" s="232">
        <f t="shared" si="97"/>
        <v>11776204</v>
      </c>
      <c r="AK601" s="232">
        <f>Table1[[#This Row],[UNIT (BUILDING) RATE (BASIC FINISH)]]*Table1[[#This Row],[Unit Selling Area]]</f>
        <v>12568204</v>
      </c>
      <c r="AL601" s="232">
        <f>Table1[[#This Row],[UNIT (BUILDING) RATE (FULLY FINISH)]]*Table1[[#This Row],[Unit Selling Area]]</f>
        <v>13096204</v>
      </c>
      <c r="AM601" s="232">
        <f t="shared" si="98"/>
        <v>0</v>
      </c>
      <c r="AN601" s="232">
        <f>(AM601+AJ601)*FACTS!$S$2</f>
        <v>1000977.3400000001</v>
      </c>
      <c r="AO601" s="101">
        <f>VLOOKUP(S601,FACTS!$A$17:$C$23,3,FALSE)</f>
        <v>2</v>
      </c>
      <c r="AP601" s="232">
        <f>VLOOKUP(AA601,FACTS!$B$2:$J$14,9,FALSE)</f>
        <v>290000</v>
      </c>
      <c r="AQ601" s="232">
        <f>Table1[[#This Row],[PARKING VALUE]]*1</f>
        <v>290000</v>
      </c>
      <c r="AR601" s="232">
        <f t="shared" si="93"/>
        <v>12066204</v>
      </c>
      <c r="AS601" s="440">
        <f>Table1[[#This Row],[TOTAL CARS VALUE]]+Table1[[#This Row],[UNIT (BUILDING) VALUE BASIC FINISHED]]+Table1[[#This Row],[UNIT (GARDEN) VALUE]]</f>
        <v>12858204</v>
      </c>
      <c r="AT601" s="232">
        <f>Table1[[#This Row],[TOTAL CARS VALUE]]+Table1[[#This Row],[UNIT (GARDEN) VALUE]]+Table1[[#This Row],[UNIT (BUILDING) VALUE FULLY FINISHED]]</f>
        <v>13386204</v>
      </c>
      <c r="AU601" s="233">
        <f>VLOOKUP(I601,'C PHASES'!$I$108:$J$110,2,FALSE)</f>
        <v>46204</v>
      </c>
      <c r="AV601" s="233">
        <f>VLOOKUP(AA601,'C PHASES'!$I$113:$J$125,2,FALSE)</f>
        <v>46204</v>
      </c>
    </row>
    <row r="602" spans="1:48" x14ac:dyDescent="0.25">
      <c r="A602" s="236"/>
      <c r="B602" s="227" t="str">
        <f t="shared" si="91"/>
        <v>C</v>
      </c>
      <c r="C602" s="227" t="s">
        <v>38</v>
      </c>
      <c r="D602" s="227" t="s">
        <v>1147</v>
      </c>
      <c r="E602" s="228">
        <v>3</v>
      </c>
      <c r="F602" s="101">
        <v>2</v>
      </c>
      <c r="G602" s="87" t="str">
        <f t="shared" si="99"/>
        <v>C332</v>
      </c>
      <c r="H602" s="87" t="s">
        <v>1295</v>
      </c>
      <c r="I602" s="89" t="str">
        <f>VLOOKUP(C602,'PREMIUM TABLES'!$G$107:$H$149,2,FALSE)</f>
        <v>C2</v>
      </c>
      <c r="J602" s="89">
        <v>187.20400000000001</v>
      </c>
      <c r="K602" s="87">
        <v>207.4389916834362</v>
      </c>
      <c r="L602" s="87">
        <v>228</v>
      </c>
      <c r="M602" s="89"/>
      <c r="N602" s="89"/>
      <c r="O602" s="87" t="s">
        <v>180</v>
      </c>
      <c r="P602" s="87" t="s">
        <v>226</v>
      </c>
      <c r="Q602" s="229" t="s">
        <v>210</v>
      </c>
      <c r="R602" s="87" t="str">
        <f>VLOOKUP(E602,'PREMIUM TABLES'!$F$214:$G$219,2,FALSE)</f>
        <v>THIRD</v>
      </c>
      <c r="S602" s="87" t="str" cm="1">
        <f t="array" ref="S602">IF(AND(L602&gt;0,L602&lt;90),"A",IF(AND(L602&gt;90,L602&lt;123),"B",IF(AND(L602&gt;122,L602&lt;159),"C",IF(AND(L602&gt;159,L602&lt;185),"D",IF(AND(L602&gt;185,L602&lt;230),"E",IF(AND(L602&gt;230,L602&lt;350),"F",NONE))))))</f>
        <v>E</v>
      </c>
      <c r="T602" s="230">
        <f>VLOOKUP(O602,'PREMIUM TABLES'!$G$165:$H$172,2,FALSE)</f>
        <v>0.13</v>
      </c>
      <c r="U602" s="230">
        <f>VLOOKUP(P602,'PREMIUM TABLES'!$G$208:$H$209,2,FALSE)</f>
        <v>0.05</v>
      </c>
      <c r="V602" s="230">
        <f>VLOOKUP(Q602,'PREMIUM TABLES'!$G$175:$H$195,2,FALSE)</f>
        <v>0.53</v>
      </c>
      <c r="W602" s="230">
        <f>VLOOKUP(R602,'PREMIUM TABLES'!$G$214:$H$219,2,FALSE)</f>
        <v>0.15</v>
      </c>
      <c r="X602" s="230">
        <f>VLOOKUP(S602,'PREMIUM TABLES'!$F$199:$H$205,3,FALSE)</f>
        <v>1.4999999999999999E-2</v>
      </c>
      <c r="Y602" s="231">
        <f t="shared" si="94"/>
        <v>0.875</v>
      </c>
      <c r="Z602" s="231" t="str" cm="1">
        <f t="array" ref="Z602">IF(AND(Y602&gt;0,Y602&lt;0.5),"C",IF(AND(Y602&gt;=0.5,Y602&lt;0.73),"B",IF(AND(Y602&gt;=0.73,Y602&lt;0.98),"A",NONE)))</f>
        <v>A</v>
      </c>
      <c r="AA602" s="231" t="str">
        <f>VLOOKUP(G602,'ALL (R)'!$N$5:$R$862,5,FALSE)</f>
        <v>R 9</v>
      </c>
      <c r="AB602" s="232">
        <f>VLOOKUP(AA602,FACTS!$B$2:$L$14,10,FALSE)</f>
        <v>53550</v>
      </c>
      <c r="AC602" s="232">
        <f>VLOOKUP(AA602,FACTS!$B$2:$L$14,11,FALSE)</f>
        <v>59850</v>
      </c>
      <c r="AD602" s="232">
        <f>VLOOKUP(AA602,FACTS!$B$2:$N$14,13,FALSE)</f>
        <v>6300</v>
      </c>
      <c r="AE602" s="232">
        <f t="shared" si="95"/>
        <v>5512.5</v>
      </c>
      <c r="AF602" s="232">
        <f t="shared" si="96"/>
        <v>59062.5</v>
      </c>
      <c r="AG602" s="232">
        <f>AF602*FACTS!$T$2</f>
        <v>19490.625</v>
      </c>
      <c r="AH602" s="232">
        <f>Table1[[#This Row],[UNIT (BUILDING) RATE (SEMI FINISHED)]]+4500</f>
        <v>63562.5</v>
      </c>
      <c r="AI602" s="232">
        <f>Table1[[#This Row],[UNIT (BUILDING) RATE (SEMI FINISHED)]]+7500</f>
        <v>66562.5</v>
      </c>
      <c r="AJ602" s="232">
        <f t="shared" si="97"/>
        <v>13466250</v>
      </c>
      <c r="AK602" s="232">
        <f>Table1[[#This Row],[UNIT (BUILDING) RATE (BASIC FINISH)]]*Table1[[#This Row],[Unit Selling Area]]</f>
        <v>14492250</v>
      </c>
      <c r="AL602" s="232">
        <f>Table1[[#This Row],[UNIT (BUILDING) RATE (FULLY FINISH)]]*Table1[[#This Row],[Unit Selling Area]]</f>
        <v>15176250</v>
      </c>
      <c r="AM602" s="232">
        <f t="shared" si="98"/>
        <v>0</v>
      </c>
      <c r="AN602" s="232">
        <f>(AM602+AJ602)*FACTS!$S$2</f>
        <v>1144631.25</v>
      </c>
      <c r="AO602" s="101">
        <f>VLOOKUP(S602,FACTS!$A$17:$C$23,3,FALSE)</f>
        <v>2</v>
      </c>
      <c r="AP602" s="232">
        <f>VLOOKUP(AA602,FACTS!$B$2:$J$14,9,FALSE)</f>
        <v>252000</v>
      </c>
      <c r="AQ602" s="232">
        <f>Table1[[#This Row],[PARKING VALUE]]*1</f>
        <v>252000</v>
      </c>
      <c r="AR602" s="232">
        <f t="shared" si="93"/>
        <v>13718250</v>
      </c>
      <c r="AS602" s="440">
        <f>Table1[[#This Row],[TOTAL CARS VALUE]]+Table1[[#This Row],[UNIT (BUILDING) VALUE BASIC FINISHED]]+Table1[[#This Row],[UNIT (GARDEN) VALUE]]</f>
        <v>14744250</v>
      </c>
      <c r="AT602" s="232">
        <f>Table1[[#This Row],[TOTAL CARS VALUE]]+Table1[[#This Row],[UNIT (GARDEN) VALUE]]+Table1[[#This Row],[UNIT (BUILDING) VALUE FULLY FINISHED]]</f>
        <v>15428250</v>
      </c>
      <c r="AU602" s="233">
        <f>VLOOKUP(I602,'C PHASES'!$I$108:$J$110,2,FALSE)</f>
        <v>46204</v>
      </c>
      <c r="AV602" s="233">
        <f>VLOOKUP(AA602,'C PHASES'!$I$113:$J$125,2,FALSE)</f>
        <v>45931</v>
      </c>
    </row>
    <row r="603" spans="1:48" x14ac:dyDescent="0.25">
      <c r="A603" s="236"/>
      <c r="B603" s="227" t="str">
        <f t="shared" si="91"/>
        <v>C</v>
      </c>
      <c r="C603" s="227" t="s">
        <v>38</v>
      </c>
      <c r="D603" s="227" t="s">
        <v>1147</v>
      </c>
      <c r="E603" s="228">
        <v>3</v>
      </c>
      <c r="F603" s="101">
        <v>3</v>
      </c>
      <c r="G603" s="87" t="str">
        <f t="shared" si="99"/>
        <v>C333</v>
      </c>
      <c r="H603" s="87" t="s">
        <v>1294</v>
      </c>
      <c r="I603" s="89" t="str">
        <f>VLOOKUP(C603,'PREMIUM TABLES'!$G$107:$H$149,2,FALSE)</f>
        <v>C2</v>
      </c>
      <c r="J603" s="89">
        <v>164.417</v>
      </c>
      <c r="K603" s="87">
        <v>182.18893130283288</v>
      </c>
      <c r="L603" s="87">
        <v>201</v>
      </c>
      <c r="M603" s="89"/>
      <c r="N603" s="89"/>
      <c r="O603" s="87" t="s">
        <v>180</v>
      </c>
      <c r="P603" s="87" t="s">
        <v>190</v>
      </c>
      <c r="Q603" s="229" t="s">
        <v>192</v>
      </c>
      <c r="R603" s="87" t="str">
        <f>VLOOKUP(E603,'PREMIUM TABLES'!$F$214:$G$219,2,FALSE)</f>
        <v>THIRD</v>
      </c>
      <c r="S603" s="87" t="str" cm="1">
        <f t="array" ref="S603">IF(AND(L603&gt;0,L603&lt;90),"A",IF(AND(L603&gt;90,L603&lt;123),"B",IF(AND(L603&gt;122,L603&lt;159),"C",IF(AND(L603&gt;159,L603&lt;185),"D",IF(AND(L603&gt;185,L603&lt;230),"E",IF(AND(L603&gt;230,L603&lt;350),"F",NONE))))))</f>
        <v>E</v>
      </c>
      <c r="T603" s="230">
        <f>VLOOKUP(O603,'PREMIUM TABLES'!$G$165:$H$172,2,FALSE)</f>
        <v>0.13</v>
      </c>
      <c r="U603" s="230">
        <f>VLOOKUP(P603,'PREMIUM TABLES'!$G$208:$H$209,2,FALSE)</f>
        <v>2.5000000000000001E-2</v>
      </c>
      <c r="V603" s="230">
        <f>VLOOKUP(Q603,'PREMIUM TABLES'!$G$175:$H$195,2,FALSE)</f>
        <v>0.46</v>
      </c>
      <c r="W603" s="230">
        <f>VLOOKUP(R603,'PREMIUM TABLES'!$G$214:$H$219,2,FALSE)</f>
        <v>0.15</v>
      </c>
      <c r="X603" s="230">
        <f>VLOOKUP(S603,'PREMIUM TABLES'!$F$199:$H$205,3,FALSE)</f>
        <v>1.4999999999999999E-2</v>
      </c>
      <c r="Y603" s="231">
        <f t="shared" si="94"/>
        <v>0.78</v>
      </c>
      <c r="Z603" s="231" t="str" cm="1">
        <f t="array" ref="Z603">IF(AND(Y603&gt;0,Y603&lt;0.5),"C",IF(AND(Y603&gt;=0.5,Y603&lt;0.73),"B",IF(AND(Y603&gt;=0.73,Y603&lt;0.98),"A",NONE)))</f>
        <v>A</v>
      </c>
      <c r="AA603" s="231" t="str">
        <f>VLOOKUP(G603,'ALL (R)'!$N$5:$R$862,5,FALSE)</f>
        <v>R 4</v>
      </c>
      <c r="AB603" s="232">
        <f>VLOOKUP(AA603,FACTS!$B$2:$L$14,10,FALSE)</f>
        <v>45687.5</v>
      </c>
      <c r="AC603" s="232">
        <f>VLOOKUP(AA603,FACTS!$B$2:$L$14,11,FALSE)</f>
        <v>51062.5</v>
      </c>
      <c r="AD603" s="232">
        <f>VLOOKUP(AA603,FACTS!$B$2:$N$14,13,FALSE)</f>
        <v>5375</v>
      </c>
      <c r="AE603" s="232">
        <f t="shared" si="95"/>
        <v>4192.5</v>
      </c>
      <c r="AF603" s="232">
        <f t="shared" si="96"/>
        <v>49880</v>
      </c>
      <c r="AG603" s="232">
        <f>AF603*FACTS!$T$2</f>
        <v>16460.400000000001</v>
      </c>
      <c r="AH603" s="232">
        <f>Table1[[#This Row],[UNIT (BUILDING) RATE (SEMI FINISHED)]]+4500</f>
        <v>54380</v>
      </c>
      <c r="AI603" s="232">
        <f>Table1[[#This Row],[UNIT (BUILDING) RATE (SEMI FINISHED)]]+7500</f>
        <v>57380</v>
      </c>
      <c r="AJ603" s="232">
        <f t="shared" si="97"/>
        <v>10025880</v>
      </c>
      <c r="AK603" s="232">
        <f>Table1[[#This Row],[UNIT (BUILDING) RATE (BASIC FINISH)]]*Table1[[#This Row],[Unit Selling Area]]</f>
        <v>10930380</v>
      </c>
      <c r="AL603" s="232">
        <f>Table1[[#This Row],[UNIT (BUILDING) RATE (FULLY FINISH)]]*Table1[[#This Row],[Unit Selling Area]]</f>
        <v>11533380</v>
      </c>
      <c r="AM603" s="232">
        <f t="shared" si="98"/>
        <v>0</v>
      </c>
      <c r="AN603" s="232">
        <f>(AM603+AJ603)*FACTS!$S$2</f>
        <v>852199.8</v>
      </c>
      <c r="AO603" s="101">
        <f>VLOOKUP(S603,FACTS!$A$17:$C$23,3,FALSE)</f>
        <v>2</v>
      </c>
      <c r="AP603" s="232">
        <f>VLOOKUP(AA603,FACTS!$B$2:$J$14,9,FALSE)</f>
        <v>215000</v>
      </c>
      <c r="AQ603" s="232">
        <f>Table1[[#This Row],[PARKING VALUE]]*1</f>
        <v>215000</v>
      </c>
      <c r="AR603" s="232">
        <f t="shared" si="93"/>
        <v>10240880</v>
      </c>
      <c r="AS603" s="440">
        <f>Table1[[#This Row],[TOTAL CARS VALUE]]+Table1[[#This Row],[UNIT (BUILDING) VALUE BASIC FINISHED]]+Table1[[#This Row],[UNIT (GARDEN) VALUE]]</f>
        <v>11145380</v>
      </c>
      <c r="AT603" s="232">
        <f>Table1[[#This Row],[TOTAL CARS VALUE]]+Table1[[#This Row],[UNIT (GARDEN) VALUE]]+Table1[[#This Row],[UNIT (BUILDING) VALUE FULLY FINISHED]]</f>
        <v>11748380</v>
      </c>
      <c r="AU603" s="233">
        <f>VLOOKUP(I603,'C PHASES'!$I$108:$J$110,2,FALSE)</f>
        <v>46204</v>
      </c>
      <c r="AV603" s="233">
        <f>VLOOKUP(AA603,'C PHASES'!$I$113:$J$125,2,FALSE)</f>
        <v>45474</v>
      </c>
    </row>
    <row r="604" spans="1:48" x14ac:dyDescent="0.25">
      <c r="A604" s="236"/>
      <c r="B604" s="227" t="str">
        <f t="shared" si="91"/>
        <v>C</v>
      </c>
      <c r="C604" s="227" t="s">
        <v>38</v>
      </c>
      <c r="D604" s="227" t="s">
        <v>1147</v>
      </c>
      <c r="E604" s="228">
        <v>3</v>
      </c>
      <c r="F604" s="101">
        <v>4</v>
      </c>
      <c r="G604" s="87" t="str">
        <f t="shared" si="99"/>
        <v>C334</v>
      </c>
      <c r="H604" s="87" t="s">
        <v>1294</v>
      </c>
      <c r="I604" s="89" t="str">
        <f>VLOOKUP(C604,'PREMIUM TABLES'!$G$107:$H$149,2,FALSE)</f>
        <v>C2</v>
      </c>
      <c r="J604" s="89">
        <v>141.07300000000001</v>
      </c>
      <c r="K604" s="87">
        <v>156.32166446100189</v>
      </c>
      <c r="L604" s="87">
        <v>172</v>
      </c>
      <c r="M604" s="89"/>
      <c r="N604" s="89"/>
      <c r="O604" s="87" t="s">
        <v>187</v>
      </c>
      <c r="P604" s="87" t="s">
        <v>190</v>
      </c>
      <c r="Q604" s="229" t="s">
        <v>199</v>
      </c>
      <c r="R604" s="87" t="str">
        <f>VLOOKUP(E604,'PREMIUM TABLES'!$F$214:$G$219,2,FALSE)</f>
        <v>THIRD</v>
      </c>
      <c r="S604" s="87" t="str" cm="1">
        <f t="array" ref="S604">IF(AND(L604&gt;0,L604&lt;90),"A",IF(AND(L604&gt;90,L604&lt;123),"B",IF(AND(L604&gt;122,L604&lt;159),"C",IF(AND(L604&gt;159,L604&lt;185),"D",IF(AND(L604&gt;185,L604&lt;230),"E",IF(AND(L604&gt;230,L604&lt;350),"F",NONE))))))</f>
        <v>D</v>
      </c>
      <c r="T604" s="230">
        <f>VLOOKUP(O604,'PREMIUM TABLES'!$G$165:$H$172,2,FALSE)</f>
        <v>0.08</v>
      </c>
      <c r="U604" s="230">
        <f>VLOOKUP(P604,'PREMIUM TABLES'!$G$208:$H$209,2,FALSE)</f>
        <v>2.5000000000000001E-2</v>
      </c>
      <c r="V604" s="230">
        <f>VLOOKUP(Q604,'PREMIUM TABLES'!$G$175:$H$195,2,FALSE)</f>
        <v>0.13</v>
      </c>
      <c r="W604" s="230">
        <f>VLOOKUP(R604,'PREMIUM TABLES'!$G$214:$H$219,2,FALSE)</f>
        <v>0.15</v>
      </c>
      <c r="X604" s="230">
        <f>VLOOKUP(S604,'PREMIUM TABLES'!$F$199:$H$205,3,FALSE)</f>
        <v>2.5000000000000001E-2</v>
      </c>
      <c r="Y604" s="231">
        <f t="shared" si="94"/>
        <v>0.41000000000000003</v>
      </c>
      <c r="Z604" s="231" t="str" cm="1">
        <f t="array" ref="Z604">IF(AND(Y604&gt;0,Y604&lt;0.5),"C",IF(AND(Y604&gt;=0.5,Y604&lt;0.73),"B",IF(AND(Y604&gt;=0.73,Y604&lt;0.98),"A",NONE)))</f>
        <v>C</v>
      </c>
      <c r="AA604" s="231" t="str">
        <f>VLOOKUP(G604,'ALL (R)'!$N$5:$R$862,5,FALSE)</f>
        <v>R 6</v>
      </c>
      <c r="AB604" s="232">
        <f>VLOOKUP(AA604,FACTS!$B$2:$L$14,10,FALSE)</f>
        <v>48450.000000000007</v>
      </c>
      <c r="AC604" s="232">
        <f>VLOOKUP(AA604,FACTS!$B$2:$L$14,11,FALSE)</f>
        <v>54150.000000000007</v>
      </c>
      <c r="AD604" s="232">
        <f>VLOOKUP(AA604,FACTS!$B$2:$N$14,13,FALSE)</f>
        <v>5700</v>
      </c>
      <c r="AE604" s="232">
        <f t="shared" si="95"/>
        <v>2337</v>
      </c>
      <c r="AF604" s="232">
        <f t="shared" si="96"/>
        <v>50787.000000000007</v>
      </c>
      <c r="AG604" s="232">
        <f>AF604*FACTS!$T$2</f>
        <v>16759.710000000003</v>
      </c>
      <c r="AH604" s="232">
        <f>Table1[[#This Row],[UNIT (BUILDING) RATE (SEMI FINISHED)]]+4500</f>
        <v>55287.000000000007</v>
      </c>
      <c r="AI604" s="232">
        <f>Table1[[#This Row],[UNIT (BUILDING) RATE (SEMI FINISHED)]]+7500</f>
        <v>58287.000000000007</v>
      </c>
      <c r="AJ604" s="232">
        <f t="shared" si="97"/>
        <v>8735364.0000000019</v>
      </c>
      <c r="AK604" s="232">
        <f>Table1[[#This Row],[UNIT (BUILDING) RATE (BASIC FINISH)]]*Table1[[#This Row],[Unit Selling Area]]</f>
        <v>9509364.0000000019</v>
      </c>
      <c r="AL604" s="232">
        <f>Table1[[#This Row],[UNIT (BUILDING) RATE (FULLY FINISH)]]*Table1[[#This Row],[Unit Selling Area]]</f>
        <v>10025364.000000002</v>
      </c>
      <c r="AM604" s="232">
        <f t="shared" si="98"/>
        <v>0</v>
      </c>
      <c r="AN604" s="232">
        <f>(AM604+AJ604)*FACTS!$S$2</f>
        <v>742505.94000000018</v>
      </c>
      <c r="AO604" s="101">
        <f>VLOOKUP(S604,FACTS!$A$17:$C$23,3,FALSE)</f>
        <v>2</v>
      </c>
      <c r="AP604" s="232">
        <f>VLOOKUP(AA604,FACTS!$B$2:$J$14,9,FALSE)</f>
        <v>228000.00000000003</v>
      </c>
      <c r="AQ604" s="232">
        <f>Table1[[#This Row],[PARKING VALUE]]*1</f>
        <v>228000.00000000003</v>
      </c>
      <c r="AR604" s="232">
        <f t="shared" si="93"/>
        <v>8963364.0000000019</v>
      </c>
      <c r="AS604" s="440">
        <f>Table1[[#This Row],[TOTAL CARS VALUE]]+Table1[[#This Row],[UNIT (BUILDING) VALUE BASIC FINISHED]]+Table1[[#This Row],[UNIT (GARDEN) VALUE]]</f>
        <v>9737364.0000000019</v>
      </c>
      <c r="AT604" s="232">
        <f>Table1[[#This Row],[TOTAL CARS VALUE]]+Table1[[#This Row],[UNIT (GARDEN) VALUE]]+Table1[[#This Row],[UNIT (BUILDING) VALUE FULLY FINISHED]]</f>
        <v>10253364.000000002</v>
      </c>
      <c r="AU604" s="233">
        <f>VLOOKUP(I604,'C PHASES'!$I$108:$J$110,2,FALSE)</f>
        <v>46204</v>
      </c>
      <c r="AV604" s="233">
        <f>VLOOKUP(AA604,'C PHASES'!$I$113:$J$125,2,FALSE)</f>
        <v>45658</v>
      </c>
    </row>
    <row r="605" spans="1:48" x14ac:dyDescent="0.25">
      <c r="A605" s="236"/>
      <c r="B605" s="227" t="str">
        <f t="shared" si="91"/>
        <v>C</v>
      </c>
      <c r="C605" s="227" t="s">
        <v>38</v>
      </c>
      <c r="D605" s="227" t="s">
        <v>1147</v>
      </c>
      <c r="E605" s="228">
        <v>4</v>
      </c>
      <c r="F605" s="101">
        <v>1</v>
      </c>
      <c r="G605" s="87" t="str">
        <f t="shared" si="99"/>
        <v>C341</v>
      </c>
      <c r="H605" s="87" t="s">
        <v>1294</v>
      </c>
      <c r="I605" s="89" t="str">
        <f>VLOOKUP(C605,'PREMIUM TABLES'!$G$107:$H$149,2,FALSE)</f>
        <v>C2</v>
      </c>
      <c r="J605" s="89">
        <v>141.929</v>
      </c>
      <c r="K605" s="87">
        <v>157.27019001003407</v>
      </c>
      <c r="L605" s="87">
        <v>173</v>
      </c>
      <c r="M605" s="89"/>
      <c r="N605" s="89"/>
      <c r="O605" s="87" t="s">
        <v>187</v>
      </c>
      <c r="P605" s="87" t="s">
        <v>226</v>
      </c>
      <c r="Q605" s="229" t="s">
        <v>228</v>
      </c>
      <c r="R605" s="87" t="str">
        <f>VLOOKUP(E605,'PREMIUM TABLES'!$F$214:$G$219,2,FALSE)</f>
        <v>FORTH</v>
      </c>
      <c r="S605" s="87" t="str" cm="1">
        <f t="array" ref="S605">IF(AND(L605&gt;0,L605&lt;90),"A",IF(AND(L605&gt;90,L605&lt;123),"B",IF(AND(L605&gt;122,L605&lt;159),"C",IF(AND(L605&gt;159,L605&lt;185),"D",IF(AND(L605&gt;185,L605&lt;230),"E",IF(AND(L605&gt;230,L605&lt;350),"F",NONE))))))</f>
        <v>D</v>
      </c>
      <c r="T605" s="230">
        <f>VLOOKUP(O605,'PREMIUM TABLES'!$G$165:$H$172,2,FALSE)</f>
        <v>0.08</v>
      </c>
      <c r="U605" s="230">
        <f>VLOOKUP(P605,'PREMIUM TABLES'!$G$208:$H$209,2,FALSE)</f>
        <v>0.05</v>
      </c>
      <c r="V605" s="230">
        <f>VLOOKUP(Q605,'PREMIUM TABLES'!$G$175:$H$195,2,FALSE)</f>
        <v>0.42400000000000004</v>
      </c>
      <c r="W605" s="230">
        <f>VLOOKUP(R605,'PREMIUM TABLES'!$G$214:$H$219,2,FALSE)</f>
        <v>0.06</v>
      </c>
      <c r="X605" s="230">
        <f>VLOOKUP(S605,'PREMIUM TABLES'!$F$199:$H$205,3,FALSE)</f>
        <v>2.5000000000000001E-2</v>
      </c>
      <c r="Y605" s="231">
        <f t="shared" si="94"/>
        <v>0.63900000000000012</v>
      </c>
      <c r="Z605" s="231" t="str" cm="1">
        <f t="array" ref="Z605">IF(AND(Y605&gt;0,Y605&lt;0.5),"C",IF(AND(Y605&gt;=0.5,Y605&lt;0.73),"B",IF(AND(Y605&gt;=0.73,Y605&lt;0.98),"A",NONE)))</f>
        <v>B</v>
      </c>
      <c r="AA605" s="231" t="str">
        <f>VLOOKUP(G605,'ALL (R)'!$N$5:$R$862,5,FALSE)</f>
        <v>R 4</v>
      </c>
      <c r="AB605" s="232">
        <f>VLOOKUP(AA605,FACTS!$B$2:$L$14,10,FALSE)</f>
        <v>45687.5</v>
      </c>
      <c r="AC605" s="232">
        <f>VLOOKUP(AA605,FACTS!$B$2:$L$14,11,FALSE)</f>
        <v>51062.5</v>
      </c>
      <c r="AD605" s="232">
        <f>VLOOKUP(AA605,FACTS!$B$2:$N$14,13,FALSE)</f>
        <v>5375</v>
      </c>
      <c r="AE605" s="232">
        <f t="shared" si="95"/>
        <v>3434.6250000000005</v>
      </c>
      <c r="AF605" s="232">
        <f t="shared" si="96"/>
        <v>49122.125</v>
      </c>
      <c r="AG605" s="232">
        <f>AF605*FACTS!$T$2</f>
        <v>16210.30125</v>
      </c>
      <c r="AH605" s="232">
        <f>Table1[[#This Row],[UNIT (BUILDING) RATE (SEMI FINISHED)]]+4500</f>
        <v>53622.125</v>
      </c>
      <c r="AI605" s="232">
        <f>Table1[[#This Row],[UNIT (BUILDING) RATE (SEMI FINISHED)]]+7500</f>
        <v>56622.125</v>
      </c>
      <c r="AJ605" s="232">
        <f t="shared" si="97"/>
        <v>8498127.625</v>
      </c>
      <c r="AK605" s="232">
        <f>Table1[[#This Row],[UNIT (BUILDING) RATE (BASIC FINISH)]]*Table1[[#This Row],[Unit Selling Area]]</f>
        <v>9276627.625</v>
      </c>
      <c r="AL605" s="232">
        <f>Table1[[#This Row],[UNIT (BUILDING) RATE (FULLY FINISH)]]*Table1[[#This Row],[Unit Selling Area]]</f>
        <v>9795627.625</v>
      </c>
      <c r="AM605" s="232">
        <f t="shared" si="98"/>
        <v>0</v>
      </c>
      <c r="AN605" s="232">
        <f>(AM605+AJ605)*FACTS!$S$2</f>
        <v>722340.84812500002</v>
      </c>
      <c r="AO605" s="101">
        <f>VLOOKUP(S605,FACTS!$A$17:$C$23,3,FALSE)</f>
        <v>2</v>
      </c>
      <c r="AP605" s="232">
        <f>VLOOKUP(AA605,FACTS!$B$2:$J$14,9,FALSE)</f>
        <v>215000</v>
      </c>
      <c r="AQ605" s="232">
        <f>Table1[[#This Row],[PARKING VALUE]]*1</f>
        <v>215000</v>
      </c>
      <c r="AR605" s="232">
        <f t="shared" si="93"/>
        <v>8713127.625</v>
      </c>
      <c r="AS605" s="440">
        <f>Table1[[#This Row],[TOTAL CARS VALUE]]+Table1[[#This Row],[UNIT (BUILDING) VALUE BASIC FINISHED]]+Table1[[#This Row],[UNIT (GARDEN) VALUE]]</f>
        <v>9491627.625</v>
      </c>
      <c r="AT605" s="232">
        <f>Table1[[#This Row],[TOTAL CARS VALUE]]+Table1[[#This Row],[UNIT (GARDEN) VALUE]]+Table1[[#This Row],[UNIT (BUILDING) VALUE FULLY FINISHED]]</f>
        <v>10010627.625</v>
      </c>
      <c r="AU605" s="233">
        <f>VLOOKUP(I605,'C PHASES'!$I$108:$J$110,2,FALSE)</f>
        <v>46204</v>
      </c>
      <c r="AV605" s="233">
        <f>VLOOKUP(AA605,'C PHASES'!$I$113:$J$125,2,FALSE)</f>
        <v>45474</v>
      </c>
    </row>
    <row r="606" spans="1:48" x14ac:dyDescent="0.25">
      <c r="A606" s="236"/>
      <c r="B606" s="227" t="str">
        <f t="shared" si="91"/>
        <v>C</v>
      </c>
      <c r="C606" s="227" t="s">
        <v>38</v>
      </c>
      <c r="D606" s="227" t="s">
        <v>1147</v>
      </c>
      <c r="E606" s="228">
        <v>4</v>
      </c>
      <c r="F606" s="101">
        <v>2</v>
      </c>
      <c r="G606" s="87" t="str">
        <f t="shared" si="99"/>
        <v>C342</v>
      </c>
      <c r="H606" s="87" t="s">
        <v>1295</v>
      </c>
      <c r="I606" s="89" t="str">
        <f>VLOOKUP(C606,'PREMIUM TABLES'!$G$107:$H$149,2,FALSE)</f>
        <v>C2</v>
      </c>
      <c r="J606" s="89">
        <v>182.36099999999999</v>
      </c>
      <c r="K606" s="87">
        <v>202.07250893347955</v>
      </c>
      <c r="L606" s="87">
        <v>222</v>
      </c>
      <c r="M606" s="89"/>
      <c r="N606" s="89"/>
      <c r="O606" s="87" t="s">
        <v>180</v>
      </c>
      <c r="P606" s="87" t="s">
        <v>226</v>
      </c>
      <c r="Q606" s="229" t="s">
        <v>210</v>
      </c>
      <c r="R606" s="87" t="str">
        <f>VLOOKUP(E606,'PREMIUM TABLES'!$F$214:$G$219,2,FALSE)</f>
        <v>FORTH</v>
      </c>
      <c r="S606" s="87" t="str" cm="1">
        <f t="array" ref="S606">IF(AND(L606&gt;0,L606&lt;90),"A",IF(AND(L606&gt;90,L606&lt;123),"B",IF(AND(L606&gt;122,L606&lt;159),"C",IF(AND(L606&gt;159,L606&lt;185),"D",IF(AND(L606&gt;185,L606&lt;230),"E",IF(AND(L606&gt;230,L606&lt;350),"F",NONE))))))</f>
        <v>E</v>
      </c>
      <c r="T606" s="230">
        <f>VLOOKUP(O606,'PREMIUM TABLES'!$G$165:$H$172,2,FALSE)</f>
        <v>0.13</v>
      </c>
      <c r="U606" s="230">
        <f>VLOOKUP(P606,'PREMIUM TABLES'!$G$208:$H$209,2,FALSE)</f>
        <v>0.05</v>
      </c>
      <c r="V606" s="230">
        <f>VLOOKUP(Q606,'PREMIUM TABLES'!$G$175:$H$195,2,FALSE)</f>
        <v>0.53</v>
      </c>
      <c r="W606" s="230">
        <f>VLOOKUP(R606,'PREMIUM TABLES'!$G$214:$H$219,2,FALSE)</f>
        <v>0.06</v>
      </c>
      <c r="X606" s="230">
        <f>VLOOKUP(S606,'PREMIUM TABLES'!$F$199:$H$205,3,FALSE)</f>
        <v>1.4999999999999999E-2</v>
      </c>
      <c r="Y606" s="231">
        <f t="shared" si="94"/>
        <v>0.78500000000000003</v>
      </c>
      <c r="Z606" s="231" t="str" cm="1">
        <f t="array" ref="Z606">IF(AND(Y606&gt;0,Y606&lt;0.5),"C",IF(AND(Y606&gt;=0.5,Y606&lt;0.73),"B",IF(AND(Y606&gt;=0.73,Y606&lt;0.98),"A",NONE)))</f>
        <v>A</v>
      </c>
      <c r="AA606" s="231" t="str">
        <f>VLOOKUP(G606,'ALL (R)'!$N$5:$R$862,5,FALSE)</f>
        <v>R 4</v>
      </c>
      <c r="AB606" s="232">
        <f>VLOOKUP(AA606,FACTS!$B$2:$L$14,10,FALSE)</f>
        <v>45687.5</v>
      </c>
      <c r="AC606" s="232">
        <f>VLOOKUP(AA606,FACTS!$B$2:$L$14,11,FALSE)</f>
        <v>51062.5</v>
      </c>
      <c r="AD606" s="232">
        <f>VLOOKUP(AA606,FACTS!$B$2:$N$14,13,FALSE)</f>
        <v>5375</v>
      </c>
      <c r="AE606" s="232">
        <f t="shared" si="95"/>
        <v>4219.375</v>
      </c>
      <c r="AF606" s="232">
        <f t="shared" si="96"/>
        <v>49906.875</v>
      </c>
      <c r="AG606" s="232">
        <f>AF606*FACTS!$T$2</f>
        <v>16469.268749999999</v>
      </c>
      <c r="AH606" s="232">
        <f>Table1[[#This Row],[UNIT (BUILDING) RATE (SEMI FINISHED)]]+4500</f>
        <v>54406.875</v>
      </c>
      <c r="AI606" s="232">
        <f>Table1[[#This Row],[UNIT (BUILDING) RATE (SEMI FINISHED)]]+7500</f>
        <v>57406.875</v>
      </c>
      <c r="AJ606" s="232">
        <f t="shared" si="97"/>
        <v>11079326.25</v>
      </c>
      <c r="AK606" s="232">
        <f>Table1[[#This Row],[UNIT (BUILDING) RATE (BASIC FINISH)]]*Table1[[#This Row],[Unit Selling Area]]</f>
        <v>12078326.25</v>
      </c>
      <c r="AL606" s="232">
        <f>Table1[[#This Row],[UNIT (BUILDING) RATE (FULLY FINISH)]]*Table1[[#This Row],[Unit Selling Area]]</f>
        <v>12744326.25</v>
      </c>
      <c r="AM606" s="232">
        <f t="shared" si="98"/>
        <v>0</v>
      </c>
      <c r="AN606" s="232">
        <f>(AM606+AJ606)*FACTS!$S$2</f>
        <v>941742.73125000007</v>
      </c>
      <c r="AO606" s="101">
        <f>VLOOKUP(S606,FACTS!$A$17:$C$23,3,FALSE)</f>
        <v>2</v>
      </c>
      <c r="AP606" s="232">
        <f>VLOOKUP(AA606,FACTS!$B$2:$J$14,9,FALSE)</f>
        <v>215000</v>
      </c>
      <c r="AQ606" s="232">
        <f>Table1[[#This Row],[PARKING VALUE]]*1</f>
        <v>215000</v>
      </c>
      <c r="AR606" s="232">
        <f t="shared" si="93"/>
        <v>11294326.25</v>
      </c>
      <c r="AS606" s="440">
        <f>Table1[[#This Row],[TOTAL CARS VALUE]]+Table1[[#This Row],[UNIT (BUILDING) VALUE BASIC FINISHED]]+Table1[[#This Row],[UNIT (GARDEN) VALUE]]</f>
        <v>12293326.25</v>
      </c>
      <c r="AT606" s="232">
        <f>Table1[[#This Row],[TOTAL CARS VALUE]]+Table1[[#This Row],[UNIT (GARDEN) VALUE]]+Table1[[#This Row],[UNIT (BUILDING) VALUE FULLY FINISHED]]</f>
        <v>12959326.25</v>
      </c>
      <c r="AU606" s="233">
        <f>VLOOKUP(I606,'C PHASES'!$I$108:$J$110,2,FALSE)</f>
        <v>46204</v>
      </c>
      <c r="AV606" s="233">
        <f>VLOOKUP(AA606,'C PHASES'!$I$113:$J$125,2,FALSE)</f>
        <v>45474</v>
      </c>
    </row>
    <row r="607" spans="1:48" x14ac:dyDescent="0.25">
      <c r="A607" s="236"/>
      <c r="B607" s="227" t="str">
        <f t="shared" si="91"/>
        <v>C</v>
      </c>
      <c r="C607" s="227" t="s">
        <v>38</v>
      </c>
      <c r="D607" s="227" t="s">
        <v>1147</v>
      </c>
      <c r="E607" s="228">
        <v>4</v>
      </c>
      <c r="F607" s="101">
        <v>3</v>
      </c>
      <c r="G607" s="87" t="str">
        <f t="shared" si="99"/>
        <v>C343</v>
      </c>
      <c r="H607" s="87" t="s">
        <v>1294</v>
      </c>
      <c r="I607" s="89" t="str">
        <f>VLOOKUP(C607,'PREMIUM TABLES'!$G$107:$H$149,2,FALSE)</f>
        <v>C2</v>
      </c>
      <c r="J607" s="89">
        <v>162.44399999999999</v>
      </c>
      <c r="K607" s="87">
        <v>180.00266855956127</v>
      </c>
      <c r="L607" s="87">
        <v>198</v>
      </c>
      <c r="M607" s="89"/>
      <c r="N607" s="89"/>
      <c r="O607" s="87" t="s">
        <v>180</v>
      </c>
      <c r="P607" s="87" t="s">
        <v>190</v>
      </c>
      <c r="Q607" s="229" t="s">
        <v>192</v>
      </c>
      <c r="R607" s="87" t="str">
        <f>VLOOKUP(E607,'PREMIUM TABLES'!$F$214:$G$219,2,FALSE)</f>
        <v>FORTH</v>
      </c>
      <c r="S607" s="87" t="str" cm="1">
        <f t="array" ref="S607">IF(AND(L607&gt;0,L607&lt;90),"A",IF(AND(L607&gt;90,L607&lt;123),"B",IF(AND(L607&gt;122,L607&lt;159),"C",IF(AND(L607&gt;159,L607&lt;185),"D",IF(AND(L607&gt;185,L607&lt;230),"E",IF(AND(L607&gt;230,L607&lt;350),"F",NONE))))))</f>
        <v>E</v>
      </c>
      <c r="T607" s="230">
        <f>VLOOKUP(O607,'PREMIUM TABLES'!$G$165:$H$172,2,FALSE)</f>
        <v>0.13</v>
      </c>
      <c r="U607" s="230">
        <f>VLOOKUP(P607,'PREMIUM TABLES'!$G$208:$H$209,2,FALSE)</f>
        <v>2.5000000000000001E-2</v>
      </c>
      <c r="V607" s="230">
        <f>VLOOKUP(Q607,'PREMIUM TABLES'!$G$175:$H$195,2,FALSE)</f>
        <v>0.46</v>
      </c>
      <c r="W607" s="230">
        <f>VLOOKUP(R607,'PREMIUM TABLES'!$G$214:$H$219,2,FALSE)</f>
        <v>0.06</v>
      </c>
      <c r="X607" s="230">
        <f>VLOOKUP(S607,'PREMIUM TABLES'!$F$199:$H$205,3,FALSE)</f>
        <v>1.4999999999999999E-2</v>
      </c>
      <c r="Y607" s="231">
        <f t="shared" si="94"/>
        <v>0.69000000000000006</v>
      </c>
      <c r="Z607" s="231" t="str" cm="1">
        <f t="array" ref="Z607">IF(AND(Y607&gt;0,Y607&lt;0.5),"C",IF(AND(Y607&gt;=0.5,Y607&lt;0.73),"B",IF(AND(Y607&gt;=0.73,Y607&lt;0.98),"A",NONE)))</f>
        <v>B</v>
      </c>
      <c r="AA607" s="231" t="str">
        <f>VLOOKUP(G607,'ALL (R)'!$N$5:$R$862,5,FALSE)</f>
        <v>R 8</v>
      </c>
      <c r="AB607" s="232">
        <f>VLOOKUP(AA607,FACTS!$B$2:$L$14,10,FALSE)</f>
        <v>51850</v>
      </c>
      <c r="AC607" s="232">
        <f>VLOOKUP(AA607,FACTS!$B$2:$L$14,11,FALSE)</f>
        <v>57950</v>
      </c>
      <c r="AD607" s="232">
        <f>VLOOKUP(AA607,FACTS!$B$2:$N$14,13,FALSE)</f>
        <v>6100</v>
      </c>
      <c r="AE607" s="232">
        <f t="shared" si="95"/>
        <v>4209</v>
      </c>
      <c r="AF607" s="232">
        <f t="shared" si="96"/>
        <v>56059</v>
      </c>
      <c r="AG607" s="232">
        <f>AF607*FACTS!$T$2</f>
        <v>18499.47</v>
      </c>
      <c r="AH607" s="232">
        <f>Table1[[#This Row],[UNIT (BUILDING) RATE (SEMI FINISHED)]]+4500</f>
        <v>60559</v>
      </c>
      <c r="AI607" s="232">
        <f>Table1[[#This Row],[UNIT (BUILDING) RATE (SEMI FINISHED)]]+7500</f>
        <v>63559</v>
      </c>
      <c r="AJ607" s="232">
        <f t="shared" si="97"/>
        <v>11099682</v>
      </c>
      <c r="AK607" s="232">
        <f>Table1[[#This Row],[UNIT (BUILDING) RATE (BASIC FINISH)]]*Table1[[#This Row],[Unit Selling Area]]</f>
        <v>11990682</v>
      </c>
      <c r="AL607" s="232">
        <f>Table1[[#This Row],[UNIT (BUILDING) RATE (FULLY FINISH)]]*Table1[[#This Row],[Unit Selling Area]]</f>
        <v>12584682</v>
      </c>
      <c r="AM607" s="232">
        <f t="shared" si="98"/>
        <v>0</v>
      </c>
      <c r="AN607" s="232">
        <f>(AM607+AJ607)*FACTS!$S$2</f>
        <v>943472.97000000009</v>
      </c>
      <c r="AO607" s="101">
        <f>VLOOKUP(S607,FACTS!$A$17:$C$23,3,FALSE)</f>
        <v>2</v>
      </c>
      <c r="AP607" s="232">
        <f>VLOOKUP(AA607,FACTS!$B$2:$J$14,9,FALSE)</f>
        <v>244000</v>
      </c>
      <c r="AQ607" s="232">
        <f>Table1[[#This Row],[PARKING VALUE]]*1</f>
        <v>244000</v>
      </c>
      <c r="AR607" s="232">
        <f t="shared" si="93"/>
        <v>11343682</v>
      </c>
      <c r="AS607" s="440">
        <f>Table1[[#This Row],[TOTAL CARS VALUE]]+Table1[[#This Row],[UNIT (BUILDING) VALUE BASIC FINISHED]]+Table1[[#This Row],[UNIT (GARDEN) VALUE]]</f>
        <v>12234682</v>
      </c>
      <c r="AT607" s="232">
        <f>Table1[[#This Row],[TOTAL CARS VALUE]]+Table1[[#This Row],[UNIT (GARDEN) VALUE]]+Table1[[#This Row],[UNIT (BUILDING) VALUE FULLY FINISHED]]</f>
        <v>12828682</v>
      </c>
      <c r="AU607" s="233">
        <f>VLOOKUP(I607,'C PHASES'!$I$108:$J$110,2,FALSE)</f>
        <v>46204</v>
      </c>
      <c r="AV607" s="233">
        <f>VLOOKUP(AA607,'C PHASES'!$I$113:$J$125,2,FALSE)</f>
        <v>45839</v>
      </c>
    </row>
    <row r="608" spans="1:48" x14ac:dyDescent="0.25">
      <c r="A608" s="236"/>
      <c r="B608" s="227" t="str">
        <f t="shared" si="91"/>
        <v>C</v>
      </c>
      <c r="C608" s="227" t="s">
        <v>38</v>
      </c>
      <c r="D608" s="227" t="s">
        <v>1147</v>
      </c>
      <c r="E608" s="228">
        <v>4</v>
      </c>
      <c r="F608" s="101">
        <v>4</v>
      </c>
      <c r="G608" s="87" t="str">
        <f t="shared" si="99"/>
        <v>C344</v>
      </c>
      <c r="H608" s="87" t="s">
        <v>1294</v>
      </c>
      <c r="I608" s="89" t="str">
        <f>VLOOKUP(C608,'PREMIUM TABLES'!$G$107:$H$149,2,FALSE)</f>
        <v>C2</v>
      </c>
      <c r="J608" s="89">
        <v>139.12700000000001</v>
      </c>
      <c r="K608" s="87">
        <v>154.16532016378619</v>
      </c>
      <c r="L608" s="87">
        <v>170</v>
      </c>
      <c r="M608" s="89"/>
      <c r="N608" s="89"/>
      <c r="O608" s="87" t="s">
        <v>187</v>
      </c>
      <c r="P608" s="87" t="s">
        <v>190</v>
      </c>
      <c r="Q608" s="229" t="s">
        <v>199</v>
      </c>
      <c r="R608" s="87" t="str">
        <f>VLOOKUP(E608,'PREMIUM TABLES'!$F$214:$G$219,2,FALSE)</f>
        <v>FORTH</v>
      </c>
      <c r="S608" s="87" t="str" cm="1">
        <f t="array" ref="S608">IF(AND(L608&gt;0,L608&lt;90),"A",IF(AND(L608&gt;90,L608&lt;123),"B",IF(AND(L608&gt;122,L608&lt;159),"C",IF(AND(L608&gt;159,L608&lt;185),"D",IF(AND(L608&gt;185,L608&lt;230),"E",IF(AND(L608&gt;230,L608&lt;350),"F",NONE))))))</f>
        <v>D</v>
      </c>
      <c r="T608" s="230">
        <f>VLOOKUP(O608,'PREMIUM TABLES'!$G$165:$H$172,2,FALSE)</f>
        <v>0.08</v>
      </c>
      <c r="U608" s="230">
        <f>VLOOKUP(P608,'PREMIUM TABLES'!$G$208:$H$209,2,FALSE)</f>
        <v>2.5000000000000001E-2</v>
      </c>
      <c r="V608" s="230">
        <f>VLOOKUP(Q608,'PREMIUM TABLES'!$G$175:$H$195,2,FALSE)</f>
        <v>0.13</v>
      </c>
      <c r="W608" s="230">
        <f>VLOOKUP(R608,'PREMIUM TABLES'!$G$214:$H$219,2,FALSE)</f>
        <v>0.06</v>
      </c>
      <c r="X608" s="230">
        <f>VLOOKUP(S608,'PREMIUM TABLES'!$F$199:$H$205,3,FALSE)</f>
        <v>2.5000000000000001E-2</v>
      </c>
      <c r="Y608" s="231">
        <f t="shared" si="94"/>
        <v>0.32000000000000006</v>
      </c>
      <c r="Z608" s="231" t="str" cm="1">
        <f t="array" ref="Z608">IF(AND(Y608&gt;0,Y608&lt;0.5),"C",IF(AND(Y608&gt;=0.5,Y608&lt;0.73),"B",IF(AND(Y608&gt;=0.73,Y608&lt;0.98),"A",NONE)))</f>
        <v>C</v>
      </c>
      <c r="AA608" s="231" t="str">
        <f>VLOOKUP(G608,'ALL (R)'!$N$5:$R$862,5,FALSE)</f>
        <v>R 1</v>
      </c>
      <c r="AB608" s="232">
        <f>VLOOKUP(AA608,FACTS!$B$2:$L$14,10,FALSE)</f>
        <v>42500</v>
      </c>
      <c r="AC608" s="232">
        <f>VLOOKUP(AA608,FACTS!$B$2:$L$14,11,FALSE)</f>
        <v>47500</v>
      </c>
      <c r="AD608" s="232">
        <f>VLOOKUP(AA608,FACTS!$B$2:$N$14,13,FALSE)</f>
        <v>5000</v>
      </c>
      <c r="AE608" s="232">
        <f t="shared" si="95"/>
        <v>1600.0000000000002</v>
      </c>
      <c r="AF608" s="232">
        <f t="shared" si="96"/>
        <v>44100</v>
      </c>
      <c r="AG608" s="232">
        <f>AF608*FACTS!$T$2</f>
        <v>14553</v>
      </c>
      <c r="AH608" s="232">
        <f>Table1[[#This Row],[UNIT (BUILDING) RATE (SEMI FINISHED)]]+4500</f>
        <v>48600</v>
      </c>
      <c r="AI608" s="232">
        <f>Table1[[#This Row],[UNIT (BUILDING) RATE (SEMI FINISHED)]]+7500</f>
        <v>51600</v>
      </c>
      <c r="AJ608" s="232">
        <f t="shared" si="97"/>
        <v>7497000</v>
      </c>
      <c r="AK608" s="232">
        <f>Table1[[#This Row],[UNIT (BUILDING) RATE (BASIC FINISH)]]*Table1[[#This Row],[Unit Selling Area]]</f>
        <v>8262000</v>
      </c>
      <c r="AL608" s="232">
        <f>Table1[[#This Row],[UNIT (BUILDING) RATE (FULLY FINISH)]]*Table1[[#This Row],[Unit Selling Area]]</f>
        <v>8772000</v>
      </c>
      <c r="AM608" s="232">
        <f t="shared" si="98"/>
        <v>0</v>
      </c>
      <c r="AN608" s="232">
        <f>(AM608+AJ608)*FACTS!$S$2</f>
        <v>637245</v>
      </c>
      <c r="AO608" s="101">
        <f>VLOOKUP(S608,FACTS!$A$17:$C$23,3,FALSE)</f>
        <v>2</v>
      </c>
      <c r="AP608" s="232">
        <f>VLOOKUP(AA608,FACTS!$B$2:$J$14,9,FALSE)</f>
        <v>200000</v>
      </c>
      <c r="AQ608" s="232">
        <f>Table1[[#This Row],[PARKING VALUE]]*1</f>
        <v>200000</v>
      </c>
      <c r="AR608" s="232">
        <f t="shared" si="93"/>
        <v>7697000</v>
      </c>
      <c r="AS608" s="440">
        <f>Table1[[#This Row],[TOTAL CARS VALUE]]+Table1[[#This Row],[UNIT (BUILDING) VALUE BASIC FINISHED]]+Table1[[#This Row],[UNIT (GARDEN) VALUE]]</f>
        <v>8462000</v>
      </c>
      <c r="AT608" s="232">
        <f>Table1[[#This Row],[TOTAL CARS VALUE]]+Table1[[#This Row],[UNIT (GARDEN) VALUE]]+Table1[[#This Row],[UNIT (BUILDING) VALUE FULLY FINISHED]]</f>
        <v>8972000</v>
      </c>
      <c r="AU608" s="233">
        <f>VLOOKUP(I608,'C PHASES'!$I$108:$J$110,2,FALSE)</f>
        <v>46204</v>
      </c>
      <c r="AV608" s="233">
        <f>VLOOKUP(AA608,'C PHASES'!$I$113:$J$125,2,FALSE)</f>
        <v>45170</v>
      </c>
    </row>
    <row r="609" spans="1:48" ht="22.5" x14ac:dyDescent="0.25">
      <c r="A609" s="236" t="s">
        <v>33</v>
      </c>
      <c r="B609" s="227" t="str">
        <f t="shared" si="91"/>
        <v>C</v>
      </c>
      <c r="C609" s="227" t="s">
        <v>88</v>
      </c>
      <c r="D609" s="227" t="s">
        <v>1147</v>
      </c>
      <c r="E609" s="228">
        <v>0</v>
      </c>
      <c r="F609" s="101">
        <v>1</v>
      </c>
      <c r="G609" s="87" t="str">
        <f>LEFT(C609,2)&amp;E609&amp;F609</f>
        <v>C401</v>
      </c>
      <c r="H609" s="87" t="s">
        <v>1293</v>
      </c>
      <c r="I609" s="89" t="str">
        <f>VLOOKUP(C609,'PREMIUM TABLES'!$G$107:$H$149,2,FALSE)</f>
        <v>C2</v>
      </c>
      <c r="J609" s="89">
        <v>95.254000000000005</v>
      </c>
      <c r="K609" s="87">
        <v>105.53950812408786</v>
      </c>
      <c r="L609" s="87">
        <v>116</v>
      </c>
      <c r="M609" s="87">
        <v>63.1755</v>
      </c>
      <c r="O609" s="87" t="s">
        <v>180</v>
      </c>
      <c r="P609" s="87" t="s">
        <v>190</v>
      </c>
      <c r="Q609" s="229" t="s">
        <v>199</v>
      </c>
      <c r="R609" s="87" t="str">
        <f>VLOOKUP(E609,'PREMIUM TABLES'!$F$214:$G$219,2,FALSE)</f>
        <v>GROUND</v>
      </c>
      <c r="S609" s="87" t="str" cm="1">
        <f t="array" ref="S609">IF(AND(L609&gt;0,L609&lt;90),"A",IF(AND(L609&gt;90,L609&lt;123),"B",IF(AND(L609&gt;122,L609&lt;159),"C",IF(AND(L609&gt;159,L609&lt;185),"D",IF(AND(L609&gt;185,L609&lt;230),"E",IF(AND(L609&gt;230,L609&lt;350),"F",NONE))))))</f>
        <v>B</v>
      </c>
      <c r="T609" s="230">
        <f>VLOOKUP(O609,'PREMIUM TABLES'!$G$165:$H$172,2,FALSE)</f>
        <v>0.13</v>
      </c>
      <c r="U609" s="230">
        <f>VLOOKUP(P609,'PREMIUM TABLES'!$G$208:$H$209,2,FALSE)</f>
        <v>2.5000000000000001E-2</v>
      </c>
      <c r="V609" s="230">
        <f>VLOOKUP(Q609,'PREMIUM TABLES'!$G$175:$H$195,2,FALSE)</f>
        <v>0.13</v>
      </c>
      <c r="W609" s="230">
        <f>VLOOKUP(R609,'PREMIUM TABLES'!$G$214:$H$219,2,FALSE)</f>
        <v>0.05</v>
      </c>
      <c r="X609" s="230">
        <f>VLOOKUP(S609,'PREMIUM TABLES'!$F$199:$H$205,3,FALSE)</f>
        <v>0.04</v>
      </c>
      <c r="Y609" s="231">
        <f t="shared" si="94"/>
        <v>0.375</v>
      </c>
      <c r="Z609" s="231" t="str" cm="1">
        <f t="array" ref="Z609">IF(AND(Y609&gt;0,Y609&lt;0.5),"C",IF(AND(Y609&gt;=0.5,Y609&lt;0.73),"B",IF(AND(Y609&gt;=0.73,Y609&lt;0.98),"A",NONE)))</f>
        <v>C</v>
      </c>
      <c r="AA609" s="231" t="str">
        <f>VLOOKUP(G609,'ALL (R)'!$N$5:$R$862,5,FALSE)</f>
        <v>R 3</v>
      </c>
      <c r="AB609" s="232">
        <f>VLOOKUP(AA609,FACTS!$B$2:$L$14,10,FALSE)</f>
        <v>44625</v>
      </c>
      <c r="AC609" s="232">
        <f>VLOOKUP(AA609,FACTS!$B$2:$L$14,11,FALSE)</f>
        <v>49875</v>
      </c>
      <c r="AD609" s="232">
        <f>VLOOKUP(AA609,FACTS!$B$2:$N$14,13,FALSE)</f>
        <v>5250</v>
      </c>
      <c r="AE609" s="232">
        <f t="shared" si="95"/>
        <v>1968.75</v>
      </c>
      <c r="AF609" s="232">
        <f t="shared" si="96"/>
        <v>46593.75</v>
      </c>
      <c r="AG609" s="232">
        <f>AF609*FACTS!$T$2</f>
        <v>15375.9375</v>
      </c>
      <c r="AH609" s="232">
        <f>Table1[[#This Row],[UNIT (BUILDING) RATE (SEMI FINISHED)]]+4500</f>
        <v>51093.75</v>
      </c>
      <c r="AI609" s="232">
        <f>Table1[[#This Row],[UNIT (BUILDING) RATE (SEMI FINISHED)]]+7500</f>
        <v>54093.75</v>
      </c>
      <c r="AJ609" s="232">
        <f t="shared" si="97"/>
        <v>5404875</v>
      </c>
      <c r="AK609" s="232">
        <f>Table1[[#This Row],[UNIT (BUILDING) RATE (BASIC FINISH)]]*Table1[[#This Row],[Unit Selling Area]]</f>
        <v>5926875</v>
      </c>
      <c r="AL609" s="232">
        <f>Table1[[#This Row],[UNIT (BUILDING) RATE (FULLY FINISH)]]*Table1[[#This Row],[Unit Selling Area]]</f>
        <v>6274875</v>
      </c>
      <c r="AM609" s="232">
        <f t="shared" si="98"/>
        <v>971382.53953125002</v>
      </c>
      <c r="AN609" s="232">
        <f>(AM609+AJ609)*FACTS!$S$2</f>
        <v>541981.89086015627</v>
      </c>
      <c r="AO609" s="101">
        <f>VLOOKUP(S609,FACTS!$A$17:$C$23,3,FALSE)</f>
        <v>1</v>
      </c>
      <c r="AP609" s="232">
        <f>VLOOKUP(AA609,FACTS!$B$2:$J$14,9,FALSE)</f>
        <v>210000</v>
      </c>
      <c r="AQ609" s="232">
        <f>Table1[[#This Row],[PARKING VALUE]]*1</f>
        <v>210000</v>
      </c>
      <c r="AR609" s="232">
        <f t="shared" si="93"/>
        <v>6586257.5395312496</v>
      </c>
      <c r="AS609" s="440">
        <f>Table1[[#This Row],[TOTAL CARS VALUE]]+Table1[[#This Row],[UNIT (BUILDING) VALUE BASIC FINISHED]]+Table1[[#This Row],[UNIT (GARDEN) VALUE]]</f>
        <v>7108257.5395312496</v>
      </c>
      <c r="AT609" s="232">
        <f>Table1[[#This Row],[TOTAL CARS VALUE]]+Table1[[#This Row],[UNIT (GARDEN) VALUE]]+Table1[[#This Row],[UNIT (BUILDING) VALUE FULLY FINISHED]]</f>
        <v>7456257.5395312496</v>
      </c>
      <c r="AU609" s="233">
        <f>VLOOKUP(I609,'C PHASES'!$I$108:$J$110,2,FALSE)</f>
        <v>46204</v>
      </c>
      <c r="AV609" s="233">
        <f>VLOOKUP(AA609,'C PHASES'!$I$113:$J$125,2,FALSE)</f>
        <v>45383</v>
      </c>
    </row>
    <row r="610" spans="1:48" x14ac:dyDescent="0.25">
      <c r="A610" s="236"/>
      <c r="B610" s="227" t="str">
        <f t="shared" si="91"/>
        <v>C</v>
      </c>
      <c r="C610" s="227" t="s">
        <v>88</v>
      </c>
      <c r="D610" s="227" t="s">
        <v>1147</v>
      </c>
      <c r="E610" s="228">
        <v>0</v>
      </c>
      <c r="F610" s="101">
        <v>2</v>
      </c>
      <c r="G610" s="87" t="str">
        <f t="shared" ref="G610:G628" si="100">LEFT(C610,2)&amp;E610&amp;F610</f>
        <v>C402</v>
      </c>
      <c r="H610" s="87" t="s">
        <v>1294</v>
      </c>
      <c r="I610" s="89" t="str">
        <f>VLOOKUP(C610,'PREMIUM TABLES'!$G$107:$H$149,2,FALSE)</f>
        <v>C2</v>
      </c>
      <c r="J610" s="89">
        <v>162.82599999999999</v>
      </c>
      <c r="K610" s="87">
        <v>180.40791935050211</v>
      </c>
      <c r="L610" s="87">
        <v>199</v>
      </c>
      <c r="M610" s="87">
        <v>77.610299999999995</v>
      </c>
      <c r="O610" s="87" t="s">
        <v>187</v>
      </c>
      <c r="P610" s="87" t="s">
        <v>190</v>
      </c>
      <c r="Q610" s="229" t="s">
        <v>192</v>
      </c>
      <c r="R610" s="87" t="str">
        <f>VLOOKUP(E610,'PREMIUM TABLES'!$F$214:$G$219,2,FALSE)</f>
        <v>GROUND</v>
      </c>
      <c r="S610" s="87" t="str" cm="1">
        <f t="array" ref="S610">IF(AND(L610&gt;0,L610&lt;90),"A",IF(AND(L610&gt;90,L610&lt;123),"B",IF(AND(L610&gt;122,L610&lt;159),"C",IF(AND(L610&gt;159,L610&lt;185),"D",IF(AND(L610&gt;185,L610&lt;230),"E",IF(AND(L610&gt;230,L610&lt;350),"F",NONE))))))</f>
        <v>E</v>
      </c>
      <c r="T610" s="230">
        <f>VLOOKUP(O610,'PREMIUM TABLES'!$G$165:$H$172,2,FALSE)</f>
        <v>0.08</v>
      </c>
      <c r="U610" s="230">
        <f>VLOOKUP(P610,'PREMIUM TABLES'!$G$208:$H$209,2,FALSE)</f>
        <v>2.5000000000000001E-2</v>
      </c>
      <c r="V610" s="230">
        <f>VLOOKUP(Q610,'PREMIUM TABLES'!$G$175:$H$195,2,FALSE)</f>
        <v>0.46</v>
      </c>
      <c r="W610" s="230">
        <f>VLOOKUP(R610,'PREMIUM TABLES'!$G$214:$H$219,2,FALSE)</f>
        <v>0.05</v>
      </c>
      <c r="X610" s="230">
        <f>VLOOKUP(S610,'PREMIUM TABLES'!$F$199:$H$205,3,FALSE)</f>
        <v>1.4999999999999999E-2</v>
      </c>
      <c r="Y610" s="231">
        <f t="shared" si="94"/>
        <v>0.63000000000000012</v>
      </c>
      <c r="Z610" s="231" t="str" cm="1">
        <f t="array" ref="Z610">IF(AND(Y610&gt;0,Y610&lt;0.5),"C",IF(AND(Y610&gt;=0.5,Y610&lt;0.73),"B",IF(AND(Y610&gt;=0.73,Y610&lt;0.98),"A",NONE)))</f>
        <v>B</v>
      </c>
      <c r="AA610" s="231" t="str">
        <f>VLOOKUP(G610,'ALL (R)'!$N$5:$R$862,5,FALSE)</f>
        <v>R 3</v>
      </c>
      <c r="AB610" s="232">
        <f>VLOOKUP(AA610,FACTS!$B$2:$L$14,10,FALSE)</f>
        <v>44625</v>
      </c>
      <c r="AC610" s="232">
        <f>VLOOKUP(AA610,FACTS!$B$2:$L$14,11,FALSE)</f>
        <v>49875</v>
      </c>
      <c r="AD610" s="232">
        <f>VLOOKUP(AA610,FACTS!$B$2:$N$14,13,FALSE)</f>
        <v>5250</v>
      </c>
      <c r="AE610" s="232">
        <f t="shared" si="95"/>
        <v>3307.5000000000005</v>
      </c>
      <c r="AF610" s="232">
        <f t="shared" si="96"/>
        <v>47932.5</v>
      </c>
      <c r="AG610" s="232">
        <f>AF610*FACTS!$T$2</f>
        <v>15817.725</v>
      </c>
      <c r="AH610" s="232">
        <f>Table1[[#This Row],[UNIT (BUILDING) RATE (SEMI FINISHED)]]+4500</f>
        <v>52432.5</v>
      </c>
      <c r="AI610" s="232">
        <f>Table1[[#This Row],[UNIT (BUILDING) RATE (SEMI FINISHED)]]+7500</f>
        <v>55432.5</v>
      </c>
      <c r="AJ610" s="232">
        <f t="shared" si="97"/>
        <v>9538567.5</v>
      </c>
      <c r="AK610" s="232">
        <f>Table1[[#This Row],[UNIT (BUILDING) RATE (BASIC FINISH)]]*Table1[[#This Row],[Unit Selling Area]]</f>
        <v>10434067.5</v>
      </c>
      <c r="AL610" s="232">
        <f>Table1[[#This Row],[UNIT (BUILDING) RATE (FULLY FINISH)]]*Table1[[#This Row],[Unit Selling Area]]</f>
        <v>11031067.5</v>
      </c>
      <c r="AM610" s="232">
        <f t="shared" si="98"/>
        <v>1227618.3825675</v>
      </c>
      <c r="AN610" s="232">
        <f>(AM610+AJ610)*FACTS!$S$2</f>
        <v>915125.80001823767</v>
      </c>
      <c r="AO610" s="101">
        <f>VLOOKUP(S610,FACTS!$A$17:$C$23,3,FALSE)</f>
        <v>2</v>
      </c>
      <c r="AP610" s="232">
        <f>VLOOKUP(AA610,FACTS!$B$2:$J$14,9,FALSE)</f>
        <v>210000</v>
      </c>
      <c r="AQ610" s="232">
        <f>Table1[[#This Row],[PARKING VALUE]]*1</f>
        <v>210000</v>
      </c>
      <c r="AR610" s="232">
        <f t="shared" si="93"/>
        <v>10976185.882567501</v>
      </c>
      <c r="AS610" s="440">
        <f>Table1[[#This Row],[TOTAL CARS VALUE]]+Table1[[#This Row],[UNIT (BUILDING) VALUE BASIC FINISHED]]+Table1[[#This Row],[UNIT (GARDEN) VALUE]]</f>
        <v>11871685.882567501</v>
      </c>
      <c r="AT610" s="232">
        <f>Table1[[#This Row],[TOTAL CARS VALUE]]+Table1[[#This Row],[UNIT (GARDEN) VALUE]]+Table1[[#This Row],[UNIT (BUILDING) VALUE FULLY FINISHED]]</f>
        <v>12468685.882567501</v>
      </c>
      <c r="AU610" s="233">
        <f>VLOOKUP(I610,'C PHASES'!$I$108:$J$110,2,FALSE)</f>
        <v>46204</v>
      </c>
      <c r="AV610" s="233">
        <f>VLOOKUP(AA610,'C PHASES'!$I$113:$J$125,2,FALSE)</f>
        <v>45383</v>
      </c>
    </row>
    <row r="611" spans="1:48" x14ac:dyDescent="0.25">
      <c r="A611" s="236"/>
      <c r="B611" s="227" t="str">
        <f t="shared" si="91"/>
        <v>C</v>
      </c>
      <c r="C611" s="227" t="s">
        <v>88</v>
      </c>
      <c r="D611" s="227" t="s">
        <v>1147</v>
      </c>
      <c r="E611" s="228">
        <v>0</v>
      </c>
      <c r="F611" s="101">
        <v>3</v>
      </c>
      <c r="G611" s="87" t="str">
        <f t="shared" si="100"/>
        <v>C403</v>
      </c>
      <c r="H611" s="87" t="s">
        <v>1295</v>
      </c>
      <c r="I611" s="89" t="str">
        <f>VLOOKUP(C611,'PREMIUM TABLES'!$G$107:$H$149,2,FALSE)</f>
        <v>C2</v>
      </c>
      <c r="J611" s="89">
        <v>183.887</v>
      </c>
      <c r="K611" s="87">
        <v>203.74308197465874</v>
      </c>
      <c r="L611" s="87">
        <v>224</v>
      </c>
      <c r="M611" s="87">
        <v>61.527700000000003</v>
      </c>
      <c r="O611" s="87" t="s">
        <v>187</v>
      </c>
      <c r="P611" s="87" t="s">
        <v>226</v>
      </c>
      <c r="Q611" s="229" t="s">
        <v>210</v>
      </c>
      <c r="R611" s="87" t="str">
        <f>VLOOKUP(E611,'PREMIUM TABLES'!$F$214:$G$219,2,FALSE)</f>
        <v>GROUND</v>
      </c>
      <c r="S611" s="87" t="str" cm="1">
        <f t="array" ref="S611">IF(AND(L611&gt;0,L611&lt;90),"A",IF(AND(L611&gt;90,L611&lt;123),"B",IF(AND(L611&gt;122,L611&lt;159),"C",IF(AND(L611&gt;159,L611&lt;185),"D",IF(AND(L611&gt;185,L611&lt;230),"E",IF(AND(L611&gt;230,L611&lt;350),"F",NONE))))))</f>
        <v>E</v>
      </c>
      <c r="T611" s="230">
        <f>VLOOKUP(O611,'PREMIUM TABLES'!$G$165:$H$172,2,FALSE)</f>
        <v>0.08</v>
      </c>
      <c r="U611" s="230">
        <f>VLOOKUP(P611,'PREMIUM TABLES'!$G$208:$H$209,2,FALSE)</f>
        <v>0.05</v>
      </c>
      <c r="V611" s="230">
        <f>VLOOKUP(Q611,'PREMIUM TABLES'!$G$175:$H$195,2,FALSE)</f>
        <v>0.53</v>
      </c>
      <c r="W611" s="230">
        <f>VLOOKUP(R611,'PREMIUM TABLES'!$G$214:$H$219,2,FALSE)</f>
        <v>0.05</v>
      </c>
      <c r="X611" s="230">
        <f>VLOOKUP(S611,'PREMIUM TABLES'!$F$199:$H$205,3,FALSE)</f>
        <v>1.4999999999999999E-2</v>
      </c>
      <c r="Y611" s="231">
        <f t="shared" si="94"/>
        <v>0.72500000000000009</v>
      </c>
      <c r="Z611" s="231" t="str" cm="1">
        <f t="array" ref="Z611">IF(AND(Y611&gt;0,Y611&lt;0.5),"C",IF(AND(Y611&gt;=0.5,Y611&lt;0.73),"B",IF(AND(Y611&gt;=0.73,Y611&lt;0.98),"A",NONE)))</f>
        <v>B</v>
      </c>
      <c r="AA611" s="231" t="str">
        <f>VLOOKUP(G611,'ALL (R)'!$N$5:$R$862,5,FALSE)</f>
        <v>R 12</v>
      </c>
      <c r="AB611" s="232">
        <f>VLOOKUP(AA611,FACTS!$B$2:$L$14,10,FALSE)</f>
        <v>61625</v>
      </c>
      <c r="AC611" s="232">
        <f>VLOOKUP(AA611,FACTS!$B$2:$L$14,11,FALSE)</f>
        <v>68875</v>
      </c>
      <c r="AD611" s="232">
        <f>VLOOKUP(AA611,FACTS!$B$2:$N$14,13,FALSE)</f>
        <v>7250</v>
      </c>
      <c r="AE611" s="232">
        <f t="shared" si="95"/>
        <v>5256.2500000000009</v>
      </c>
      <c r="AF611" s="232">
        <f t="shared" si="96"/>
        <v>66881.25</v>
      </c>
      <c r="AG611" s="232">
        <f>AF611*FACTS!$T$2</f>
        <v>22070.8125</v>
      </c>
      <c r="AH611" s="232">
        <f>Table1[[#This Row],[UNIT (BUILDING) RATE (SEMI FINISHED)]]+4500</f>
        <v>71381.25</v>
      </c>
      <c r="AI611" s="232">
        <f>Table1[[#This Row],[UNIT (BUILDING) RATE (SEMI FINISHED)]]+7500</f>
        <v>74381.25</v>
      </c>
      <c r="AJ611" s="232">
        <f t="shared" si="97"/>
        <v>14981400</v>
      </c>
      <c r="AK611" s="232">
        <f>Table1[[#This Row],[UNIT (BUILDING) RATE (BASIC FINISH)]]*Table1[[#This Row],[Unit Selling Area]]</f>
        <v>15989400</v>
      </c>
      <c r="AL611" s="232">
        <f>Table1[[#This Row],[UNIT (BUILDING) RATE (FULLY FINISH)]]*Table1[[#This Row],[Unit Selling Area]]</f>
        <v>16661400</v>
      </c>
      <c r="AM611" s="232">
        <f t="shared" si="98"/>
        <v>1357966.33025625</v>
      </c>
      <c r="AN611" s="232">
        <f>(AM611+AJ611)*FACTS!$S$2</f>
        <v>1388846.1380717813</v>
      </c>
      <c r="AO611" s="101">
        <f>VLOOKUP(S611,FACTS!$A$17:$C$23,3,FALSE)</f>
        <v>2</v>
      </c>
      <c r="AP611" s="232">
        <f>VLOOKUP(AA611,FACTS!$B$2:$J$14,9,FALSE)</f>
        <v>290000</v>
      </c>
      <c r="AQ611" s="232">
        <f>Table1[[#This Row],[PARKING VALUE]]*1</f>
        <v>290000</v>
      </c>
      <c r="AR611" s="232">
        <f t="shared" si="93"/>
        <v>16629366.33025625</v>
      </c>
      <c r="AS611" s="440">
        <f>Table1[[#This Row],[TOTAL CARS VALUE]]+Table1[[#This Row],[UNIT (BUILDING) VALUE BASIC FINISHED]]+Table1[[#This Row],[UNIT (GARDEN) VALUE]]</f>
        <v>17637366.33025625</v>
      </c>
      <c r="AT611" s="232">
        <f>Table1[[#This Row],[TOTAL CARS VALUE]]+Table1[[#This Row],[UNIT (GARDEN) VALUE]]+Table1[[#This Row],[UNIT (BUILDING) VALUE FULLY FINISHED]]</f>
        <v>18309366.33025625</v>
      </c>
      <c r="AU611" s="233">
        <f>VLOOKUP(I611,'C PHASES'!$I$108:$J$110,2,FALSE)</f>
        <v>46204</v>
      </c>
      <c r="AV611" s="233">
        <f>VLOOKUP(AA611,'C PHASES'!$I$113:$J$125,2,FALSE)</f>
        <v>46204</v>
      </c>
    </row>
    <row r="612" spans="1:48" x14ac:dyDescent="0.25">
      <c r="A612" s="236"/>
      <c r="B612" s="227" t="str">
        <f t="shared" si="91"/>
        <v>C</v>
      </c>
      <c r="C612" s="227" t="s">
        <v>88</v>
      </c>
      <c r="D612" s="227" t="s">
        <v>1147</v>
      </c>
      <c r="E612" s="228">
        <v>0</v>
      </c>
      <c r="F612" s="101">
        <v>4</v>
      </c>
      <c r="G612" s="87" t="str">
        <f t="shared" si="100"/>
        <v>C404</v>
      </c>
      <c r="H612" s="87" t="s">
        <v>1294</v>
      </c>
      <c r="I612" s="89" t="str">
        <f>VLOOKUP(C612,'PREMIUM TABLES'!$G$107:$H$149,2,FALSE)</f>
        <v>C2</v>
      </c>
      <c r="J612" s="89">
        <v>147.54499999999999</v>
      </c>
      <c r="K612" s="87">
        <v>163.47687998581205</v>
      </c>
      <c r="L612" s="87">
        <v>180</v>
      </c>
      <c r="M612" s="87">
        <v>81.552400000000006</v>
      </c>
      <c r="O612" s="87" t="s">
        <v>180</v>
      </c>
      <c r="P612" s="87" t="s">
        <v>226</v>
      </c>
      <c r="Q612" s="229" t="s">
        <v>228</v>
      </c>
      <c r="R612" s="87" t="str">
        <f>VLOOKUP(E612,'PREMIUM TABLES'!$F$214:$G$219,2,FALSE)</f>
        <v>GROUND</v>
      </c>
      <c r="S612" s="87" t="str" cm="1">
        <f t="array" ref="S612">IF(AND(L612&gt;0,L612&lt;90),"A",IF(AND(L612&gt;90,L612&lt;123),"B",IF(AND(L612&gt;122,L612&lt;159),"C",IF(AND(L612&gt;159,L612&lt;185),"D",IF(AND(L612&gt;185,L612&lt;230),"E",IF(AND(L612&gt;230,L612&lt;350),"F",NONE))))))</f>
        <v>D</v>
      </c>
      <c r="T612" s="230">
        <f>VLOOKUP(O612,'PREMIUM TABLES'!$G$165:$H$172,2,FALSE)</f>
        <v>0.13</v>
      </c>
      <c r="U612" s="230">
        <f>VLOOKUP(P612,'PREMIUM TABLES'!$G$208:$H$209,2,FALSE)</f>
        <v>0.05</v>
      </c>
      <c r="V612" s="230">
        <f>VLOOKUP(Q612,'PREMIUM TABLES'!$G$175:$H$195,2,FALSE)</f>
        <v>0.42400000000000004</v>
      </c>
      <c r="W612" s="230">
        <f>VLOOKUP(R612,'PREMIUM TABLES'!$G$214:$H$219,2,FALSE)</f>
        <v>0.05</v>
      </c>
      <c r="X612" s="230">
        <f>VLOOKUP(S612,'PREMIUM TABLES'!$F$199:$H$205,3,FALSE)</f>
        <v>2.5000000000000001E-2</v>
      </c>
      <c r="Y612" s="231">
        <f t="shared" si="94"/>
        <v>0.67900000000000016</v>
      </c>
      <c r="Z612" s="231" t="str" cm="1">
        <f t="array" ref="Z612">IF(AND(Y612&gt;0,Y612&lt;0.5),"C",IF(AND(Y612&gt;=0.5,Y612&lt;0.73),"B",IF(AND(Y612&gt;=0.73,Y612&lt;0.98),"A",NONE)))</f>
        <v>B</v>
      </c>
      <c r="AA612" s="231" t="str">
        <f>VLOOKUP(G612,'ALL (R)'!$N$5:$R$862,5,FALSE)</f>
        <v>R 7</v>
      </c>
      <c r="AB612" s="232">
        <f>VLOOKUP(AA612,FACTS!$B$2:$L$14,10,FALSE)</f>
        <v>50150</v>
      </c>
      <c r="AC612" s="232">
        <f>VLOOKUP(AA612,FACTS!$B$2:$L$14,11,FALSE)</f>
        <v>56050</v>
      </c>
      <c r="AD612" s="232">
        <f>VLOOKUP(AA612,FACTS!$B$2:$N$14,13,FALSE)</f>
        <v>5900</v>
      </c>
      <c r="AE612" s="232">
        <f t="shared" si="95"/>
        <v>4006.1000000000008</v>
      </c>
      <c r="AF612" s="232">
        <f t="shared" si="96"/>
        <v>54156.1</v>
      </c>
      <c r="AG612" s="232">
        <f>AF612*FACTS!$T$2</f>
        <v>17871.512999999999</v>
      </c>
      <c r="AH612" s="232">
        <f>Table1[[#This Row],[UNIT (BUILDING) RATE (SEMI FINISHED)]]+4500</f>
        <v>58656.1</v>
      </c>
      <c r="AI612" s="232">
        <f>Table1[[#This Row],[UNIT (BUILDING) RATE (SEMI FINISHED)]]+7500</f>
        <v>61656.1</v>
      </c>
      <c r="AJ612" s="232">
        <f t="shared" si="97"/>
        <v>9748098</v>
      </c>
      <c r="AK612" s="232">
        <f>Table1[[#This Row],[UNIT (BUILDING) RATE (BASIC FINISH)]]*Table1[[#This Row],[Unit Selling Area]]</f>
        <v>10558098</v>
      </c>
      <c r="AL612" s="232">
        <f>Table1[[#This Row],[UNIT (BUILDING) RATE (FULLY FINISH)]]*Table1[[#This Row],[Unit Selling Area]]</f>
        <v>11098098</v>
      </c>
      <c r="AM612" s="232">
        <f t="shared" si="98"/>
        <v>1457464.7767812</v>
      </c>
      <c r="AN612" s="232">
        <f>(AM612+AJ612)*FACTS!$S$2</f>
        <v>952472.83602640207</v>
      </c>
      <c r="AO612" s="101">
        <f>VLOOKUP(S612,FACTS!$A$17:$C$23,3,FALSE)</f>
        <v>2</v>
      </c>
      <c r="AP612" s="232">
        <f>VLOOKUP(AA612,FACTS!$B$2:$J$14,9,FALSE)</f>
        <v>236000</v>
      </c>
      <c r="AQ612" s="232">
        <f>Table1[[#This Row],[PARKING VALUE]]*1</f>
        <v>236000</v>
      </c>
      <c r="AR612" s="232">
        <f t="shared" si="93"/>
        <v>11441562.776781199</v>
      </c>
      <c r="AS612" s="440">
        <f>Table1[[#This Row],[TOTAL CARS VALUE]]+Table1[[#This Row],[UNIT (BUILDING) VALUE BASIC FINISHED]]+Table1[[#This Row],[UNIT (GARDEN) VALUE]]</f>
        <v>12251562.776781199</v>
      </c>
      <c r="AT612" s="232">
        <f>Table1[[#This Row],[TOTAL CARS VALUE]]+Table1[[#This Row],[UNIT (GARDEN) VALUE]]+Table1[[#This Row],[UNIT (BUILDING) VALUE FULLY FINISHED]]</f>
        <v>12791562.776781199</v>
      </c>
      <c r="AU612" s="233">
        <f>VLOOKUP(I612,'C PHASES'!$I$108:$J$110,2,FALSE)</f>
        <v>46204</v>
      </c>
      <c r="AV612" s="233">
        <f>VLOOKUP(AA612,'C PHASES'!$I$113:$J$125,2,FALSE)</f>
        <v>45748</v>
      </c>
    </row>
    <row r="613" spans="1:48" x14ac:dyDescent="0.25">
      <c r="A613" s="236"/>
      <c r="B613" s="227" t="str">
        <f t="shared" si="91"/>
        <v>C</v>
      </c>
      <c r="C613" s="227" t="s">
        <v>88</v>
      </c>
      <c r="D613" s="227" t="s">
        <v>1147</v>
      </c>
      <c r="E613" s="228">
        <v>1</v>
      </c>
      <c r="F613" s="101">
        <v>1</v>
      </c>
      <c r="G613" s="87" t="str">
        <f t="shared" si="100"/>
        <v>C411</v>
      </c>
      <c r="H613" s="87" t="s">
        <v>1293</v>
      </c>
      <c r="I613" s="89" t="str">
        <f>VLOOKUP(C613,'PREMIUM TABLES'!$G$107:$H$149,2,FALSE)</f>
        <v>C2</v>
      </c>
      <c r="J613" s="89">
        <v>96.311000000000007</v>
      </c>
      <c r="K613" s="87">
        <v>106.71064277551626</v>
      </c>
      <c r="L613" s="87">
        <v>117</v>
      </c>
      <c r="M613" s="89"/>
      <c r="N613" s="89"/>
      <c r="O613" s="87" t="s">
        <v>180</v>
      </c>
      <c r="P613" s="87" t="s">
        <v>190</v>
      </c>
      <c r="Q613" s="229" t="s">
        <v>199</v>
      </c>
      <c r="R613" s="87" t="str">
        <f>VLOOKUP(E613,'PREMIUM TABLES'!$F$214:$G$219,2,FALSE)</f>
        <v>FIRST</v>
      </c>
      <c r="S613" s="87" t="str" cm="1">
        <f t="array" ref="S613">IF(AND(L613&gt;0,L613&lt;90),"A",IF(AND(L613&gt;90,L613&lt;123),"B",IF(AND(L613&gt;122,L613&lt;159),"C",IF(AND(L613&gt;159,L613&lt;185),"D",IF(AND(L613&gt;185,L613&lt;230),"E",IF(AND(L613&gt;230,L613&lt;350),"F",NONE))))))</f>
        <v>B</v>
      </c>
      <c r="T613" s="230">
        <f>VLOOKUP(O613,'PREMIUM TABLES'!$G$165:$H$172,2,FALSE)</f>
        <v>0.13</v>
      </c>
      <c r="U613" s="230">
        <f>VLOOKUP(P613,'PREMIUM TABLES'!$G$208:$H$209,2,FALSE)</f>
        <v>2.5000000000000001E-2</v>
      </c>
      <c r="V613" s="230">
        <f>VLOOKUP(Q613,'PREMIUM TABLES'!$G$175:$H$195,2,FALSE)</f>
        <v>0.13</v>
      </c>
      <c r="W613" s="230">
        <f>VLOOKUP(R613,'PREMIUM TABLES'!$G$214:$H$219,2,FALSE)</f>
        <v>7.0000000000000007E-2</v>
      </c>
      <c r="X613" s="230">
        <f>VLOOKUP(S613,'PREMIUM TABLES'!$F$199:$H$205,3,FALSE)</f>
        <v>0.04</v>
      </c>
      <c r="Y613" s="231">
        <f t="shared" si="94"/>
        <v>0.39500000000000002</v>
      </c>
      <c r="Z613" s="231" t="str" cm="1">
        <f t="array" ref="Z613">IF(AND(Y613&gt;0,Y613&lt;0.5),"C",IF(AND(Y613&gt;=0.5,Y613&lt;0.73),"B",IF(AND(Y613&gt;=0.73,Y613&lt;0.98),"A",NONE)))</f>
        <v>C</v>
      </c>
      <c r="AA613" s="231" t="str">
        <f>VLOOKUP(G613,'ALL (R)'!$N$5:$R$862,5,FALSE)</f>
        <v>R 4</v>
      </c>
      <c r="AB613" s="232">
        <f>VLOOKUP(AA613,FACTS!$B$2:$L$14,10,FALSE)</f>
        <v>45687.5</v>
      </c>
      <c r="AC613" s="232">
        <f>VLOOKUP(AA613,FACTS!$B$2:$L$14,11,FALSE)</f>
        <v>51062.5</v>
      </c>
      <c r="AD613" s="232">
        <f>VLOOKUP(AA613,FACTS!$B$2:$N$14,13,FALSE)</f>
        <v>5375</v>
      </c>
      <c r="AE613" s="232">
        <f t="shared" si="95"/>
        <v>2123.125</v>
      </c>
      <c r="AF613" s="232">
        <f t="shared" si="96"/>
        <v>47810.625</v>
      </c>
      <c r="AG613" s="232">
        <f>AF613*FACTS!$T$2</f>
        <v>15777.50625</v>
      </c>
      <c r="AH613" s="232">
        <f>Table1[[#This Row],[UNIT (BUILDING) RATE (SEMI FINISHED)]]+4500</f>
        <v>52310.625</v>
      </c>
      <c r="AI613" s="232">
        <f>Table1[[#This Row],[UNIT (BUILDING) RATE (SEMI FINISHED)]]+7500</f>
        <v>55310.625</v>
      </c>
      <c r="AJ613" s="232">
        <f t="shared" si="97"/>
        <v>5593843.125</v>
      </c>
      <c r="AK613" s="232">
        <f>Table1[[#This Row],[UNIT (BUILDING) RATE (BASIC FINISH)]]*Table1[[#This Row],[Unit Selling Area]]</f>
        <v>6120343.125</v>
      </c>
      <c r="AL613" s="232">
        <f>Table1[[#This Row],[UNIT (BUILDING) RATE (FULLY FINISH)]]*Table1[[#This Row],[Unit Selling Area]]</f>
        <v>6471343.125</v>
      </c>
      <c r="AM613" s="232">
        <f t="shared" si="98"/>
        <v>0</v>
      </c>
      <c r="AN613" s="232">
        <f>(AM613+AJ613)*FACTS!$S$2</f>
        <v>475476.66562500002</v>
      </c>
      <c r="AO613" s="101">
        <f>VLOOKUP(S613,FACTS!$A$17:$C$23,3,FALSE)</f>
        <v>1</v>
      </c>
      <c r="AP613" s="232">
        <f>VLOOKUP(AA613,FACTS!$B$2:$J$14,9,FALSE)</f>
        <v>215000</v>
      </c>
      <c r="AQ613" s="232">
        <f>Table1[[#This Row],[PARKING VALUE]]*1</f>
        <v>215000</v>
      </c>
      <c r="AR613" s="232">
        <f t="shared" si="93"/>
        <v>5808843.125</v>
      </c>
      <c r="AS613" s="440">
        <f>Table1[[#This Row],[TOTAL CARS VALUE]]+Table1[[#This Row],[UNIT (BUILDING) VALUE BASIC FINISHED]]+Table1[[#This Row],[UNIT (GARDEN) VALUE]]</f>
        <v>6335343.125</v>
      </c>
      <c r="AT613" s="232">
        <f>Table1[[#This Row],[TOTAL CARS VALUE]]+Table1[[#This Row],[UNIT (GARDEN) VALUE]]+Table1[[#This Row],[UNIT (BUILDING) VALUE FULLY FINISHED]]</f>
        <v>6686343.125</v>
      </c>
      <c r="AU613" s="233">
        <f>VLOOKUP(I613,'C PHASES'!$I$108:$J$110,2,FALSE)</f>
        <v>46204</v>
      </c>
      <c r="AV613" s="233">
        <f>VLOOKUP(AA613,'C PHASES'!$I$113:$J$125,2,FALSE)</f>
        <v>45474</v>
      </c>
    </row>
    <row r="614" spans="1:48" x14ac:dyDescent="0.25">
      <c r="A614" s="236"/>
      <c r="B614" s="227" t="str">
        <f t="shared" si="91"/>
        <v>C</v>
      </c>
      <c r="C614" s="227" t="s">
        <v>88</v>
      </c>
      <c r="D614" s="227" t="s">
        <v>1147</v>
      </c>
      <c r="E614" s="228">
        <v>1</v>
      </c>
      <c r="F614" s="101">
        <v>2</v>
      </c>
      <c r="G614" s="87" t="str">
        <f t="shared" si="100"/>
        <v>C412</v>
      </c>
      <c r="H614" s="87" t="s">
        <v>1294</v>
      </c>
      <c r="I614" s="89" t="str">
        <f>VLOOKUP(C614,'PREMIUM TABLES'!$G$107:$H$149,2,FALSE)</f>
        <v>C2</v>
      </c>
      <c r="J614" s="89">
        <v>162.57599999999999</v>
      </c>
      <c r="K614" s="87">
        <v>180.13092439983313</v>
      </c>
      <c r="L614" s="87">
        <v>198</v>
      </c>
      <c r="M614" s="89"/>
      <c r="N614" s="89"/>
      <c r="O614" s="87" t="s">
        <v>187</v>
      </c>
      <c r="P614" s="87" t="s">
        <v>190</v>
      </c>
      <c r="Q614" s="229" t="s">
        <v>192</v>
      </c>
      <c r="R614" s="87" t="str">
        <f>VLOOKUP(E614,'PREMIUM TABLES'!$F$214:$G$219,2,FALSE)</f>
        <v>FIRST</v>
      </c>
      <c r="S614" s="87" t="str" cm="1">
        <f t="array" ref="S614">IF(AND(L614&gt;0,L614&lt;90),"A",IF(AND(L614&gt;90,L614&lt;123),"B",IF(AND(L614&gt;122,L614&lt;159),"C",IF(AND(L614&gt;159,L614&lt;185),"D",IF(AND(L614&gt;185,L614&lt;230),"E",IF(AND(L614&gt;230,L614&lt;350),"F",NONE))))))</f>
        <v>E</v>
      </c>
      <c r="T614" s="230">
        <f>VLOOKUP(O614,'PREMIUM TABLES'!$G$165:$H$172,2,FALSE)</f>
        <v>0.08</v>
      </c>
      <c r="U614" s="230">
        <f>VLOOKUP(P614,'PREMIUM TABLES'!$G$208:$H$209,2,FALSE)</f>
        <v>2.5000000000000001E-2</v>
      </c>
      <c r="V614" s="230">
        <f>VLOOKUP(Q614,'PREMIUM TABLES'!$G$175:$H$195,2,FALSE)</f>
        <v>0.46</v>
      </c>
      <c r="W614" s="230">
        <f>VLOOKUP(R614,'PREMIUM TABLES'!$G$214:$H$219,2,FALSE)</f>
        <v>7.0000000000000007E-2</v>
      </c>
      <c r="X614" s="230">
        <f>VLOOKUP(S614,'PREMIUM TABLES'!$F$199:$H$205,3,FALSE)</f>
        <v>1.4999999999999999E-2</v>
      </c>
      <c r="Y614" s="231">
        <f t="shared" si="94"/>
        <v>0.65</v>
      </c>
      <c r="Z614" s="231" t="str" cm="1">
        <f t="array" ref="Z614">IF(AND(Y614&gt;0,Y614&lt;0.5),"C",IF(AND(Y614&gt;=0.5,Y614&lt;0.73),"B",IF(AND(Y614&gt;=0.73,Y614&lt;0.98),"A",NONE)))</f>
        <v>B</v>
      </c>
      <c r="AA614" s="231" t="str">
        <f>VLOOKUP(G614,'ALL (R)'!$N$5:$R$862,5,FALSE)</f>
        <v>R 5</v>
      </c>
      <c r="AB614" s="232">
        <f>VLOOKUP(AA614,FACTS!$B$2:$L$14,10,FALSE)</f>
        <v>46750.000000000007</v>
      </c>
      <c r="AC614" s="232">
        <f>VLOOKUP(AA614,FACTS!$B$2:$L$14,11,FALSE)</f>
        <v>52250.000000000007</v>
      </c>
      <c r="AD614" s="232">
        <f>VLOOKUP(AA614,FACTS!$B$2:$N$14,13,FALSE)</f>
        <v>5500</v>
      </c>
      <c r="AE614" s="232">
        <f t="shared" si="95"/>
        <v>3575</v>
      </c>
      <c r="AF614" s="232">
        <f t="shared" si="96"/>
        <v>50325.000000000007</v>
      </c>
      <c r="AG614" s="232">
        <f>AF614*FACTS!$T$2</f>
        <v>16607.250000000004</v>
      </c>
      <c r="AH614" s="232">
        <f>Table1[[#This Row],[UNIT (BUILDING) RATE (SEMI FINISHED)]]+4500</f>
        <v>54825.000000000007</v>
      </c>
      <c r="AI614" s="232">
        <f>Table1[[#This Row],[UNIT (BUILDING) RATE (SEMI FINISHED)]]+7500</f>
        <v>57825.000000000007</v>
      </c>
      <c r="AJ614" s="232">
        <f t="shared" si="97"/>
        <v>9964350.0000000019</v>
      </c>
      <c r="AK614" s="232">
        <f>Table1[[#This Row],[UNIT (BUILDING) RATE (BASIC FINISH)]]*Table1[[#This Row],[Unit Selling Area]]</f>
        <v>10855350.000000002</v>
      </c>
      <c r="AL614" s="232">
        <f>Table1[[#This Row],[UNIT (BUILDING) RATE (FULLY FINISH)]]*Table1[[#This Row],[Unit Selling Area]]</f>
        <v>11449350.000000002</v>
      </c>
      <c r="AM614" s="232">
        <f t="shared" si="98"/>
        <v>0</v>
      </c>
      <c r="AN614" s="232">
        <f>(AM614+AJ614)*FACTS!$S$2</f>
        <v>846969.75000000023</v>
      </c>
      <c r="AO614" s="101">
        <f>VLOOKUP(S614,FACTS!$A$17:$C$23,3,FALSE)</f>
        <v>2</v>
      </c>
      <c r="AP614" s="232">
        <f>VLOOKUP(AA614,FACTS!$B$2:$J$14,9,FALSE)</f>
        <v>220000.00000000003</v>
      </c>
      <c r="AQ614" s="232">
        <f>Table1[[#This Row],[PARKING VALUE]]*1</f>
        <v>220000.00000000003</v>
      </c>
      <c r="AR614" s="232">
        <f t="shared" si="93"/>
        <v>10184350.000000002</v>
      </c>
      <c r="AS614" s="440">
        <f>Table1[[#This Row],[TOTAL CARS VALUE]]+Table1[[#This Row],[UNIT (BUILDING) VALUE BASIC FINISHED]]+Table1[[#This Row],[UNIT (GARDEN) VALUE]]</f>
        <v>11075350.000000002</v>
      </c>
      <c r="AT614" s="232">
        <f>Table1[[#This Row],[TOTAL CARS VALUE]]+Table1[[#This Row],[UNIT (GARDEN) VALUE]]+Table1[[#This Row],[UNIT (BUILDING) VALUE FULLY FINISHED]]</f>
        <v>11669350.000000002</v>
      </c>
      <c r="AU614" s="233">
        <f>VLOOKUP(I614,'C PHASES'!$I$108:$J$110,2,FALSE)</f>
        <v>46204</v>
      </c>
      <c r="AV614" s="233">
        <f>VLOOKUP(AA614,'C PHASES'!$I$113:$J$125,2,FALSE)</f>
        <v>45566</v>
      </c>
    </row>
    <row r="615" spans="1:48" x14ac:dyDescent="0.25">
      <c r="A615" s="236"/>
      <c r="B615" s="227" t="str">
        <f t="shared" si="91"/>
        <v>C</v>
      </c>
      <c r="C615" s="227" t="s">
        <v>88</v>
      </c>
      <c r="D615" s="227" t="s">
        <v>1147</v>
      </c>
      <c r="E615" s="228">
        <v>1</v>
      </c>
      <c r="F615" s="101">
        <v>3</v>
      </c>
      <c r="G615" s="87" t="str">
        <f t="shared" si="100"/>
        <v>C413</v>
      </c>
      <c r="H615" s="87" t="s">
        <v>1295</v>
      </c>
      <c r="I615" s="89" t="str">
        <f>VLOOKUP(C615,'PREMIUM TABLES'!$G$107:$H$149,2,FALSE)</f>
        <v>C2</v>
      </c>
      <c r="J615" s="89">
        <v>183.637</v>
      </c>
      <c r="K615" s="87">
        <v>203.46608702398976</v>
      </c>
      <c r="L615" s="87">
        <v>224</v>
      </c>
      <c r="M615" s="89"/>
      <c r="N615" s="89"/>
      <c r="O615" s="87" t="s">
        <v>187</v>
      </c>
      <c r="P615" s="87" t="s">
        <v>226</v>
      </c>
      <c r="Q615" s="229" t="s">
        <v>210</v>
      </c>
      <c r="R615" s="87" t="str">
        <f>VLOOKUP(E615,'PREMIUM TABLES'!$F$214:$G$219,2,FALSE)</f>
        <v>FIRST</v>
      </c>
      <c r="S615" s="87" t="str" cm="1">
        <f t="array" ref="S615">IF(AND(L615&gt;0,L615&lt;90),"A",IF(AND(L615&gt;90,L615&lt;123),"B",IF(AND(L615&gt;122,L615&lt;159),"C",IF(AND(L615&gt;159,L615&lt;185),"D",IF(AND(L615&gt;185,L615&lt;230),"E",IF(AND(L615&gt;230,L615&lt;350),"F",NONE))))))</f>
        <v>E</v>
      </c>
      <c r="T615" s="230">
        <f>VLOOKUP(O615,'PREMIUM TABLES'!$G$165:$H$172,2,FALSE)</f>
        <v>0.08</v>
      </c>
      <c r="U615" s="230">
        <f>VLOOKUP(P615,'PREMIUM TABLES'!$G$208:$H$209,2,FALSE)</f>
        <v>0.05</v>
      </c>
      <c r="V615" s="230">
        <f>VLOOKUP(Q615,'PREMIUM TABLES'!$G$175:$H$195,2,FALSE)</f>
        <v>0.53</v>
      </c>
      <c r="W615" s="230">
        <f>VLOOKUP(R615,'PREMIUM TABLES'!$G$214:$H$219,2,FALSE)</f>
        <v>7.0000000000000007E-2</v>
      </c>
      <c r="X615" s="230">
        <f>VLOOKUP(S615,'PREMIUM TABLES'!$F$199:$H$205,3,FALSE)</f>
        <v>1.4999999999999999E-2</v>
      </c>
      <c r="Y615" s="231">
        <f t="shared" si="94"/>
        <v>0.745</v>
      </c>
      <c r="Z615" s="231" t="str" cm="1">
        <f t="array" ref="Z615">IF(AND(Y615&gt;0,Y615&lt;0.5),"C",IF(AND(Y615&gt;=0.5,Y615&lt;0.73),"B",IF(AND(Y615&gt;=0.73,Y615&lt;0.98),"A",NONE)))</f>
        <v>A</v>
      </c>
      <c r="AA615" s="231" t="str">
        <f>VLOOKUP(G615,'ALL (R)'!$N$5:$R$862,5,FALSE)</f>
        <v>R 1</v>
      </c>
      <c r="AB615" s="232">
        <f>VLOOKUP(AA615,FACTS!$B$2:$L$14,10,FALSE)</f>
        <v>42500</v>
      </c>
      <c r="AC615" s="232">
        <f>VLOOKUP(AA615,FACTS!$B$2:$L$14,11,FALSE)</f>
        <v>47500</v>
      </c>
      <c r="AD615" s="232">
        <f>VLOOKUP(AA615,FACTS!$B$2:$N$14,13,FALSE)</f>
        <v>5000</v>
      </c>
      <c r="AE615" s="232">
        <f t="shared" si="95"/>
        <v>3725</v>
      </c>
      <c r="AF615" s="232">
        <f t="shared" si="96"/>
        <v>46225</v>
      </c>
      <c r="AG615" s="232">
        <f>AF615*FACTS!$T$2</f>
        <v>15254.25</v>
      </c>
      <c r="AH615" s="232">
        <f>Table1[[#This Row],[UNIT (BUILDING) RATE (SEMI FINISHED)]]+4500</f>
        <v>50725</v>
      </c>
      <c r="AI615" s="232">
        <f>Table1[[#This Row],[UNIT (BUILDING) RATE (SEMI FINISHED)]]+7500</f>
        <v>53725</v>
      </c>
      <c r="AJ615" s="232">
        <f t="shared" si="97"/>
        <v>10354400</v>
      </c>
      <c r="AK615" s="232">
        <f>Table1[[#This Row],[UNIT (BUILDING) RATE (BASIC FINISH)]]*Table1[[#This Row],[Unit Selling Area]]</f>
        <v>11362400</v>
      </c>
      <c r="AL615" s="232">
        <f>Table1[[#This Row],[UNIT (BUILDING) RATE (FULLY FINISH)]]*Table1[[#This Row],[Unit Selling Area]]</f>
        <v>12034400</v>
      </c>
      <c r="AM615" s="232">
        <f t="shared" si="98"/>
        <v>0</v>
      </c>
      <c r="AN615" s="232">
        <f>(AM615+AJ615)*FACTS!$S$2</f>
        <v>880124.00000000012</v>
      </c>
      <c r="AO615" s="101">
        <f>VLOOKUP(S615,FACTS!$A$17:$C$23,3,FALSE)</f>
        <v>2</v>
      </c>
      <c r="AP615" s="232">
        <f>VLOOKUP(AA615,FACTS!$B$2:$J$14,9,FALSE)</f>
        <v>200000</v>
      </c>
      <c r="AQ615" s="232">
        <f>Table1[[#This Row],[PARKING VALUE]]*1</f>
        <v>200000</v>
      </c>
      <c r="AR615" s="232">
        <f t="shared" si="93"/>
        <v>10554400</v>
      </c>
      <c r="AS615" s="440">
        <f>Table1[[#This Row],[TOTAL CARS VALUE]]+Table1[[#This Row],[UNIT (BUILDING) VALUE BASIC FINISHED]]+Table1[[#This Row],[UNIT (GARDEN) VALUE]]</f>
        <v>11562400</v>
      </c>
      <c r="AT615" s="232">
        <f>Table1[[#This Row],[TOTAL CARS VALUE]]+Table1[[#This Row],[UNIT (GARDEN) VALUE]]+Table1[[#This Row],[UNIT (BUILDING) VALUE FULLY FINISHED]]</f>
        <v>12234400</v>
      </c>
      <c r="AU615" s="233">
        <f>VLOOKUP(I615,'C PHASES'!$I$108:$J$110,2,FALSE)</f>
        <v>46204</v>
      </c>
      <c r="AV615" s="233">
        <f>VLOOKUP(AA615,'C PHASES'!$I$113:$J$125,2,FALSE)</f>
        <v>45170</v>
      </c>
    </row>
    <row r="616" spans="1:48" x14ac:dyDescent="0.25">
      <c r="A616" s="236"/>
      <c r="B616" s="227" t="str">
        <f t="shared" si="91"/>
        <v>C</v>
      </c>
      <c r="C616" s="227" t="s">
        <v>88</v>
      </c>
      <c r="D616" s="227" t="s">
        <v>1147</v>
      </c>
      <c r="E616" s="228">
        <v>1</v>
      </c>
      <c r="F616" s="101">
        <v>4</v>
      </c>
      <c r="G616" s="87" t="str">
        <f t="shared" si="100"/>
        <v>C414</v>
      </c>
      <c r="H616" s="87" t="s">
        <v>1294</v>
      </c>
      <c r="I616" s="89" t="str">
        <f>VLOOKUP(C616,'PREMIUM TABLES'!$G$107:$H$149,2,FALSE)</f>
        <v>C2</v>
      </c>
      <c r="J616" s="89">
        <v>141.66300000000001</v>
      </c>
      <c r="K616" s="87">
        <v>156.95974278647259</v>
      </c>
      <c r="L616" s="87">
        <v>173</v>
      </c>
      <c r="M616" s="89"/>
      <c r="N616" s="89"/>
      <c r="O616" s="87" t="s">
        <v>180</v>
      </c>
      <c r="P616" s="87" t="s">
        <v>226</v>
      </c>
      <c r="Q616" s="229" t="s">
        <v>228</v>
      </c>
      <c r="R616" s="87" t="str">
        <f>VLOOKUP(E616,'PREMIUM TABLES'!$F$214:$G$219,2,FALSE)</f>
        <v>FIRST</v>
      </c>
      <c r="S616" s="87" t="str" cm="1">
        <f t="array" ref="S616">IF(AND(L616&gt;0,L616&lt;90),"A",IF(AND(L616&gt;90,L616&lt;123),"B",IF(AND(L616&gt;122,L616&lt;159),"C",IF(AND(L616&gt;159,L616&lt;185),"D",IF(AND(L616&gt;185,L616&lt;230),"E",IF(AND(L616&gt;230,L616&lt;350),"F",NONE))))))</f>
        <v>D</v>
      </c>
      <c r="T616" s="230">
        <f>VLOOKUP(O616,'PREMIUM TABLES'!$G$165:$H$172,2,FALSE)</f>
        <v>0.13</v>
      </c>
      <c r="U616" s="230">
        <f>VLOOKUP(P616,'PREMIUM TABLES'!$G$208:$H$209,2,FALSE)</f>
        <v>0.05</v>
      </c>
      <c r="V616" s="230">
        <f>VLOOKUP(Q616,'PREMIUM TABLES'!$G$175:$H$195,2,FALSE)</f>
        <v>0.42400000000000004</v>
      </c>
      <c r="W616" s="230">
        <f>VLOOKUP(R616,'PREMIUM TABLES'!$G$214:$H$219,2,FALSE)</f>
        <v>7.0000000000000007E-2</v>
      </c>
      <c r="X616" s="230">
        <f>VLOOKUP(S616,'PREMIUM TABLES'!$F$199:$H$205,3,FALSE)</f>
        <v>2.5000000000000001E-2</v>
      </c>
      <c r="Y616" s="231">
        <f t="shared" si="94"/>
        <v>0.69900000000000018</v>
      </c>
      <c r="Z616" s="231" t="str" cm="1">
        <f t="array" ref="Z616">IF(AND(Y616&gt;0,Y616&lt;0.5),"C",IF(AND(Y616&gt;=0.5,Y616&lt;0.73),"B",IF(AND(Y616&gt;=0.73,Y616&lt;0.98),"A",NONE)))</f>
        <v>B</v>
      </c>
      <c r="AA616" s="231" t="str">
        <f>VLOOKUP(G616,'ALL (R)'!$N$5:$R$862,5,FALSE)</f>
        <v>R 9</v>
      </c>
      <c r="AB616" s="232">
        <f>VLOOKUP(AA616,FACTS!$B$2:$L$14,10,FALSE)</f>
        <v>53550</v>
      </c>
      <c r="AC616" s="232">
        <f>VLOOKUP(AA616,FACTS!$B$2:$L$14,11,FALSE)</f>
        <v>59850</v>
      </c>
      <c r="AD616" s="232">
        <f>VLOOKUP(AA616,FACTS!$B$2:$N$14,13,FALSE)</f>
        <v>6300</v>
      </c>
      <c r="AE616" s="232">
        <f t="shared" si="95"/>
        <v>4403.7000000000007</v>
      </c>
      <c r="AF616" s="232">
        <f t="shared" si="96"/>
        <v>57953.7</v>
      </c>
      <c r="AG616" s="232">
        <f>AF616*FACTS!$T$2</f>
        <v>19124.721000000001</v>
      </c>
      <c r="AH616" s="232">
        <f>Table1[[#This Row],[UNIT (BUILDING) RATE (SEMI FINISHED)]]+4500</f>
        <v>62453.7</v>
      </c>
      <c r="AI616" s="232">
        <f>Table1[[#This Row],[UNIT (BUILDING) RATE (SEMI FINISHED)]]+7500</f>
        <v>65453.7</v>
      </c>
      <c r="AJ616" s="232">
        <f t="shared" si="97"/>
        <v>10025990.1</v>
      </c>
      <c r="AK616" s="232">
        <f>Table1[[#This Row],[UNIT (BUILDING) RATE (BASIC FINISH)]]*Table1[[#This Row],[Unit Selling Area]]</f>
        <v>10804490.1</v>
      </c>
      <c r="AL616" s="232">
        <f>Table1[[#This Row],[UNIT (BUILDING) RATE (FULLY FINISH)]]*Table1[[#This Row],[Unit Selling Area]]</f>
        <v>11323490.1</v>
      </c>
      <c r="AM616" s="232">
        <f t="shared" si="98"/>
        <v>0</v>
      </c>
      <c r="AN616" s="232">
        <f>(AM616+AJ616)*FACTS!$S$2</f>
        <v>852209.15850000002</v>
      </c>
      <c r="AO616" s="101">
        <f>VLOOKUP(S616,FACTS!$A$17:$C$23,3,FALSE)</f>
        <v>2</v>
      </c>
      <c r="AP616" s="232">
        <f>VLOOKUP(AA616,FACTS!$B$2:$J$14,9,FALSE)</f>
        <v>252000</v>
      </c>
      <c r="AQ616" s="232">
        <f>Table1[[#This Row],[PARKING VALUE]]*1</f>
        <v>252000</v>
      </c>
      <c r="AR616" s="232">
        <f t="shared" si="93"/>
        <v>10277990.1</v>
      </c>
      <c r="AS616" s="440">
        <f>Table1[[#This Row],[TOTAL CARS VALUE]]+Table1[[#This Row],[UNIT (BUILDING) VALUE BASIC FINISHED]]+Table1[[#This Row],[UNIT (GARDEN) VALUE]]</f>
        <v>11056490.1</v>
      </c>
      <c r="AT616" s="232">
        <f>Table1[[#This Row],[TOTAL CARS VALUE]]+Table1[[#This Row],[UNIT (GARDEN) VALUE]]+Table1[[#This Row],[UNIT (BUILDING) VALUE FULLY FINISHED]]</f>
        <v>11575490.1</v>
      </c>
      <c r="AU616" s="233">
        <f>VLOOKUP(I616,'C PHASES'!$I$108:$J$110,2,FALSE)</f>
        <v>46204</v>
      </c>
      <c r="AV616" s="233">
        <f>VLOOKUP(AA616,'C PHASES'!$I$113:$J$125,2,FALSE)</f>
        <v>45931</v>
      </c>
    </row>
    <row r="617" spans="1:48" x14ac:dyDescent="0.25">
      <c r="A617" s="236"/>
      <c r="B617" s="227" t="str">
        <f t="shared" si="91"/>
        <v>C</v>
      </c>
      <c r="C617" s="227" t="s">
        <v>88</v>
      </c>
      <c r="D617" s="227" t="s">
        <v>1147</v>
      </c>
      <c r="E617" s="228">
        <v>2</v>
      </c>
      <c r="F617" s="101">
        <v>1</v>
      </c>
      <c r="G617" s="87" t="str">
        <f t="shared" si="100"/>
        <v>C421</v>
      </c>
      <c r="H617" s="87" t="s">
        <v>1294</v>
      </c>
      <c r="I617" s="89" t="str">
        <f>VLOOKUP(C617,'PREMIUM TABLES'!$G$107:$H$149,2,FALSE)</f>
        <v>C2</v>
      </c>
      <c r="J617" s="89">
        <v>141.22499999999999</v>
      </c>
      <c r="K617" s="87">
        <v>156.47444763290054</v>
      </c>
      <c r="L617" s="87">
        <v>172</v>
      </c>
      <c r="M617" s="89"/>
      <c r="N617" s="89"/>
      <c r="O617" s="87" t="s">
        <v>180</v>
      </c>
      <c r="P617" s="87" t="s">
        <v>190</v>
      </c>
      <c r="Q617" s="229" t="s">
        <v>199</v>
      </c>
      <c r="R617" s="87" t="str">
        <f>VLOOKUP(E617,'PREMIUM TABLES'!$F$214:$G$219,2,FALSE)</f>
        <v>SECOND</v>
      </c>
      <c r="S617" s="87" t="str" cm="1">
        <f t="array" ref="S617">IF(AND(L617&gt;0,L617&lt;90),"A",IF(AND(L617&gt;90,L617&lt;123),"B",IF(AND(L617&gt;122,L617&lt;159),"C",IF(AND(L617&gt;159,L617&lt;185),"D",IF(AND(L617&gt;185,L617&lt;230),"E",IF(AND(L617&gt;230,L617&lt;350),"F",NONE))))))</f>
        <v>D</v>
      </c>
      <c r="T617" s="230">
        <f>VLOOKUP(O617,'PREMIUM TABLES'!$G$165:$H$172,2,FALSE)</f>
        <v>0.13</v>
      </c>
      <c r="U617" s="230">
        <f>VLOOKUP(P617,'PREMIUM TABLES'!$G$208:$H$209,2,FALSE)</f>
        <v>2.5000000000000001E-2</v>
      </c>
      <c r="V617" s="230">
        <f>VLOOKUP(Q617,'PREMIUM TABLES'!$G$175:$H$195,2,FALSE)</f>
        <v>0.13</v>
      </c>
      <c r="W617" s="230">
        <f>VLOOKUP(R617,'PREMIUM TABLES'!$G$214:$H$219,2,FALSE)</f>
        <v>0.11</v>
      </c>
      <c r="X617" s="230">
        <f>VLOOKUP(S617,'PREMIUM TABLES'!$F$199:$H$205,3,FALSE)</f>
        <v>2.5000000000000001E-2</v>
      </c>
      <c r="Y617" s="231">
        <f t="shared" si="94"/>
        <v>0.42000000000000004</v>
      </c>
      <c r="Z617" s="231" t="str" cm="1">
        <f t="array" ref="Z617">IF(AND(Y617&gt;0,Y617&lt;0.5),"C",IF(AND(Y617&gt;=0.5,Y617&lt;0.73),"B",IF(AND(Y617&gt;=0.73,Y617&lt;0.98),"A",NONE)))</f>
        <v>C</v>
      </c>
      <c r="AA617" s="231" t="str">
        <f>VLOOKUP(G617,'ALL (R)'!$N$5:$R$862,5,FALSE)</f>
        <v>R 7</v>
      </c>
      <c r="AB617" s="232">
        <f>VLOOKUP(AA617,FACTS!$B$2:$L$14,10,FALSE)</f>
        <v>50150</v>
      </c>
      <c r="AC617" s="232">
        <f>VLOOKUP(AA617,FACTS!$B$2:$L$14,11,FALSE)</f>
        <v>56050</v>
      </c>
      <c r="AD617" s="232">
        <f>VLOOKUP(AA617,FACTS!$B$2:$N$14,13,FALSE)</f>
        <v>5900</v>
      </c>
      <c r="AE617" s="232">
        <f t="shared" si="95"/>
        <v>2478.0000000000005</v>
      </c>
      <c r="AF617" s="232">
        <f t="shared" si="96"/>
        <v>52628</v>
      </c>
      <c r="AG617" s="232">
        <f>AF617*FACTS!$T$2</f>
        <v>17367.240000000002</v>
      </c>
      <c r="AH617" s="232">
        <f>Table1[[#This Row],[UNIT (BUILDING) RATE (SEMI FINISHED)]]+4500</f>
        <v>57128</v>
      </c>
      <c r="AI617" s="232">
        <f>Table1[[#This Row],[UNIT (BUILDING) RATE (SEMI FINISHED)]]+7500</f>
        <v>60128</v>
      </c>
      <c r="AJ617" s="232">
        <f t="shared" si="97"/>
        <v>9052016</v>
      </c>
      <c r="AK617" s="232">
        <f>Table1[[#This Row],[UNIT (BUILDING) RATE (BASIC FINISH)]]*Table1[[#This Row],[Unit Selling Area]]</f>
        <v>9826016</v>
      </c>
      <c r="AL617" s="232">
        <f>Table1[[#This Row],[UNIT (BUILDING) RATE (FULLY FINISH)]]*Table1[[#This Row],[Unit Selling Area]]</f>
        <v>10342016</v>
      </c>
      <c r="AM617" s="232">
        <f t="shared" si="98"/>
        <v>0</v>
      </c>
      <c r="AN617" s="232">
        <f>(AM617+AJ617)*FACTS!$S$2</f>
        <v>769421.3600000001</v>
      </c>
      <c r="AO617" s="101">
        <f>VLOOKUP(S617,FACTS!$A$17:$C$23,3,FALSE)</f>
        <v>2</v>
      </c>
      <c r="AP617" s="232">
        <f>VLOOKUP(AA617,FACTS!$B$2:$J$14,9,FALSE)</f>
        <v>236000</v>
      </c>
      <c r="AQ617" s="232">
        <f>Table1[[#This Row],[PARKING VALUE]]*1</f>
        <v>236000</v>
      </c>
      <c r="AR617" s="232">
        <f t="shared" si="93"/>
        <v>9288016</v>
      </c>
      <c r="AS617" s="440">
        <f>Table1[[#This Row],[TOTAL CARS VALUE]]+Table1[[#This Row],[UNIT (BUILDING) VALUE BASIC FINISHED]]+Table1[[#This Row],[UNIT (GARDEN) VALUE]]</f>
        <v>10062016</v>
      </c>
      <c r="AT617" s="232">
        <f>Table1[[#This Row],[TOTAL CARS VALUE]]+Table1[[#This Row],[UNIT (GARDEN) VALUE]]+Table1[[#This Row],[UNIT (BUILDING) VALUE FULLY FINISHED]]</f>
        <v>10578016</v>
      </c>
      <c r="AU617" s="233">
        <f>VLOOKUP(I617,'C PHASES'!$I$108:$J$110,2,FALSE)</f>
        <v>46204</v>
      </c>
      <c r="AV617" s="233">
        <f>VLOOKUP(AA617,'C PHASES'!$I$113:$J$125,2,FALSE)</f>
        <v>45748</v>
      </c>
    </row>
    <row r="618" spans="1:48" x14ac:dyDescent="0.25">
      <c r="A618" s="236"/>
      <c r="B618" s="227" t="str">
        <f t="shared" si="91"/>
        <v>C</v>
      </c>
      <c r="C618" s="227" t="s">
        <v>88</v>
      </c>
      <c r="D618" s="227" t="s">
        <v>1147</v>
      </c>
      <c r="E618" s="228">
        <v>2</v>
      </c>
      <c r="F618" s="101">
        <v>2</v>
      </c>
      <c r="G618" s="87" t="str">
        <f t="shared" si="100"/>
        <v>C422</v>
      </c>
      <c r="H618" s="87" t="s">
        <v>1294</v>
      </c>
      <c r="I618" s="89" t="str">
        <f>VLOOKUP(C618,'PREMIUM TABLES'!$G$107:$H$149,2,FALSE)</f>
        <v>C2</v>
      </c>
      <c r="J618" s="89">
        <v>167.214</v>
      </c>
      <c r="K618" s="87">
        <v>185.26973472464385</v>
      </c>
      <c r="L618" s="87">
        <v>204</v>
      </c>
      <c r="M618" s="89"/>
      <c r="N618" s="89"/>
      <c r="O618" s="87" t="s">
        <v>187</v>
      </c>
      <c r="P618" s="87" t="s">
        <v>190</v>
      </c>
      <c r="Q618" s="229" t="s">
        <v>192</v>
      </c>
      <c r="R618" s="87" t="str">
        <f>VLOOKUP(E618,'PREMIUM TABLES'!$F$214:$G$219,2,FALSE)</f>
        <v>SECOND</v>
      </c>
      <c r="S618" s="87" t="str" cm="1">
        <f t="array" ref="S618">IF(AND(L618&gt;0,L618&lt;90),"A",IF(AND(L618&gt;90,L618&lt;123),"B",IF(AND(L618&gt;122,L618&lt;159),"C",IF(AND(L618&gt;159,L618&lt;185),"D",IF(AND(L618&gt;185,L618&lt;230),"E",IF(AND(L618&gt;230,L618&lt;350),"F",NONE))))))</f>
        <v>E</v>
      </c>
      <c r="T618" s="230">
        <f>VLOOKUP(O618,'PREMIUM TABLES'!$G$165:$H$172,2,FALSE)</f>
        <v>0.08</v>
      </c>
      <c r="U618" s="230">
        <f>VLOOKUP(P618,'PREMIUM TABLES'!$G$208:$H$209,2,FALSE)</f>
        <v>2.5000000000000001E-2</v>
      </c>
      <c r="V618" s="230">
        <f>VLOOKUP(Q618,'PREMIUM TABLES'!$G$175:$H$195,2,FALSE)</f>
        <v>0.46</v>
      </c>
      <c r="W618" s="230">
        <f>VLOOKUP(R618,'PREMIUM TABLES'!$G$214:$H$219,2,FALSE)</f>
        <v>0.11</v>
      </c>
      <c r="X618" s="230">
        <f>VLOOKUP(S618,'PREMIUM TABLES'!$F$199:$H$205,3,FALSE)</f>
        <v>1.4999999999999999E-2</v>
      </c>
      <c r="Y618" s="231">
        <f t="shared" si="94"/>
        <v>0.69000000000000006</v>
      </c>
      <c r="Z618" s="231" t="str" cm="1">
        <f t="array" ref="Z618">IF(AND(Y618&gt;0,Y618&lt;0.5),"C",IF(AND(Y618&gt;=0.5,Y618&lt;0.73),"B",IF(AND(Y618&gt;=0.73,Y618&lt;0.98),"A",NONE)))</f>
        <v>B</v>
      </c>
      <c r="AA618" s="231" t="str">
        <f>VLOOKUP(G618,'ALL (R)'!$N$5:$R$862,5,FALSE)</f>
        <v>R 8</v>
      </c>
      <c r="AB618" s="232">
        <f>VLOOKUP(AA618,FACTS!$B$2:$L$14,10,FALSE)</f>
        <v>51850</v>
      </c>
      <c r="AC618" s="232">
        <f>VLOOKUP(AA618,FACTS!$B$2:$L$14,11,FALSE)</f>
        <v>57950</v>
      </c>
      <c r="AD618" s="232">
        <f>VLOOKUP(AA618,FACTS!$B$2:$N$14,13,FALSE)</f>
        <v>6100</v>
      </c>
      <c r="AE618" s="232">
        <f t="shared" si="95"/>
        <v>4209</v>
      </c>
      <c r="AF618" s="232">
        <f t="shared" si="96"/>
        <v>56059</v>
      </c>
      <c r="AG618" s="232">
        <f>AF618*FACTS!$T$2</f>
        <v>18499.47</v>
      </c>
      <c r="AH618" s="232">
        <f>Table1[[#This Row],[UNIT (BUILDING) RATE (SEMI FINISHED)]]+4500</f>
        <v>60559</v>
      </c>
      <c r="AI618" s="232">
        <f>Table1[[#This Row],[UNIT (BUILDING) RATE (SEMI FINISHED)]]+7500</f>
        <v>63559</v>
      </c>
      <c r="AJ618" s="232">
        <f t="shared" si="97"/>
        <v>11436036</v>
      </c>
      <c r="AK618" s="232">
        <f>Table1[[#This Row],[UNIT (BUILDING) RATE (BASIC FINISH)]]*Table1[[#This Row],[Unit Selling Area]]</f>
        <v>12354036</v>
      </c>
      <c r="AL618" s="232">
        <f>Table1[[#This Row],[UNIT (BUILDING) RATE (FULLY FINISH)]]*Table1[[#This Row],[Unit Selling Area]]</f>
        <v>12966036</v>
      </c>
      <c r="AM618" s="232">
        <f t="shared" si="98"/>
        <v>0</v>
      </c>
      <c r="AN618" s="232">
        <f>(AM618+AJ618)*FACTS!$S$2</f>
        <v>972063.06</v>
      </c>
      <c r="AO618" s="101">
        <f>VLOOKUP(S618,FACTS!$A$17:$C$23,3,FALSE)</f>
        <v>2</v>
      </c>
      <c r="AP618" s="232">
        <f>VLOOKUP(AA618,FACTS!$B$2:$J$14,9,FALSE)</f>
        <v>244000</v>
      </c>
      <c r="AQ618" s="232">
        <f>Table1[[#This Row],[PARKING VALUE]]*1</f>
        <v>244000</v>
      </c>
      <c r="AR618" s="232">
        <f t="shared" si="93"/>
        <v>11680036</v>
      </c>
      <c r="AS618" s="440">
        <f>Table1[[#This Row],[TOTAL CARS VALUE]]+Table1[[#This Row],[UNIT (BUILDING) VALUE BASIC FINISHED]]+Table1[[#This Row],[UNIT (GARDEN) VALUE]]</f>
        <v>12598036</v>
      </c>
      <c r="AT618" s="232">
        <f>Table1[[#This Row],[TOTAL CARS VALUE]]+Table1[[#This Row],[UNIT (GARDEN) VALUE]]+Table1[[#This Row],[UNIT (BUILDING) VALUE FULLY FINISHED]]</f>
        <v>13210036</v>
      </c>
      <c r="AU618" s="233">
        <f>VLOOKUP(I618,'C PHASES'!$I$108:$J$110,2,FALSE)</f>
        <v>46204</v>
      </c>
      <c r="AV618" s="233">
        <f>VLOOKUP(AA618,'C PHASES'!$I$113:$J$125,2,FALSE)</f>
        <v>45839</v>
      </c>
    </row>
    <row r="619" spans="1:48" x14ac:dyDescent="0.25">
      <c r="A619" s="236"/>
      <c r="B619" s="227" t="str">
        <f t="shared" si="91"/>
        <v>C</v>
      </c>
      <c r="C619" s="227" t="s">
        <v>88</v>
      </c>
      <c r="D619" s="227" t="s">
        <v>1147</v>
      </c>
      <c r="E619" s="228">
        <v>2</v>
      </c>
      <c r="F619" s="101">
        <v>3</v>
      </c>
      <c r="G619" s="87" t="str">
        <f t="shared" si="100"/>
        <v>C423</v>
      </c>
      <c r="H619" s="87" t="s">
        <v>1295</v>
      </c>
      <c r="I619" s="89" t="str">
        <f>VLOOKUP(C619,'PREMIUM TABLES'!$G$107:$H$149,2,FALSE)</f>
        <v>C2</v>
      </c>
      <c r="J619" s="89">
        <v>187.10300000000001</v>
      </c>
      <c r="K619" s="87">
        <v>207.30634502006436</v>
      </c>
      <c r="L619" s="87">
        <v>228</v>
      </c>
      <c r="M619" s="89"/>
      <c r="N619" s="89"/>
      <c r="O619" s="87" t="s">
        <v>187</v>
      </c>
      <c r="P619" s="87" t="s">
        <v>226</v>
      </c>
      <c r="Q619" s="229" t="s">
        <v>210</v>
      </c>
      <c r="R619" s="87" t="str">
        <f>VLOOKUP(E619,'PREMIUM TABLES'!$F$214:$G$219,2,FALSE)</f>
        <v>SECOND</v>
      </c>
      <c r="S619" s="87" t="str" cm="1">
        <f t="array" ref="S619">IF(AND(L619&gt;0,L619&lt;90),"A",IF(AND(L619&gt;90,L619&lt;123),"B",IF(AND(L619&gt;122,L619&lt;159),"C",IF(AND(L619&gt;159,L619&lt;185),"D",IF(AND(L619&gt;185,L619&lt;230),"E",IF(AND(L619&gt;230,L619&lt;350),"F",NONE))))))</f>
        <v>E</v>
      </c>
      <c r="T619" s="230">
        <f>VLOOKUP(O619,'PREMIUM TABLES'!$G$165:$H$172,2,FALSE)</f>
        <v>0.08</v>
      </c>
      <c r="U619" s="230">
        <f>VLOOKUP(P619,'PREMIUM TABLES'!$G$208:$H$209,2,FALSE)</f>
        <v>0.05</v>
      </c>
      <c r="V619" s="230">
        <f>VLOOKUP(Q619,'PREMIUM TABLES'!$G$175:$H$195,2,FALSE)</f>
        <v>0.53</v>
      </c>
      <c r="W619" s="230">
        <f>VLOOKUP(R619,'PREMIUM TABLES'!$G$214:$H$219,2,FALSE)</f>
        <v>0.11</v>
      </c>
      <c r="X619" s="230">
        <f>VLOOKUP(S619,'PREMIUM TABLES'!$F$199:$H$205,3,FALSE)</f>
        <v>1.4999999999999999E-2</v>
      </c>
      <c r="Y619" s="231">
        <f t="shared" si="94"/>
        <v>0.78500000000000003</v>
      </c>
      <c r="Z619" s="231" t="str" cm="1">
        <f t="array" ref="Z619">IF(AND(Y619&gt;0,Y619&lt;0.5),"C",IF(AND(Y619&gt;=0.5,Y619&lt;0.73),"B",IF(AND(Y619&gt;=0.73,Y619&lt;0.98),"A",NONE)))</f>
        <v>A</v>
      </c>
      <c r="AA619" s="231" t="str">
        <f>VLOOKUP(G619,'ALL (R)'!$N$5:$R$862,5,FALSE)</f>
        <v>R 4</v>
      </c>
      <c r="AB619" s="232">
        <f>VLOOKUP(AA619,FACTS!$B$2:$L$14,10,FALSE)</f>
        <v>45687.5</v>
      </c>
      <c r="AC619" s="232">
        <f>VLOOKUP(AA619,FACTS!$B$2:$L$14,11,FALSE)</f>
        <v>51062.5</v>
      </c>
      <c r="AD619" s="232">
        <f>VLOOKUP(AA619,FACTS!$B$2:$N$14,13,FALSE)</f>
        <v>5375</v>
      </c>
      <c r="AE619" s="232">
        <f t="shared" si="95"/>
        <v>4219.375</v>
      </c>
      <c r="AF619" s="232">
        <f t="shared" si="96"/>
        <v>49906.875</v>
      </c>
      <c r="AG619" s="232">
        <f>AF619*FACTS!$T$2</f>
        <v>16469.268749999999</v>
      </c>
      <c r="AH619" s="232">
        <f>Table1[[#This Row],[UNIT (BUILDING) RATE (SEMI FINISHED)]]+4500</f>
        <v>54406.875</v>
      </c>
      <c r="AI619" s="232">
        <f>Table1[[#This Row],[UNIT (BUILDING) RATE (SEMI FINISHED)]]+7500</f>
        <v>57406.875</v>
      </c>
      <c r="AJ619" s="232">
        <f t="shared" si="97"/>
        <v>11378767.5</v>
      </c>
      <c r="AK619" s="232">
        <f>Table1[[#This Row],[UNIT (BUILDING) RATE (BASIC FINISH)]]*Table1[[#This Row],[Unit Selling Area]]</f>
        <v>12404767.5</v>
      </c>
      <c r="AL619" s="232">
        <f>Table1[[#This Row],[UNIT (BUILDING) RATE (FULLY FINISH)]]*Table1[[#This Row],[Unit Selling Area]]</f>
        <v>13088767.5</v>
      </c>
      <c r="AM619" s="232">
        <f t="shared" si="98"/>
        <v>0</v>
      </c>
      <c r="AN619" s="232">
        <f>(AM619+AJ619)*FACTS!$S$2</f>
        <v>967195.23750000005</v>
      </c>
      <c r="AO619" s="101">
        <f>VLOOKUP(S619,FACTS!$A$17:$C$23,3,FALSE)</f>
        <v>2</v>
      </c>
      <c r="AP619" s="232">
        <f>VLOOKUP(AA619,FACTS!$B$2:$J$14,9,FALSE)</f>
        <v>215000</v>
      </c>
      <c r="AQ619" s="232">
        <f>Table1[[#This Row],[PARKING VALUE]]*1</f>
        <v>215000</v>
      </c>
      <c r="AR619" s="232">
        <f t="shared" si="93"/>
        <v>11593767.5</v>
      </c>
      <c r="AS619" s="440">
        <f>Table1[[#This Row],[TOTAL CARS VALUE]]+Table1[[#This Row],[UNIT (BUILDING) VALUE BASIC FINISHED]]+Table1[[#This Row],[UNIT (GARDEN) VALUE]]</f>
        <v>12619767.5</v>
      </c>
      <c r="AT619" s="232">
        <f>Table1[[#This Row],[TOTAL CARS VALUE]]+Table1[[#This Row],[UNIT (GARDEN) VALUE]]+Table1[[#This Row],[UNIT (BUILDING) VALUE FULLY FINISHED]]</f>
        <v>13303767.5</v>
      </c>
      <c r="AU619" s="233">
        <f>VLOOKUP(I619,'C PHASES'!$I$108:$J$110,2,FALSE)</f>
        <v>46204</v>
      </c>
      <c r="AV619" s="233">
        <f>VLOOKUP(AA619,'C PHASES'!$I$113:$J$125,2,FALSE)</f>
        <v>45474</v>
      </c>
    </row>
    <row r="620" spans="1:48" x14ac:dyDescent="0.25">
      <c r="A620" s="236"/>
      <c r="B620" s="227" t="str">
        <f t="shared" si="91"/>
        <v>C</v>
      </c>
      <c r="C620" s="227" t="s">
        <v>88</v>
      </c>
      <c r="D620" s="227" t="s">
        <v>1147</v>
      </c>
      <c r="E620" s="228">
        <v>2</v>
      </c>
      <c r="F620" s="101">
        <v>4</v>
      </c>
      <c r="G620" s="87" t="str">
        <f t="shared" si="100"/>
        <v>C424</v>
      </c>
      <c r="H620" s="87" t="s">
        <v>1294</v>
      </c>
      <c r="I620" s="89" t="str">
        <f>VLOOKUP(C620,'PREMIUM TABLES'!$G$107:$H$149,2,FALSE)</f>
        <v>C2</v>
      </c>
      <c r="J620" s="89">
        <v>143.989</v>
      </c>
      <c r="K620" s="87">
        <v>159.53690380749666</v>
      </c>
      <c r="L620" s="87">
        <v>176</v>
      </c>
      <c r="M620" s="89"/>
      <c r="N620" s="89"/>
      <c r="O620" s="87" t="s">
        <v>180</v>
      </c>
      <c r="P620" s="87" t="s">
        <v>226</v>
      </c>
      <c r="Q620" s="229" t="s">
        <v>228</v>
      </c>
      <c r="R620" s="87" t="str">
        <f>VLOOKUP(E620,'PREMIUM TABLES'!$F$214:$G$219,2,FALSE)</f>
        <v>SECOND</v>
      </c>
      <c r="S620" s="87" t="str" cm="1">
        <f t="array" ref="S620">IF(AND(L620&gt;0,L620&lt;90),"A",IF(AND(L620&gt;90,L620&lt;123),"B",IF(AND(L620&gt;122,L620&lt;159),"C",IF(AND(L620&gt;159,L620&lt;185),"D",IF(AND(L620&gt;185,L620&lt;230),"E",IF(AND(L620&gt;230,L620&lt;350),"F",NONE))))))</f>
        <v>D</v>
      </c>
      <c r="T620" s="230">
        <f>VLOOKUP(O620,'PREMIUM TABLES'!$G$165:$H$172,2,FALSE)</f>
        <v>0.13</v>
      </c>
      <c r="U620" s="230">
        <f>VLOOKUP(P620,'PREMIUM TABLES'!$G$208:$H$209,2,FALSE)</f>
        <v>0.05</v>
      </c>
      <c r="V620" s="230">
        <f>VLOOKUP(Q620,'PREMIUM TABLES'!$G$175:$H$195,2,FALSE)</f>
        <v>0.42400000000000004</v>
      </c>
      <c r="W620" s="230">
        <f>VLOOKUP(R620,'PREMIUM TABLES'!$G$214:$H$219,2,FALSE)</f>
        <v>0.11</v>
      </c>
      <c r="X620" s="230">
        <f>VLOOKUP(S620,'PREMIUM TABLES'!$F$199:$H$205,3,FALSE)</f>
        <v>2.5000000000000001E-2</v>
      </c>
      <c r="Y620" s="231">
        <f t="shared" si="94"/>
        <v>0.7390000000000001</v>
      </c>
      <c r="Z620" s="231" t="str" cm="1">
        <f t="array" ref="Z620">IF(AND(Y620&gt;0,Y620&lt;0.5),"C",IF(AND(Y620&gt;=0.5,Y620&lt;0.73),"B",IF(AND(Y620&gt;=0.73,Y620&lt;0.98),"A",NONE)))</f>
        <v>A</v>
      </c>
      <c r="AA620" s="231" t="str">
        <f>VLOOKUP(G620,'ALL (R)'!$N$5:$R$862,5,FALSE)</f>
        <v>R 1</v>
      </c>
      <c r="AB620" s="232">
        <f>VLOOKUP(AA620,FACTS!$B$2:$L$14,10,FALSE)</f>
        <v>42500</v>
      </c>
      <c r="AC620" s="232">
        <f>VLOOKUP(AA620,FACTS!$B$2:$L$14,11,FALSE)</f>
        <v>47500</v>
      </c>
      <c r="AD620" s="232">
        <f>VLOOKUP(AA620,FACTS!$B$2:$N$14,13,FALSE)</f>
        <v>5000</v>
      </c>
      <c r="AE620" s="232">
        <f t="shared" si="95"/>
        <v>3695.0000000000005</v>
      </c>
      <c r="AF620" s="232">
        <f t="shared" si="96"/>
        <v>46195</v>
      </c>
      <c r="AG620" s="232">
        <f>AF620*FACTS!$T$2</f>
        <v>15244.35</v>
      </c>
      <c r="AH620" s="232">
        <f>Table1[[#This Row],[UNIT (BUILDING) RATE (SEMI FINISHED)]]+4500</f>
        <v>50695</v>
      </c>
      <c r="AI620" s="232">
        <f>Table1[[#This Row],[UNIT (BUILDING) RATE (SEMI FINISHED)]]+7500</f>
        <v>53695</v>
      </c>
      <c r="AJ620" s="232">
        <f t="shared" si="97"/>
        <v>8130320</v>
      </c>
      <c r="AK620" s="232">
        <f>Table1[[#This Row],[UNIT (BUILDING) RATE (BASIC FINISH)]]*Table1[[#This Row],[Unit Selling Area]]</f>
        <v>8922320</v>
      </c>
      <c r="AL620" s="232">
        <f>Table1[[#This Row],[UNIT (BUILDING) RATE (FULLY FINISH)]]*Table1[[#This Row],[Unit Selling Area]]</f>
        <v>9450320</v>
      </c>
      <c r="AM620" s="232">
        <f t="shared" si="98"/>
        <v>0</v>
      </c>
      <c r="AN620" s="232">
        <f>(AM620+AJ620)*FACTS!$S$2</f>
        <v>691077.20000000007</v>
      </c>
      <c r="AO620" s="101">
        <f>VLOOKUP(S620,FACTS!$A$17:$C$23,3,FALSE)</f>
        <v>2</v>
      </c>
      <c r="AP620" s="232">
        <f>VLOOKUP(AA620,FACTS!$B$2:$J$14,9,FALSE)</f>
        <v>200000</v>
      </c>
      <c r="AQ620" s="232">
        <f>Table1[[#This Row],[PARKING VALUE]]*1</f>
        <v>200000</v>
      </c>
      <c r="AR620" s="232">
        <f t="shared" si="93"/>
        <v>8330320</v>
      </c>
      <c r="AS620" s="440">
        <f>Table1[[#This Row],[TOTAL CARS VALUE]]+Table1[[#This Row],[UNIT (BUILDING) VALUE BASIC FINISHED]]+Table1[[#This Row],[UNIT (GARDEN) VALUE]]</f>
        <v>9122320</v>
      </c>
      <c r="AT620" s="232">
        <f>Table1[[#This Row],[TOTAL CARS VALUE]]+Table1[[#This Row],[UNIT (GARDEN) VALUE]]+Table1[[#This Row],[UNIT (BUILDING) VALUE FULLY FINISHED]]</f>
        <v>9650320</v>
      </c>
      <c r="AU620" s="233">
        <f>VLOOKUP(I620,'C PHASES'!$I$108:$J$110,2,FALSE)</f>
        <v>46204</v>
      </c>
      <c r="AV620" s="233">
        <f>VLOOKUP(AA620,'C PHASES'!$I$113:$J$125,2,FALSE)</f>
        <v>45170</v>
      </c>
    </row>
    <row r="621" spans="1:48" x14ac:dyDescent="0.25">
      <c r="A621" s="236"/>
      <c r="B621" s="227" t="str">
        <f t="shared" si="91"/>
        <v>C</v>
      </c>
      <c r="C621" s="227" t="s">
        <v>88</v>
      </c>
      <c r="D621" s="227" t="s">
        <v>1147</v>
      </c>
      <c r="E621" s="228">
        <v>3</v>
      </c>
      <c r="F621" s="101">
        <v>1</v>
      </c>
      <c r="G621" s="87" t="str">
        <f t="shared" si="100"/>
        <v>C431</v>
      </c>
      <c r="H621" s="87" t="s">
        <v>1294</v>
      </c>
      <c r="I621" s="89" t="str">
        <f>VLOOKUP(C621,'PREMIUM TABLES'!$G$107:$H$149,2,FALSE)</f>
        <v>C2</v>
      </c>
      <c r="J621" s="89">
        <v>141.131</v>
      </c>
      <c r="K621" s="87">
        <v>156.37029753144901</v>
      </c>
      <c r="L621" s="87">
        <v>172</v>
      </c>
      <c r="M621" s="89"/>
      <c r="N621" s="89"/>
      <c r="O621" s="87" t="s">
        <v>180</v>
      </c>
      <c r="P621" s="87" t="s">
        <v>190</v>
      </c>
      <c r="Q621" s="229" t="s">
        <v>199</v>
      </c>
      <c r="R621" s="87" t="str">
        <f>VLOOKUP(E621,'PREMIUM TABLES'!$F$214:$G$219,2,FALSE)</f>
        <v>THIRD</v>
      </c>
      <c r="S621" s="87" t="str" cm="1">
        <f t="array" ref="S621">IF(AND(L621&gt;0,L621&lt;90),"A",IF(AND(L621&gt;90,L621&lt;123),"B",IF(AND(L621&gt;122,L621&lt;159),"C",IF(AND(L621&gt;159,L621&lt;185),"D",IF(AND(L621&gt;185,L621&lt;230),"E",IF(AND(L621&gt;230,L621&lt;350),"F",NONE))))))</f>
        <v>D</v>
      </c>
      <c r="T621" s="230">
        <f>VLOOKUP(O621,'PREMIUM TABLES'!$G$165:$H$172,2,FALSE)</f>
        <v>0.13</v>
      </c>
      <c r="U621" s="230">
        <f>VLOOKUP(P621,'PREMIUM TABLES'!$G$208:$H$209,2,FALSE)</f>
        <v>2.5000000000000001E-2</v>
      </c>
      <c r="V621" s="230">
        <f>VLOOKUP(Q621,'PREMIUM TABLES'!$G$175:$H$195,2,FALSE)</f>
        <v>0.13</v>
      </c>
      <c r="W621" s="230">
        <f>VLOOKUP(R621,'PREMIUM TABLES'!$G$214:$H$219,2,FALSE)</f>
        <v>0.15</v>
      </c>
      <c r="X621" s="230">
        <f>VLOOKUP(S621,'PREMIUM TABLES'!$F$199:$H$205,3,FALSE)</f>
        <v>2.5000000000000001E-2</v>
      </c>
      <c r="Y621" s="231">
        <f t="shared" si="94"/>
        <v>0.46000000000000008</v>
      </c>
      <c r="Z621" s="231" t="str" cm="1">
        <f t="array" ref="Z621">IF(AND(Y621&gt;0,Y621&lt;0.5),"C",IF(AND(Y621&gt;=0.5,Y621&lt;0.73),"B",IF(AND(Y621&gt;=0.73,Y621&lt;0.98),"A",NONE)))</f>
        <v>C</v>
      </c>
      <c r="AA621" s="231" t="str">
        <f>VLOOKUP(G621,'ALL (R)'!$N$5:$R$862,5,FALSE)</f>
        <v>R 10</v>
      </c>
      <c r="AB621" s="232">
        <f>VLOOKUP(AA621,FACTS!$B$2:$L$14,10,FALSE)</f>
        <v>56100</v>
      </c>
      <c r="AC621" s="232">
        <f>VLOOKUP(AA621,FACTS!$B$2:$L$14,11,FALSE)</f>
        <v>62700</v>
      </c>
      <c r="AD621" s="232">
        <f>VLOOKUP(AA621,FACTS!$B$2:$N$14,13,FALSE)</f>
        <v>6600</v>
      </c>
      <c r="AE621" s="232">
        <f t="shared" si="95"/>
        <v>3036.0000000000005</v>
      </c>
      <c r="AF621" s="232">
        <f t="shared" si="96"/>
        <v>59136</v>
      </c>
      <c r="AG621" s="232">
        <f>AF621*FACTS!$T$2</f>
        <v>19514.88</v>
      </c>
      <c r="AH621" s="232">
        <f>Table1[[#This Row],[UNIT (BUILDING) RATE (SEMI FINISHED)]]+4500</f>
        <v>63636</v>
      </c>
      <c r="AI621" s="232">
        <f>Table1[[#This Row],[UNIT (BUILDING) RATE (SEMI FINISHED)]]+7500</f>
        <v>66636</v>
      </c>
      <c r="AJ621" s="232">
        <f t="shared" si="97"/>
        <v>10171392</v>
      </c>
      <c r="AK621" s="232">
        <f>Table1[[#This Row],[UNIT (BUILDING) RATE (BASIC FINISH)]]*Table1[[#This Row],[Unit Selling Area]]</f>
        <v>10945392</v>
      </c>
      <c r="AL621" s="232">
        <f>Table1[[#This Row],[UNIT (BUILDING) RATE (FULLY FINISH)]]*Table1[[#This Row],[Unit Selling Area]]</f>
        <v>11461392</v>
      </c>
      <c r="AM621" s="232">
        <f t="shared" si="98"/>
        <v>0</v>
      </c>
      <c r="AN621" s="232">
        <f>(AM621+AJ621)*FACTS!$S$2</f>
        <v>864568.32000000007</v>
      </c>
      <c r="AO621" s="101">
        <f>VLOOKUP(S621,FACTS!$A$17:$C$23,3,FALSE)</f>
        <v>2</v>
      </c>
      <c r="AP621" s="232">
        <f>VLOOKUP(AA621,FACTS!$B$2:$J$14,9,FALSE)</f>
        <v>264000</v>
      </c>
      <c r="AQ621" s="232">
        <f>Table1[[#This Row],[PARKING VALUE]]*1</f>
        <v>264000</v>
      </c>
      <c r="AR621" s="232">
        <f t="shared" si="93"/>
        <v>10435392</v>
      </c>
      <c r="AS621" s="440">
        <f>Table1[[#This Row],[TOTAL CARS VALUE]]+Table1[[#This Row],[UNIT (BUILDING) VALUE BASIC FINISHED]]+Table1[[#This Row],[UNIT (GARDEN) VALUE]]</f>
        <v>11209392</v>
      </c>
      <c r="AT621" s="232">
        <f>Table1[[#This Row],[TOTAL CARS VALUE]]+Table1[[#This Row],[UNIT (GARDEN) VALUE]]+Table1[[#This Row],[UNIT (BUILDING) VALUE FULLY FINISHED]]</f>
        <v>11725392</v>
      </c>
      <c r="AU621" s="233">
        <f>VLOOKUP(I621,'C PHASES'!$I$108:$J$110,2,FALSE)</f>
        <v>46204</v>
      </c>
      <c r="AV621" s="233">
        <f>VLOOKUP(AA621,'C PHASES'!$I$113:$J$125,2,FALSE)</f>
        <v>46023</v>
      </c>
    </row>
    <row r="622" spans="1:48" x14ac:dyDescent="0.25">
      <c r="A622" s="236"/>
      <c r="B622" s="227" t="str">
        <f t="shared" si="91"/>
        <v>C</v>
      </c>
      <c r="C622" s="227" t="s">
        <v>88</v>
      </c>
      <c r="D622" s="227" t="s">
        <v>1147</v>
      </c>
      <c r="E622" s="228">
        <v>3</v>
      </c>
      <c r="F622" s="101">
        <v>2</v>
      </c>
      <c r="G622" s="87" t="str">
        <f t="shared" si="100"/>
        <v>C432</v>
      </c>
      <c r="H622" s="87" t="s">
        <v>1294</v>
      </c>
      <c r="I622" s="89" t="str">
        <f>VLOOKUP(C622,'PREMIUM TABLES'!$G$107:$H$149,2,FALSE)</f>
        <v>C2</v>
      </c>
      <c r="J622" s="89">
        <v>164.43600000000001</v>
      </c>
      <c r="K622" s="87">
        <v>182.19176683281029</v>
      </c>
      <c r="L622" s="87">
        <v>201</v>
      </c>
      <c r="M622" s="89"/>
      <c r="N622" s="89"/>
      <c r="O622" s="87" t="s">
        <v>187</v>
      </c>
      <c r="P622" s="87" t="s">
        <v>190</v>
      </c>
      <c r="Q622" s="229" t="s">
        <v>192</v>
      </c>
      <c r="R622" s="87" t="str">
        <f>VLOOKUP(E622,'PREMIUM TABLES'!$F$214:$G$219,2,FALSE)</f>
        <v>THIRD</v>
      </c>
      <c r="S622" s="87" t="str" cm="1">
        <f t="array" ref="S622">IF(AND(L622&gt;0,L622&lt;90),"A",IF(AND(L622&gt;90,L622&lt;123),"B",IF(AND(L622&gt;122,L622&lt;159),"C",IF(AND(L622&gt;159,L622&lt;185),"D",IF(AND(L622&gt;185,L622&lt;230),"E",IF(AND(L622&gt;230,L622&lt;350),"F",NONE))))))</f>
        <v>E</v>
      </c>
      <c r="T622" s="230">
        <f>VLOOKUP(O622,'PREMIUM TABLES'!$G$165:$H$172,2,FALSE)</f>
        <v>0.08</v>
      </c>
      <c r="U622" s="230">
        <f>VLOOKUP(P622,'PREMIUM TABLES'!$G$208:$H$209,2,FALSE)</f>
        <v>2.5000000000000001E-2</v>
      </c>
      <c r="V622" s="230">
        <f>VLOOKUP(Q622,'PREMIUM TABLES'!$G$175:$H$195,2,FALSE)</f>
        <v>0.46</v>
      </c>
      <c r="W622" s="230">
        <f>VLOOKUP(R622,'PREMIUM TABLES'!$G$214:$H$219,2,FALSE)</f>
        <v>0.15</v>
      </c>
      <c r="X622" s="230">
        <f>VLOOKUP(S622,'PREMIUM TABLES'!$F$199:$H$205,3,FALSE)</f>
        <v>1.4999999999999999E-2</v>
      </c>
      <c r="Y622" s="231">
        <f t="shared" si="94"/>
        <v>0.73000000000000009</v>
      </c>
      <c r="Z622" s="231" t="str" cm="1">
        <f t="array" ref="Z622">IF(AND(Y622&gt;0,Y622&lt;0.5),"C",IF(AND(Y622&gt;=0.5,Y622&lt;0.73),"B",IF(AND(Y622&gt;=0.73,Y622&lt;0.98),"A",NONE)))</f>
        <v>A</v>
      </c>
      <c r="AA622" s="231" t="str">
        <f>VLOOKUP(G622,'ALL (R)'!$N$5:$R$862,5,FALSE)</f>
        <v>R 1</v>
      </c>
      <c r="AB622" s="232">
        <f>VLOOKUP(AA622,FACTS!$B$2:$L$14,10,FALSE)</f>
        <v>42500</v>
      </c>
      <c r="AC622" s="232">
        <f>VLOOKUP(AA622,FACTS!$B$2:$L$14,11,FALSE)</f>
        <v>47500</v>
      </c>
      <c r="AD622" s="232">
        <f>VLOOKUP(AA622,FACTS!$B$2:$N$14,13,FALSE)</f>
        <v>5000</v>
      </c>
      <c r="AE622" s="232">
        <f t="shared" si="95"/>
        <v>3650.0000000000005</v>
      </c>
      <c r="AF622" s="232">
        <f t="shared" si="96"/>
        <v>46150</v>
      </c>
      <c r="AG622" s="232">
        <f>AF622*FACTS!$T$2</f>
        <v>15229.5</v>
      </c>
      <c r="AH622" s="232">
        <f>Table1[[#This Row],[UNIT (BUILDING) RATE (SEMI FINISHED)]]+4500</f>
        <v>50650</v>
      </c>
      <c r="AI622" s="232">
        <f>Table1[[#This Row],[UNIT (BUILDING) RATE (SEMI FINISHED)]]+7500</f>
        <v>53650</v>
      </c>
      <c r="AJ622" s="232">
        <f t="shared" si="97"/>
        <v>9276150</v>
      </c>
      <c r="AK622" s="232">
        <f>Table1[[#This Row],[UNIT (BUILDING) RATE (BASIC FINISH)]]*Table1[[#This Row],[Unit Selling Area]]</f>
        <v>10180650</v>
      </c>
      <c r="AL622" s="232">
        <f>Table1[[#This Row],[UNIT (BUILDING) RATE (FULLY FINISH)]]*Table1[[#This Row],[Unit Selling Area]]</f>
        <v>10783650</v>
      </c>
      <c r="AM622" s="232">
        <f t="shared" si="98"/>
        <v>0</v>
      </c>
      <c r="AN622" s="232">
        <f>(AM622+AJ622)*FACTS!$S$2</f>
        <v>788472.75</v>
      </c>
      <c r="AO622" s="101">
        <f>VLOOKUP(S622,FACTS!$A$17:$C$23,3,FALSE)</f>
        <v>2</v>
      </c>
      <c r="AP622" s="232">
        <f>VLOOKUP(AA622,FACTS!$B$2:$J$14,9,FALSE)</f>
        <v>200000</v>
      </c>
      <c r="AQ622" s="232">
        <f>Table1[[#This Row],[PARKING VALUE]]*1</f>
        <v>200000</v>
      </c>
      <c r="AR622" s="232">
        <f t="shared" si="93"/>
        <v>9476150</v>
      </c>
      <c r="AS622" s="440">
        <f>Table1[[#This Row],[TOTAL CARS VALUE]]+Table1[[#This Row],[UNIT (BUILDING) VALUE BASIC FINISHED]]+Table1[[#This Row],[UNIT (GARDEN) VALUE]]</f>
        <v>10380650</v>
      </c>
      <c r="AT622" s="232">
        <f>Table1[[#This Row],[TOTAL CARS VALUE]]+Table1[[#This Row],[UNIT (GARDEN) VALUE]]+Table1[[#This Row],[UNIT (BUILDING) VALUE FULLY FINISHED]]</f>
        <v>10983650</v>
      </c>
      <c r="AU622" s="233">
        <f>VLOOKUP(I622,'C PHASES'!$I$108:$J$110,2,FALSE)</f>
        <v>46204</v>
      </c>
      <c r="AV622" s="233">
        <f>VLOOKUP(AA622,'C PHASES'!$I$113:$J$125,2,FALSE)</f>
        <v>45170</v>
      </c>
    </row>
    <row r="623" spans="1:48" x14ac:dyDescent="0.25">
      <c r="A623" s="236"/>
      <c r="B623" s="227" t="str">
        <f t="shared" si="91"/>
        <v>C</v>
      </c>
      <c r="C623" s="227" t="s">
        <v>88</v>
      </c>
      <c r="D623" s="227" t="s">
        <v>1147</v>
      </c>
      <c r="E623" s="228">
        <v>3</v>
      </c>
      <c r="F623" s="101">
        <v>3</v>
      </c>
      <c r="G623" s="87" t="str">
        <f t="shared" si="100"/>
        <v>C433</v>
      </c>
      <c r="H623" s="87" t="s">
        <v>1295</v>
      </c>
      <c r="I623" s="89" t="str">
        <f>VLOOKUP(C623,'PREMIUM TABLES'!$G$107:$H$149,2,FALSE)</f>
        <v>C2</v>
      </c>
      <c r="J623" s="89">
        <v>187.20400000000001</v>
      </c>
      <c r="K623" s="87">
        <v>207.41825098013462</v>
      </c>
      <c r="L623" s="87">
        <v>228</v>
      </c>
      <c r="M623" s="89"/>
      <c r="N623" s="89"/>
      <c r="O623" s="87" t="s">
        <v>187</v>
      </c>
      <c r="P623" s="87" t="s">
        <v>226</v>
      </c>
      <c r="Q623" s="229" t="s">
        <v>210</v>
      </c>
      <c r="R623" s="87" t="str">
        <f>VLOOKUP(E623,'PREMIUM TABLES'!$F$214:$G$219,2,FALSE)</f>
        <v>THIRD</v>
      </c>
      <c r="S623" s="87" t="str" cm="1">
        <f t="array" ref="S623">IF(AND(L623&gt;0,L623&lt;90),"A",IF(AND(L623&gt;90,L623&lt;123),"B",IF(AND(L623&gt;122,L623&lt;159),"C",IF(AND(L623&gt;159,L623&lt;185),"D",IF(AND(L623&gt;185,L623&lt;230),"E",IF(AND(L623&gt;230,L623&lt;350),"F",NONE))))))</f>
        <v>E</v>
      </c>
      <c r="T623" s="230">
        <f>VLOOKUP(O623,'PREMIUM TABLES'!$G$165:$H$172,2,FALSE)</f>
        <v>0.08</v>
      </c>
      <c r="U623" s="230">
        <f>VLOOKUP(P623,'PREMIUM TABLES'!$G$208:$H$209,2,FALSE)</f>
        <v>0.05</v>
      </c>
      <c r="V623" s="230">
        <f>VLOOKUP(Q623,'PREMIUM TABLES'!$G$175:$H$195,2,FALSE)</f>
        <v>0.53</v>
      </c>
      <c r="W623" s="230">
        <f>VLOOKUP(R623,'PREMIUM TABLES'!$G$214:$H$219,2,FALSE)</f>
        <v>0.15</v>
      </c>
      <c r="X623" s="230">
        <f>VLOOKUP(S623,'PREMIUM TABLES'!$F$199:$H$205,3,FALSE)</f>
        <v>1.4999999999999999E-2</v>
      </c>
      <c r="Y623" s="231">
        <f t="shared" si="94"/>
        <v>0.82500000000000007</v>
      </c>
      <c r="Z623" s="231" t="str" cm="1">
        <f t="array" ref="Z623">IF(AND(Y623&gt;0,Y623&lt;0.5),"C",IF(AND(Y623&gt;=0.5,Y623&lt;0.73),"B",IF(AND(Y623&gt;=0.73,Y623&lt;0.98),"A",NONE)))</f>
        <v>A</v>
      </c>
      <c r="AA623" s="231" t="str">
        <f>VLOOKUP(G623,'ALL (R)'!$N$5:$R$862,5,FALSE)</f>
        <v>R 7</v>
      </c>
      <c r="AB623" s="232">
        <f>VLOOKUP(AA623,FACTS!$B$2:$L$14,10,FALSE)</f>
        <v>50150</v>
      </c>
      <c r="AC623" s="232">
        <f>VLOOKUP(AA623,FACTS!$B$2:$L$14,11,FALSE)</f>
        <v>56050</v>
      </c>
      <c r="AD623" s="232">
        <f>VLOOKUP(AA623,FACTS!$B$2:$N$14,13,FALSE)</f>
        <v>5900</v>
      </c>
      <c r="AE623" s="232">
        <f t="shared" si="95"/>
        <v>4867.5</v>
      </c>
      <c r="AF623" s="232">
        <f t="shared" si="96"/>
        <v>55017.5</v>
      </c>
      <c r="AG623" s="232">
        <f>AF623*FACTS!$T$2</f>
        <v>18155.775000000001</v>
      </c>
      <c r="AH623" s="232">
        <f>Table1[[#This Row],[UNIT (BUILDING) RATE (SEMI FINISHED)]]+4500</f>
        <v>59517.5</v>
      </c>
      <c r="AI623" s="232">
        <f>Table1[[#This Row],[UNIT (BUILDING) RATE (SEMI FINISHED)]]+7500</f>
        <v>62517.5</v>
      </c>
      <c r="AJ623" s="232">
        <f t="shared" si="97"/>
        <v>12543990</v>
      </c>
      <c r="AK623" s="232">
        <f>Table1[[#This Row],[UNIT (BUILDING) RATE (BASIC FINISH)]]*Table1[[#This Row],[Unit Selling Area]]</f>
        <v>13569990</v>
      </c>
      <c r="AL623" s="232">
        <f>Table1[[#This Row],[UNIT (BUILDING) RATE (FULLY FINISH)]]*Table1[[#This Row],[Unit Selling Area]]</f>
        <v>14253990</v>
      </c>
      <c r="AM623" s="232">
        <f t="shared" si="98"/>
        <v>0</v>
      </c>
      <c r="AN623" s="232">
        <f>(AM623+AJ623)*FACTS!$S$2</f>
        <v>1066239.1500000001</v>
      </c>
      <c r="AO623" s="101">
        <f>VLOOKUP(S623,FACTS!$A$17:$C$23,3,FALSE)</f>
        <v>2</v>
      </c>
      <c r="AP623" s="232">
        <f>VLOOKUP(AA623,FACTS!$B$2:$J$14,9,FALSE)</f>
        <v>236000</v>
      </c>
      <c r="AQ623" s="232">
        <f>Table1[[#This Row],[PARKING VALUE]]*1</f>
        <v>236000</v>
      </c>
      <c r="AR623" s="232">
        <f t="shared" si="93"/>
        <v>12779990</v>
      </c>
      <c r="AS623" s="440">
        <f>Table1[[#This Row],[TOTAL CARS VALUE]]+Table1[[#This Row],[UNIT (BUILDING) VALUE BASIC FINISHED]]+Table1[[#This Row],[UNIT (GARDEN) VALUE]]</f>
        <v>13805990</v>
      </c>
      <c r="AT623" s="232">
        <f>Table1[[#This Row],[TOTAL CARS VALUE]]+Table1[[#This Row],[UNIT (GARDEN) VALUE]]+Table1[[#This Row],[UNIT (BUILDING) VALUE FULLY FINISHED]]</f>
        <v>14489990</v>
      </c>
      <c r="AU623" s="233">
        <f>VLOOKUP(I623,'C PHASES'!$I$108:$J$110,2,FALSE)</f>
        <v>46204</v>
      </c>
      <c r="AV623" s="233">
        <f>VLOOKUP(AA623,'C PHASES'!$I$113:$J$125,2,FALSE)</f>
        <v>45748</v>
      </c>
    </row>
    <row r="624" spans="1:48" x14ac:dyDescent="0.25">
      <c r="A624" s="236"/>
      <c r="B624" s="227" t="str">
        <f t="shared" si="91"/>
        <v>C</v>
      </c>
      <c r="C624" s="227" t="s">
        <v>88</v>
      </c>
      <c r="D624" s="227" t="s">
        <v>1147</v>
      </c>
      <c r="E624" s="228">
        <v>3</v>
      </c>
      <c r="F624" s="101">
        <v>4</v>
      </c>
      <c r="G624" s="87" t="str">
        <f t="shared" si="100"/>
        <v>C434</v>
      </c>
      <c r="H624" s="87" t="s">
        <v>1294</v>
      </c>
      <c r="I624" s="89" t="str">
        <f>VLOOKUP(C624,'PREMIUM TABLES'!$G$107:$H$149,2,FALSE)</f>
        <v>C2</v>
      </c>
      <c r="J624" s="89">
        <v>143.911</v>
      </c>
      <c r="K624" s="87">
        <v>159.45048138288794</v>
      </c>
      <c r="L624" s="87">
        <v>176</v>
      </c>
      <c r="M624" s="89"/>
      <c r="N624" s="89"/>
      <c r="O624" s="87" t="s">
        <v>180</v>
      </c>
      <c r="P624" s="87" t="s">
        <v>226</v>
      </c>
      <c r="Q624" s="229" t="s">
        <v>228</v>
      </c>
      <c r="R624" s="87" t="str">
        <f>VLOOKUP(E624,'PREMIUM TABLES'!$F$214:$G$219,2,FALSE)</f>
        <v>THIRD</v>
      </c>
      <c r="S624" s="87" t="str" cm="1">
        <f t="array" ref="S624">IF(AND(L624&gt;0,L624&lt;90),"A",IF(AND(L624&gt;90,L624&lt;123),"B",IF(AND(L624&gt;122,L624&lt;159),"C",IF(AND(L624&gt;159,L624&lt;185),"D",IF(AND(L624&gt;185,L624&lt;230),"E",IF(AND(L624&gt;230,L624&lt;350),"F",NONE))))))</f>
        <v>D</v>
      </c>
      <c r="T624" s="230">
        <f>VLOOKUP(O624,'PREMIUM TABLES'!$G$165:$H$172,2,FALSE)</f>
        <v>0.13</v>
      </c>
      <c r="U624" s="230">
        <f>VLOOKUP(P624,'PREMIUM TABLES'!$G$208:$H$209,2,FALSE)</f>
        <v>0.05</v>
      </c>
      <c r="V624" s="230">
        <f>VLOOKUP(Q624,'PREMIUM TABLES'!$G$175:$H$195,2,FALSE)</f>
        <v>0.42400000000000004</v>
      </c>
      <c r="W624" s="230">
        <f>VLOOKUP(R624,'PREMIUM TABLES'!$G$214:$H$219,2,FALSE)</f>
        <v>0.15</v>
      </c>
      <c r="X624" s="230">
        <f>VLOOKUP(S624,'PREMIUM TABLES'!$F$199:$H$205,3,FALSE)</f>
        <v>2.5000000000000001E-2</v>
      </c>
      <c r="Y624" s="231">
        <f t="shared" si="94"/>
        <v>0.77900000000000014</v>
      </c>
      <c r="Z624" s="231" t="str" cm="1">
        <f t="array" ref="Z624">IF(AND(Y624&gt;0,Y624&lt;0.5),"C",IF(AND(Y624&gt;=0.5,Y624&lt;0.73),"B",IF(AND(Y624&gt;=0.73,Y624&lt;0.98),"A",NONE)))</f>
        <v>A</v>
      </c>
      <c r="AA624" s="231" t="str">
        <f>VLOOKUP(G624,'ALL (R)'!$N$5:$R$862,5,FALSE)</f>
        <v>R 4</v>
      </c>
      <c r="AB624" s="232">
        <f>VLOOKUP(AA624,FACTS!$B$2:$L$14,10,FALSE)</f>
        <v>45687.5</v>
      </c>
      <c r="AC624" s="232">
        <f>VLOOKUP(AA624,FACTS!$B$2:$L$14,11,FALSE)</f>
        <v>51062.5</v>
      </c>
      <c r="AD624" s="232">
        <f>VLOOKUP(AA624,FACTS!$B$2:$N$14,13,FALSE)</f>
        <v>5375</v>
      </c>
      <c r="AE624" s="232">
        <f t="shared" si="95"/>
        <v>4187.1250000000009</v>
      </c>
      <c r="AF624" s="232">
        <f t="shared" si="96"/>
        <v>49874.625</v>
      </c>
      <c r="AG624" s="232">
        <f>AF624*FACTS!$T$2</f>
        <v>16458.626250000001</v>
      </c>
      <c r="AH624" s="232">
        <f>Table1[[#This Row],[UNIT (BUILDING) RATE (SEMI FINISHED)]]+4500</f>
        <v>54374.625</v>
      </c>
      <c r="AI624" s="232">
        <f>Table1[[#This Row],[UNIT (BUILDING) RATE (SEMI FINISHED)]]+7500</f>
        <v>57374.625</v>
      </c>
      <c r="AJ624" s="232">
        <f t="shared" si="97"/>
        <v>8777934</v>
      </c>
      <c r="AK624" s="232">
        <f>Table1[[#This Row],[UNIT (BUILDING) RATE (BASIC FINISH)]]*Table1[[#This Row],[Unit Selling Area]]</f>
        <v>9569934</v>
      </c>
      <c r="AL624" s="232">
        <f>Table1[[#This Row],[UNIT (BUILDING) RATE (FULLY FINISH)]]*Table1[[#This Row],[Unit Selling Area]]</f>
        <v>10097934</v>
      </c>
      <c r="AM624" s="232">
        <f t="shared" si="98"/>
        <v>0</v>
      </c>
      <c r="AN624" s="232">
        <f>(AM624+AJ624)*FACTS!$S$2</f>
        <v>746124.39</v>
      </c>
      <c r="AO624" s="101">
        <f>VLOOKUP(S624,FACTS!$A$17:$C$23,3,FALSE)</f>
        <v>2</v>
      </c>
      <c r="AP624" s="232">
        <f>VLOOKUP(AA624,FACTS!$B$2:$J$14,9,FALSE)</f>
        <v>215000</v>
      </c>
      <c r="AQ624" s="232">
        <f>Table1[[#This Row],[PARKING VALUE]]*1</f>
        <v>215000</v>
      </c>
      <c r="AR624" s="232">
        <f t="shared" si="93"/>
        <v>8992934</v>
      </c>
      <c r="AS624" s="440">
        <f>Table1[[#This Row],[TOTAL CARS VALUE]]+Table1[[#This Row],[UNIT (BUILDING) VALUE BASIC FINISHED]]+Table1[[#This Row],[UNIT (GARDEN) VALUE]]</f>
        <v>9784934</v>
      </c>
      <c r="AT624" s="232">
        <f>Table1[[#This Row],[TOTAL CARS VALUE]]+Table1[[#This Row],[UNIT (GARDEN) VALUE]]+Table1[[#This Row],[UNIT (BUILDING) VALUE FULLY FINISHED]]</f>
        <v>10312934</v>
      </c>
      <c r="AU624" s="233">
        <f>VLOOKUP(I624,'C PHASES'!$I$108:$J$110,2,FALSE)</f>
        <v>46204</v>
      </c>
      <c r="AV624" s="233">
        <f>VLOOKUP(AA624,'C PHASES'!$I$113:$J$125,2,FALSE)</f>
        <v>45474</v>
      </c>
    </row>
    <row r="625" spans="1:48" x14ac:dyDescent="0.25">
      <c r="A625" s="236"/>
      <c r="B625" s="227" t="str">
        <f t="shared" si="91"/>
        <v>C</v>
      </c>
      <c r="C625" s="227" t="s">
        <v>88</v>
      </c>
      <c r="D625" s="227" t="s">
        <v>1147</v>
      </c>
      <c r="E625" s="228">
        <v>4</v>
      </c>
      <c r="F625" s="101">
        <v>1</v>
      </c>
      <c r="G625" s="87" t="str">
        <f t="shared" si="100"/>
        <v>C441</v>
      </c>
      <c r="H625" s="87" t="s">
        <v>1294</v>
      </c>
      <c r="I625" s="89" t="str">
        <f>VLOOKUP(C625,'PREMIUM TABLES'!$G$107:$H$149,2,FALSE)</f>
        <v>C2</v>
      </c>
      <c r="J625" s="89">
        <v>139.16499999999999</v>
      </c>
      <c r="K625" s="87">
        <v>154.19200923938823</v>
      </c>
      <c r="L625" s="87">
        <v>170</v>
      </c>
      <c r="M625" s="89"/>
      <c r="N625" s="89"/>
      <c r="O625" s="87" t="s">
        <v>180</v>
      </c>
      <c r="P625" s="87" t="s">
        <v>190</v>
      </c>
      <c r="Q625" s="229" t="s">
        <v>199</v>
      </c>
      <c r="R625" s="87" t="str">
        <f>VLOOKUP(E625,'PREMIUM TABLES'!$F$214:$G$219,2,FALSE)</f>
        <v>FORTH</v>
      </c>
      <c r="S625" s="87" t="str" cm="1">
        <f t="array" ref="S625">IF(AND(L625&gt;0,L625&lt;90),"A",IF(AND(L625&gt;90,L625&lt;123),"B",IF(AND(L625&gt;122,L625&lt;159),"C",IF(AND(L625&gt;159,L625&lt;185),"D",IF(AND(L625&gt;185,L625&lt;230),"E",IF(AND(L625&gt;230,L625&lt;350),"F",NONE))))))</f>
        <v>D</v>
      </c>
      <c r="T625" s="230">
        <f>VLOOKUP(O625,'PREMIUM TABLES'!$G$165:$H$172,2,FALSE)</f>
        <v>0.13</v>
      </c>
      <c r="U625" s="230">
        <f>VLOOKUP(P625,'PREMIUM TABLES'!$G$208:$H$209,2,FALSE)</f>
        <v>2.5000000000000001E-2</v>
      </c>
      <c r="V625" s="230">
        <f>VLOOKUP(Q625,'PREMIUM TABLES'!$G$175:$H$195,2,FALSE)</f>
        <v>0.13</v>
      </c>
      <c r="W625" s="230">
        <f>VLOOKUP(R625,'PREMIUM TABLES'!$G$214:$H$219,2,FALSE)</f>
        <v>0.06</v>
      </c>
      <c r="X625" s="230">
        <f>VLOOKUP(S625,'PREMIUM TABLES'!$F$199:$H$205,3,FALSE)</f>
        <v>2.5000000000000001E-2</v>
      </c>
      <c r="Y625" s="231">
        <f t="shared" si="94"/>
        <v>0.37000000000000005</v>
      </c>
      <c r="Z625" s="231" t="str" cm="1">
        <f t="array" ref="Z625">IF(AND(Y625&gt;0,Y625&lt;0.5),"C",IF(AND(Y625&gt;=0.5,Y625&lt;0.73),"B",IF(AND(Y625&gt;=0.73,Y625&lt;0.98),"A",NONE)))</f>
        <v>C</v>
      </c>
      <c r="AA625" s="231" t="str">
        <f>VLOOKUP(G625,'ALL (R)'!$N$5:$R$862,5,FALSE)</f>
        <v>R 2</v>
      </c>
      <c r="AB625" s="232">
        <f>VLOOKUP(AA625,FACTS!$B$2:$L$14,10,FALSE)</f>
        <v>43562.499999999993</v>
      </c>
      <c r="AC625" s="232">
        <f>VLOOKUP(AA625,FACTS!$B$2:$L$14,11,FALSE)</f>
        <v>48687.499999999993</v>
      </c>
      <c r="AD625" s="232">
        <f>VLOOKUP(AA625,FACTS!$B$2:$N$14,13,FALSE)</f>
        <v>5125</v>
      </c>
      <c r="AE625" s="232">
        <f t="shared" si="95"/>
        <v>1896.2500000000002</v>
      </c>
      <c r="AF625" s="232">
        <f t="shared" si="96"/>
        <v>45458.749999999993</v>
      </c>
      <c r="AG625" s="232">
        <f>AF625*FACTS!$T$2</f>
        <v>15001.387499999999</v>
      </c>
      <c r="AH625" s="232">
        <f>Table1[[#This Row],[UNIT (BUILDING) RATE (SEMI FINISHED)]]+4500</f>
        <v>49958.749999999993</v>
      </c>
      <c r="AI625" s="232">
        <f>Table1[[#This Row],[UNIT (BUILDING) RATE (SEMI FINISHED)]]+7500</f>
        <v>52958.749999999993</v>
      </c>
      <c r="AJ625" s="232">
        <f t="shared" si="97"/>
        <v>7727987.4999999991</v>
      </c>
      <c r="AK625" s="232">
        <f>Table1[[#This Row],[UNIT (BUILDING) RATE (BASIC FINISH)]]*Table1[[#This Row],[Unit Selling Area]]</f>
        <v>8492987.4999999981</v>
      </c>
      <c r="AL625" s="232">
        <f>Table1[[#This Row],[UNIT (BUILDING) RATE (FULLY FINISH)]]*Table1[[#This Row],[Unit Selling Area]]</f>
        <v>9002987.4999999981</v>
      </c>
      <c r="AM625" s="232">
        <f t="shared" si="98"/>
        <v>0</v>
      </c>
      <c r="AN625" s="232">
        <f>(AM625+AJ625)*FACTS!$S$2</f>
        <v>656878.9375</v>
      </c>
      <c r="AO625" s="101">
        <f>VLOOKUP(S625,FACTS!$A$17:$C$23,3,FALSE)</f>
        <v>2</v>
      </c>
      <c r="AP625" s="232">
        <f>VLOOKUP(AA625,FACTS!$B$2:$J$14,9,FALSE)</f>
        <v>204999.99999999997</v>
      </c>
      <c r="AQ625" s="232">
        <f>Table1[[#This Row],[PARKING VALUE]]*1</f>
        <v>204999.99999999997</v>
      </c>
      <c r="AR625" s="232">
        <f t="shared" si="93"/>
        <v>7932987.4999999991</v>
      </c>
      <c r="AS625" s="440">
        <f>Table1[[#This Row],[TOTAL CARS VALUE]]+Table1[[#This Row],[UNIT (BUILDING) VALUE BASIC FINISHED]]+Table1[[#This Row],[UNIT (GARDEN) VALUE]]</f>
        <v>8697987.4999999981</v>
      </c>
      <c r="AT625" s="232">
        <f>Table1[[#This Row],[TOTAL CARS VALUE]]+Table1[[#This Row],[UNIT (GARDEN) VALUE]]+Table1[[#This Row],[UNIT (BUILDING) VALUE FULLY FINISHED]]</f>
        <v>9207987.4999999981</v>
      </c>
      <c r="AU625" s="233">
        <f>VLOOKUP(I625,'C PHASES'!$I$108:$J$110,2,FALSE)</f>
        <v>46204</v>
      </c>
      <c r="AV625" s="233">
        <f>VLOOKUP(AA625,'C PHASES'!$I$113:$J$125,2,FALSE)</f>
        <v>45292</v>
      </c>
    </row>
    <row r="626" spans="1:48" x14ac:dyDescent="0.25">
      <c r="A626" s="236"/>
      <c r="B626" s="227" t="str">
        <f t="shared" si="91"/>
        <v>C</v>
      </c>
      <c r="C626" s="227" t="s">
        <v>88</v>
      </c>
      <c r="D626" s="227" t="s">
        <v>1147</v>
      </c>
      <c r="E626" s="228">
        <v>4</v>
      </c>
      <c r="F626" s="101">
        <v>2</v>
      </c>
      <c r="G626" s="87" t="str">
        <f t="shared" si="100"/>
        <v>C442</v>
      </c>
      <c r="H626" s="87" t="s">
        <v>1294</v>
      </c>
      <c r="I626" s="89" t="str">
        <f>VLOOKUP(C626,'PREMIUM TABLES'!$G$107:$H$149,2,FALSE)</f>
        <v>C2</v>
      </c>
      <c r="J626" s="89">
        <v>162.49</v>
      </c>
      <c r="K626" s="87">
        <v>180.03563813680304</v>
      </c>
      <c r="L626" s="87">
        <v>198</v>
      </c>
      <c r="M626" s="89"/>
      <c r="N626" s="89"/>
      <c r="O626" s="87" t="s">
        <v>187</v>
      </c>
      <c r="P626" s="87" t="s">
        <v>190</v>
      </c>
      <c r="Q626" s="229" t="s">
        <v>192</v>
      </c>
      <c r="R626" s="87" t="str">
        <f>VLOOKUP(E626,'PREMIUM TABLES'!$F$214:$G$219,2,FALSE)</f>
        <v>FORTH</v>
      </c>
      <c r="S626" s="87" t="str" cm="1">
        <f t="array" ref="S626">IF(AND(L626&gt;0,L626&lt;90),"A",IF(AND(L626&gt;90,L626&lt;123),"B",IF(AND(L626&gt;122,L626&lt;159),"C",IF(AND(L626&gt;159,L626&lt;185),"D",IF(AND(L626&gt;185,L626&lt;230),"E",IF(AND(L626&gt;230,L626&lt;350),"F",NONE))))))</f>
        <v>E</v>
      </c>
      <c r="T626" s="230">
        <f>VLOOKUP(O626,'PREMIUM TABLES'!$G$165:$H$172,2,FALSE)</f>
        <v>0.08</v>
      </c>
      <c r="U626" s="230">
        <f>VLOOKUP(P626,'PREMIUM TABLES'!$G$208:$H$209,2,FALSE)</f>
        <v>2.5000000000000001E-2</v>
      </c>
      <c r="V626" s="230">
        <f>VLOOKUP(Q626,'PREMIUM TABLES'!$G$175:$H$195,2,FALSE)</f>
        <v>0.46</v>
      </c>
      <c r="W626" s="230">
        <f>VLOOKUP(R626,'PREMIUM TABLES'!$G$214:$H$219,2,FALSE)</f>
        <v>0.06</v>
      </c>
      <c r="X626" s="230">
        <f>VLOOKUP(S626,'PREMIUM TABLES'!$F$199:$H$205,3,FALSE)</f>
        <v>1.4999999999999999E-2</v>
      </c>
      <c r="Y626" s="231">
        <f t="shared" si="94"/>
        <v>0.64</v>
      </c>
      <c r="Z626" s="231" t="str" cm="1">
        <f t="array" ref="Z626">IF(AND(Y626&gt;0,Y626&lt;0.5),"C",IF(AND(Y626&gt;=0.5,Y626&lt;0.73),"B",IF(AND(Y626&gt;=0.73,Y626&lt;0.98),"A",NONE)))</f>
        <v>B</v>
      </c>
      <c r="AA626" s="231" t="str">
        <f>VLOOKUP(G626,'ALL (R)'!$N$5:$R$862,5,FALSE)</f>
        <v>R 4</v>
      </c>
      <c r="AB626" s="232">
        <f>VLOOKUP(AA626,FACTS!$B$2:$L$14,10,FALSE)</f>
        <v>45687.5</v>
      </c>
      <c r="AC626" s="232">
        <f>VLOOKUP(AA626,FACTS!$B$2:$L$14,11,FALSE)</f>
        <v>51062.5</v>
      </c>
      <c r="AD626" s="232">
        <f>VLOOKUP(AA626,FACTS!$B$2:$N$14,13,FALSE)</f>
        <v>5375</v>
      </c>
      <c r="AE626" s="232">
        <f t="shared" si="95"/>
        <v>3440</v>
      </c>
      <c r="AF626" s="232">
        <f t="shared" si="96"/>
        <v>49127.5</v>
      </c>
      <c r="AG626" s="232">
        <f>AF626*FACTS!$T$2</f>
        <v>16212.075000000001</v>
      </c>
      <c r="AH626" s="232">
        <f>Table1[[#This Row],[UNIT (BUILDING) RATE (SEMI FINISHED)]]+4500</f>
        <v>53627.5</v>
      </c>
      <c r="AI626" s="232">
        <f>Table1[[#This Row],[UNIT (BUILDING) RATE (SEMI FINISHED)]]+7500</f>
        <v>56627.5</v>
      </c>
      <c r="AJ626" s="232">
        <f t="shared" si="97"/>
        <v>9727245</v>
      </c>
      <c r="AK626" s="232">
        <f>Table1[[#This Row],[UNIT (BUILDING) RATE (BASIC FINISH)]]*Table1[[#This Row],[Unit Selling Area]]</f>
        <v>10618245</v>
      </c>
      <c r="AL626" s="232">
        <f>Table1[[#This Row],[UNIT (BUILDING) RATE (FULLY FINISH)]]*Table1[[#This Row],[Unit Selling Area]]</f>
        <v>11212245</v>
      </c>
      <c r="AM626" s="232">
        <f t="shared" si="98"/>
        <v>0</v>
      </c>
      <c r="AN626" s="232">
        <f>(AM626+AJ626)*FACTS!$S$2</f>
        <v>826815.82500000007</v>
      </c>
      <c r="AO626" s="101">
        <f>VLOOKUP(S626,FACTS!$A$17:$C$23,3,FALSE)</f>
        <v>2</v>
      </c>
      <c r="AP626" s="232">
        <f>VLOOKUP(AA626,FACTS!$B$2:$J$14,9,FALSE)</f>
        <v>215000</v>
      </c>
      <c r="AQ626" s="232">
        <f>Table1[[#This Row],[PARKING VALUE]]*1</f>
        <v>215000</v>
      </c>
      <c r="AR626" s="232">
        <f t="shared" si="93"/>
        <v>9942245</v>
      </c>
      <c r="AS626" s="440">
        <f>Table1[[#This Row],[TOTAL CARS VALUE]]+Table1[[#This Row],[UNIT (BUILDING) VALUE BASIC FINISHED]]+Table1[[#This Row],[UNIT (GARDEN) VALUE]]</f>
        <v>10833245</v>
      </c>
      <c r="AT626" s="232">
        <f>Table1[[#This Row],[TOTAL CARS VALUE]]+Table1[[#This Row],[UNIT (GARDEN) VALUE]]+Table1[[#This Row],[UNIT (BUILDING) VALUE FULLY FINISHED]]</f>
        <v>11427245</v>
      </c>
      <c r="AU626" s="233">
        <f>VLOOKUP(I626,'C PHASES'!$I$108:$J$110,2,FALSE)</f>
        <v>46204</v>
      </c>
      <c r="AV626" s="233">
        <f>VLOOKUP(AA626,'C PHASES'!$I$113:$J$125,2,FALSE)</f>
        <v>45474</v>
      </c>
    </row>
    <row r="627" spans="1:48" x14ac:dyDescent="0.25">
      <c r="A627" s="236"/>
      <c r="B627" s="227" t="str">
        <f t="shared" si="91"/>
        <v>C</v>
      </c>
      <c r="C627" s="227" t="s">
        <v>88</v>
      </c>
      <c r="D627" s="227" t="s">
        <v>1147</v>
      </c>
      <c r="E627" s="228">
        <v>4</v>
      </c>
      <c r="F627" s="101">
        <v>3</v>
      </c>
      <c r="G627" s="87" t="str">
        <f t="shared" si="100"/>
        <v>C443</v>
      </c>
      <c r="H627" s="87" t="s">
        <v>1295</v>
      </c>
      <c r="I627" s="89" t="str">
        <f>VLOOKUP(C627,'PREMIUM TABLES'!$G$107:$H$149,2,FALSE)</f>
        <v>C2</v>
      </c>
      <c r="J627" s="89">
        <v>182.357</v>
      </c>
      <c r="K627" s="87">
        <v>202.04787287656464</v>
      </c>
      <c r="L627" s="87">
        <v>222</v>
      </c>
      <c r="M627" s="89"/>
      <c r="N627" s="89"/>
      <c r="O627" s="87" t="s">
        <v>187</v>
      </c>
      <c r="P627" s="87" t="s">
        <v>226</v>
      </c>
      <c r="Q627" s="229" t="s">
        <v>210</v>
      </c>
      <c r="R627" s="87" t="str">
        <f>VLOOKUP(E627,'PREMIUM TABLES'!$F$214:$G$219,2,FALSE)</f>
        <v>FORTH</v>
      </c>
      <c r="S627" s="87" t="str" cm="1">
        <f t="array" ref="S627">IF(AND(L627&gt;0,L627&lt;90),"A",IF(AND(L627&gt;90,L627&lt;123),"B",IF(AND(L627&gt;122,L627&lt;159),"C",IF(AND(L627&gt;159,L627&lt;185),"D",IF(AND(L627&gt;185,L627&lt;230),"E",IF(AND(L627&gt;230,L627&lt;350),"F",NONE))))))</f>
        <v>E</v>
      </c>
      <c r="T627" s="230">
        <f>VLOOKUP(O627,'PREMIUM TABLES'!$G$165:$H$172,2,FALSE)</f>
        <v>0.08</v>
      </c>
      <c r="U627" s="230">
        <f>VLOOKUP(P627,'PREMIUM TABLES'!$G$208:$H$209,2,FALSE)</f>
        <v>0.05</v>
      </c>
      <c r="V627" s="230">
        <f>VLOOKUP(Q627,'PREMIUM TABLES'!$G$175:$H$195,2,FALSE)</f>
        <v>0.53</v>
      </c>
      <c r="W627" s="230">
        <f>VLOOKUP(R627,'PREMIUM TABLES'!$G$214:$H$219,2,FALSE)</f>
        <v>0.06</v>
      </c>
      <c r="X627" s="230">
        <f>VLOOKUP(S627,'PREMIUM TABLES'!$F$199:$H$205,3,FALSE)</f>
        <v>1.4999999999999999E-2</v>
      </c>
      <c r="Y627" s="231">
        <f t="shared" si="94"/>
        <v>0.73499999999999999</v>
      </c>
      <c r="Z627" s="231" t="str" cm="1">
        <f t="array" ref="Z627">IF(AND(Y627&gt;0,Y627&lt;0.5),"C",IF(AND(Y627&gt;=0.5,Y627&lt;0.73),"B",IF(AND(Y627&gt;=0.73,Y627&lt;0.98),"A",NONE)))</f>
        <v>A</v>
      </c>
      <c r="AA627" s="231" t="str">
        <f>VLOOKUP(G627,'ALL (R)'!$N$5:$R$862,5,FALSE)</f>
        <v>R 1</v>
      </c>
      <c r="AB627" s="232">
        <f>VLOOKUP(AA627,FACTS!$B$2:$L$14,10,FALSE)</f>
        <v>42500</v>
      </c>
      <c r="AC627" s="232">
        <f>VLOOKUP(AA627,FACTS!$B$2:$L$14,11,FALSE)</f>
        <v>47500</v>
      </c>
      <c r="AD627" s="232">
        <f>VLOOKUP(AA627,FACTS!$B$2:$N$14,13,FALSE)</f>
        <v>5000</v>
      </c>
      <c r="AE627" s="232">
        <f t="shared" si="95"/>
        <v>3675</v>
      </c>
      <c r="AF627" s="232">
        <f t="shared" si="96"/>
        <v>46175</v>
      </c>
      <c r="AG627" s="232">
        <f>AF627*FACTS!$T$2</f>
        <v>15237.75</v>
      </c>
      <c r="AH627" s="232">
        <f>Table1[[#This Row],[UNIT (BUILDING) RATE (SEMI FINISHED)]]+4500</f>
        <v>50675</v>
      </c>
      <c r="AI627" s="232">
        <f>Table1[[#This Row],[UNIT (BUILDING) RATE (SEMI FINISHED)]]+7500</f>
        <v>53675</v>
      </c>
      <c r="AJ627" s="232">
        <f t="shared" si="97"/>
        <v>10250850</v>
      </c>
      <c r="AK627" s="232">
        <f>Table1[[#This Row],[UNIT (BUILDING) RATE (BASIC FINISH)]]*Table1[[#This Row],[Unit Selling Area]]</f>
        <v>11249850</v>
      </c>
      <c r="AL627" s="232">
        <f>Table1[[#This Row],[UNIT (BUILDING) RATE (FULLY FINISH)]]*Table1[[#This Row],[Unit Selling Area]]</f>
        <v>11915850</v>
      </c>
      <c r="AM627" s="232">
        <f t="shared" si="98"/>
        <v>0</v>
      </c>
      <c r="AN627" s="232">
        <f>(AM627+AJ627)*FACTS!$S$2</f>
        <v>871322.25000000012</v>
      </c>
      <c r="AO627" s="101">
        <f>VLOOKUP(S627,FACTS!$A$17:$C$23,3,FALSE)</f>
        <v>2</v>
      </c>
      <c r="AP627" s="232">
        <f>VLOOKUP(AA627,FACTS!$B$2:$J$14,9,FALSE)</f>
        <v>200000</v>
      </c>
      <c r="AQ627" s="232">
        <f>Table1[[#This Row],[PARKING VALUE]]*1</f>
        <v>200000</v>
      </c>
      <c r="AR627" s="232">
        <f t="shared" si="93"/>
        <v>10450850</v>
      </c>
      <c r="AS627" s="440">
        <f>Table1[[#This Row],[TOTAL CARS VALUE]]+Table1[[#This Row],[UNIT (BUILDING) VALUE BASIC FINISHED]]+Table1[[#This Row],[UNIT (GARDEN) VALUE]]</f>
        <v>11449850</v>
      </c>
      <c r="AT627" s="232">
        <f>Table1[[#This Row],[TOTAL CARS VALUE]]+Table1[[#This Row],[UNIT (GARDEN) VALUE]]+Table1[[#This Row],[UNIT (BUILDING) VALUE FULLY FINISHED]]</f>
        <v>12115850</v>
      </c>
      <c r="AU627" s="233">
        <f>VLOOKUP(I627,'C PHASES'!$I$108:$J$110,2,FALSE)</f>
        <v>46204</v>
      </c>
      <c r="AV627" s="233">
        <f>VLOOKUP(AA627,'C PHASES'!$I$113:$J$125,2,FALSE)</f>
        <v>45170</v>
      </c>
    </row>
    <row r="628" spans="1:48" x14ac:dyDescent="0.25">
      <c r="A628" s="236"/>
      <c r="B628" s="227" t="str">
        <f t="shared" si="91"/>
        <v>C</v>
      </c>
      <c r="C628" s="227" t="s">
        <v>88</v>
      </c>
      <c r="D628" s="227" t="s">
        <v>1147</v>
      </c>
      <c r="E628" s="228">
        <v>4</v>
      </c>
      <c r="F628" s="101">
        <v>4</v>
      </c>
      <c r="G628" s="87" t="str">
        <f t="shared" si="100"/>
        <v>C444</v>
      </c>
      <c r="H628" s="87" t="s">
        <v>1294</v>
      </c>
      <c r="I628" s="89" t="str">
        <f>VLOOKUP(C628,'PREMIUM TABLES'!$G$107:$H$149,2,FALSE)</f>
        <v>C2</v>
      </c>
      <c r="J628" s="89">
        <v>141.929</v>
      </c>
      <c r="K628" s="87">
        <v>157.25446541398435</v>
      </c>
      <c r="L628" s="87">
        <v>173</v>
      </c>
      <c r="M628" s="89"/>
      <c r="N628" s="89"/>
      <c r="O628" s="87" t="s">
        <v>180</v>
      </c>
      <c r="P628" s="87" t="s">
        <v>226</v>
      </c>
      <c r="Q628" s="229" t="s">
        <v>228</v>
      </c>
      <c r="R628" s="87" t="str">
        <f>VLOOKUP(E628,'PREMIUM TABLES'!$F$214:$G$219,2,FALSE)</f>
        <v>FORTH</v>
      </c>
      <c r="S628" s="87" t="str" cm="1">
        <f t="array" ref="S628">IF(AND(L628&gt;0,L628&lt;90),"A",IF(AND(L628&gt;90,L628&lt;123),"B",IF(AND(L628&gt;122,L628&lt;159),"C",IF(AND(L628&gt;159,L628&lt;185),"D",IF(AND(L628&gt;185,L628&lt;230),"E",IF(AND(L628&gt;230,L628&lt;350),"F",NONE))))))</f>
        <v>D</v>
      </c>
      <c r="T628" s="230">
        <f>VLOOKUP(O628,'PREMIUM TABLES'!$G$165:$H$172,2,FALSE)</f>
        <v>0.13</v>
      </c>
      <c r="U628" s="230">
        <f>VLOOKUP(P628,'PREMIUM TABLES'!$G$208:$H$209,2,FALSE)</f>
        <v>0.05</v>
      </c>
      <c r="V628" s="230">
        <f>VLOOKUP(Q628,'PREMIUM TABLES'!$G$175:$H$195,2,FALSE)</f>
        <v>0.42400000000000004</v>
      </c>
      <c r="W628" s="230">
        <f>VLOOKUP(R628,'PREMIUM TABLES'!$G$214:$H$219,2,FALSE)</f>
        <v>0.06</v>
      </c>
      <c r="X628" s="230">
        <f>VLOOKUP(S628,'PREMIUM TABLES'!$F$199:$H$205,3,FALSE)</f>
        <v>2.5000000000000001E-2</v>
      </c>
      <c r="Y628" s="231">
        <f t="shared" si="94"/>
        <v>0.68900000000000017</v>
      </c>
      <c r="Z628" s="231" t="str" cm="1">
        <f t="array" ref="Z628">IF(AND(Y628&gt;0,Y628&lt;0.5),"C",IF(AND(Y628&gt;=0.5,Y628&lt;0.73),"B",IF(AND(Y628&gt;=0.73,Y628&lt;0.98),"A",NONE)))</f>
        <v>B</v>
      </c>
      <c r="AA628" s="231" t="str">
        <f>VLOOKUP(G628,'ALL (R)'!$N$5:$R$862,5,FALSE)</f>
        <v>R 8</v>
      </c>
      <c r="AB628" s="232">
        <f>VLOOKUP(AA628,FACTS!$B$2:$L$14,10,FALSE)</f>
        <v>51850</v>
      </c>
      <c r="AC628" s="232">
        <f>VLOOKUP(AA628,FACTS!$B$2:$L$14,11,FALSE)</f>
        <v>57950</v>
      </c>
      <c r="AD628" s="232">
        <f>VLOOKUP(AA628,FACTS!$B$2:$N$14,13,FALSE)</f>
        <v>6100</v>
      </c>
      <c r="AE628" s="232">
        <f t="shared" si="95"/>
        <v>4202.9000000000015</v>
      </c>
      <c r="AF628" s="232">
        <f t="shared" si="96"/>
        <v>56052.9</v>
      </c>
      <c r="AG628" s="232">
        <f>AF628*FACTS!$T$2</f>
        <v>18497.457000000002</v>
      </c>
      <c r="AH628" s="232">
        <f>Table1[[#This Row],[UNIT (BUILDING) RATE (SEMI FINISHED)]]+4500</f>
        <v>60552.9</v>
      </c>
      <c r="AI628" s="232">
        <f>Table1[[#This Row],[UNIT (BUILDING) RATE (SEMI FINISHED)]]+7500</f>
        <v>63552.9</v>
      </c>
      <c r="AJ628" s="232">
        <f t="shared" si="97"/>
        <v>9697151.7000000011</v>
      </c>
      <c r="AK628" s="232">
        <f>Table1[[#This Row],[UNIT (BUILDING) RATE (BASIC FINISH)]]*Table1[[#This Row],[Unit Selling Area]]</f>
        <v>10475651.700000001</v>
      </c>
      <c r="AL628" s="232">
        <f>Table1[[#This Row],[UNIT (BUILDING) RATE (FULLY FINISH)]]*Table1[[#This Row],[Unit Selling Area]]</f>
        <v>10994651.700000001</v>
      </c>
      <c r="AM628" s="232">
        <f t="shared" si="98"/>
        <v>0</v>
      </c>
      <c r="AN628" s="232">
        <f>(AM628+AJ628)*FACTS!$S$2</f>
        <v>824257.89450000017</v>
      </c>
      <c r="AO628" s="101">
        <f>VLOOKUP(S628,FACTS!$A$17:$C$23,3,FALSE)</f>
        <v>2</v>
      </c>
      <c r="AP628" s="232">
        <f>VLOOKUP(AA628,FACTS!$B$2:$J$14,9,FALSE)</f>
        <v>244000</v>
      </c>
      <c r="AQ628" s="232">
        <f>Table1[[#This Row],[PARKING VALUE]]*1</f>
        <v>244000</v>
      </c>
      <c r="AR628" s="232">
        <f t="shared" si="93"/>
        <v>9941151.7000000011</v>
      </c>
      <c r="AS628" s="440">
        <f>Table1[[#This Row],[TOTAL CARS VALUE]]+Table1[[#This Row],[UNIT (BUILDING) VALUE BASIC FINISHED]]+Table1[[#This Row],[UNIT (GARDEN) VALUE]]</f>
        <v>10719651.700000001</v>
      </c>
      <c r="AT628" s="232">
        <f>Table1[[#This Row],[TOTAL CARS VALUE]]+Table1[[#This Row],[UNIT (GARDEN) VALUE]]+Table1[[#This Row],[UNIT (BUILDING) VALUE FULLY FINISHED]]</f>
        <v>11238651.700000001</v>
      </c>
      <c r="AU628" s="233">
        <f>VLOOKUP(I628,'C PHASES'!$I$108:$J$110,2,FALSE)</f>
        <v>46204</v>
      </c>
      <c r="AV628" s="233">
        <f>VLOOKUP(AA628,'C PHASES'!$I$113:$J$125,2,FALSE)</f>
        <v>45839</v>
      </c>
    </row>
    <row r="629" spans="1:48" ht="22.5" x14ac:dyDescent="0.25">
      <c r="A629" s="236" t="s">
        <v>33</v>
      </c>
      <c r="B629" s="227" t="str">
        <f t="shared" si="91"/>
        <v>C</v>
      </c>
      <c r="C629" s="227" t="s">
        <v>87</v>
      </c>
      <c r="D629" s="227" t="s">
        <v>1147</v>
      </c>
      <c r="E629" s="228">
        <v>0</v>
      </c>
      <c r="F629" s="101">
        <v>1</v>
      </c>
      <c r="G629" s="87" t="str">
        <f>LEFT(C629,2)&amp;E629&amp;F629</f>
        <v>C501</v>
      </c>
      <c r="H629" s="87" t="s">
        <v>1294</v>
      </c>
      <c r="I629" s="89" t="str">
        <f>VLOOKUP(C629,'PREMIUM TABLES'!$G$107:$H$149,2,FALSE)</f>
        <v>C2</v>
      </c>
      <c r="J629" s="89">
        <v>141.82499999999999</v>
      </c>
      <c r="K629" s="87">
        <v>159.04192828545919</v>
      </c>
      <c r="L629" s="87">
        <v>173</v>
      </c>
      <c r="M629" s="87">
        <v>79.386099999999999</v>
      </c>
      <c r="O629" s="87" t="s">
        <v>180</v>
      </c>
      <c r="P629" s="87" t="s">
        <v>190</v>
      </c>
      <c r="Q629" s="229" t="s">
        <v>198</v>
      </c>
      <c r="R629" s="87" t="str">
        <f>VLOOKUP(E629,'PREMIUM TABLES'!$F$214:$G$219,2,FALSE)</f>
        <v>GROUND</v>
      </c>
      <c r="S629" s="87" t="str" cm="1">
        <f t="array" ref="S629">IF(AND(L629&gt;0,L629&lt;90),"A",IF(AND(L629&gt;90,L629&lt;123),"B",IF(AND(L629&gt;122,L629&lt;159),"C",IF(AND(L629&gt;159,L629&lt;185),"D",IF(AND(L629&gt;185,L629&lt;230),"E",IF(AND(L629&gt;230,L629&lt;350),"F",NONE))))))</f>
        <v>D</v>
      </c>
      <c r="T629" s="230">
        <f>VLOOKUP(O629,'PREMIUM TABLES'!$G$165:$H$172,2,FALSE)</f>
        <v>0.13</v>
      </c>
      <c r="U629" s="230">
        <f>VLOOKUP(P629,'PREMIUM TABLES'!$G$208:$H$209,2,FALSE)</f>
        <v>2.5000000000000001E-2</v>
      </c>
      <c r="V629" s="230">
        <f>VLOOKUP(Q629,'PREMIUM TABLES'!$G$175:$H$195,2,FALSE)</f>
        <v>0.15</v>
      </c>
      <c r="W629" s="230">
        <f>VLOOKUP(R629,'PREMIUM TABLES'!$G$214:$H$219,2,FALSE)</f>
        <v>0.05</v>
      </c>
      <c r="X629" s="230">
        <f>VLOOKUP(S629,'PREMIUM TABLES'!$F$199:$H$205,3,FALSE)</f>
        <v>2.5000000000000001E-2</v>
      </c>
      <c r="Y629" s="231">
        <f t="shared" si="94"/>
        <v>0.38</v>
      </c>
      <c r="Z629" s="231" t="str" cm="1">
        <f t="array" ref="Z629">IF(AND(Y629&gt;0,Y629&lt;0.5),"C",IF(AND(Y629&gt;=0.5,Y629&lt;0.73),"B",IF(AND(Y629&gt;=0.73,Y629&lt;0.98),"A",NONE)))</f>
        <v>C</v>
      </c>
      <c r="AA629" s="231" t="str">
        <f>VLOOKUP(G629,'ALL (R)'!$N$5:$R$862,5,FALSE)</f>
        <v>R 3</v>
      </c>
      <c r="AB629" s="232">
        <f>VLOOKUP(AA629,FACTS!$B$2:$L$14,10,FALSE)</f>
        <v>44625</v>
      </c>
      <c r="AC629" s="232">
        <f>VLOOKUP(AA629,FACTS!$B$2:$L$14,11,FALSE)</f>
        <v>49875</v>
      </c>
      <c r="AD629" s="232">
        <f>VLOOKUP(AA629,FACTS!$B$2:$N$14,13,FALSE)</f>
        <v>5250</v>
      </c>
      <c r="AE629" s="232">
        <f t="shared" si="95"/>
        <v>1995</v>
      </c>
      <c r="AF629" s="232">
        <f t="shared" si="96"/>
        <v>46620</v>
      </c>
      <c r="AG629" s="232">
        <f>AF629*FACTS!$T$2</f>
        <v>15384.6</v>
      </c>
      <c r="AH629" s="232">
        <f>Table1[[#This Row],[UNIT (BUILDING) RATE (SEMI FINISHED)]]+4500</f>
        <v>51120</v>
      </c>
      <c r="AI629" s="232">
        <f>Table1[[#This Row],[UNIT (BUILDING) RATE (SEMI FINISHED)]]+7500</f>
        <v>54120</v>
      </c>
      <c r="AJ629" s="232">
        <f t="shared" si="97"/>
        <v>8065260</v>
      </c>
      <c r="AK629" s="232">
        <f>Table1[[#This Row],[UNIT (BUILDING) RATE (BASIC FINISH)]]*Table1[[#This Row],[Unit Selling Area]]</f>
        <v>8843760</v>
      </c>
      <c r="AL629" s="232">
        <f>Table1[[#This Row],[UNIT (BUILDING) RATE (FULLY FINISH)]]*Table1[[#This Row],[Unit Selling Area]]</f>
        <v>9362760</v>
      </c>
      <c r="AM629" s="232">
        <f t="shared" si="98"/>
        <v>1221323.3940600001</v>
      </c>
      <c r="AN629" s="232">
        <f>(AM629+AJ629)*FACTS!$S$2</f>
        <v>789359.58849510015</v>
      </c>
      <c r="AO629" s="101">
        <f>VLOOKUP(S629,FACTS!$A$17:$C$23,3,FALSE)</f>
        <v>2</v>
      </c>
      <c r="AP629" s="232">
        <f>VLOOKUP(AA629,FACTS!$B$2:$J$14,9,FALSE)</f>
        <v>210000</v>
      </c>
      <c r="AQ629" s="232">
        <f>Table1[[#This Row],[PARKING VALUE]]*1</f>
        <v>210000</v>
      </c>
      <c r="AR629" s="232">
        <f t="shared" si="93"/>
        <v>9496583.3940600008</v>
      </c>
      <c r="AS629" s="440">
        <f>Table1[[#This Row],[TOTAL CARS VALUE]]+Table1[[#This Row],[UNIT (BUILDING) VALUE BASIC FINISHED]]+Table1[[#This Row],[UNIT (GARDEN) VALUE]]</f>
        <v>10275083.394060001</v>
      </c>
      <c r="AT629" s="232">
        <f>Table1[[#This Row],[TOTAL CARS VALUE]]+Table1[[#This Row],[UNIT (GARDEN) VALUE]]+Table1[[#This Row],[UNIT (BUILDING) VALUE FULLY FINISHED]]</f>
        <v>10794083.394060001</v>
      </c>
      <c r="AU629" s="233">
        <f>VLOOKUP(I629,'C PHASES'!$I$108:$J$110,2,FALSE)</f>
        <v>46204</v>
      </c>
      <c r="AV629" s="233">
        <f>VLOOKUP(AA629,'C PHASES'!$I$113:$J$125,2,FALSE)</f>
        <v>45383</v>
      </c>
    </row>
    <row r="630" spans="1:48" s="202" customFormat="1" x14ac:dyDescent="0.25">
      <c r="A630" s="236"/>
      <c r="B630" s="227" t="s">
        <v>205</v>
      </c>
      <c r="C630" s="227" t="s">
        <v>87</v>
      </c>
      <c r="D630" s="227" t="s">
        <v>1147</v>
      </c>
      <c r="E630" s="228">
        <v>0</v>
      </c>
      <c r="F630" s="101">
        <v>2</v>
      </c>
      <c r="G630" s="87" t="s">
        <v>1034</v>
      </c>
      <c r="H630" s="87" t="s">
        <v>1297</v>
      </c>
      <c r="I630" s="89" t="s">
        <v>37</v>
      </c>
      <c r="J630" s="89">
        <f>'DATA FOR DUPLEX'!H29</f>
        <v>142.05600000000001</v>
      </c>
      <c r="K630" s="89">
        <f>'DATA FOR DUPLEX'!I29</f>
        <v>159.30097066468673</v>
      </c>
      <c r="L630" s="89">
        <v>344</v>
      </c>
      <c r="M630" s="89">
        <f>'DATA FOR DUPLEX'!K29</f>
        <v>97.868200000000002</v>
      </c>
      <c r="N630" s="87"/>
      <c r="O630" s="87" t="s">
        <v>187</v>
      </c>
      <c r="P630" s="87" t="s">
        <v>190</v>
      </c>
      <c r="Q630" s="229" t="s">
        <v>192</v>
      </c>
      <c r="R630" s="87" t="str">
        <f>VLOOKUP(E630,'PREMIUM TABLES'!$F$214:$G$219,2,FALSE)</f>
        <v>GROUND</v>
      </c>
      <c r="S630" s="87" t="str" cm="1">
        <f t="array" ref="S630">IF(AND(L630&gt;0,L630&lt;90),"A",IF(AND(L630&gt;90,L630&lt;123),"B",IF(AND(L630&gt;122,L630&lt;159),"C",IF(AND(L630&gt;159,L630&lt;185),"D",IF(AND(L630&gt;185,L630&lt;230),"E",IF(AND(L630&gt;230,L630&lt;350),"F",NONE))))))</f>
        <v>F</v>
      </c>
      <c r="T630" s="230">
        <f>VLOOKUP(O630,'PREMIUM TABLES'!$G$165:$H$172,2,FALSE)</f>
        <v>0.08</v>
      </c>
      <c r="U630" s="230">
        <f>VLOOKUP(P630,'PREMIUM TABLES'!$G$208:$H$209,2,FALSE)</f>
        <v>2.5000000000000001E-2</v>
      </c>
      <c r="V630" s="230">
        <f>VLOOKUP(Q630,'PREMIUM TABLES'!$G$175:$H$195,2,FALSE)</f>
        <v>0.46</v>
      </c>
      <c r="W630" s="230">
        <f>VLOOKUP(R630,'PREMIUM TABLES'!$G$214:$H$219,2,FALSE)</f>
        <v>0.05</v>
      </c>
      <c r="X630" s="230">
        <f>VLOOKUP(S630,'PREMIUM TABLES'!$F$199:$H$205,3,FALSE)</f>
        <v>0</v>
      </c>
      <c r="Y630" s="231">
        <f t="shared" si="94"/>
        <v>0.6150000000000001</v>
      </c>
      <c r="Z630" s="231" t="str" cm="1">
        <f t="array" ref="Z630">IF(AND(Y630&gt;0,Y630&lt;0.5),"C",IF(AND(Y630&gt;=0.5,Y630&lt;0.73),"B",IF(AND(Y630&gt;=0.73,Y630&lt;0.98),"A",NONE)))</f>
        <v>B</v>
      </c>
      <c r="AA630" s="231" t="str">
        <f>VLOOKUP(G630,'ALL (R)'!$N$5:$R$862,5,FALSE)</f>
        <v>R 2</v>
      </c>
      <c r="AB630" s="232">
        <f>VLOOKUP(AA630,FACTS!$B$2:$L$14,10,FALSE)</f>
        <v>43562.499999999993</v>
      </c>
      <c r="AC630" s="232">
        <f>VLOOKUP(AA630,FACTS!$B$2:$L$14,11,FALSE)</f>
        <v>48687.499999999993</v>
      </c>
      <c r="AD630" s="232">
        <f>VLOOKUP(AA630,FACTS!$B$2:$N$14,13,FALSE)</f>
        <v>5125</v>
      </c>
      <c r="AE630" s="232">
        <f t="shared" si="95"/>
        <v>3151.8750000000005</v>
      </c>
      <c r="AF630" s="232">
        <f t="shared" si="96"/>
        <v>46714.374999999993</v>
      </c>
      <c r="AG630" s="232">
        <f>AF630*FACTS!$T$2</f>
        <v>15415.743749999998</v>
      </c>
      <c r="AH630" s="232">
        <f>Table1[[#This Row],[UNIT (BUILDING) RATE (SEMI FINISHED)]]+4500</f>
        <v>51214.374999999993</v>
      </c>
      <c r="AI630" s="232">
        <f>Table1[[#This Row],[UNIT (BUILDING) RATE (SEMI FINISHED)]]+7500</f>
        <v>54214.374999999993</v>
      </c>
      <c r="AJ630" s="232">
        <f t="shared" si="97"/>
        <v>16069744.999999998</v>
      </c>
      <c r="AK630" s="232">
        <f>Table1[[#This Row],[UNIT (BUILDING) RATE (BASIC FINISH)]]*Table1[[#This Row],[Unit Selling Area]]</f>
        <v>17617744.999999996</v>
      </c>
      <c r="AL630" s="232">
        <f>Table1[[#This Row],[UNIT (BUILDING) RATE (FULLY FINISH)]]*Table1[[#This Row],[Unit Selling Area]]</f>
        <v>18649744.999999996</v>
      </c>
      <c r="AM630" s="232">
        <f t="shared" si="98"/>
        <v>1508711.0924737498</v>
      </c>
      <c r="AN630" s="232">
        <f>(AM630+AJ630)*FACTS!$S$2</f>
        <v>1494168.7678602687</v>
      </c>
      <c r="AO630" s="101">
        <f>VLOOKUP(S630,FACTS!$A$17:$C$23,3,FALSE)</f>
        <v>2</v>
      </c>
      <c r="AP630" s="232">
        <f>VLOOKUP(AA630,FACTS!$B$2:$J$14,9,FALSE)</f>
        <v>204999.99999999997</v>
      </c>
      <c r="AQ630" s="232">
        <f>Table1[[#This Row],[PARKING VALUE]]*1</f>
        <v>204999.99999999997</v>
      </c>
      <c r="AR630" s="232">
        <f t="shared" si="93"/>
        <v>17783456.092473749</v>
      </c>
      <c r="AS630" s="440">
        <f>Table1[[#This Row],[TOTAL CARS VALUE]]+Table1[[#This Row],[UNIT (BUILDING) VALUE BASIC FINISHED]]+Table1[[#This Row],[UNIT (GARDEN) VALUE]]</f>
        <v>19331456.092473745</v>
      </c>
      <c r="AT630" s="232">
        <f>Table1[[#This Row],[TOTAL CARS VALUE]]+Table1[[#This Row],[UNIT (GARDEN) VALUE]]+Table1[[#This Row],[UNIT (BUILDING) VALUE FULLY FINISHED]]</f>
        <v>20363456.092473745</v>
      </c>
      <c r="AU630" s="233">
        <f>VLOOKUP(I630,'C PHASES'!$I$108:$J$110,2,FALSE)</f>
        <v>46204</v>
      </c>
      <c r="AV630" s="233">
        <f>VLOOKUP(AA630,'C PHASES'!$I$113:$J$125,2,FALSE)</f>
        <v>45292</v>
      </c>
    </row>
    <row r="631" spans="1:48" s="202" customFormat="1" x14ac:dyDescent="0.25">
      <c r="A631" s="236"/>
      <c r="B631" s="227" t="s">
        <v>205</v>
      </c>
      <c r="C631" s="227" t="s">
        <v>87</v>
      </c>
      <c r="D631" s="227" t="s">
        <v>1147</v>
      </c>
      <c r="E631" s="228">
        <v>0</v>
      </c>
      <c r="F631" s="101">
        <v>3</v>
      </c>
      <c r="G631" s="87" t="s">
        <v>1035</v>
      </c>
      <c r="H631" s="87" t="s">
        <v>1297</v>
      </c>
      <c r="I631" s="89" t="s">
        <v>37</v>
      </c>
      <c r="J631" s="89">
        <f>'DATA FOR DUPLEX'!H31</f>
        <v>142.197</v>
      </c>
      <c r="K631" s="89">
        <f>'DATA FOR DUPLEX'!I31</f>
        <v>159.45908744161781</v>
      </c>
      <c r="L631" s="89">
        <v>344</v>
      </c>
      <c r="M631" s="89">
        <f>'DATA FOR DUPLEX'!K31</f>
        <v>97.259299999999996</v>
      </c>
      <c r="N631" s="87"/>
      <c r="O631" s="87" t="s">
        <v>187</v>
      </c>
      <c r="P631" s="87" t="s">
        <v>190</v>
      </c>
      <c r="Q631" s="229" t="s">
        <v>192</v>
      </c>
      <c r="R631" s="87" t="str">
        <f>VLOOKUP(E631,'PREMIUM TABLES'!$F$214:$G$219,2,FALSE)</f>
        <v>GROUND</v>
      </c>
      <c r="S631" s="87" t="str" cm="1">
        <f t="array" ref="S631">IF(AND(L631&gt;0,L631&lt;90),"A",IF(AND(L631&gt;90,L631&lt;123),"B",IF(AND(L631&gt;122,L631&lt;159),"C",IF(AND(L631&gt;159,L631&lt;185),"D",IF(AND(L631&gt;185,L631&lt;230),"E",IF(AND(L631&gt;230,L631&lt;350),"F",NONE))))))</f>
        <v>F</v>
      </c>
      <c r="T631" s="230">
        <f>VLOOKUP(O631,'PREMIUM TABLES'!$G$165:$H$172,2,FALSE)</f>
        <v>0.08</v>
      </c>
      <c r="U631" s="230">
        <f>VLOOKUP(P631,'PREMIUM TABLES'!$G$208:$H$209,2,FALSE)</f>
        <v>2.5000000000000001E-2</v>
      </c>
      <c r="V631" s="230">
        <f>VLOOKUP(Q631,'PREMIUM TABLES'!$G$175:$H$195,2,FALSE)</f>
        <v>0.46</v>
      </c>
      <c r="W631" s="230">
        <f>VLOOKUP(R631,'PREMIUM TABLES'!$G$214:$H$219,2,FALSE)</f>
        <v>0.05</v>
      </c>
      <c r="X631" s="230">
        <f>VLOOKUP(S631,'PREMIUM TABLES'!$F$199:$H$205,3,FALSE)</f>
        <v>0</v>
      </c>
      <c r="Y631" s="231">
        <f t="shared" si="94"/>
        <v>0.6150000000000001</v>
      </c>
      <c r="Z631" s="231" t="str" cm="1">
        <f t="array" ref="Z631">IF(AND(Y631&gt;0,Y631&lt;0.5),"C",IF(AND(Y631&gt;=0.5,Y631&lt;0.73),"B",IF(AND(Y631&gt;=0.73,Y631&lt;0.98),"A",NONE)))</f>
        <v>B</v>
      </c>
      <c r="AA631" s="231" t="str">
        <f>VLOOKUP(G631,'ALL (R)'!$N$5:$R$862,5,FALSE)</f>
        <v>R 2</v>
      </c>
      <c r="AB631" s="232">
        <f>VLOOKUP(AA631,FACTS!$B$2:$L$14,10,FALSE)</f>
        <v>43562.499999999993</v>
      </c>
      <c r="AC631" s="232">
        <f>VLOOKUP(AA631,FACTS!$B$2:$L$14,11,FALSE)</f>
        <v>48687.499999999993</v>
      </c>
      <c r="AD631" s="232">
        <f>VLOOKUP(AA631,FACTS!$B$2:$N$14,13,FALSE)</f>
        <v>5125</v>
      </c>
      <c r="AE631" s="232">
        <f t="shared" si="95"/>
        <v>3151.8750000000005</v>
      </c>
      <c r="AF631" s="232">
        <f t="shared" si="96"/>
        <v>46714.374999999993</v>
      </c>
      <c r="AG631" s="232">
        <f>AF631*FACTS!$T$2</f>
        <v>15415.743749999998</v>
      </c>
      <c r="AH631" s="232">
        <f>Table1[[#This Row],[UNIT (BUILDING) RATE (SEMI FINISHED)]]+4500</f>
        <v>51214.374999999993</v>
      </c>
      <c r="AI631" s="232">
        <f>Table1[[#This Row],[UNIT (BUILDING) RATE (SEMI FINISHED)]]+7500</f>
        <v>54214.374999999993</v>
      </c>
      <c r="AJ631" s="232">
        <f t="shared" si="97"/>
        <v>16069744.999999998</v>
      </c>
      <c r="AK631" s="232">
        <f>Table1[[#This Row],[UNIT (BUILDING) RATE (BASIC FINISH)]]*Table1[[#This Row],[Unit Selling Area]]</f>
        <v>17617744.999999996</v>
      </c>
      <c r="AL631" s="232">
        <f>Table1[[#This Row],[UNIT (BUILDING) RATE (FULLY FINISH)]]*Table1[[#This Row],[Unit Selling Area]]</f>
        <v>18649744.999999996</v>
      </c>
      <c r="AM631" s="232">
        <f t="shared" si="98"/>
        <v>1499324.4461043747</v>
      </c>
      <c r="AN631" s="232">
        <f>(AM631+AJ631)*FACTS!$S$2</f>
        <v>1493370.902918872</v>
      </c>
      <c r="AO631" s="101">
        <f>VLOOKUP(S631,FACTS!$A$17:$C$23,3,FALSE)</f>
        <v>2</v>
      </c>
      <c r="AP631" s="232">
        <f>VLOOKUP(AA631,FACTS!$B$2:$J$14,9,FALSE)</f>
        <v>204999.99999999997</v>
      </c>
      <c r="AQ631" s="232">
        <f>Table1[[#This Row],[PARKING VALUE]]*1</f>
        <v>204999.99999999997</v>
      </c>
      <c r="AR631" s="232">
        <f t="shared" si="93"/>
        <v>17774069.446104374</v>
      </c>
      <c r="AS631" s="440">
        <f>Table1[[#This Row],[TOTAL CARS VALUE]]+Table1[[#This Row],[UNIT (BUILDING) VALUE BASIC FINISHED]]+Table1[[#This Row],[UNIT (GARDEN) VALUE]]</f>
        <v>19322069.44610437</v>
      </c>
      <c r="AT631" s="232">
        <f>Table1[[#This Row],[TOTAL CARS VALUE]]+Table1[[#This Row],[UNIT (GARDEN) VALUE]]+Table1[[#This Row],[UNIT (BUILDING) VALUE FULLY FINISHED]]</f>
        <v>20354069.44610437</v>
      </c>
      <c r="AU631" s="233">
        <f>VLOOKUP(I631,'C PHASES'!$I$108:$J$110,2,FALSE)</f>
        <v>46204</v>
      </c>
      <c r="AV631" s="233">
        <f>VLOOKUP(AA631,'C PHASES'!$I$113:$J$125,2,FALSE)</f>
        <v>45292</v>
      </c>
    </row>
    <row r="632" spans="1:48" x14ac:dyDescent="0.25">
      <c r="A632" s="236"/>
      <c r="B632" s="227" t="str">
        <f t="shared" si="91"/>
        <v>C</v>
      </c>
      <c r="C632" s="227" t="s">
        <v>87</v>
      </c>
      <c r="D632" s="227" t="s">
        <v>1147</v>
      </c>
      <c r="E632" s="228">
        <v>0</v>
      </c>
      <c r="F632" s="101">
        <v>4</v>
      </c>
      <c r="G632" s="87" t="str">
        <f t="shared" ref="G632:G646" si="101">LEFT(C632,2)&amp;E632&amp;F632</f>
        <v>C504</v>
      </c>
      <c r="H632" s="87" t="s">
        <v>1293</v>
      </c>
      <c r="I632" s="89" t="str">
        <f>VLOOKUP(C632,'PREMIUM TABLES'!$G$107:$H$149,2,FALSE)</f>
        <v>C2</v>
      </c>
      <c r="J632" s="89">
        <v>95.254000000000005</v>
      </c>
      <c r="K632" s="87">
        <v>106.81741467938045</v>
      </c>
      <c r="L632" s="87">
        <v>116</v>
      </c>
      <c r="M632" s="87">
        <v>63.177900000000001</v>
      </c>
      <c r="O632" s="87" t="s">
        <v>180</v>
      </c>
      <c r="P632" s="87" t="s">
        <v>190</v>
      </c>
      <c r="Q632" s="229" t="s">
        <v>198</v>
      </c>
      <c r="R632" s="87" t="str">
        <f>VLOOKUP(E632,'PREMIUM TABLES'!$F$214:$G$219,2,FALSE)</f>
        <v>GROUND</v>
      </c>
      <c r="S632" s="87" t="str" cm="1">
        <f t="array" ref="S632">IF(AND(L632&gt;0,L632&lt;90),"A",IF(AND(L632&gt;90,L632&lt;123),"B",IF(AND(L632&gt;122,L632&lt;159),"C",IF(AND(L632&gt;159,L632&lt;185),"D",IF(AND(L632&gt;185,L632&lt;230),"E",IF(AND(L632&gt;230,L632&lt;350),"F",NONE))))))</f>
        <v>B</v>
      </c>
      <c r="T632" s="230">
        <f>VLOOKUP(O632,'PREMIUM TABLES'!$G$165:$H$172,2,FALSE)</f>
        <v>0.13</v>
      </c>
      <c r="U632" s="230">
        <f>VLOOKUP(P632,'PREMIUM TABLES'!$G$208:$H$209,2,FALSE)</f>
        <v>2.5000000000000001E-2</v>
      </c>
      <c r="V632" s="230">
        <f>VLOOKUP(Q632,'PREMIUM TABLES'!$G$175:$H$195,2,FALSE)</f>
        <v>0.15</v>
      </c>
      <c r="W632" s="230">
        <f>VLOOKUP(R632,'PREMIUM TABLES'!$G$214:$H$219,2,FALSE)</f>
        <v>0.05</v>
      </c>
      <c r="X632" s="230">
        <f>VLOOKUP(S632,'PREMIUM TABLES'!$F$199:$H$205,3,FALSE)</f>
        <v>0.04</v>
      </c>
      <c r="Y632" s="231">
        <f t="shared" si="94"/>
        <v>0.39499999999999996</v>
      </c>
      <c r="Z632" s="231" t="str" cm="1">
        <f t="array" ref="Z632">IF(AND(Y632&gt;0,Y632&lt;0.5),"C",IF(AND(Y632&gt;=0.5,Y632&lt;0.73),"B",IF(AND(Y632&gt;=0.73,Y632&lt;0.98),"A",NONE)))</f>
        <v>C</v>
      </c>
      <c r="AA632" s="231" t="str">
        <f>VLOOKUP(G632,'ALL (R)'!$N$5:$R$862,5,FALSE)</f>
        <v>R 4</v>
      </c>
      <c r="AB632" s="232">
        <f>VLOOKUP(AA632,FACTS!$B$2:$L$14,10,FALSE)</f>
        <v>45687.5</v>
      </c>
      <c r="AC632" s="232">
        <f>VLOOKUP(AA632,FACTS!$B$2:$L$14,11,FALSE)</f>
        <v>51062.5</v>
      </c>
      <c r="AD632" s="232">
        <f>VLOOKUP(AA632,FACTS!$B$2:$N$14,13,FALSE)</f>
        <v>5375</v>
      </c>
      <c r="AE632" s="232">
        <f t="shared" si="95"/>
        <v>2123.125</v>
      </c>
      <c r="AF632" s="232">
        <f t="shared" si="96"/>
        <v>47810.625</v>
      </c>
      <c r="AG632" s="232">
        <f>AF632*FACTS!$T$2</f>
        <v>15777.50625</v>
      </c>
      <c r="AH632" s="232">
        <f>Table1[[#This Row],[UNIT (BUILDING) RATE (SEMI FINISHED)]]+4500</f>
        <v>52310.625</v>
      </c>
      <c r="AI632" s="232">
        <f>Table1[[#This Row],[UNIT (BUILDING) RATE (SEMI FINISHED)]]+7500</f>
        <v>55310.625</v>
      </c>
      <c r="AJ632" s="232">
        <f t="shared" si="97"/>
        <v>5546032.5</v>
      </c>
      <c r="AK632" s="232">
        <f>Table1[[#This Row],[UNIT (BUILDING) RATE (BASIC FINISH)]]*Table1[[#This Row],[Unit Selling Area]]</f>
        <v>6068032.5</v>
      </c>
      <c r="AL632" s="232">
        <f>Table1[[#This Row],[UNIT (BUILDING) RATE (FULLY FINISH)]]*Table1[[#This Row],[Unit Selling Area]]</f>
        <v>6416032.5</v>
      </c>
      <c r="AM632" s="232">
        <f t="shared" si="98"/>
        <v>996789.71211187507</v>
      </c>
      <c r="AN632" s="232">
        <f>(AM632+AJ632)*FACTS!$S$2</f>
        <v>556139.88802950946</v>
      </c>
      <c r="AO632" s="101">
        <f>VLOOKUP(S632,FACTS!$A$17:$C$23,3,FALSE)</f>
        <v>1</v>
      </c>
      <c r="AP632" s="232">
        <f>VLOOKUP(AA632,FACTS!$B$2:$J$14,9,FALSE)</f>
        <v>215000</v>
      </c>
      <c r="AQ632" s="232">
        <f>Table1[[#This Row],[PARKING VALUE]]*1</f>
        <v>215000</v>
      </c>
      <c r="AR632" s="232">
        <f t="shared" si="93"/>
        <v>6757822.2121118754</v>
      </c>
      <c r="AS632" s="440">
        <f>Table1[[#This Row],[TOTAL CARS VALUE]]+Table1[[#This Row],[UNIT (BUILDING) VALUE BASIC FINISHED]]+Table1[[#This Row],[UNIT (GARDEN) VALUE]]</f>
        <v>7279822.2121118754</v>
      </c>
      <c r="AT632" s="232">
        <f>Table1[[#This Row],[TOTAL CARS VALUE]]+Table1[[#This Row],[UNIT (GARDEN) VALUE]]+Table1[[#This Row],[UNIT (BUILDING) VALUE FULLY FINISHED]]</f>
        <v>7627822.2121118754</v>
      </c>
      <c r="AU632" s="233">
        <f>VLOOKUP(I632,'C PHASES'!$I$108:$J$110,2,FALSE)</f>
        <v>46204</v>
      </c>
      <c r="AV632" s="233">
        <f>VLOOKUP(AA632,'C PHASES'!$I$113:$J$125,2,FALSE)</f>
        <v>45474</v>
      </c>
    </row>
    <row r="633" spans="1:48" x14ac:dyDescent="0.25">
      <c r="A633" s="236"/>
      <c r="B633" s="227" t="str">
        <f t="shared" si="91"/>
        <v>C</v>
      </c>
      <c r="C633" s="227" t="s">
        <v>87</v>
      </c>
      <c r="D633" s="227" t="s">
        <v>1147</v>
      </c>
      <c r="E633" s="228">
        <v>1</v>
      </c>
      <c r="F633" s="101">
        <v>1</v>
      </c>
      <c r="G633" s="87" t="str">
        <f t="shared" si="101"/>
        <v>C511</v>
      </c>
      <c r="H633" s="87" t="s">
        <v>1294</v>
      </c>
      <c r="I633" s="89" t="str">
        <f>VLOOKUP(C633,'PREMIUM TABLES'!$G$107:$H$149,2,FALSE)</f>
        <v>C2</v>
      </c>
      <c r="J633" s="89">
        <v>142.977</v>
      </c>
      <c r="K633" s="87">
        <v>160.33377599485354</v>
      </c>
      <c r="L633" s="87">
        <v>174</v>
      </c>
      <c r="M633" s="89"/>
      <c r="N633" s="89"/>
      <c r="O633" s="87" t="s">
        <v>180</v>
      </c>
      <c r="P633" s="87" t="s">
        <v>190</v>
      </c>
      <c r="Q633" s="229" t="s">
        <v>198</v>
      </c>
      <c r="R633" s="87" t="str">
        <f>VLOOKUP(E633,'PREMIUM TABLES'!$F$214:$G$219,2,FALSE)</f>
        <v>FIRST</v>
      </c>
      <c r="S633" s="87" t="str" cm="1">
        <f t="array" ref="S633">IF(AND(L633&gt;0,L633&lt;90),"A",IF(AND(L633&gt;90,L633&lt;123),"B",IF(AND(L633&gt;122,L633&lt;159),"C",IF(AND(L633&gt;159,L633&lt;185),"D",IF(AND(L633&gt;185,L633&lt;230),"E",IF(AND(L633&gt;230,L633&lt;350),"F",NONE))))))</f>
        <v>D</v>
      </c>
      <c r="T633" s="230">
        <f>VLOOKUP(O633,'PREMIUM TABLES'!$G$165:$H$172,2,FALSE)</f>
        <v>0.13</v>
      </c>
      <c r="U633" s="230">
        <f>VLOOKUP(P633,'PREMIUM TABLES'!$G$208:$H$209,2,FALSE)</f>
        <v>2.5000000000000001E-2</v>
      </c>
      <c r="V633" s="230">
        <f>VLOOKUP(Q633,'PREMIUM TABLES'!$G$175:$H$195,2,FALSE)</f>
        <v>0.15</v>
      </c>
      <c r="W633" s="230">
        <f>VLOOKUP(R633,'PREMIUM TABLES'!$G$214:$H$219,2,FALSE)</f>
        <v>7.0000000000000007E-2</v>
      </c>
      <c r="X633" s="230">
        <f>VLOOKUP(S633,'PREMIUM TABLES'!$F$199:$H$205,3,FALSE)</f>
        <v>2.5000000000000001E-2</v>
      </c>
      <c r="Y633" s="231">
        <f t="shared" si="94"/>
        <v>0.4</v>
      </c>
      <c r="Z633" s="231" t="str" cm="1">
        <f t="array" ref="Z633">IF(AND(Y633&gt;0,Y633&lt;0.5),"C",IF(AND(Y633&gt;=0.5,Y633&lt;0.73),"B",IF(AND(Y633&gt;=0.73,Y633&lt;0.98),"A",NONE)))</f>
        <v>C</v>
      </c>
      <c r="AA633" s="231" t="str">
        <f>VLOOKUP(G633,'ALL (R)'!$N$5:$R$862,5,FALSE)</f>
        <v>R 5</v>
      </c>
      <c r="AB633" s="232">
        <f>VLOOKUP(AA633,FACTS!$B$2:$L$14,10,FALSE)</f>
        <v>46750.000000000007</v>
      </c>
      <c r="AC633" s="232">
        <f>VLOOKUP(AA633,FACTS!$B$2:$L$14,11,FALSE)</f>
        <v>52250.000000000007</v>
      </c>
      <c r="AD633" s="232">
        <f>VLOOKUP(AA633,FACTS!$B$2:$N$14,13,FALSE)</f>
        <v>5500</v>
      </c>
      <c r="AE633" s="232">
        <f t="shared" si="95"/>
        <v>2200</v>
      </c>
      <c r="AF633" s="232">
        <f t="shared" si="96"/>
        <v>48950.000000000007</v>
      </c>
      <c r="AG633" s="232">
        <f>AF633*FACTS!$T$2</f>
        <v>16153.500000000004</v>
      </c>
      <c r="AH633" s="232">
        <f>Table1[[#This Row],[UNIT (BUILDING) RATE (SEMI FINISHED)]]+4500</f>
        <v>53450.000000000007</v>
      </c>
      <c r="AI633" s="232">
        <f>Table1[[#This Row],[UNIT (BUILDING) RATE (SEMI FINISHED)]]+7500</f>
        <v>56450.000000000007</v>
      </c>
      <c r="AJ633" s="232">
        <f t="shared" si="97"/>
        <v>8517300.0000000019</v>
      </c>
      <c r="AK633" s="232">
        <f>Table1[[#This Row],[UNIT (BUILDING) RATE (BASIC FINISH)]]*Table1[[#This Row],[Unit Selling Area]]</f>
        <v>9300300.0000000019</v>
      </c>
      <c r="AL633" s="232">
        <f>Table1[[#This Row],[UNIT (BUILDING) RATE (FULLY FINISH)]]*Table1[[#This Row],[Unit Selling Area]]</f>
        <v>9822300.0000000019</v>
      </c>
      <c r="AM633" s="232">
        <f t="shared" si="98"/>
        <v>0</v>
      </c>
      <c r="AN633" s="232">
        <f>(AM633+AJ633)*FACTS!$S$2</f>
        <v>723970.50000000023</v>
      </c>
      <c r="AO633" s="101">
        <f>VLOOKUP(S633,FACTS!$A$17:$C$23,3,FALSE)</f>
        <v>2</v>
      </c>
      <c r="AP633" s="232">
        <f>VLOOKUP(AA633,FACTS!$B$2:$J$14,9,FALSE)</f>
        <v>220000.00000000003</v>
      </c>
      <c r="AQ633" s="232">
        <f>Table1[[#This Row],[PARKING VALUE]]*1</f>
        <v>220000.00000000003</v>
      </c>
      <c r="AR633" s="232">
        <f t="shared" si="93"/>
        <v>8737300.0000000019</v>
      </c>
      <c r="AS633" s="440">
        <f>Table1[[#This Row],[TOTAL CARS VALUE]]+Table1[[#This Row],[UNIT (BUILDING) VALUE BASIC FINISHED]]+Table1[[#This Row],[UNIT (GARDEN) VALUE]]</f>
        <v>9520300.0000000019</v>
      </c>
      <c r="AT633" s="232">
        <f>Table1[[#This Row],[TOTAL CARS VALUE]]+Table1[[#This Row],[UNIT (GARDEN) VALUE]]+Table1[[#This Row],[UNIT (BUILDING) VALUE FULLY FINISHED]]</f>
        <v>10042300.000000002</v>
      </c>
      <c r="AU633" s="233">
        <f>VLOOKUP(I633,'C PHASES'!$I$108:$J$110,2,FALSE)</f>
        <v>46204</v>
      </c>
      <c r="AV633" s="233">
        <f>VLOOKUP(AA633,'C PHASES'!$I$113:$J$125,2,FALSE)</f>
        <v>45566</v>
      </c>
    </row>
    <row r="634" spans="1:48" x14ac:dyDescent="0.25">
      <c r="A634" s="236"/>
      <c r="B634" s="227" t="str">
        <f t="shared" ref="B634:B693" si="102">LEFT(C634,1)</f>
        <v>C</v>
      </c>
      <c r="C634" s="227" t="s">
        <v>87</v>
      </c>
      <c r="D634" s="227" t="s">
        <v>1147</v>
      </c>
      <c r="E634" s="228">
        <v>1</v>
      </c>
      <c r="F634" s="101">
        <v>4</v>
      </c>
      <c r="G634" s="87" t="str">
        <f t="shared" si="101"/>
        <v>C514</v>
      </c>
      <c r="H634" s="87" t="s">
        <v>1293</v>
      </c>
      <c r="I634" s="89" t="str">
        <f>VLOOKUP(C634,'PREMIUM TABLES'!$G$107:$H$149,2,FALSE)</f>
        <v>C2</v>
      </c>
      <c r="J634" s="89">
        <v>96.311000000000007</v>
      </c>
      <c r="K634" s="87">
        <v>108.00272980857298</v>
      </c>
      <c r="L634" s="87">
        <v>117</v>
      </c>
      <c r="M634" s="89"/>
      <c r="N634" s="89"/>
      <c r="O634" s="87" t="s">
        <v>180</v>
      </c>
      <c r="P634" s="87" t="s">
        <v>190</v>
      </c>
      <c r="Q634" s="229" t="s">
        <v>198</v>
      </c>
      <c r="R634" s="87" t="str">
        <f>VLOOKUP(E634,'PREMIUM TABLES'!$F$214:$G$219,2,FALSE)</f>
        <v>FIRST</v>
      </c>
      <c r="S634" s="87" t="str" cm="1">
        <f t="array" ref="S634">IF(AND(L634&gt;0,L634&lt;90),"A",IF(AND(L634&gt;90,L634&lt;123),"B",IF(AND(L634&gt;122,L634&lt;159),"C",IF(AND(L634&gt;159,L634&lt;185),"D",IF(AND(L634&gt;185,L634&lt;230),"E",IF(AND(L634&gt;230,L634&lt;350),"F",NONE))))))</f>
        <v>B</v>
      </c>
      <c r="T634" s="230">
        <f>VLOOKUP(O634,'PREMIUM TABLES'!$G$165:$H$172,2,FALSE)</f>
        <v>0.13</v>
      </c>
      <c r="U634" s="230">
        <f>VLOOKUP(P634,'PREMIUM TABLES'!$G$208:$H$209,2,FALSE)</f>
        <v>2.5000000000000001E-2</v>
      </c>
      <c r="V634" s="230">
        <f>VLOOKUP(Q634,'PREMIUM TABLES'!$G$175:$H$195,2,FALSE)</f>
        <v>0.15</v>
      </c>
      <c r="W634" s="230">
        <f>VLOOKUP(R634,'PREMIUM TABLES'!$G$214:$H$219,2,FALSE)</f>
        <v>7.0000000000000007E-2</v>
      </c>
      <c r="X634" s="230">
        <f>VLOOKUP(S634,'PREMIUM TABLES'!$F$199:$H$205,3,FALSE)</f>
        <v>0.04</v>
      </c>
      <c r="Y634" s="231">
        <f t="shared" si="94"/>
        <v>0.41499999999999998</v>
      </c>
      <c r="Z634" s="231" t="str" cm="1">
        <f t="array" ref="Z634">IF(AND(Y634&gt;0,Y634&lt;0.5),"C",IF(AND(Y634&gt;=0.5,Y634&lt;0.73),"B",IF(AND(Y634&gt;=0.73,Y634&lt;0.98),"A",NONE)))</f>
        <v>C</v>
      </c>
      <c r="AA634" s="231" t="str">
        <f>VLOOKUP(G634,'ALL (R)'!$N$5:$R$862,5,FALSE)</f>
        <v>R 7</v>
      </c>
      <c r="AB634" s="232">
        <f>VLOOKUP(AA634,FACTS!$B$2:$L$14,10,FALSE)</f>
        <v>50150</v>
      </c>
      <c r="AC634" s="232">
        <f>VLOOKUP(AA634,FACTS!$B$2:$L$14,11,FALSE)</f>
        <v>56050</v>
      </c>
      <c r="AD634" s="232">
        <f>VLOOKUP(AA634,FACTS!$B$2:$N$14,13,FALSE)</f>
        <v>5900</v>
      </c>
      <c r="AE634" s="232">
        <f t="shared" si="95"/>
        <v>2448.5</v>
      </c>
      <c r="AF634" s="232">
        <f t="shared" si="96"/>
        <v>52598.5</v>
      </c>
      <c r="AG634" s="232">
        <f>AF634*FACTS!$T$2</f>
        <v>17357.505000000001</v>
      </c>
      <c r="AH634" s="232">
        <f>Table1[[#This Row],[UNIT (BUILDING) RATE (SEMI FINISHED)]]+4500</f>
        <v>57098.5</v>
      </c>
      <c r="AI634" s="232">
        <f>Table1[[#This Row],[UNIT (BUILDING) RATE (SEMI FINISHED)]]+7500</f>
        <v>60098.5</v>
      </c>
      <c r="AJ634" s="232">
        <f t="shared" si="97"/>
        <v>6154024.5</v>
      </c>
      <c r="AK634" s="232">
        <f>Table1[[#This Row],[UNIT (BUILDING) RATE (BASIC FINISH)]]*Table1[[#This Row],[Unit Selling Area]]</f>
        <v>6680524.5</v>
      </c>
      <c r="AL634" s="232">
        <f>Table1[[#This Row],[UNIT (BUILDING) RATE (FULLY FINISH)]]*Table1[[#This Row],[Unit Selling Area]]</f>
        <v>7031524.5</v>
      </c>
      <c r="AM634" s="232">
        <f t="shared" si="98"/>
        <v>0</v>
      </c>
      <c r="AN634" s="232">
        <f>(AM634+AJ634)*FACTS!$S$2</f>
        <v>523092.08250000002</v>
      </c>
      <c r="AO634" s="101">
        <f>VLOOKUP(S634,FACTS!$A$17:$C$23,3,FALSE)</f>
        <v>1</v>
      </c>
      <c r="AP634" s="232">
        <f>VLOOKUP(AA634,FACTS!$B$2:$J$14,9,FALSE)</f>
        <v>236000</v>
      </c>
      <c r="AQ634" s="232">
        <f>Table1[[#This Row],[PARKING VALUE]]*1</f>
        <v>236000</v>
      </c>
      <c r="AR634" s="232">
        <f t="shared" si="93"/>
        <v>6390024.5</v>
      </c>
      <c r="AS634" s="440">
        <f>Table1[[#This Row],[TOTAL CARS VALUE]]+Table1[[#This Row],[UNIT (BUILDING) VALUE BASIC FINISHED]]+Table1[[#This Row],[UNIT (GARDEN) VALUE]]</f>
        <v>6916524.5</v>
      </c>
      <c r="AT634" s="232">
        <f>Table1[[#This Row],[TOTAL CARS VALUE]]+Table1[[#This Row],[UNIT (GARDEN) VALUE]]+Table1[[#This Row],[UNIT (BUILDING) VALUE FULLY FINISHED]]</f>
        <v>7267524.5</v>
      </c>
      <c r="AU634" s="233">
        <f>VLOOKUP(I634,'C PHASES'!$I$108:$J$110,2,FALSE)</f>
        <v>46204</v>
      </c>
      <c r="AV634" s="233">
        <f>VLOOKUP(AA634,'C PHASES'!$I$113:$J$125,2,FALSE)</f>
        <v>45748</v>
      </c>
    </row>
    <row r="635" spans="1:48" x14ac:dyDescent="0.25">
      <c r="A635" s="236"/>
      <c r="B635" s="227" t="str">
        <f t="shared" si="102"/>
        <v>C</v>
      </c>
      <c r="C635" s="227" t="s">
        <v>87</v>
      </c>
      <c r="D635" s="227" t="s">
        <v>1147</v>
      </c>
      <c r="E635" s="228">
        <v>2</v>
      </c>
      <c r="F635" s="101">
        <v>1</v>
      </c>
      <c r="G635" s="87" t="str">
        <f t="shared" si="101"/>
        <v>C521</v>
      </c>
      <c r="H635" s="87" t="s">
        <v>1294</v>
      </c>
      <c r="I635" s="89" t="str">
        <f>VLOOKUP(C635,'PREMIUM TABLES'!$G$107:$H$149,2,FALSE)</f>
        <v>C2</v>
      </c>
      <c r="J635" s="89">
        <v>141.18700000000001</v>
      </c>
      <c r="K635" s="87">
        <v>158.32647790473564</v>
      </c>
      <c r="L635" s="87">
        <v>172</v>
      </c>
      <c r="M635" s="89"/>
      <c r="N635" s="89"/>
      <c r="O635" s="87" t="s">
        <v>180</v>
      </c>
      <c r="P635" s="87" t="s">
        <v>190</v>
      </c>
      <c r="Q635" s="229" t="s">
        <v>198</v>
      </c>
      <c r="R635" s="87" t="str">
        <f>VLOOKUP(E635,'PREMIUM TABLES'!$F$214:$G$219,2,FALSE)</f>
        <v>SECOND</v>
      </c>
      <c r="S635" s="87" t="str" cm="1">
        <f t="array" ref="S635">IF(AND(L635&gt;0,L635&lt;90),"A",IF(AND(L635&gt;90,L635&lt;123),"B",IF(AND(L635&gt;122,L635&lt;159),"C",IF(AND(L635&gt;159,L635&lt;185),"D",IF(AND(L635&gt;185,L635&lt;230),"E",IF(AND(L635&gt;230,L635&lt;350),"F",NONE))))))</f>
        <v>D</v>
      </c>
      <c r="T635" s="230">
        <f>VLOOKUP(O635,'PREMIUM TABLES'!$G$165:$H$172,2,FALSE)</f>
        <v>0.13</v>
      </c>
      <c r="U635" s="230">
        <f>VLOOKUP(P635,'PREMIUM TABLES'!$G$208:$H$209,2,FALSE)</f>
        <v>2.5000000000000001E-2</v>
      </c>
      <c r="V635" s="230">
        <f>VLOOKUP(Q635,'PREMIUM TABLES'!$G$175:$H$195,2,FALSE)</f>
        <v>0.15</v>
      </c>
      <c r="W635" s="230">
        <f>VLOOKUP(R635,'PREMIUM TABLES'!$G$214:$H$219,2,FALSE)</f>
        <v>0.11</v>
      </c>
      <c r="X635" s="230">
        <f>VLOOKUP(S635,'PREMIUM TABLES'!$F$199:$H$205,3,FALSE)</f>
        <v>2.5000000000000001E-2</v>
      </c>
      <c r="Y635" s="231">
        <f t="shared" si="94"/>
        <v>0.44</v>
      </c>
      <c r="Z635" s="231" t="str" cm="1">
        <f t="array" ref="Z635">IF(AND(Y635&gt;0,Y635&lt;0.5),"C",IF(AND(Y635&gt;=0.5,Y635&lt;0.73),"B",IF(AND(Y635&gt;=0.73,Y635&lt;0.98),"A",NONE)))</f>
        <v>C</v>
      </c>
      <c r="AA635" s="231" t="str">
        <f>VLOOKUP(G635,'ALL (R)'!$N$5:$R$862,5,FALSE)</f>
        <v>R 8</v>
      </c>
      <c r="AB635" s="232">
        <f>VLOOKUP(AA635,FACTS!$B$2:$L$14,10,FALSE)</f>
        <v>51850</v>
      </c>
      <c r="AC635" s="232">
        <f>VLOOKUP(AA635,FACTS!$B$2:$L$14,11,FALSE)</f>
        <v>57950</v>
      </c>
      <c r="AD635" s="232">
        <f>VLOOKUP(AA635,FACTS!$B$2:$N$14,13,FALSE)</f>
        <v>6100</v>
      </c>
      <c r="AE635" s="232">
        <f t="shared" si="95"/>
        <v>2684</v>
      </c>
      <c r="AF635" s="232">
        <f t="shared" si="96"/>
        <v>54534</v>
      </c>
      <c r="AG635" s="232">
        <f>AF635*FACTS!$T$2</f>
        <v>17996.22</v>
      </c>
      <c r="AH635" s="232">
        <f>Table1[[#This Row],[UNIT (BUILDING) RATE (SEMI FINISHED)]]+4500</f>
        <v>59034</v>
      </c>
      <c r="AI635" s="232">
        <f>Table1[[#This Row],[UNIT (BUILDING) RATE (SEMI FINISHED)]]+7500</f>
        <v>62034</v>
      </c>
      <c r="AJ635" s="232">
        <f t="shared" si="97"/>
        <v>9379848</v>
      </c>
      <c r="AK635" s="232">
        <f>Table1[[#This Row],[UNIT (BUILDING) RATE (BASIC FINISH)]]*Table1[[#This Row],[Unit Selling Area]]</f>
        <v>10153848</v>
      </c>
      <c r="AL635" s="232">
        <f>Table1[[#This Row],[UNIT (BUILDING) RATE (FULLY FINISH)]]*Table1[[#This Row],[Unit Selling Area]]</f>
        <v>10669848</v>
      </c>
      <c r="AM635" s="232">
        <f t="shared" si="98"/>
        <v>0</v>
      </c>
      <c r="AN635" s="232">
        <f>(AM635+AJ635)*FACTS!$S$2</f>
        <v>797287.08000000007</v>
      </c>
      <c r="AO635" s="101">
        <f>VLOOKUP(S635,FACTS!$A$17:$C$23,3,FALSE)</f>
        <v>2</v>
      </c>
      <c r="AP635" s="232">
        <f>VLOOKUP(AA635,FACTS!$B$2:$J$14,9,FALSE)</f>
        <v>244000</v>
      </c>
      <c r="AQ635" s="232">
        <f>Table1[[#This Row],[PARKING VALUE]]*1</f>
        <v>244000</v>
      </c>
      <c r="AR635" s="232">
        <f t="shared" si="93"/>
        <v>9623848</v>
      </c>
      <c r="AS635" s="440">
        <f>Table1[[#This Row],[TOTAL CARS VALUE]]+Table1[[#This Row],[UNIT (BUILDING) VALUE BASIC FINISHED]]+Table1[[#This Row],[UNIT (GARDEN) VALUE]]</f>
        <v>10397848</v>
      </c>
      <c r="AT635" s="232">
        <f>Table1[[#This Row],[TOTAL CARS VALUE]]+Table1[[#This Row],[UNIT (GARDEN) VALUE]]+Table1[[#This Row],[UNIT (BUILDING) VALUE FULLY FINISHED]]</f>
        <v>10913848</v>
      </c>
      <c r="AU635" s="233">
        <f>VLOOKUP(I635,'C PHASES'!$I$108:$J$110,2,FALSE)</f>
        <v>46204</v>
      </c>
      <c r="AV635" s="233">
        <f>VLOOKUP(AA635,'C PHASES'!$I$113:$J$125,2,FALSE)</f>
        <v>45839</v>
      </c>
    </row>
    <row r="636" spans="1:48" x14ac:dyDescent="0.25">
      <c r="A636" s="236"/>
      <c r="B636" s="227" t="str">
        <f t="shared" si="102"/>
        <v>C</v>
      </c>
      <c r="C636" s="227" t="s">
        <v>87</v>
      </c>
      <c r="D636" s="227" t="s">
        <v>1147</v>
      </c>
      <c r="E636" s="228">
        <v>2</v>
      </c>
      <c r="F636" s="101">
        <v>2</v>
      </c>
      <c r="G636" s="87" t="str">
        <f t="shared" si="101"/>
        <v>C522</v>
      </c>
      <c r="H636" s="87" t="s">
        <v>1294</v>
      </c>
      <c r="I636" s="89" t="str">
        <f>VLOOKUP(C636,'PREMIUM TABLES'!$G$107:$H$149,2,FALSE)</f>
        <v>C2</v>
      </c>
      <c r="J636" s="89">
        <v>141.446</v>
      </c>
      <c r="K636" s="87">
        <v>158.61691936023314</v>
      </c>
      <c r="L636" s="87">
        <v>173</v>
      </c>
      <c r="M636" s="89"/>
      <c r="N636" s="89"/>
      <c r="O636" s="87" t="s">
        <v>187</v>
      </c>
      <c r="P636" s="87" t="s">
        <v>190</v>
      </c>
      <c r="Q636" s="229" t="s">
        <v>192</v>
      </c>
      <c r="R636" s="87" t="str">
        <f>VLOOKUP(E636,'PREMIUM TABLES'!$F$214:$G$219,2,FALSE)</f>
        <v>SECOND</v>
      </c>
      <c r="S636" s="87" t="str" cm="1">
        <f t="array" ref="S636">IF(AND(L636&gt;0,L636&lt;90),"A",IF(AND(L636&gt;90,L636&lt;123),"B",IF(AND(L636&gt;122,L636&lt;159),"C",IF(AND(L636&gt;159,L636&lt;185),"D",IF(AND(L636&gt;185,L636&lt;230),"E",IF(AND(L636&gt;230,L636&lt;350),"F",NONE))))))</f>
        <v>D</v>
      </c>
      <c r="T636" s="230">
        <f>VLOOKUP(O636,'PREMIUM TABLES'!$G$165:$H$172,2,FALSE)</f>
        <v>0.08</v>
      </c>
      <c r="U636" s="230">
        <f>VLOOKUP(P636,'PREMIUM TABLES'!$G$208:$H$209,2,FALSE)</f>
        <v>2.5000000000000001E-2</v>
      </c>
      <c r="V636" s="230">
        <f>VLOOKUP(Q636,'PREMIUM TABLES'!$G$175:$H$195,2,FALSE)</f>
        <v>0.46</v>
      </c>
      <c r="W636" s="230">
        <f>VLOOKUP(R636,'PREMIUM TABLES'!$G$214:$H$219,2,FALSE)</f>
        <v>0.11</v>
      </c>
      <c r="X636" s="230">
        <f>VLOOKUP(S636,'PREMIUM TABLES'!$F$199:$H$205,3,FALSE)</f>
        <v>2.5000000000000001E-2</v>
      </c>
      <c r="Y636" s="231">
        <f t="shared" si="94"/>
        <v>0.70000000000000007</v>
      </c>
      <c r="Z636" s="231" t="str" cm="1">
        <f t="array" ref="Z636">IF(AND(Y636&gt;0,Y636&lt;0.5),"C",IF(AND(Y636&gt;=0.5,Y636&lt;0.73),"B",IF(AND(Y636&gt;=0.73,Y636&lt;0.98),"A",NONE)))</f>
        <v>B</v>
      </c>
      <c r="AA636" s="231" t="str">
        <f>VLOOKUP(G636,'ALL (R)'!$N$5:$R$862,5,FALSE)</f>
        <v>R 9</v>
      </c>
      <c r="AB636" s="232">
        <f>VLOOKUP(AA636,FACTS!$B$2:$L$14,10,FALSE)</f>
        <v>53550</v>
      </c>
      <c r="AC636" s="232">
        <f>VLOOKUP(AA636,FACTS!$B$2:$L$14,11,FALSE)</f>
        <v>59850</v>
      </c>
      <c r="AD636" s="232">
        <f>VLOOKUP(AA636,FACTS!$B$2:$N$14,13,FALSE)</f>
        <v>6300</v>
      </c>
      <c r="AE636" s="232">
        <f t="shared" si="95"/>
        <v>4410</v>
      </c>
      <c r="AF636" s="232">
        <f t="shared" si="96"/>
        <v>57960</v>
      </c>
      <c r="AG636" s="232">
        <f>AF636*FACTS!$T$2</f>
        <v>19126.8</v>
      </c>
      <c r="AH636" s="232">
        <f>Table1[[#This Row],[UNIT (BUILDING) RATE (SEMI FINISHED)]]+4500</f>
        <v>62460</v>
      </c>
      <c r="AI636" s="232">
        <f>Table1[[#This Row],[UNIT (BUILDING) RATE (SEMI FINISHED)]]+7500</f>
        <v>65460</v>
      </c>
      <c r="AJ636" s="232">
        <f t="shared" si="97"/>
        <v>10027080</v>
      </c>
      <c r="AK636" s="232">
        <f>Table1[[#This Row],[UNIT (BUILDING) RATE (BASIC FINISH)]]*Table1[[#This Row],[Unit Selling Area]]</f>
        <v>10805580</v>
      </c>
      <c r="AL636" s="232">
        <f>Table1[[#This Row],[UNIT (BUILDING) RATE (FULLY FINISH)]]*Table1[[#This Row],[Unit Selling Area]]</f>
        <v>11324580</v>
      </c>
      <c r="AM636" s="232">
        <f t="shared" si="98"/>
        <v>0</v>
      </c>
      <c r="AN636" s="232">
        <f>(AM636+AJ636)*FACTS!$S$2</f>
        <v>852301.8</v>
      </c>
      <c r="AO636" s="101">
        <f>VLOOKUP(S636,FACTS!$A$17:$C$23,3,FALSE)</f>
        <v>2</v>
      </c>
      <c r="AP636" s="232">
        <f>VLOOKUP(AA636,FACTS!$B$2:$J$14,9,FALSE)</f>
        <v>252000</v>
      </c>
      <c r="AQ636" s="232">
        <f>Table1[[#This Row],[PARKING VALUE]]*1</f>
        <v>252000</v>
      </c>
      <c r="AR636" s="232">
        <f t="shared" si="93"/>
        <v>10279080</v>
      </c>
      <c r="AS636" s="440">
        <f>Table1[[#This Row],[TOTAL CARS VALUE]]+Table1[[#This Row],[UNIT (BUILDING) VALUE BASIC FINISHED]]+Table1[[#This Row],[UNIT (GARDEN) VALUE]]</f>
        <v>11057580</v>
      </c>
      <c r="AT636" s="232">
        <f>Table1[[#This Row],[TOTAL CARS VALUE]]+Table1[[#This Row],[UNIT (GARDEN) VALUE]]+Table1[[#This Row],[UNIT (BUILDING) VALUE FULLY FINISHED]]</f>
        <v>11576580</v>
      </c>
      <c r="AU636" s="233">
        <f>VLOOKUP(I636,'C PHASES'!$I$108:$J$110,2,FALSE)</f>
        <v>46204</v>
      </c>
      <c r="AV636" s="233">
        <f>VLOOKUP(AA636,'C PHASES'!$I$113:$J$125,2,FALSE)</f>
        <v>45931</v>
      </c>
    </row>
    <row r="637" spans="1:48" x14ac:dyDescent="0.25">
      <c r="A637" s="236"/>
      <c r="B637" s="227" t="str">
        <f t="shared" si="102"/>
        <v>C</v>
      </c>
      <c r="C637" s="227" t="s">
        <v>87</v>
      </c>
      <c r="D637" s="227" t="s">
        <v>1147</v>
      </c>
      <c r="E637" s="228">
        <v>2</v>
      </c>
      <c r="F637" s="101">
        <v>3</v>
      </c>
      <c r="G637" s="87" t="str">
        <f t="shared" si="101"/>
        <v>C523</v>
      </c>
      <c r="H637" s="87" t="s">
        <v>1294</v>
      </c>
      <c r="I637" s="89" t="str">
        <f>VLOOKUP(C637,'PREMIUM TABLES'!$G$107:$H$149,2,FALSE)</f>
        <v>C2</v>
      </c>
      <c r="J637" s="89">
        <v>141.572</v>
      </c>
      <c r="K637" s="87">
        <v>158.75821520344815</v>
      </c>
      <c r="L637" s="87">
        <v>173</v>
      </c>
      <c r="M637" s="89"/>
      <c r="N637" s="89"/>
      <c r="O637" s="87" t="s">
        <v>187</v>
      </c>
      <c r="P637" s="87" t="s">
        <v>190</v>
      </c>
      <c r="Q637" s="229" t="s">
        <v>192</v>
      </c>
      <c r="R637" s="87" t="str">
        <f>VLOOKUP(E637,'PREMIUM TABLES'!$F$214:$G$219,2,FALSE)</f>
        <v>SECOND</v>
      </c>
      <c r="S637" s="87" t="str" cm="1">
        <f t="array" ref="S637">IF(AND(L637&gt;0,L637&lt;90),"A",IF(AND(L637&gt;90,L637&lt;123),"B",IF(AND(L637&gt;122,L637&lt;159),"C",IF(AND(L637&gt;159,L637&lt;185),"D",IF(AND(L637&gt;185,L637&lt;230),"E",IF(AND(L637&gt;230,L637&lt;350),"F",NONE))))))</f>
        <v>D</v>
      </c>
      <c r="T637" s="230">
        <f>VLOOKUP(O637,'PREMIUM TABLES'!$G$165:$H$172,2,FALSE)</f>
        <v>0.08</v>
      </c>
      <c r="U637" s="230">
        <f>VLOOKUP(P637,'PREMIUM TABLES'!$G$208:$H$209,2,FALSE)</f>
        <v>2.5000000000000001E-2</v>
      </c>
      <c r="V637" s="230">
        <f>VLOOKUP(Q637,'PREMIUM TABLES'!$G$175:$H$195,2,FALSE)</f>
        <v>0.46</v>
      </c>
      <c r="W637" s="230">
        <f>VLOOKUP(R637,'PREMIUM TABLES'!$G$214:$H$219,2,FALSE)</f>
        <v>0.11</v>
      </c>
      <c r="X637" s="230">
        <f>VLOOKUP(S637,'PREMIUM TABLES'!$F$199:$H$205,3,FALSE)</f>
        <v>2.5000000000000001E-2</v>
      </c>
      <c r="Y637" s="231">
        <f t="shared" si="94"/>
        <v>0.70000000000000007</v>
      </c>
      <c r="Z637" s="231" t="str" cm="1">
        <f t="array" ref="Z637">IF(AND(Y637&gt;0,Y637&lt;0.5),"C",IF(AND(Y637&gt;=0.5,Y637&lt;0.73),"B",IF(AND(Y637&gt;=0.73,Y637&lt;0.98),"A",NONE)))</f>
        <v>B</v>
      </c>
      <c r="AA637" s="231" t="str">
        <f>VLOOKUP(G637,'ALL (R)'!$N$5:$R$862,5,FALSE)</f>
        <v>R 9</v>
      </c>
      <c r="AB637" s="232">
        <f>VLOOKUP(AA637,FACTS!$B$2:$L$14,10,FALSE)</f>
        <v>53550</v>
      </c>
      <c r="AC637" s="232">
        <f>VLOOKUP(AA637,FACTS!$B$2:$L$14,11,FALSE)</f>
        <v>59850</v>
      </c>
      <c r="AD637" s="232">
        <f>VLOOKUP(AA637,FACTS!$B$2:$N$14,13,FALSE)</f>
        <v>6300</v>
      </c>
      <c r="AE637" s="232">
        <f t="shared" si="95"/>
        <v>4410</v>
      </c>
      <c r="AF637" s="232">
        <f t="shared" si="96"/>
        <v>57960</v>
      </c>
      <c r="AG637" s="232">
        <f>AF637*FACTS!$T$2</f>
        <v>19126.8</v>
      </c>
      <c r="AH637" s="232">
        <f>Table1[[#This Row],[UNIT (BUILDING) RATE (SEMI FINISHED)]]+4500</f>
        <v>62460</v>
      </c>
      <c r="AI637" s="232">
        <f>Table1[[#This Row],[UNIT (BUILDING) RATE (SEMI FINISHED)]]+7500</f>
        <v>65460</v>
      </c>
      <c r="AJ637" s="232">
        <f t="shared" si="97"/>
        <v>10027080</v>
      </c>
      <c r="AK637" s="232">
        <f>Table1[[#This Row],[UNIT (BUILDING) RATE (BASIC FINISH)]]*Table1[[#This Row],[Unit Selling Area]]</f>
        <v>10805580</v>
      </c>
      <c r="AL637" s="232">
        <f>Table1[[#This Row],[UNIT (BUILDING) RATE (FULLY FINISH)]]*Table1[[#This Row],[Unit Selling Area]]</f>
        <v>11324580</v>
      </c>
      <c r="AM637" s="232">
        <f t="shared" si="98"/>
        <v>0</v>
      </c>
      <c r="AN637" s="232">
        <f>(AM637+AJ637)*FACTS!$S$2</f>
        <v>852301.8</v>
      </c>
      <c r="AO637" s="101">
        <f>VLOOKUP(S637,FACTS!$A$17:$C$23,3,FALSE)</f>
        <v>2</v>
      </c>
      <c r="AP637" s="232">
        <f>VLOOKUP(AA637,FACTS!$B$2:$J$14,9,FALSE)</f>
        <v>252000</v>
      </c>
      <c r="AQ637" s="232">
        <f>Table1[[#This Row],[PARKING VALUE]]*1</f>
        <v>252000</v>
      </c>
      <c r="AR637" s="232">
        <f t="shared" si="93"/>
        <v>10279080</v>
      </c>
      <c r="AS637" s="440">
        <f>Table1[[#This Row],[TOTAL CARS VALUE]]+Table1[[#This Row],[UNIT (BUILDING) VALUE BASIC FINISHED]]+Table1[[#This Row],[UNIT (GARDEN) VALUE]]</f>
        <v>11057580</v>
      </c>
      <c r="AT637" s="232">
        <f>Table1[[#This Row],[TOTAL CARS VALUE]]+Table1[[#This Row],[UNIT (GARDEN) VALUE]]+Table1[[#This Row],[UNIT (BUILDING) VALUE FULLY FINISHED]]</f>
        <v>11576580</v>
      </c>
      <c r="AU637" s="233">
        <f>VLOOKUP(I637,'C PHASES'!$I$108:$J$110,2,FALSE)</f>
        <v>46204</v>
      </c>
      <c r="AV637" s="233">
        <f>VLOOKUP(AA637,'C PHASES'!$I$113:$J$125,2,FALSE)</f>
        <v>45931</v>
      </c>
    </row>
    <row r="638" spans="1:48" x14ac:dyDescent="0.25">
      <c r="A638" s="236"/>
      <c r="B638" s="227" t="str">
        <f t="shared" si="102"/>
        <v>C</v>
      </c>
      <c r="C638" s="227" t="s">
        <v>87</v>
      </c>
      <c r="D638" s="227" t="s">
        <v>1147</v>
      </c>
      <c r="E638" s="228">
        <v>2</v>
      </c>
      <c r="F638" s="101">
        <v>4</v>
      </c>
      <c r="G638" s="87" t="str">
        <f t="shared" si="101"/>
        <v>C524</v>
      </c>
      <c r="H638" s="87" t="s">
        <v>1294</v>
      </c>
      <c r="I638" s="89" t="str">
        <f>VLOOKUP(C638,'PREMIUM TABLES'!$G$107:$H$149,2,FALSE)</f>
        <v>C2</v>
      </c>
      <c r="J638" s="89">
        <v>141.226</v>
      </c>
      <c r="K638" s="87">
        <v>158.37021233239741</v>
      </c>
      <c r="L638" s="87">
        <v>172</v>
      </c>
      <c r="M638" s="89"/>
      <c r="N638" s="89"/>
      <c r="O638" s="87" t="s">
        <v>180</v>
      </c>
      <c r="P638" s="87" t="s">
        <v>190</v>
      </c>
      <c r="Q638" s="229" t="s">
        <v>198</v>
      </c>
      <c r="R638" s="87" t="str">
        <f>VLOOKUP(E638,'PREMIUM TABLES'!$F$214:$G$219,2,FALSE)</f>
        <v>SECOND</v>
      </c>
      <c r="S638" s="87" t="str" cm="1">
        <f t="array" ref="S638">IF(AND(L638&gt;0,L638&lt;90),"A",IF(AND(L638&gt;90,L638&lt;123),"B",IF(AND(L638&gt;122,L638&lt;159),"C",IF(AND(L638&gt;159,L638&lt;185),"D",IF(AND(L638&gt;185,L638&lt;230),"E",IF(AND(L638&gt;230,L638&lt;350),"F",NONE))))))</f>
        <v>D</v>
      </c>
      <c r="T638" s="230">
        <f>VLOOKUP(O638,'PREMIUM TABLES'!$G$165:$H$172,2,FALSE)</f>
        <v>0.13</v>
      </c>
      <c r="U638" s="230">
        <f>VLOOKUP(P638,'PREMIUM TABLES'!$G$208:$H$209,2,FALSE)</f>
        <v>2.5000000000000001E-2</v>
      </c>
      <c r="V638" s="230">
        <f>VLOOKUP(Q638,'PREMIUM TABLES'!$G$175:$H$195,2,FALSE)</f>
        <v>0.15</v>
      </c>
      <c r="W638" s="230">
        <f>VLOOKUP(R638,'PREMIUM TABLES'!$G$214:$H$219,2,FALSE)</f>
        <v>0.11</v>
      </c>
      <c r="X638" s="230">
        <f>VLOOKUP(S638,'PREMIUM TABLES'!$F$199:$H$205,3,FALSE)</f>
        <v>2.5000000000000001E-2</v>
      </c>
      <c r="Y638" s="231">
        <f t="shared" si="94"/>
        <v>0.44</v>
      </c>
      <c r="Z638" s="231" t="str" cm="1">
        <f t="array" ref="Z638">IF(AND(Y638&gt;0,Y638&lt;0.5),"C",IF(AND(Y638&gt;=0.5,Y638&lt;0.73),"B",IF(AND(Y638&gt;=0.73,Y638&lt;0.98),"A",NONE)))</f>
        <v>C</v>
      </c>
      <c r="AA638" s="231" t="str">
        <f>VLOOKUP(G638,'ALL (R)'!$N$5:$R$862,5,FALSE)</f>
        <v>R 8</v>
      </c>
      <c r="AB638" s="232">
        <f>VLOOKUP(AA638,FACTS!$B$2:$L$14,10,FALSE)</f>
        <v>51850</v>
      </c>
      <c r="AC638" s="232">
        <f>VLOOKUP(AA638,FACTS!$B$2:$L$14,11,FALSE)</f>
        <v>57950</v>
      </c>
      <c r="AD638" s="232">
        <f>VLOOKUP(AA638,FACTS!$B$2:$N$14,13,FALSE)</f>
        <v>6100</v>
      </c>
      <c r="AE638" s="232">
        <f t="shared" si="95"/>
        <v>2684</v>
      </c>
      <c r="AF638" s="232">
        <f t="shared" si="96"/>
        <v>54534</v>
      </c>
      <c r="AG638" s="232">
        <f>AF638*FACTS!$T$2</f>
        <v>17996.22</v>
      </c>
      <c r="AH638" s="232">
        <f>Table1[[#This Row],[UNIT (BUILDING) RATE (SEMI FINISHED)]]+4500</f>
        <v>59034</v>
      </c>
      <c r="AI638" s="232">
        <f>Table1[[#This Row],[UNIT (BUILDING) RATE (SEMI FINISHED)]]+7500</f>
        <v>62034</v>
      </c>
      <c r="AJ638" s="232">
        <f t="shared" si="97"/>
        <v>9379848</v>
      </c>
      <c r="AK638" s="232">
        <f>Table1[[#This Row],[UNIT (BUILDING) RATE (BASIC FINISH)]]*Table1[[#This Row],[Unit Selling Area]]</f>
        <v>10153848</v>
      </c>
      <c r="AL638" s="232">
        <f>Table1[[#This Row],[UNIT (BUILDING) RATE (FULLY FINISH)]]*Table1[[#This Row],[Unit Selling Area]]</f>
        <v>10669848</v>
      </c>
      <c r="AM638" s="232">
        <f t="shared" si="98"/>
        <v>0</v>
      </c>
      <c r="AN638" s="232">
        <f>(AM638+AJ638)*FACTS!$S$2</f>
        <v>797287.08000000007</v>
      </c>
      <c r="AO638" s="101">
        <f>VLOOKUP(S638,FACTS!$A$17:$C$23,3,FALSE)</f>
        <v>2</v>
      </c>
      <c r="AP638" s="232">
        <f>VLOOKUP(AA638,FACTS!$B$2:$J$14,9,FALSE)</f>
        <v>244000</v>
      </c>
      <c r="AQ638" s="232">
        <f>Table1[[#This Row],[PARKING VALUE]]*1</f>
        <v>244000</v>
      </c>
      <c r="AR638" s="232">
        <f t="shared" si="93"/>
        <v>9623848</v>
      </c>
      <c r="AS638" s="440">
        <f>Table1[[#This Row],[TOTAL CARS VALUE]]+Table1[[#This Row],[UNIT (BUILDING) VALUE BASIC FINISHED]]+Table1[[#This Row],[UNIT (GARDEN) VALUE]]</f>
        <v>10397848</v>
      </c>
      <c r="AT638" s="232">
        <f>Table1[[#This Row],[TOTAL CARS VALUE]]+Table1[[#This Row],[UNIT (GARDEN) VALUE]]+Table1[[#This Row],[UNIT (BUILDING) VALUE FULLY FINISHED]]</f>
        <v>10913848</v>
      </c>
      <c r="AU638" s="233">
        <f>VLOOKUP(I638,'C PHASES'!$I$108:$J$110,2,FALSE)</f>
        <v>46204</v>
      </c>
      <c r="AV638" s="233">
        <f>VLOOKUP(AA638,'C PHASES'!$I$113:$J$125,2,FALSE)</f>
        <v>45839</v>
      </c>
    </row>
    <row r="639" spans="1:48" x14ac:dyDescent="0.25">
      <c r="A639" s="236"/>
      <c r="B639" s="227" t="str">
        <f t="shared" si="102"/>
        <v>C</v>
      </c>
      <c r="C639" s="227" t="s">
        <v>87</v>
      </c>
      <c r="D639" s="227" t="s">
        <v>1147</v>
      </c>
      <c r="E639" s="228">
        <v>3</v>
      </c>
      <c r="F639" s="101">
        <v>1</v>
      </c>
      <c r="G639" s="87" t="str">
        <f t="shared" si="101"/>
        <v>C531</v>
      </c>
      <c r="H639" s="87" t="s">
        <v>1294</v>
      </c>
      <c r="I639" s="89" t="str">
        <f>VLOOKUP(C639,'PREMIUM TABLES'!$G$107:$H$149,2,FALSE)</f>
        <v>C2</v>
      </c>
      <c r="J639" s="89">
        <v>141.48599999999999</v>
      </c>
      <c r="K639" s="87">
        <v>158.66177518347598</v>
      </c>
      <c r="L639" s="87">
        <v>173</v>
      </c>
      <c r="M639" s="89"/>
      <c r="N639" s="89"/>
      <c r="O639" s="87" t="s">
        <v>180</v>
      </c>
      <c r="P639" s="87" t="s">
        <v>190</v>
      </c>
      <c r="Q639" s="229" t="s">
        <v>198</v>
      </c>
      <c r="R639" s="87" t="str">
        <f>VLOOKUP(E639,'PREMIUM TABLES'!$F$214:$G$219,2,FALSE)</f>
        <v>THIRD</v>
      </c>
      <c r="S639" s="87" t="str" cm="1">
        <f t="array" ref="S639">IF(AND(L639&gt;0,L639&lt;90),"A",IF(AND(L639&gt;90,L639&lt;123),"B",IF(AND(L639&gt;122,L639&lt;159),"C",IF(AND(L639&gt;159,L639&lt;185),"D",IF(AND(L639&gt;185,L639&lt;230),"E",IF(AND(L639&gt;230,L639&lt;350),"F",NONE))))))</f>
        <v>D</v>
      </c>
      <c r="T639" s="230">
        <f>VLOOKUP(O639,'PREMIUM TABLES'!$G$165:$H$172,2,FALSE)</f>
        <v>0.13</v>
      </c>
      <c r="U639" s="230">
        <f>VLOOKUP(P639,'PREMIUM TABLES'!$G$208:$H$209,2,FALSE)</f>
        <v>2.5000000000000001E-2</v>
      </c>
      <c r="V639" s="230">
        <f>VLOOKUP(Q639,'PREMIUM TABLES'!$G$175:$H$195,2,FALSE)</f>
        <v>0.15</v>
      </c>
      <c r="W639" s="230">
        <f>VLOOKUP(R639,'PREMIUM TABLES'!$G$214:$H$219,2,FALSE)</f>
        <v>0.15</v>
      </c>
      <c r="X639" s="230">
        <f>VLOOKUP(S639,'PREMIUM TABLES'!$F$199:$H$205,3,FALSE)</f>
        <v>2.5000000000000001E-2</v>
      </c>
      <c r="Y639" s="231">
        <f t="shared" si="94"/>
        <v>0.48</v>
      </c>
      <c r="Z639" s="231" t="str" cm="1">
        <f t="array" ref="Z639">IF(AND(Y639&gt;0,Y639&lt;0.5),"C",IF(AND(Y639&gt;=0.5,Y639&lt;0.73),"B",IF(AND(Y639&gt;=0.73,Y639&lt;0.98),"A",NONE)))</f>
        <v>C</v>
      </c>
      <c r="AA639" s="231" t="str">
        <f>VLOOKUP(G639,'ALL (R)'!$N$5:$R$862,5,FALSE)</f>
        <v>R 12</v>
      </c>
      <c r="AB639" s="232">
        <f>VLOOKUP(AA639,FACTS!$B$2:$L$14,10,FALSE)</f>
        <v>61625</v>
      </c>
      <c r="AC639" s="232">
        <f>VLOOKUP(AA639,FACTS!$B$2:$L$14,11,FALSE)</f>
        <v>68875</v>
      </c>
      <c r="AD639" s="232">
        <f>VLOOKUP(AA639,FACTS!$B$2:$N$14,13,FALSE)</f>
        <v>7250</v>
      </c>
      <c r="AE639" s="232">
        <f t="shared" si="95"/>
        <v>3480</v>
      </c>
      <c r="AF639" s="232">
        <f t="shared" si="96"/>
        <v>65105</v>
      </c>
      <c r="AG639" s="232">
        <f>AF639*FACTS!$T$2</f>
        <v>21484.65</v>
      </c>
      <c r="AH639" s="232">
        <f>Table1[[#This Row],[UNIT (BUILDING) RATE (SEMI FINISHED)]]+4500</f>
        <v>69605</v>
      </c>
      <c r="AI639" s="232">
        <f>Table1[[#This Row],[UNIT (BUILDING) RATE (SEMI FINISHED)]]+7500</f>
        <v>72605</v>
      </c>
      <c r="AJ639" s="232">
        <f t="shared" si="97"/>
        <v>11263165</v>
      </c>
      <c r="AK639" s="232">
        <f>Table1[[#This Row],[UNIT (BUILDING) RATE (BASIC FINISH)]]*Table1[[#This Row],[Unit Selling Area]]</f>
        <v>12041665</v>
      </c>
      <c r="AL639" s="232">
        <f>Table1[[#This Row],[UNIT (BUILDING) RATE (FULLY FINISH)]]*Table1[[#This Row],[Unit Selling Area]]</f>
        <v>12560665</v>
      </c>
      <c r="AM639" s="232">
        <f t="shared" si="98"/>
        <v>0</v>
      </c>
      <c r="AN639" s="232">
        <f>(AM639+AJ639)*FACTS!$S$2</f>
        <v>957369.02500000002</v>
      </c>
      <c r="AO639" s="101">
        <f>VLOOKUP(S639,FACTS!$A$17:$C$23,3,FALSE)</f>
        <v>2</v>
      </c>
      <c r="AP639" s="232">
        <f>VLOOKUP(AA639,FACTS!$B$2:$J$14,9,FALSE)</f>
        <v>290000</v>
      </c>
      <c r="AQ639" s="232">
        <f>Table1[[#This Row],[PARKING VALUE]]*1</f>
        <v>290000</v>
      </c>
      <c r="AR639" s="232">
        <f t="shared" si="93"/>
        <v>11553165</v>
      </c>
      <c r="AS639" s="440">
        <f>Table1[[#This Row],[TOTAL CARS VALUE]]+Table1[[#This Row],[UNIT (BUILDING) VALUE BASIC FINISHED]]+Table1[[#This Row],[UNIT (GARDEN) VALUE]]</f>
        <v>12331665</v>
      </c>
      <c r="AT639" s="232">
        <f>Table1[[#This Row],[TOTAL CARS VALUE]]+Table1[[#This Row],[UNIT (GARDEN) VALUE]]+Table1[[#This Row],[UNIT (BUILDING) VALUE FULLY FINISHED]]</f>
        <v>12850665</v>
      </c>
      <c r="AU639" s="233">
        <f>VLOOKUP(I639,'C PHASES'!$I$108:$J$110,2,FALSE)</f>
        <v>46204</v>
      </c>
      <c r="AV639" s="233">
        <f>VLOOKUP(AA639,'C PHASES'!$I$113:$J$125,2,FALSE)</f>
        <v>46204</v>
      </c>
    </row>
    <row r="640" spans="1:48" x14ac:dyDescent="0.25">
      <c r="A640" s="236"/>
      <c r="B640" s="227" t="str">
        <f t="shared" si="102"/>
        <v>C</v>
      </c>
      <c r="C640" s="227" t="s">
        <v>87</v>
      </c>
      <c r="D640" s="227" t="s">
        <v>1147</v>
      </c>
      <c r="E640" s="228">
        <v>3</v>
      </c>
      <c r="F640" s="101">
        <v>2</v>
      </c>
      <c r="G640" s="87" t="str">
        <f t="shared" si="101"/>
        <v>C532</v>
      </c>
      <c r="H640" s="87" t="s">
        <v>1294</v>
      </c>
      <c r="I640" s="89" t="str">
        <f>VLOOKUP(C640,'PREMIUM TABLES'!$G$107:$H$149,2,FALSE)</f>
        <v>C2</v>
      </c>
      <c r="J640" s="89">
        <v>142.25399999999999</v>
      </c>
      <c r="K640" s="87">
        <v>159.52300698973886</v>
      </c>
      <c r="L640" s="87">
        <v>174</v>
      </c>
      <c r="M640" s="89"/>
      <c r="N640" s="89"/>
      <c r="O640" s="87" t="s">
        <v>187</v>
      </c>
      <c r="P640" s="87" t="s">
        <v>190</v>
      </c>
      <c r="Q640" s="229" t="s">
        <v>192</v>
      </c>
      <c r="R640" s="87" t="str">
        <f>VLOOKUP(E640,'PREMIUM TABLES'!$F$214:$G$219,2,FALSE)</f>
        <v>THIRD</v>
      </c>
      <c r="S640" s="87" t="str" cm="1">
        <f t="array" ref="S640">IF(AND(L640&gt;0,L640&lt;90),"A",IF(AND(L640&gt;90,L640&lt;123),"B",IF(AND(L640&gt;122,L640&lt;159),"C",IF(AND(L640&gt;159,L640&lt;185),"D",IF(AND(L640&gt;185,L640&lt;230),"E",IF(AND(L640&gt;230,L640&lt;350),"F",NONE))))))</f>
        <v>D</v>
      </c>
      <c r="T640" s="230">
        <f>VLOOKUP(O640,'PREMIUM TABLES'!$G$165:$H$172,2,FALSE)</f>
        <v>0.08</v>
      </c>
      <c r="U640" s="230">
        <f>VLOOKUP(P640,'PREMIUM TABLES'!$G$208:$H$209,2,FALSE)</f>
        <v>2.5000000000000001E-2</v>
      </c>
      <c r="V640" s="230">
        <f>VLOOKUP(Q640,'PREMIUM TABLES'!$G$175:$H$195,2,FALSE)</f>
        <v>0.46</v>
      </c>
      <c r="W640" s="230">
        <f>VLOOKUP(R640,'PREMIUM TABLES'!$G$214:$H$219,2,FALSE)</f>
        <v>0.15</v>
      </c>
      <c r="X640" s="230">
        <f>VLOOKUP(S640,'PREMIUM TABLES'!$F$199:$H$205,3,FALSE)</f>
        <v>2.5000000000000001E-2</v>
      </c>
      <c r="Y640" s="231">
        <f t="shared" si="94"/>
        <v>0.7400000000000001</v>
      </c>
      <c r="Z640" s="231" t="str" cm="1">
        <f t="array" ref="Z640">IF(AND(Y640&gt;0,Y640&lt;0.5),"C",IF(AND(Y640&gt;=0.5,Y640&lt;0.73),"B",IF(AND(Y640&gt;=0.73,Y640&lt;0.98),"A",NONE)))</f>
        <v>A</v>
      </c>
      <c r="AA640" s="231" t="str">
        <f>VLOOKUP(G640,'ALL (R)'!$N$5:$R$862,5,FALSE)</f>
        <v>R 1</v>
      </c>
      <c r="AB640" s="232">
        <f>VLOOKUP(AA640,FACTS!$B$2:$L$14,10,FALSE)</f>
        <v>42500</v>
      </c>
      <c r="AC640" s="232">
        <f>VLOOKUP(AA640,FACTS!$B$2:$L$14,11,FALSE)</f>
        <v>47500</v>
      </c>
      <c r="AD640" s="232">
        <f>VLOOKUP(AA640,FACTS!$B$2:$N$14,13,FALSE)</f>
        <v>5000</v>
      </c>
      <c r="AE640" s="232">
        <f t="shared" si="95"/>
        <v>3700.0000000000005</v>
      </c>
      <c r="AF640" s="232">
        <f t="shared" si="96"/>
        <v>46200</v>
      </c>
      <c r="AG640" s="232">
        <f>AF640*FACTS!$T$2</f>
        <v>15246</v>
      </c>
      <c r="AH640" s="232">
        <f>Table1[[#This Row],[UNIT (BUILDING) RATE (SEMI FINISHED)]]+4500</f>
        <v>50700</v>
      </c>
      <c r="AI640" s="232">
        <f>Table1[[#This Row],[UNIT (BUILDING) RATE (SEMI FINISHED)]]+7500</f>
        <v>53700</v>
      </c>
      <c r="AJ640" s="232">
        <f t="shared" si="97"/>
        <v>8038800</v>
      </c>
      <c r="AK640" s="232">
        <f>Table1[[#This Row],[UNIT (BUILDING) RATE (BASIC FINISH)]]*Table1[[#This Row],[Unit Selling Area]]</f>
        <v>8821800</v>
      </c>
      <c r="AL640" s="232">
        <f>Table1[[#This Row],[UNIT (BUILDING) RATE (FULLY FINISH)]]*Table1[[#This Row],[Unit Selling Area]]</f>
        <v>9343800</v>
      </c>
      <c r="AM640" s="232">
        <f t="shared" si="98"/>
        <v>0</v>
      </c>
      <c r="AN640" s="232">
        <f>(AM640+AJ640)*FACTS!$S$2</f>
        <v>683298</v>
      </c>
      <c r="AO640" s="101">
        <f>VLOOKUP(S640,FACTS!$A$17:$C$23,3,FALSE)</f>
        <v>2</v>
      </c>
      <c r="AP640" s="232">
        <f>VLOOKUP(AA640,FACTS!$B$2:$J$14,9,FALSE)</f>
        <v>200000</v>
      </c>
      <c r="AQ640" s="232">
        <f>Table1[[#This Row],[PARKING VALUE]]*1</f>
        <v>200000</v>
      </c>
      <c r="AR640" s="232">
        <f t="shared" si="93"/>
        <v>8238800</v>
      </c>
      <c r="AS640" s="440">
        <f>Table1[[#This Row],[TOTAL CARS VALUE]]+Table1[[#This Row],[UNIT (BUILDING) VALUE BASIC FINISHED]]+Table1[[#This Row],[UNIT (GARDEN) VALUE]]</f>
        <v>9021800</v>
      </c>
      <c r="AT640" s="232">
        <f>Table1[[#This Row],[TOTAL CARS VALUE]]+Table1[[#This Row],[UNIT (GARDEN) VALUE]]+Table1[[#This Row],[UNIT (BUILDING) VALUE FULLY FINISHED]]</f>
        <v>9543800</v>
      </c>
      <c r="AU640" s="233">
        <f>VLOOKUP(I640,'C PHASES'!$I$108:$J$110,2,FALSE)</f>
        <v>46204</v>
      </c>
      <c r="AV640" s="233">
        <f>VLOOKUP(AA640,'C PHASES'!$I$113:$J$125,2,FALSE)</f>
        <v>45170</v>
      </c>
    </row>
    <row r="641" spans="1:48" x14ac:dyDescent="0.25">
      <c r="A641" s="236"/>
      <c r="B641" s="227" t="str">
        <f t="shared" si="102"/>
        <v>C</v>
      </c>
      <c r="C641" s="227" t="s">
        <v>87</v>
      </c>
      <c r="D641" s="227" t="s">
        <v>1147</v>
      </c>
      <c r="E641" s="228">
        <v>3</v>
      </c>
      <c r="F641" s="101">
        <v>3</v>
      </c>
      <c r="G641" s="87" t="str">
        <f t="shared" si="101"/>
        <v>C533</v>
      </c>
      <c r="H641" s="87" t="s">
        <v>1294</v>
      </c>
      <c r="I641" s="89" t="str">
        <f>VLOOKUP(C641,'PREMIUM TABLES'!$G$107:$H$149,2,FALSE)</f>
        <v>C2</v>
      </c>
      <c r="J641" s="89">
        <v>142.37799999999999</v>
      </c>
      <c r="K641" s="87">
        <v>159.6620600417917</v>
      </c>
      <c r="L641" s="87">
        <v>174</v>
      </c>
      <c r="M641" s="89"/>
      <c r="N641" s="89"/>
      <c r="O641" s="87" t="s">
        <v>187</v>
      </c>
      <c r="P641" s="87" t="s">
        <v>190</v>
      </c>
      <c r="Q641" s="229" t="s">
        <v>192</v>
      </c>
      <c r="R641" s="87" t="str">
        <f>VLOOKUP(E641,'PREMIUM TABLES'!$F$214:$G$219,2,FALSE)</f>
        <v>THIRD</v>
      </c>
      <c r="S641" s="87" t="str" cm="1">
        <f t="array" ref="S641">IF(AND(L641&gt;0,L641&lt;90),"A",IF(AND(L641&gt;90,L641&lt;123),"B",IF(AND(L641&gt;122,L641&lt;159),"C",IF(AND(L641&gt;159,L641&lt;185),"D",IF(AND(L641&gt;185,L641&lt;230),"E",IF(AND(L641&gt;230,L641&lt;350),"F",NONE))))))</f>
        <v>D</v>
      </c>
      <c r="T641" s="230">
        <f>VLOOKUP(O641,'PREMIUM TABLES'!$G$165:$H$172,2,FALSE)</f>
        <v>0.08</v>
      </c>
      <c r="U641" s="230">
        <f>VLOOKUP(P641,'PREMIUM TABLES'!$G$208:$H$209,2,FALSE)</f>
        <v>2.5000000000000001E-2</v>
      </c>
      <c r="V641" s="230">
        <f>VLOOKUP(Q641,'PREMIUM TABLES'!$G$175:$H$195,2,FALSE)</f>
        <v>0.46</v>
      </c>
      <c r="W641" s="230">
        <f>VLOOKUP(R641,'PREMIUM TABLES'!$G$214:$H$219,2,FALSE)</f>
        <v>0.15</v>
      </c>
      <c r="X641" s="230">
        <f>VLOOKUP(S641,'PREMIUM TABLES'!$F$199:$H$205,3,FALSE)</f>
        <v>2.5000000000000001E-2</v>
      </c>
      <c r="Y641" s="231">
        <f t="shared" si="94"/>
        <v>0.7400000000000001</v>
      </c>
      <c r="Z641" s="231" t="str" cm="1">
        <f t="array" ref="Z641">IF(AND(Y641&gt;0,Y641&lt;0.5),"C",IF(AND(Y641&gt;=0.5,Y641&lt;0.73),"B",IF(AND(Y641&gt;=0.73,Y641&lt;0.98),"A",NONE)))</f>
        <v>A</v>
      </c>
      <c r="AA641" s="231" t="str">
        <f>VLOOKUP(G641,'ALL (R)'!$N$5:$R$862,5,FALSE)</f>
        <v>R 1</v>
      </c>
      <c r="AB641" s="232">
        <f>VLOOKUP(AA641,FACTS!$B$2:$L$14,10,FALSE)</f>
        <v>42500</v>
      </c>
      <c r="AC641" s="232">
        <f>VLOOKUP(AA641,FACTS!$B$2:$L$14,11,FALSE)</f>
        <v>47500</v>
      </c>
      <c r="AD641" s="232">
        <f>VLOOKUP(AA641,FACTS!$B$2:$N$14,13,FALSE)</f>
        <v>5000</v>
      </c>
      <c r="AE641" s="232">
        <f t="shared" si="95"/>
        <v>3700.0000000000005</v>
      </c>
      <c r="AF641" s="232">
        <f t="shared" si="96"/>
        <v>46200</v>
      </c>
      <c r="AG641" s="232">
        <f>AF641*FACTS!$T$2</f>
        <v>15246</v>
      </c>
      <c r="AH641" s="232">
        <f>Table1[[#This Row],[UNIT (BUILDING) RATE (SEMI FINISHED)]]+4500</f>
        <v>50700</v>
      </c>
      <c r="AI641" s="232">
        <f>Table1[[#This Row],[UNIT (BUILDING) RATE (SEMI FINISHED)]]+7500</f>
        <v>53700</v>
      </c>
      <c r="AJ641" s="232">
        <f t="shared" si="97"/>
        <v>8038800</v>
      </c>
      <c r="AK641" s="232">
        <f>Table1[[#This Row],[UNIT (BUILDING) RATE (BASIC FINISH)]]*Table1[[#This Row],[Unit Selling Area]]</f>
        <v>8821800</v>
      </c>
      <c r="AL641" s="232">
        <f>Table1[[#This Row],[UNIT (BUILDING) RATE (FULLY FINISH)]]*Table1[[#This Row],[Unit Selling Area]]</f>
        <v>9343800</v>
      </c>
      <c r="AM641" s="232">
        <f t="shared" si="98"/>
        <v>0</v>
      </c>
      <c r="AN641" s="232">
        <f>(AM641+AJ641)*FACTS!$S$2</f>
        <v>683298</v>
      </c>
      <c r="AO641" s="101">
        <f>VLOOKUP(S641,FACTS!$A$17:$C$23,3,FALSE)</f>
        <v>2</v>
      </c>
      <c r="AP641" s="232">
        <f>VLOOKUP(AA641,FACTS!$B$2:$J$14,9,FALSE)</f>
        <v>200000</v>
      </c>
      <c r="AQ641" s="232">
        <f>Table1[[#This Row],[PARKING VALUE]]*1</f>
        <v>200000</v>
      </c>
      <c r="AR641" s="232">
        <f t="shared" si="93"/>
        <v>8238800</v>
      </c>
      <c r="AS641" s="440">
        <f>Table1[[#This Row],[TOTAL CARS VALUE]]+Table1[[#This Row],[UNIT (BUILDING) VALUE BASIC FINISHED]]+Table1[[#This Row],[UNIT (GARDEN) VALUE]]</f>
        <v>9021800</v>
      </c>
      <c r="AT641" s="232">
        <f>Table1[[#This Row],[TOTAL CARS VALUE]]+Table1[[#This Row],[UNIT (GARDEN) VALUE]]+Table1[[#This Row],[UNIT (BUILDING) VALUE FULLY FINISHED]]</f>
        <v>9543800</v>
      </c>
      <c r="AU641" s="233">
        <f>VLOOKUP(I641,'C PHASES'!$I$108:$J$110,2,FALSE)</f>
        <v>46204</v>
      </c>
      <c r="AV641" s="233">
        <f>VLOOKUP(AA641,'C PHASES'!$I$113:$J$125,2,FALSE)</f>
        <v>45170</v>
      </c>
    </row>
    <row r="642" spans="1:48" x14ac:dyDescent="0.25">
      <c r="A642" s="236"/>
      <c r="B642" s="227" t="str">
        <f t="shared" si="102"/>
        <v>C</v>
      </c>
      <c r="C642" s="227" t="s">
        <v>87</v>
      </c>
      <c r="D642" s="227" t="s">
        <v>1147</v>
      </c>
      <c r="E642" s="228">
        <v>3</v>
      </c>
      <c r="F642" s="101">
        <v>4</v>
      </c>
      <c r="G642" s="87" t="str">
        <f t="shared" si="101"/>
        <v>C534</v>
      </c>
      <c r="H642" s="87" t="s">
        <v>1294</v>
      </c>
      <c r="I642" s="89" t="str">
        <f>VLOOKUP(C642,'PREMIUM TABLES'!$G$107:$H$149,2,FALSE)</f>
        <v>C2</v>
      </c>
      <c r="J642" s="89">
        <v>141.52600000000001</v>
      </c>
      <c r="K642" s="87">
        <v>158.70663100671885</v>
      </c>
      <c r="L642" s="87">
        <v>173</v>
      </c>
      <c r="M642" s="89"/>
      <c r="N642" s="89"/>
      <c r="O642" s="87" t="s">
        <v>180</v>
      </c>
      <c r="P642" s="87" t="s">
        <v>190</v>
      </c>
      <c r="Q642" s="229" t="s">
        <v>198</v>
      </c>
      <c r="R642" s="87" t="str">
        <f>VLOOKUP(E642,'PREMIUM TABLES'!$F$214:$G$219,2,FALSE)</f>
        <v>THIRD</v>
      </c>
      <c r="S642" s="87" t="str" cm="1">
        <f t="array" ref="S642">IF(AND(L642&gt;0,L642&lt;90),"A",IF(AND(L642&gt;90,L642&lt;123),"B",IF(AND(L642&gt;122,L642&lt;159),"C",IF(AND(L642&gt;159,L642&lt;185),"D",IF(AND(L642&gt;185,L642&lt;230),"E",IF(AND(L642&gt;230,L642&lt;350),"F",NONE))))))</f>
        <v>D</v>
      </c>
      <c r="T642" s="230">
        <f>VLOOKUP(O642,'PREMIUM TABLES'!$G$165:$H$172,2,FALSE)</f>
        <v>0.13</v>
      </c>
      <c r="U642" s="230">
        <f>VLOOKUP(P642,'PREMIUM TABLES'!$G$208:$H$209,2,FALSE)</f>
        <v>2.5000000000000001E-2</v>
      </c>
      <c r="V642" s="230">
        <f>VLOOKUP(Q642,'PREMIUM TABLES'!$G$175:$H$195,2,FALSE)</f>
        <v>0.15</v>
      </c>
      <c r="W642" s="230">
        <f>VLOOKUP(R642,'PREMIUM TABLES'!$G$214:$H$219,2,FALSE)</f>
        <v>0.15</v>
      </c>
      <c r="X642" s="230">
        <f>VLOOKUP(S642,'PREMIUM TABLES'!$F$199:$H$205,3,FALSE)</f>
        <v>2.5000000000000001E-2</v>
      </c>
      <c r="Y642" s="231">
        <f t="shared" si="94"/>
        <v>0.48</v>
      </c>
      <c r="Z642" s="231" t="str" cm="1">
        <f t="array" ref="Z642">IF(AND(Y642&gt;0,Y642&lt;0.5),"C",IF(AND(Y642&gt;=0.5,Y642&lt;0.73),"B",IF(AND(Y642&gt;=0.73,Y642&lt;0.98),"A",NONE)))</f>
        <v>C</v>
      </c>
      <c r="AA642" s="231" t="str">
        <f>VLOOKUP(G642,'ALL (R)'!$N$5:$R$862,5,FALSE)</f>
        <v>R 12</v>
      </c>
      <c r="AB642" s="232">
        <f>VLOOKUP(AA642,FACTS!$B$2:$L$14,10,FALSE)</f>
        <v>61625</v>
      </c>
      <c r="AC642" s="232">
        <f>VLOOKUP(AA642,FACTS!$B$2:$L$14,11,FALSE)</f>
        <v>68875</v>
      </c>
      <c r="AD642" s="232">
        <f>VLOOKUP(AA642,FACTS!$B$2:$N$14,13,FALSE)</f>
        <v>7250</v>
      </c>
      <c r="AE642" s="232">
        <f t="shared" si="95"/>
        <v>3480</v>
      </c>
      <c r="AF642" s="232">
        <f t="shared" si="96"/>
        <v>65105</v>
      </c>
      <c r="AG642" s="232">
        <f>AF642*FACTS!$T$2</f>
        <v>21484.65</v>
      </c>
      <c r="AH642" s="232">
        <f>Table1[[#This Row],[UNIT (BUILDING) RATE (SEMI FINISHED)]]+4500</f>
        <v>69605</v>
      </c>
      <c r="AI642" s="232">
        <f>Table1[[#This Row],[UNIT (BUILDING) RATE (SEMI FINISHED)]]+7500</f>
        <v>72605</v>
      </c>
      <c r="AJ642" s="232">
        <f t="shared" si="97"/>
        <v>11263165</v>
      </c>
      <c r="AK642" s="232">
        <f>Table1[[#This Row],[UNIT (BUILDING) RATE (BASIC FINISH)]]*Table1[[#This Row],[Unit Selling Area]]</f>
        <v>12041665</v>
      </c>
      <c r="AL642" s="232">
        <f>Table1[[#This Row],[UNIT (BUILDING) RATE (FULLY FINISH)]]*Table1[[#This Row],[Unit Selling Area]]</f>
        <v>12560665</v>
      </c>
      <c r="AM642" s="232">
        <f t="shared" si="98"/>
        <v>0</v>
      </c>
      <c r="AN642" s="232">
        <f>(AM642+AJ642)*FACTS!$S$2</f>
        <v>957369.02500000002</v>
      </c>
      <c r="AO642" s="101">
        <f>VLOOKUP(S642,FACTS!$A$17:$C$23,3,FALSE)</f>
        <v>2</v>
      </c>
      <c r="AP642" s="232">
        <f>VLOOKUP(AA642,FACTS!$B$2:$J$14,9,FALSE)</f>
        <v>290000</v>
      </c>
      <c r="AQ642" s="232">
        <f>Table1[[#This Row],[PARKING VALUE]]*1</f>
        <v>290000</v>
      </c>
      <c r="AR642" s="232">
        <f t="shared" si="93"/>
        <v>11553165</v>
      </c>
      <c r="AS642" s="440">
        <f>Table1[[#This Row],[TOTAL CARS VALUE]]+Table1[[#This Row],[UNIT (BUILDING) VALUE BASIC FINISHED]]+Table1[[#This Row],[UNIT (GARDEN) VALUE]]</f>
        <v>12331665</v>
      </c>
      <c r="AT642" s="232">
        <f>Table1[[#This Row],[TOTAL CARS VALUE]]+Table1[[#This Row],[UNIT (GARDEN) VALUE]]+Table1[[#This Row],[UNIT (BUILDING) VALUE FULLY FINISHED]]</f>
        <v>12850665</v>
      </c>
      <c r="AU642" s="233">
        <f>VLOOKUP(I642,'C PHASES'!$I$108:$J$110,2,FALSE)</f>
        <v>46204</v>
      </c>
      <c r="AV642" s="233">
        <f>VLOOKUP(AA642,'C PHASES'!$I$113:$J$125,2,FALSE)</f>
        <v>46204</v>
      </c>
    </row>
    <row r="643" spans="1:48" x14ac:dyDescent="0.25">
      <c r="A643" s="236"/>
      <c r="B643" s="227" t="str">
        <f t="shared" si="102"/>
        <v>C</v>
      </c>
      <c r="C643" s="227" t="s">
        <v>87</v>
      </c>
      <c r="D643" s="227" t="s">
        <v>1147</v>
      </c>
      <c r="E643" s="228">
        <v>4</v>
      </c>
      <c r="F643" s="101">
        <v>1</v>
      </c>
      <c r="G643" s="87" t="str">
        <f t="shared" si="101"/>
        <v>C541</v>
      </c>
      <c r="H643" s="87" t="s">
        <v>1294</v>
      </c>
      <c r="I643" s="89" t="str">
        <f>VLOOKUP(C643,'PREMIUM TABLES'!$G$107:$H$149,2,FALSE)</f>
        <v>C2</v>
      </c>
      <c r="J643" s="89">
        <v>139.12</v>
      </c>
      <c r="K643" s="87">
        <v>156.00855323866094</v>
      </c>
      <c r="L643" s="87">
        <v>170</v>
      </c>
      <c r="M643" s="89"/>
      <c r="N643" s="89"/>
      <c r="O643" s="87" t="s">
        <v>180</v>
      </c>
      <c r="P643" s="87" t="s">
        <v>190</v>
      </c>
      <c r="Q643" s="229" t="s">
        <v>198</v>
      </c>
      <c r="R643" s="87" t="str">
        <f>VLOOKUP(E643,'PREMIUM TABLES'!$F$214:$G$219,2,FALSE)</f>
        <v>FORTH</v>
      </c>
      <c r="S643" s="87" t="str" cm="1">
        <f t="array" ref="S643">IF(AND(L643&gt;0,L643&lt;90),"A",IF(AND(L643&gt;90,L643&lt;123),"B",IF(AND(L643&gt;122,L643&lt;159),"C",IF(AND(L643&gt;159,L643&lt;185),"D",IF(AND(L643&gt;185,L643&lt;230),"E",IF(AND(L643&gt;230,L643&lt;350),"F",NONE))))))</f>
        <v>D</v>
      </c>
      <c r="T643" s="230">
        <f>VLOOKUP(O643,'PREMIUM TABLES'!$G$165:$H$172,2,FALSE)</f>
        <v>0.13</v>
      </c>
      <c r="U643" s="230">
        <f>VLOOKUP(P643,'PREMIUM TABLES'!$G$208:$H$209,2,FALSE)</f>
        <v>2.5000000000000001E-2</v>
      </c>
      <c r="V643" s="230">
        <f>VLOOKUP(Q643,'PREMIUM TABLES'!$G$175:$H$195,2,FALSE)</f>
        <v>0.15</v>
      </c>
      <c r="W643" s="230">
        <f>VLOOKUP(R643,'PREMIUM TABLES'!$G$214:$H$219,2,FALSE)</f>
        <v>0.06</v>
      </c>
      <c r="X643" s="230">
        <f>VLOOKUP(S643,'PREMIUM TABLES'!$F$199:$H$205,3,FALSE)</f>
        <v>2.5000000000000001E-2</v>
      </c>
      <c r="Y643" s="231">
        <f t="shared" si="94"/>
        <v>0.39</v>
      </c>
      <c r="Z643" s="231" t="str" cm="1">
        <f t="array" ref="Z643">IF(AND(Y643&gt;0,Y643&lt;0.5),"C",IF(AND(Y643&gt;=0.5,Y643&lt;0.73),"B",IF(AND(Y643&gt;=0.73,Y643&lt;0.98),"A",NONE)))</f>
        <v>C</v>
      </c>
      <c r="AA643" s="231" t="str">
        <f>VLOOKUP(G643,'ALL (R)'!$N$5:$R$862,5,FALSE)</f>
        <v>R 4</v>
      </c>
      <c r="AB643" s="232">
        <f>VLOOKUP(AA643,FACTS!$B$2:$L$14,10,FALSE)</f>
        <v>45687.5</v>
      </c>
      <c r="AC643" s="232">
        <f>VLOOKUP(AA643,FACTS!$B$2:$L$14,11,FALSE)</f>
        <v>51062.5</v>
      </c>
      <c r="AD643" s="232">
        <f>VLOOKUP(AA643,FACTS!$B$2:$N$14,13,FALSE)</f>
        <v>5375</v>
      </c>
      <c r="AE643" s="232">
        <f t="shared" si="95"/>
        <v>2096.25</v>
      </c>
      <c r="AF643" s="232">
        <f t="shared" si="96"/>
        <v>47783.75</v>
      </c>
      <c r="AG643" s="232">
        <f>AF643*FACTS!$T$2</f>
        <v>15768.637500000001</v>
      </c>
      <c r="AH643" s="232">
        <f>Table1[[#This Row],[UNIT (BUILDING) RATE (SEMI FINISHED)]]+4500</f>
        <v>52283.75</v>
      </c>
      <c r="AI643" s="232">
        <f>Table1[[#This Row],[UNIT (BUILDING) RATE (SEMI FINISHED)]]+7500</f>
        <v>55283.75</v>
      </c>
      <c r="AJ643" s="232">
        <f t="shared" si="97"/>
        <v>8123237.5</v>
      </c>
      <c r="AK643" s="232">
        <f>Table1[[#This Row],[UNIT (BUILDING) RATE (BASIC FINISH)]]*Table1[[#This Row],[Unit Selling Area]]</f>
        <v>8888237.5</v>
      </c>
      <c r="AL643" s="232">
        <f>Table1[[#This Row],[UNIT (BUILDING) RATE (FULLY FINISH)]]*Table1[[#This Row],[Unit Selling Area]]</f>
        <v>9398237.5</v>
      </c>
      <c r="AM643" s="232">
        <f t="shared" si="98"/>
        <v>0</v>
      </c>
      <c r="AN643" s="232">
        <f>(AM643+AJ643)*FACTS!$S$2</f>
        <v>690475.1875</v>
      </c>
      <c r="AO643" s="101">
        <f>VLOOKUP(S643,FACTS!$A$17:$C$23,3,FALSE)</f>
        <v>2</v>
      </c>
      <c r="AP643" s="232">
        <f>VLOOKUP(AA643,FACTS!$B$2:$J$14,9,FALSE)</f>
        <v>215000</v>
      </c>
      <c r="AQ643" s="232">
        <f>Table1[[#This Row],[PARKING VALUE]]*1</f>
        <v>215000</v>
      </c>
      <c r="AR643" s="232">
        <f t="shared" si="93"/>
        <v>8338237.5</v>
      </c>
      <c r="AS643" s="440">
        <f>Table1[[#This Row],[TOTAL CARS VALUE]]+Table1[[#This Row],[UNIT (BUILDING) VALUE BASIC FINISHED]]+Table1[[#This Row],[UNIT (GARDEN) VALUE]]</f>
        <v>9103237.5</v>
      </c>
      <c r="AT643" s="232">
        <f>Table1[[#This Row],[TOTAL CARS VALUE]]+Table1[[#This Row],[UNIT (GARDEN) VALUE]]+Table1[[#This Row],[UNIT (BUILDING) VALUE FULLY FINISHED]]</f>
        <v>9613237.5</v>
      </c>
      <c r="AU643" s="233">
        <f>VLOOKUP(I643,'C PHASES'!$I$108:$J$110,2,FALSE)</f>
        <v>46204</v>
      </c>
      <c r="AV643" s="233">
        <f>VLOOKUP(AA643,'C PHASES'!$I$113:$J$125,2,FALSE)</f>
        <v>45474</v>
      </c>
    </row>
    <row r="644" spans="1:48" x14ac:dyDescent="0.25">
      <c r="A644" s="236"/>
      <c r="B644" s="227" t="str">
        <f t="shared" si="102"/>
        <v>C</v>
      </c>
      <c r="C644" s="227" t="s">
        <v>87</v>
      </c>
      <c r="D644" s="227" t="s">
        <v>1147</v>
      </c>
      <c r="E644" s="228">
        <v>4</v>
      </c>
      <c r="F644" s="101">
        <v>2</v>
      </c>
      <c r="G644" s="87" t="str">
        <f t="shared" si="101"/>
        <v>C542</v>
      </c>
      <c r="H644" s="87" t="s">
        <v>1294</v>
      </c>
      <c r="I644" s="89" t="str">
        <f>VLOOKUP(C644,'PREMIUM TABLES'!$G$107:$H$149,2,FALSE)</f>
        <v>C2</v>
      </c>
      <c r="J644" s="89">
        <v>141.53399999999999</v>
      </c>
      <c r="K644" s="87">
        <v>158.71560217136741</v>
      </c>
      <c r="L644" s="87">
        <v>173</v>
      </c>
      <c r="M644" s="89"/>
      <c r="N644" s="89"/>
      <c r="O644" s="87" t="s">
        <v>187</v>
      </c>
      <c r="P644" s="87" t="s">
        <v>190</v>
      </c>
      <c r="Q644" s="229" t="s">
        <v>192</v>
      </c>
      <c r="R644" s="87" t="str">
        <f>VLOOKUP(E644,'PREMIUM TABLES'!$F$214:$G$219,2,FALSE)</f>
        <v>FORTH</v>
      </c>
      <c r="S644" s="87" t="str" cm="1">
        <f t="array" ref="S644">IF(AND(L644&gt;0,L644&lt;90),"A",IF(AND(L644&gt;90,L644&lt;123),"B",IF(AND(L644&gt;122,L644&lt;159),"C",IF(AND(L644&gt;159,L644&lt;185),"D",IF(AND(L644&gt;185,L644&lt;230),"E",IF(AND(L644&gt;230,L644&lt;350),"F",NONE))))))</f>
        <v>D</v>
      </c>
      <c r="T644" s="230">
        <f>VLOOKUP(O644,'PREMIUM TABLES'!$G$165:$H$172,2,FALSE)</f>
        <v>0.08</v>
      </c>
      <c r="U644" s="230">
        <f>VLOOKUP(P644,'PREMIUM TABLES'!$G$208:$H$209,2,FALSE)</f>
        <v>2.5000000000000001E-2</v>
      </c>
      <c r="V644" s="230">
        <f>VLOOKUP(Q644,'PREMIUM TABLES'!$G$175:$H$195,2,FALSE)</f>
        <v>0.46</v>
      </c>
      <c r="W644" s="230">
        <f>VLOOKUP(R644,'PREMIUM TABLES'!$G$214:$H$219,2,FALSE)</f>
        <v>0.06</v>
      </c>
      <c r="X644" s="230">
        <f>VLOOKUP(S644,'PREMIUM TABLES'!$F$199:$H$205,3,FALSE)</f>
        <v>2.5000000000000001E-2</v>
      </c>
      <c r="Y644" s="231">
        <f t="shared" si="94"/>
        <v>0.65</v>
      </c>
      <c r="Z644" s="231" t="str" cm="1">
        <f t="array" ref="Z644">IF(AND(Y644&gt;0,Y644&lt;0.5),"C",IF(AND(Y644&gt;=0.5,Y644&lt;0.73),"B",IF(AND(Y644&gt;=0.73,Y644&lt;0.98),"A",NONE)))</f>
        <v>B</v>
      </c>
      <c r="AA644" s="231" t="str">
        <f>VLOOKUP(G644,'ALL (R)'!$N$5:$R$862,5,FALSE)</f>
        <v>R 5</v>
      </c>
      <c r="AB644" s="232">
        <f>VLOOKUP(AA644,FACTS!$B$2:$L$14,10,FALSE)</f>
        <v>46750.000000000007</v>
      </c>
      <c r="AC644" s="232">
        <f>VLOOKUP(AA644,FACTS!$B$2:$L$14,11,FALSE)</f>
        <v>52250.000000000007</v>
      </c>
      <c r="AD644" s="232">
        <f>VLOOKUP(AA644,FACTS!$B$2:$N$14,13,FALSE)</f>
        <v>5500</v>
      </c>
      <c r="AE644" s="232">
        <f t="shared" si="95"/>
        <v>3575</v>
      </c>
      <c r="AF644" s="232">
        <f t="shared" si="96"/>
        <v>50325.000000000007</v>
      </c>
      <c r="AG644" s="232">
        <f>AF644*FACTS!$T$2</f>
        <v>16607.250000000004</v>
      </c>
      <c r="AH644" s="232">
        <f>Table1[[#This Row],[UNIT (BUILDING) RATE (SEMI FINISHED)]]+4500</f>
        <v>54825.000000000007</v>
      </c>
      <c r="AI644" s="232">
        <f>Table1[[#This Row],[UNIT (BUILDING) RATE (SEMI FINISHED)]]+7500</f>
        <v>57825.000000000007</v>
      </c>
      <c r="AJ644" s="232">
        <f t="shared" si="97"/>
        <v>8706225.0000000019</v>
      </c>
      <c r="AK644" s="232">
        <f>Table1[[#This Row],[UNIT (BUILDING) RATE (BASIC FINISH)]]*Table1[[#This Row],[Unit Selling Area]]</f>
        <v>9484725.0000000019</v>
      </c>
      <c r="AL644" s="232">
        <f>Table1[[#This Row],[UNIT (BUILDING) RATE (FULLY FINISH)]]*Table1[[#This Row],[Unit Selling Area]]</f>
        <v>10003725.000000002</v>
      </c>
      <c r="AM644" s="232">
        <f t="shared" si="98"/>
        <v>0</v>
      </c>
      <c r="AN644" s="232">
        <f>(AM644+AJ644)*FACTS!$S$2</f>
        <v>740029.12500000023</v>
      </c>
      <c r="AO644" s="101">
        <f>VLOOKUP(S644,FACTS!$A$17:$C$23,3,FALSE)</f>
        <v>2</v>
      </c>
      <c r="AP644" s="232">
        <f>VLOOKUP(AA644,FACTS!$B$2:$J$14,9,FALSE)</f>
        <v>220000.00000000003</v>
      </c>
      <c r="AQ644" s="232">
        <f>Table1[[#This Row],[PARKING VALUE]]*1</f>
        <v>220000.00000000003</v>
      </c>
      <c r="AR644" s="232">
        <f t="shared" si="93"/>
        <v>8926225.0000000019</v>
      </c>
      <c r="AS644" s="440">
        <f>Table1[[#This Row],[TOTAL CARS VALUE]]+Table1[[#This Row],[UNIT (BUILDING) VALUE BASIC FINISHED]]+Table1[[#This Row],[UNIT (GARDEN) VALUE]]</f>
        <v>9704725.0000000019</v>
      </c>
      <c r="AT644" s="232">
        <f>Table1[[#This Row],[TOTAL CARS VALUE]]+Table1[[#This Row],[UNIT (GARDEN) VALUE]]+Table1[[#This Row],[UNIT (BUILDING) VALUE FULLY FINISHED]]</f>
        <v>10223725.000000002</v>
      </c>
      <c r="AU644" s="233">
        <f>VLOOKUP(I644,'C PHASES'!$I$108:$J$110,2,FALSE)</f>
        <v>46204</v>
      </c>
      <c r="AV644" s="233">
        <f>VLOOKUP(AA644,'C PHASES'!$I$113:$J$125,2,FALSE)</f>
        <v>45566</v>
      </c>
    </row>
    <row r="645" spans="1:48" x14ac:dyDescent="0.25">
      <c r="A645" s="236"/>
      <c r="B645" s="227" t="str">
        <f t="shared" si="102"/>
        <v>C</v>
      </c>
      <c r="C645" s="227" t="s">
        <v>87</v>
      </c>
      <c r="D645" s="227" t="s">
        <v>1147</v>
      </c>
      <c r="E645" s="228">
        <v>4</v>
      </c>
      <c r="F645" s="101">
        <v>3</v>
      </c>
      <c r="G645" s="87" t="str">
        <f t="shared" si="101"/>
        <v>C543</v>
      </c>
      <c r="H645" s="87" t="s">
        <v>1294</v>
      </c>
      <c r="I645" s="89" t="str">
        <f>VLOOKUP(C645,'PREMIUM TABLES'!$G$107:$H$149,2,FALSE)</f>
        <v>C2</v>
      </c>
      <c r="J645" s="89">
        <v>141.65899999999999</v>
      </c>
      <c r="K645" s="87">
        <v>158.85577661900135</v>
      </c>
      <c r="L645" s="87">
        <v>173</v>
      </c>
      <c r="M645" s="89"/>
      <c r="N645" s="89"/>
      <c r="O645" s="87" t="s">
        <v>187</v>
      </c>
      <c r="P645" s="87" t="s">
        <v>190</v>
      </c>
      <c r="Q645" s="229" t="s">
        <v>192</v>
      </c>
      <c r="R645" s="87" t="str">
        <f>VLOOKUP(E645,'PREMIUM TABLES'!$F$214:$G$219,2,FALSE)</f>
        <v>FORTH</v>
      </c>
      <c r="S645" s="87" t="str" cm="1">
        <f t="array" ref="S645">IF(AND(L645&gt;0,L645&lt;90),"A",IF(AND(L645&gt;90,L645&lt;123),"B",IF(AND(L645&gt;122,L645&lt;159),"C",IF(AND(L645&gt;159,L645&lt;185),"D",IF(AND(L645&gt;185,L645&lt;230),"E",IF(AND(L645&gt;230,L645&lt;350),"F",NONE))))))</f>
        <v>D</v>
      </c>
      <c r="T645" s="230">
        <f>VLOOKUP(O645,'PREMIUM TABLES'!$G$165:$H$172,2,FALSE)</f>
        <v>0.08</v>
      </c>
      <c r="U645" s="230">
        <f>VLOOKUP(P645,'PREMIUM TABLES'!$G$208:$H$209,2,FALSE)</f>
        <v>2.5000000000000001E-2</v>
      </c>
      <c r="V645" s="230">
        <f>VLOOKUP(Q645,'PREMIUM TABLES'!$G$175:$H$195,2,FALSE)</f>
        <v>0.46</v>
      </c>
      <c r="W645" s="230">
        <f>VLOOKUP(R645,'PREMIUM TABLES'!$G$214:$H$219,2,FALSE)</f>
        <v>0.06</v>
      </c>
      <c r="X645" s="230">
        <f>VLOOKUP(S645,'PREMIUM TABLES'!$F$199:$H$205,3,FALSE)</f>
        <v>2.5000000000000001E-2</v>
      </c>
      <c r="Y645" s="231">
        <f t="shared" si="94"/>
        <v>0.65</v>
      </c>
      <c r="Z645" s="231" t="str" cm="1">
        <f t="array" ref="Z645">IF(AND(Y645&gt;0,Y645&lt;0.5),"C",IF(AND(Y645&gt;=0.5,Y645&lt;0.73),"B",IF(AND(Y645&gt;=0.73,Y645&lt;0.98),"A",NONE)))</f>
        <v>B</v>
      </c>
      <c r="AA645" s="231" t="str">
        <f>VLOOKUP(G645,'ALL (R)'!$N$5:$R$862,5,FALSE)</f>
        <v>R 5</v>
      </c>
      <c r="AB645" s="232">
        <f>VLOOKUP(AA645,FACTS!$B$2:$L$14,10,FALSE)</f>
        <v>46750.000000000007</v>
      </c>
      <c r="AC645" s="232">
        <f>VLOOKUP(AA645,FACTS!$B$2:$L$14,11,FALSE)</f>
        <v>52250.000000000007</v>
      </c>
      <c r="AD645" s="232">
        <f>VLOOKUP(AA645,FACTS!$B$2:$N$14,13,FALSE)</f>
        <v>5500</v>
      </c>
      <c r="AE645" s="232">
        <f t="shared" si="95"/>
        <v>3575</v>
      </c>
      <c r="AF645" s="232">
        <f t="shared" si="96"/>
        <v>50325.000000000007</v>
      </c>
      <c r="AG645" s="232">
        <f>AF645*FACTS!$T$2</f>
        <v>16607.250000000004</v>
      </c>
      <c r="AH645" s="232">
        <f>Table1[[#This Row],[UNIT (BUILDING) RATE (SEMI FINISHED)]]+4500</f>
        <v>54825.000000000007</v>
      </c>
      <c r="AI645" s="232">
        <f>Table1[[#This Row],[UNIT (BUILDING) RATE (SEMI FINISHED)]]+7500</f>
        <v>57825.000000000007</v>
      </c>
      <c r="AJ645" s="232">
        <f t="shared" si="97"/>
        <v>8706225.0000000019</v>
      </c>
      <c r="AK645" s="232">
        <f>Table1[[#This Row],[UNIT (BUILDING) RATE (BASIC FINISH)]]*Table1[[#This Row],[Unit Selling Area]]</f>
        <v>9484725.0000000019</v>
      </c>
      <c r="AL645" s="232">
        <f>Table1[[#This Row],[UNIT (BUILDING) RATE (FULLY FINISH)]]*Table1[[#This Row],[Unit Selling Area]]</f>
        <v>10003725.000000002</v>
      </c>
      <c r="AM645" s="232">
        <f t="shared" si="98"/>
        <v>0</v>
      </c>
      <c r="AN645" s="232">
        <f>(AM645+AJ645)*FACTS!$S$2</f>
        <v>740029.12500000023</v>
      </c>
      <c r="AO645" s="101">
        <f>VLOOKUP(S645,FACTS!$A$17:$C$23,3,FALSE)</f>
        <v>2</v>
      </c>
      <c r="AP645" s="232">
        <f>VLOOKUP(AA645,FACTS!$B$2:$J$14,9,FALSE)</f>
        <v>220000.00000000003</v>
      </c>
      <c r="AQ645" s="232">
        <f>Table1[[#This Row],[PARKING VALUE]]*1</f>
        <v>220000.00000000003</v>
      </c>
      <c r="AR645" s="232">
        <f t="shared" ref="AR645:AR708" si="103">AQ645+AM645+AJ645</f>
        <v>8926225.0000000019</v>
      </c>
      <c r="AS645" s="440">
        <f>Table1[[#This Row],[TOTAL CARS VALUE]]+Table1[[#This Row],[UNIT (BUILDING) VALUE BASIC FINISHED]]+Table1[[#This Row],[UNIT (GARDEN) VALUE]]</f>
        <v>9704725.0000000019</v>
      </c>
      <c r="AT645" s="232">
        <f>Table1[[#This Row],[TOTAL CARS VALUE]]+Table1[[#This Row],[UNIT (GARDEN) VALUE]]+Table1[[#This Row],[UNIT (BUILDING) VALUE FULLY FINISHED]]</f>
        <v>10223725.000000002</v>
      </c>
      <c r="AU645" s="233">
        <f>VLOOKUP(I645,'C PHASES'!$I$108:$J$110,2,FALSE)</f>
        <v>46204</v>
      </c>
      <c r="AV645" s="233">
        <f>VLOOKUP(AA645,'C PHASES'!$I$113:$J$125,2,FALSE)</f>
        <v>45566</v>
      </c>
    </row>
    <row r="646" spans="1:48" x14ac:dyDescent="0.25">
      <c r="A646" s="236"/>
      <c r="B646" s="227" t="str">
        <f t="shared" si="102"/>
        <v>C</v>
      </c>
      <c r="C646" s="227" t="s">
        <v>87</v>
      </c>
      <c r="D646" s="227" t="s">
        <v>1147</v>
      </c>
      <c r="E646" s="228">
        <v>4</v>
      </c>
      <c r="F646" s="101">
        <v>4</v>
      </c>
      <c r="G646" s="87" t="str">
        <f t="shared" si="101"/>
        <v>C544</v>
      </c>
      <c r="H646" s="87" t="s">
        <v>1294</v>
      </c>
      <c r="I646" s="89" t="str">
        <f>VLOOKUP(C646,'PREMIUM TABLES'!$G$107:$H$149,2,FALSE)</f>
        <v>C2</v>
      </c>
      <c r="J646" s="89">
        <v>139.31659999999999</v>
      </c>
      <c r="K646" s="87">
        <v>156.22901960989958</v>
      </c>
      <c r="L646" s="87">
        <v>170</v>
      </c>
      <c r="M646" s="89"/>
      <c r="N646" s="89"/>
      <c r="O646" s="87" t="s">
        <v>180</v>
      </c>
      <c r="P646" s="87" t="s">
        <v>190</v>
      </c>
      <c r="Q646" s="229" t="s">
        <v>198</v>
      </c>
      <c r="R646" s="87" t="str">
        <f>VLOOKUP(E646,'PREMIUM TABLES'!$F$214:$G$219,2,FALSE)</f>
        <v>FORTH</v>
      </c>
      <c r="S646" s="87" t="str" cm="1">
        <f t="array" ref="S646">IF(AND(L646&gt;0,L646&lt;90),"A",IF(AND(L646&gt;90,L646&lt;123),"B",IF(AND(L646&gt;122,L646&lt;159),"C",IF(AND(L646&gt;159,L646&lt;185),"D",IF(AND(L646&gt;185,L646&lt;230),"E",IF(AND(L646&gt;230,L646&lt;350),"F",NONE))))))</f>
        <v>D</v>
      </c>
      <c r="T646" s="230">
        <f>VLOOKUP(O646,'PREMIUM TABLES'!$G$165:$H$172,2,FALSE)</f>
        <v>0.13</v>
      </c>
      <c r="U646" s="230">
        <f>VLOOKUP(P646,'PREMIUM TABLES'!$G$208:$H$209,2,FALSE)</f>
        <v>2.5000000000000001E-2</v>
      </c>
      <c r="V646" s="230">
        <f>VLOOKUP(Q646,'PREMIUM TABLES'!$G$175:$H$195,2,FALSE)</f>
        <v>0.15</v>
      </c>
      <c r="W646" s="230">
        <f>VLOOKUP(R646,'PREMIUM TABLES'!$G$214:$H$219,2,FALSE)</f>
        <v>0.06</v>
      </c>
      <c r="X646" s="230">
        <f>VLOOKUP(S646,'PREMIUM TABLES'!$F$199:$H$205,3,FALSE)</f>
        <v>2.5000000000000001E-2</v>
      </c>
      <c r="Y646" s="231">
        <f t="shared" ref="Y646:Y709" si="104">SUM(T646:X646)</f>
        <v>0.39</v>
      </c>
      <c r="Z646" s="231" t="str" cm="1">
        <f t="array" ref="Z646">IF(AND(Y646&gt;0,Y646&lt;0.5),"C",IF(AND(Y646&gt;=0.5,Y646&lt;0.73),"B",IF(AND(Y646&gt;=0.73,Y646&lt;0.98),"A",NONE)))</f>
        <v>C</v>
      </c>
      <c r="AA646" s="231" t="str">
        <f>VLOOKUP(G646,'ALL (R)'!$N$5:$R$862,5,FALSE)</f>
        <v>R 4</v>
      </c>
      <c r="AB646" s="232">
        <f>VLOOKUP(AA646,FACTS!$B$2:$L$14,10,FALSE)</f>
        <v>45687.5</v>
      </c>
      <c r="AC646" s="232">
        <f>VLOOKUP(AA646,FACTS!$B$2:$L$14,11,FALSE)</f>
        <v>51062.5</v>
      </c>
      <c r="AD646" s="232">
        <f>VLOOKUP(AA646,FACTS!$B$2:$N$14,13,FALSE)</f>
        <v>5375</v>
      </c>
      <c r="AE646" s="232">
        <f t="shared" ref="AE646:AE709" si="105">AD646*Y646</f>
        <v>2096.25</v>
      </c>
      <c r="AF646" s="232">
        <f t="shared" ref="AF646:AF709" si="106">AE646+AB646</f>
        <v>47783.75</v>
      </c>
      <c r="AG646" s="232">
        <f>AF646*FACTS!$T$2</f>
        <v>15768.637500000001</v>
      </c>
      <c r="AH646" s="232">
        <f>Table1[[#This Row],[UNIT (BUILDING) RATE (SEMI FINISHED)]]+4500</f>
        <v>52283.75</v>
      </c>
      <c r="AI646" s="232">
        <f>Table1[[#This Row],[UNIT (BUILDING) RATE (SEMI FINISHED)]]+7500</f>
        <v>55283.75</v>
      </c>
      <c r="AJ646" s="232">
        <f t="shared" ref="AJ646:AJ709" si="107">AF646*L646</f>
        <v>8123237.5</v>
      </c>
      <c r="AK646" s="232">
        <f>Table1[[#This Row],[UNIT (BUILDING) RATE (BASIC FINISH)]]*Table1[[#This Row],[Unit Selling Area]]</f>
        <v>8888237.5</v>
      </c>
      <c r="AL646" s="232">
        <f>Table1[[#This Row],[UNIT (BUILDING) RATE (FULLY FINISH)]]*Table1[[#This Row],[Unit Selling Area]]</f>
        <v>9398237.5</v>
      </c>
      <c r="AM646" s="232">
        <f t="shared" ref="AM646:AM709" si="108">AG646*M646</f>
        <v>0</v>
      </c>
      <c r="AN646" s="232">
        <f>(AM646+AJ646)*FACTS!$S$2</f>
        <v>690475.1875</v>
      </c>
      <c r="AO646" s="101">
        <f>VLOOKUP(S646,FACTS!$A$17:$C$23,3,FALSE)</f>
        <v>2</v>
      </c>
      <c r="AP646" s="232">
        <f>VLOOKUP(AA646,FACTS!$B$2:$J$14,9,FALSE)</f>
        <v>215000</v>
      </c>
      <c r="AQ646" s="232">
        <f>Table1[[#This Row],[PARKING VALUE]]*1</f>
        <v>215000</v>
      </c>
      <c r="AR646" s="232">
        <f t="shared" si="103"/>
        <v>8338237.5</v>
      </c>
      <c r="AS646" s="440">
        <f>Table1[[#This Row],[TOTAL CARS VALUE]]+Table1[[#This Row],[UNIT (BUILDING) VALUE BASIC FINISHED]]+Table1[[#This Row],[UNIT (GARDEN) VALUE]]</f>
        <v>9103237.5</v>
      </c>
      <c r="AT646" s="232">
        <f>Table1[[#This Row],[TOTAL CARS VALUE]]+Table1[[#This Row],[UNIT (GARDEN) VALUE]]+Table1[[#This Row],[UNIT (BUILDING) VALUE FULLY FINISHED]]</f>
        <v>9613237.5</v>
      </c>
      <c r="AU646" s="233">
        <f>VLOOKUP(I646,'C PHASES'!$I$108:$J$110,2,FALSE)</f>
        <v>46204</v>
      </c>
      <c r="AV646" s="233">
        <f>VLOOKUP(AA646,'C PHASES'!$I$113:$J$125,2,FALSE)</f>
        <v>45474</v>
      </c>
    </row>
    <row r="647" spans="1:48" ht="22.5" x14ac:dyDescent="0.25">
      <c r="A647" s="236" t="s">
        <v>33</v>
      </c>
      <c r="B647" s="227" t="str">
        <f t="shared" si="102"/>
        <v>C</v>
      </c>
      <c r="C647" s="227" t="s">
        <v>86</v>
      </c>
      <c r="D647" s="227" t="s">
        <v>1147</v>
      </c>
      <c r="E647" s="228">
        <v>0</v>
      </c>
      <c r="F647" s="101">
        <v>1</v>
      </c>
      <c r="G647" s="87" t="str">
        <f>LEFT(C647,2)&amp;E647&amp;F647</f>
        <v>C601</v>
      </c>
      <c r="H647" s="87" t="s">
        <v>1294</v>
      </c>
      <c r="I647" s="89" t="str">
        <f>VLOOKUP(C647,'PREMIUM TABLES'!$G$107:$H$149,2,FALSE)</f>
        <v>C2</v>
      </c>
      <c r="J647" s="89">
        <v>144.66300000000001</v>
      </c>
      <c r="K647" s="87">
        <v>160.29970969584483</v>
      </c>
      <c r="L647" s="87">
        <v>176</v>
      </c>
      <c r="M647" s="87">
        <v>81.358699999999999</v>
      </c>
      <c r="O647" s="87" t="s">
        <v>180</v>
      </c>
      <c r="P647" s="87" t="s">
        <v>226</v>
      </c>
      <c r="Q647" s="229" t="s">
        <v>230</v>
      </c>
      <c r="R647" s="87" t="str">
        <f>VLOOKUP(E647,'PREMIUM TABLES'!$F$214:$G$219,2,FALSE)</f>
        <v>GROUND</v>
      </c>
      <c r="S647" s="87" t="str" cm="1">
        <f t="array" ref="S647">IF(AND(L647&gt;0,L647&lt;90),"A",IF(AND(L647&gt;90,L647&lt;123),"B",IF(AND(L647&gt;122,L647&lt;159),"C",IF(AND(L647&gt;159,L647&lt;185),"D",IF(AND(L647&gt;185,L647&lt;230),"E",IF(AND(L647&gt;230,L647&lt;350),"F",NONE))))))</f>
        <v>D</v>
      </c>
      <c r="T647" s="230">
        <f>VLOOKUP(O647,'PREMIUM TABLES'!$G$165:$H$172,2,FALSE)</f>
        <v>0.13</v>
      </c>
      <c r="U647" s="230">
        <f>VLOOKUP(P647,'PREMIUM TABLES'!$G$208:$H$209,2,FALSE)</f>
        <v>0.05</v>
      </c>
      <c r="V647" s="230">
        <f>VLOOKUP(Q647,'PREMIUM TABLES'!$G$175:$H$195,2,FALSE)</f>
        <v>0.32250000000000001</v>
      </c>
      <c r="W647" s="230">
        <f>VLOOKUP(R647,'PREMIUM TABLES'!$G$214:$H$219,2,FALSE)</f>
        <v>0.05</v>
      </c>
      <c r="X647" s="230">
        <f>VLOOKUP(S647,'PREMIUM TABLES'!$F$199:$H$205,3,FALSE)</f>
        <v>2.5000000000000001E-2</v>
      </c>
      <c r="Y647" s="231">
        <f t="shared" si="104"/>
        <v>0.57750000000000001</v>
      </c>
      <c r="Z647" s="231" t="str" cm="1">
        <f t="array" ref="Z647">IF(AND(Y647&gt;0,Y647&lt;0.5),"C",IF(AND(Y647&gt;=0.5,Y647&lt;0.73),"B",IF(AND(Y647&gt;=0.73,Y647&lt;0.98),"A",NONE)))</f>
        <v>B</v>
      </c>
      <c r="AA647" s="231" t="str">
        <f>VLOOKUP(G647,'ALL (R)'!$N$5:$R$862,5,FALSE)</f>
        <v>R 1</v>
      </c>
      <c r="AB647" s="232">
        <f>VLOOKUP(AA647,FACTS!$B$2:$L$14,10,FALSE)</f>
        <v>42500</v>
      </c>
      <c r="AC647" s="232">
        <f>VLOOKUP(AA647,FACTS!$B$2:$L$14,11,FALSE)</f>
        <v>47500</v>
      </c>
      <c r="AD647" s="232">
        <f>VLOOKUP(AA647,FACTS!$B$2:$N$14,13,FALSE)</f>
        <v>5000</v>
      </c>
      <c r="AE647" s="232">
        <f t="shared" si="105"/>
        <v>2887.5</v>
      </c>
      <c r="AF647" s="232">
        <f t="shared" si="106"/>
        <v>45387.5</v>
      </c>
      <c r="AG647" s="232">
        <f>AF647*FACTS!$T$2</f>
        <v>14977.875</v>
      </c>
      <c r="AH647" s="232">
        <f>Table1[[#This Row],[UNIT (BUILDING) RATE (SEMI FINISHED)]]+4500</f>
        <v>49887.5</v>
      </c>
      <c r="AI647" s="232">
        <f>Table1[[#This Row],[UNIT (BUILDING) RATE (SEMI FINISHED)]]+7500</f>
        <v>52887.5</v>
      </c>
      <c r="AJ647" s="232">
        <f t="shared" si="107"/>
        <v>7988200</v>
      </c>
      <c r="AK647" s="232">
        <f>Table1[[#This Row],[UNIT (BUILDING) RATE (BASIC FINISH)]]*Table1[[#This Row],[Unit Selling Area]]</f>
        <v>8780200</v>
      </c>
      <c r="AL647" s="232">
        <f>Table1[[#This Row],[UNIT (BUILDING) RATE (FULLY FINISH)]]*Table1[[#This Row],[Unit Selling Area]]</f>
        <v>9308200</v>
      </c>
      <c r="AM647" s="232">
        <f t="shared" si="108"/>
        <v>1218580.4387625</v>
      </c>
      <c r="AN647" s="232">
        <f>(AM647+AJ647)*FACTS!$S$2</f>
        <v>782576.33729481266</v>
      </c>
      <c r="AO647" s="101">
        <f>VLOOKUP(S647,FACTS!$A$17:$C$23,3,FALSE)</f>
        <v>2</v>
      </c>
      <c r="AP647" s="232">
        <f>VLOOKUP(AA647,FACTS!$B$2:$J$14,9,FALSE)</f>
        <v>200000</v>
      </c>
      <c r="AQ647" s="232">
        <f>Table1[[#This Row],[PARKING VALUE]]*1</f>
        <v>200000</v>
      </c>
      <c r="AR647" s="232">
        <f t="shared" si="103"/>
        <v>9406780.4387625009</v>
      </c>
      <c r="AS647" s="440">
        <f>Table1[[#This Row],[TOTAL CARS VALUE]]+Table1[[#This Row],[UNIT (BUILDING) VALUE BASIC FINISHED]]+Table1[[#This Row],[UNIT (GARDEN) VALUE]]</f>
        <v>10198780.438762501</v>
      </c>
      <c r="AT647" s="232">
        <f>Table1[[#This Row],[TOTAL CARS VALUE]]+Table1[[#This Row],[UNIT (GARDEN) VALUE]]+Table1[[#This Row],[UNIT (BUILDING) VALUE FULLY FINISHED]]</f>
        <v>10726780.438762501</v>
      </c>
      <c r="AU647" s="233">
        <f>VLOOKUP(I647,'C PHASES'!$I$108:$J$110,2,FALSE)</f>
        <v>46204</v>
      </c>
      <c r="AV647" s="233">
        <f>VLOOKUP(AA647,'C PHASES'!$I$113:$J$125,2,FALSE)</f>
        <v>45170</v>
      </c>
    </row>
    <row r="648" spans="1:48" x14ac:dyDescent="0.25">
      <c r="A648" s="236"/>
      <c r="B648" s="227" t="str">
        <f t="shared" si="102"/>
        <v>C</v>
      </c>
      <c r="C648" s="227" t="s">
        <v>86</v>
      </c>
      <c r="D648" s="227" t="s">
        <v>1147</v>
      </c>
      <c r="E648" s="228">
        <v>0</v>
      </c>
      <c r="F648" s="101">
        <v>2</v>
      </c>
      <c r="G648" s="87" t="str">
        <f t="shared" ref="G648:G666" si="109">LEFT(C648,2)&amp;E648&amp;F648</f>
        <v>C602</v>
      </c>
      <c r="H648" s="87" t="s">
        <v>1295</v>
      </c>
      <c r="I648" s="89" t="str">
        <f>VLOOKUP(C648,'PREMIUM TABLES'!$G$107:$H$149,2,FALSE)</f>
        <v>C2</v>
      </c>
      <c r="J648" s="89">
        <v>183.887</v>
      </c>
      <c r="K648" s="87">
        <v>203.76345518093646</v>
      </c>
      <c r="L648" s="87">
        <v>224</v>
      </c>
      <c r="M648" s="87">
        <v>61.522199999999998</v>
      </c>
      <c r="O648" s="87" t="s">
        <v>187</v>
      </c>
      <c r="P648" s="87" t="s">
        <v>226</v>
      </c>
      <c r="Q648" s="229" t="s">
        <v>227</v>
      </c>
      <c r="R648" s="87" t="str">
        <f>VLOOKUP(E648,'PREMIUM TABLES'!$F$214:$G$219,2,FALSE)</f>
        <v>GROUND</v>
      </c>
      <c r="S648" s="87" t="str" cm="1">
        <f t="array" ref="S648">IF(AND(L648&gt;0,L648&lt;90),"A",IF(AND(L648&gt;90,L648&lt;123),"B",IF(AND(L648&gt;122,L648&lt;159),"C",IF(AND(L648&gt;159,L648&lt;185),"D",IF(AND(L648&gt;185,L648&lt;230),"E",IF(AND(L648&gt;230,L648&lt;350),"F",NONE))))))</f>
        <v>E</v>
      </c>
      <c r="T648" s="230">
        <f>VLOOKUP(O648,'PREMIUM TABLES'!$G$165:$H$172,2,FALSE)</f>
        <v>0.08</v>
      </c>
      <c r="U648" s="230">
        <f>VLOOKUP(P648,'PREMIUM TABLES'!$G$208:$H$209,2,FALSE)</f>
        <v>0.05</v>
      </c>
      <c r="V648" s="230">
        <f>VLOOKUP(Q648,'PREMIUM TABLES'!$G$175:$H$195,2,FALSE)</f>
        <v>0.48</v>
      </c>
      <c r="W648" s="230">
        <f>VLOOKUP(R648,'PREMIUM TABLES'!$G$214:$H$219,2,FALSE)</f>
        <v>0.05</v>
      </c>
      <c r="X648" s="230">
        <f>VLOOKUP(S648,'PREMIUM TABLES'!$F$199:$H$205,3,FALSE)</f>
        <v>1.4999999999999999E-2</v>
      </c>
      <c r="Y648" s="231">
        <f t="shared" si="104"/>
        <v>0.67500000000000004</v>
      </c>
      <c r="Z648" s="231" t="str" cm="1">
        <f t="array" ref="Z648">IF(AND(Y648&gt;0,Y648&lt;0.5),"C",IF(AND(Y648&gt;=0.5,Y648&lt;0.73),"B",IF(AND(Y648&gt;=0.73,Y648&lt;0.98),"A",NONE)))</f>
        <v>B</v>
      </c>
      <c r="AA648" s="231" t="str">
        <f>VLOOKUP(G648,'ALL (R)'!$N$5:$R$862,5,FALSE)</f>
        <v>R 6</v>
      </c>
      <c r="AB648" s="232">
        <f>VLOOKUP(AA648,FACTS!$B$2:$L$14,10,FALSE)</f>
        <v>48450.000000000007</v>
      </c>
      <c r="AC648" s="232">
        <f>VLOOKUP(AA648,FACTS!$B$2:$L$14,11,FALSE)</f>
        <v>54150.000000000007</v>
      </c>
      <c r="AD648" s="232">
        <f>VLOOKUP(AA648,FACTS!$B$2:$N$14,13,FALSE)</f>
        <v>5700</v>
      </c>
      <c r="AE648" s="232">
        <f t="shared" si="105"/>
        <v>3847.5000000000005</v>
      </c>
      <c r="AF648" s="232">
        <f t="shared" si="106"/>
        <v>52297.500000000007</v>
      </c>
      <c r="AG648" s="232">
        <f>AF648*FACTS!$T$2</f>
        <v>17258.175000000003</v>
      </c>
      <c r="AH648" s="232">
        <f>Table1[[#This Row],[UNIT (BUILDING) RATE (SEMI FINISHED)]]+4500</f>
        <v>56797.500000000007</v>
      </c>
      <c r="AI648" s="232">
        <f>Table1[[#This Row],[UNIT (BUILDING) RATE (SEMI FINISHED)]]+7500</f>
        <v>59797.500000000007</v>
      </c>
      <c r="AJ648" s="232">
        <f t="shared" si="107"/>
        <v>11714640.000000002</v>
      </c>
      <c r="AK648" s="232">
        <f>Table1[[#This Row],[UNIT (BUILDING) RATE (BASIC FINISH)]]*Table1[[#This Row],[Unit Selling Area]]</f>
        <v>12722640.000000002</v>
      </c>
      <c r="AL648" s="232">
        <f>Table1[[#This Row],[UNIT (BUILDING) RATE (FULLY FINISH)]]*Table1[[#This Row],[Unit Selling Area]]</f>
        <v>13394640.000000002</v>
      </c>
      <c r="AM648" s="232">
        <f t="shared" si="108"/>
        <v>1061760.8939850002</v>
      </c>
      <c r="AN648" s="232">
        <f>(AM648+AJ648)*FACTS!$S$2</f>
        <v>1085994.0759887253</v>
      </c>
      <c r="AO648" s="101">
        <f>VLOOKUP(S648,FACTS!$A$17:$C$23,3,FALSE)</f>
        <v>2</v>
      </c>
      <c r="AP648" s="232">
        <f>VLOOKUP(AA648,FACTS!$B$2:$J$14,9,FALSE)</f>
        <v>228000.00000000003</v>
      </c>
      <c r="AQ648" s="232">
        <f>Table1[[#This Row],[PARKING VALUE]]*1</f>
        <v>228000.00000000003</v>
      </c>
      <c r="AR648" s="232">
        <f t="shared" si="103"/>
        <v>13004400.893985001</v>
      </c>
      <c r="AS648" s="440">
        <f>Table1[[#This Row],[TOTAL CARS VALUE]]+Table1[[#This Row],[UNIT (BUILDING) VALUE BASIC FINISHED]]+Table1[[#This Row],[UNIT (GARDEN) VALUE]]</f>
        <v>14012400.893985001</v>
      </c>
      <c r="AT648" s="232">
        <f>Table1[[#This Row],[TOTAL CARS VALUE]]+Table1[[#This Row],[UNIT (GARDEN) VALUE]]+Table1[[#This Row],[UNIT (BUILDING) VALUE FULLY FINISHED]]</f>
        <v>14684400.893985001</v>
      </c>
      <c r="AU648" s="233">
        <f>VLOOKUP(I648,'C PHASES'!$I$108:$J$110,2,FALSE)</f>
        <v>46204</v>
      </c>
      <c r="AV648" s="233">
        <f>VLOOKUP(AA648,'C PHASES'!$I$113:$J$125,2,FALSE)</f>
        <v>45658</v>
      </c>
    </row>
    <row r="649" spans="1:48" x14ac:dyDescent="0.25">
      <c r="A649" s="236"/>
      <c r="B649" s="227" t="str">
        <f t="shared" si="102"/>
        <v>C</v>
      </c>
      <c r="C649" s="227" t="s">
        <v>86</v>
      </c>
      <c r="D649" s="227" t="s">
        <v>1147</v>
      </c>
      <c r="E649" s="228">
        <v>0</v>
      </c>
      <c r="F649" s="101">
        <v>3</v>
      </c>
      <c r="G649" s="87" t="str">
        <f t="shared" si="109"/>
        <v>C603</v>
      </c>
      <c r="H649" s="87" t="s">
        <v>1294</v>
      </c>
      <c r="I649" s="89" t="str">
        <f>VLOOKUP(C649,'PREMIUM TABLES'!$G$107:$H$149,2,FALSE)</f>
        <v>C2</v>
      </c>
      <c r="J649" s="89">
        <v>162.78100000000001</v>
      </c>
      <c r="K649" s="87">
        <v>180.37609508996297</v>
      </c>
      <c r="L649" s="87">
        <v>199</v>
      </c>
      <c r="M649" s="87">
        <v>77.576999999999998</v>
      </c>
      <c r="O649" s="87" t="s">
        <v>187</v>
      </c>
      <c r="P649" s="87" t="s">
        <v>190</v>
      </c>
      <c r="Q649" s="229" t="s">
        <v>192</v>
      </c>
      <c r="R649" s="87" t="str">
        <f>VLOOKUP(E649,'PREMIUM TABLES'!$F$214:$G$219,2,FALSE)</f>
        <v>GROUND</v>
      </c>
      <c r="S649" s="87" t="str" cm="1">
        <f t="array" ref="S649">IF(AND(L649&gt;0,L649&lt;90),"A",IF(AND(L649&gt;90,L649&lt;123),"B",IF(AND(L649&gt;122,L649&lt;159),"C",IF(AND(L649&gt;159,L649&lt;185),"D",IF(AND(L649&gt;185,L649&lt;230),"E",IF(AND(L649&gt;230,L649&lt;350),"F",NONE))))))</f>
        <v>E</v>
      </c>
      <c r="T649" s="230">
        <f>VLOOKUP(O649,'PREMIUM TABLES'!$G$165:$H$172,2,FALSE)</f>
        <v>0.08</v>
      </c>
      <c r="U649" s="230">
        <f>VLOOKUP(P649,'PREMIUM TABLES'!$G$208:$H$209,2,FALSE)</f>
        <v>2.5000000000000001E-2</v>
      </c>
      <c r="V649" s="230">
        <f>VLOOKUP(Q649,'PREMIUM TABLES'!$G$175:$H$195,2,FALSE)</f>
        <v>0.46</v>
      </c>
      <c r="W649" s="230">
        <f>VLOOKUP(R649,'PREMIUM TABLES'!$G$214:$H$219,2,FALSE)</f>
        <v>0.05</v>
      </c>
      <c r="X649" s="230">
        <f>VLOOKUP(S649,'PREMIUM TABLES'!$F$199:$H$205,3,FALSE)</f>
        <v>1.4999999999999999E-2</v>
      </c>
      <c r="Y649" s="231">
        <f t="shared" si="104"/>
        <v>0.63000000000000012</v>
      </c>
      <c r="Z649" s="231" t="str" cm="1">
        <f t="array" ref="Z649">IF(AND(Y649&gt;0,Y649&lt;0.5),"C",IF(AND(Y649&gt;=0.5,Y649&lt;0.73),"B",IF(AND(Y649&gt;=0.73,Y649&lt;0.98),"A",NONE)))</f>
        <v>B</v>
      </c>
      <c r="AA649" s="231" t="str">
        <f>VLOOKUP(G649,'ALL (R)'!$N$5:$R$862,5,FALSE)</f>
        <v>R 3</v>
      </c>
      <c r="AB649" s="232">
        <f>VLOOKUP(AA649,FACTS!$B$2:$L$14,10,FALSE)</f>
        <v>44625</v>
      </c>
      <c r="AC649" s="232">
        <f>VLOOKUP(AA649,FACTS!$B$2:$L$14,11,FALSE)</f>
        <v>49875</v>
      </c>
      <c r="AD649" s="232">
        <f>VLOOKUP(AA649,FACTS!$B$2:$N$14,13,FALSE)</f>
        <v>5250</v>
      </c>
      <c r="AE649" s="232">
        <f t="shared" si="105"/>
        <v>3307.5000000000005</v>
      </c>
      <c r="AF649" s="232">
        <f t="shared" si="106"/>
        <v>47932.5</v>
      </c>
      <c r="AG649" s="232">
        <f>AF649*FACTS!$T$2</f>
        <v>15817.725</v>
      </c>
      <c r="AH649" s="232">
        <f>Table1[[#This Row],[UNIT (BUILDING) RATE (SEMI FINISHED)]]+4500</f>
        <v>52432.5</v>
      </c>
      <c r="AI649" s="232">
        <f>Table1[[#This Row],[UNIT (BUILDING) RATE (SEMI FINISHED)]]+7500</f>
        <v>55432.5</v>
      </c>
      <c r="AJ649" s="232">
        <f t="shared" si="107"/>
        <v>9538567.5</v>
      </c>
      <c r="AK649" s="232">
        <f>Table1[[#This Row],[UNIT (BUILDING) RATE (BASIC FINISH)]]*Table1[[#This Row],[Unit Selling Area]]</f>
        <v>10434067.5</v>
      </c>
      <c r="AL649" s="232">
        <f>Table1[[#This Row],[UNIT (BUILDING) RATE (FULLY FINISH)]]*Table1[[#This Row],[Unit Selling Area]]</f>
        <v>11031067.5</v>
      </c>
      <c r="AM649" s="232">
        <f t="shared" si="108"/>
        <v>1227091.6523249999</v>
      </c>
      <c r="AN649" s="232">
        <f>(AM649+AJ649)*FACTS!$S$2</f>
        <v>915081.02794762515</v>
      </c>
      <c r="AO649" s="101">
        <f>VLOOKUP(S649,FACTS!$A$17:$C$23,3,FALSE)</f>
        <v>2</v>
      </c>
      <c r="AP649" s="232">
        <f>VLOOKUP(AA649,FACTS!$B$2:$J$14,9,FALSE)</f>
        <v>210000</v>
      </c>
      <c r="AQ649" s="232">
        <f>Table1[[#This Row],[PARKING VALUE]]*1</f>
        <v>210000</v>
      </c>
      <c r="AR649" s="232">
        <f t="shared" si="103"/>
        <v>10975659.152325001</v>
      </c>
      <c r="AS649" s="440">
        <f>Table1[[#This Row],[TOTAL CARS VALUE]]+Table1[[#This Row],[UNIT (BUILDING) VALUE BASIC FINISHED]]+Table1[[#This Row],[UNIT (GARDEN) VALUE]]</f>
        <v>11871159.152325001</v>
      </c>
      <c r="AT649" s="232">
        <f>Table1[[#This Row],[TOTAL CARS VALUE]]+Table1[[#This Row],[UNIT (GARDEN) VALUE]]+Table1[[#This Row],[UNIT (BUILDING) VALUE FULLY FINISHED]]</f>
        <v>12468159.152325001</v>
      </c>
      <c r="AU649" s="233">
        <f>VLOOKUP(I649,'C PHASES'!$I$108:$J$110,2,FALSE)</f>
        <v>46204</v>
      </c>
      <c r="AV649" s="233">
        <f>VLOOKUP(AA649,'C PHASES'!$I$113:$J$125,2,FALSE)</f>
        <v>45383</v>
      </c>
    </row>
    <row r="650" spans="1:48" x14ac:dyDescent="0.25">
      <c r="A650" s="236"/>
      <c r="B650" s="227" t="str">
        <f t="shared" si="102"/>
        <v>C</v>
      </c>
      <c r="C650" s="227" t="s">
        <v>86</v>
      </c>
      <c r="D650" s="227" t="s">
        <v>1147</v>
      </c>
      <c r="E650" s="228">
        <v>0</v>
      </c>
      <c r="F650" s="101">
        <v>4</v>
      </c>
      <c r="G650" s="87" t="str">
        <f t="shared" si="109"/>
        <v>C604</v>
      </c>
      <c r="H650" s="87" t="s">
        <v>1293</v>
      </c>
      <c r="I650" s="89" t="str">
        <f>VLOOKUP(C650,'PREMIUM TABLES'!$G$107:$H$149,2,FALSE)</f>
        <v>C2</v>
      </c>
      <c r="J650" s="89">
        <v>95.213999999999999</v>
      </c>
      <c r="K650" s="87">
        <v>105.50573788031609</v>
      </c>
      <c r="L650" s="87">
        <v>116</v>
      </c>
      <c r="M650" s="87">
        <v>63.183500000000002</v>
      </c>
      <c r="O650" s="87" t="s">
        <v>180</v>
      </c>
      <c r="P650" s="87" t="s">
        <v>190</v>
      </c>
      <c r="Q650" s="229" t="s">
        <v>199</v>
      </c>
      <c r="R650" s="87" t="str">
        <f>VLOOKUP(E650,'PREMIUM TABLES'!$F$214:$G$219,2,FALSE)</f>
        <v>GROUND</v>
      </c>
      <c r="S650" s="87" t="str" cm="1">
        <f t="array" ref="S650">IF(AND(L650&gt;0,L650&lt;90),"A",IF(AND(L650&gt;90,L650&lt;123),"B",IF(AND(L650&gt;122,L650&lt;159),"C",IF(AND(L650&gt;159,L650&lt;185),"D",IF(AND(L650&gt;185,L650&lt;230),"E",IF(AND(L650&gt;230,L650&lt;350),"F",NONE))))))</f>
        <v>B</v>
      </c>
      <c r="T650" s="230">
        <f>VLOOKUP(O650,'PREMIUM TABLES'!$G$165:$H$172,2,FALSE)</f>
        <v>0.13</v>
      </c>
      <c r="U650" s="230">
        <f>VLOOKUP(P650,'PREMIUM TABLES'!$G$208:$H$209,2,FALSE)</f>
        <v>2.5000000000000001E-2</v>
      </c>
      <c r="V650" s="230">
        <f>VLOOKUP(Q650,'PREMIUM TABLES'!$G$175:$H$195,2,FALSE)</f>
        <v>0.13</v>
      </c>
      <c r="W650" s="230">
        <f>VLOOKUP(R650,'PREMIUM TABLES'!$G$214:$H$219,2,FALSE)</f>
        <v>0.05</v>
      </c>
      <c r="X650" s="230">
        <f>VLOOKUP(S650,'PREMIUM TABLES'!$F$199:$H$205,3,FALSE)</f>
        <v>0.04</v>
      </c>
      <c r="Y650" s="231">
        <f t="shared" si="104"/>
        <v>0.375</v>
      </c>
      <c r="Z650" s="231" t="str" cm="1">
        <f t="array" ref="Z650">IF(AND(Y650&gt;0,Y650&lt;0.5),"C",IF(AND(Y650&gt;=0.5,Y650&lt;0.73),"B",IF(AND(Y650&gt;=0.73,Y650&lt;0.98),"A",NONE)))</f>
        <v>C</v>
      </c>
      <c r="AA650" s="231" t="str">
        <f>VLOOKUP(G650,'ALL (R)'!$N$5:$R$862,5,FALSE)</f>
        <v>R 3</v>
      </c>
      <c r="AB650" s="232">
        <f>VLOOKUP(AA650,FACTS!$B$2:$L$14,10,FALSE)</f>
        <v>44625</v>
      </c>
      <c r="AC650" s="232">
        <f>VLOOKUP(AA650,FACTS!$B$2:$L$14,11,FALSE)</f>
        <v>49875</v>
      </c>
      <c r="AD650" s="232">
        <f>VLOOKUP(AA650,FACTS!$B$2:$N$14,13,FALSE)</f>
        <v>5250</v>
      </c>
      <c r="AE650" s="232">
        <f t="shared" si="105"/>
        <v>1968.75</v>
      </c>
      <c r="AF650" s="232">
        <f t="shared" si="106"/>
        <v>46593.75</v>
      </c>
      <c r="AG650" s="232">
        <f>AF650*FACTS!$T$2</f>
        <v>15375.9375</v>
      </c>
      <c r="AH650" s="232">
        <f>Table1[[#This Row],[UNIT (BUILDING) RATE (SEMI FINISHED)]]+4500</f>
        <v>51093.75</v>
      </c>
      <c r="AI650" s="232">
        <f>Table1[[#This Row],[UNIT (BUILDING) RATE (SEMI FINISHED)]]+7500</f>
        <v>54093.75</v>
      </c>
      <c r="AJ650" s="232">
        <f t="shared" si="107"/>
        <v>5404875</v>
      </c>
      <c r="AK650" s="232">
        <f>Table1[[#This Row],[UNIT (BUILDING) RATE (BASIC FINISH)]]*Table1[[#This Row],[Unit Selling Area]]</f>
        <v>5926875</v>
      </c>
      <c r="AL650" s="232">
        <f>Table1[[#This Row],[UNIT (BUILDING) RATE (FULLY FINISH)]]*Table1[[#This Row],[Unit Selling Area]]</f>
        <v>6274875</v>
      </c>
      <c r="AM650" s="232">
        <f t="shared" si="108"/>
        <v>971505.54703125008</v>
      </c>
      <c r="AN650" s="232">
        <f>(AM650+AJ650)*FACTS!$S$2</f>
        <v>541992.34649765631</v>
      </c>
      <c r="AO650" s="101">
        <f>VLOOKUP(S650,FACTS!$A$17:$C$23,3,FALSE)</f>
        <v>1</v>
      </c>
      <c r="AP650" s="232">
        <f>VLOOKUP(AA650,FACTS!$B$2:$J$14,9,FALSE)</f>
        <v>210000</v>
      </c>
      <c r="AQ650" s="232">
        <f>Table1[[#This Row],[PARKING VALUE]]*1</f>
        <v>210000</v>
      </c>
      <c r="AR650" s="232">
        <f t="shared" si="103"/>
        <v>6586380.5470312499</v>
      </c>
      <c r="AS650" s="440">
        <f>Table1[[#This Row],[TOTAL CARS VALUE]]+Table1[[#This Row],[UNIT (BUILDING) VALUE BASIC FINISHED]]+Table1[[#This Row],[UNIT (GARDEN) VALUE]]</f>
        <v>7108380.5470312499</v>
      </c>
      <c r="AT650" s="232">
        <f>Table1[[#This Row],[TOTAL CARS VALUE]]+Table1[[#This Row],[UNIT (GARDEN) VALUE]]+Table1[[#This Row],[UNIT (BUILDING) VALUE FULLY FINISHED]]</f>
        <v>7456380.5470312499</v>
      </c>
      <c r="AU650" s="233">
        <f>VLOOKUP(I650,'C PHASES'!$I$108:$J$110,2,FALSE)</f>
        <v>46204</v>
      </c>
      <c r="AV650" s="233">
        <f>VLOOKUP(AA650,'C PHASES'!$I$113:$J$125,2,FALSE)</f>
        <v>45383</v>
      </c>
    </row>
    <row r="651" spans="1:48" x14ac:dyDescent="0.25">
      <c r="A651" s="236"/>
      <c r="B651" s="227" t="str">
        <f t="shared" si="102"/>
        <v>C</v>
      </c>
      <c r="C651" s="227" t="s">
        <v>86</v>
      </c>
      <c r="D651" s="227" t="s">
        <v>1147</v>
      </c>
      <c r="E651" s="228">
        <v>1</v>
      </c>
      <c r="F651" s="101">
        <v>1</v>
      </c>
      <c r="G651" s="87" t="str">
        <f t="shared" si="109"/>
        <v>C611</v>
      </c>
      <c r="H651" s="87" t="s">
        <v>1294</v>
      </c>
      <c r="I651" s="89" t="str">
        <f>VLOOKUP(C651,'PREMIUM TABLES'!$G$107:$H$149,2,FALSE)</f>
        <v>C2</v>
      </c>
      <c r="J651" s="89">
        <v>141.66300000000001</v>
      </c>
      <c r="K651" s="87">
        <v>156.9754379118535</v>
      </c>
      <c r="L651" s="87">
        <v>173</v>
      </c>
      <c r="M651" s="89"/>
      <c r="N651" s="89"/>
      <c r="O651" s="87" t="s">
        <v>180</v>
      </c>
      <c r="P651" s="87" t="s">
        <v>226</v>
      </c>
      <c r="Q651" s="229" t="s">
        <v>230</v>
      </c>
      <c r="R651" s="87" t="str">
        <f>VLOOKUP(E651,'PREMIUM TABLES'!$F$214:$G$219,2,FALSE)</f>
        <v>FIRST</v>
      </c>
      <c r="S651" s="87" t="str" cm="1">
        <f t="array" ref="S651">IF(AND(L651&gt;0,L651&lt;90),"A",IF(AND(L651&gt;90,L651&lt;123),"B",IF(AND(L651&gt;122,L651&lt;159),"C",IF(AND(L651&gt;159,L651&lt;185),"D",IF(AND(L651&gt;185,L651&lt;230),"E",IF(AND(L651&gt;230,L651&lt;350),"F",NONE))))))</f>
        <v>D</v>
      </c>
      <c r="T651" s="230">
        <f>VLOOKUP(O651,'PREMIUM TABLES'!$G$165:$H$172,2,FALSE)</f>
        <v>0.13</v>
      </c>
      <c r="U651" s="230">
        <f>VLOOKUP(P651,'PREMIUM TABLES'!$G$208:$H$209,2,FALSE)</f>
        <v>0.05</v>
      </c>
      <c r="V651" s="230">
        <f>VLOOKUP(Q651,'PREMIUM TABLES'!$G$175:$H$195,2,FALSE)</f>
        <v>0.32250000000000001</v>
      </c>
      <c r="W651" s="230">
        <f>VLOOKUP(R651,'PREMIUM TABLES'!$G$214:$H$219,2,FALSE)</f>
        <v>7.0000000000000007E-2</v>
      </c>
      <c r="X651" s="230">
        <f>VLOOKUP(S651,'PREMIUM TABLES'!$F$199:$H$205,3,FALSE)</f>
        <v>2.5000000000000001E-2</v>
      </c>
      <c r="Y651" s="231">
        <f t="shared" si="104"/>
        <v>0.59750000000000003</v>
      </c>
      <c r="Z651" s="231" t="str" cm="1">
        <f t="array" ref="Z651">IF(AND(Y651&gt;0,Y651&lt;0.5),"C",IF(AND(Y651&gt;=0.5,Y651&lt;0.73),"B",IF(AND(Y651&gt;=0.73,Y651&lt;0.98),"A",NONE)))</f>
        <v>B</v>
      </c>
      <c r="AA651" s="231" t="str">
        <f>VLOOKUP(G651,'ALL (R)'!$N$5:$R$862,5,FALSE)</f>
        <v>R 2</v>
      </c>
      <c r="AB651" s="232">
        <f>VLOOKUP(AA651,FACTS!$B$2:$L$14,10,FALSE)</f>
        <v>43562.499999999993</v>
      </c>
      <c r="AC651" s="232">
        <f>VLOOKUP(AA651,FACTS!$B$2:$L$14,11,FALSE)</f>
        <v>48687.499999999993</v>
      </c>
      <c r="AD651" s="232">
        <f>VLOOKUP(AA651,FACTS!$B$2:$N$14,13,FALSE)</f>
        <v>5125</v>
      </c>
      <c r="AE651" s="232">
        <f t="shared" si="105"/>
        <v>3062.1875</v>
      </c>
      <c r="AF651" s="232">
        <f t="shared" si="106"/>
        <v>46624.687499999993</v>
      </c>
      <c r="AG651" s="232">
        <f>AF651*FACTS!$T$2</f>
        <v>15386.146874999999</v>
      </c>
      <c r="AH651" s="232">
        <f>Table1[[#This Row],[UNIT (BUILDING) RATE (SEMI FINISHED)]]+4500</f>
        <v>51124.687499999993</v>
      </c>
      <c r="AI651" s="232">
        <f>Table1[[#This Row],[UNIT (BUILDING) RATE (SEMI FINISHED)]]+7500</f>
        <v>54124.687499999993</v>
      </c>
      <c r="AJ651" s="232">
        <f t="shared" si="107"/>
        <v>8066070.9374999991</v>
      </c>
      <c r="AK651" s="232">
        <f>Table1[[#This Row],[UNIT (BUILDING) RATE (BASIC FINISH)]]*Table1[[#This Row],[Unit Selling Area]]</f>
        <v>8844570.9374999981</v>
      </c>
      <c r="AL651" s="232">
        <f>Table1[[#This Row],[UNIT (BUILDING) RATE (FULLY FINISH)]]*Table1[[#This Row],[Unit Selling Area]]</f>
        <v>9363570.9374999981</v>
      </c>
      <c r="AM651" s="232">
        <f t="shared" si="108"/>
        <v>0</v>
      </c>
      <c r="AN651" s="232">
        <f>(AM651+AJ651)*FACTS!$S$2</f>
        <v>685616.02968749998</v>
      </c>
      <c r="AO651" s="101">
        <f>VLOOKUP(S651,FACTS!$A$17:$C$23,3,FALSE)</f>
        <v>2</v>
      </c>
      <c r="AP651" s="232">
        <f>VLOOKUP(AA651,FACTS!$B$2:$J$14,9,FALSE)</f>
        <v>204999.99999999997</v>
      </c>
      <c r="AQ651" s="232">
        <f>Table1[[#This Row],[PARKING VALUE]]*1</f>
        <v>204999.99999999997</v>
      </c>
      <c r="AR651" s="232">
        <f t="shared" si="103"/>
        <v>8271070.9374999991</v>
      </c>
      <c r="AS651" s="440">
        <f>Table1[[#This Row],[TOTAL CARS VALUE]]+Table1[[#This Row],[UNIT (BUILDING) VALUE BASIC FINISHED]]+Table1[[#This Row],[UNIT (GARDEN) VALUE]]</f>
        <v>9049570.9374999981</v>
      </c>
      <c r="AT651" s="232">
        <f>Table1[[#This Row],[TOTAL CARS VALUE]]+Table1[[#This Row],[UNIT (GARDEN) VALUE]]+Table1[[#This Row],[UNIT (BUILDING) VALUE FULLY FINISHED]]</f>
        <v>9568570.9374999981</v>
      </c>
      <c r="AU651" s="233">
        <f>VLOOKUP(I651,'C PHASES'!$I$108:$J$110,2,FALSE)</f>
        <v>46204</v>
      </c>
      <c r="AV651" s="233">
        <f>VLOOKUP(AA651,'C PHASES'!$I$113:$J$125,2,FALSE)</f>
        <v>45292</v>
      </c>
    </row>
    <row r="652" spans="1:48" x14ac:dyDescent="0.25">
      <c r="A652" s="236"/>
      <c r="B652" s="227" t="str">
        <f t="shared" si="102"/>
        <v>C</v>
      </c>
      <c r="C652" s="227" t="s">
        <v>86</v>
      </c>
      <c r="D652" s="227" t="s">
        <v>1147</v>
      </c>
      <c r="E652" s="228">
        <v>1</v>
      </c>
      <c r="F652" s="101">
        <v>2</v>
      </c>
      <c r="G652" s="87" t="str">
        <f t="shared" si="109"/>
        <v>C612</v>
      </c>
      <c r="H652" s="87" t="s">
        <v>1295</v>
      </c>
      <c r="I652" s="89" t="str">
        <f>VLOOKUP(C652,'PREMIUM TABLES'!$G$107:$H$149,2,FALSE)</f>
        <v>C2</v>
      </c>
      <c r="J652" s="89">
        <v>183.637</v>
      </c>
      <c r="K652" s="87">
        <v>203.48643253227053</v>
      </c>
      <c r="L652" s="87">
        <v>224</v>
      </c>
      <c r="M652" s="89"/>
      <c r="N652" s="89"/>
      <c r="O652" s="87" t="s">
        <v>187</v>
      </c>
      <c r="P652" s="87" t="s">
        <v>226</v>
      </c>
      <c r="Q652" s="229" t="s">
        <v>227</v>
      </c>
      <c r="R652" s="87" t="str">
        <f>VLOOKUP(E652,'PREMIUM TABLES'!$F$214:$G$219,2,FALSE)</f>
        <v>FIRST</v>
      </c>
      <c r="S652" s="87" t="str" cm="1">
        <f t="array" ref="S652">IF(AND(L652&gt;0,L652&lt;90),"A",IF(AND(L652&gt;90,L652&lt;123),"B",IF(AND(L652&gt;122,L652&lt;159),"C",IF(AND(L652&gt;159,L652&lt;185),"D",IF(AND(L652&gt;185,L652&lt;230),"E",IF(AND(L652&gt;230,L652&lt;350),"F",NONE))))))</f>
        <v>E</v>
      </c>
      <c r="T652" s="230">
        <f>VLOOKUP(O652,'PREMIUM TABLES'!$G$165:$H$172,2,FALSE)</f>
        <v>0.08</v>
      </c>
      <c r="U652" s="230">
        <f>VLOOKUP(P652,'PREMIUM TABLES'!$G$208:$H$209,2,FALSE)</f>
        <v>0.05</v>
      </c>
      <c r="V652" s="230">
        <f>VLOOKUP(Q652,'PREMIUM TABLES'!$G$175:$H$195,2,FALSE)</f>
        <v>0.48</v>
      </c>
      <c r="W652" s="230">
        <f>VLOOKUP(R652,'PREMIUM TABLES'!$G$214:$H$219,2,FALSE)</f>
        <v>7.0000000000000007E-2</v>
      </c>
      <c r="X652" s="230">
        <f>VLOOKUP(S652,'PREMIUM TABLES'!$F$199:$H$205,3,FALSE)</f>
        <v>1.4999999999999999E-2</v>
      </c>
      <c r="Y652" s="231">
        <f t="shared" si="104"/>
        <v>0.69499999999999995</v>
      </c>
      <c r="Z652" s="231" t="str" cm="1">
        <f t="array" ref="Z652">IF(AND(Y652&gt;0,Y652&lt;0.5),"C",IF(AND(Y652&gt;=0.5,Y652&lt;0.73),"B",IF(AND(Y652&gt;=0.73,Y652&lt;0.98),"A",NONE)))</f>
        <v>B</v>
      </c>
      <c r="AA652" s="231" t="str">
        <f>VLOOKUP(G652,'ALL (R)'!$N$5:$R$862,5,FALSE)</f>
        <v>R 8</v>
      </c>
      <c r="AB652" s="232">
        <f>VLOOKUP(AA652,FACTS!$B$2:$L$14,10,FALSE)</f>
        <v>51850</v>
      </c>
      <c r="AC652" s="232">
        <f>VLOOKUP(AA652,FACTS!$B$2:$L$14,11,FALSE)</f>
        <v>57950</v>
      </c>
      <c r="AD652" s="232">
        <f>VLOOKUP(AA652,FACTS!$B$2:$N$14,13,FALSE)</f>
        <v>6100</v>
      </c>
      <c r="AE652" s="232">
        <f t="shared" si="105"/>
        <v>4239.5</v>
      </c>
      <c r="AF652" s="232">
        <f t="shared" si="106"/>
        <v>56089.5</v>
      </c>
      <c r="AG652" s="232">
        <f>AF652*FACTS!$T$2</f>
        <v>18509.535</v>
      </c>
      <c r="AH652" s="232">
        <f>Table1[[#This Row],[UNIT (BUILDING) RATE (SEMI FINISHED)]]+4500</f>
        <v>60589.5</v>
      </c>
      <c r="AI652" s="232">
        <f>Table1[[#This Row],[UNIT (BUILDING) RATE (SEMI FINISHED)]]+7500</f>
        <v>63589.5</v>
      </c>
      <c r="AJ652" s="232">
        <f t="shared" si="107"/>
        <v>12564048</v>
      </c>
      <c r="AK652" s="232">
        <f>Table1[[#This Row],[UNIT (BUILDING) RATE (BASIC FINISH)]]*Table1[[#This Row],[Unit Selling Area]]</f>
        <v>13572048</v>
      </c>
      <c r="AL652" s="232">
        <f>Table1[[#This Row],[UNIT (BUILDING) RATE (FULLY FINISH)]]*Table1[[#This Row],[Unit Selling Area]]</f>
        <v>14244048</v>
      </c>
      <c r="AM652" s="232">
        <f t="shared" si="108"/>
        <v>0</v>
      </c>
      <c r="AN652" s="232">
        <f>(AM652+AJ652)*FACTS!$S$2</f>
        <v>1067944.08</v>
      </c>
      <c r="AO652" s="101">
        <f>VLOOKUP(S652,FACTS!$A$17:$C$23,3,FALSE)</f>
        <v>2</v>
      </c>
      <c r="AP652" s="232">
        <f>VLOOKUP(AA652,FACTS!$B$2:$J$14,9,FALSE)</f>
        <v>244000</v>
      </c>
      <c r="AQ652" s="232">
        <f>Table1[[#This Row],[PARKING VALUE]]*1</f>
        <v>244000</v>
      </c>
      <c r="AR652" s="232">
        <f t="shared" si="103"/>
        <v>12808048</v>
      </c>
      <c r="AS652" s="440">
        <f>Table1[[#This Row],[TOTAL CARS VALUE]]+Table1[[#This Row],[UNIT (BUILDING) VALUE BASIC FINISHED]]+Table1[[#This Row],[UNIT (GARDEN) VALUE]]</f>
        <v>13816048</v>
      </c>
      <c r="AT652" s="232">
        <f>Table1[[#This Row],[TOTAL CARS VALUE]]+Table1[[#This Row],[UNIT (GARDEN) VALUE]]+Table1[[#This Row],[UNIT (BUILDING) VALUE FULLY FINISHED]]</f>
        <v>14488048</v>
      </c>
      <c r="AU652" s="233">
        <f>VLOOKUP(I652,'C PHASES'!$I$108:$J$110,2,FALSE)</f>
        <v>46204</v>
      </c>
      <c r="AV652" s="233">
        <f>VLOOKUP(AA652,'C PHASES'!$I$113:$J$125,2,FALSE)</f>
        <v>45839</v>
      </c>
    </row>
    <row r="653" spans="1:48" x14ac:dyDescent="0.25">
      <c r="A653" s="236"/>
      <c r="B653" s="227" t="str">
        <f t="shared" si="102"/>
        <v>C</v>
      </c>
      <c r="C653" s="227" t="s">
        <v>86</v>
      </c>
      <c r="D653" s="227" t="s">
        <v>1147</v>
      </c>
      <c r="E653" s="228">
        <v>1</v>
      </c>
      <c r="F653" s="101">
        <v>3</v>
      </c>
      <c r="G653" s="87" t="str">
        <f t="shared" si="109"/>
        <v>C613</v>
      </c>
      <c r="H653" s="87" t="s">
        <v>1294</v>
      </c>
      <c r="I653" s="89" t="str">
        <f>VLOOKUP(C653,'PREMIUM TABLES'!$G$107:$H$149,2,FALSE)</f>
        <v>C2</v>
      </c>
      <c r="J653" s="89">
        <v>162.53100000000001</v>
      </c>
      <c r="K653" s="87">
        <v>180.09907244129704</v>
      </c>
      <c r="L653" s="87">
        <v>198</v>
      </c>
      <c r="M653" s="89"/>
      <c r="N653" s="89"/>
      <c r="O653" s="87" t="s">
        <v>187</v>
      </c>
      <c r="P653" s="87" t="s">
        <v>190</v>
      </c>
      <c r="Q653" s="229" t="s">
        <v>192</v>
      </c>
      <c r="R653" s="87" t="str">
        <f>VLOOKUP(E653,'PREMIUM TABLES'!$F$214:$G$219,2,FALSE)</f>
        <v>FIRST</v>
      </c>
      <c r="S653" s="87" t="str" cm="1">
        <f t="array" ref="S653">IF(AND(L653&gt;0,L653&lt;90),"A",IF(AND(L653&gt;90,L653&lt;123),"B",IF(AND(L653&gt;122,L653&lt;159),"C",IF(AND(L653&gt;159,L653&lt;185),"D",IF(AND(L653&gt;185,L653&lt;230),"E",IF(AND(L653&gt;230,L653&lt;350),"F",NONE))))))</f>
        <v>E</v>
      </c>
      <c r="T653" s="230">
        <f>VLOOKUP(O653,'PREMIUM TABLES'!$G$165:$H$172,2,FALSE)</f>
        <v>0.08</v>
      </c>
      <c r="U653" s="230">
        <f>VLOOKUP(P653,'PREMIUM TABLES'!$G$208:$H$209,2,FALSE)</f>
        <v>2.5000000000000001E-2</v>
      </c>
      <c r="V653" s="230">
        <f>VLOOKUP(Q653,'PREMIUM TABLES'!$G$175:$H$195,2,FALSE)</f>
        <v>0.46</v>
      </c>
      <c r="W653" s="230">
        <f>VLOOKUP(R653,'PREMIUM TABLES'!$G$214:$H$219,2,FALSE)</f>
        <v>7.0000000000000007E-2</v>
      </c>
      <c r="X653" s="230">
        <f>VLOOKUP(S653,'PREMIUM TABLES'!$F$199:$H$205,3,FALSE)</f>
        <v>1.4999999999999999E-2</v>
      </c>
      <c r="Y653" s="231">
        <f t="shared" si="104"/>
        <v>0.65</v>
      </c>
      <c r="Z653" s="231" t="str" cm="1">
        <f t="array" ref="Z653">IF(AND(Y653&gt;0,Y653&lt;0.5),"C",IF(AND(Y653&gt;=0.5,Y653&lt;0.73),"B",IF(AND(Y653&gt;=0.73,Y653&lt;0.98),"A",NONE)))</f>
        <v>B</v>
      </c>
      <c r="AA653" s="231" t="str">
        <f>VLOOKUP(G653,'ALL (R)'!$N$5:$R$862,5,FALSE)</f>
        <v>R 5</v>
      </c>
      <c r="AB653" s="232">
        <f>VLOOKUP(AA653,FACTS!$B$2:$L$14,10,FALSE)</f>
        <v>46750.000000000007</v>
      </c>
      <c r="AC653" s="232">
        <f>VLOOKUP(AA653,FACTS!$B$2:$L$14,11,FALSE)</f>
        <v>52250.000000000007</v>
      </c>
      <c r="AD653" s="232">
        <f>VLOOKUP(AA653,FACTS!$B$2:$N$14,13,FALSE)</f>
        <v>5500</v>
      </c>
      <c r="AE653" s="232">
        <f t="shared" si="105"/>
        <v>3575</v>
      </c>
      <c r="AF653" s="232">
        <f t="shared" si="106"/>
        <v>50325.000000000007</v>
      </c>
      <c r="AG653" s="232">
        <f>AF653*FACTS!$T$2</f>
        <v>16607.250000000004</v>
      </c>
      <c r="AH653" s="232">
        <f>Table1[[#This Row],[UNIT (BUILDING) RATE (SEMI FINISHED)]]+4500</f>
        <v>54825.000000000007</v>
      </c>
      <c r="AI653" s="232">
        <f>Table1[[#This Row],[UNIT (BUILDING) RATE (SEMI FINISHED)]]+7500</f>
        <v>57825.000000000007</v>
      </c>
      <c r="AJ653" s="232">
        <f t="shared" si="107"/>
        <v>9964350.0000000019</v>
      </c>
      <c r="AK653" s="232">
        <f>Table1[[#This Row],[UNIT (BUILDING) RATE (BASIC FINISH)]]*Table1[[#This Row],[Unit Selling Area]]</f>
        <v>10855350.000000002</v>
      </c>
      <c r="AL653" s="232">
        <f>Table1[[#This Row],[UNIT (BUILDING) RATE (FULLY FINISH)]]*Table1[[#This Row],[Unit Selling Area]]</f>
        <v>11449350.000000002</v>
      </c>
      <c r="AM653" s="232">
        <f t="shared" si="108"/>
        <v>0</v>
      </c>
      <c r="AN653" s="232">
        <f>(AM653+AJ653)*FACTS!$S$2</f>
        <v>846969.75000000023</v>
      </c>
      <c r="AO653" s="101">
        <f>VLOOKUP(S653,FACTS!$A$17:$C$23,3,FALSE)</f>
        <v>2</v>
      </c>
      <c r="AP653" s="232">
        <f>VLOOKUP(AA653,FACTS!$B$2:$J$14,9,FALSE)</f>
        <v>220000.00000000003</v>
      </c>
      <c r="AQ653" s="232">
        <f>Table1[[#This Row],[PARKING VALUE]]*1</f>
        <v>220000.00000000003</v>
      </c>
      <c r="AR653" s="232">
        <f t="shared" si="103"/>
        <v>10184350.000000002</v>
      </c>
      <c r="AS653" s="440">
        <f>Table1[[#This Row],[TOTAL CARS VALUE]]+Table1[[#This Row],[UNIT (BUILDING) VALUE BASIC FINISHED]]+Table1[[#This Row],[UNIT (GARDEN) VALUE]]</f>
        <v>11075350.000000002</v>
      </c>
      <c r="AT653" s="232">
        <f>Table1[[#This Row],[TOTAL CARS VALUE]]+Table1[[#This Row],[UNIT (GARDEN) VALUE]]+Table1[[#This Row],[UNIT (BUILDING) VALUE FULLY FINISHED]]</f>
        <v>11669350.000000002</v>
      </c>
      <c r="AU653" s="233">
        <f>VLOOKUP(I653,'C PHASES'!$I$108:$J$110,2,FALSE)</f>
        <v>46204</v>
      </c>
      <c r="AV653" s="233">
        <f>VLOOKUP(AA653,'C PHASES'!$I$113:$J$125,2,FALSE)</f>
        <v>45566</v>
      </c>
    </row>
    <row r="654" spans="1:48" x14ac:dyDescent="0.25">
      <c r="A654" s="236"/>
      <c r="B654" s="227" t="str">
        <f t="shared" si="102"/>
        <v>C</v>
      </c>
      <c r="C654" s="227" t="s">
        <v>86</v>
      </c>
      <c r="D654" s="227" t="s">
        <v>1147</v>
      </c>
      <c r="E654" s="228">
        <v>1</v>
      </c>
      <c r="F654" s="101">
        <v>4</v>
      </c>
      <c r="G654" s="87" t="str">
        <f t="shared" si="109"/>
        <v>C614</v>
      </c>
      <c r="H654" s="87" t="s">
        <v>1293</v>
      </c>
      <c r="I654" s="89" t="str">
        <f>VLOOKUP(C654,'PREMIUM TABLES'!$G$107:$H$149,2,FALSE)</f>
        <v>C2</v>
      </c>
      <c r="J654" s="89">
        <v>96.271000000000001</v>
      </c>
      <c r="K654" s="87">
        <v>106.6769896388757</v>
      </c>
      <c r="L654" s="87">
        <v>117</v>
      </c>
      <c r="M654" s="89"/>
      <c r="N654" s="89"/>
      <c r="O654" s="87" t="s">
        <v>180</v>
      </c>
      <c r="P654" s="87" t="s">
        <v>190</v>
      </c>
      <c r="Q654" s="229" t="s">
        <v>199</v>
      </c>
      <c r="R654" s="87" t="str">
        <f>VLOOKUP(E654,'PREMIUM TABLES'!$F$214:$G$219,2,FALSE)</f>
        <v>FIRST</v>
      </c>
      <c r="S654" s="87" t="str" cm="1">
        <f t="array" ref="S654">IF(AND(L654&gt;0,L654&lt;90),"A",IF(AND(L654&gt;90,L654&lt;123),"B",IF(AND(L654&gt;122,L654&lt;159),"C",IF(AND(L654&gt;159,L654&lt;185),"D",IF(AND(L654&gt;185,L654&lt;230),"E",IF(AND(L654&gt;230,L654&lt;350),"F",NONE))))))</f>
        <v>B</v>
      </c>
      <c r="T654" s="230">
        <f>VLOOKUP(O654,'PREMIUM TABLES'!$G$165:$H$172,2,FALSE)</f>
        <v>0.13</v>
      </c>
      <c r="U654" s="230">
        <f>VLOOKUP(P654,'PREMIUM TABLES'!$G$208:$H$209,2,FALSE)</f>
        <v>2.5000000000000001E-2</v>
      </c>
      <c r="V654" s="230">
        <f>VLOOKUP(Q654,'PREMIUM TABLES'!$G$175:$H$195,2,FALSE)</f>
        <v>0.13</v>
      </c>
      <c r="W654" s="230">
        <f>VLOOKUP(R654,'PREMIUM TABLES'!$G$214:$H$219,2,FALSE)</f>
        <v>7.0000000000000007E-2</v>
      </c>
      <c r="X654" s="230">
        <f>VLOOKUP(S654,'PREMIUM TABLES'!$F$199:$H$205,3,FALSE)</f>
        <v>0.04</v>
      </c>
      <c r="Y654" s="231">
        <f t="shared" si="104"/>
        <v>0.39500000000000002</v>
      </c>
      <c r="Z654" s="231" t="str" cm="1">
        <f t="array" ref="Z654">IF(AND(Y654&gt;0,Y654&lt;0.5),"C",IF(AND(Y654&gt;=0.5,Y654&lt;0.73),"B",IF(AND(Y654&gt;=0.73,Y654&lt;0.98),"A",NONE)))</f>
        <v>C</v>
      </c>
      <c r="AA654" s="231" t="str">
        <f>VLOOKUP(G654,'ALL (R)'!$N$5:$R$862,5,FALSE)</f>
        <v>R 4</v>
      </c>
      <c r="AB654" s="232">
        <f>VLOOKUP(AA654,FACTS!$B$2:$L$14,10,FALSE)</f>
        <v>45687.5</v>
      </c>
      <c r="AC654" s="232">
        <f>VLOOKUP(AA654,FACTS!$B$2:$L$14,11,FALSE)</f>
        <v>51062.5</v>
      </c>
      <c r="AD654" s="232">
        <f>VLOOKUP(AA654,FACTS!$B$2:$N$14,13,FALSE)</f>
        <v>5375</v>
      </c>
      <c r="AE654" s="232">
        <f t="shared" si="105"/>
        <v>2123.125</v>
      </c>
      <c r="AF654" s="232">
        <f t="shared" si="106"/>
        <v>47810.625</v>
      </c>
      <c r="AG654" s="232">
        <f>AF654*FACTS!$T$2</f>
        <v>15777.50625</v>
      </c>
      <c r="AH654" s="232">
        <f>Table1[[#This Row],[UNIT (BUILDING) RATE (SEMI FINISHED)]]+4500</f>
        <v>52310.625</v>
      </c>
      <c r="AI654" s="232">
        <f>Table1[[#This Row],[UNIT (BUILDING) RATE (SEMI FINISHED)]]+7500</f>
        <v>55310.625</v>
      </c>
      <c r="AJ654" s="232">
        <f t="shared" si="107"/>
        <v>5593843.125</v>
      </c>
      <c r="AK654" s="232">
        <f>Table1[[#This Row],[UNIT (BUILDING) RATE (BASIC FINISH)]]*Table1[[#This Row],[Unit Selling Area]]</f>
        <v>6120343.125</v>
      </c>
      <c r="AL654" s="232">
        <f>Table1[[#This Row],[UNIT (BUILDING) RATE (FULLY FINISH)]]*Table1[[#This Row],[Unit Selling Area]]</f>
        <v>6471343.125</v>
      </c>
      <c r="AM654" s="232">
        <f t="shared" si="108"/>
        <v>0</v>
      </c>
      <c r="AN654" s="232">
        <f>(AM654+AJ654)*FACTS!$S$2</f>
        <v>475476.66562500002</v>
      </c>
      <c r="AO654" s="101">
        <f>VLOOKUP(S654,FACTS!$A$17:$C$23,3,FALSE)</f>
        <v>1</v>
      </c>
      <c r="AP654" s="232">
        <f>VLOOKUP(AA654,FACTS!$B$2:$J$14,9,FALSE)</f>
        <v>215000</v>
      </c>
      <c r="AQ654" s="232">
        <f>Table1[[#This Row],[PARKING VALUE]]*1</f>
        <v>215000</v>
      </c>
      <c r="AR654" s="232">
        <f t="shared" si="103"/>
        <v>5808843.125</v>
      </c>
      <c r="AS654" s="440">
        <f>Table1[[#This Row],[TOTAL CARS VALUE]]+Table1[[#This Row],[UNIT (BUILDING) VALUE BASIC FINISHED]]+Table1[[#This Row],[UNIT (GARDEN) VALUE]]</f>
        <v>6335343.125</v>
      </c>
      <c r="AT654" s="232">
        <f>Table1[[#This Row],[TOTAL CARS VALUE]]+Table1[[#This Row],[UNIT (GARDEN) VALUE]]+Table1[[#This Row],[UNIT (BUILDING) VALUE FULLY FINISHED]]</f>
        <v>6686343.125</v>
      </c>
      <c r="AU654" s="233">
        <f>VLOOKUP(I654,'C PHASES'!$I$108:$J$110,2,FALSE)</f>
        <v>46204</v>
      </c>
      <c r="AV654" s="233">
        <f>VLOOKUP(AA654,'C PHASES'!$I$113:$J$125,2,FALSE)</f>
        <v>45474</v>
      </c>
    </row>
    <row r="655" spans="1:48" x14ac:dyDescent="0.25">
      <c r="A655" s="236"/>
      <c r="B655" s="227" t="str">
        <f t="shared" si="102"/>
        <v>C</v>
      </c>
      <c r="C655" s="227" t="s">
        <v>86</v>
      </c>
      <c r="D655" s="227" t="s">
        <v>1147</v>
      </c>
      <c r="E655" s="228">
        <v>2</v>
      </c>
      <c r="F655" s="101">
        <v>1</v>
      </c>
      <c r="G655" s="87" t="str">
        <f t="shared" si="109"/>
        <v>C621</v>
      </c>
      <c r="H655" s="87" t="s">
        <v>1294</v>
      </c>
      <c r="I655" s="89" t="str">
        <f>VLOOKUP(C655,'PREMIUM TABLES'!$G$107:$H$149,2,FALSE)</f>
        <v>C2</v>
      </c>
      <c r="J655" s="89">
        <v>143.989</v>
      </c>
      <c r="K655" s="87">
        <v>159.55285663504142</v>
      </c>
      <c r="L655" s="87">
        <v>176</v>
      </c>
      <c r="M655" s="89"/>
      <c r="N655" s="89"/>
      <c r="O655" s="87" t="s">
        <v>180</v>
      </c>
      <c r="P655" s="87" t="s">
        <v>226</v>
      </c>
      <c r="Q655" s="229" t="s">
        <v>230</v>
      </c>
      <c r="R655" s="87" t="str">
        <f>VLOOKUP(E655,'PREMIUM TABLES'!$F$214:$G$219,2,FALSE)</f>
        <v>SECOND</v>
      </c>
      <c r="S655" s="87" t="str" cm="1">
        <f t="array" ref="S655">IF(AND(L655&gt;0,L655&lt;90),"A",IF(AND(L655&gt;90,L655&lt;123),"B",IF(AND(L655&gt;122,L655&lt;159),"C",IF(AND(L655&gt;159,L655&lt;185),"D",IF(AND(L655&gt;185,L655&lt;230),"E",IF(AND(L655&gt;230,L655&lt;350),"F",NONE))))))</f>
        <v>D</v>
      </c>
      <c r="T655" s="230">
        <f>VLOOKUP(O655,'PREMIUM TABLES'!$G$165:$H$172,2,FALSE)</f>
        <v>0.13</v>
      </c>
      <c r="U655" s="230">
        <f>VLOOKUP(P655,'PREMIUM TABLES'!$G$208:$H$209,2,FALSE)</f>
        <v>0.05</v>
      </c>
      <c r="V655" s="230">
        <f>VLOOKUP(Q655,'PREMIUM TABLES'!$G$175:$H$195,2,FALSE)</f>
        <v>0.32250000000000001</v>
      </c>
      <c r="W655" s="230">
        <f>VLOOKUP(R655,'PREMIUM TABLES'!$G$214:$H$219,2,FALSE)</f>
        <v>0.11</v>
      </c>
      <c r="X655" s="230">
        <f>VLOOKUP(S655,'PREMIUM TABLES'!$F$199:$H$205,3,FALSE)</f>
        <v>2.5000000000000001E-2</v>
      </c>
      <c r="Y655" s="231">
        <f t="shared" si="104"/>
        <v>0.63749999999999996</v>
      </c>
      <c r="Z655" s="231" t="str" cm="1">
        <f t="array" ref="Z655">IF(AND(Y655&gt;0,Y655&lt;0.5),"C",IF(AND(Y655&gt;=0.5,Y655&lt;0.73),"B",IF(AND(Y655&gt;=0.73,Y655&lt;0.98),"A",NONE)))</f>
        <v>B</v>
      </c>
      <c r="AA655" s="231" t="str">
        <f>VLOOKUP(G655,'ALL (R)'!$N$5:$R$862,5,FALSE)</f>
        <v>R 4</v>
      </c>
      <c r="AB655" s="232">
        <f>VLOOKUP(AA655,FACTS!$B$2:$L$14,10,FALSE)</f>
        <v>45687.5</v>
      </c>
      <c r="AC655" s="232">
        <f>VLOOKUP(AA655,FACTS!$B$2:$L$14,11,FALSE)</f>
        <v>51062.5</v>
      </c>
      <c r="AD655" s="232">
        <f>VLOOKUP(AA655,FACTS!$B$2:$N$14,13,FALSE)</f>
        <v>5375</v>
      </c>
      <c r="AE655" s="232">
        <f t="shared" si="105"/>
        <v>3426.5624999999995</v>
      </c>
      <c r="AF655" s="232">
        <f t="shared" si="106"/>
        <v>49114.0625</v>
      </c>
      <c r="AG655" s="232">
        <f>AF655*FACTS!$T$2</f>
        <v>16207.640625</v>
      </c>
      <c r="AH655" s="232">
        <f>Table1[[#This Row],[UNIT (BUILDING) RATE (SEMI FINISHED)]]+4500</f>
        <v>53614.0625</v>
      </c>
      <c r="AI655" s="232">
        <f>Table1[[#This Row],[UNIT (BUILDING) RATE (SEMI FINISHED)]]+7500</f>
        <v>56614.0625</v>
      </c>
      <c r="AJ655" s="232">
        <f t="shared" si="107"/>
        <v>8644075</v>
      </c>
      <c r="AK655" s="232">
        <f>Table1[[#This Row],[UNIT (BUILDING) RATE (BASIC FINISH)]]*Table1[[#This Row],[Unit Selling Area]]</f>
        <v>9436075</v>
      </c>
      <c r="AL655" s="232">
        <f>Table1[[#This Row],[UNIT (BUILDING) RATE (FULLY FINISH)]]*Table1[[#This Row],[Unit Selling Area]]</f>
        <v>9964075</v>
      </c>
      <c r="AM655" s="232">
        <f t="shared" si="108"/>
        <v>0</v>
      </c>
      <c r="AN655" s="232">
        <f>(AM655+AJ655)*FACTS!$S$2</f>
        <v>734746.375</v>
      </c>
      <c r="AO655" s="101">
        <f>VLOOKUP(S655,FACTS!$A$17:$C$23,3,FALSE)</f>
        <v>2</v>
      </c>
      <c r="AP655" s="232">
        <f>VLOOKUP(AA655,FACTS!$B$2:$J$14,9,FALSE)</f>
        <v>215000</v>
      </c>
      <c r="AQ655" s="232">
        <f>Table1[[#This Row],[PARKING VALUE]]*1</f>
        <v>215000</v>
      </c>
      <c r="AR655" s="232">
        <f t="shared" si="103"/>
        <v>8859075</v>
      </c>
      <c r="AS655" s="440">
        <f>Table1[[#This Row],[TOTAL CARS VALUE]]+Table1[[#This Row],[UNIT (BUILDING) VALUE BASIC FINISHED]]+Table1[[#This Row],[UNIT (GARDEN) VALUE]]</f>
        <v>9651075</v>
      </c>
      <c r="AT655" s="232">
        <f>Table1[[#This Row],[TOTAL CARS VALUE]]+Table1[[#This Row],[UNIT (GARDEN) VALUE]]+Table1[[#This Row],[UNIT (BUILDING) VALUE FULLY FINISHED]]</f>
        <v>10179075</v>
      </c>
      <c r="AU655" s="233">
        <f>VLOOKUP(I655,'C PHASES'!$I$108:$J$110,2,FALSE)</f>
        <v>46204</v>
      </c>
      <c r="AV655" s="233">
        <f>VLOOKUP(AA655,'C PHASES'!$I$113:$J$125,2,FALSE)</f>
        <v>45474</v>
      </c>
    </row>
    <row r="656" spans="1:48" x14ac:dyDescent="0.25">
      <c r="A656" s="236"/>
      <c r="B656" s="227" t="str">
        <f t="shared" si="102"/>
        <v>C</v>
      </c>
      <c r="C656" s="227" t="s">
        <v>86</v>
      </c>
      <c r="D656" s="227" t="s">
        <v>1147</v>
      </c>
      <c r="E656" s="228">
        <v>2</v>
      </c>
      <c r="F656" s="101">
        <v>2</v>
      </c>
      <c r="G656" s="87" t="str">
        <f t="shared" si="109"/>
        <v>C622</v>
      </c>
      <c r="H656" s="87" t="s">
        <v>1295</v>
      </c>
      <c r="I656" s="89" t="str">
        <f>VLOOKUP(C656,'PREMIUM TABLES'!$G$107:$H$149,2,FALSE)</f>
        <v>C2</v>
      </c>
      <c r="J656" s="89">
        <v>187.1</v>
      </c>
      <c r="K656" s="87">
        <v>207.32375026159116</v>
      </c>
      <c r="L656" s="87">
        <v>228</v>
      </c>
      <c r="M656" s="89"/>
      <c r="N656" s="89"/>
      <c r="O656" s="87" t="s">
        <v>187</v>
      </c>
      <c r="P656" s="87" t="s">
        <v>226</v>
      </c>
      <c r="Q656" s="229" t="s">
        <v>227</v>
      </c>
      <c r="R656" s="87" t="str">
        <f>VLOOKUP(E656,'PREMIUM TABLES'!$F$214:$G$219,2,FALSE)</f>
        <v>SECOND</v>
      </c>
      <c r="S656" s="87" t="str" cm="1">
        <f t="array" ref="S656">IF(AND(L656&gt;0,L656&lt;90),"A",IF(AND(L656&gt;90,L656&lt;123),"B",IF(AND(L656&gt;122,L656&lt;159),"C",IF(AND(L656&gt;159,L656&lt;185),"D",IF(AND(L656&gt;185,L656&lt;230),"E",IF(AND(L656&gt;230,L656&lt;350),"F",NONE))))))</f>
        <v>E</v>
      </c>
      <c r="T656" s="230">
        <f>VLOOKUP(O656,'PREMIUM TABLES'!$G$165:$H$172,2,FALSE)</f>
        <v>0.08</v>
      </c>
      <c r="U656" s="230">
        <f>VLOOKUP(P656,'PREMIUM TABLES'!$G$208:$H$209,2,FALSE)</f>
        <v>0.05</v>
      </c>
      <c r="V656" s="230">
        <f>VLOOKUP(Q656,'PREMIUM TABLES'!$G$175:$H$195,2,FALSE)</f>
        <v>0.48</v>
      </c>
      <c r="W656" s="230">
        <f>VLOOKUP(R656,'PREMIUM TABLES'!$G$214:$H$219,2,FALSE)</f>
        <v>0.11</v>
      </c>
      <c r="X656" s="230">
        <f>VLOOKUP(S656,'PREMIUM TABLES'!$F$199:$H$205,3,FALSE)</f>
        <v>1.4999999999999999E-2</v>
      </c>
      <c r="Y656" s="231">
        <f t="shared" si="104"/>
        <v>0.73499999999999999</v>
      </c>
      <c r="Z656" s="231" t="str" cm="1">
        <f t="array" ref="Z656">IF(AND(Y656&gt;0,Y656&lt;0.5),"C",IF(AND(Y656&gt;=0.5,Y656&lt;0.73),"B",IF(AND(Y656&gt;=0.73,Y656&lt;0.98),"A",NONE)))</f>
        <v>A</v>
      </c>
      <c r="AA656" s="231" t="str">
        <f>VLOOKUP(G656,'ALL (R)'!$N$5:$R$862,5,FALSE)</f>
        <v>R 1</v>
      </c>
      <c r="AB656" s="232">
        <f>VLOOKUP(AA656,FACTS!$B$2:$L$14,10,FALSE)</f>
        <v>42500</v>
      </c>
      <c r="AC656" s="232">
        <f>VLOOKUP(AA656,FACTS!$B$2:$L$14,11,FALSE)</f>
        <v>47500</v>
      </c>
      <c r="AD656" s="232">
        <f>VLOOKUP(AA656,FACTS!$B$2:$N$14,13,FALSE)</f>
        <v>5000</v>
      </c>
      <c r="AE656" s="232">
        <f t="shared" si="105"/>
        <v>3675</v>
      </c>
      <c r="AF656" s="232">
        <f t="shared" si="106"/>
        <v>46175</v>
      </c>
      <c r="AG656" s="232">
        <f>AF656*FACTS!$T$2</f>
        <v>15237.75</v>
      </c>
      <c r="AH656" s="232">
        <f>Table1[[#This Row],[UNIT (BUILDING) RATE (SEMI FINISHED)]]+4500</f>
        <v>50675</v>
      </c>
      <c r="AI656" s="232">
        <f>Table1[[#This Row],[UNIT (BUILDING) RATE (SEMI FINISHED)]]+7500</f>
        <v>53675</v>
      </c>
      <c r="AJ656" s="232">
        <f t="shared" si="107"/>
        <v>10527900</v>
      </c>
      <c r="AK656" s="232">
        <f>Table1[[#This Row],[UNIT (BUILDING) RATE (BASIC FINISH)]]*Table1[[#This Row],[Unit Selling Area]]</f>
        <v>11553900</v>
      </c>
      <c r="AL656" s="232">
        <f>Table1[[#This Row],[UNIT (BUILDING) RATE (FULLY FINISH)]]*Table1[[#This Row],[Unit Selling Area]]</f>
        <v>12237900</v>
      </c>
      <c r="AM656" s="232">
        <f t="shared" si="108"/>
        <v>0</v>
      </c>
      <c r="AN656" s="232">
        <f>(AM656+AJ656)*FACTS!$S$2</f>
        <v>894871.50000000012</v>
      </c>
      <c r="AO656" s="101">
        <f>VLOOKUP(S656,FACTS!$A$17:$C$23,3,FALSE)</f>
        <v>2</v>
      </c>
      <c r="AP656" s="232">
        <f>VLOOKUP(AA656,FACTS!$B$2:$J$14,9,FALSE)</f>
        <v>200000</v>
      </c>
      <c r="AQ656" s="232">
        <f>Table1[[#This Row],[PARKING VALUE]]*1</f>
        <v>200000</v>
      </c>
      <c r="AR656" s="232">
        <f t="shared" si="103"/>
        <v>10727900</v>
      </c>
      <c r="AS656" s="440">
        <f>Table1[[#This Row],[TOTAL CARS VALUE]]+Table1[[#This Row],[UNIT (BUILDING) VALUE BASIC FINISHED]]+Table1[[#This Row],[UNIT (GARDEN) VALUE]]</f>
        <v>11753900</v>
      </c>
      <c r="AT656" s="232">
        <f>Table1[[#This Row],[TOTAL CARS VALUE]]+Table1[[#This Row],[UNIT (GARDEN) VALUE]]+Table1[[#This Row],[UNIT (BUILDING) VALUE FULLY FINISHED]]</f>
        <v>12437900</v>
      </c>
      <c r="AU656" s="233">
        <f>VLOOKUP(I656,'C PHASES'!$I$108:$J$110,2,FALSE)</f>
        <v>46204</v>
      </c>
      <c r="AV656" s="233">
        <f>VLOOKUP(AA656,'C PHASES'!$I$113:$J$125,2,FALSE)</f>
        <v>45170</v>
      </c>
    </row>
    <row r="657" spans="1:48" x14ac:dyDescent="0.25">
      <c r="A657" s="236"/>
      <c r="B657" s="227" t="str">
        <f t="shared" si="102"/>
        <v>C</v>
      </c>
      <c r="C657" s="227" t="s">
        <v>86</v>
      </c>
      <c r="D657" s="227" t="s">
        <v>1147</v>
      </c>
      <c r="E657" s="228">
        <v>2</v>
      </c>
      <c r="F657" s="101">
        <v>3</v>
      </c>
      <c r="G657" s="87" t="str">
        <f t="shared" si="109"/>
        <v>C623</v>
      </c>
      <c r="H657" s="87" t="s">
        <v>1294</v>
      </c>
      <c r="I657" s="89" t="str">
        <f>VLOOKUP(C657,'PREMIUM TABLES'!$G$107:$H$149,2,FALSE)</f>
        <v>C2</v>
      </c>
      <c r="J657" s="89">
        <v>167.16900000000001</v>
      </c>
      <c r="K657" s="87">
        <v>185.23839661934761</v>
      </c>
      <c r="L657" s="87">
        <v>204</v>
      </c>
      <c r="M657" s="89"/>
      <c r="N657" s="89"/>
      <c r="O657" s="87" t="s">
        <v>187</v>
      </c>
      <c r="P657" s="87" t="s">
        <v>190</v>
      </c>
      <c r="Q657" s="229" t="s">
        <v>192</v>
      </c>
      <c r="R657" s="87" t="str">
        <f>VLOOKUP(E657,'PREMIUM TABLES'!$F$214:$G$219,2,FALSE)</f>
        <v>SECOND</v>
      </c>
      <c r="S657" s="87" t="str" cm="1">
        <f t="array" ref="S657">IF(AND(L657&gt;0,L657&lt;90),"A",IF(AND(L657&gt;90,L657&lt;123),"B",IF(AND(L657&gt;122,L657&lt;159),"C",IF(AND(L657&gt;159,L657&lt;185),"D",IF(AND(L657&gt;185,L657&lt;230),"E",IF(AND(L657&gt;230,L657&lt;350),"F",NONE))))))</f>
        <v>E</v>
      </c>
      <c r="T657" s="230">
        <f>VLOOKUP(O657,'PREMIUM TABLES'!$G$165:$H$172,2,FALSE)</f>
        <v>0.08</v>
      </c>
      <c r="U657" s="230">
        <f>VLOOKUP(P657,'PREMIUM TABLES'!$G$208:$H$209,2,FALSE)</f>
        <v>2.5000000000000001E-2</v>
      </c>
      <c r="V657" s="230">
        <f>VLOOKUP(Q657,'PREMIUM TABLES'!$G$175:$H$195,2,FALSE)</f>
        <v>0.46</v>
      </c>
      <c r="W657" s="230">
        <f>VLOOKUP(R657,'PREMIUM TABLES'!$G$214:$H$219,2,FALSE)</f>
        <v>0.11</v>
      </c>
      <c r="X657" s="230">
        <f>VLOOKUP(S657,'PREMIUM TABLES'!$F$199:$H$205,3,FALSE)</f>
        <v>1.4999999999999999E-2</v>
      </c>
      <c r="Y657" s="231">
        <f t="shared" si="104"/>
        <v>0.69000000000000006</v>
      </c>
      <c r="Z657" s="231" t="str" cm="1">
        <f t="array" ref="Z657">IF(AND(Y657&gt;0,Y657&lt;0.5),"C",IF(AND(Y657&gt;=0.5,Y657&lt;0.73),"B",IF(AND(Y657&gt;=0.73,Y657&lt;0.98),"A",NONE)))</f>
        <v>B</v>
      </c>
      <c r="AA657" s="231" t="str">
        <f>VLOOKUP(G657,'ALL (R)'!$N$5:$R$862,5,FALSE)</f>
        <v>R 8</v>
      </c>
      <c r="AB657" s="232">
        <f>VLOOKUP(AA657,FACTS!$B$2:$L$14,10,FALSE)</f>
        <v>51850</v>
      </c>
      <c r="AC657" s="232">
        <f>VLOOKUP(AA657,FACTS!$B$2:$L$14,11,FALSE)</f>
        <v>57950</v>
      </c>
      <c r="AD657" s="232">
        <f>VLOOKUP(AA657,FACTS!$B$2:$N$14,13,FALSE)</f>
        <v>6100</v>
      </c>
      <c r="AE657" s="232">
        <f t="shared" si="105"/>
        <v>4209</v>
      </c>
      <c r="AF657" s="232">
        <f t="shared" si="106"/>
        <v>56059</v>
      </c>
      <c r="AG657" s="232">
        <f>AF657*FACTS!$T$2</f>
        <v>18499.47</v>
      </c>
      <c r="AH657" s="232">
        <f>Table1[[#This Row],[UNIT (BUILDING) RATE (SEMI FINISHED)]]+4500</f>
        <v>60559</v>
      </c>
      <c r="AI657" s="232">
        <f>Table1[[#This Row],[UNIT (BUILDING) RATE (SEMI FINISHED)]]+7500</f>
        <v>63559</v>
      </c>
      <c r="AJ657" s="232">
        <f t="shared" si="107"/>
        <v>11436036</v>
      </c>
      <c r="AK657" s="232">
        <f>Table1[[#This Row],[UNIT (BUILDING) RATE (BASIC FINISH)]]*Table1[[#This Row],[Unit Selling Area]]</f>
        <v>12354036</v>
      </c>
      <c r="AL657" s="232">
        <f>Table1[[#This Row],[UNIT (BUILDING) RATE (FULLY FINISH)]]*Table1[[#This Row],[Unit Selling Area]]</f>
        <v>12966036</v>
      </c>
      <c r="AM657" s="232">
        <f t="shared" si="108"/>
        <v>0</v>
      </c>
      <c r="AN657" s="232">
        <f>(AM657+AJ657)*FACTS!$S$2</f>
        <v>972063.06</v>
      </c>
      <c r="AO657" s="101">
        <f>VLOOKUP(S657,FACTS!$A$17:$C$23,3,FALSE)</f>
        <v>2</v>
      </c>
      <c r="AP657" s="232">
        <f>VLOOKUP(AA657,FACTS!$B$2:$J$14,9,FALSE)</f>
        <v>244000</v>
      </c>
      <c r="AQ657" s="232">
        <f>Table1[[#This Row],[PARKING VALUE]]*1</f>
        <v>244000</v>
      </c>
      <c r="AR657" s="232">
        <f t="shared" si="103"/>
        <v>11680036</v>
      </c>
      <c r="AS657" s="440">
        <f>Table1[[#This Row],[TOTAL CARS VALUE]]+Table1[[#This Row],[UNIT (BUILDING) VALUE BASIC FINISHED]]+Table1[[#This Row],[UNIT (GARDEN) VALUE]]</f>
        <v>12598036</v>
      </c>
      <c r="AT657" s="232">
        <f>Table1[[#This Row],[TOTAL CARS VALUE]]+Table1[[#This Row],[UNIT (GARDEN) VALUE]]+Table1[[#This Row],[UNIT (BUILDING) VALUE FULLY FINISHED]]</f>
        <v>13210036</v>
      </c>
      <c r="AU657" s="233">
        <f>VLOOKUP(I657,'C PHASES'!$I$108:$J$110,2,FALSE)</f>
        <v>46204</v>
      </c>
      <c r="AV657" s="233">
        <f>VLOOKUP(AA657,'C PHASES'!$I$113:$J$125,2,FALSE)</f>
        <v>45839</v>
      </c>
    </row>
    <row r="658" spans="1:48" x14ac:dyDescent="0.25">
      <c r="A658" s="236"/>
      <c r="B658" s="227" t="str">
        <f t="shared" si="102"/>
        <v>C</v>
      </c>
      <c r="C658" s="227" t="s">
        <v>86</v>
      </c>
      <c r="D658" s="227" t="s">
        <v>1147</v>
      </c>
      <c r="E658" s="228">
        <v>2</v>
      </c>
      <c r="F658" s="101">
        <v>4</v>
      </c>
      <c r="G658" s="87" t="str">
        <f t="shared" si="109"/>
        <v>C624</v>
      </c>
      <c r="H658" s="87" t="s">
        <v>1294</v>
      </c>
      <c r="I658" s="89" t="str">
        <f>VLOOKUP(C658,'PREMIUM TABLES'!$G$107:$H$149,2,FALSE)</f>
        <v>C2</v>
      </c>
      <c r="J658" s="89">
        <v>141.18700000000001</v>
      </c>
      <c r="K658" s="87">
        <v>156.44798678879354</v>
      </c>
      <c r="L658" s="87">
        <v>172</v>
      </c>
      <c r="M658" s="89"/>
      <c r="N658" s="89"/>
      <c r="O658" s="87" t="s">
        <v>180</v>
      </c>
      <c r="P658" s="87" t="s">
        <v>190</v>
      </c>
      <c r="Q658" s="229" t="s">
        <v>199</v>
      </c>
      <c r="R658" s="87" t="str">
        <f>VLOOKUP(E658,'PREMIUM TABLES'!$F$214:$G$219,2,FALSE)</f>
        <v>SECOND</v>
      </c>
      <c r="S658" s="87" t="str" cm="1">
        <f t="array" ref="S658">IF(AND(L658&gt;0,L658&lt;90),"A",IF(AND(L658&gt;90,L658&lt;123),"B",IF(AND(L658&gt;122,L658&lt;159),"C",IF(AND(L658&gt;159,L658&lt;185),"D",IF(AND(L658&gt;185,L658&lt;230),"E",IF(AND(L658&gt;230,L658&lt;350),"F",NONE))))))</f>
        <v>D</v>
      </c>
      <c r="T658" s="230">
        <f>VLOOKUP(O658,'PREMIUM TABLES'!$G$165:$H$172,2,FALSE)</f>
        <v>0.13</v>
      </c>
      <c r="U658" s="230">
        <f>VLOOKUP(P658,'PREMIUM TABLES'!$G$208:$H$209,2,FALSE)</f>
        <v>2.5000000000000001E-2</v>
      </c>
      <c r="V658" s="230">
        <f>VLOOKUP(Q658,'PREMIUM TABLES'!$G$175:$H$195,2,FALSE)</f>
        <v>0.13</v>
      </c>
      <c r="W658" s="230">
        <f>VLOOKUP(R658,'PREMIUM TABLES'!$G$214:$H$219,2,FALSE)</f>
        <v>0.11</v>
      </c>
      <c r="X658" s="230">
        <f>VLOOKUP(S658,'PREMIUM TABLES'!$F$199:$H$205,3,FALSE)</f>
        <v>2.5000000000000001E-2</v>
      </c>
      <c r="Y658" s="231">
        <f t="shared" si="104"/>
        <v>0.42000000000000004</v>
      </c>
      <c r="Z658" s="231" t="str" cm="1">
        <f t="array" ref="Z658">IF(AND(Y658&gt;0,Y658&lt;0.5),"C",IF(AND(Y658&gt;=0.5,Y658&lt;0.73),"B",IF(AND(Y658&gt;=0.73,Y658&lt;0.98),"A",NONE)))</f>
        <v>C</v>
      </c>
      <c r="AA658" s="231" t="str">
        <f>VLOOKUP(G658,'ALL (R)'!$N$5:$R$862,5,FALSE)</f>
        <v>R 7</v>
      </c>
      <c r="AB658" s="232">
        <f>VLOOKUP(AA658,FACTS!$B$2:$L$14,10,FALSE)</f>
        <v>50150</v>
      </c>
      <c r="AC658" s="232">
        <f>VLOOKUP(AA658,FACTS!$B$2:$L$14,11,FALSE)</f>
        <v>56050</v>
      </c>
      <c r="AD658" s="232">
        <f>VLOOKUP(AA658,FACTS!$B$2:$N$14,13,FALSE)</f>
        <v>5900</v>
      </c>
      <c r="AE658" s="232">
        <f t="shared" si="105"/>
        <v>2478.0000000000005</v>
      </c>
      <c r="AF658" s="232">
        <f t="shared" si="106"/>
        <v>52628</v>
      </c>
      <c r="AG658" s="232">
        <f>AF658*FACTS!$T$2</f>
        <v>17367.240000000002</v>
      </c>
      <c r="AH658" s="232">
        <f>Table1[[#This Row],[UNIT (BUILDING) RATE (SEMI FINISHED)]]+4500</f>
        <v>57128</v>
      </c>
      <c r="AI658" s="232">
        <f>Table1[[#This Row],[UNIT (BUILDING) RATE (SEMI FINISHED)]]+7500</f>
        <v>60128</v>
      </c>
      <c r="AJ658" s="232">
        <f t="shared" si="107"/>
        <v>9052016</v>
      </c>
      <c r="AK658" s="232">
        <f>Table1[[#This Row],[UNIT (BUILDING) RATE (BASIC FINISH)]]*Table1[[#This Row],[Unit Selling Area]]</f>
        <v>9826016</v>
      </c>
      <c r="AL658" s="232">
        <f>Table1[[#This Row],[UNIT (BUILDING) RATE (FULLY FINISH)]]*Table1[[#This Row],[Unit Selling Area]]</f>
        <v>10342016</v>
      </c>
      <c r="AM658" s="232">
        <f t="shared" si="108"/>
        <v>0</v>
      </c>
      <c r="AN658" s="232">
        <f>(AM658+AJ658)*FACTS!$S$2</f>
        <v>769421.3600000001</v>
      </c>
      <c r="AO658" s="101">
        <f>VLOOKUP(S658,FACTS!$A$17:$C$23,3,FALSE)</f>
        <v>2</v>
      </c>
      <c r="AP658" s="232">
        <f>VLOOKUP(AA658,FACTS!$B$2:$J$14,9,FALSE)</f>
        <v>236000</v>
      </c>
      <c r="AQ658" s="232">
        <f>Table1[[#This Row],[PARKING VALUE]]*1</f>
        <v>236000</v>
      </c>
      <c r="AR658" s="232">
        <f t="shared" si="103"/>
        <v>9288016</v>
      </c>
      <c r="AS658" s="440">
        <f>Table1[[#This Row],[TOTAL CARS VALUE]]+Table1[[#This Row],[UNIT (BUILDING) VALUE BASIC FINISHED]]+Table1[[#This Row],[UNIT (GARDEN) VALUE]]</f>
        <v>10062016</v>
      </c>
      <c r="AT658" s="232">
        <f>Table1[[#This Row],[TOTAL CARS VALUE]]+Table1[[#This Row],[UNIT (GARDEN) VALUE]]+Table1[[#This Row],[UNIT (BUILDING) VALUE FULLY FINISHED]]</f>
        <v>10578016</v>
      </c>
      <c r="AU658" s="233">
        <f>VLOOKUP(I658,'C PHASES'!$I$108:$J$110,2,FALSE)</f>
        <v>46204</v>
      </c>
      <c r="AV658" s="233">
        <f>VLOOKUP(AA658,'C PHASES'!$I$113:$J$125,2,FALSE)</f>
        <v>45748</v>
      </c>
    </row>
    <row r="659" spans="1:48" x14ac:dyDescent="0.25">
      <c r="A659" s="236"/>
      <c r="B659" s="227" t="str">
        <f t="shared" si="102"/>
        <v>C</v>
      </c>
      <c r="C659" s="227" t="s">
        <v>86</v>
      </c>
      <c r="D659" s="227" t="s">
        <v>1147</v>
      </c>
      <c r="E659" s="228">
        <v>3</v>
      </c>
      <c r="F659" s="101">
        <v>1</v>
      </c>
      <c r="G659" s="87" t="str">
        <f t="shared" si="109"/>
        <v>C631</v>
      </c>
      <c r="H659" s="87" t="s">
        <v>1294</v>
      </c>
      <c r="I659" s="89" t="str">
        <f>VLOOKUP(C659,'PREMIUM TABLES'!$G$107:$H$149,2,FALSE)</f>
        <v>C2</v>
      </c>
      <c r="J659" s="89">
        <v>143.89599999999999</v>
      </c>
      <c r="K659" s="87">
        <v>159.44980420973766</v>
      </c>
      <c r="L659" s="87">
        <v>176</v>
      </c>
      <c r="M659" s="89"/>
      <c r="N659" s="89"/>
      <c r="O659" s="87" t="s">
        <v>180</v>
      </c>
      <c r="P659" s="87" t="s">
        <v>226</v>
      </c>
      <c r="Q659" s="229" t="s">
        <v>230</v>
      </c>
      <c r="R659" s="87" t="str">
        <f>VLOOKUP(E659,'PREMIUM TABLES'!$F$214:$G$219,2,FALSE)</f>
        <v>THIRD</v>
      </c>
      <c r="S659" s="87" t="str" cm="1">
        <f t="array" ref="S659">IF(AND(L659&gt;0,L659&lt;90),"A",IF(AND(L659&gt;90,L659&lt;123),"B",IF(AND(L659&gt;122,L659&lt;159),"C",IF(AND(L659&gt;159,L659&lt;185),"D",IF(AND(L659&gt;185,L659&lt;230),"E",IF(AND(L659&gt;230,L659&lt;350),"F",NONE))))))</f>
        <v>D</v>
      </c>
      <c r="T659" s="230">
        <f>VLOOKUP(O659,'PREMIUM TABLES'!$G$165:$H$172,2,FALSE)</f>
        <v>0.13</v>
      </c>
      <c r="U659" s="230">
        <f>VLOOKUP(P659,'PREMIUM TABLES'!$G$208:$H$209,2,FALSE)</f>
        <v>0.05</v>
      </c>
      <c r="V659" s="230">
        <f>VLOOKUP(Q659,'PREMIUM TABLES'!$G$175:$H$195,2,FALSE)</f>
        <v>0.32250000000000001</v>
      </c>
      <c r="W659" s="230">
        <f>VLOOKUP(R659,'PREMIUM TABLES'!$G$214:$H$219,2,FALSE)</f>
        <v>0.15</v>
      </c>
      <c r="X659" s="230">
        <f>VLOOKUP(S659,'PREMIUM TABLES'!$F$199:$H$205,3,FALSE)</f>
        <v>2.5000000000000001E-2</v>
      </c>
      <c r="Y659" s="231">
        <f t="shared" si="104"/>
        <v>0.67749999999999999</v>
      </c>
      <c r="Z659" s="231" t="str" cm="1">
        <f t="array" ref="Z659">IF(AND(Y659&gt;0,Y659&lt;0.5),"C",IF(AND(Y659&gt;=0.5,Y659&lt;0.73),"B",IF(AND(Y659&gt;=0.73,Y659&lt;0.98),"A",NONE)))</f>
        <v>B</v>
      </c>
      <c r="AA659" s="231" t="str">
        <f>VLOOKUP(G659,'ALL (R)'!$N$5:$R$862,5,FALSE)</f>
        <v>R 6</v>
      </c>
      <c r="AB659" s="232">
        <f>VLOOKUP(AA659,FACTS!$B$2:$L$14,10,FALSE)</f>
        <v>48450.000000000007</v>
      </c>
      <c r="AC659" s="232">
        <f>VLOOKUP(AA659,FACTS!$B$2:$L$14,11,FALSE)</f>
        <v>54150.000000000007</v>
      </c>
      <c r="AD659" s="232">
        <f>VLOOKUP(AA659,FACTS!$B$2:$N$14,13,FALSE)</f>
        <v>5700</v>
      </c>
      <c r="AE659" s="232">
        <f t="shared" si="105"/>
        <v>3861.75</v>
      </c>
      <c r="AF659" s="232">
        <f t="shared" si="106"/>
        <v>52311.750000000007</v>
      </c>
      <c r="AG659" s="232">
        <f>AF659*FACTS!$T$2</f>
        <v>17262.877500000002</v>
      </c>
      <c r="AH659" s="232">
        <f>Table1[[#This Row],[UNIT (BUILDING) RATE (SEMI FINISHED)]]+4500</f>
        <v>56811.750000000007</v>
      </c>
      <c r="AI659" s="232">
        <f>Table1[[#This Row],[UNIT (BUILDING) RATE (SEMI FINISHED)]]+7500</f>
        <v>59811.750000000007</v>
      </c>
      <c r="AJ659" s="232">
        <f t="shared" si="107"/>
        <v>9206868.0000000019</v>
      </c>
      <c r="AK659" s="232">
        <f>Table1[[#This Row],[UNIT (BUILDING) RATE (BASIC FINISH)]]*Table1[[#This Row],[Unit Selling Area]]</f>
        <v>9998868.0000000019</v>
      </c>
      <c r="AL659" s="232">
        <f>Table1[[#This Row],[UNIT (BUILDING) RATE (FULLY FINISH)]]*Table1[[#This Row],[Unit Selling Area]]</f>
        <v>10526868.000000002</v>
      </c>
      <c r="AM659" s="232">
        <f t="shared" si="108"/>
        <v>0</v>
      </c>
      <c r="AN659" s="232">
        <f>(AM659+AJ659)*FACTS!$S$2</f>
        <v>782583.78000000026</v>
      </c>
      <c r="AO659" s="101">
        <f>VLOOKUP(S659,FACTS!$A$17:$C$23,3,FALSE)</f>
        <v>2</v>
      </c>
      <c r="AP659" s="232">
        <f>VLOOKUP(AA659,FACTS!$B$2:$J$14,9,FALSE)</f>
        <v>228000.00000000003</v>
      </c>
      <c r="AQ659" s="232">
        <f>Table1[[#This Row],[PARKING VALUE]]*1</f>
        <v>228000.00000000003</v>
      </c>
      <c r="AR659" s="232">
        <f t="shared" si="103"/>
        <v>9434868.0000000019</v>
      </c>
      <c r="AS659" s="440">
        <f>Table1[[#This Row],[TOTAL CARS VALUE]]+Table1[[#This Row],[UNIT (BUILDING) VALUE BASIC FINISHED]]+Table1[[#This Row],[UNIT (GARDEN) VALUE]]</f>
        <v>10226868.000000002</v>
      </c>
      <c r="AT659" s="232">
        <f>Table1[[#This Row],[TOTAL CARS VALUE]]+Table1[[#This Row],[UNIT (GARDEN) VALUE]]+Table1[[#This Row],[UNIT (BUILDING) VALUE FULLY FINISHED]]</f>
        <v>10754868.000000002</v>
      </c>
      <c r="AU659" s="233">
        <f>VLOOKUP(I659,'C PHASES'!$I$108:$J$110,2,FALSE)</f>
        <v>46204</v>
      </c>
      <c r="AV659" s="233">
        <f>VLOOKUP(AA659,'C PHASES'!$I$113:$J$125,2,FALSE)</f>
        <v>45658</v>
      </c>
    </row>
    <row r="660" spans="1:48" x14ac:dyDescent="0.25">
      <c r="A660" s="236"/>
      <c r="B660" s="227" t="str">
        <f t="shared" si="102"/>
        <v>C</v>
      </c>
      <c r="C660" s="227" t="s">
        <v>86</v>
      </c>
      <c r="D660" s="227" t="s">
        <v>1147</v>
      </c>
      <c r="E660" s="228">
        <v>3</v>
      </c>
      <c r="F660" s="101">
        <v>2</v>
      </c>
      <c r="G660" s="87" t="str">
        <f t="shared" si="109"/>
        <v>C632</v>
      </c>
      <c r="H660" s="87" t="s">
        <v>1295</v>
      </c>
      <c r="I660" s="89" t="str">
        <f>VLOOKUP(C660,'PREMIUM TABLES'!$G$107:$H$149,2,FALSE)</f>
        <v>C2</v>
      </c>
      <c r="J660" s="89">
        <v>187.20400000000001</v>
      </c>
      <c r="K660" s="87">
        <v>207.4389916834362</v>
      </c>
      <c r="L660" s="87">
        <v>228</v>
      </c>
      <c r="M660" s="89"/>
      <c r="N660" s="89"/>
      <c r="O660" s="87" t="s">
        <v>187</v>
      </c>
      <c r="P660" s="87" t="s">
        <v>226</v>
      </c>
      <c r="Q660" s="229" t="s">
        <v>227</v>
      </c>
      <c r="R660" s="87" t="str">
        <f>VLOOKUP(E660,'PREMIUM TABLES'!$F$214:$G$219,2,FALSE)</f>
        <v>THIRD</v>
      </c>
      <c r="S660" s="87" t="str" cm="1">
        <f t="array" ref="S660">IF(AND(L660&gt;0,L660&lt;90),"A",IF(AND(L660&gt;90,L660&lt;123),"B",IF(AND(L660&gt;122,L660&lt;159),"C",IF(AND(L660&gt;159,L660&lt;185),"D",IF(AND(L660&gt;185,L660&lt;230),"E",IF(AND(L660&gt;230,L660&lt;350),"F",NONE))))))</f>
        <v>E</v>
      </c>
      <c r="T660" s="230">
        <f>VLOOKUP(O660,'PREMIUM TABLES'!$G$165:$H$172,2,FALSE)</f>
        <v>0.08</v>
      </c>
      <c r="U660" s="230">
        <f>VLOOKUP(P660,'PREMIUM TABLES'!$G$208:$H$209,2,FALSE)</f>
        <v>0.05</v>
      </c>
      <c r="V660" s="230">
        <f>VLOOKUP(Q660,'PREMIUM TABLES'!$G$175:$H$195,2,FALSE)</f>
        <v>0.48</v>
      </c>
      <c r="W660" s="230">
        <f>VLOOKUP(R660,'PREMIUM TABLES'!$G$214:$H$219,2,FALSE)</f>
        <v>0.15</v>
      </c>
      <c r="X660" s="230">
        <f>VLOOKUP(S660,'PREMIUM TABLES'!$F$199:$H$205,3,FALSE)</f>
        <v>1.4999999999999999E-2</v>
      </c>
      <c r="Y660" s="231">
        <f t="shared" si="104"/>
        <v>0.77500000000000002</v>
      </c>
      <c r="Z660" s="231" t="str" cm="1">
        <f t="array" ref="Z660">IF(AND(Y660&gt;0,Y660&lt;0.5),"C",IF(AND(Y660&gt;=0.5,Y660&lt;0.73),"B",IF(AND(Y660&gt;=0.73,Y660&lt;0.98),"A",NONE)))</f>
        <v>A</v>
      </c>
      <c r="AA660" s="231" t="str">
        <f>VLOOKUP(G660,'ALL (R)'!$N$5:$R$862,5,FALSE)</f>
        <v>R 4</v>
      </c>
      <c r="AB660" s="232">
        <f>VLOOKUP(AA660,FACTS!$B$2:$L$14,10,FALSE)</f>
        <v>45687.5</v>
      </c>
      <c r="AC660" s="232">
        <f>VLOOKUP(AA660,FACTS!$B$2:$L$14,11,FALSE)</f>
        <v>51062.5</v>
      </c>
      <c r="AD660" s="232">
        <f>VLOOKUP(AA660,FACTS!$B$2:$N$14,13,FALSE)</f>
        <v>5375</v>
      </c>
      <c r="AE660" s="232">
        <f t="shared" si="105"/>
        <v>4165.625</v>
      </c>
      <c r="AF660" s="232">
        <f t="shared" si="106"/>
        <v>49853.125</v>
      </c>
      <c r="AG660" s="232">
        <f>AF660*FACTS!$T$2</f>
        <v>16451.53125</v>
      </c>
      <c r="AH660" s="232">
        <f>Table1[[#This Row],[UNIT (BUILDING) RATE (SEMI FINISHED)]]+4500</f>
        <v>54353.125</v>
      </c>
      <c r="AI660" s="232">
        <f>Table1[[#This Row],[UNIT (BUILDING) RATE (SEMI FINISHED)]]+7500</f>
        <v>57353.125</v>
      </c>
      <c r="AJ660" s="232">
        <f t="shared" si="107"/>
        <v>11366512.5</v>
      </c>
      <c r="AK660" s="232">
        <f>Table1[[#This Row],[UNIT (BUILDING) RATE (BASIC FINISH)]]*Table1[[#This Row],[Unit Selling Area]]</f>
        <v>12392512.5</v>
      </c>
      <c r="AL660" s="232">
        <f>Table1[[#This Row],[UNIT (BUILDING) RATE (FULLY FINISH)]]*Table1[[#This Row],[Unit Selling Area]]</f>
        <v>13076512.5</v>
      </c>
      <c r="AM660" s="232">
        <f t="shared" si="108"/>
        <v>0</v>
      </c>
      <c r="AN660" s="232">
        <f>(AM660+AJ660)*FACTS!$S$2</f>
        <v>966153.56250000012</v>
      </c>
      <c r="AO660" s="101">
        <f>VLOOKUP(S660,FACTS!$A$17:$C$23,3,FALSE)</f>
        <v>2</v>
      </c>
      <c r="AP660" s="232">
        <f>VLOOKUP(AA660,FACTS!$B$2:$J$14,9,FALSE)</f>
        <v>215000</v>
      </c>
      <c r="AQ660" s="232">
        <f>Table1[[#This Row],[PARKING VALUE]]*1</f>
        <v>215000</v>
      </c>
      <c r="AR660" s="232">
        <f t="shared" si="103"/>
        <v>11581512.5</v>
      </c>
      <c r="AS660" s="440">
        <f>Table1[[#This Row],[TOTAL CARS VALUE]]+Table1[[#This Row],[UNIT (BUILDING) VALUE BASIC FINISHED]]+Table1[[#This Row],[UNIT (GARDEN) VALUE]]</f>
        <v>12607512.5</v>
      </c>
      <c r="AT660" s="232">
        <f>Table1[[#This Row],[TOTAL CARS VALUE]]+Table1[[#This Row],[UNIT (GARDEN) VALUE]]+Table1[[#This Row],[UNIT (BUILDING) VALUE FULLY FINISHED]]</f>
        <v>13291512.5</v>
      </c>
      <c r="AU660" s="233">
        <f>VLOOKUP(I660,'C PHASES'!$I$108:$J$110,2,FALSE)</f>
        <v>46204</v>
      </c>
      <c r="AV660" s="233">
        <f>VLOOKUP(AA660,'C PHASES'!$I$113:$J$125,2,FALSE)</f>
        <v>45474</v>
      </c>
    </row>
    <row r="661" spans="1:48" x14ac:dyDescent="0.25">
      <c r="A661" s="236"/>
      <c r="B661" s="227" t="str">
        <f t="shared" si="102"/>
        <v>C</v>
      </c>
      <c r="C661" s="227" t="s">
        <v>86</v>
      </c>
      <c r="D661" s="227" t="s">
        <v>1147</v>
      </c>
      <c r="E661" s="228">
        <v>3</v>
      </c>
      <c r="F661" s="101">
        <v>3</v>
      </c>
      <c r="G661" s="87" t="str">
        <f t="shared" si="109"/>
        <v>C633</v>
      </c>
      <c r="H661" s="87" t="s">
        <v>1294</v>
      </c>
      <c r="I661" s="89" t="str">
        <f>VLOOKUP(C661,'PREMIUM TABLES'!$G$107:$H$149,2,FALSE)</f>
        <v>C2</v>
      </c>
      <c r="J661" s="89">
        <v>164.417</v>
      </c>
      <c r="K661" s="87">
        <v>182.18893130283288</v>
      </c>
      <c r="L661" s="87">
        <v>201</v>
      </c>
      <c r="M661" s="89"/>
      <c r="N661" s="89"/>
      <c r="O661" s="87" t="s">
        <v>187</v>
      </c>
      <c r="P661" s="87" t="s">
        <v>190</v>
      </c>
      <c r="Q661" s="229" t="s">
        <v>192</v>
      </c>
      <c r="R661" s="87" t="str">
        <f>VLOOKUP(E661,'PREMIUM TABLES'!$F$214:$G$219,2,FALSE)</f>
        <v>THIRD</v>
      </c>
      <c r="S661" s="87" t="str" cm="1">
        <f t="array" ref="S661">IF(AND(L661&gt;0,L661&lt;90),"A",IF(AND(L661&gt;90,L661&lt;123),"B",IF(AND(L661&gt;122,L661&lt;159),"C",IF(AND(L661&gt;159,L661&lt;185),"D",IF(AND(L661&gt;185,L661&lt;230),"E",IF(AND(L661&gt;230,L661&lt;350),"F",NONE))))))</f>
        <v>E</v>
      </c>
      <c r="T661" s="230">
        <f>VLOOKUP(O661,'PREMIUM TABLES'!$G$165:$H$172,2,FALSE)</f>
        <v>0.08</v>
      </c>
      <c r="U661" s="230">
        <f>VLOOKUP(P661,'PREMIUM TABLES'!$G$208:$H$209,2,FALSE)</f>
        <v>2.5000000000000001E-2</v>
      </c>
      <c r="V661" s="230">
        <f>VLOOKUP(Q661,'PREMIUM TABLES'!$G$175:$H$195,2,FALSE)</f>
        <v>0.46</v>
      </c>
      <c r="W661" s="230">
        <f>VLOOKUP(R661,'PREMIUM TABLES'!$G$214:$H$219,2,FALSE)</f>
        <v>0.15</v>
      </c>
      <c r="X661" s="230">
        <f>VLOOKUP(S661,'PREMIUM TABLES'!$F$199:$H$205,3,FALSE)</f>
        <v>1.4999999999999999E-2</v>
      </c>
      <c r="Y661" s="231">
        <f t="shared" si="104"/>
        <v>0.73000000000000009</v>
      </c>
      <c r="Z661" s="231" t="str" cm="1">
        <f t="array" ref="Z661">IF(AND(Y661&gt;0,Y661&lt;0.5),"C",IF(AND(Y661&gt;=0.5,Y661&lt;0.73),"B",IF(AND(Y661&gt;=0.73,Y661&lt;0.98),"A",NONE)))</f>
        <v>A</v>
      </c>
      <c r="AA661" s="231" t="str">
        <f>VLOOKUP(G661,'ALL (R)'!$N$5:$R$862,5,FALSE)</f>
        <v>R 1</v>
      </c>
      <c r="AB661" s="232">
        <f>VLOOKUP(AA661,FACTS!$B$2:$L$14,10,FALSE)</f>
        <v>42500</v>
      </c>
      <c r="AC661" s="232">
        <f>VLOOKUP(AA661,FACTS!$B$2:$L$14,11,FALSE)</f>
        <v>47500</v>
      </c>
      <c r="AD661" s="232">
        <f>VLOOKUP(AA661,FACTS!$B$2:$N$14,13,FALSE)</f>
        <v>5000</v>
      </c>
      <c r="AE661" s="232">
        <f t="shared" si="105"/>
        <v>3650.0000000000005</v>
      </c>
      <c r="AF661" s="232">
        <f t="shared" si="106"/>
        <v>46150</v>
      </c>
      <c r="AG661" s="232">
        <f>AF661*FACTS!$T$2</f>
        <v>15229.5</v>
      </c>
      <c r="AH661" s="232">
        <f>Table1[[#This Row],[UNIT (BUILDING) RATE (SEMI FINISHED)]]+4500</f>
        <v>50650</v>
      </c>
      <c r="AI661" s="232">
        <f>Table1[[#This Row],[UNIT (BUILDING) RATE (SEMI FINISHED)]]+7500</f>
        <v>53650</v>
      </c>
      <c r="AJ661" s="232">
        <f t="shared" si="107"/>
        <v>9276150</v>
      </c>
      <c r="AK661" s="232">
        <f>Table1[[#This Row],[UNIT (BUILDING) RATE (BASIC FINISH)]]*Table1[[#This Row],[Unit Selling Area]]</f>
        <v>10180650</v>
      </c>
      <c r="AL661" s="232">
        <f>Table1[[#This Row],[UNIT (BUILDING) RATE (FULLY FINISH)]]*Table1[[#This Row],[Unit Selling Area]]</f>
        <v>10783650</v>
      </c>
      <c r="AM661" s="232">
        <f t="shared" si="108"/>
        <v>0</v>
      </c>
      <c r="AN661" s="232">
        <f>(AM661+AJ661)*FACTS!$S$2</f>
        <v>788472.75</v>
      </c>
      <c r="AO661" s="101">
        <f>VLOOKUP(S661,FACTS!$A$17:$C$23,3,FALSE)</f>
        <v>2</v>
      </c>
      <c r="AP661" s="232">
        <f>VLOOKUP(AA661,FACTS!$B$2:$J$14,9,FALSE)</f>
        <v>200000</v>
      </c>
      <c r="AQ661" s="232">
        <f>Table1[[#This Row],[PARKING VALUE]]*1</f>
        <v>200000</v>
      </c>
      <c r="AR661" s="232">
        <f t="shared" si="103"/>
        <v>9476150</v>
      </c>
      <c r="AS661" s="440">
        <f>Table1[[#This Row],[TOTAL CARS VALUE]]+Table1[[#This Row],[UNIT (BUILDING) VALUE BASIC FINISHED]]+Table1[[#This Row],[UNIT (GARDEN) VALUE]]</f>
        <v>10380650</v>
      </c>
      <c r="AT661" s="232">
        <f>Table1[[#This Row],[TOTAL CARS VALUE]]+Table1[[#This Row],[UNIT (GARDEN) VALUE]]+Table1[[#This Row],[UNIT (BUILDING) VALUE FULLY FINISHED]]</f>
        <v>10983650</v>
      </c>
      <c r="AU661" s="233">
        <f>VLOOKUP(I661,'C PHASES'!$I$108:$J$110,2,FALSE)</f>
        <v>46204</v>
      </c>
      <c r="AV661" s="233">
        <f>VLOOKUP(AA661,'C PHASES'!$I$113:$J$125,2,FALSE)</f>
        <v>45170</v>
      </c>
    </row>
    <row r="662" spans="1:48" x14ac:dyDescent="0.25">
      <c r="A662" s="236"/>
      <c r="B662" s="227" t="str">
        <f t="shared" si="102"/>
        <v>C</v>
      </c>
      <c r="C662" s="227" t="s">
        <v>86</v>
      </c>
      <c r="D662" s="227" t="s">
        <v>1147</v>
      </c>
      <c r="E662" s="228">
        <v>3</v>
      </c>
      <c r="F662" s="101">
        <v>4</v>
      </c>
      <c r="G662" s="87" t="str">
        <f t="shared" si="109"/>
        <v>C634</v>
      </c>
      <c r="H662" s="87" t="s">
        <v>1294</v>
      </c>
      <c r="I662" s="89" t="str">
        <f>VLOOKUP(C662,'PREMIUM TABLES'!$G$107:$H$149,2,FALSE)</f>
        <v>C2</v>
      </c>
      <c r="J662" s="89">
        <v>141.07300000000001</v>
      </c>
      <c r="K662" s="87">
        <v>156.32166446100189</v>
      </c>
      <c r="L662" s="87">
        <v>172</v>
      </c>
      <c r="M662" s="89"/>
      <c r="N662" s="89"/>
      <c r="O662" s="87" t="s">
        <v>180</v>
      </c>
      <c r="P662" s="87" t="s">
        <v>190</v>
      </c>
      <c r="Q662" s="229" t="s">
        <v>199</v>
      </c>
      <c r="R662" s="87" t="str">
        <f>VLOOKUP(E662,'PREMIUM TABLES'!$F$214:$G$219,2,FALSE)</f>
        <v>THIRD</v>
      </c>
      <c r="S662" s="87" t="str" cm="1">
        <f t="array" ref="S662">IF(AND(L662&gt;0,L662&lt;90),"A",IF(AND(L662&gt;90,L662&lt;123),"B",IF(AND(L662&gt;122,L662&lt;159),"C",IF(AND(L662&gt;159,L662&lt;185),"D",IF(AND(L662&gt;185,L662&lt;230),"E",IF(AND(L662&gt;230,L662&lt;350),"F",NONE))))))</f>
        <v>D</v>
      </c>
      <c r="T662" s="230">
        <f>VLOOKUP(O662,'PREMIUM TABLES'!$G$165:$H$172,2,FALSE)</f>
        <v>0.13</v>
      </c>
      <c r="U662" s="230">
        <f>VLOOKUP(P662,'PREMIUM TABLES'!$G$208:$H$209,2,FALSE)</f>
        <v>2.5000000000000001E-2</v>
      </c>
      <c r="V662" s="230">
        <f>VLOOKUP(Q662,'PREMIUM TABLES'!$G$175:$H$195,2,FALSE)</f>
        <v>0.13</v>
      </c>
      <c r="W662" s="230">
        <f>VLOOKUP(R662,'PREMIUM TABLES'!$G$214:$H$219,2,FALSE)</f>
        <v>0.15</v>
      </c>
      <c r="X662" s="230">
        <f>VLOOKUP(S662,'PREMIUM TABLES'!$F$199:$H$205,3,FALSE)</f>
        <v>2.5000000000000001E-2</v>
      </c>
      <c r="Y662" s="231">
        <f t="shared" si="104"/>
        <v>0.46000000000000008</v>
      </c>
      <c r="Z662" s="231" t="str" cm="1">
        <f t="array" ref="Z662">IF(AND(Y662&gt;0,Y662&lt;0.5),"C",IF(AND(Y662&gt;=0.5,Y662&lt;0.73),"B",IF(AND(Y662&gt;=0.73,Y662&lt;0.98),"A",NONE)))</f>
        <v>C</v>
      </c>
      <c r="AA662" s="231" t="str">
        <f>VLOOKUP(G662,'ALL (R)'!$N$5:$R$862,5,FALSE)</f>
        <v>R 10</v>
      </c>
      <c r="AB662" s="232">
        <f>VLOOKUP(AA662,FACTS!$B$2:$L$14,10,FALSE)</f>
        <v>56100</v>
      </c>
      <c r="AC662" s="232">
        <f>VLOOKUP(AA662,FACTS!$B$2:$L$14,11,FALSE)</f>
        <v>62700</v>
      </c>
      <c r="AD662" s="232">
        <f>VLOOKUP(AA662,FACTS!$B$2:$N$14,13,FALSE)</f>
        <v>6600</v>
      </c>
      <c r="AE662" s="232">
        <f t="shared" si="105"/>
        <v>3036.0000000000005</v>
      </c>
      <c r="AF662" s="232">
        <f t="shared" si="106"/>
        <v>59136</v>
      </c>
      <c r="AG662" s="232">
        <f>AF662*FACTS!$T$2</f>
        <v>19514.88</v>
      </c>
      <c r="AH662" s="232">
        <f>Table1[[#This Row],[UNIT (BUILDING) RATE (SEMI FINISHED)]]+4500</f>
        <v>63636</v>
      </c>
      <c r="AI662" s="232">
        <f>Table1[[#This Row],[UNIT (BUILDING) RATE (SEMI FINISHED)]]+7500</f>
        <v>66636</v>
      </c>
      <c r="AJ662" s="232">
        <f t="shared" si="107"/>
        <v>10171392</v>
      </c>
      <c r="AK662" s="232">
        <f>Table1[[#This Row],[UNIT (BUILDING) RATE (BASIC FINISH)]]*Table1[[#This Row],[Unit Selling Area]]</f>
        <v>10945392</v>
      </c>
      <c r="AL662" s="232">
        <f>Table1[[#This Row],[UNIT (BUILDING) RATE (FULLY FINISH)]]*Table1[[#This Row],[Unit Selling Area]]</f>
        <v>11461392</v>
      </c>
      <c r="AM662" s="232">
        <f t="shared" si="108"/>
        <v>0</v>
      </c>
      <c r="AN662" s="232">
        <f>(AM662+AJ662)*FACTS!$S$2</f>
        <v>864568.32000000007</v>
      </c>
      <c r="AO662" s="101">
        <f>VLOOKUP(S662,FACTS!$A$17:$C$23,3,FALSE)</f>
        <v>2</v>
      </c>
      <c r="AP662" s="232">
        <f>VLOOKUP(AA662,FACTS!$B$2:$J$14,9,FALSE)</f>
        <v>264000</v>
      </c>
      <c r="AQ662" s="232">
        <f>Table1[[#This Row],[PARKING VALUE]]*1</f>
        <v>264000</v>
      </c>
      <c r="AR662" s="232">
        <f t="shared" si="103"/>
        <v>10435392</v>
      </c>
      <c r="AS662" s="440">
        <f>Table1[[#This Row],[TOTAL CARS VALUE]]+Table1[[#This Row],[UNIT (BUILDING) VALUE BASIC FINISHED]]+Table1[[#This Row],[UNIT (GARDEN) VALUE]]</f>
        <v>11209392</v>
      </c>
      <c r="AT662" s="232">
        <f>Table1[[#This Row],[TOTAL CARS VALUE]]+Table1[[#This Row],[UNIT (GARDEN) VALUE]]+Table1[[#This Row],[UNIT (BUILDING) VALUE FULLY FINISHED]]</f>
        <v>11725392</v>
      </c>
      <c r="AU662" s="233">
        <f>VLOOKUP(I662,'C PHASES'!$I$108:$J$110,2,FALSE)</f>
        <v>46204</v>
      </c>
      <c r="AV662" s="233">
        <f>VLOOKUP(AA662,'C PHASES'!$I$113:$J$125,2,FALSE)</f>
        <v>46023</v>
      </c>
    </row>
    <row r="663" spans="1:48" x14ac:dyDescent="0.25">
      <c r="A663" s="236"/>
      <c r="B663" s="227" t="str">
        <f t="shared" si="102"/>
        <v>C</v>
      </c>
      <c r="C663" s="227" t="s">
        <v>86</v>
      </c>
      <c r="D663" s="227" t="s">
        <v>1147</v>
      </c>
      <c r="E663" s="228">
        <v>4</v>
      </c>
      <c r="F663" s="101">
        <v>1</v>
      </c>
      <c r="G663" s="87" t="str">
        <f t="shared" si="109"/>
        <v>C641</v>
      </c>
      <c r="H663" s="87" t="s">
        <v>1294</v>
      </c>
      <c r="I663" s="89" t="str">
        <f>VLOOKUP(C663,'PREMIUM TABLES'!$G$107:$H$149,2,FALSE)</f>
        <v>C2</v>
      </c>
      <c r="J663" s="89">
        <v>141.929</v>
      </c>
      <c r="K663" s="87">
        <v>157.27019001003407</v>
      </c>
      <c r="L663" s="87">
        <v>173</v>
      </c>
      <c r="M663" s="89"/>
      <c r="N663" s="89"/>
      <c r="O663" s="87" t="s">
        <v>180</v>
      </c>
      <c r="P663" s="87" t="s">
        <v>226</v>
      </c>
      <c r="Q663" s="229" t="s">
        <v>230</v>
      </c>
      <c r="R663" s="87" t="str">
        <f>VLOOKUP(E663,'PREMIUM TABLES'!$F$214:$G$219,2,FALSE)</f>
        <v>FORTH</v>
      </c>
      <c r="S663" s="87" t="str" cm="1">
        <f t="array" ref="S663">IF(AND(L663&gt;0,L663&lt;90),"A",IF(AND(L663&gt;90,L663&lt;123),"B",IF(AND(L663&gt;122,L663&lt;159),"C",IF(AND(L663&gt;159,L663&lt;185),"D",IF(AND(L663&gt;185,L663&lt;230),"E",IF(AND(L663&gt;230,L663&lt;350),"F",NONE))))))</f>
        <v>D</v>
      </c>
      <c r="T663" s="230">
        <f>VLOOKUP(O663,'PREMIUM TABLES'!$G$165:$H$172,2,FALSE)</f>
        <v>0.13</v>
      </c>
      <c r="U663" s="230">
        <f>VLOOKUP(P663,'PREMIUM TABLES'!$G$208:$H$209,2,FALSE)</f>
        <v>0.05</v>
      </c>
      <c r="V663" s="230">
        <f>VLOOKUP(Q663,'PREMIUM TABLES'!$G$175:$H$195,2,FALSE)</f>
        <v>0.32250000000000001</v>
      </c>
      <c r="W663" s="230">
        <f>VLOOKUP(R663,'PREMIUM TABLES'!$G$214:$H$219,2,FALSE)</f>
        <v>0.06</v>
      </c>
      <c r="X663" s="230">
        <f>VLOOKUP(S663,'PREMIUM TABLES'!$F$199:$H$205,3,FALSE)</f>
        <v>2.5000000000000001E-2</v>
      </c>
      <c r="Y663" s="231">
        <f t="shared" si="104"/>
        <v>0.58750000000000002</v>
      </c>
      <c r="Z663" s="231" t="str" cm="1">
        <f t="array" ref="Z663">IF(AND(Y663&gt;0,Y663&lt;0.5),"C",IF(AND(Y663&gt;=0.5,Y663&lt;0.73),"B",IF(AND(Y663&gt;=0.73,Y663&lt;0.98),"A",NONE)))</f>
        <v>B</v>
      </c>
      <c r="AA663" s="231" t="str">
        <f>VLOOKUP(G663,'ALL (R)'!$N$5:$R$862,5,FALSE)</f>
        <v>R 2</v>
      </c>
      <c r="AB663" s="232">
        <f>VLOOKUP(AA663,FACTS!$B$2:$L$14,10,FALSE)</f>
        <v>43562.499999999993</v>
      </c>
      <c r="AC663" s="232">
        <f>VLOOKUP(AA663,FACTS!$B$2:$L$14,11,FALSE)</f>
        <v>48687.499999999993</v>
      </c>
      <c r="AD663" s="232">
        <f>VLOOKUP(AA663,FACTS!$B$2:$N$14,13,FALSE)</f>
        <v>5125</v>
      </c>
      <c r="AE663" s="232">
        <f t="shared" si="105"/>
        <v>3010.9375</v>
      </c>
      <c r="AF663" s="232">
        <f t="shared" si="106"/>
        <v>46573.437499999993</v>
      </c>
      <c r="AG663" s="232">
        <f>AF663*FACTS!$T$2</f>
        <v>15369.234374999998</v>
      </c>
      <c r="AH663" s="232">
        <f>Table1[[#This Row],[UNIT (BUILDING) RATE (SEMI FINISHED)]]+4500</f>
        <v>51073.437499999993</v>
      </c>
      <c r="AI663" s="232">
        <f>Table1[[#This Row],[UNIT (BUILDING) RATE (SEMI FINISHED)]]+7500</f>
        <v>54073.437499999993</v>
      </c>
      <c r="AJ663" s="232">
        <f t="shared" si="107"/>
        <v>8057204.6874999991</v>
      </c>
      <c r="AK663" s="232">
        <f>Table1[[#This Row],[UNIT (BUILDING) RATE (BASIC FINISH)]]*Table1[[#This Row],[Unit Selling Area]]</f>
        <v>8835704.6874999981</v>
      </c>
      <c r="AL663" s="232">
        <f>Table1[[#This Row],[UNIT (BUILDING) RATE (FULLY FINISH)]]*Table1[[#This Row],[Unit Selling Area]]</f>
        <v>9354704.6874999981</v>
      </c>
      <c r="AM663" s="232">
        <f t="shared" si="108"/>
        <v>0</v>
      </c>
      <c r="AN663" s="232">
        <f>(AM663+AJ663)*FACTS!$S$2</f>
        <v>684862.3984375</v>
      </c>
      <c r="AO663" s="101">
        <f>VLOOKUP(S663,FACTS!$A$17:$C$23,3,FALSE)</f>
        <v>2</v>
      </c>
      <c r="AP663" s="232">
        <f>VLOOKUP(AA663,FACTS!$B$2:$J$14,9,FALSE)</f>
        <v>204999.99999999997</v>
      </c>
      <c r="AQ663" s="232">
        <f>Table1[[#This Row],[PARKING VALUE]]*1</f>
        <v>204999.99999999997</v>
      </c>
      <c r="AR663" s="232">
        <f t="shared" si="103"/>
        <v>8262204.6874999991</v>
      </c>
      <c r="AS663" s="440">
        <f>Table1[[#This Row],[TOTAL CARS VALUE]]+Table1[[#This Row],[UNIT (BUILDING) VALUE BASIC FINISHED]]+Table1[[#This Row],[UNIT (GARDEN) VALUE]]</f>
        <v>9040704.6874999981</v>
      </c>
      <c r="AT663" s="232">
        <f>Table1[[#This Row],[TOTAL CARS VALUE]]+Table1[[#This Row],[UNIT (GARDEN) VALUE]]+Table1[[#This Row],[UNIT (BUILDING) VALUE FULLY FINISHED]]</f>
        <v>9559704.6874999981</v>
      </c>
      <c r="AU663" s="233">
        <f>VLOOKUP(I663,'C PHASES'!$I$108:$J$110,2,FALSE)</f>
        <v>46204</v>
      </c>
      <c r="AV663" s="233">
        <f>VLOOKUP(AA663,'C PHASES'!$I$113:$J$125,2,FALSE)</f>
        <v>45292</v>
      </c>
    </row>
    <row r="664" spans="1:48" x14ac:dyDescent="0.25">
      <c r="A664" s="236"/>
      <c r="B664" s="227" t="str">
        <f t="shared" si="102"/>
        <v>C</v>
      </c>
      <c r="C664" s="227" t="s">
        <v>86</v>
      </c>
      <c r="D664" s="227" t="s">
        <v>1147</v>
      </c>
      <c r="E664" s="228">
        <v>4</v>
      </c>
      <c r="F664" s="101">
        <v>2</v>
      </c>
      <c r="G664" s="87" t="str">
        <f t="shared" si="109"/>
        <v>C642</v>
      </c>
      <c r="H664" s="87" t="s">
        <v>1295</v>
      </c>
      <c r="I664" s="89" t="str">
        <f>VLOOKUP(C664,'PREMIUM TABLES'!$G$107:$H$149,2,FALSE)</f>
        <v>C2</v>
      </c>
      <c r="J664" s="89">
        <v>182.36099999999999</v>
      </c>
      <c r="K664" s="87">
        <v>202.07250893347955</v>
      </c>
      <c r="L664" s="87">
        <v>222</v>
      </c>
      <c r="M664" s="89"/>
      <c r="N664" s="89"/>
      <c r="O664" s="87" t="s">
        <v>187</v>
      </c>
      <c r="P664" s="87" t="s">
        <v>226</v>
      </c>
      <c r="Q664" s="229" t="s">
        <v>227</v>
      </c>
      <c r="R664" s="87" t="str">
        <f>VLOOKUP(E664,'PREMIUM TABLES'!$F$214:$G$219,2,FALSE)</f>
        <v>FORTH</v>
      </c>
      <c r="S664" s="87" t="str" cm="1">
        <f t="array" ref="S664">IF(AND(L664&gt;0,L664&lt;90),"A",IF(AND(L664&gt;90,L664&lt;123),"B",IF(AND(L664&gt;122,L664&lt;159),"C",IF(AND(L664&gt;159,L664&lt;185),"D",IF(AND(L664&gt;185,L664&lt;230),"E",IF(AND(L664&gt;230,L664&lt;350),"F",NONE))))))</f>
        <v>E</v>
      </c>
      <c r="T664" s="230">
        <f>VLOOKUP(O664,'PREMIUM TABLES'!$G$165:$H$172,2,FALSE)</f>
        <v>0.08</v>
      </c>
      <c r="U664" s="230">
        <f>VLOOKUP(P664,'PREMIUM TABLES'!$G$208:$H$209,2,FALSE)</f>
        <v>0.05</v>
      </c>
      <c r="V664" s="230">
        <f>VLOOKUP(Q664,'PREMIUM TABLES'!$G$175:$H$195,2,FALSE)</f>
        <v>0.48</v>
      </c>
      <c r="W664" s="230">
        <f>VLOOKUP(R664,'PREMIUM TABLES'!$G$214:$H$219,2,FALSE)</f>
        <v>0.06</v>
      </c>
      <c r="X664" s="230">
        <f>VLOOKUP(S664,'PREMIUM TABLES'!$F$199:$H$205,3,FALSE)</f>
        <v>1.4999999999999999E-2</v>
      </c>
      <c r="Y664" s="231">
        <f t="shared" si="104"/>
        <v>0.68499999999999994</v>
      </c>
      <c r="Z664" s="231" t="str" cm="1">
        <f t="array" ref="Z664">IF(AND(Y664&gt;0,Y664&lt;0.5),"C",IF(AND(Y664&gt;=0.5,Y664&lt;0.73),"B",IF(AND(Y664&gt;=0.73,Y664&lt;0.98),"A",NONE)))</f>
        <v>B</v>
      </c>
      <c r="AA664" s="231" t="str">
        <f>VLOOKUP(G664,'ALL (R)'!$N$5:$R$862,5,FALSE)</f>
        <v>R 7</v>
      </c>
      <c r="AB664" s="232">
        <f>VLOOKUP(AA664,FACTS!$B$2:$L$14,10,FALSE)</f>
        <v>50150</v>
      </c>
      <c r="AC664" s="232">
        <f>VLOOKUP(AA664,FACTS!$B$2:$L$14,11,FALSE)</f>
        <v>56050</v>
      </c>
      <c r="AD664" s="232">
        <f>VLOOKUP(AA664,FACTS!$B$2:$N$14,13,FALSE)</f>
        <v>5900</v>
      </c>
      <c r="AE664" s="232">
        <f t="shared" si="105"/>
        <v>4041.4999999999995</v>
      </c>
      <c r="AF664" s="232">
        <f t="shared" si="106"/>
        <v>54191.5</v>
      </c>
      <c r="AG664" s="232">
        <f>AF664*FACTS!$T$2</f>
        <v>17883.195</v>
      </c>
      <c r="AH664" s="232">
        <f>Table1[[#This Row],[UNIT (BUILDING) RATE (SEMI FINISHED)]]+4500</f>
        <v>58691.5</v>
      </c>
      <c r="AI664" s="232">
        <f>Table1[[#This Row],[UNIT (BUILDING) RATE (SEMI FINISHED)]]+7500</f>
        <v>61691.5</v>
      </c>
      <c r="AJ664" s="232">
        <f t="shared" si="107"/>
        <v>12030513</v>
      </c>
      <c r="AK664" s="232">
        <f>Table1[[#This Row],[UNIT (BUILDING) RATE (BASIC FINISH)]]*Table1[[#This Row],[Unit Selling Area]]</f>
        <v>13029513</v>
      </c>
      <c r="AL664" s="232">
        <f>Table1[[#This Row],[UNIT (BUILDING) RATE (FULLY FINISH)]]*Table1[[#This Row],[Unit Selling Area]]</f>
        <v>13695513</v>
      </c>
      <c r="AM664" s="232">
        <f t="shared" si="108"/>
        <v>0</v>
      </c>
      <c r="AN664" s="232">
        <f>(AM664+AJ664)*FACTS!$S$2</f>
        <v>1022593.6050000001</v>
      </c>
      <c r="AO664" s="101">
        <f>VLOOKUP(S664,FACTS!$A$17:$C$23,3,FALSE)</f>
        <v>2</v>
      </c>
      <c r="AP664" s="232">
        <f>VLOOKUP(AA664,FACTS!$B$2:$J$14,9,FALSE)</f>
        <v>236000</v>
      </c>
      <c r="AQ664" s="232">
        <f>Table1[[#This Row],[PARKING VALUE]]*1</f>
        <v>236000</v>
      </c>
      <c r="AR664" s="232">
        <f t="shared" si="103"/>
        <v>12266513</v>
      </c>
      <c r="AS664" s="440">
        <f>Table1[[#This Row],[TOTAL CARS VALUE]]+Table1[[#This Row],[UNIT (BUILDING) VALUE BASIC FINISHED]]+Table1[[#This Row],[UNIT (GARDEN) VALUE]]</f>
        <v>13265513</v>
      </c>
      <c r="AT664" s="232">
        <f>Table1[[#This Row],[TOTAL CARS VALUE]]+Table1[[#This Row],[UNIT (GARDEN) VALUE]]+Table1[[#This Row],[UNIT (BUILDING) VALUE FULLY FINISHED]]</f>
        <v>13931513</v>
      </c>
      <c r="AU664" s="233">
        <f>VLOOKUP(I664,'C PHASES'!$I$108:$J$110,2,FALSE)</f>
        <v>46204</v>
      </c>
      <c r="AV664" s="233">
        <f>VLOOKUP(AA664,'C PHASES'!$I$113:$J$125,2,FALSE)</f>
        <v>45748</v>
      </c>
    </row>
    <row r="665" spans="1:48" x14ac:dyDescent="0.25">
      <c r="A665" s="236"/>
      <c r="B665" s="227" t="str">
        <f t="shared" si="102"/>
        <v>C</v>
      </c>
      <c r="C665" s="227" t="s">
        <v>86</v>
      </c>
      <c r="D665" s="227" t="s">
        <v>1147</v>
      </c>
      <c r="E665" s="228">
        <v>4</v>
      </c>
      <c r="F665" s="101">
        <v>3</v>
      </c>
      <c r="G665" s="87" t="str">
        <f t="shared" si="109"/>
        <v>C643</v>
      </c>
      <c r="H665" s="87" t="s">
        <v>1294</v>
      </c>
      <c r="I665" s="89" t="str">
        <f>VLOOKUP(C665,'PREMIUM TABLES'!$G$107:$H$149,2,FALSE)</f>
        <v>C2</v>
      </c>
      <c r="J665" s="89">
        <v>162.44399999999999</v>
      </c>
      <c r="K665" s="87">
        <v>180.00266855956127</v>
      </c>
      <c r="L665" s="87">
        <v>198</v>
      </c>
      <c r="M665" s="89"/>
      <c r="N665" s="89"/>
      <c r="O665" s="87" t="s">
        <v>187</v>
      </c>
      <c r="P665" s="87" t="s">
        <v>190</v>
      </c>
      <c r="Q665" s="229" t="s">
        <v>192</v>
      </c>
      <c r="R665" s="87" t="str">
        <f>VLOOKUP(E665,'PREMIUM TABLES'!$F$214:$G$219,2,FALSE)</f>
        <v>FORTH</v>
      </c>
      <c r="S665" s="87" t="str" cm="1">
        <f t="array" ref="S665">IF(AND(L665&gt;0,L665&lt;90),"A",IF(AND(L665&gt;90,L665&lt;123),"B",IF(AND(L665&gt;122,L665&lt;159),"C",IF(AND(L665&gt;159,L665&lt;185),"D",IF(AND(L665&gt;185,L665&lt;230),"E",IF(AND(L665&gt;230,L665&lt;350),"F",NONE))))))</f>
        <v>E</v>
      </c>
      <c r="T665" s="230">
        <f>VLOOKUP(O665,'PREMIUM TABLES'!$G$165:$H$172,2,FALSE)</f>
        <v>0.08</v>
      </c>
      <c r="U665" s="230">
        <f>VLOOKUP(P665,'PREMIUM TABLES'!$G$208:$H$209,2,FALSE)</f>
        <v>2.5000000000000001E-2</v>
      </c>
      <c r="V665" s="230">
        <f>VLOOKUP(Q665,'PREMIUM TABLES'!$G$175:$H$195,2,FALSE)</f>
        <v>0.46</v>
      </c>
      <c r="W665" s="230">
        <f>VLOOKUP(R665,'PREMIUM TABLES'!$G$214:$H$219,2,FALSE)</f>
        <v>0.06</v>
      </c>
      <c r="X665" s="230">
        <f>VLOOKUP(S665,'PREMIUM TABLES'!$F$199:$H$205,3,FALSE)</f>
        <v>1.4999999999999999E-2</v>
      </c>
      <c r="Y665" s="231">
        <f t="shared" si="104"/>
        <v>0.64</v>
      </c>
      <c r="Z665" s="231" t="str" cm="1">
        <f t="array" ref="Z665">IF(AND(Y665&gt;0,Y665&lt;0.5),"C",IF(AND(Y665&gt;=0.5,Y665&lt;0.73),"B",IF(AND(Y665&gt;=0.73,Y665&lt;0.98),"A",NONE)))</f>
        <v>B</v>
      </c>
      <c r="AA665" s="231" t="str">
        <f>VLOOKUP(G665,'ALL (R)'!$N$5:$R$862,5,FALSE)</f>
        <v>R 4</v>
      </c>
      <c r="AB665" s="232">
        <f>VLOOKUP(AA665,FACTS!$B$2:$L$14,10,FALSE)</f>
        <v>45687.5</v>
      </c>
      <c r="AC665" s="232">
        <f>VLOOKUP(AA665,FACTS!$B$2:$L$14,11,FALSE)</f>
        <v>51062.5</v>
      </c>
      <c r="AD665" s="232">
        <f>VLOOKUP(AA665,FACTS!$B$2:$N$14,13,FALSE)</f>
        <v>5375</v>
      </c>
      <c r="AE665" s="232">
        <f t="shared" si="105"/>
        <v>3440</v>
      </c>
      <c r="AF665" s="232">
        <f t="shared" si="106"/>
        <v>49127.5</v>
      </c>
      <c r="AG665" s="232">
        <f>AF665*FACTS!$T$2</f>
        <v>16212.075000000001</v>
      </c>
      <c r="AH665" s="232">
        <f>Table1[[#This Row],[UNIT (BUILDING) RATE (SEMI FINISHED)]]+4500</f>
        <v>53627.5</v>
      </c>
      <c r="AI665" s="232">
        <f>Table1[[#This Row],[UNIT (BUILDING) RATE (SEMI FINISHED)]]+7500</f>
        <v>56627.5</v>
      </c>
      <c r="AJ665" s="232">
        <f t="shared" si="107"/>
        <v>9727245</v>
      </c>
      <c r="AK665" s="232">
        <f>Table1[[#This Row],[UNIT (BUILDING) RATE (BASIC FINISH)]]*Table1[[#This Row],[Unit Selling Area]]</f>
        <v>10618245</v>
      </c>
      <c r="AL665" s="232">
        <f>Table1[[#This Row],[UNIT (BUILDING) RATE (FULLY FINISH)]]*Table1[[#This Row],[Unit Selling Area]]</f>
        <v>11212245</v>
      </c>
      <c r="AM665" s="232">
        <f t="shared" si="108"/>
        <v>0</v>
      </c>
      <c r="AN665" s="232">
        <f>(AM665+AJ665)*FACTS!$S$2</f>
        <v>826815.82500000007</v>
      </c>
      <c r="AO665" s="101">
        <f>VLOOKUP(S665,FACTS!$A$17:$C$23,3,FALSE)</f>
        <v>2</v>
      </c>
      <c r="AP665" s="232">
        <f>VLOOKUP(AA665,FACTS!$B$2:$J$14,9,FALSE)</f>
        <v>215000</v>
      </c>
      <c r="AQ665" s="232">
        <f>Table1[[#This Row],[PARKING VALUE]]*1</f>
        <v>215000</v>
      </c>
      <c r="AR665" s="232">
        <f t="shared" si="103"/>
        <v>9942245</v>
      </c>
      <c r="AS665" s="440">
        <f>Table1[[#This Row],[TOTAL CARS VALUE]]+Table1[[#This Row],[UNIT (BUILDING) VALUE BASIC FINISHED]]+Table1[[#This Row],[UNIT (GARDEN) VALUE]]</f>
        <v>10833245</v>
      </c>
      <c r="AT665" s="232">
        <f>Table1[[#This Row],[TOTAL CARS VALUE]]+Table1[[#This Row],[UNIT (GARDEN) VALUE]]+Table1[[#This Row],[UNIT (BUILDING) VALUE FULLY FINISHED]]</f>
        <v>11427245</v>
      </c>
      <c r="AU665" s="233">
        <f>VLOOKUP(I665,'C PHASES'!$I$108:$J$110,2,FALSE)</f>
        <v>46204</v>
      </c>
      <c r="AV665" s="233">
        <f>VLOOKUP(AA665,'C PHASES'!$I$113:$J$125,2,FALSE)</f>
        <v>45474</v>
      </c>
    </row>
    <row r="666" spans="1:48" x14ac:dyDescent="0.25">
      <c r="A666" s="236"/>
      <c r="B666" s="227" t="str">
        <f t="shared" si="102"/>
        <v>C</v>
      </c>
      <c r="C666" s="227" t="s">
        <v>86</v>
      </c>
      <c r="D666" s="227" t="s">
        <v>1147</v>
      </c>
      <c r="E666" s="228">
        <v>4</v>
      </c>
      <c r="F666" s="101">
        <v>4</v>
      </c>
      <c r="G666" s="87" t="str">
        <f t="shared" si="109"/>
        <v>C644</v>
      </c>
      <c r="H666" s="87" t="s">
        <v>1294</v>
      </c>
      <c r="I666" s="89" t="str">
        <f>VLOOKUP(C666,'PREMIUM TABLES'!$G$107:$H$149,2,FALSE)</f>
        <v>C2</v>
      </c>
      <c r="J666" s="89">
        <v>139.12700000000001</v>
      </c>
      <c r="K666" s="87">
        <v>154.16532016378619</v>
      </c>
      <c r="L666" s="87">
        <v>170</v>
      </c>
      <c r="M666" s="89"/>
      <c r="N666" s="89"/>
      <c r="O666" s="87" t="s">
        <v>180</v>
      </c>
      <c r="P666" s="87" t="s">
        <v>190</v>
      </c>
      <c r="Q666" s="229" t="s">
        <v>199</v>
      </c>
      <c r="R666" s="87" t="str">
        <f>VLOOKUP(E666,'PREMIUM TABLES'!$F$214:$G$219,2,FALSE)</f>
        <v>FORTH</v>
      </c>
      <c r="S666" s="87" t="str" cm="1">
        <f t="array" ref="S666">IF(AND(L666&gt;0,L666&lt;90),"A",IF(AND(L666&gt;90,L666&lt;123),"B",IF(AND(L666&gt;122,L666&lt;159),"C",IF(AND(L666&gt;159,L666&lt;185),"D",IF(AND(L666&gt;185,L666&lt;230),"E",IF(AND(L666&gt;230,L666&lt;350),"F",NONE))))))</f>
        <v>D</v>
      </c>
      <c r="T666" s="230">
        <f>VLOOKUP(O666,'PREMIUM TABLES'!$G$165:$H$172,2,FALSE)</f>
        <v>0.13</v>
      </c>
      <c r="U666" s="230">
        <f>VLOOKUP(P666,'PREMIUM TABLES'!$G$208:$H$209,2,FALSE)</f>
        <v>2.5000000000000001E-2</v>
      </c>
      <c r="V666" s="230">
        <f>VLOOKUP(Q666,'PREMIUM TABLES'!$G$175:$H$195,2,FALSE)</f>
        <v>0.13</v>
      </c>
      <c r="W666" s="230">
        <f>VLOOKUP(R666,'PREMIUM TABLES'!$G$214:$H$219,2,FALSE)</f>
        <v>0.06</v>
      </c>
      <c r="X666" s="230">
        <f>VLOOKUP(S666,'PREMIUM TABLES'!$F$199:$H$205,3,FALSE)</f>
        <v>2.5000000000000001E-2</v>
      </c>
      <c r="Y666" s="231">
        <f t="shared" si="104"/>
        <v>0.37000000000000005</v>
      </c>
      <c r="Z666" s="231" t="str" cm="1">
        <f t="array" ref="Z666">IF(AND(Y666&gt;0,Y666&lt;0.5),"C",IF(AND(Y666&gt;=0.5,Y666&lt;0.73),"B",IF(AND(Y666&gt;=0.73,Y666&lt;0.98),"A",NONE)))</f>
        <v>C</v>
      </c>
      <c r="AA666" s="231" t="str">
        <f>VLOOKUP(G666,'ALL (R)'!$N$5:$R$862,5,FALSE)</f>
        <v>R 3</v>
      </c>
      <c r="AB666" s="232">
        <f>VLOOKUP(AA666,FACTS!$B$2:$L$14,10,FALSE)</f>
        <v>44625</v>
      </c>
      <c r="AC666" s="232">
        <f>VLOOKUP(AA666,FACTS!$B$2:$L$14,11,FALSE)</f>
        <v>49875</v>
      </c>
      <c r="AD666" s="232">
        <f>VLOOKUP(AA666,FACTS!$B$2:$N$14,13,FALSE)</f>
        <v>5250</v>
      </c>
      <c r="AE666" s="232">
        <f t="shared" si="105"/>
        <v>1942.5000000000002</v>
      </c>
      <c r="AF666" s="232">
        <f t="shared" si="106"/>
        <v>46567.5</v>
      </c>
      <c r="AG666" s="232">
        <f>AF666*FACTS!$T$2</f>
        <v>15367.275000000001</v>
      </c>
      <c r="AH666" s="232">
        <f>Table1[[#This Row],[UNIT (BUILDING) RATE (SEMI FINISHED)]]+4500</f>
        <v>51067.5</v>
      </c>
      <c r="AI666" s="232">
        <f>Table1[[#This Row],[UNIT (BUILDING) RATE (SEMI FINISHED)]]+7500</f>
        <v>54067.5</v>
      </c>
      <c r="AJ666" s="232">
        <f t="shared" si="107"/>
        <v>7916475</v>
      </c>
      <c r="AK666" s="232">
        <f>Table1[[#This Row],[UNIT (BUILDING) RATE (BASIC FINISH)]]*Table1[[#This Row],[Unit Selling Area]]</f>
        <v>8681475</v>
      </c>
      <c r="AL666" s="232">
        <f>Table1[[#This Row],[UNIT (BUILDING) RATE (FULLY FINISH)]]*Table1[[#This Row],[Unit Selling Area]]</f>
        <v>9191475</v>
      </c>
      <c r="AM666" s="232">
        <f t="shared" si="108"/>
        <v>0</v>
      </c>
      <c r="AN666" s="232">
        <f>(AM666+AJ666)*FACTS!$S$2</f>
        <v>672900.375</v>
      </c>
      <c r="AO666" s="101">
        <f>VLOOKUP(S666,FACTS!$A$17:$C$23,3,FALSE)</f>
        <v>2</v>
      </c>
      <c r="AP666" s="232">
        <f>VLOOKUP(AA666,FACTS!$B$2:$J$14,9,FALSE)</f>
        <v>210000</v>
      </c>
      <c r="AQ666" s="232">
        <f>Table1[[#This Row],[PARKING VALUE]]*1</f>
        <v>210000</v>
      </c>
      <c r="AR666" s="232">
        <f t="shared" si="103"/>
        <v>8126475</v>
      </c>
      <c r="AS666" s="440">
        <f>Table1[[#This Row],[TOTAL CARS VALUE]]+Table1[[#This Row],[UNIT (BUILDING) VALUE BASIC FINISHED]]+Table1[[#This Row],[UNIT (GARDEN) VALUE]]</f>
        <v>8891475</v>
      </c>
      <c r="AT666" s="232">
        <f>Table1[[#This Row],[TOTAL CARS VALUE]]+Table1[[#This Row],[UNIT (GARDEN) VALUE]]+Table1[[#This Row],[UNIT (BUILDING) VALUE FULLY FINISHED]]</f>
        <v>9401475</v>
      </c>
      <c r="AU666" s="233">
        <f>VLOOKUP(I666,'C PHASES'!$I$108:$J$110,2,FALSE)</f>
        <v>46204</v>
      </c>
      <c r="AV666" s="233">
        <f>VLOOKUP(AA666,'C PHASES'!$I$113:$J$125,2,FALSE)</f>
        <v>45383</v>
      </c>
    </row>
    <row r="667" spans="1:48" ht="21.75" x14ac:dyDescent="0.25">
      <c r="A667" s="235" t="s">
        <v>38</v>
      </c>
      <c r="B667" s="227" t="str">
        <f t="shared" si="102"/>
        <v>D</v>
      </c>
      <c r="C667" s="227" t="s">
        <v>59</v>
      </c>
      <c r="D667" s="227" t="s">
        <v>1147</v>
      </c>
      <c r="E667" s="228">
        <v>0</v>
      </c>
      <c r="F667" s="101">
        <v>1</v>
      </c>
      <c r="G667" s="87" t="str">
        <f>LEFT(C667,2)&amp;E667&amp;F667</f>
        <v>D101</v>
      </c>
      <c r="H667" s="87" t="s">
        <v>1293</v>
      </c>
      <c r="I667" s="89" t="str">
        <f>VLOOKUP(C667,'PREMIUM TABLES'!$G$107:$H$149,2,FALSE)</f>
        <v>C3</v>
      </c>
      <c r="J667" s="87">
        <v>87.23</v>
      </c>
      <c r="K667" s="87">
        <v>94.72160516317075</v>
      </c>
      <c r="L667" s="87">
        <v>106</v>
      </c>
      <c r="M667" s="87">
        <v>66.414400000000001</v>
      </c>
      <c r="O667" s="87" t="s">
        <v>187</v>
      </c>
      <c r="P667" s="87" t="s">
        <v>190</v>
      </c>
      <c r="Q667" s="229" t="s">
        <v>197</v>
      </c>
      <c r="R667" s="87" t="str">
        <f>VLOOKUP(E667,'PREMIUM TABLES'!$F$214:$G$219,2,FALSE)</f>
        <v>GROUND</v>
      </c>
      <c r="S667" s="87" t="str" cm="1">
        <f t="array" ref="S667">IF(AND(L667&gt;0,L667&lt;90),"A",IF(AND(L667&gt;90,L667&lt;123),"B",IF(AND(L667&gt;122,L667&lt;159),"C",IF(AND(L667&gt;159,L667&lt;185),"D",IF(AND(L667&gt;185,L667&lt;230),"E",IF(AND(L667&gt;230,L667&lt;350),"F",NONE))))))</f>
        <v>B</v>
      </c>
      <c r="T667" s="230">
        <f>VLOOKUP(O667,'PREMIUM TABLES'!$G$165:$H$172,2,FALSE)</f>
        <v>0.08</v>
      </c>
      <c r="U667" s="230">
        <f>VLOOKUP(P667,'PREMIUM TABLES'!$G$208:$H$209,2,FALSE)</f>
        <v>2.5000000000000001E-2</v>
      </c>
      <c r="V667" s="230">
        <f>VLOOKUP(Q667,'PREMIUM TABLES'!$G$175:$H$195,2,FALSE)</f>
        <v>0.16</v>
      </c>
      <c r="W667" s="230">
        <f>VLOOKUP(R667,'PREMIUM TABLES'!$G$214:$H$219,2,FALSE)</f>
        <v>0.05</v>
      </c>
      <c r="X667" s="230">
        <f>VLOOKUP(S667,'PREMIUM TABLES'!$F$199:$H$205,3,FALSE)</f>
        <v>0.04</v>
      </c>
      <c r="Y667" s="231">
        <f t="shared" si="104"/>
        <v>0.35499999999999998</v>
      </c>
      <c r="Z667" s="231" t="str" cm="1">
        <f t="array" ref="Z667">IF(AND(Y667&gt;0,Y667&lt;0.5),"C",IF(AND(Y667&gt;=0.5,Y667&lt;0.73),"B",IF(AND(Y667&gt;=0.73,Y667&lt;0.98),"A",NONE)))</f>
        <v>C</v>
      </c>
      <c r="AA667" s="231" t="str">
        <f>VLOOKUP(G667,'ALL (R)'!$N$5:$R$862,5,FALSE)</f>
        <v>R 1</v>
      </c>
      <c r="AB667" s="232">
        <f>VLOOKUP(AA667,FACTS!$B$2:$L$14,10,FALSE)</f>
        <v>42500</v>
      </c>
      <c r="AC667" s="232">
        <f>VLOOKUP(AA667,FACTS!$B$2:$L$14,11,FALSE)</f>
        <v>47500</v>
      </c>
      <c r="AD667" s="232">
        <f>VLOOKUP(AA667,FACTS!$B$2:$N$14,13,FALSE)</f>
        <v>5000</v>
      </c>
      <c r="AE667" s="232">
        <f t="shared" si="105"/>
        <v>1775</v>
      </c>
      <c r="AF667" s="232">
        <f t="shared" si="106"/>
        <v>44275</v>
      </c>
      <c r="AG667" s="232">
        <f>AF667*FACTS!$T$2</f>
        <v>14610.75</v>
      </c>
      <c r="AH667" s="232">
        <f>Table1[[#This Row],[UNIT (BUILDING) RATE (SEMI FINISHED)]]+4500</f>
        <v>48775</v>
      </c>
      <c r="AI667" s="232">
        <f>Table1[[#This Row],[UNIT (BUILDING) RATE (SEMI FINISHED)]]+7500</f>
        <v>51775</v>
      </c>
      <c r="AJ667" s="232">
        <f t="shared" si="107"/>
        <v>4693150</v>
      </c>
      <c r="AK667" s="232">
        <f>Table1[[#This Row],[UNIT (BUILDING) RATE (BASIC FINISH)]]*Table1[[#This Row],[Unit Selling Area]]</f>
        <v>5170150</v>
      </c>
      <c r="AL667" s="232">
        <f>Table1[[#This Row],[UNIT (BUILDING) RATE (FULLY FINISH)]]*Table1[[#This Row],[Unit Selling Area]]</f>
        <v>5488150</v>
      </c>
      <c r="AM667" s="232">
        <f t="shared" si="108"/>
        <v>970364.19480000006</v>
      </c>
      <c r="AN667" s="232">
        <f>(AM667+AJ667)*FACTS!$S$2</f>
        <v>481398.70655800001</v>
      </c>
      <c r="AO667" s="101">
        <f>VLOOKUP(S667,FACTS!$A$17:$C$23,3,FALSE)</f>
        <v>1</v>
      </c>
      <c r="AP667" s="232">
        <f>VLOOKUP(AA667,FACTS!$B$2:$J$14,9,FALSE)</f>
        <v>200000</v>
      </c>
      <c r="AQ667" s="232">
        <f>Table1[[#This Row],[PARKING VALUE]]*1</f>
        <v>200000</v>
      </c>
      <c r="AR667" s="232">
        <f t="shared" si="103"/>
        <v>5863514.1948000006</v>
      </c>
      <c r="AS667" s="440">
        <f>Table1[[#This Row],[TOTAL CARS VALUE]]+Table1[[#This Row],[UNIT (BUILDING) VALUE BASIC FINISHED]]+Table1[[#This Row],[UNIT (GARDEN) VALUE]]</f>
        <v>6340514.1947999997</v>
      </c>
      <c r="AT667" s="232">
        <f>Table1[[#This Row],[TOTAL CARS VALUE]]+Table1[[#This Row],[UNIT (GARDEN) VALUE]]+Table1[[#This Row],[UNIT (BUILDING) VALUE FULLY FINISHED]]</f>
        <v>6658514.1948000006</v>
      </c>
      <c r="AU667" s="233">
        <f>VLOOKUP(I667,'C PHASES'!$I$108:$J$110,2,FALSE)</f>
        <v>46569</v>
      </c>
      <c r="AV667" s="233">
        <f>VLOOKUP(AA667,'C PHASES'!$I$113:$J$125,2,FALSE)</f>
        <v>45170</v>
      </c>
    </row>
    <row r="668" spans="1:48" x14ac:dyDescent="0.25">
      <c r="A668" s="235"/>
      <c r="B668" s="227" t="str">
        <f t="shared" si="102"/>
        <v>D</v>
      </c>
      <c r="C668" s="227" t="s">
        <v>59</v>
      </c>
      <c r="D668" s="227" t="s">
        <v>1147</v>
      </c>
      <c r="E668" s="228">
        <v>0</v>
      </c>
      <c r="F668" s="101">
        <v>2</v>
      </c>
      <c r="G668" s="87" t="str">
        <f t="shared" ref="G668:G686" si="110">LEFT(C668,2)&amp;E668&amp;F668</f>
        <v>D102</v>
      </c>
      <c r="H668" s="87" t="s">
        <v>1294</v>
      </c>
      <c r="I668" s="89" t="str">
        <f>VLOOKUP(C668,'PREMIUM TABLES'!$G$107:$H$149,2,FALSE)</f>
        <v>C3</v>
      </c>
      <c r="J668" s="87">
        <v>125.09</v>
      </c>
      <c r="K668" s="87">
        <v>135.83314902970341</v>
      </c>
      <c r="L668" s="87">
        <v>153</v>
      </c>
      <c r="M668" s="87">
        <v>85.619500000000002</v>
      </c>
      <c r="O668" s="87" t="s">
        <v>180</v>
      </c>
      <c r="P668" s="87" t="s">
        <v>190</v>
      </c>
      <c r="Q668" s="229" t="s">
        <v>211</v>
      </c>
      <c r="R668" s="87" t="str">
        <f>VLOOKUP(E668,'PREMIUM TABLES'!$F$214:$G$219,2,FALSE)</f>
        <v>GROUND</v>
      </c>
      <c r="S668" s="87" t="str" cm="1">
        <f t="array" ref="S668">IF(AND(L668&gt;0,L668&lt;90),"A",IF(AND(L668&gt;90,L668&lt;123),"B",IF(AND(L668&gt;122,L668&lt;159),"C",IF(AND(L668&gt;159,L668&lt;185),"D",IF(AND(L668&gt;185,L668&lt;230),"E",IF(AND(L668&gt;230,L668&lt;350),"F",NONE))))))</f>
        <v>C</v>
      </c>
      <c r="T668" s="230">
        <f>VLOOKUP(O668,'PREMIUM TABLES'!$G$165:$H$172,2,FALSE)</f>
        <v>0.13</v>
      </c>
      <c r="U668" s="230">
        <f>VLOOKUP(P668,'PREMIUM TABLES'!$G$208:$H$209,2,FALSE)</f>
        <v>2.5000000000000001E-2</v>
      </c>
      <c r="V668" s="230">
        <f>VLOOKUP(Q668,'PREMIUM TABLES'!$G$175:$H$195,2,FALSE)</f>
        <v>0.43</v>
      </c>
      <c r="W668" s="230">
        <f>VLOOKUP(R668,'PREMIUM TABLES'!$G$214:$H$219,2,FALSE)</f>
        <v>0.05</v>
      </c>
      <c r="X668" s="230">
        <f>VLOOKUP(S668,'PREMIUM TABLES'!$F$199:$H$205,3,FALSE)</f>
        <v>3.5000000000000003E-2</v>
      </c>
      <c r="Y668" s="231">
        <f t="shared" si="104"/>
        <v>0.67</v>
      </c>
      <c r="Z668" s="231" t="str" cm="1">
        <f t="array" ref="Z668">IF(AND(Y668&gt;0,Y668&lt;0.5),"C",IF(AND(Y668&gt;=0.5,Y668&lt;0.73),"B",IF(AND(Y668&gt;=0.73,Y668&lt;0.98),"A",NONE)))</f>
        <v>B</v>
      </c>
      <c r="AA668" s="231" t="str">
        <f>VLOOKUP(G668,'ALL (R)'!$N$5:$R$862,5,FALSE)</f>
        <v>R 6</v>
      </c>
      <c r="AB668" s="232">
        <f>VLOOKUP(AA668,FACTS!$B$2:$L$14,10,FALSE)</f>
        <v>48450.000000000007</v>
      </c>
      <c r="AC668" s="232">
        <f>VLOOKUP(AA668,FACTS!$B$2:$L$14,11,FALSE)</f>
        <v>54150.000000000007</v>
      </c>
      <c r="AD668" s="232">
        <f>VLOOKUP(AA668,FACTS!$B$2:$N$14,13,FALSE)</f>
        <v>5700</v>
      </c>
      <c r="AE668" s="232">
        <f t="shared" si="105"/>
        <v>3819.0000000000005</v>
      </c>
      <c r="AF668" s="232">
        <f t="shared" si="106"/>
        <v>52269.000000000007</v>
      </c>
      <c r="AG668" s="232">
        <f>AF668*FACTS!$T$2</f>
        <v>17248.770000000004</v>
      </c>
      <c r="AH668" s="232">
        <f>Table1[[#This Row],[UNIT (BUILDING) RATE (SEMI FINISHED)]]+4500</f>
        <v>56769.000000000007</v>
      </c>
      <c r="AI668" s="232">
        <f>Table1[[#This Row],[UNIT (BUILDING) RATE (SEMI FINISHED)]]+7500</f>
        <v>59769.000000000007</v>
      </c>
      <c r="AJ668" s="232">
        <f t="shared" si="107"/>
        <v>7997157.0000000009</v>
      </c>
      <c r="AK668" s="232">
        <f>Table1[[#This Row],[UNIT (BUILDING) RATE (BASIC FINISH)]]*Table1[[#This Row],[Unit Selling Area]]</f>
        <v>8685657.0000000019</v>
      </c>
      <c r="AL668" s="232">
        <f>Table1[[#This Row],[UNIT (BUILDING) RATE (FULLY FINISH)]]*Table1[[#This Row],[Unit Selling Area]]</f>
        <v>9144657.0000000019</v>
      </c>
      <c r="AM668" s="232">
        <f t="shared" si="108"/>
        <v>1476831.0630150004</v>
      </c>
      <c r="AN668" s="232">
        <f>(AM668+AJ668)*FACTS!$S$2</f>
        <v>805288.98535627511</v>
      </c>
      <c r="AO668" s="101">
        <f>VLOOKUP(S668,FACTS!$A$17:$C$23,3,FALSE)</f>
        <v>2</v>
      </c>
      <c r="AP668" s="232">
        <f>VLOOKUP(AA668,FACTS!$B$2:$J$14,9,FALSE)</f>
        <v>228000.00000000003</v>
      </c>
      <c r="AQ668" s="232">
        <f>Table1[[#This Row],[PARKING VALUE]]*1</f>
        <v>228000.00000000003</v>
      </c>
      <c r="AR668" s="232">
        <f t="shared" si="103"/>
        <v>9701988.0630150009</v>
      </c>
      <c r="AS668" s="440">
        <f>Table1[[#This Row],[TOTAL CARS VALUE]]+Table1[[#This Row],[UNIT (BUILDING) VALUE BASIC FINISHED]]+Table1[[#This Row],[UNIT (GARDEN) VALUE]]</f>
        <v>10390488.063015003</v>
      </c>
      <c r="AT668" s="232">
        <f>Table1[[#This Row],[TOTAL CARS VALUE]]+Table1[[#This Row],[UNIT (GARDEN) VALUE]]+Table1[[#This Row],[UNIT (BUILDING) VALUE FULLY FINISHED]]</f>
        <v>10849488.063015003</v>
      </c>
      <c r="AU668" s="233">
        <f>VLOOKUP(I668,'C PHASES'!$I$108:$J$110,2,FALSE)</f>
        <v>46569</v>
      </c>
      <c r="AV668" s="233">
        <f>VLOOKUP(AA668,'C PHASES'!$I$113:$J$125,2,FALSE)</f>
        <v>45658</v>
      </c>
    </row>
    <row r="669" spans="1:48" x14ac:dyDescent="0.25">
      <c r="A669" s="235"/>
      <c r="B669" s="227" t="str">
        <f t="shared" si="102"/>
        <v>D</v>
      </c>
      <c r="C669" s="227" t="s">
        <v>59</v>
      </c>
      <c r="D669" s="227" t="s">
        <v>1147</v>
      </c>
      <c r="E669" s="228">
        <v>0</v>
      </c>
      <c r="F669" s="101">
        <v>3</v>
      </c>
      <c r="G669" s="87" t="str">
        <f t="shared" si="110"/>
        <v>D103</v>
      </c>
      <c r="H669" s="87" t="s">
        <v>1294</v>
      </c>
      <c r="I669" s="89" t="str">
        <f>VLOOKUP(C669,'PREMIUM TABLES'!$G$107:$H$149,2,FALSE)</f>
        <v>C3</v>
      </c>
      <c r="J669" s="87">
        <v>129.57</v>
      </c>
      <c r="K669" s="87">
        <v>140.69790646557414</v>
      </c>
      <c r="L669" s="87">
        <v>158</v>
      </c>
      <c r="M669" s="87">
        <v>84.075199999999995</v>
      </c>
      <c r="O669" s="87" t="s">
        <v>180</v>
      </c>
      <c r="P669" s="87" t="s">
        <v>226</v>
      </c>
      <c r="Q669" s="229" t="s">
        <v>211</v>
      </c>
      <c r="R669" s="87" t="str">
        <f>VLOOKUP(E669,'PREMIUM TABLES'!$F$214:$G$219,2,FALSE)</f>
        <v>GROUND</v>
      </c>
      <c r="S669" s="87" t="str" cm="1">
        <f t="array" ref="S669">IF(AND(L669&gt;0,L669&lt;90),"A",IF(AND(L669&gt;90,L669&lt;123),"B",IF(AND(L669&gt;122,L669&lt;159),"C",IF(AND(L669&gt;159,L669&lt;185),"D",IF(AND(L669&gt;185,L669&lt;230),"E",IF(AND(L669&gt;230,L669&lt;350),"F",NONE))))))</f>
        <v>C</v>
      </c>
      <c r="T669" s="230">
        <f>VLOOKUP(O669,'PREMIUM TABLES'!$G$165:$H$172,2,FALSE)</f>
        <v>0.13</v>
      </c>
      <c r="U669" s="230">
        <f>VLOOKUP(P669,'PREMIUM TABLES'!$G$208:$H$209,2,FALSE)</f>
        <v>0.05</v>
      </c>
      <c r="V669" s="230">
        <f>VLOOKUP(Q669,'PREMIUM TABLES'!$G$175:$H$195,2,FALSE)</f>
        <v>0.43</v>
      </c>
      <c r="W669" s="230">
        <f>VLOOKUP(R669,'PREMIUM TABLES'!$G$214:$H$219,2,FALSE)</f>
        <v>0.05</v>
      </c>
      <c r="X669" s="230">
        <f>VLOOKUP(S669,'PREMIUM TABLES'!$F$199:$H$205,3,FALSE)</f>
        <v>3.5000000000000003E-2</v>
      </c>
      <c r="Y669" s="231">
        <f t="shared" si="104"/>
        <v>0.69500000000000006</v>
      </c>
      <c r="Z669" s="231" t="str" cm="1">
        <f t="array" ref="Z669">IF(AND(Y669&gt;0,Y669&lt;0.5),"C",IF(AND(Y669&gt;=0.5,Y669&lt;0.73),"B",IF(AND(Y669&gt;=0.73,Y669&lt;0.98),"A",NONE)))</f>
        <v>B</v>
      </c>
      <c r="AA669" s="231" t="str">
        <f>VLOOKUP(G669,'ALL (R)'!$N$5:$R$862,5,FALSE)</f>
        <v>R 8</v>
      </c>
      <c r="AB669" s="232">
        <f>VLOOKUP(AA669,FACTS!$B$2:$L$14,10,FALSE)</f>
        <v>51850</v>
      </c>
      <c r="AC669" s="232">
        <f>VLOOKUP(AA669,FACTS!$B$2:$L$14,11,FALSE)</f>
        <v>57950</v>
      </c>
      <c r="AD669" s="232">
        <f>VLOOKUP(AA669,FACTS!$B$2:$N$14,13,FALSE)</f>
        <v>6100</v>
      </c>
      <c r="AE669" s="232">
        <f t="shared" si="105"/>
        <v>4239.5</v>
      </c>
      <c r="AF669" s="232">
        <f t="shared" si="106"/>
        <v>56089.5</v>
      </c>
      <c r="AG669" s="232">
        <f>AF669*FACTS!$T$2</f>
        <v>18509.535</v>
      </c>
      <c r="AH669" s="232">
        <f>Table1[[#This Row],[UNIT (BUILDING) RATE (SEMI FINISHED)]]+4500</f>
        <v>60589.5</v>
      </c>
      <c r="AI669" s="232">
        <f>Table1[[#This Row],[UNIT (BUILDING) RATE (SEMI FINISHED)]]+7500</f>
        <v>63589.5</v>
      </c>
      <c r="AJ669" s="232">
        <f t="shared" si="107"/>
        <v>8862141</v>
      </c>
      <c r="AK669" s="232">
        <f>Table1[[#This Row],[UNIT (BUILDING) RATE (BASIC FINISH)]]*Table1[[#This Row],[Unit Selling Area]]</f>
        <v>9573141</v>
      </c>
      <c r="AL669" s="232">
        <f>Table1[[#This Row],[UNIT (BUILDING) RATE (FULLY FINISH)]]*Table1[[#This Row],[Unit Selling Area]]</f>
        <v>10047141</v>
      </c>
      <c r="AM669" s="232">
        <f t="shared" si="108"/>
        <v>1556192.8570319999</v>
      </c>
      <c r="AN669" s="232">
        <f>(AM669+AJ669)*FACTS!$S$2</f>
        <v>885558.37784771994</v>
      </c>
      <c r="AO669" s="101">
        <f>VLOOKUP(S669,FACTS!$A$17:$C$23,3,FALSE)</f>
        <v>2</v>
      </c>
      <c r="AP669" s="232">
        <f>VLOOKUP(AA669,FACTS!$B$2:$J$14,9,FALSE)</f>
        <v>244000</v>
      </c>
      <c r="AQ669" s="232">
        <f>Table1[[#This Row],[PARKING VALUE]]*1</f>
        <v>244000</v>
      </c>
      <c r="AR669" s="232">
        <f t="shared" si="103"/>
        <v>10662333.857031999</v>
      </c>
      <c r="AS669" s="440">
        <f>Table1[[#This Row],[TOTAL CARS VALUE]]+Table1[[#This Row],[UNIT (BUILDING) VALUE BASIC FINISHED]]+Table1[[#This Row],[UNIT (GARDEN) VALUE]]</f>
        <v>11373333.857031999</v>
      </c>
      <c r="AT669" s="232">
        <f>Table1[[#This Row],[TOTAL CARS VALUE]]+Table1[[#This Row],[UNIT (GARDEN) VALUE]]+Table1[[#This Row],[UNIT (BUILDING) VALUE FULLY FINISHED]]</f>
        <v>11847333.857031999</v>
      </c>
      <c r="AU669" s="233">
        <f>VLOOKUP(I669,'C PHASES'!$I$108:$J$110,2,FALSE)</f>
        <v>46569</v>
      </c>
      <c r="AV669" s="233">
        <f>VLOOKUP(AA669,'C PHASES'!$I$113:$J$125,2,FALSE)</f>
        <v>45839</v>
      </c>
    </row>
    <row r="670" spans="1:48" x14ac:dyDescent="0.25">
      <c r="A670" s="235"/>
      <c r="B670" s="227" t="str">
        <f t="shared" si="102"/>
        <v>D</v>
      </c>
      <c r="C670" s="227" t="s">
        <v>59</v>
      </c>
      <c r="D670" s="227" t="s">
        <v>1147</v>
      </c>
      <c r="E670" s="228">
        <v>0</v>
      </c>
      <c r="F670" s="101">
        <v>4</v>
      </c>
      <c r="G670" s="87" t="str">
        <f t="shared" si="110"/>
        <v>D104</v>
      </c>
      <c r="H670" s="87" t="s">
        <v>1294</v>
      </c>
      <c r="I670" s="89" t="str">
        <f>VLOOKUP(C670,'PREMIUM TABLES'!$G$107:$H$149,2,FALSE)</f>
        <v>C3</v>
      </c>
      <c r="J670" s="87">
        <v>131.34</v>
      </c>
      <c r="K670" s="87">
        <v>142.61992000608558</v>
      </c>
      <c r="L670" s="87">
        <v>160</v>
      </c>
      <c r="M670" s="87">
        <v>81.358599999999996</v>
      </c>
      <c r="O670" s="87" t="s">
        <v>187</v>
      </c>
      <c r="P670" s="87" t="s">
        <v>226</v>
      </c>
      <c r="Q670" s="229" t="s">
        <v>197</v>
      </c>
      <c r="R670" s="87" t="str">
        <f>VLOOKUP(E670,'PREMIUM TABLES'!$F$214:$G$219,2,FALSE)</f>
        <v>GROUND</v>
      </c>
      <c r="S670" s="87" t="str" cm="1">
        <f t="array" ref="S670">IF(AND(L670&gt;0,L670&lt;90),"A",IF(AND(L670&gt;90,L670&lt;123),"B",IF(AND(L670&gt;122,L670&lt;159),"C",IF(AND(L670&gt;159,L670&lt;185),"D",IF(AND(L670&gt;185,L670&lt;230),"E",IF(AND(L670&gt;230,L670&lt;350),"F",NONE))))))</f>
        <v>D</v>
      </c>
      <c r="T670" s="230">
        <f>VLOOKUP(O670,'PREMIUM TABLES'!$G$165:$H$172,2,FALSE)</f>
        <v>0.08</v>
      </c>
      <c r="U670" s="230">
        <f>VLOOKUP(P670,'PREMIUM TABLES'!$G$208:$H$209,2,FALSE)</f>
        <v>0.05</v>
      </c>
      <c r="V670" s="230">
        <f>VLOOKUP(Q670,'PREMIUM TABLES'!$G$175:$H$195,2,FALSE)</f>
        <v>0.16</v>
      </c>
      <c r="W670" s="230">
        <f>VLOOKUP(R670,'PREMIUM TABLES'!$G$214:$H$219,2,FALSE)</f>
        <v>0.05</v>
      </c>
      <c r="X670" s="230">
        <f>VLOOKUP(S670,'PREMIUM TABLES'!$F$199:$H$205,3,FALSE)</f>
        <v>2.5000000000000001E-2</v>
      </c>
      <c r="Y670" s="231">
        <f t="shared" si="104"/>
        <v>0.36500000000000005</v>
      </c>
      <c r="Z670" s="231" t="str" cm="1">
        <f t="array" ref="Z670">IF(AND(Y670&gt;0,Y670&lt;0.5),"C",IF(AND(Y670&gt;=0.5,Y670&lt;0.73),"B",IF(AND(Y670&gt;=0.73,Y670&lt;0.98),"A",NONE)))</f>
        <v>C</v>
      </c>
      <c r="AA670" s="231" t="str">
        <f>VLOOKUP(G670,'ALL (R)'!$N$5:$R$862,5,FALSE)</f>
        <v>R 2</v>
      </c>
      <c r="AB670" s="232">
        <f>VLOOKUP(AA670,FACTS!$B$2:$L$14,10,FALSE)</f>
        <v>43562.499999999993</v>
      </c>
      <c r="AC670" s="232">
        <f>VLOOKUP(AA670,FACTS!$B$2:$L$14,11,FALSE)</f>
        <v>48687.499999999993</v>
      </c>
      <c r="AD670" s="232">
        <f>VLOOKUP(AA670,FACTS!$B$2:$N$14,13,FALSE)</f>
        <v>5125</v>
      </c>
      <c r="AE670" s="232">
        <f t="shared" si="105"/>
        <v>1870.6250000000002</v>
      </c>
      <c r="AF670" s="232">
        <f t="shared" si="106"/>
        <v>45433.124999999993</v>
      </c>
      <c r="AG670" s="232">
        <f>AF670*FACTS!$T$2</f>
        <v>14992.931249999998</v>
      </c>
      <c r="AH670" s="232">
        <f>Table1[[#This Row],[UNIT (BUILDING) RATE (SEMI FINISHED)]]+4500</f>
        <v>49933.124999999993</v>
      </c>
      <c r="AI670" s="232">
        <f>Table1[[#This Row],[UNIT (BUILDING) RATE (SEMI FINISHED)]]+7500</f>
        <v>52933.124999999993</v>
      </c>
      <c r="AJ670" s="232">
        <f t="shared" si="107"/>
        <v>7269299.9999999991</v>
      </c>
      <c r="AK670" s="232">
        <f>Table1[[#This Row],[UNIT (BUILDING) RATE (BASIC FINISH)]]*Table1[[#This Row],[Unit Selling Area]]</f>
        <v>7989299.9999999991</v>
      </c>
      <c r="AL670" s="232">
        <f>Table1[[#This Row],[UNIT (BUILDING) RATE (FULLY FINISH)]]*Table1[[#This Row],[Unit Selling Area]]</f>
        <v>8469299.9999999981</v>
      </c>
      <c r="AM670" s="232">
        <f t="shared" si="108"/>
        <v>1219803.8963962498</v>
      </c>
      <c r="AN670" s="232">
        <f>(AM670+AJ670)*FACTS!$S$2</f>
        <v>721573.83119368122</v>
      </c>
      <c r="AO670" s="101">
        <f>VLOOKUP(S670,FACTS!$A$17:$C$23,3,FALSE)</f>
        <v>2</v>
      </c>
      <c r="AP670" s="232">
        <f>VLOOKUP(AA670,FACTS!$B$2:$J$14,9,FALSE)</f>
        <v>204999.99999999997</v>
      </c>
      <c r="AQ670" s="232">
        <f>Table1[[#This Row],[PARKING VALUE]]*1</f>
        <v>204999.99999999997</v>
      </c>
      <c r="AR670" s="232">
        <f t="shared" si="103"/>
        <v>8694103.8963962495</v>
      </c>
      <c r="AS670" s="440">
        <f>Table1[[#This Row],[TOTAL CARS VALUE]]+Table1[[#This Row],[UNIT (BUILDING) VALUE BASIC FINISHED]]+Table1[[#This Row],[UNIT (GARDEN) VALUE]]</f>
        <v>9414103.8963962495</v>
      </c>
      <c r="AT670" s="232">
        <f>Table1[[#This Row],[TOTAL CARS VALUE]]+Table1[[#This Row],[UNIT (GARDEN) VALUE]]+Table1[[#This Row],[UNIT (BUILDING) VALUE FULLY FINISHED]]</f>
        <v>9894103.8963962477</v>
      </c>
      <c r="AU670" s="233">
        <f>VLOOKUP(I670,'C PHASES'!$I$108:$J$110,2,FALSE)</f>
        <v>46569</v>
      </c>
      <c r="AV670" s="233">
        <f>VLOOKUP(AA670,'C PHASES'!$I$113:$J$125,2,FALSE)</f>
        <v>45292</v>
      </c>
    </row>
    <row r="671" spans="1:48" x14ac:dyDescent="0.25">
      <c r="A671" s="235"/>
      <c r="B671" s="227" t="str">
        <f t="shared" si="102"/>
        <v>D</v>
      </c>
      <c r="C671" s="227" t="s">
        <v>59</v>
      </c>
      <c r="D671" s="227" t="s">
        <v>1147</v>
      </c>
      <c r="E671" s="228">
        <v>1</v>
      </c>
      <c r="F671" s="101">
        <v>1</v>
      </c>
      <c r="G671" s="87" t="str">
        <f t="shared" si="110"/>
        <v>D111</v>
      </c>
      <c r="H671" s="87" t="s">
        <v>1293</v>
      </c>
      <c r="I671" s="89" t="str">
        <f>VLOOKUP(C671,'PREMIUM TABLES'!$G$107:$H$149,2,FALSE)</f>
        <v>C3</v>
      </c>
      <c r="J671" s="87">
        <v>88.87</v>
      </c>
      <c r="K671" s="87">
        <v>96.502453867373433</v>
      </c>
      <c r="L671" s="87">
        <v>108</v>
      </c>
      <c r="O671" s="87" t="s">
        <v>187</v>
      </c>
      <c r="P671" s="87" t="s">
        <v>190</v>
      </c>
      <c r="Q671" s="229" t="s">
        <v>197</v>
      </c>
      <c r="R671" s="87" t="str">
        <f>VLOOKUP(E671,'PREMIUM TABLES'!$F$214:$G$219,2,FALSE)</f>
        <v>FIRST</v>
      </c>
      <c r="S671" s="87" t="str" cm="1">
        <f t="array" ref="S671">IF(AND(L671&gt;0,L671&lt;90),"A",IF(AND(L671&gt;90,L671&lt;123),"B",IF(AND(L671&gt;122,L671&lt;159),"C",IF(AND(L671&gt;159,L671&lt;185),"D",IF(AND(L671&gt;185,L671&lt;230),"E",IF(AND(L671&gt;230,L671&lt;350),"F",NONE))))))</f>
        <v>B</v>
      </c>
      <c r="T671" s="230">
        <f>VLOOKUP(O671,'PREMIUM TABLES'!$G$165:$H$172,2,FALSE)</f>
        <v>0.08</v>
      </c>
      <c r="U671" s="230">
        <f>VLOOKUP(P671,'PREMIUM TABLES'!$G$208:$H$209,2,FALSE)</f>
        <v>2.5000000000000001E-2</v>
      </c>
      <c r="V671" s="230">
        <f>VLOOKUP(Q671,'PREMIUM TABLES'!$G$175:$H$195,2,FALSE)</f>
        <v>0.16</v>
      </c>
      <c r="W671" s="230">
        <f>VLOOKUP(R671,'PREMIUM TABLES'!$G$214:$H$219,2,FALSE)</f>
        <v>7.0000000000000007E-2</v>
      </c>
      <c r="X671" s="230">
        <f>VLOOKUP(S671,'PREMIUM TABLES'!$F$199:$H$205,3,FALSE)</f>
        <v>0.04</v>
      </c>
      <c r="Y671" s="231">
        <f t="shared" si="104"/>
        <v>0.375</v>
      </c>
      <c r="Z671" s="231" t="str" cm="1">
        <f t="array" ref="Z671">IF(AND(Y671&gt;0,Y671&lt;0.5),"C",IF(AND(Y671&gt;=0.5,Y671&lt;0.73),"B",IF(AND(Y671&gt;=0.73,Y671&lt;0.98),"A",NONE)))</f>
        <v>C</v>
      </c>
      <c r="AA671" s="231" t="str">
        <f>VLOOKUP(G671,'ALL (R)'!$N$5:$R$862,5,FALSE)</f>
        <v>R 3</v>
      </c>
      <c r="AB671" s="232">
        <f>VLOOKUP(AA671,FACTS!$B$2:$L$14,10,FALSE)</f>
        <v>44625</v>
      </c>
      <c r="AC671" s="232">
        <f>VLOOKUP(AA671,FACTS!$B$2:$L$14,11,FALSE)</f>
        <v>49875</v>
      </c>
      <c r="AD671" s="232">
        <f>VLOOKUP(AA671,FACTS!$B$2:$N$14,13,FALSE)</f>
        <v>5250</v>
      </c>
      <c r="AE671" s="232">
        <f t="shared" si="105"/>
        <v>1968.75</v>
      </c>
      <c r="AF671" s="232">
        <f t="shared" si="106"/>
        <v>46593.75</v>
      </c>
      <c r="AG671" s="232">
        <f>AF671*FACTS!$T$2</f>
        <v>15375.9375</v>
      </c>
      <c r="AH671" s="232">
        <f>Table1[[#This Row],[UNIT (BUILDING) RATE (SEMI FINISHED)]]+4500</f>
        <v>51093.75</v>
      </c>
      <c r="AI671" s="232">
        <f>Table1[[#This Row],[UNIT (BUILDING) RATE (SEMI FINISHED)]]+7500</f>
        <v>54093.75</v>
      </c>
      <c r="AJ671" s="232">
        <f t="shared" si="107"/>
        <v>5032125</v>
      </c>
      <c r="AK671" s="232">
        <f>Table1[[#This Row],[UNIT (BUILDING) RATE (BASIC FINISH)]]*Table1[[#This Row],[Unit Selling Area]]</f>
        <v>5518125</v>
      </c>
      <c r="AL671" s="232">
        <f>Table1[[#This Row],[UNIT (BUILDING) RATE (FULLY FINISH)]]*Table1[[#This Row],[Unit Selling Area]]</f>
        <v>5842125</v>
      </c>
      <c r="AM671" s="232">
        <f t="shared" si="108"/>
        <v>0</v>
      </c>
      <c r="AN671" s="232">
        <f>(AM671+AJ671)*FACTS!$S$2</f>
        <v>427730.62500000006</v>
      </c>
      <c r="AO671" s="101">
        <f>VLOOKUP(S671,FACTS!$A$17:$C$23,3,FALSE)</f>
        <v>1</v>
      </c>
      <c r="AP671" s="232">
        <f>VLOOKUP(AA671,FACTS!$B$2:$J$14,9,FALSE)</f>
        <v>210000</v>
      </c>
      <c r="AQ671" s="232">
        <f>Table1[[#This Row],[PARKING VALUE]]*1</f>
        <v>210000</v>
      </c>
      <c r="AR671" s="232">
        <f t="shared" si="103"/>
        <v>5242125</v>
      </c>
      <c r="AS671" s="440">
        <f>Table1[[#This Row],[TOTAL CARS VALUE]]+Table1[[#This Row],[UNIT (BUILDING) VALUE BASIC FINISHED]]+Table1[[#This Row],[UNIT (GARDEN) VALUE]]</f>
        <v>5728125</v>
      </c>
      <c r="AT671" s="232">
        <f>Table1[[#This Row],[TOTAL CARS VALUE]]+Table1[[#This Row],[UNIT (GARDEN) VALUE]]+Table1[[#This Row],[UNIT (BUILDING) VALUE FULLY FINISHED]]</f>
        <v>6052125</v>
      </c>
      <c r="AU671" s="233">
        <f>VLOOKUP(I671,'C PHASES'!$I$108:$J$110,2,FALSE)</f>
        <v>46569</v>
      </c>
      <c r="AV671" s="233">
        <f>VLOOKUP(AA671,'C PHASES'!$I$113:$J$125,2,FALSE)</f>
        <v>45383</v>
      </c>
    </row>
    <row r="672" spans="1:48" x14ac:dyDescent="0.25">
      <c r="A672" s="235"/>
      <c r="B672" s="227" t="str">
        <f t="shared" si="102"/>
        <v>D</v>
      </c>
      <c r="C672" s="227" t="s">
        <v>59</v>
      </c>
      <c r="D672" s="227" t="s">
        <v>1147</v>
      </c>
      <c r="E672" s="228">
        <v>1</v>
      </c>
      <c r="F672" s="101">
        <v>2</v>
      </c>
      <c r="G672" s="87" t="str">
        <f t="shared" si="110"/>
        <v>D112</v>
      </c>
      <c r="H672" s="87" t="s">
        <v>1294</v>
      </c>
      <c r="I672" s="89" t="str">
        <f>VLOOKUP(C672,'PREMIUM TABLES'!$G$107:$H$149,2,FALSE)</f>
        <v>C3</v>
      </c>
      <c r="J672" s="87">
        <v>127.14</v>
      </c>
      <c r="K672" s="87">
        <v>138.05920990995676</v>
      </c>
      <c r="L672" s="87">
        <v>155</v>
      </c>
      <c r="O672" s="87" t="s">
        <v>180</v>
      </c>
      <c r="P672" s="87" t="s">
        <v>190</v>
      </c>
      <c r="Q672" s="229" t="s">
        <v>211</v>
      </c>
      <c r="R672" s="87" t="str">
        <f>VLOOKUP(E672,'PREMIUM TABLES'!$F$214:$G$219,2,FALSE)</f>
        <v>FIRST</v>
      </c>
      <c r="S672" s="87" t="str" cm="1">
        <f t="array" ref="S672">IF(AND(L672&gt;0,L672&lt;90),"A",IF(AND(L672&gt;90,L672&lt;123),"B",IF(AND(L672&gt;122,L672&lt;159),"C",IF(AND(L672&gt;159,L672&lt;185),"D",IF(AND(L672&gt;185,L672&lt;230),"E",IF(AND(L672&gt;230,L672&lt;350),"F",NONE))))))</f>
        <v>C</v>
      </c>
      <c r="T672" s="230">
        <f>VLOOKUP(O672,'PREMIUM TABLES'!$G$165:$H$172,2,FALSE)</f>
        <v>0.13</v>
      </c>
      <c r="U672" s="230">
        <f>VLOOKUP(P672,'PREMIUM TABLES'!$G$208:$H$209,2,FALSE)</f>
        <v>2.5000000000000001E-2</v>
      </c>
      <c r="V672" s="230">
        <f>VLOOKUP(Q672,'PREMIUM TABLES'!$G$175:$H$195,2,FALSE)</f>
        <v>0.43</v>
      </c>
      <c r="W672" s="230">
        <f>VLOOKUP(R672,'PREMIUM TABLES'!$G$214:$H$219,2,FALSE)</f>
        <v>7.0000000000000007E-2</v>
      </c>
      <c r="X672" s="230">
        <f>VLOOKUP(S672,'PREMIUM TABLES'!$F$199:$H$205,3,FALSE)</f>
        <v>3.5000000000000003E-2</v>
      </c>
      <c r="Y672" s="231">
        <f t="shared" si="104"/>
        <v>0.69000000000000006</v>
      </c>
      <c r="Z672" s="231" t="str" cm="1">
        <f t="array" ref="Z672">IF(AND(Y672&gt;0,Y672&lt;0.5),"C",IF(AND(Y672&gt;=0.5,Y672&lt;0.73),"B",IF(AND(Y672&gt;=0.73,Y672&lt;0.98),"A",NONE)))</f>
        <v>B</v>
      </c>
      <c r="AA672" s="231" t="str">
        <f>VLOOKUP(G672,'ALL (R)'!$N$5:$R$862,5,FALSE)</f>
        <v>R 8</v>
      </c>
      <c r="AB672" s="232">
        <f>VLOOKUP(AA672,FACTS!$B$2:$L$14,10,FALSE)</f>
        <v>51850</v>
      </c>
      <c r="AC672" s="232">
        <f>VLOOKUP(AA672,FACTS!$B$2:$L$14,11,FALSE)</f>
        <v>57950</v>
      </c>
      <c r="AD672" s="232">
        <f>VLOOKUP(AA672,FACTS!$B$2:$N$14,13,FALSE)</f>
        <v>6100</v>
      </c>
      <c r="AE672" s="232">
        <f t="shared" si="105"/>
        <v>4209</v>
      </c>
      <c r="AF672" s="232">
        <f t="shared" si="106"/>
        <v>56059</v>
      </c>
      <c r="AG672" s="232">
        <f>AF672*FACTS!$T$2</f>
        <v>18499.47</v>
      </c>
      <c r="AH672" s="232">
        <f>Table1[[#This Row],[UNIT (BUILDING) RATE (SEMI FINISHED)]]+4500</f>
        <v>60559</v>
      </c>
      <c r="AI672" s="232">
        <f>Table1[[#This Row],[UNIT (BUILDING) RATE (SEMI FINISHED)]]+7500</f>
        <v>63559</v>
      </c>
      <c r="AJ672" s="232">
        <f t="shared" si="107"/>
        <v>8689145</v>
      </c>
      <c r="AK672" s="232">
        <f>Table1[[#This Row],[UNIT (BUILDING) RATE (BASIC FINISH)]]*Table1[[#This Row],[Unit Selling Area]]</f>
        <v>9386645</v>
      </c>
      <c r="AL672" s="232">
        <f>Table1[[#This Row],[UNIT (BUILDING) RATE (FULLY FINISH)]]*Table1[[#This Row],[Unit Selling Area]]</f>
        <v>9851645</v>
      </c>
      <c r="AM672" s="232">
        <f t="shared" si="108"/>
        <v>0</v>
      </c>
      <c r="AN672" s="232">
        <f>(AM672+AJ672)*FACTS!$S$2</f>
        <v>738577.32500000007</v>
      </c>
      <c r="AO672" s="101">
        <f>VLOOKUP(S672,FACTS!$A$17:$C$23,3,FALSE)</f>
        <v>2</v>
      </c>
      <c r="AP672" s="232">
        <f>VLOOKUP(AA672,FACTS!$B$2:$J$14,9,FALSE)</f>
        <v>244000</v>
      </c>
      <c r="AQ672" s="232">
        <f>Table1[[#This Row],[PARKING VALUE]]*1</f>
        <v>244000</v>
      </c>
      <c r="AR672" s="232">
        <f t="shared" si="103"/>
        <v>8933145</v>
      </c>
      <c r="AS672" s="440">
        <f>Table1[[#This Row],[TOTAL CARS VALUE]]+Table1[[#This Row],[UNIT (BUILDING) VALUE BASIC FINISHED]]+Table1[[#This Row],[UNIT (GARDEN) VALUE]]</f>
        <v>9630645</v>
      </c>
      <c r="AT672" s="232">
        <f>Table1[[#This Row],[TOTAL CARS VALUE]]+Table1[[#This Row],[UNIT (GARDEN) VALUE]]+Table1[[#This Row],[UNIT (BUILDING) VALUE FULLY FINISHED]]</f>
        <v>10095645</v>
      </c>
      <c r="AU672" s="233">
        <f>VLOOKUP(I672,'C PHASES'!$I$108:$J$110,2,FALSE)</f>
        <v>46569</v>
      </c>
      <c r="AV672" s="233">
        <f>VLOOKUP(AA672,'C PHASES'!$I$113:$J$125,2,FALSE)</f>
        <v>45839</v>
      </c>
    </row>
    <row r="673" spans="1:48" x14ac:dyDescent="0.25">
      <c r="A673" s="235"/>
      <c r="B673" s="227" t="str">
        <f t="shared" si="102"/>
        <v>D</v>
      </c>
      <c r="C673" s="227" t="s">
        <v>59</v>
      </c>
      <c r="D673" s="227" t="s">
        <v>1147</v>
      </c>
      <c r="E673" s="228">
        <v>1</v>
      </c>
      <c r="F673" s="101">
        <v>3</v>
      </c>
      <c r="G673" s="87" t="str">
        <f t="shared" si="110"/>
        <v>D113</v>
      </c>
      <c r="H673" s="87" t="s">
        <v>1294</v>
      </c>
      <c r="I673" s="89" t="str">
        <f>VLOOKUP(C673,'PREMIUM TABLES'!$G$107:$H$149,2,FALSE)</f>
        <v>C3</v>
      </c>
      <c r="J673" s="87">
        <v>131.43</v>
      </c>
      <c r="K673" s="87">
        <v>142.71764950814548</v>
      </c>
      <c r="L673" s="87">
        <v>160</v>
      </c>
      <c r="O673" s="87" t="s">
        <v>180</v>
      </c>
      <c r="P673" s="87" t="s">
        <v>226</v>
      </c>
      <c r="Q673" s="229" t="s">
        <v>211</v>
      </c>
      <c r="R673" s="87" t="str">
        <f>VLOOKUP(E673,'PREMIUM TABLES'!$F$214:$G$219,2,FALSE)</f>
        <v>FIRST</v>
      </c>
      <c r="S673" s="87" t="str" cm="1">
        <f t="array" ref="S673">IF(AND(L673&gt;0,L673&lt;90),"A",IF(AND(L673&gt;90,L673&lt;123),"B",IF(AND(L673&gt;122,L673&lt;159),"C",IF(AND(L673&gt;159,L673&lt;185),"D",IF(AND(L673&gt;185,L673&lt;230),"E",IF(AND(L673&gt;230,L673&lt;350),"F",NONE))))))</f>
        <v>D</v>
      </c>
      <c r="T673" s="230">
        <f>VLOOKUP(O673,'PREMIUM TABLES'!$G$165:$H$172,2,FALSE)</f>
        <v>0.13</v>
      </c>
      <c r="U673" s="230">
        <f>VLOOKUP(P673,'PREMIUM TABLES'!$G$208:$H$209,2,FALSE)</f>
        <v>0.05</v>
      </c>
      <c r="V673" s="230">
        <f>VLOOKUP(Q673,'PREMIUM TABLES'!$G$175:$H$195,2,FALSE)</f>
        <v>0.43</v>
      </c>
      <c r="W673" s="230">
        <f>VLOOKUP(R673,'PREMIUM TABLES'!$G$214:$H$219,2,FALSE)</f>
        <v>7.0000000000000007E-2</v>
      </c>
      <c r="X673" s="230">
        <f>VLOOKUP(S673,'PREMIUM TABLES'!$F$199:$H$205,3,FALSE)</f>
        <v>2.5000000000000001E-2</v>
      </c>
      <c r="Y673" s="231">
        <f t="shared" si="104"/>
        <v>0.70499999999999996</v>
      </c>
      <c r="Z673" s="231" t="str" cm="1">
        <f t="array" ref="Z673">IF(AND(Y673&gt;0,Y673&lt;0.5),"C",IF(AND(Y673&gt;=0.5,Y673&lt;0.73),"B",IF(AND(Y673&gt;=0.73,Y673&lt;0.98),"A",NONE)))</f>
        <v>B</v>
      </c>
      <c r="AA673" s="231" t="str">
        <f>VLOOKUP(G673,'ALL (R)'!$N$5:$R$862,5,FALSE)</f>
        <v>R 9</v>
      </c>
      <c r="AB673" s="232">
        <f>VLOOKUP(AA673,FACTS!$B$2:$L$14,10,FALSE)</f>
        <v>53550</v>
      </c>
      <c r="AC673" s="232">
        <f>VLOOKUP(AA673,FACTS!$B$2:$L$14,11,FALSE)</f>
        <v>59850</v>
      </c>
      <c r="AD673" s="232">
        <f>VLOOKUP(AA673,FACTS!$B$2:$N$14,13,FALSE)</f>
        <v>6300</v>
      </c>
      <c r="AE673" s="232">
        <f t="shared" si="105"/>
        <v>4441.5</v>
      </c>
      <c r="AF673" s="232">
        <f t="shared" si="106"/>
        <v>57991.5</v>
      </c>
      <c r="AG673" s="232">
        <f>AF673*FACTS!$T$2</f>
        <v>19137.195</v>
      </c>
      <c r="AH673" s="232">
        <f>Table1[[#This Row],[UNIT (BUILDING) RATE (SEMI FINISHED)]]+4500</f>
        <v>62491.5</v>
      </c>
      <c r="AI673" s="232">
        <f>Table1[[#This Row],[UNIT (BUILDING) RATE (SEMI FINISHED)]]+7500</f>
        <v>65491.5</v>
      </c>
      <c r="AJ673" s="232">
        <f t="shared" si="107"/>
        <v>9278640</v>
      </c>
      <c r="AK673" s="232">
        <f>Table1[[#This Row],[UNIT (BUILDING) RATE (BASIC FINISH)]]*Table1[[#This Row],[Unit Selling Area]]</f>
        <v>9998640</v>
      </c>
      <c r="AL673" s="232">
        <f>Table1[[#This Row],[UNIT (BUILDING) RATE (FULLY FINISH)]]*Table1[[#This Row],[Unit Selling Area]]</f>
        <v>10478640</v>
      </c>
      <c r="AM673" s="232">
        <f t="shared" si="108"/>
        <v>0</v>
      </c>
      <c r="AN673" s="232">
        <f>(AM673+AJ673)*FACTS!$S$2</f>
        <v>788684.4</v>
      </c>
      <c r="AO673" s="101">
        <f>VLOOKUP(S673,FACTS!$A$17:$C$23,3,FALSE)</f>
        <v>2</v>
      </c>
      <c r="AP673" s="232">
        <f>VLOOKUP(AA673,FACTS!$B$2:$J$14,9,FALSE)</f>
        <v>252000</v>
      </c>
      <c r="AQ673" s="232">
        <f>Table1[[#This Row],[PARKING VALUE]]*1</f>
        <v>252000</v>
      </c>
      <c r="AR673" s="232">
        <f t="shared" si="103"/>
        <v>9530640</v>
      </c>
      <c r="AS673" s="440">
        <f>Table1[[#This Row],[TOTAL CARS VALUE]]+Table1[[#This Row],[UNIT (BUILDING) VALUE BASIC FINISHED]]+Table1[[#This Row],[UNIT (GARDEN) VALUE]]</f>
        <v>10250640</v>
      </c>
      <c r="AT673" s="232">
        <f>Table1[[#This Row],[TOTAL CARS VALUE]]+Table1[[#This Row],[UNIT (GARDEN) VALUE]]+Table1[[#This Row],[UNIT (BUILDING) VALUE FULLY FINISHED]]</f>
        <v>10730640</v>
      </c>
      <c r="AU673" s="233">
        <f>VLOOKUP(I673,'C PHASES'!$I$108:$J$110,2,FALSE)</f>
        <v>46569</v>
      </c>
      <c r="AV673" s="233">
        <f>VLOOKUP(AA673,'C PHASES'!$I$113:$J$125,2,FALSE)</f>
        <v>45931</v>
      </c>
    </row>
    <row r="674" spans="1:48" x14ac:dyDescent="0.25">
      <c r="A674" s="235"/>
      <c r="B674" s="227" t="str">
        <f t="shared" si="102"/>
        <v>D</v>
      </c>
      <c r="C674" s="227" t="s">
        <v>59</v>
      </c>
      <c r="D674" s="227" t="s">
        <v>1147</v>
      </c>
      <c r="E674" s="228">
        <v>1</v>
      </c>
      <c r="F674" s="101">
        <v>4</v>
      </c>
      <c r="G674" s="87" t="str">
        <f t="shared" si="110"/>
        <v>D114</v>
      </c>
      <c r="H674" s="87" t="s">
        <v>1294</v>
      </c>
      <c r="I674" s="89" t="str">
        <f>VLOOKUP(C674,'PREMIUM TABLES'!$G$107:$H$149,2,FALSE)</f>
        <v>C3</v>
      </c>
      <c r="J674" s="87">
        <v>129.04</v>
      </c>
      <c r="K674" s="87">
        <v>140.12238828677692</v>
      </c>
      <c r="L674" s="87">
        <v>157</v>
      </c>
      <c r="O674" s="87" t="s">
        <v>187</v>
      </c>
      <c r="P674" s="87" t="s">
        <v>226</v>
      </c>
      <c r="Q674" s="229" t="s">
        <v>197</v>
      </c>
      <c r="R674" s="87" t="str">
        <f>VLOOKUP(E674,'PREMIUM TABLES'!$F$214:$G$219,2,FALSE)</f>
        <v>FIRST</v>
      </c>
      <c r="S674" s="87" t="str" cm="1">
        <f t="array" ref="S674">IF(AND(L674&gt;0,L674&lt;90),"A",IF(AND(L674&gt;90,L674&lt;123),"B",IF(AND(L674&gt;122,L674&lt;159),"C",IF(AND(L674&gt;159,L674&lt;185),"D",IF(AND(L674&gt;185,L674&lt;230),"E",IF(AND(L674&gt;230,L674&lt;350),"F",NONE))))))</f>
        <v>C</v>
      </c>
      <c r="T674" s="230">
        <f>VLOOKUP(O674,'PREMIUM TABLES'!$G$165:$H$172,2,FALSE)</f>
        <v>0.08</v>
      </c>
      <c r="U674" s="230">
        <f>VLOOKUP(P674,'PREMIUM TABLES'!$G$208:$H$209,2,FALSE)</f>
        <v>0.05</v>
      </c>
      <c r="V674" s="230">
        <f>VLOOKUP(Q674,'PREMIUM TABLES'!$G$175:$H$195,2,FALSE)</f>
        <v>0.16</v>
      </c>
      <c r="W674" s="230">
        <f>VLOOKUP(R674,'PREMIUM TABLES'!$G$214:$H$219,2,FALSE)</f>
        <v>7.0000000000000007E-2</v>
      </c>
      <c r="X674" s="230">
        <f>VLOOKUP(S674,'PREMIUM TABLES'!$F$199:$H$205,3,FALSE)</f>
        <v>3.5000000000000003E-2</v>
      </c>
      <c r="Y674" s="231">
        <f t="shared" si="104"/>
        <v>0.39500000000000002</v>
      </c>
      <c r="Z674" s="231" t="str" cm="1">
        <f t="array" ref="Z674">IF(AND(Y674&gt;0,Y674&lt;0.5),"C",IF(AND(Y674&gt;=0.5,Y674&lt;0.73),"B",IF(AND(Y674&gt;=0.73,Y674&lt;0.98),"A",NONE)))</f>
        <v>C</v>
      </c>
      <c r="AA674" s="231" t="str">
        <f>VLOOKUP(G674,'ALL (R)'!$N$5:$R$862,5,FALSE)</f>
        <v>R 4</v>
      </c>
      <c r="AB674" s="232">
        <f>VLOOKUP(AA674,FACTS!$B$2:$L$14,10,FALSE)</f>
        <v>45687.5</v>
      </c>
      <c r="AC674" s="232">
        <f>VLOOKUP(AA674,FACTS!$B$2:$L$14,11,FALSE)</f>
        <v>51062.5</v>
      </c>
      <c r="AD674" s="232">
        <f>VLOOKUP(AA674,FACTS!$B$2:$N$14,13,FALSE)</f>
        <v>5375</v>
      </c>
      <c r="AE674" s="232">
        <f t="shared" si="105"/>
        <v>2123.125</v>
      </c>
      <c r="AF674" s="232">
        <f t="shared" si="106"/>
        <v>47810.625</v>
      </c>
      <c r="AG674" s="232">
        <f>AF674*FACTS!$T$2</f>
        <v>15777.50625</v>
      </c>
      <c r="AH674" s="232">
        <f>Table1[[#This Row],[UNIT (BUILDING) RATE (SEMI FINISHED)]]+4500</f>
        <v>52310.625</v>
      </c>
      <c r="AI674" s="232">
        <f>Table1[[#This Row],[UNIT (BUILDING) RATE (SEMI FINISHED)]]+7500</f>
        <v>55310.625</v>
      </c>
      <c r="AJ674" s="232">
        <f t="shared" si="107"/>
        <v>7506268.125</v>
      </c>
      <c r="AK674" s="232">
        <f>Table1[[#This Row],[UNIT (BUILDING) RATE (BASIC FINISH)]]*Table1[[#This Row],[Unit Selling Area]]</f>
        <v>8212768.125</v>
      </c>
      <c r="AL674" s="232">
        <f>Table1[[#This Row],[UNIT (BUILDING) RATE (FULLY FINISH)]]*Table1[[#This Row],[Unit Selling Area]]</f>
        <v>8683768.125</v>
      </c>
      <c r="AM674" s="232">
        <f t="shared" si="108"/>
        <v>0</v>
      </c>
      <c r="AN674" s="232">
        <f>(AM674+AJ674)*FACTS!$S$2</f>
        <v>638032.79062500002</v>
      </c>
      <c r="AO674" s="101">
        <f>VLOOKUP(S674,FACTS!$A$17:$C$23,3,FALSE)</f>
        <v>2</v>
      </c>
      <c r="AP674" s="232">
        <f>VLOOKUP(AA674,FACTS!$B$2:$J$14,9,FALSE)</f>
        <v>215000</v>
      </c>
      <c r="AQ674" s="232">
        <f>Table1[[#This Row],[PARKING VALUE]]*1</f>
        <v>215000</v>
      </c>
      <c r="AR674" s="232">
        <f t="shared" si="103"/>
        <v>7721268.125</v>
      </c>
      <c r="AS674" s="440">
        <f>Table1[[#This Row],[TOTAL CARS VALUE]]+Table1[[#This Row],[UNIT (BUILDING) VALUE BASIC FINISHED]]+Table1[[#This Row],[UNIT (GARDEN) VALUE]]</f>
        <v>8427768.125</v>
      </c>
      <c r="AT674" s="232">
        <f>Table1[[#This Row],[TOTAL CARS VALUE]]+Table1[[#This Row],[UNIT (GARDEN) VALUE]]+Table1[[#This Row],[UNIT (BUILDING) VALUE FULLY FINISHED]]</f>
        <v>8898768.125</v>
      </c>
      <c r="AU674" s="233">
        <f>VLOOKUP(I674,'C PHASES'!$I$108:$J$110,2,FALSE)</f>
        <v>46569</v>
      </c>
      <c r="AV674" s="233">
        <f>VLOOKUP(AA674,'C PHASES'!$I$113:$J$125,2,FALSE)</f>
        <v>45474</v>
      </c>
    </row>
    <row r="675" spans="1:48" x14ac:dyDescent="0.25">
      <c r="A675" s="235"/>
      <c r="B675" s="227" t="str">
        <f t="shared" si="102"/>
        <v>D</v>
      </c>
      <c r="C675" s="227" t="s">
        <v>59</v>
      </c>
      <c r="D675" s="227" t="s">
        <v>1147</v>
      </c>
      <c r="E675" s="228">
        <v>2</v>
      </c>
      <c r="F675" s="101">
        <v>1</v>
      </c>
      <c r="G675" s="87" t="str">
        <f t="shared" si="110"/>
        <v>D121</v>
      </c>
      <c r="H675" s="87" t="s">
        <v>1294</v>
      </c>
      <c r="I675" s="89" t="str">
        <f>VLOOKUP(C675,'PREMIUM TABLES'!$G$107:$H$149,2,FALSE)</f>
        <v>C3</v>
      </c>
      <c r="J675" s="87">
        <v>127.15</v>
      </c>
      <c r="K675" s="87">
        <v>138.07006874351899</v>
      </c>
      <c r="L675" s="87">
        <v>155</v>
      </c>
      <c r="O675" s="87" t="s">
        <v>187</v>
      </c>
      <c r="P675" s="87" t="s">
        <v>190</v>
      </c>
      <c r="Q675" s="229" t="s">
        <v>197</v>
      </c>
      <c r="R675" s="87" t="str">
        <f>VLOOKUP(E675,'PREMIUM TABLES'!$F$214:$G$219,2,FALSE)</f>
        <v>SECOND</v>
      </c>
      <c r="S675" s="87" t="str" cm="1">
        <f t="array" ref="S675">IF(AND(L675&gt;0,L675&lt;90),"A",IF(AND(L675&gt;90,L675&lt;123),"B",IF(AND(L675&gt;122,L675&lt;159),"C",IF(AND(L675&gt;159,L675&lt;185),"D",IF(AND(L675&gt;185,L675&lt;230),"E",IF(AND(L675&gt;230,L675&lt;350),"F",NONE))))))</f>
        <v>C</v>
      </c>
      <c r="T675" s="230">
        <f>VLOOKUP(O675,'PREMIUM TABLES'!$G$165:$H$172,2,FALSE)</f>
        <v>0.08</v>
      </c>
      <c r="U675" s="230">
        <f>VLOOKUP(P675,'PREMIUM TABLES'!$G$208:$H$209,2,FALSE)</f>
        <v>2.5000000000000001E-2</v>
      </c>
      <c r="V675" s="230">
        <f>VLOOKUP(Q675,'PREMIUM TABLES'!$G$175:$H$195,2,FALSE)</f>
        <v>0.16</v>
      </c>
      <c r="W675" s="230">
        <f>VLOOKUP(R675,'PREMIUM TABLES'!$G$214:$H$219,2,FALSE)</f>
        <v>0.11</v>
      </c>
      <c r="X675" s="230">
        <f>VLOOKUP(S675,'PREMIUM TABLES'!$F$199:$H$205,3,FALSE)</f>
        <v>3.5000000000000003E-2</v>
      </c>
      <c r="Y675" s="231">
        <f t="shared" si="104"/>
        <v>0.41000000000000003</v>
      </c>
      <c r="Z675" s="231" t="str" cm="1">
        <f t="array" ref="Z675">IF(AND(Y675&gt;0,Y675&lt;0.5),"C",IF(AND(Y675&gt;=0.5,Y675&lt;0.73),"B",IF(AND(Y675&gt;=0.73,Y675&lt;0.98),"A",NONE)))</f>
        <v>C</v>
      </c>
      <c r="AA675" s="231" t="str">
        <f>VLOOKUP(G675,'ALL (R)'!$N$5:$R$862,5,FALSE)</f>
        <v>R 6</v>
      </c>
      <c r="AB675" s="232">
        <f>VLOOKUP(AA675,FACTS!$B$2:$L$14,10,FALSE)</f>
        <v>48450.000000000007</v>
      </c>
      <c r="AC675" s="232">
        <f>VLOOKUP(AA675,FACTS!$B$2:$L$14,11,FALSE)</f>
        <v>54150.000000000007</v>
      </c>
      <c r="AD675" s="232">
        <f>VLOOKUP(AA675,FACTS!$B$2:$N$14,13,FALSE)</f>
        <v>5700</v>
      </c>
      <c r="AE675" s="232">
        <f t="shared" si="105"/>
        <v>2337</v>
      </c>
      <c r="AF675" s="232">
        <f t="shared" si="106"/>
        <v>50787.000000000007</v>
      </c>
      <c r="AG675" s="232">
        <f>AF675*FACTS!$T$2</f>
        <v>16759.710000000003</v>
      </c>
      <c r="AH675" s="232">
        <f>Table1[[#This Row],[UNIT (BUILDING) RATE (SEMI FINISHED)]]+4500</f>
        <v>55287.000000000007</v>
      </c>
      <c r="AI675" s="232">
        <f>Table1[[#This Row],[UNIT (BUILDING) RATE (SEMI FINISHED)]]+7500</f>
        <v>58287.000000000007</v>
      </c>
      <c r="AJ675" s="232">
        <f t="shared" si="107"/>
        <v>7871985.0000000009</v>
      </c>
      <c r="AK675" s="232">
        <f>Table1[[#This Row],[UNIT (BUILDING) RATE (BASIC FINISH)]]*Table1[[#This Row],[Unit Selling Area]]</f>
        <v>8569485.0000000019</v>
      </c>
      <c r="AL675" s="232">
        <f>Table1[[#This Row],[UNIT (BUILDING) RATE (FULLY FINISH)]]*Table1[[#This Row],[Unit Selling Area]]</f>
        <v>9034485.0000000019</v>
      </c>
      <c r="AM675" s="232">
        <f t="shared" si="108"/>
        <v>0</v>
      </c>
      <c r="AN675" s="232">
        <f>(AM675+AJ675)*FACTS!$S$2</f>
        <v>669118.72500000009</v>
      </c>
      <c r="AO675" s="101">
        <f>VLOOKUP(S675,FACTS!$A$17:$C$23,3,FALSE)</f>
        <v>2</v>
      </c>
      <c r="AP675" s="232">
        <f>VLOOKUP(AA675,FACTS!$B$2:$J$14,9,FALSE)</f>
        <v>228000.00000000003</v>
      </c>
      <c r="AQ675" s="232">
        <f>Table1[[#This Row],[PARKING VALUE]]*1</f>
        <v>228000.00000000003</v>
      </c>
      <c r="AR675" s="232">
        <f t="shared" si="103"/>
        <v>8099985.0000000009</v>
      </c>
      <c r="AS675" s="440">
        <f>Table1[[#This Row],[TOTAL CARS VALUE]]+Table1[[#This Row],[UNIT (BUILDING) VALUE BASIC FINISHED]]+Table1[[#This Row],[UNIT (GARDEN) VALUE]]</f>
        <v>8797485.0000000019</v>
      </c>
      <c r="AT675" s="232">
        <f>Table1[[#This Row],[TOTAL CARS VALUE]]+Table1[[#This Row],[UNIT (GARDEN) VALUE]]+Table1[[#This Row],[UNIT (BUILDING) VALUE FULLY FINISHED]]</f>
        <v>9262485.0000000019</v>
      </c>
      <c r="AU675" s="233">
        <f>VLOOKUP(I675,'C PHASES'!$I$108:$J$110,2,FALSE)</f>
        <v>46569</v>
      </c>
      <c r="AV675" s="233">
        <f>VLOOKUP(AA675,'C PHASES'!$I$113:$J$125,2,FALSE)</f>
        <v>45658</v>
      </c>
    </row>
    <row r="676" spans="1:48" x14ac:dyDescent="0.25">
      <c r="A676" s="235"/>
      <c r="B676" s="227" t="str">
        <f t="shared" si="102"/>
        <v>D</v>
      </c>
      <c r="C676" s="227" t="s">
        <v>59</v>
      </c>
      <c r="D676" s="227" t="s">
        <v>1147</v>
      </c>
      <c r="E676" s="228">
        <v>2</v>
      </c>
      <c r="F676" s="101">
        <v>2</v>
      </c>
      <c r="G676" s="87" t="str">
        <f t="shared" si="110"/>
        <v>D122</v>
      </c>
      <c r="H676" s="87" t="s">
        <v>1294</v>
      </c>
      <c r="I676" s="89" t="str">
        <f>VLOOKUP(C676,'PREMIUM TABLES'!$G$107:$H$149,2,FALSE)</f>
        <v>C3</v>
      </c>
      <c r="J676" s="87">
        <v>126.95</v>
      </c>
      <c r="K676" s="87">
        <v>137.85289207227476</v>
      </c>
      <c r="L676" s="87">
        <v>155</v>
      </c>
      <c r="O676" s="87" t="s">
        <v>180</v>
      </c>
      <c r="P676" s="87" t="s">
        <v>190</v>
      </c>
      <c r="Q676" s="229" t="s">
        <v>211</v>
      </c>
      <c r="R676" s="87" t="str">
        <f>VLOOKUP(E676,'PREMIUM TABLES'!$F$214:$G$219,2,FALSE)</f>
        <v>SECOND</v>
      </c>
      <c r="S676" s="87" t="str" cm="1">
        <f t="array" ref="S676">IF(AND(L676&gt;0,L676&lt;90),"A",IF(AND(L676&gt;90,L676&lt;123),"B",IF(AND(L676&gt;122,L676&lt;159),"C",IF(AND(L676&gt;159,L676&lt;185),"D",IF(AND(L676&gt;185,L676&lt;230),"E",IF(AND(L676&gt;230,L676&lt;350),"F",NONE))))))</f>
        <v>C</v>
      </c>
      <c r="T676" s="230">
        <f>VLOOKUP(O676,'PREMIUM TABLES'!$G$165:$H$172,2,FALSE)</f>
        <v>0.13</v>
      </c>
      <c r="U676" s="230">
        <f>VLOOKUP(P676,'PREMIUM TABLES'!$G$208:$H$209,2,FALSE)</f>
        <v>2.5000000000000001E-2</v>
      </c>
      <c r="V676" s="230">
        <f>VLOOKUP(Q676,'PREMIUM TABLES'!$G$175:$H$195,2,FALSE)</f>
        <v>0.43</v>
      </c>
      <c r="W676" s="230">
        <f>VLOOKUP(R676,'PREMIUM TABLES'!$G$214:$H$219,2,FALSE)</f>
        <v>0.11</v>
      </c>
      <c r="X676" s="230">
        <f>VLOOKUP(S676,'PREMIUM TABLES'!$F$199:$H$205,3,FALSE)</f>
        <v>3.5000000000000003E-2</v>
      </c>
      <c r="Y676" s="231">
        <f t="shared" si="104"/>
        <v>0.73</v>
      </c>
      <c r="Z676" s="231" t="str" cm="1">
        <f t="array" ref="Z676">IF(AND(Y676&gt;0,Y676&lt;0.5),"C",IF(AND(Y676&gt;=0.5,Y676&lt;0.73),"B",IF(AND(Y676&gt;=0.73,Y676&lt;0.98),"A",NONE)))</f>
        <v>A</v>
      </c>
      <c r="AA676" s="231" t="str">
        <f>VLOOKUP(G676,'ALL (R)'!$N$5:$R$862,5,FALSE)</f>
        <v>R 1</v>
      </c>
      <c r="AB676" s="232">
        <f>VLOOKUP(AA676,FACTS!$B$2:$L$14,10,FALSE)</f>
        <v>42500</v>
      </c>
      <c r="AC676" s="232">
        <f>VLOOKUP(AA676,FACTS!$B$2:$L$14,11,FALSE)</f>
        <v>47500</v>
      </c>
      <c r="AD676" s="232">
        <f>VLOOKUP(AA676,FACTS!$B$2:$N$14,13,FALSE)</f>
        <v>5000</v>
      </c>
      <c r="AE676" s="232">
        <f t="shared" si="105"/>
        <v>3650</v>
      </c>
      <c r="AF676" s="232">
        <f t="shared" si="106"/>
        <v>46150</v>
      </c>
      <c r="AG676" s="232">
        <f>AF676*FACTS!$T$2</f>
        <v>15229.5</v>
      </c>
      <c r="AH676" s="232">
        <f>Table1[[#This Row],[UNIT (BUILDING) RATE (SEMI FINISHED)]]+4500</f>
        <v>50650</v>
      </c>
      <c r="AI676" s="232">
        <f>Table1[[#This Row],[UNIT (BUILDING) RATE (SEMI FINISHED)]]+7500</f>
        <v>53650</v>
      </c>
      <c r="AJ676" s="232">
        <f t="shared" si="107"/>
        <v>7153250</v>
      </c>
      <c r="AK676" s="232">
        <f>Table1[[#This Row],[UNIT (BUILDING) RATE (BASIC FINISH)]]*Table1[[#This Row],[Unit Selling Area]]</f>
        <v>7850750</v>
      </c>
      <c r="AL676" s="232">
        <f>Table1[[#This Row],[UNIT (BUILDING) RATE (FULLY FINISH)]]*Table1[[#This Row],[Unit Selling Area]]</f>
        <v>8315750</v>
      </c>
      <c r="AM676" s="232">
        <f t="shared" si="108"/>
        <v>0</v>
      </c>
      <c r="AN676" s="232">
        <f>(AM676+AJ676)*FACTS!$S$2</f>
        <v>608026.25</v>
      </c>
      <c r="AO676" s="101">
        <f>VLOOKUP(S676,FACTS!$A$17:$C$23,3,FALSE)</f>
        <v>2</v>
      </c>
      <c r="AP676" s="232">
        <f>VLOOKUP(AA676,FACTS!$B$2:$J$14,9,FALSE)</f>
        <v>200000</v>
      </c>
      <c r="AQ676" s="232">
        <f>Table1[[#This Row],[PARKING VALUE]]*1</f>
        <v>200000</v>
      </c>
      <c r="AR676" s="232">
        <f t="shared" si="103"/>
        <v>7353250</v>
      </c>
      <c r="AS676" s="440">
        <f>Table1[[#This Row],[TOTAL CARS VALUE]]+Table1[[#This Row],[UNIT (BUILDING) VALUE BASIC FINISHED]]+Table1[[#This Row],[UNIT (GARDEN) VALUE]]</f>
        <v>8050750</v>
      </c>
      <c r="AT676" s="232">
        <f>Table1[[#This Row],[TOTAL CARS VALUE]]+Table1[[#This Row],[UNIT (GARDEN) VALUE]]+Table1[[#This Row],[UNIT (BUILDING) VALUE FULLY FINISHED]]</f>
        <v>8515750</v>
      </c>
      <c r="AU676" s="233">
        <f>VLOOKUP(I676,'C PHASES'!$I$108:$J$110,2,FALSE)</f>
        <v>46569</v>
      </c>
      <c r="AV676" s="233">
        <f>VLOOKUP(AA676,'C PHASES'!$I$113:$J$125,2,FALSE)</f>
        <v>45170</v>
      </c>
    </row>
    <row r="677" spans="1:48" x14ac:dyDescent="0.25">
      <c r="A677" s="235"/>
      <c r="B677" s="227" t="str">
        <f t="shared" si="102"/>
        <v>D</v>
      </c>
      <c r="C677" s="227" t="s">
        <v>59</v>
      </c>
      <c r="D677" s="227" t="s">
        <v>1147</v>
      </c>
      <c r="E677" s="228">
        <v>2</v>
      </c>
      <c r="F677" s="101">
        <v>3</v>
      </c>
      <c r="G677" s="87" t="str">
        <f t="shared" si="110"/>
        <v>D123</v>
      </c>
      <c r="H677" s="87" t="s">
        <v>1294</v>
      </c>
      <c r="I677" s="89" t="str">
        <f>VLOOKUP(C677,'PREMIUM TABLES'!$G$107:$H$149,2,FALSE)</f>
        <v>C3</v>
      </c>
      <c r="J677" s="87">
        <v>131.44</v>
      </c>
      <c r="K677" s="87">
        <v>142.72850834170771</v>
      </c>
      <c r="L677" s="87">
        <v>160</v>
      </c>
      <c r="O677" s="87" t="s">
        <v>180</v>
      </c>
      <c r="P677" s="87" t="s">
        <v>226</v>
      </c>
      <c r="Q677" s="229" t="s">
        <v>211</v>
      </c>
      <c r="R677" s="87" t="str">
        <f>VLOOKUP(E677,'PREMIUM TABLES'!$F$214:$G$219,2,FALSE)</f>
        <v>SECOND</v>
      </c>
      <c r="S677" s="87" t="str" cm="1">
        <f t="array" ref="S677">IF(AND(L677&gt;0,L677&lt;90),"A",IF(AND(L677&gt;90,L677&lt;123),"B",IF(AND(L677&gt;122,L677&lt;159),"C",IF(AND(L677&gt;159,L677&lt;185),"D",IF(AND(L677&gt;185,L677&lt;230),"E",IF(AND(L677&gt;230,L677&lt;350),"F",NONE))))))</f>
        <v>D</v>
      </c>
      <c r="T677" s="230">
        <f>VLOOKUP(O677,'PREMIUM TABLES'!$G$165:$H$172,2,FALSE)</f>
        <v>0.13</v>
      </c>
      <c r="U677" s="230">
        <f>VLOOKUP(P677,'PREMIUM TABLES'!$G$208:$H$209,2,FALSE)</f>
        <v>0.05</v>
      </c>
      <c r="V677" s="230">
        <f>VLOOKUP(Q677,'PREMIUM TABLES'!$G$175:$H$195,2,FALSE)</f>
        <v>0.43</v>
      </c>
      <c r="W677" s="230">
        <f>VLOOKUP(R677,'PREMIUM TABLES'!$G$214:$H$219,2,FALSE)</f>
        <v>0.11</v>
      </c>
      <c r="X677" s="230">
        <f>VLOOKUP(S677,'PREMIUM TABLES'!$F$199:$H$205,3,FALSE)</f>
        <v>2.5000000000000001E-2</v>
      </c>
      <c r="Y677" s="231">
        <f t="shared" si="104"/>
        <v>0.745</v>
      </c>
      <c r="Z677" s="231" t="str" cm="1">
        <f t="array" ref="Z677">IF(AND(Y677&gt;0,Y677&lt;0.5),"C",IF(AND(Y677&gt;=0.5,Y677&lt;0.73),"B",IF(AND(Y677&gt;=0.73,Y677&lt;0.98),"A",NONE)))</f>
        <v>A</v>
      </c>
      <c r="AA677" s="231" t="str">
        <f>VLOOKUP(G677,'ALL (R)'!$N$5:$R$862,5,FALSE)</f>
        <v>R 1</v>
      </c>
      <c r="AB677" s="232">
        <f>VLOOKUP(AA677,FACTS!$B$2:$L$14,10,FALSE)</f>
        <v>42500</v>
      </c>
      <c r="AC677" s="232">
        <f>VLOOKUP(AA677,FACTS!$B$2:$L$14,11,FALSE)</f>
        <v>47500</v>
      </c>
      <c r="AD677" s="232">
        <f>VLOOKUP(AA677,FACTS!$B$2:$N$14,13,FALSE)</f>
        <v>5000</v>
      </c>
      <c r="AE677" s="232">
        <f t="shared" si="105"/>
        <v>3725</v>
      </c>
      <c r="AF677" s="232">
        <f t="shared" si="106"/>
        <v>46225</v>
      </c>
      <c r="AG677" s="232">
        <f>AF677*FACTS!$T$2</f>
        <v>15254.25</v>
      </c>
      <c r="AH677" s="232">
        <f>Table1[[#This Row],[UNIT (BUILDING) RATE (SEMI FINISHED)]]+4500</f>
        <v>50725</v>
      </c>
      <c r="AI677" s="232">
        <f>Table1[[#This Row],[UNIT (BUILDING) RATE (SEMI FINISHED)]]+7500</f>
        <v>53725</v>
      </c>
      <c r="AJ677" s="232">
        <f t="shared" si="107"/>
        <v>7396000</v>
      </c>
      <c r="AK677" s="232">
        <f>Table1[[#This Row],[UNIT (BUILDING) RATE (BASIC FINISH)]]*Table1[[#This Row],[Unit Selling Area]]</f>
        <v>8116000</v>
      </c>
      <c r="AL677" s="232">
        <f>Table1[[#This Row],[UNIT (BUILDING) RATE (FULLY FINISH)]]*Table1[[#This Row],[Unit Selling Area]]</f>
        <v>8596000</v>
      </c>
      <c r="AM677" s="232">
        <f t="shared" si="108"/>
        <v>0</v>
      </c>
      <c r="AN677" s="232">
        <f>(AM677+AJ677)*FACTS!$S$2</f>
        <v>628660</v>
      </c>
      <c r="AO677" s="101">
        <f>VLOOKUP(S677,FACTS!$A$17:$C$23,3,FALSE)</f>
        <v>2</v>
      </c>
      <c r="AP677" s="232">
        <f>VLOOKUP(AA677,FACTS!$B$2:$J$14,9,FALSE)</f>
        <v>200000</v>
      </c>
      <c r="AQ677" s="232">
        <f>Table1[[#This Row],[PARKING VALUE]]*1</f>
        <v>200000</v>
      </c>
      <c r="AR677" s="232">
        <f t="shared" si="103"/>
        <v>7596000</v>
      </c>
      <c r="AS677" s="440">
        <f>Table1[[#This Row],[TOTAL CARS VALUE]]+Table1[[#This Row],[UNIT (BUILDING) VALUE BASIC FINISHED]]+Table1[[#This Row],[UNIT (GARDEN) VALUE]]</f>
        <v>8316000</v>
      </c>
      <c r="AT677" s="232">
        <f>Table1[[#This Row],[TOTAL CARS VALUE]]+Table1[[#This Row],[UNIT (GARDEN) VALUE]]+Table1[[#This Row],[UNIT (BUILDING) VALUE FULLY FINISHED]]</f>
        <v>8796000</v>
      </c>
      <c r="AU677" s="233">
        <f>VLOOKUP(I677,'C PHASES'!$I$108:$J$110,2,FALSE)</f>
        <v>46569</v>
      </c>
      <c r="AV677" s="233">
        <f>VLOOKUP(AA677,'C PHASES'!$I$113:$J$125,2,FALSE)</f>
        <v>45170</v>
      </c>
    </row>
    <row r="678" spans="1:48" x14ac:dyDescent="0.25">
      <c r="A678" s="235"/>
      <c r="B678" s="227" t="str">
        <f t="shared" si="102"/>
        <v>D</v>
      </c>
      <c r="C678" s="227" t="s">
        <v>59</v>
      </c>
      <c r="D678" s="227" t="s">
        <v>1147</v>
      </c>
      <c r="E678" s="228">
        <v>2</v>
      </c>
      <c r="F678" s="101">
        <v>4</v>
      </c>
      <c r="G678" s="87" t="str">
        <f t="shared" si="110"/>
        <v>D124</v>
      </c>
      <c r="H678" s="87" t="s">
        <v>1294</v>
      </c>
      <c r="I678" s="89" t="str">
        <f>VLOOKUP(C678,'PREMIUM TABLES'!$G$107:$H$149,2,FALSE)</f>
        <v>C3</v>
      </c>
      <c r="J678" s="87">
        <v>131.43</v>
      </c>
      <c r="K678" s="87">
        <v>142.71764950814548</v>
      </c>
      <c r="L678" s="87">
        <v>160</v>
      </c>
      <c r="O678" s="87" t="s">
        <v>187</v>
      </c>
      <c r="P678" s="87" t="s">
        <v>226</v>
      </c>
      <c r="Q678" s="229" t="s">
        <v>197</v>
      </c>
      <c r="R678" s="87" t="str">
        <f>VLOOKUP(E678,'PREMIUM TABLES'!$F$214:$G$219,2,FALSE)</f>
        <v>SECOND</v>
      </c>
      <c r="S678" s="87" t="str" cm="1">
        <f t="array" ref="S678">IF(AND(L678&gt;0,L678&lt;90),"A",IF(AND(L678&gt;90,L678&lt;123),"B",IF(AND(L678&gt;122,L678&lt;159),"C",IF(AND(L678&gt;159,L678&lt;185),"D",IF(AND(L678&gt;185,L678&lt;230),"E",IF(AND(L678&gt;230,L678&lt;350),"F",NONE))))))</f>
        <v>D</v>
      </c>
      <c r="T678" s="230">
        <f>VLOOKUP(O678,'PREMIUM TABLES'!$G$165:$H$172,2,FALSE)</f>
        <v>0.08</v>
      </c>
      <c r="U678" s="230">
        <f>VLOOKUP(P678,'PREMIUM TABLES'!$G$208:$H$209,2,FALSE)</f>
        <v>0.05</v>
      </c>
      <c r="V678" s="230">
        <f>VLOOKUP(Q678,'PREMIUM TABLES'!$G$175:$H$195,2,FALSE)</f>
        <v>0.16</v>
      </c>
      <c r="W678" s="230">
        <f>VLOOKUP(R678,'PREMIUM TABLES'!$G$214:$H$219,2,FALSE)</f>
        <v>0.11</v>
      </c>
      <c r="X678" s="230">
        <f>VLOOKUP(S678,'PREMIUM TABLES'!$F$199:$H$205,3,FALSE)</f>
        <v>2.5000000000000001E-2</v>
      </c>
      <c r="Y678" s="231">
        <f t="shared" si="104"/>
        <v>0.42500000000000004</v>
      </c>
      <c r="Z678" s="231" t="str" cm="1">
        <f t="array" ref="Z678">IF(AND(Y678&gt;0,Y678&lt;0.5),"C",IF(AND(Y678&gt;=0.5,Y678&lt;0.73),"B",IF(AND(Y678&gt;=0.73,Y678&lt;0.98),"A",NONE)))</f>
        <v>C</v>
      </c>
      <c r="AA678" s="231" t="str">
        <f>VLOOKUP(G678,'ALL (R)'!$N$5:$R$862,5,FALSE)</f>
        <v>R 8</v>
      </c>
      <c r="AB678" s="232">
        <f>VLOOKUP(AA678,FACTS!$B$2:$L$14,10,FALSE)</f>
        <v>51850</v>
      </c>
      <c r="AC678" s="232">
        <f>VLOOKUP(AA678,FACTS!$B$2:$L$14,11,FALSE)</f>
        <v>57950</v>
      </c>
      <c r="AD678" s="232">
        <f>VLOOKUP(AA678,FACTS!$B$2:$N$14,13,FALSE)</f>
        <v>6100</v>
      </c>
      <c r="AE678" s="232">
        <f t="shared" si="105"/>
        <v>2592.5000000000005</v>
      </c>
      <c r="AF678" s="232">
        <f t="shared" si="106"/>
        <v>54442.5</v>
      </c>
      <c r="AG678" s="232">
        <f>AF678*FACTS!$T$2</f>
        <v>17966.025000000001</v>
      </c>
      <c r="AH678" s="232">
        <f>Table1[[#This Row],[UNIT (BUILDING) RATE (SEMI FINISHED)]]+4500</f>
        <v>58942.5</v>
      </c>
      <c r="AI678" s="232">
        <f>Table1[[#This Row],[UNIT (BUILDING) RATE (SEMI FINISHED)]]+7500</f>
        <v>61942.5</v>
      </c>
      <c r="AJ678" s="232">
        <f t="shared" si="107"/>
        <v>8710800</v>
      </c>
      <c r="AK678" s="232">
        <f>Table1[[#This Row],[UNIT (BUILDING) RATE (BASIC FINISH)]]*Table1[[#This Row],[Unit Selling Area]]</f>
        <v>9430800</v>
      </c>
      <c r="AL678" s="232">
        <f>Table1[[#This Row],[UNIT (BUILDING) RATE (FULLY FINISH)]]*Table1[[#This Row],[Unit Selling Area]]</f>
        <v>9910800</v>
      </c>
      <c r="AM678" s="232">
        <f t="shared" si="108"/>
        <v>0</v>
      </c>
      <c r="AN678" s="232">
        <f>(AM678+AJ678)*FACTS!$S$2</f>
        <v>740418</v>
      </c>
      <c r="AO678" s="101">
        <f>VLOOKUP(S678,FACTS!$A$17:$C$23,3,FALSE)</f>
        <v>2</v>
      </c>
      <c r="AP678" s="232">
        <f>VLOOKUP(AA678,FACTS!$B$2:$J$14,9,FALSE)</f>
        <v>244000</v>
      </c>
      <c r="AQ678" s="232">
        <f>Table1[[#This Row],[PARKING VALUE]]*1</f>
        <v>244000</v>
      </c>
      <c r="AR678" s="232">
        <f t="shared" si="103"/>
        <v>8954800</v>
      </c>
      <c r="AS678" s="440">
        <f>Table1[[#This Row],[TOTAL CARS VALUE]]+Table1[[#This Row],[UNIT (BUILDING) VALUE BASIC FINISHED]]+Table1[[#This Row],[UNIT (GARDEN) VALUE]]</f>
        <v>9674800</v>
      </c>
      <c r="AT678" s="232">
        <f>Table1[[#This Row],[TOTAL CARS VALUE]]+Table1[[#This Row],[UNIT (GARDEN) VALUE]]+Table1[[#This Row],[UNIT (BUILDING) VALUE FULLY FINISHED]]</f>
        <v>10154800</v>
      </c>
      <c r="AU678" s="233">
        <f>VLOOKUP(I678,'C PHASES'!$I$108:$J$110,2,FALSE)</f>
        <v>46569</v>
      </c>
      <c r="AV678" s="233">
        <f>VLOOKUP(AA678,'C PHASES'!$I$113:$J$125,2,FALSE)</f>
        <v>45839</v>
      </c>
    </row>
    <row r="679" spans="1:48" x14ac:dyDescent="0.25">
      <c r="A679" s="235"/>
      <c r="B679" s="227" t="str">
        <f t="shared" si="102"/>
        <v>D</v>
      </c>
      <c r="C679" s="227" t="s">
        <v>59</v>
      </c>
      <c r="D679" s="227" t="s">
        <v>1147</v>
      </c>
      <c r="E679" s="228">
        <v>3</v>
      </c>
      <c r="F679" s="101">
        <v>1</v>
      </c>
      <c r="G679" s="87" t="str">
        <f t="shared" si="110"/>
        <v>D131</v>
      </c>
      <c r="H679" s="87" t="s">
        <v>1294</v>
      </c>
      <c r="I679" s="89" t="str">
        <f>VLOOKUP(C679,'PREMIUM TABLES'!$G$107:$H$149,2,FALSE)</f>
        <v>C3</v>
      </c>
      <c r="J679" s="87">
        <v>127.45</v>
      </c>
      <c r="K679" s="87">
        <v>138.39583375038532</v>
      </c>
      <c r="L679" s="87">
        <v>155</v>
      </c>
      <c r="O679" s="87" t="s">
        <v>187</v>
      </c>
      <c r="P679" s="87" t="s">
        <v>190</v>
      </c>
      <c r="Q679" s="229" t="s">
        <v>197</v>
      </c>
      <c r="R679" s="87" t="str">
        <f>VLOOKUP(E679,'PREMIUM TABLES'!$F$214:$G$219,2,FALSE)</f>
        <v>THIRD</v>
      </c>
      <c r="S679" s="87" t="str" cm="1">
        <f t="array" ref="S679">IF(AND(L679&gt;0,L679&lt;90),"A",IF(AND(L679&gt;90,L679&lt;123),"B",IF(AND(L679&gt;122,L679&lt;159),"C",IF(AND(L679&gt;159,L679&lt;185),"D",IF(AND(L679&gt;185,L679&lt;230),"E",IF(AND(L679&gt;230,L679&lt;350),"F",NONE))))))</f>
        <v>C</v>
      </c>
      <c r="T679" s="230">
        <f>VLOOKUP(O679,'PREMIUM TABLES'!$G$165:$H$172,2,FALSE)</f>
        <v>0.08</v>
      </c>
      <c r="U679" s="230">
        <f>VLOOKUP(P679,'PREMIUM TABLES'!$G$208:$H$209,2,FALSE)</f>
        <v>2.5000000000000001E-2</v>
      </c>
      <c r="V679" s="230">
        <f>VLOOKUP(Q679,'PREMIUM TABLES'!$G$175:$H$195,2,FALSE)</f>
        <v>0.16</v>
      </c>
      <c r="W679" s="230">
        <f>VLOOKUP(R679,'PREMIUM TABLES'!$G$214:$H$219,2,FALSE)</f>
        <v>0.15</v>
      </c>
      <c r="X679" s="230">
        <f>VLOOKUP(S679,'PREMIUM TABLES'!$F$199:$H$205,3,FALSE)</f>
        <v>3.5000000000000003E-2</v>
      </c>
      <c r="Y679" s="231">
        <f t="shared" si="104"/>
        <v>0.45000000000000007</v>
      </c>
      <c r="Z679" s="231" t="str" cm="1">
        <f t="array" ref="Z679">IF(AND(Y679&gt;0,Y679&lt;0.5),"C",IF(AND(Y679&gt;=0.5,Y679&lt;0.73),"B",IF(AND(Y679&gt;=0.73,Y679&lt;0.98),"A",NONE)))</f>
        <v>C</v>
      </c>
      <c r="AA679" s="231" t="str">
        <f>VLOOKUP(G679,'ALL (R)'!$N$5:$R$862,5,FALSE)</f>
        <v>R 9</v>
      </c>
      <c r="AB679" s="232">
        <f>VLOOKUP(AA679,FACTS!$B$2:$L$14,10,FALSE)</f>
        <v>53550</v>
      </c>
      <c r="AC679" s="232">
        <f>VLOOKUP(AA679,FACTS!$B$2:$L$14,11,FALSE)</f>
        <v>59850</v>
      </c>
      <c r="AD679" s="232">
        <f>VLOOKUP(AA679,FACTS!$B$2:$N$14,13,FALSE)</f>
        <v>6300</v>
      </c>
      <c r="AE679" s="232">
        <f t="shared" si="105"/>
        <v>2835.0000000000005</v>
      </c>
      <c r="AF679" s="232">
        <f t="shared" si="106"/>
        <v>56385</v>
      </c>
      <c r="AG679" s="232">
        <f>AF679*FACTS!$T$2</f>
        <v>18607.05</v>
      </c>
      <c r="AH679" s="232">
        <f>Table1[[#This Row],[UNIT (BUILDING) RATE (SEMI FINISHED)]]+4500</f>
        <v>60885</v>
      </c>
      <c r="AI679" s="232">
        <f>Table1[[#This Row],[UNIT (BUILDING) RATE (SEMI FINISHED)]]+7500</f>
        <v>63885</v>
      </c>
      <c r="AJ679" s="232">
        <f t="shared" si="107"/>
        <v>8739675</v>
      </c>
      <c r="AK679" s="232">
        <f>Table1[[#This Row],[UNIT (BUILDING) RATE (BASIC FINISH)]]*Table1[[#This Row],[Unit Selling Area]]</f>
        <v>9437175</v>
      </c>
      <c r="AL679" s="232">
        <f>Table1[[#This Row],[UNIT (BUILDING) RATE (FULLY FINISH)]]*Table1[[#This Row],[Unit Selling Area]]</f>
        <v>9902175</v>
      </c>
      <c r="AM679" s="232">
        <f t="shared" si="108"/>
        <v>0</v>
      </c>
      <c r="AN679" s="232">
        <f>(AM679+AJ679)*FACTS!$S$2</f>
        <v>742872.375</v>
      </c>
      <c r="AO679" s="101">
        <f>VLOOKUP(S679,FACTS!$A$17:$C$23,3,FALSE)</f>
        <v>2</v>
      </c>
      <c r="AP679" s="232">
        <f>VLOOKUP(AA679,FACTS!$B$2:$J$14,9,FALSE)</f>
        <v>252000</v>
      </c>
      <c r="AQ679" s="232">
        <f>Table1[[#This Row],[PARKING VALUE]]*1</f>
        <v>252000</v>
      </c>
      <c r="AR679" s="232">
        <f t="shared" si="103"/>
        <v>8991675</v>
      </c>
      <c r="AS679" s="440">
        <f>Table1[[#This Row],[TOTAL CARS VALUE]]+Table1[[#This Row],[UNIT (BUILDING) VALUE BASIC FINISHED]]+Table1[[#This Row],[UNIT (GARDEN) VALUE]]</f>
        <v>9689175</v>
      </c>
      <c r="AT679" s="232">
        <f>Table1[[#This Row],[TOTAL CARS VALUE]]+Table1[[#This Row],[UNIT (GARDEN) VALUE]]+Table1[[#This Row],[UNIT (BUILDING) VALUE FULLY FINISHED]]</f>
        <v>10154175</v>
      </c>
      <c r="AU679" s="233">
        <f>VLOOKUP(I679,'C PHASES'!$I$108:$J$110,2,FALSE)</f>
        <v>46569</v>
      </c>
      <c r="AV679" s="233">
        <f>VLOOKUP(AA679,'C PHASES'!$I$113:$J$125,2,FALSE)</f>
        <v>45931</v>
      </c>
    </row>
    <row r="680" spans="1:48" x14ac:dyDescent="0.25">
      <c r="A680" s="235"/>
      <c r="B680" s="227" t="str">
        <f t="shared" si="102"/>
        <v>D</v>
      </c>
      <c r="C680" s="227" t="s">
        <v>59</v>
      </c>
      <c r="D680" s="227" t="s">
        <v>1147</v>
      </c>
      <c r="E680" s="228">
        <v>3</v>
      </c>
      <c r="F680" s="101">
        <v>2</v>
      </c>
      <c r="G680" s="87" t="str">
        <f t="shared" si="110"/>
        <v>D132</v>
      </c>
      <c r="H680" s="87" t="s">
        <v>1294</v>
      </c>
      <c r="I680" s="89" t="str">
        <f>VLOOKUP(C680,'PREMIUM TABLES'!$G$107:$H$149,2,FALSE)</f>
        <v>C3</v>
      </c>
      <c r="J680" s="87">
        <v>126.97</v>
      </c>
      <c r="K680" s="87">
        <v>137.87460973939918</v>
      </c>
      <c r="L680" s="87">
        <v>155</v>
      </c>
      <c r="O680" s="87" t="s">
        <v>180</v>
      </c>
      <c r="P680" s="87" t="s">
        <v>190</v>
      </c>
      <c r="Q680" s="229" t="s">
        <v>211</v>
      </c>
      <c r="R680" s="87" t="str">
        <f>VLOOKUP(E680,'PREMIUM TABLES'!$F$214:$G$219,2,FALSE)</f>
        <v>THIRD</v>
      </c>
      <c r="S680" s="87" t="str" cm="1">
        <f t="array" ref="S680">IF(AND(L680&gt;0,L680&lt;90),"A",IF(AND(L680&gt;90,L680&lt;123),"B",IF(AND(L680&gt;122,L680&lt;159),"C",IF(AND(L680&gt;159,L680&lt;185),"D",IF(AND(L680&gt;185,L680&lt;230),"E",IF(AND(L680&gt;230,L680&lt;350),"F",NONE))))))</f>
        <v>C</v>
      </c>
      <c r="T680" s="230">
        <f>VLOOKUP(O680,'PREMIUM TABLES'!$G$165:$H$172,2,FALSE)</f>
        <v>0.13</v>
      </c>
      <c r="U680" s="230">
        <f>VLOOKUP(P680,'PREMIUM TABLES'!$G$208:$H$209,2,FALSE)</f>
        <v>2.5000000000000001E-2</v>
      </c>
      <c r="V680" s="230">
        <f>VLOOKUP(Q680,'PREMIUM TABLES'!$G$175:$H$195,2,FALSE)</f>
        <v>0.43</v>
      </c>
      <c r="W680" s="230">
        <f>VLOOKUP(R680,'PREMIUM TABLES'!$G$214:$H$219,2,FALSE)</f>
        <v>0.15</v>
      </c>
      <c r="X680" s="230">
        <f>VLOOKUP(S680,'PREMIUM TABLES'!$F$199:$H$205,3,FALSE)</f>
        <v>3.5000000000000003E-2</v>
      </c>
      <c r="Y680" s="231">
        <f t="shared" si="104"/>
        <v>0.77</v>
      </c>
      <c r="Z680" s="231" t="str" cm="1">
        <f t="array" ref="Z680">IF(AND(Y680&gt;0,Y680&lt;0.5),"C",IF(AND(Y680&gt;=0.5,Y680&lt;0.73),"B",IF(AND(Y680&gt;=0.73,Y680&lt;0.98),"A",NONE)))</f>
        <v>A</v>
      </c>
      <c r="AA680" s="231" t="str">
        <f>VLOOKUP(G680,'ALL (R)'!$N$5:$R$862,5,FALSE)</f>
        <v>R 3</v>
      </c>
      <c r="AB680" s="232">
        <f>VLOOKUP(AA680,FACTS!$B$2:$L$14,10,FALSE)</f>
        <v>44625</v>
      </c>
      <c r="AC680" s="232">
        <f>VLOOKUP(AA680,FACTS!$B$2:$L$14,11,FALSE)</f>
        <v>49875</v>
      </c>
      <c r="AD680" s="232">
        <f>VLOOKUP(AA680,FACTS!$B$2:$N$14,13,FALSE)</f>
        <v>5250</v>
      </c>
      <c r="AE680" s="232">
        <f t="shared" si="105"/>
        <v>4042.5</v>
      </c>
      <c r="AF680" s="232">
        <f t="shared" si="106"/>
        <v>48667.5</v>
      </c>
      <c r="AG680" s="232">
        <f>AF680*FACTS!$T$2</f>
        <v>16060.275000000001</v>
      </c>
      <c r="AH680" s="232">
        <f>Table1[[#This Row],[UNIT (BUILDING) RATE (SEMI FINISHED)]]+4500</f>
        <v>53167.5</v>
      </c>
      <c r="AI680" s="232">
        <f>Table1[[#This Row],[UNIT (BUILDING) RATE (SEMI FINISHED)]]+7500</f>
        <v>56167.5</v>
      </c>
      <c r="AJ680" s="232">
        <f t="shared" si="107"/>
        <v>7543462.5</v>
      </c>
      <c r="AK680" s="232">
        <f>Table1[[#This Row],[UNIT (BUILDING) RATE (BASIC FINISH)]]*Table1[[#This Row],[Unit Selling Area]]</f>
        <v>8240962.5</v>
      </c>
      <c r="AL680" s="232">
        <f>Table1[[#This Row],[UNIT (BUILDING) RATE (FULLY FINISH)]]*Table1[[#This Row],[Unit Selling Area]]</f>
        <v>8705962.5</v>
      </c>
      <c r="AM680" s="232">
        <f t="shared" si="108"/>
        <v>0</v>
      </c>
      <c r="AN680" s="232">
        <f>(AM680+AJ680)*FACTS!$S$2</f>
        <v>641194.3125</v>
      </c>
      <c r="AO680" s="101">
        <f>VLOOKUP(S680,FACTS!$A$17:$C$23,3,FALSE)</f>
        <v>2</v>
      </c>
      <c r="AP680" s="232">
        <f>VLOOKUP(AA680,FACTS!$B$2:$J$14,9,FALSE)</f>
        <v>210000</v>
      </c>
      <c r="AQ680" s="232">
        <f>Table1[[#This Row],[PARKING VALUE]]*1</f>
        <v>210000</v>
      </c>
      <c r="AR680" s="232">
        <f t="shared" si="103"/>
        <v>7753462.5</v>
      </c>
      <c r="AS680" s="440">
        <f>Table1[[#This Row],[TOTAL CARS VALUE]]+Table1[[#This Row],[UNIT (BUILDING) VALUE BASIC FINISHED]]+Table1[[#This Row],[UNIT (GARDEN) VALUE]]</f>
        <v>8450962.5</v>
      </c>
      <c r="AT680" s="232">
        <f>Table1[[#This Row],[TOTAL CARS VALUE]]+Table1[[#This Row],[UNIT (GARDEN) VALUE]]+Table1[[#This Row],[UNIT (BUILDING) VALUE FULLY FINISHED]]</f>
        <v>8915962.5</v>
      </c>
      <c r="AU680" s="233">
        <f>VLOOKUP(I680,'C PHASES'!$I$108:$J$110,2,FALSE)</f>
        <v>46569</v>
      </c>
      <c r="AV680" s="233">
        <f>VLOOKUP(AA680,'C PHASES'!$I$113:$J$125,2,FALSE)</f>
        <v>45383</v>
      </c>
    </row>
    <row r="681" spans="1:48" x14ac:dyDescent="0.25">
      <c r="A681" s="235"/>
      <c r="B681" s="227" t="str">
        <f t="shared" si="102"/>
        <v>D</v>
      </c>
      <c r="C681" s="227" t="s">
        <v>59</v>
      </c>
      <c r="D681" s="227" t="s">
        <v>1147</v>
      </c>
      <c r="E681" s="228">
        <v>3</v>
      </c>
      <c r="F681" s="101">
        <v>3</v>
      </c>
      <c r="G681" s="87" t="str">
        <f t="shared" si="110"/>
        <v>D133</v>
      </c>
      <c r="H681" s="87" t="s">
        <v>1294</v>
      </c>
      <c r="I681" s="89" t="str">
        <f>VLOOKUP(C681,'PREMIUM TABLES'!$G$107:$H$149,2,FALSE)</f>
        <v>C3</v>
      </c>
      <c r="J681" s="87">
        <v>131.43</v>
      </c>
      <c r="K681" s="87">
        <v>142.71764950814548</v>
      </c>
      <c r="L681" s="87">
        <v>160</v>
      </c>
      <c r="O681" s="87" t="s">
        <v>180</v>
      </c>
      <c r="P681" s="87" t="s">
        <v>226</v>
      </c>
      <c r="Q681" s="229" t="s">
        <v>211</v>
      </c>
      <c r="R681" s="87" t="str">
        <f>VLOOKUP(E681,'PREMIUM TABLES'!$F$214:$G$219,2,FALSE)</f>
        <v>THIRD</v>
      </c>
      <c r="S681" s="87" t="str" cm="1">
        <f t="array" ref="S681">IF(AND(L681&gt;0,L681&lt;90),"A",IF(AND(L681&gt;90,L681&lt;123),"B",IF(AND(L681&gt;122,L681&lt;159),"C",IF(AND(L681&gt;159,L681&lt;185),"D",IF(AND(L681&gt;185,L681&lt;230),"E",IF(AND(L681&gt;230,L681&lt;350),"F",NONE))))))</f>
        <v>D</v>
      </c>
      <c r="T681" s="230">
        <f>VLOOKUP(O681,'PREMIUM TABLES'!$G$165:$H$172,2,FALSE)</f>
        <v>0.13</v>
      </c>
      <c r="U681" s="230">
        <f>VLOOKUP(P681,'PREMIUM TABLES'!$G$208:$H$209,2,FALSE)</f>
        <v>0.05</v>
      </c>
      <c r="V681" s="230">
        <f>VLOOKUP(Q681,'PREMIUM TABLES'!$G$175:$H$195,2,FALSE)</f>
        <v>0.43</v>
      </c>
      <c r="W681" s="230">
        <f>VLOOKUP(R681,'PREMIUM TABLES'!$G$214:$H$219,2,FALSE)</f>
        <v>0.15</v>
      </c>
      <c r="X681" s="230">
        <f>VLOOKUP(S681,'PREMIUM TABLES'!$F$199:$H$205,3,FALSE)</f>
        <v>2.5000000000000001E-2</v>
      </c>
      <c r="Y681" s="231">
        <f t="shared" si="104"/>
        <v>0.78500000000000003</v>
      </c>
      <c r="Z681" s="231" t="str" cm="1">
        <f t="array" ref="Z681">IF(AND(Y681&gt;0,Y681&lt;0.5),"C",IF(AND(Y681&gt;=0.5,Y681&lt;0.73),"B",IF(AND(Y681&gt;=0.73,Y681&lt;0.98),"A",NONE)))</f>
        <v>A</v>
      </c>
      <c r="AA681" s="231" t="str">
        <f>VLOOKUP(G681,'ALL (R)'!$N$5:$R$862,5,FALSE)</f>
        <v>R 5</v>
      </c>
      <c r="AB681" s="232">
        <f>VLOOKUP(AA681,FACTS!$B$2:$L$14,10,FALSE)</f>
        <v>46750.000000000007</v>
      </c>
      <c r="AC681" s="232">
        <f>VLOOKUP(AA681,FACTS!$B$2:$L$14,11,FALSE)</f>
        <v>52250.000000000007</v>
      </c>
      <c r="AD681" s="232">
        <f>VLOOKUP(AA681,FACTS!$B$2:$N$14,13,FALSE)</f>
        <v>5500</v>
      </c>
      <c r="AE681" s="232">
        <f t="shared" si="105"/>
        <v>4317.5</v>
      </c>
      <c r="AF681" s="232">
        <f t="shared" si="106"/>
        <v>51067.500000000007</v>
      </c>
      <c r="AG681" s="232">
        <f>AF681*FACTS!$T$2</f>
        <v>16852.275000000001</v>
      </c>
      <c r="AH681" s="232">
        <f>Table1[[#This Row],[UNIT (BUILDING) RATE (SEMI FINISHED)]]+4500</f>
        <v>55567.500000000007</v>
      </c>
      <c r="AI681" s="232">
        <f>Table1[[#This Row],[UNIT (BUILDING) RATE (SEMI FINISHED)]]+7500</f>
        <v>58567.500000000007</v>
      </c>
      <c r="AJ681" s="232">
        <f t="shared" si="107"/>
        <v>8170800.0000000009</v>
      </c>
      <c r="AK681" s="232">
        <f>Table1[[#This Row],[UNIT (BUILDING) RATE (BASIC FINISH)]]*Table1[[#This Row],[Unit Selling Area]]</f>
        <v>8890800.0000000019</v>
      </c>
      <c r="AL681" s="232">
        <f>Table1[[#This Row],[UNIT (BUILDING) RATE (FULLY FINISH)]]*Table1[[#This Row],[Unit Selling Area]]</f>
        <v>9370800.0000000019</v>
      </c>
      <c r="AM681" s="232">
        <f t="shared" si="108"/>
        <v>0</v>
      </c>
      <c r="AN681" s="232">
        <f>(AM681+AJ681)*FACTS!$S$2</f>
        <v>694518.00000000012</v>
      </c>
      <c r="AO681" s="101">
        <f>VLOOKUP(S681,FACTS!$A$17:$C$23,3,FALSE)</f>
        <v>2</v>
      </c>
      <c r="AP681" s="232">
        <f>VLOOKUP(AA681,FACTS!$B$2:$J$14,9,FALSE)</f>
        <v>220000.00000000003</v>
      </c>
      <c r="AQ681" s="232">
        <f>Table1[[#This Row],[PARKING VALUE]]*1</f>
        <v>220000.00000000003</v>
      </c>
      <c r="AR681" s="232">
        <f t="shared" si="103"/>
        <v>8390800.0000000019</v>
      </c>
      <c r="AS681" s="440">
        <f>Table1[[#This Row],[TOTAL CARS VALUE]]+Table1[[#This Row],[UNIT (BUILDING) VALUE BASIC FINISHED]]+Table1[[#This Row],[UNIT (GARDEN) VALUE]]</f>
        <v>9110800.0000000019</v>
      </c>
      <c r="AT681" s="232">
        <f>Table1[[#This Row],[TOTAL CARS VALUE]]+Table1[[#This Row],[UNIT (GARDEN) VALUE]]+Table1[[#This Row],[UNIT (BUILDING) VALUE FULLY FINISHED]]</f>
        <v>9590800.0000000019</v>
      </c>
      <c r="AU681" s="233">
        <f>VLOOKUP(I681,'C PHASES'!$I$108:$J$110,2,FALSE)</f>
        <v>46569</v>
      </c>
      <c r="AV681" s="233">
        <f>VLOOKUP(AA681,'C PHASES'!$I$113:$J$125,2,FALSE)</f>
        <v>45566</v>
      </c>
    </row>
    <row r="682" spans="1:48" x14ac:dyDescent="0.25">
      <c r="A682" s="235"/>
      <c r="B682" s="227" t="str">
        <f t="shared" si="102"/>
        <v>D</v>
      </c>
      <c r="C682" s="227" t="s">
        <v>59</v>
      </c>
      <c r="D682" s="227" t="s">
        <v>1147</v>
      </c>
      <c r="E682" s="228">
        <v>3</v>
      </c>
      <c r="F682" s="101">
        <v>4</v>
      </c>
      <c r="G682" s="87" t="str">
        <f t="shared" si="110"/>
        <v>D134</v>
      </c>
      <c r="H682" s="87" t="s">
        <v>1294</v>
      </c>
      <c r="I682" s="89" t="str">
        <f>VLOOKUP(C682,'PREMIUM TABLES'!$G$107:$H$149,2,FALSE)</f>
        <v>C3</v>
      </c>
      <c r="J682" s="87">
        <v>131.88</v>
      </c>
      <c r="K682" s="87">
        <v>143.20629701844501</v>
      </c>
      <c r="L682" s="87">
        <v>161</v>
      </c>
      <c r="O682" s="87" t="s">
        <v>187</v>
      </c>
      <c r="P682" s="87" t="s">
        <v>226</v>
      </c>
      <c r="Q682" s="229" t="s">
        <v>197</v>
      </c>
      <c r="R682" s="87" t="str">
        <f>VLOOKUP(E682,'PREMIUM TABLES'!$F$214:$G$219,2,FALSE)</f>
        <v>THIRD</v>
      </c>
      <c r="S682" s="87" t="str" cm="1">
        <f t="array" ref="S682">IF(AND(L682&gt;0,L682&lt;90),"A",IF(AND(L682&gt;90,L682&lt;123),"B",IF(AND(L682&gt;122,L682&lt;159),"C",IF(AND(L682&gt;159,L682&lt;185),"D",IF(AND(L682&gt;185,L682&lt;230),"E",IF(AND(L682&gt;230,L682&lt;350),"F",NONE))))))</f>
        <v>D</v>
      </c>
      <c r="T682" s="230">
        <f>VLOOKUP(O682,'PREMIUM TABLES'!$G$165:$H$172,2,FALSE)</f>
        <v>0.08</v>
      </c>
      <c r="U682" s="230">
        <f>VLOOKUP(P682,'PREMIUM TABLES'!$G$208:$H$209,2,FALSE)</f>
        <v>0.05</v>
      </c>
      <c r="V682" s="230">
        <f>VLOOKUP(Q682,'PREMIUM TABLES'!$G$175:$H$195,2,FALSE)</f>
        <v>0.16</v>
      </c>
      <c r="W682" s="230">
        <f>VLOOKUP(R682,'PREMIUM TABLES'!$G$214:$H$219,2,FALSE)</f>
        <v>0.15</v>
      </c>
      <c r="X682" s="230">
        <f>VLOOKUP(S682,'PREMIUM TABLES'!$F$199:$H$205,3,FALSE)</f>
        <v>2.5000000000000001E-2</v>
      </c>
      <c r="Y682" s="231">
        <f t="shared" si="104"/>
        <v>0.46500000000000008</v>
      </c>
      <c r="Z682" s="231" t="str" cm="1">
        <f t="array" ref="Z682">IF(AND(Y682&gt;0,Y682&lt;0.5),"C",IF(AND(Y682&gt;=0.5,Y682&lt;0.73),"B",IF(AND(Y682&gt;=0.73,Y682&lt;0.98),"A",NONE)))</f>
        <v>C</v>
      </c>
      <c r="AA682" s="231" t="str">
        <f>VLOOKUP(G682,'ALL (R)'!$N$5:$R$862,5,FALSE)</f>
        <v>R 11</v>
      </c>
      <c r="AB682" s="232">
        <f>VLOOKUP(AA682,FACTS!$B$2:$L$14,10,FALSE)</f>
        <v>58649.999999999993</v>
      </c>
      <c r="AC682" s="232">
        <f>VLOOKUP(AA682,FACTS!$B$2:$L$14,11,FALSE)</f>
        <v>65550</v>
      </c>
      <c r="AD682" s="232">
        <f>VLOOKUP(AA682,FACTS!$B$2:$N$14,13,FALSE)</f>
        <v>6900.0000000000073</v>
      </c>
      <c r="AE682" s="232">
        <f t="shared" si="105"/>
        <v>3208.5000000000041</v>
      </c>
      <c r="AF682" s="232">
        <f t="shared" si="106"/>
        <v>61858.5</v>
      </c>
      <c r="AG682" s="232">
        <f>AF682*FACTS!$T$2</f>
        <v>20413.305</v>
      </c>
      <c r="AH682" s="232">
        <f>Table1[[#This Row],[UNIT (BUILDING) RATE (SEMI FINISHED)]]+4500</f>
        <v>66358.5</v>
      </c>
      <c r="AI682" s="232">
        <f>Table1[[#This Row],[UNIT (BUILDING) RATE (SEMI FINISHED)]]+7500</f>
        <v>69358.5</v>
      </c>
      <c r="AJ682" s="232">
        <f t="shared" si="107"/>
        <v>9959218.5</v>
      </c>
      <c r="AK682" s="232">
        <f>Table1[[#This Row],[UNIT (BUILDING) RATE (BASIC FINISH)]]*Table1[[#This Row],[Unit Selling Area]]</f>
        <v>10683718.5</v>
      </c>
      <c r="AL682" s="232">
        <f>Table1[[#This Row],[UNIT (BUILDING) RATE (FULLY FINISH)]]*Table1[[#This Row],[Unit Selling Area]]</f>
        <v>11166718.5</v>
      </c>
      <c r="AM682" s="232">
        <f t="shared" si="108"/>
        <v>0</v>
      </c>
      <c r="AN682" s="232">
        <f>(AM682+AJ682)*FACTS!$S$2</f>
        <v>846533.57250000001</v>
      </c>
      <c r="AO682" s="101">
        <f>VLOOKUP(S682,FACTS!$A$17:$C$23,3,FALSE)</f>
        <v>2</v>
      </c>
      <c r="AP682" s="232">
        <f>VLOOKUP(AA682,FACTS!$B$2:$J$14,9,FALSE)</f>
        <v>276000</v>
      </c>
      <c r="AQ682" s="232">
        <f>Table1[[#This Row],[PARKING VALUE]]*1</f>
        <v>276000</v>
      </c>
      <c r="AR682" s="232">
        <f t="shared" si="103"/>
        <v>10235218.5</v>
      </c>
      <c r="AS682" s="440">
        <f>Table1[[#This Row],[TOTAL CARS VALUE]]+Table1[[#This Row],[UNIT (BUILDING) VALUE BASIC FINISHED]]+Table1[[#This Row],[UNIT (GARDEN) VALUE]]</f>
        <v>10959718.5</v>
      </c>
      <c r="AT682" s="232">
        <f>Table1[[#This Row],[TOTAL CARS VALUE]]+Table1[[#This Row],[UNIT (GARDEN) VALUE]]+Table1[[#This Row],[UNIT (BUILDING) VALUE FULLY FINISHED]]</f>
        <v>11442718.5</v>
      </c>
      <c r="AU682" s="233">
        <f>VLOOKUP(I682,'C PHASES'!$I$108:$J$110,2,FALSE)</f>
        <v>46569</v>
      </c>
      <c r="AV682" s="233">
        <f>VLOOKUP(AA682,'C PHASES'!$I$113:$J$125,2,FALSE)</f>
        <v>46113</v>
      </c>
    </row>
    <row r="683" spans="1:48" x14ac:dyDescent="0.25">
      <c r="A683" s="235"/>
      <c r="B683" s="227" t="str">
        <f t="shared" si="102"/>
        <v>D</v>
      </c>
      <c r="C683" s="227" t="s">
        <v>59</v>
      </c>
      <c r="D683" s="227" t="s">
        <v>1147</v>
      </c>
      <c r="E683" s="228">
        <v>4</v>
      </c>
      <c r="F683" s="101">
        <v>1</v>
      </c>
      <c r="G683" s="87" t="str">
        <f t="shared" si="110"/>
        <v>D141</v>
      </c>
      <c r="H683" s="87" t="s">
        <v>1294</v>
      </c>
      <c r="I683" s="89" t="str">
        <f>VLOOKUP(C683,'PREMIUM TABLES'!$G$107:$H$149,2,FALSE)</f>
        <v>C3</v>
      </c>
      <c r="J683" s="87">
        <v>125.13</v>
      </c>
      <c r="K683" s="87">
        <v>135.87658436395225</v>
      </c>
      <c r="L683" s="87">
        <v>153</v>
      </c>
      <c r="O683" s="87" t="s">
        <v>187</v>
      </c>
      <c r="P683" s="87" t="s">
        <v>190</v>
      </c>
      <c r="Q683" s="229" t="s">
        <v>197</v>
      </c>
      <c r="R683" s="87" t="str">
        <f>VLOOKUP(E683,'PREMIUM TABLES'!$F$214:$G$219,2,FALSE)</f>
        <v>FORTH</v>
      </c>
      <c r="S683" s="87" t="str" cm="1">
        <f t="array" ref="S683">IF(AND(L683&gt;0,L683&lt;90),"A",IF(AND(L683&gt;90,L683&lt;123),"B",IF(AND(L683&gt;122,L683&lt;159),"C",IF(AND(L683&gt;159,L683&lt;185),"D",IF(AND(L683&gt;185,L683&lt;230),"E",IF(AND(L683&gt;230,L683&lt;350),"F",NONE))))))</f>
        <v>C</v>
      </c>
      <c r="T683" s="230">
        <f>VLOOKUP(O683,'PREMIUM TABLES'!$G$165:$H$172,2,FALSE)</f>
        <v>0.08</v>
      </c>
      <c r="U683" s="230">
        <f>VLOOKUP(P683,'PREMIUM TABLES'!$G$208:$H$209,2,FALSE)</f>
        <v>2.5000000000000001E-2</v>
      </c>
      <c r="V683" s="230">
        <f>VLOOKUP(Q683,'PREMIUM TABLES'!$G$175:$H$195,2,FALSE)</f>
        <v>0.16</v>
      </c>
      <c r="W683" s="230">
        <f>VLOOKUP(R683,'PREMIUM TABLES'!$G$214:$H$219,2,FALSE)</f>
        <v>0.06</v>
      </c>
      <c r="X683" s="230">
        <f>VLOOKUP(S683,'PREMIUM TABLES'!$F$199:$H$205,3,FALSE)</f>
        <v>3.5000000000000003E-2</v>
      </c>
      <c r="Y683" s="231">
        <f t="shared" si="104"/>
        <v>0.36</v>
      </c>
      <c r="Z683" s="231" t="str" cm="1">
        <f t="array" ref="Z683">IF(AND(Y683&gt;0,Y683&lt;0.5),"C",IF(AND(Y683&gt;=0.5,Y683&lt;0.73),"B",IF(AND(Y683&gt;=0.73,Y683&lt;0.98),"A",NONE)))</f>
        <v>C</v>
      </c>
      <c r="AA683" s="231" t="str">
        <f>VLOOKUP(G683,'ALL (R)'!$N$5:$R$862,5,FALSE)</f>
        <v>R 1</v>
      </c>
      <c r="AB683" s="232">
        <f>VLOOKUP(AA683,FACTS!$B$2:$L$14,10,FALSE)</f>
        <v>42500</v>
      </c>
      <c r="AC683" s="232">
        <f>VLOOKUP(AA683,FACTS!$B$2:$L$14,11,FALSE)</f>
        <v>47500</v>
      </c>
      <c r="AD683" s="232">
        <f>VLOOKUP(AA683,FACTS!$B$2:$N$14,13,FALSE)</f>
        <v>5000</v>
      </c>
      <c r="AE683" s="232">
        <f t="shared" si="105"/>
        <v>1800</v>
      </c>
      <c r="AF683" s="232">
        <f t="shared" si="106"/>
        <v>44300</v>
      </c>
      <c r="AG683" s="232">
        <f>AF683*FACTS!$T$2</f>
        <v>14619</v>
      </c>
      <c r="AH683" s="232">
        <f>Table1[[#This Row],[UNIT (BUILDING) RATE (SEMI FINISHED)]]+4500</f>
        <v>48800</v>
      </c>
      <c r="AI683" s="232">
        <f>Table1[[#This Row],[UNIT (BUILDING) RATE (SEMI FINISHED)]]+7500</f>
        <v>51800</v>
      </c>
      <c r="AJ683" s="232">
        <f t="shared" si="107"/>
        <v>6777900</v>
      </c>
      <c r="AK683" s="232">
        <f>Table1[[#This Row],[UNIT (BUILDING) RATE (BASIC FINISH)]]*Table1[[#This Row],[Unit Selling Area]]</f>
        <v>7466400</v>
      </c>
      <c r="AL683" s="232">
        <f>Table1[[#This Row],[UNIT (BUILDING) RATE (FULLY FINISH)]]*Table1[[#This Row],[Unit Selling Area]]</f>
        <v>7925400</v>
      </c>
      <c r="AM683" s="232">
        <f t="shared" si="108"/>
        <v>0</v>
      </c>
      <c r="AN683" s="232">
        <f>(AM683+AJ683)*FACTS!$S$2</f>
        <v>576121.5</v>
      </c>
      <c r="AO683" s="101">
        <f>VLOOKUP(S683,FACTS!$A$17:$C$23,3,FALSE)</f>
        <v>2</v>
      </c>
      <c r="AP683" s="232">
        <f>VLOOKUP(AA683,FACTS!$B$2:$J$14,9,FALSE)</f>
        <v>200000</v>
      </c>
      <c r="AQ683" s="232">
        <f>Table1[[#This Row],[PARKING VALUE]]*1</f>
        <v>200000</v>
      </c>
      <c r="AR683" s="232">
        <f t="shared" si="103"/>
        <v>6977900</v>
      </c>
      <c r="AS683" s="440">
        <f>Table1[[#This Row],[TOTAL CARS VALUE]]+Table1[[#This Row],[UNIT (BUILDING) VALUE BASIC FINISHED]]+Table1[[#This Row],[UNIT (GARDEN) VALUE]]</f>
        <v>7666400</v>
      </c>
      <c r="AT683" s="232">
        <f>Table1[[#This Row],[TOTAL CARS VALUE]]+Table1[[#This Row],[UNIT (GARDEN) VALUE]]+Table1[[#This Row],[UNIT (BUILDING) VALUE FULLY FINISHED]]</f>
        <v>8125400</v>
      </c>
      <c r="AU683" s="233">
        <f>VLOOKUP(I683,'C PHASES'!$I$108:$J$110,2,FALSE)</f>
        <v>46569</v>
      </c>
      <c r="AV683" s="233">
        <f>VLOOKUP(AA683,'C PHASES'!$I$113:$J$125,2,FALSE)</f>
        <v>45170</v>
      </c>
    </row>
    <row r="684" spans="1:48" x14ac:dyDescent="0.25">
      <c r="A684" s="235"/>
      <c r="B684" s="227" t="str">
        <f t="shared" si="102"/>
        <v>D</v>
      </c>
      <c r="C684" s="227" t="s">
        <v>59</v>
      </c>
      <c r="D684" s="227" t="s">
        <v>1147</v>
      </c>
      <c r="E684" s="228">
        <v>4</v>
      </c>
      <c r="F684" s="101">
        <v>2</v>
      </c>
      <c r="G684" s="87" t="str">
        <f t="shared" si="110"/>
        <v>D142</v>
      </c>
      <c r="H684" s="87" t="s">
        <v>1294</v>
      </c>
      <c r="I684" s="89" t="str">
        <f>VLOOKUP(C684,'PREMIUM TABLES'!$G$107:$H$149,2,FALSE)</f>
        <v>C3</v>
      </c>
      <c r="J684" s="87">
        <v>127.19</v>
      </c>
      <c r="K684" s="87">
        <v>138.11350407776783</v>
      </c>
      <c r="L684" s="87">
        <v>155</v>
      </c>
      <c r="O684" s="87" t="s">
        <v>180</v>
      </c>
      <c r="P684" s="87" t="s">
        <v>190</v>
      </c>
      <c r="Q684" s="229" t="s">
        <v>211</v>
      </c>
      <c r="R684" s="87" t="str">
        <f>VLOOKUP(E684,'PREMIUM TABLES'!$F$214:$G$219,2,FALSE)</f>
        <v>FORTH</v>
      </c>
      <c r="S684" s="87" t="str" cm="1">
        <f t="array" ref="S684">IF(AND(L684&gt;0,L684&lt;90),"A",IF(AND(L684&gt;90,L684&lt;123),"B",IF(AND(L684&gt;122,L684&lt;159),"C",IF(AND(L684&gt;159,L684&lt;185),"D",IF(AND(L684&gt;185,L684&lt;230),"E",IF(AND(L684&gt;230,L684&lt;350),"F",NONE))))))</f>
        <v>C</v>
      </c>
      <c r="T684" s="230">
        <f>VLOOKUP(O684,'PREMIUM TABLES'!$G$165:$H$172,2,FALSE)</f>
        <v>0.13</v>
      </c>
      <c r="U684" s="230">
        <f>VLOOKUP(P684,'PREMIUM TABLES'!$G$208:$H$209,2,FALSE)</f>
        <v>2.5000000000000001E-2</v>
      </c>
      <c r="V684" s="230">
        <f>VLOOKUP(Q684,'PREMIUM TABLES'!$G$175:$H$195,2,FALSE)</f>
        <v>0.43</v>
      </c>
      <c r="W684" s="230">
        <f>VLOOKUP(R684,'PREMIUM TABLES'!$G$214:$H$219,2,FALSE)</f>
        <v>0.06</v>
      </c>
      <c r="X684" s="230">
        <f>VLOOKUP(S684,'PREMIUM TABLES'!$F$199:$H$205,3,FALSE)</f>
        <v>3.5000000000000003E-2</v>
      </c>
      <c r="Y684" s="231">
        <f t="shared" si="104"/>
        <v>0.68</v>
      </c>
      <c r="Z684" s="231" t="str" cm="1">
        <f t="array" ref="Z684">IF(AND(Y684&gt;0,Y684&lt;0.5),"C",IF(AND(Y684&gt;=0.5,Y684&lt;0.73),"B",IF(AND(Y684&gt;=0.73,Y684&lt;0.98),"A",NONE)))</f>
        <v>B</v>
      </c>
      <c r="AA684" s="231" t="str">
        <f>VLOOKUP(G684,'ALL (R)'!$N$5:$R$862,5,FALSE)</f>
        <v>R 7</v>
      </c>
      <c r="AB684" s="232">
        <f>VLOOKUP(AA684,FACTS!$B$2:$L$14,10,FALSE)</f>
        <v>50150</v>
      </c>
      <c r="AC684" s="232">
        <f>VLOOKUP(AA684,FACTS!$B$2:$L$14,11,FALSE)</f>
        <v>56050</v>
      </c>
      <c r="AD684" s="232">
        <f>VLOOKUP(AA684,FACTS!$B$2:$N$14,13,FALSE)</f>
        <v>5900</v>
      </c>
      <c r="AE684" s="232">
        <f t="shared" si="105"/>
        <v>4012.0000000000005</v>
      </c>
      <c r="AF684" s="232">
        <f t="shared" si="106"/>
        <v>54162</v>
      </c>
      <c r="AG684" s="232">
        <f>AF684*FACTS!$T$2</f>
        <v>17873.46</v>
      </c>
      <c r="AH684" s="232">
        <f>Table1[[#This Row],[UNIT (BUILDING) RATE (SEMI FINISHED)]]+4500</f>
        <v>58662</v>
      </c>
      <c r="AI684" s="232">
        <f>Table1[[#This Row],[UNIT (BUILDING) RATE (SEMI FINISHED)]]+7500</f>
        <v>61662</v>
      </c>
      <c r="AJ684" s="232">
        <f t="shared" si="107"/>
        <v>8395110</v>
      </c>
      <c r="AK684" s="232">
        <f>Table1[[#This Row],[UNIT (BUILDING) RATE (BASIC FINISH)]]*Table1[[#This Row],[Unit Selling Area]]</f>
        <v>9092610</v>
      </c>
      <c r="AL684" s="232">
        <f>Table1[[#This Row],[UNIT (BUILDING) RATE (FULLY FINISH)]]*Table1[[#This Row],[Unit Selling Area]]</f>
        <v>9557610</v>
      </c>
      <c r="AM684" s="232">
        <f t="shared" si="108"/>
        <v>0</v>
      </c>
      <c r="AN684" s="232">
        <f>(AM684+AJ684)*FACTS!$S$2</f>
        <v>713584.35000000009</v>
      </c>
      <c r="AO684" s="101">
        <f>VLOOKUP(S684,FACTS!$A$17:$C$23,3,FALSE)</f>
        <v>2</v>
      </c>
      <c r="AP684" s="232">
        <f>VLOOKUP(AA684,FACTS!$B$2:$J$14,9,FALSE)</f>
        <v>236000</v>
      </c>
      <c r="AQ684" s="232">
        <f>Table1[[#This Row],[PARKING VALUE]]*1</f>
        <v>236000</v>
      </c>
      <c r="AR684" s="232">
        <f t="shared" si="103"/>
        <v>8631110</v>
      </c>
      <c r="AS684" s="440">
        <f>Table1[[#This Row],[TOTAL CARS VALUE]]+Table1[[#This Row],[UNIT (BUILDING) VALUE BASIC FINISHED]]+Table1[[#This Row],[UNIT (GARDEN) VALUE]]</f>
        <v>9328610</v>
      </c>
      <c r="AT684" s="232">
        <f>Table1[[#This Row],[TOTAL CARS VALUE]]+Table1[[#This Row],[UNIT (GARDEN) VALUE]]+Table1[[#This Row],[UNIT (BUILDING) VALUE FULLY FINISHED]]</f>
        <v>9793610</v>
      </c>
      <c r="AU684" s="233">
        <f>VLOOKUP(I684,'C PHASES'!$I$108:$J$110,2,FALSE)</f>
        <v>46569</v>
      </c>
      <c r="AV684" s="233">
        <f>VLOOKUP(AA684,'C PHASES'!$I$113:$J$125,2,FALSE)</f>
        <v>45748</v>
      </c>
    </row>
    <row r="685" spans="1:48" x14ac:dyDescent="0.25">
      <c r="A685" s="235"/>
      <c r="B685" s="227" t="str">
        <f t="shared" si="102"/>
        <v>D</v>
      </c>
      <c r="C685" s="227" t="s">
        <v>59</v>
      </c>
      <c r="D685" s="227" t="s">
        <v>1147</v>
      </c>
      <c r="E685" s="228">
        <v>4</v>
      </c>
      <c r="F685" s="101">
        <v>3</v>
      </c>
      <c r="G685" s="87" t="str">
        <f t="shared" si="110"/>
        <v>D143</v>
      </c>
      <c r="H685" s="87" t="s">
        <v>1294</v>
      </c>
      <c r="I685" s="89" t="str">
        <f>VLOOKUP(C685,'PREMIUM TABLES'!$G$107:$H$149,2,FALSE)</f>
        <v>C3</v>
      </c>
      <c r="J685" s="87">
        <v>131.38</v>
      </c>
      <c r="K685" s="87">
        <v>142.66335534033442</v>
      </c>
      <c r="L685" s="87">
        <v>160</v>
      </c>
      <c r="O685" s="87" t="s">
        <v>180</v>
      </c>
      <c r="P685" s="87" t="s">
        <v>226</v>
      </c>
      <c r="Q685" s="229" t="s">
        <v>211</v>
      </c>
      <c r="R685" s="87" t="str">
        <f>VLOOKUP(E685,'PREMIUM TABLES'!$F$214:$G$219,2,FALSE)</f>
        <v>FORTH</v>
      </c>
      <c r="S685" s="87" t="str" cm="1">
        <f t="array" ref="S685">IF(AND(L685&gt;0,L685&lt;90),"A",IF(AND(L685&gt;90,L685&lt;123),"B",IF(AND(L685&gt;122,L685&lt;159),"C",IF(AND(L685&gt;159,L685&lt;185),"D",IF(AND(L685&gt;185,L685&lt;230),"E",IF(AND(L685&gt;230,L685&lt;350),"F",NONE))))))</f>
        <v>D</v>
      </c>
      <c r="T685" s="230">
        <f>VLOOKUP(O685,'PREMIUM TABLES'!$G$165:$H$172,2,FALSE)</f>
        <v>0.13</v>
      </c>
      <c r="U685" s="230">
        <f>VLOOKUP(P685,'PREMIUM TABLES'!$G$208:$H$209,2,FALSE)</f>
        <v>0.05</v>
      </c>
      <c r="V685" s="230">
        <f>VLOOKUP(Q685,'PREMIUM TABLES'!$G$175:$H$195,2,FALSE)</f>
        <v>0.43</v>
      </c>
      <c r="W685" s="230">
        <f>VLOOKUP(R685,'PREMIUM TABLES'!$G$214:$H$219,2,FALSE)</f>
        <v>0.06</v>
      </c>
      <c r="X685" s="230">
        <f>VLOOKUP(S685,'PREMIUM TABLES'!$F$199:$H$205,3,FALSE)</f>
        <v>2.5000000000000001E-2</v>
      </c>
      <c r="Y685" s="231">
        <f t="shared" si="104"/>
        <v>0.69499999999999995</v>
      </c>
      <c r="Z685" s="231" t="str" cm="1">
        <f t="array" ref="Z685">IF(AND(Y685&gt;0,Y685&lt;0.5),"C",IF(AND(Y685&gt;=0.5,Y685&lt;0.73),"B",IF(AND(Y685&gt;=0.73,Y685&lt;0.98),"A",NONE)))</f>
        <v>B</v>
      </c>
      <c r="AA685" s="231" t="str">
        <f>VLOOKUP(G685,'ALL (R)'!$N$5:$R$862,5,FALSE)</f>
        <v>R 8</v>
      </c>
      <c r="AB685" s="232">
        <f>VLOOKUP(AA685,FACTS!$B$2:$L$14,10,FALSE)</f>
        <v>51850</v>
      </c>
      <c r="AC685" s="232">
        <f>VLOOKUP(AA685,FACTS!$B$2:$L$14,11,FALSE)</f>
        <v>57950</v>
      </c>
      <c r="AD685" s="232">
        <f>VLOOKUP(AA685,FACTS!$B$2:$N$14,13,FALSE)</f>
        <v>6100</v>
      </c>
      <c r="AE685" s="232">
        <f t="shared" si="105"/>
        <v>4239.5</v>
      </c>
      <c r="AF685" s="232">
        <f t="shared" si="106"/>
        <v>56089.5</v>
      </c>
      <c r="AG685" s="232">
        <f>AF685*FACTS!$T$2</f>
        <v>18509.535</v>
      </c>
      <c r="AH685" s="232">
        <f>Table1[[#This Row],[UNIT (BUILDING) RATE (SEMI FINISHED)]]+4500</f>
        <v>60589.5</v>
      </c>
      <c r="AI685" s="232">
        <f>Table1[[#This Row],[UNIT (BUILDING) RATE (SEMI FINISHED)]]+7500</f>
        <v>63589.5</v>
      </c>
      <c r="AJ685" s="232">
        <f t="shared" si="107"/>
        <v>8974320</v>
      </c>
      <c r="AK685" s="232">
        <f>Table1[[#This Row],[UNIT (BUILDING) RATE (BASIC FINISH)]]*Table1[[#This Row],[Unit Selling Area]]</f>
        <v>9694320</v>
      </c>
      <c r="AL685" s="232">
        <f>Table1[[#This Row],[UNIT (BUILDING) RATE (FULLY FINISH)]]*Table1[[#This Row],[Unit Selling Area]]</f>
        <v>10174320</v>
      </c>
      <c r="AM685" s="232">
        <f t="shared" si="108"/>
        <v>0</v>
      </c>
      <c r="AN685" s="232">
        <f>(AM685+AJ685)*FACTS!$S$2</f>
        <v>762817.20000000007</v>
      </c>
      <c r="AO685" s="101">
        <f>VLOOKUP(S685,FACTS!$A$17:$C$23,3,FALSE)</f>
        <v>2</v>
      </c>
      <c r="AP685" s="232">
        <f>VLOOKUP(AA685,FACTS!$B$2:$J$14,9,FALSE)</f>
        <v>244000</v>
      </c>
      <c r="AQ685" s="232">
        <f>Table1[[#This Row],[PARKING VALUE]]*1</f>
        <v>244000</v>
      </c>
      <c r="AR685" s="232">
        <f t="shared" si="103"/>
        <v>9218320</v>
      </c>
      <c r="AS685" s="440">
        <f>Table1[[#This Row],[TOTAL CARS VALUE]]+Table1[[#This Row],[UNIT (BUILDING) VALUE BASIC FINISHED]]+Table1[[#This Row],[UNIT (GARDEN) VALUE]]</f>
        <v>9938320</v>
      </c>
      <c r="AT685" s="232">
        <f>Table1[[#This Row],[TOTAL CARS VALUE]]+Table1[[#This Row],[UNIT (GARDEN) VALUE]]+Table1[[#This Row],[UNIT (BUILDING) VALUE FULLY FINISHED]]</f>
        <v>10418320</v>
      </c>
      <c r="AU685" s="233">
        <f>VLOOKUP(I685,'C PHASES'!$I$108:$J$110,2,FALSE)</f>
        <v>46569</v>
      </c>
      <c r="AV685" s="233">
        <f>VLOOKUP(AA685,'C PHASES'!$I$113:$J$125,2,FALSE)</f>
        <v>45839</v>
      </c>
    </row>
    <row r="686" spans="1:48" x14ac:dyDescent="0.25">
      <c r="A686" s="235"/>
      <c r="B686" s="227" t="str">
        <f t="shared" si="102"/>
        <v>D</v>
      </c>
      <c r="C686" s="227" t="s">
        <v>59</v>
      </c>
      <c r="D686" s="227" t="s">
        <v>1147</v>
      </c>
      <c r="E686" s="228">
        <v>4</v>
      </c>
      <c r="F686" s="101">
        <v>4</v>
      </c>
      <c r="G686" s="87" t="str">
        <f t="shared" si="110"/>
        <v>D144</v>
      </c>
      <c r="H686" s="87" t="s">
        <v>1294</v>
      </c>
      <c r="I686" s="89" t="str">
        <f>VLOOKUP(C686,'PREMIUM TABLES'!$G$107:$H$149,2,FALSE)</f>
        <v>C3</v>
      </c>
      <c r="J686" s="87">
        <v>129.58000000000001</v>
      </c>
      <c r="K686" s="87">
        <v>140.70876529913639</v>
      </c>
      <c r="L686" s="87">
        <v>158</v>
      </c>
      <c r="O686" s="87" t="s">
        <v>187</v>
      </c>
      <c r="P686" s="87" t="s">
        <v>226</v>
      </c>
      <c r="Q686" s="229" t="s">
        <v>197</v>
      </c>
      <c r="R686" s="87" t="str">
        <f>VLOOKUP(E686,'PREMIUM TABLES'!$F$214:$G$219,2,FALSE)</f>
        <v>FORTH</v>
      </c>
      <c r="S686" s="87" t="str" cm="1">
        <f t="array" ref="S686">IF(AND(L686&gt;0,L686&lt;90),"A",IF(AND(L686&gt;90,L686&lt;123),"B",IF(AND(L686&gt;122,L686&lt;159),"C",IF(AND(L686&gt;159,L686&lt;185),"D",IF(AND(L686&gt;185,L686&lt;230),"E",IF(AND(L686&gt;230,L686&lt;350),"F",NONE))))))</f>
        <v>C</v>
      </c>
      <c r="T686" s="230">
        <f>VLOOKUP(O686,'PREMIUM TABLES'!$G$165:$H$172,2,FALSE)</f>
        <v>0.08</v>
      </c>
      <c r="U686" s="230">
        <f>VLOOKUP(P686,'PREMIUM TABLES'!$G$208:$H$209,2,FALSE)</f>
        <v>0.05</v>
      </c>
      <c r="V686" s="230">
        <f>VLOOKUP(Q686,'PREMIUM TABLES'!$G$175:$H$195,2,FALSE)</f>
        <v>0.16</v>
      </c>
      <c r="W686" s="230">
        <f>VLOOKUP(R686,'PREMIUM TABLES'!$G$214:$H$219,2,FALSE)</f>
        <v>0.06</v>
      </c>
      <c r="X686" s="230">
        <f>VLOOKUP(S686,'PREMIUM TABLES'!$F$199:$H$205,3,FALSE)</f>
        <v>3.5000000000000003E-2</v>
      </c>
      <c r="Y686" s="231">
        <f t="shared" si="104"/>
        <v>0.38500000000000001</v>
      </c>
      <c r="Z686" s="231" t="str" cm="1">
        <f t="array" ref="Z686">IF(AND(Y686&gt;0,Y686&lt;0.5),"C",IF(AND(Y686&gt;=0.5,Y686&lt;0.73),"B",IF(AND(Y686&gt;=0.73,Y686&lt;0.98),"A",NONE)))</f>
        <v>C</v>
      </c>
      <c r="AA686" s="231" t="str">
        <f>VLOOKUP(G686,'ALL (R)'!$N$5:$R$862,5,FALSE)</f>
        <v>R 4</v>
      </c>
      <c r="AB686" s="232">
        <f>VLOOKUP(AA686,FACTS!$B$2:$L$14,10,FALSE)</f>
        <v>45687.5</v>
      </c>
      <c r="AC686" s="232">
        <f>VLOOKUP(AA686,FACTS!$B$2:$L$14,11,FALSE)</f>
        <v>51062.5</v>
      </c>
      <c r="AD686" s="232">
        <f>VLOOKUP(AA686,FACTS!$B$2:$N$14,13,FALSE)</f>
        <v>5375</v>
      </c>
      <c r="AE686" s="232">
        <f t="shared" si="105"/>
        <v>2069.375</v>
      </c>
      <c r="AF686" s="232">
        <f t="shared" si="106"/>
        <v>47756.875</v>
      </c>
      <c r="AG686" s="232">
        <f>AF686*FACTS!$T$2</f>
        <v>15759.768750000001</v>
      </c>
      <c r="AH686" s="232">
        <f>Table1[[#This Row],[UNIT (BUILDING) RATE (SEMI FINISHED)]]+4500</f>
        <v>52256.875</v>
      </c>
      <c r="AI686" s="232">
        <f>Table1[[#This Row],[UNIT (BUILDING) RATE (SEMI FINISHED)]]+7500</f>
        <v>55256.875</v>
      </c>
      <c r="AJ686" s="232">
        <f t="shared" si="107"/>
        <v>7545586.25</v>
      </c>
      <c r="AK686" s="232">
        <f>Table1[[#This Row],[UNIT (BUILDING) RATE (BASIC FINISH)]]*Table1[[#This Row],[Unit Selling Area]]</f>
        <v>8256586.25</v>
      </c>
      <c r="AL686" s="232">
        <f>Table1[[#This Row],[UNIT (BUILDING) RATE (FULLY FINISH)]]*Table1[[#This Row],[Unit Selling Area]]</f>
        <v>8730586.25</v>
      </c>
      <c r="AM686" s="232">
        <f t="shared" si="108"/>
        <v>0</v>
      </c>
      <c r="AN686" s="232">
        <f>(AM686+AJ686)*FACTS!$S$2</f>
        <v>641374.83125000005</v>
      </c>
      <c r="AO686" s="101">
        <f>VLOOKUP(S686,FACTS!$A$17:$C$23,3,FALSE)</f>
        <v>2</v>
      </c>
      <c r="AP686" s="232">
        <f>VLOOKUP(AA686,FACTS!$B$2:$J$14,9,FALSE)</f>
        <v>215000</v>
      </c>
      <c r="AQ686" s="232">
        <f>Table1[[#This Row],[PARKING VALUE]]*1</f>
        <v>215000</v>
      </c>
      <c r="AR686" s="232">
        <f t="shared" si="103"/>
        <v>7760586.25</v>
      </c>
      <c r="AS686" s="440">
        <f>Table1[[#This Row],[TOTAL CARS VALUE]]+Table1[[#This Row],[UNIT (BUILDING) VALUE BASIC FINISHED]]+Table1[[#This Row],[UNIT (GARDEN) VALUE]]</f>
        <v>8471586.25</v>
      </c>
      <c r="AT686" s="232">
        <f>Table1[[#This Row],[TOTAL CARS VALUE]]+Table1[[#This Row],[UNIT (GARDEN) VALUE]]+Table1[[#This Row],[UNIT (BUILDING) VALUE FULLY FINISHED]]</f>
        <v>8945586.25</v>
      </c>
      <c r="AU686" s="233">
        <f>VLOOKUP(I686,'C PHASES'!$I$108:$J$110,2,FALSE)</f>
        <v>46569</v>
      </c>
      <c r="AV686" s="233">
        <f>VLOOKUP(AA686,'C PHASES'!$I$113:$J$125,2,FALSE)</f>
        <v>45474</v>
      </c>
    </row>
    <row r="687" spans="1:48" ht="21.75" x14ac:dyDescent="0.25">
      <c r="A687" s="235" t="s">
        <v>38</v>
      </c>
      <c r="B687" s="227" t="str">
        <f t="shared" si="102"/>
        <v>D</v>
      </c>
      <c r="C687" s="227" t="s">
        <v>58</v>
      </c>
      <c r="D687" s="227" t="s">
        <v>1147</v>
      </c>
      <c r="E687" s="228">
        <v>0</v>
      </c>
      <c r="F687" s="101">
        <v>1</v>
      </c>
      <c r="G687" s="87" t="str">
        <f>LEFT(C687,2)&amp;E687&amp;F687</f>
        <v>D201</v>
      </c>
      <c r="H687" s="87" t="s">
        <v>1294</v>
      </c>
      <c r="I687" s="89" t="str">
        <f>VLOOKUP(C687,'PREMIUM TABLES'!$G$107:$H$149,2,FALSE)</f>
        <v>C3</v>
      </c>
      <c r="J687" s="87">
        <v>131.32</v>
      </c>
      <c r="K687" s="87">
        <v>142.66718842094684</v>
      </c>
      <c r="L687" s="87">
        <v>160</v>
      </c>
      <c r="M687" s="87">
        <v>81.665000000000006</v>
      </c>
      <c r="O687" s="87" t="s">
        <v>187</v>
      </c>
      <c r="P687" s="87" t="s">
        <v>190</v>
      </c>
      <c r="Q687" s="229" t="s">
        <v>197</v>
      </c>
      <c r="R687" s="87" t="str">
        <f>VLOOKUP(E687,'PREMIUM TABLES'!$F$214:$G$219,2,FALSE)</f>
        <v>GROUND</v>
      </c>
      <c r="S687" s="87" t="str" cm="1">
        <f t="array" ref="S687">IF(AND(L687&gt;0,L687&lt;90),"A",IF(AND(L687&gt;90,L687&lt;123),"B",IF(AND(L687&gt;122,L687&lt;159),"C",IF(AND(L687&gt;159,L687&lt;185),"D",IF(AND(L687&gt;185,L687&lt;230),"E",IF(AND(L687&gt;230,L687&lt;350),"F",NONE))))))</f>
        <v>D</v>
      </c>
      <c r="T687" s="230">
        <f>VLOOKUP(O687,'PREMIUM TABLES'!$G$165:$H$172,2,FALSE)</f>
        <v>0.08</v>
      </c>
      <c r="U687" s="230">
        <f>VLOOKUP(P687,'PREMIUM TABLES'!$G$208:$H$209,2,FALSE)</f>
        <v>2.5000000000000001E-2</v>
      </c>
      <c r="V687" s="230">
        <f>VLOOKUP(Q687,'PREMIUM TABLES'!$G$175:$H$195,2,FALSE)</f>
        <v>0.16</v>
      </c>
      <c r="W687" s="230">
        <f>VLOOKUP(R687,'PREMIUM TABLES'!$G$214:$H$219,2,FALSE)</f>
        <v>0.05</v>
      </c>
      <c r="X687" s="230">
        <f>VLOOKUP(S687,'PREMIUM TABLES'!$F$199:$H$205,3,FALSE)</f>
        <v>2.5000000000000001E-2</v>
      </c>
      <c r="Y687" s="231">
        <f t="shared" si="104"/>
        <v>0.34</v>
      </c>
      <c r="Z687" s="231" t="str" cm="1">
        <f t="array" ref="Z687">IF(AND(Y687&gt;0,Y687&lt;0.5),"C",IF(AND(Y687&gt;=0.5,Y687&lt;0.73),"B",IF(AND(Y687&gt;=0.73,Y687&lt;0.98),"A",NONE)))</f>
        <v>C</v>
      </c>
      <c r="AA687" s="231" t="str">
        <f>VLOOKUP(G687,'ALL (R)'!$N$5:$R$862,5,FALSE)</f>
        <v>R 1</v>
      </c>
      <c r="AB687" s="232">
        <f>VLOOKUP(AA687,FACTS!$B$2:$L$14,10,FALSE)</f>
        <v>42500</v>
      </c>
      <c r="AC687" s="232">
        <f>VLOOKUP(AA687,FACTS!$B$2:$L$14,11,FALSE)</f>
        <v>47500</v>
      </c>
      <c r="AD687" s="232">
        <f>VLOOKUP(AA687,FACTS!$B$2:$N$14,13,FALSE)</f>
        <v>5000</v>
      </c>
      <c r="AE687" s="232">
        <f t="shared" si="105"/>
        <v>1700.0000000000002</v>
      </c>
      <c r="AF687" s="232">
        <f t="shared" si="106"/>
        <v>44200</v>
      </c>
      <c r="AG687" s="232">
        <f>AF687*FACTS!$T$2</f>
        <v>14586</v>
      </c>
      <c r="AH687" s="232">
        <f>Table1[[#This Row],[UNIT (BUILDING) RATE (SEMI FINISHED)]]+4500</f>
        <v>48700</v>
      </c>
      <c r="AI687" s="232">
        <f>Table1[[#This Row],[UNIT (BUILDING) RATE (SEMI FINISHED)]]+7500</f>
        <v>51700</v>
      </c>
      <c r="AJ687" s="232">
        <f t="shared" si="107"/>
        <v>7072000</v>
      </c>
      <c r="AK687" s="232">
        <f>Table1[[#This Row],[UNIT (BUILDING) RATE (BASIC FINISH)]]*Table1[[#This Row],[Unit Selling Area]]</f>
        <v>7792000</v>
      </c>
      <c r="AL687" s="232">
        <f>Table1[[#This Row],[UNIT (BUILDING) RATE (FULLY FINISH)]]*Table1[[#This Row],[Unit Selling Area]]</f>
        <v>8272000</v>
      </c>
      <c r="AM687" s="232">
        <f t="shared" si="108"/>
        <v>1191165.6900000002</v>
      </c>
      <c r="AN687" s="232">
        <f>(AM687+AJ687)*FACTS!$S$2</f>
        <v>702369.08365000004</v>
      </c>
      <c r="AO687" s="101">
        <f>VLOOKUP(S687,FACTS!$A$17:$C$23,3,FALSE)</f>
        <v>2</v>
      </c>
      <c r="AP687" s="232">
        <f>VLOOKUP(AA687,FACTS!$B$2:$J$14,9,FALSE)</f>
        <v>200000</v>
      </c>
      <c r="AQ687" s="232">
        <f>Table1[[#This Row],[PARKING VALUE]]*1</f>
        <v>200000</v>
      </c>
      <c r="AR687" s="232">
        <f t="shared" si="103"/>
        <v>8463165.6899999995</v>
      </c>
      <c r="AS687" s="440">
        <f>Table1[[#This Row],[TOTAL CARS VALUE]]+Table1[[#This Row],[UNIT (BUILDING) VALUE BASIC FINISHED]]+Table1[[#This Row],[UNIT (GARDEN) VALUE]]</f>
        <v>9183165.6899999995</v>
      </c>
      <c r="AT687" s="232">
        <f>Table1[[#This Row],[TOTAL CARS VALUE]]+Table1[[#This Row],[UNIT (GARDEN) VALUE]]+Table1[[#This Row],[UNIT (BUILDING) VALUE FULLY FINISHED]]</f>
        <v>9663165.6899999995</v>
      </c>
      <c r="AU687" s="233">
        <f>VLOOKUP(I687,'C PHASES'!$I$108:$J$110,2,FALSE)</f>
        <v>46569</v>
      </c>
      <c r="AV687" s="233">
        <f>VLOOKUP(AA687,'C PHASES'!$I$113:$J$125,2,FALSE)</f>
        <v>45170</v>
      </c>
    </row>
    <row r="688" spans="1:48" s="202" customFormat="1" x14ac:dyDescent="0.25">
      <c r="A688" s="235"/>
      <c r="B688" s="227" t="s">
        <v>206</v>
      </c>
      <c r="C688" s="227" t="s">
        <v>58</v>
      </c>
      <c r="D688" s="227" t="s">
        <v>1147</v>
      </c>
      <c r="E688" s="228">
        <v>0</v>
      </c>
      <c r="F688" s="101">
        <v>2</v>
      </c>
      <c r="G688" s="87" t="s">
        <v>1063</v>
      </c>
      <c r="H688" s="87" t="s">
        <v>1297</v>
      </c>
      <c r="I688" s="89" t="s">
        <v>38</v>
      </c>
      <c r="J688" s="87">
        <f>'DATA FOR DUPLEX'!H33</f>
        <v>128.28</v>
      </c>
      <c r="K688" s="87">
        <f>'DATA FOR DUPLEX'!I33</f>
        <v>139.36450602070562</v>
      </c>
      <c r="L688" s="87">
        <v>309</v>
      </c>
      <c r="M688" s="87">
        <f>'DATA FOR DUPLEX'!K33</f>
        <v>86.075999999999993</v>
      </c>
      <c r="N688" s="87"/>
      <c r="O688" s="87" t="s">
        <v>180</v>
      </c>
      <c r="P688" s="87" t="s">
        <v>190</v>
      </c>
      <c r="Q688" s="229" t="s">
        <v>211</v>
      </c>
      <c r="R688" s="87" t="str">
        <f>VLOOKUP(E688,'PREMIUM TABLES'!$F$214:$G$219,2,FALSE)</f>
        <v>GROUND</v>
      </c>
      <c r="S688" s="87" t="str" cm="1">
        <f t="array" ref="S688">IF(AND(L688&gt;0,L688&lt;90),"A",IF(AND(L688&gt;90,L688&lt;123),"B",IF(AND(L688&gt;122,L688&lt;159),"C",IF(AND(L688&gt;159,L688&lt;185),"D",IF(AND(L688&gt;185,L688&lt;230),"E",IF(AND(L688&gt;230,L688&lt;350),"F",NONE))))))</f>
        <v>F</v>
      </c>
      <c r="T688" s="230">
        <f>VLOOKUP(O688,'PREMIUM TABLES'!$G$165:$H$172,2,FALSE)</f>
        <v>0.13</v>
      </c>
      <c r="U688" s="230">
        <f>VLOOKUP(P688,'PREMIUM TABLES'!$G$208:$H$209,2,FALSE)</f>
        <v>2.5000000000000001E-2</v>
      </c>
      <c r="V688" s="230">
        <f>VLOOKUP(Q688,'PREMIUM TABLES'!$G$175:$H$195,2,FALSE)</f>
        <v>0.43</v>
      </c>
      <c r="W688" s="230">
        <f>VLOOKUP(R688,'PREMIUM TABLES'!$G$214:$H$219,2,FALSE)</f>
        <v>0.05</v>
      </c>
      <c r="X688" s="230">
        <f>VLOOKUP(S688,'PREMIUM TABLES'!$F$199:$H$205,3,FALSE)</f>
        <v>0</v>
      </c>
      <c r="Y688" s="231">
        <f t="shared" si="104"/>
        <v>0.63500000000000001</v>
      </c>
      <c r="Z688" s="231" t="str" cm="1">
        <f t="array" ref="Z688">IF(AND(Y688&gt;0,Y688&lt;0.5),"C",IF(AND(Y688&gt;=0.5,Y688&lt;0.73),"B",IF(AND(Y688&gt;=0.73,Y688&lt;0.98),"A",NONE)))</f>
        <v>B</v>
      </c>
      <c r="AA688" s="231" t="str">
        <f>VLOOKUP(G688,'ALL (R)'!$N$5:$R$862,5,FALSE)</f>
        <v>R 4</v>
      </c>
      <c r="AB688" s="232">
        <f>VLOOKUP(AA688,FACTS!$B$2:$L$14,10,FALSE)</f>
        <v>45687.5</v>
      </c>
      <c r="AC688" s="232">
        <f>VLOOKUP(AA688,FACTS!$B$2:$L$14,11,FALSE)</f>
        <v>51062.5</v>
      </c>
      <c r="AD688" s="232">
        <f>VLOOKUP(AA688,FACTS!$B$2:$N$14,13,FALSE)</f>
        <v>5375</v>
      </c>
      <c r="AE688" s="232">
        <f t="shared" si="105"/>
        <v>3413.125</v>
      </c>
      <c r="AF688" s="232">
        <f t="shared" si="106"/>
        <v>49100.625</v>
      </c>
      <c r="AG688" s="232">
        <f>AF688*FACTS!$T$2</f>
        <v>16203.206250000001</v>
      </c>
      <c r="AH688" s="232">
        <f>Table1[[#This Row],[UNIT (BUILDING) RATE (SEMI FINISHED)]]+4500</f>
        <v>53600.625</v>
      </c>
      <c r="AI688" s="232">
        <f>Table1[[#This Row],[UNIT (BUILDING) RATE (SEMI FINISHED)]]+7500</f>
        <v>56600.625</v>
      </c>
      <c r="AJ688" s="232">
        <f t="shared" si="107"/>
        <v>15172093.125</v>
      </c>
      <c r="AK688" s="232">
        <f>Table1[[#This Row],[UNIT (BUILDING) RATE (BASIC FINISH)]]*Table1[[#This Row],[Unit Selling Area]]</f>
        <v>16562593.125</v>
      </c>
      <c r="AL688" s="232">
        <f>Table1[[#This Row],[UNIT (BUILDING) RATE (FULLY FINISH)]]*Table1[[#This Row],[Unit Selling Area]]</f>
        <v>17489593.125</v>
      </c>
      <c r="AM688" s="232">
        <f t="shared" si="108"/>
        <v>1394707.181175</v>
      </c>
      <c r="AN688" s="232">
        <f>(AM688+AJ688)*FACTS!$S$2</f>
        <v>1408178.0260248752</v>
      </c>
      <c r="AO688" s="101">
        <f>VLOOKUP(S688,FACTS!$A$17:$C$23,3,FALSE)</f>
        <v>2</v>
      </c>
      <c r="AP688" s="232">
        <f>VLOOKUP(AA688,FACTS!$B$2:$J$14,9,FALSE)</f>
        <v>215000</v>
      </c>
      <c r="AQ688" s="232">
        <f>Table1[[#This Row],[PARKING VALUE]]*1</f>
        <v>215000</v>
      </c>
      <c r="AR688" s="232">
        <f t="shared" si="103"/>
        <v>16781800.306175001</v>
      </c>
      <c r="AS688" s="440">
        <f>Table1[[#This Row],[TOTAL CARS VALUE]]+Table1[[#This Row],[UNIT (BUILDING) VALUE BASIC FINISHED]]+Table1[[#This Row],[UNIT (GARDEN) VALUE]]</f>
        <v>18172300.306175001</v>
      </c>
      <c r="AT688" s="232">
        <f>Table1[[#This Row],[TOTAL CARS VALUE]]+Table1[[#This Row],[UNIT (GARDEN) VALUE]]+Table1[[#This Row],[UNIT (BUILDING) VALUE FULLY FINISHED]]</f>
        <v>19099300.306175001</v>
      </c>
      <c r="AU688" s="233">
        <f>VLOOKUP(I688,'C PHASES'!$I$108:$J$110,2,FALSE)</f>
        <v>46569</v>
      </c>
      <c r="AV688" s="233">
        <f>VLOOKUP(AA688,'C PHASES'!$I$113:$J$125,2,FALSE)</f>
        <v>45474</v>
      </c>
    </row>
    <row r="689" spans="1:48" s="202" customFormat="1" x14ac:dyDescent="0.25">
      <c r="A689" s="235"/>
      <c r="B689" s="227" t="s">
        <v>206</v>
      </c>
      <c r="C689" s="227" t="s">
        <v>58</v>
      </c>
      <c r="D689" s="227" t="s">
        <v>1147</v>
      </c>
      <c r="E689" s="228">
        <v>0</v>
      </c>
      <c r="F689" s="101">
        <v>3</v>
      </c>
      <c r="G689" s="87" t="s">
        <v>1064</v>
      </c>
      <c r="H689" s="87" t="s">
        <v>1297</v>
      </c>
      <c r="I689" s="89" t="s">
        <v>38</v>
      </c>
      <c r="J689" s="87">
        <f>'DATA FOR DUPLEX'!H35</f>
        <v>125.03</v>
      </c>
      <c r="K689" s="87">
        <f>'DATA FOR DUPLEX'!I35</f>
        <v>135.83367779676351</v>
      </c>
      <c r="L689" s="87">
        <v>301</v>
      </c>
      <c r="M689" s="87">
        <f>'DATA FOR DUPLEX'!K35</f>
        <v>85.509600000000006</v>
      </c>
      <c r="N689" s="87"/>
      <c r="O689" s="87" t="s">
        <v>180</v>
      </c>
      <c r="P689" s="87" t="s">
        <v>190</v>
      </c>
      <c r="Q689" s="229" t="s">
        <v>211</v>
      </c>
      <c r="R689" s="87" t="str">
        <f>VLOOKUP(E689,'PREMIUM TABLES'!$F$214:$G$219,2,FALSE)</f>
        <v>GROUND</v>
      </c>
      <c r="S689" s="87" t="str" cm="1">
        <f t="array" ref="S689">IF(AND(L689&gt;0,L689&lt;90),"A",IF(AND(L689&gt;90,L689&lt;123),"B",IF(AND(L689&gt;122,L689&lt;159),"C",IF(AND(L689&gt;159,L689&lt;185),"D",IF(AND(L689&gt;185,L689&lt;230),"E",IF(AND(L689&gt;230,L689&lt;350),"F",NONE))))))</f>
        <v>F</v>
      </c>
      <c r="T689" s="230">
        <f>VLOOKUP(O689,'PREMIUM TABLES'!$G$165:$H$172,2,FALSE)</f>
        <v>0.13</v>
      </c>
      <c r="U689" s="230">
        <f>VLOOKUP(P689,'PREMIUM TABLES'!$G$208:$H$209,2,FALSE)</f>
        <v>2.5000000000000001E-2</v>
      </c>
      <c r="V689" s="230">
        <f>VLOOKUP(Q689,'PREMIUM TABLES'!$G$175:$H$195,2,FALSE)</f>
        <v>0.43</v>
      </c>
      <c r="W689" s="230">
        <f>VLOOKUP(R689,'PREMIUM TABLES'!$G$214:$H$219,2,FALSE)</f>
        <v>0.05</v>
      </c>
      <c r="X689" s="230">
        <f>VLOOKUP(S689,'PREMIUM TABLES'!$F$199:$H$205,3,FALSE)</f>
        <v>0</v>
      </c>
      <c r="Y689" s="231">
        <f t="shared" si="104"/>
        <v>0.63500000000000001</v>
      </c>
      <c r="Z689" s="231" t="str" cm="1">
        <f t="array" ref="Z689">IF(AND(Y689&gt;0,Y689&lt;0.5),"C",IF(AND(Y689&gt;=0.5,Y689&lt;0.73),"B",IF(AND(Y689&gt;=0.73,Y689&lt;0.98),"A",NONE)))</f>
        <v>B</v>
      </c>
      <c r="AA689" s="231" t="str">
        <f>VLOOKUP(G689,'ALL (R)'!$N$5:$R$862,5,FALSE)</f>
        <v>R 4</v>
      </c>
      <c r="AB689" s="232">
        <f>VLOOKUP(AA689,FACTS!$B$2:$L$14,10,FALSE)</f>
        <v>45687.5</v>
      </c>
      <c r="AC689" s="232">
        <f>VLOOKUP(AA689,FACTS!$B$2:$L$14,11,FALSE)</f>
        <v>51062.5</v>
      </c>
      <c r="AD689" s="232">
        <f>VLOOKUP(AA689,FACTS!$B$2:$N$14,13,FALSE)</f>
        <v>5375</v>
      </c>
      <c r="AE689" s="232">
        <f t="shared" si="105"/>
        <v>3413.125</v>
      </c>
      <c r="AF689" s="232">
        <f t="shared" si="106"/>
        <v>49100.625</v>
      </c>
      <c r="AG689" s="232">
        <f>AF689*FACTS!$T$2</f>
        <v>16203.206250000001</v>
      </c>
      <c r="AH689" s="232">
        <f>Table1[[#This Row],[UNIT (BUILDING) RATE (SEMI FINISHED)]]+4500</f>
        <v>53600.625</v>
      </c>
      <c r="AI689" s="232">
        <f>Table1[[#This Row],[UNIT (BUILDING) RATE (SEMI FINISHED)]]+7500</f>
        <v>56600.625</v>
      </c>
      <c r="AJ689" s="232">
        <f t="shared" si="107"/>
        <v>14779288.125</v>
      </c>
      <c r="AK689" s="232">
        <f>Table1[[#This Row],[UNIT (BUILDING) RATE (BASIC FINISH)]]*Table1[[#This Row],[Unit Selling Area]]</f>
        <v>16133788.125</v>
      </c>
      <c r="AL689" s="232">
        <f>Table1[[#This Row],[UNIT (BUILDING) RATE (FULLY FINISH)]]*Table1[[#This Row],[Unit Selling Area]]</f>
        <v>17036788.125</v>
      </c>
      <c r="AM689" s="232">
        <f t="shared" si="108"/>
        <v>1385529.6851550003</v>
      </c>
      <c r="AN689" s="232">
        <f>(AM689+AJ689)*FACTS!$S$2</f>
        <v>1374009.5138631752</v>
      </c>
      <c r="AO689" s="101">
        <f>VLOOKUP(S689,FACTS!$A$17:$C$23,3,FALSE)</f>
        <v>2</v>
      </c>
      <c r="AP689" s="232">
        <f>VLOOKUP(AA689,FACTS!$B$2:$J$14,9,FALSE)</f>
        <v>215000</v>
      </c>
      <c r="AQ689" s="232">
        <f>Table1[[#This Row],[PARKING VALUE]]*1</f>
        <v>215000</v>
      </c>
      <c r="AR689" s="232">
        <f t="shared" si="103"/>
        <v>16379817.810155001</v>
      </c>
      <c r="AS689" s="440">
        <f>Table1[[#This Row],[TOTAL CARS VALUE]]+Table1[[#This Row],[UNIT (BUILDING) VALUE BASIC FINISHED]]+Table1[[#This Row],[UNIT (GARDEN) VALUE]]</f>
        <v>17734317.810155001</v>
      </c>
      <c r="AT689" s="232">
        <f>Table1[[#This Row],[TOTAL CARS VALUE]]+Table1[[#This Row],[UNIT (GARDEN) VALUE]]+Table1[[#This Row],[UNIT (BUILDING) VALUE FULLY FINISHED]]</f>
        <v>18637317.810155001</v>
      </c>
      <c r="AU689" s="233">
        <f>VLOOKUP(I689,'C PHASES'!$I$108:$J$110,2,FALSE)</f>
        <v>46569</v>
      </c>
      <c r="AV689" s="233">
        <f>VLOOKUP(AA689,'C PHASES'!$I$113:$J$125,2,FALSE)</f>
        <v>45474</v>
      </c>
    </row>
    <row r="690" spans="1:48" x14ac:dyDescent="0.25">
      <c r="A690" s="235"/>
      <c r="B690" s="227" t="str">
        <f t="shared" si="102"/>
        <v>D</v>
      </c>
      <c r="C690" s="227" t="s">
        <v>58</v>
      </c>
      <c r="D690" s="227" t="s">
        <v>1147</v>
      </c>
      <c r="E690" s="228">
        <v>0</v>
      </c>
      <c r="F690" s="101">
        <v>4</v>
      </c>
      <c r="G690" s="87" t="str">
        <f t="shared" ref="G690:G704" si="111">LEFT(C690,2)&amp;E690&amp;F690</f>
        <v>D204</v>
      </c>
      <c r="H690" s="87" t="s">
        <v>1293</v>
      </c>
      <c r="I690" s="89" t="str">
        <f>VLOOKUP(C690,'PREMIUM TABLES'!$G$107:$H$149,2,FALSE)</f>
        <v>C3</v>
      </c>
      <c r="J690" s="87">
        <v>87.23</v>
      </c>
      <c r="K690" s="87">
        <v>94.767429530606108</v>
      </c>
      <c r="L690" s="87">
        <v>106</v>
      </c>
      <c r="M690" s="87">
        <v>66.653899999999993</v>
      </c>
      <c r="O690" s="87" t="s">
        <v>187</v>
      </c>
      <c r="P690" s="87" t="s">
        <v>190</v>
      </c>
      <c r="Q690" s="229" t="s">
        <v>197</v>
      </c>
      <c r="R690" s="87" t="str">
        <f>VLOOKUP(E690,'PREMIUM TABLES'!$F$214:$G$219,2,FALSE)</f>
        <v>GROUND</v>
      </c>
      <c r="S690" s="87" t="str" cm="1">
        <f t="array" ref="S690">IF(AND(L690&gt;0,L690&lt;90),"A",IF(AND(L690&gt;90,L690&lt;123),"B",IF(AND(L690&gt;122,L690&lt;159),"C",IF(AND(L690&gt;159,L690&lt;185),"D",IF(AND(L690&gt;185,L690&lt;230),"E",IF(AND(L690&gt;230,L690&lt;350),"F",NONE))))))</f>
        <v>B</v>
      </c>
      <c r="T690" s="230">
        <f>VLOOKUP(O690,'PREMIUM TABLES'!$G$165:$H$172,2,FALSE)</f>
        <v>0.08</v>
      </c>
      <c r="U690" s="230">
        <f>VLOOKUP(P690,'PREMIUM TABLES'!$G$208:$H$209,2,FALSE)</f>
        <v>2.5000000000000001E-2</v>
      </c>
      <c r="V690" s="230">
        <f>VLOOKUP(Q690,'PREMIUM TABLES'!$G$175:$H$195,2,FALSE)</f>
        <v>0.16</v>
      </c>
      <c r="W690" s="230">
        <f>VLOOKUP(R690,'PREMIUM TABLES'!$G$214:$H$219,2,FALSE)</f>
        <v>0.05</v>
      </c>
      <c r="X690" s="230">
        <f>VLOOKUP(S690,'PREMIUM TABLES'!$F$199:$H$205,3,FALSE)</f>
        <v>0.04</v>
      </c>
      <c r="Y690" s="231">
        <f t="shared" si="104"/>
        <v>0.35499999999999998</v>
      </c>
      <c r="Z690" s="231" t="str" cm="1">
        <f t="array" ref="Z690">IF(AND(Y690&gt;0,Y690&lt;0.5),"C",IF(AND(Y690&gt;=0.5,Y690&lt;0.73),"B",IF(AND(Y690&gt;=0.73,Y690&lt;0.98),"A",NONE)))</f>
        <v>C</v>
      </c>
      <c r="AA690" s="231" t="str">
        <f>VLOOKUP(G690,'ALL (R)'!$N$5:$R$862,5,FALSE)</f>
        <v>R 1</v>
      </c>
      <c r="AB690" s="232">
        <f>VLOOKUP(AA690,FACTS!$B$2:$L$14,10,FALSE)</f>
        <v>42500</v>
      </c>
      <c r="AC690" s="232">
        <f>VLOOKUP(AA690,FACTS!$B$2:$L$14,11,FALSE)</f>
        <v>47500</v>
      </c>
      <c r="AD690" s="232">
        <f>VLOOKUP(AA690,FACTS!$B$2:$N$14,13,FALSE)</f>
        <v>5000</v>
      </c>
      <c r="AE690" s="232">
        <f t="shared" si="105"/>
        <v>1775</v>
      </c>
      <c r="AF690" s="232">
        <f t="shared" si="106"/>
        <v>44275</v>
      </c>
      <c r="AG690" s="232">
        <f>AF690*FACTS!$T$2</f>
        <v>14610.75</v>
      </c>
      <c r="AH690" s="232">
        <f>Table1[[#This Row],[UNIT (BUILDING) RATE (SEMI FINISHED)]]+4500</f>
        <v>48775</v>
      </c>
      <c r="AI690" s="232">
        <f>Table1[[#This Row],[UNIT (BUILDING) RATE (SEMI FINISHED)]]+7500</f>
        <v>51775</v>
      </c>
      <c r="AJ690" s="232">
        <f t="shared" si="107"/>
        <v>4693150</v>
      </c>
      <c r="AK690" s="232">
        <f>Table1[[#This Row],[UNIT (BUILDING) RATE (BASIC FINISH)]]*Table1[[#This Row],[Unit Selling Area]]</f>
        <v>5170150</v>
      </c>
      <c r="AL690" s="232">
        <f>Table1[[#This Row],[UNIT (BUILDING) RATE (FULLY FINISH)]]*Table1[[#This Row],[Unit Selling Area]]</f>
        <v>5488150</v>
      </c>
      <c r="AM690" s="232">
        <f t="shared" si="108"/>
        <v>973863.4694249999</v>
      </c>
      <c r="AN690" s="232">
        <f>(AM690+AJ690)*FACTS!$S$2</f>
        <v>481696.14490112505</v>
      </c>
      <c r="AO690" s="101">
        <f>VLOOKUP(S690,FACTS!$A$17:$C$23,3,FALSE)</f>
        <v>1</v>
      </c>
      <c r="AP690" s="232">
        <f>VLOOKUP(AA690,FACTS!$B$2:$J$14,9,FALSE)</f>
        <v>200000</v>
      </c>
      <c r="AQ690" s="232">
        <f>Table1[[#This Row],[PARKING VALUE]]*1</f>
        <v>200000</v>
      </c>
      <c r="AR690" s="232">
        <f t="shared" si="103"/>
        <v>5867013.4694250003</v>
      </c>
      <c r="AS690" s="440">
        <f>Table1[[#This Row],[TOTAL CARS VALUE]]+Table1[[#This Row],[UNIT (BUILDING) VALUE BASIC FINISHED]]+Table1[[#This Row],[UNIT (GARDEN) VALUE]]</f>
        <v>6344013.4694250003</v>
      </c>
      <c r="AT690" s="232">
        <f>Table1[[#This Row],[TOTAL CARS VALUE]]+Table1[[#This Row],[UNIT (GARDEN) VALUE]]+Table1[[#This Row],[UNIT (BUILDING) VALUE FULLY FINISHED]]</f>
        <v>6662013.4694250003</v>
      </c>
      <c r="AU690" s="233">
        <f>VLOOKUP(I690,'C PHASES'!$I$108:$J$110,2,FALSE)</f>
        <v>46569</v>
      </c>
      <c r="AV690" s="233">
        <f>VLOOKUP(AA690,'C PHASES'!$I$113:$J$125,2,FALSE)</f>
        <v>45170</v>
      </c>
    </row>
    <row r="691" spans="1:48" x14ac:dyDescent="0.25">
      <c r="A691" s="235"/>
      <c r="B691" s="227" t="str">
        <f t="shared" si="102"/>
        <v>D</v>
      </c>
      <c r="C691" s="227" t="s">
        <v>58</v>
      </c>
      <c r="D691" s="227" t="s">
        <v>1147</v>
      </c>
      <c r="E691" s="228">
        <v>1</v>
      </c>
      <c r="F691" s="101">
        <v>1</v>
      </c>
      <c r="G691" s="87" t="str">
        <f t="shared" si="111"/>
        <v>D211</v>
      </c>
      <c r="H691" s="87" t="s">
        <v>1294</v>
      </c>
      <c r="I691" s="89" t="str">
        <f>VLOOKUP(C691,'PREMIUM TABLES'!$G$107:$H$149,2,FALSE)</f>
        <v>C3</v>
      </c>
      <c r="J691" s="87">
        <v>132.94</v>
      </c>
      <c r="K691" s="87">
        <v>144.42717048949646</v>
      </c>
      <c r="L691" s="87">
        <v>162</v>
      </c>
      <c r="O691" s="87" t="s">
        <v>187</v>
      </c>
      <c r="P691" s="87" t="s">
        <v>190</v>
      </c>
      <c r="Q691" s="229" t="s">
        <v>197</v>
      </c>
      <c r="R691" s="87" t="str">
        <f>VLOOKUP(E691,'PREMIUM TABLES'!$F$214:$G$219,2,FALSE)</f>
        <v>FIRST</v>
      </c>
      <c r="S691" s="87" t="str" cm="1">
        <f t="array" ref="S691">IF(AND(L691&gt;0,L691&lt;90),"A",IF(AND(L691&gt;90,L691&lt;123),"B",IF(AND(L691&gt;122,L691&lt;159),"C",IF(AND(L691&gt;159,L691&lt;185),"D",IF(AND(L691&gt;185,L691&lt;230),"E",IF(AND(L691&gt;230,L691&lt;350),"F",NONE))))))</f>
        <v>D</v>
      </c>
      <c r="T691" s="230">
        <f>VLOOKUP(O691,'PREMIUM TABLES'!$G$165:$H$172,2,FALSE)</f>
        <v>0.08</v>
      </c>
      <c r="U691" s="230">
        <f>VLOOKUP(P691,'PREMIUM TABLES'!$G$208:$H$209,2,FALSE)</f>
        <v>2.5000000000000001E-2</v>
      </c>
      <c r="V691" s="230">
        <f>VLOOKUP(Q691,'PREMIUM TABLES'!$G$175:$H$195,2,FALSE)</f>
        <v>0.16</v>
      </c>
      <c r="W691" s="230">
        <f>VLOOKUP(R691,'PREMIUM TABLES'!$G$214:$H$219,2,FALSE)</f>
        <v>7.0000000000000007E-2</v>
      </c>
      <c r="X691" s="230">
        <f>VLOOKUP(S691,'PREMIUM TABLES'!$F$199:$H$205,3,FALSE)</f>
        <v>2.5000000000000001E-2</v>
      </c>
      <c r="Y691" s="231">
        <f t="shared" si="104"/>
        <v>0.36000000000000004</v>
      </c>
      <c r="Z691" s="231" t="str" cm="1">
        <f t="array" ref="Z691">IF(AND(Y691&gt;0,Y691&lt;0.5),"C",IF(AND(Y691&gt;=0.5,Y691&lt;0.73),"B",IF(AND(Y691&gt;=0.73,Y691&lt;0.98),"A",NONE)))</f>
        <v>C</v>
      </c>
      <c r="AA691" s="231" t="str">
        <f>VLOOKUP(G691,'ALL (R)'!$N$5:$R$862,5,FALSE)</f>
        <v>R 2</v>
      </c>
      <c r="AB691" s="232">
        <f>VLOOKUP(AA691,FACTS!$B$2:$L$14,10,FALSE)</f>
        <v>43562.499999999993</v>
      </c>
      <c r="AC691" s="232">
        <f>VLOOKUP(AA691,FACTS!$B$2:$L$14,11,FALSE)</f>
        <v>48687.499999999993</v>
      </c>
      <c r="AD691" s="232">
        <f>VLOOKUP(AA691,FACTS!$B$2:$N$14,13,FALSE)</f>
        <v>5125</v>
      </c>
      <c r="AE691" s="232">
        <f t="shared" si="105"/>
        <v>1845.0000000000002</v>
      </c>
      <c r="AF691" s="232">
        <f t="shared" si="106"/>
        <v>45407.499999999993</v>
      </c>
      <c r="AG691" s="232">
        <f>AF691*FACTS!$T$2</f>
        <v>14984.474999999999</v>
      </c>
      <c r="AH691" s="232">
        <f>Table1[[#This Row],[UNIT (BUILDING) RATE (SEMI FINISHED)]]+4500</f>
        <v>49907.499999999993</v>
      </c>
      <c r="AI691" s="232">
        <f>Table1[[#This Row],[UNIT (BUILDING) RATE (SEMI FINISHED)]]+7500</f>
        <v>52907.499999999993</v>
      </c>
      <c r="AJ691" s="232">
        <f t="shared" si="107"/>
        <v>7356014.9999999991</v>
      </c>
      <c r="AK691" s="232">
        <f>Table1[[#This Row],[UNIT (BUILDING) RATE (BASIC FINISH)]]*Table1[[#This Row],[Unit Selling Area]]</f>
        <v>8085014.9999999991</v>
      </c>
      <c r="AL691" s="232">
        <f>Table1[[#This Row],[UNIT (BUILDING) RATE (FULLY FINISH)]]*Table1[[#This Row],[Unit Selling Area]]</f>
        <v>8571014.9999999981</v>
      </c>
      <c r="AM691" s="232">
        <f t="shared" si="108"/>
        <v>0</v>
      </c>
      <c r="AN691" s="232">
        <f>(AM691+AJ691)*FACTS!$S$2</f>
        <v>625261.27500000002</v>
      </c>
      <c r="AO691" s="101">
        <f>VLOOKUP(S691,FACTS!$A$17:$C$23,3,FALSE)</f>
        <v>2</v>
      </c>
      <c r="AP691" s="232">
        <f>VLOOKUP(AA691,FACTS!$B$2:$J$14,9,FALSE)</f>
        <v>204999.99999999997</v>
      </c>
      <c r="AQ691" s="232">
        <f>Table1[[#This Row],[PARKING VALUE]]*1</f>
        <v>204999.99999999997</v>
      </c>
      <c r="AR691" s="232">
        <f t="shared" si="103"/>
        <v>7561014.9999999991</v>
      </c>
      <c r="AS691" s="440">
        <f>Table1[[#This Row],[TOTAL CARS VALUE]]+Table1[[#This Row],[UNIT (BUILDING) VALUE BASIC FINISHED]]+Table1[[#This Row],[UNIT (GARDEN) VALUE]]</f>
        <v>8290014.9999999991</v>
      </c>
      <c r="AT691" s="232">
        <f>Table1[[#This Row],[TOTAL CARS VALUE]]+Table1[[#This Row],[UNIT (GARDEN) VALUE]]+Table1[[#This Row],[UNIT (BUILDING) VALUE FULLY FINISHED]]</f>
        <v>8776014.9999999981</v>
      </c>
      <c r="AU691" s="233">
        <f>VLOOKUP(I691,'C PHASES'!$I$108:$J$110,2,FALSE)</f>
        <v>46569</v>
      </c>
      <c r="AV691" s="233">
        <f>VLOOKUP(AA691,'C PHASES'!$I$113:$J$125,2,FALSE)</f>
        <v>45292</v>
      </c>
    </row>
    <row r="692" spans="1:48" x14ac:dyDescent="0.25">
      <c r="A692" s="235"/>
      <c r="B692" s="227" t="str">
        <f t="shared" si="102"/>
        <v>D</v>
      </c>
      <c r="C692" s="227" t="s">
        <v>58</v>
      </c>
      <c r="D692" s="227" t="s">
        <v>1147</v>
      </c>
      <c r="E692" s="228">
        <v>1</v>
      </c>
      <c r="F692" s="101">
        <v>4</v>
      </c>
      <c r="G692" s="87" t="str">
        <f t="shared" si="111"/>
        <v>D214</v>
      </c>
      <c r="H692" s="87" t="s">
        <v>1293</v>
      </c>
      <c r="I692" s="89" t="str">
        <f>VLOOKUP(C692,'PREMIUM TABLES'!$G$107:$H$149,2,FALSE)</f>
        <v>C3</v>
      </c>
      <c r="J692" s="87">
        <v>88.87</v>
      </c>
      <c r="K692" s="87">
        <v>96.549139772841514</v>
      </c>
      <c r="L692" s="87">
        <v>108</v>
      </c>
      <c r="O692" s="87" t="s">
        <v>187</v>
      </c>
      <c r="P692" s="87" t="s">
        <v>190</v>
      </c>
      <c r="Q692" s="229" t="s">
        <v>197</v>
      </c>
      <c r="R692" s="87" t="str">
        <f>VLOOKUP(E692,'PREMIUM TABLES'!$F$214:$G$219,2,FALSE)</f>
        <v>FIRST</v>
      </c>
      <c r="S692" s="87" t="str" cm="1">
        <f t="array" ref="S692">IF(AND(L692&gt;0,L692&lt;90),"A",IF(AND(L692&gt;90,L692&lt;123),"B",IF(AND(L692&gt;122,L692&lt;159),"C",IF(AND(L692&gt;159,L692&lt;185),"D",IF(AND(L692&gt;185,L692&lt;230),"E",IF(AND(L692&gt;230,L692&lt;350),"F",NONE))))))</f>
        <v>B</v>
      </c>
      <c r="T692" s="230">
        <f>VLOOKUP(O692,'PREMIUM TABLES'!$G$165:$H$172,2,FALSE)</f>
        <v>0.08</v>
      </c>
      <c r="U692" s="230">
        <f>VLOOKUP(P692,'PREMIUM TABLES'!$G$208:$H$209,2,FALSE)</f>
        <v>2.5000000000000001E-2</v>
      </c>
      <c r="V692" s="230">
        <f>VLOOKUP(Q692,'PREMIUM TABLES'!$G$175:$H$195,2,FALSE)</f>
        <v>0.16</v>
      </c>
      <c r="W692" s="230">
        <f>VLOOKUP(R692,'PREMIUM TABLES'!$G$214:$H$219,2,FALSE)</f>
        <v>7.0000000000000007E-2</v>
      </c>
      <c r="X692" s="230">
        <f>VLOOKUP(S692,'PREMIUM TABLES'!$F$199:$H$205,3,FALSE)</f>
        <v>0.04</v>
      </c>
      <c r="Y692" s="231">
        <f t="shared" si="104"/>
        <v>0.375</v>
      </c>
      <c r="Z692" s="231" t="str" cm="1">
        <f t="array" ref="Z692">IF(AND(Y692&gt;0,Y692&lt;0.5),"C",IF(AND(Y692&gt;=0.5,Y692&lt;0.73),"B",IF(AND(Y692&gt;=0.73,Y692&lt;0.98),"A",NONE)))</f>
        <v>C</v>
      </c>
      <c r="AA692" s="231" t="str">
        <f>VLOOKUP(G692,'ALL (R)'!$N$5:$R$862,5,FALSE)</f>
        <v>R 3</v>
      </c>
      <c r="AB692" s="232">
        <f>VLOOKUP(AA692,FACTS!$B$2:$L$14,10,FALSE)</f>
        <v>44625</v>
      </c>
      <c r="AC692" s="232">
        <f>VLOOKUP(AA692,FACTS!$B$2:$L$14,11,FALSE)</f>
        <v>49875</v>
      </c>
      <c r="AD692" s="232">
        <f>VLOOKUP(AA692,FACTS!$B$2:$N$14,13,FALSE)</f>
        <v>5250</v>
      </c>
      <c r="AE692" s="232">
        <f t="shared" si="105"/>
        <v>1968.75</v>
      </c>
      <c r="AF692" s="232">
        <f t="shared" si="106"/>
        <v>46593.75</v>
      </c>
      <c r="AG692" s="232">
        <f>AF692*FACTS!$T$2</f>
        <v>15375.9375</v>
      </c>
      <c r="AH692" s="232">
        <f>Table1[[#This Row],[UNIT (BUILDING) RATE (SEMI FINISHED)]]+4500</f>
        <v>51093.75</v>
      </c>
      <c r="AI692" s="232">
        <f>Table1[[#This Row],[UNIT (BUILDING) RATE (SEMI FINISHED)]]+7500</f>
        <v>54093.75</v>
      </c>
      <c r="AJ692" s="232">
        <f t="shared" si="107"/>
        <v>5032125</v>
      </c>
      <c r="AK692" s="232">
        <f>Table1[[#This Row],[UNIT (BUILDING) RATE (BASIC FINISH)]]*Table1[[#This Row],[Unit Selling Area]]</f>
        <v>5518125</v>
      </c>
      <c r="AL692" s="232">
        <f>Table1[[#This Row],[UNIT (BUILDING) RATE (FULLY FINISH)]]*Table1[[#This Row],[Unit Selling Area]]</f>
        <v>5842125</v>
      </c>
      <c r="AM692" s="232">
        <f t="shared" si="108"/>
        <v>0</v>
      </c>
      <c r="AN692" s="232">
        <f>(AM692+AJ692)*FACTS!$S$2</f>
        <v>427730.62500000006</v>
      </c>
      <c r="AO692" s="101">
        <f>VLOOKUP(S692,FACTS!$A$17:$C$23,3,FALSE)</f>
        <v>1</v>
      </c>
      <c r="AP692" s="232">
        <f>VLOOKUP(AA692,FACTS!$B$2:$J$14,9,FALSE)</f>
        <v>210000</v>
      </c>
      <c r="AQ692" s="232">
        <f>Table1[[#This Row],[PARKING VALUE]]*1</f>
        <v>210000</v>
      </c>
      <c r="AR692" s="232">
        <f t="shared" si="103"/>
        <v>5242125</v>
      </c>
      <c r="AS692" s="440">
        <f>Table1[[#This Row],[TOTAL CARS VALUE]]+Table1[[#This Row],[UNIT (BUILDING) VALUE BASIC FINISHED]]+Table1[[#This Row],[UNIT (GARDEN) VALUE]]</f>
        <v>5728125</v>
      </c>
      <c r="AT692" s="232">
        <f>Table1[[#This Row],[TOTAL CARS VALUE]]+Table1[[#This Row],[UNIT (GARDEN) VALUE]]+Table1[[#This Row],[UNIT (BUILDING) VALUE FULLY FINISHED]]</f>
        <v>6052125</v>
      </c>
      <c r="AU692" s="233">
        <f>VLOOKUP(I692,'C PHASES'!$I$108:$J$110,2,FALSE)</f>
        <v>46569</v>
      </c>
      <c r="AV692" s="233">
        <f>VLOOKUP(AA692,'C PHASES'!$I$113:$J$125,2,FALSE)</f>
        <v>45383</v>
      </c>
    </row>
    <row r="693" spans="1:48" x14ac:dyDescent="0.25">
      <c r="A693" s="235"/>
      <c r="B693" s="227" t="str">
        <f t="shared" si="102"/>
        <v>D</v>
      </c>
      <c r="C693" s="227" t="s">
        <v>58</v>
      </c>
      <c r="D693" s="227" t="s">
        <v>1147</v>
      </c>
      <c r="E693" s="228">
        <v>2</v>
      </c>
      <c r="F693" s="101">
        <v>1</v>
      </c>
      <c r="G693" s="87" t="str">
        <f t="shared" si="111"/>
        <v>D221</v>
      </c>
      <c r="H693" s="87" t="s">
        <v>1294</v>
      </c>
      <c r="I693" s="89" t="str">
        <f>VLOOKUP(C693,'PREMIUM TABLES'!$G$107:$H$149,2,FALSE)</f>
        <v>C3</v>
      </c>
      <c r="J693" s="87">
        <v>131.41999999999999</v>
      </c>
      <c r="K693" s="87">
        <v>142.77582928937582</v>
      </c>
      <c r="L693" s="87">
        <v>160</v>
      </c>
      <c r="O693" s="87" t="s">
        <v>187</v>
      </c>
      <c r="P693" s="87" t="s">
        <v>190</v>
      </c>
      <c r="Q693" s="229" t="s">
        <v>197</v>
      </c>
      <c r="R693" s="87" t="str">
        <f>VLOOKUP(E693,'PREMIUM TABLES'!$F$214:$G$219,2,FALSE)</f>
        <v>SECOND</v>
      </c>
      <c r="S693" s="87" t="str" cm="1">
        <f t="array" ref="S693">IF(AND(L693&gt;0,L693&lt;90),"A",IF(AND(L693&gt;90,L693&lt;123),"B",IF(AND(L693&gt;122,L693&lt;159),"C",IF(AND(L693&gt;159,L693&lt;185),"D",IF(AND(L693&gt;185,L693&lt;230),"E",IF(AND(L693&gt;230,L693&lt;350),"F",NONE))))))</f>
        <v>D</v>
      </c>
      <c r="T693" s="230">
        <f>VLOOKUP(O693,'PREMIUM TABLES'!$G$165:$H$172,2,FALSE)</f>
        <v>0.08</v>
      </c>
      <c r="U693" s="230">
        <f>VLOOKUP(P693,'PREMIUM TABLES'!$G$208:$H$209,2,FALSE)</f>
        <v>2.5000000000000001E-2</v>
      </c>
      <c r="V693" s="230">
        <f>VLOOKUP(Q693,'PREMIUM TABLES'!$G$175:$H$195,2,FALSE)</f>
        <v>0.16</v>
      </c>
      <c r="W693" s="230">
        <f>VLOOKUP(R693,'PREMIUM TABLES'!$G$214:$H$219,2,FALSE)</f>
        <v>0.11</v>
      </c>
      <c r="X693" s="230">
        <f>VLOOKUP(S693,'PREMIUM TABLES'!$F$199:$H$205,3,FALSE)</f>
        <v>2.5000000000000001E-2</v>
      </c>
      <c r="Y693" s="231">
        <f t="shared" si="104"/>
        <v>0.4</v>
      </c>
      <c r="Z693" s="231" t="str" cm="1">
        <f t="array" ref="Z693">IF(AND(Y693&gt;0,Y693&lt;0.5),"C",IF(AND(Y693&gt;=0.5,Y693&lt;0.73),"B",IF(AND(Y693&gt;=0.73,Y693&lt;0.98),"A",NONE)))</f>
        <v>C</v>
      </c>
      <c r="AA693" s="231" t="str">
        <f>VLOOKUP(G693,'ALL (R)'!$N$5:$R$862,5,FALSE)</f>
        <v>R 5</v>
      </c>
      <c r="AB693" s="232">
        <f>VLOOKUP(AA693,FACTS!$B$2:$L$14,10,FALSE)</f>
        <v>46750.000000000007</v>
      </c>
      <c r="AC693" s="232">
        <f>VLOOKUP(AA693,FACTS!$B$2:$L$14,11,FALSE)</f>
        <v>52250.000000000007</v>
      </c>
      <c r="AD693" s="232">
        <f>VLOOKUP(AA693,FACTS!$B$2:$N$14,13,FALSE)</f>
        <v>5500</v>
      </c>
      <c r="AE693" s="232">
        <f t="shared" si="105"/>
        <v>2200</v>
      </c>
      <c r="AF693" s="232">
        <f t="shared" si="106"/>
        <v>48950.000000000007</v>
      </c>
      <c r="AG693" s="232">
        <f>AF693*FACTS!$T$2</f>
        <v>16153.500000000004</v>
      </c>
      <c r="AH693" s="232">
        <f>Table1[[#This Row],[UNIT (BUILDING) RATE (SEMI FINISHED)]]+4500</f>
        <v>53450.000000000007</v>
      </c>
      <c r="AI693" s="232">
        <f>Table1[[#This Row],[UNIT (BUILDING) RATE (SEMI FINISHED)]]+7500</f>
        <v>56450.000000000007</v>
      </c>
      <c r="AJ693" s="232">
        <f t="shared" si="107"/>
        <v>7832000.0000000009</v>
      </c>
      <c r="AK693" s="232">
        <f>Table1[[#This Row],[UNIT (BUILDING) RATE (BASIC FINISH)]]*Table1[[#This Row],[Unit Selling Area]]</f>
        <v>8552000.0000000019</v>
      </c>
      <c r="AL693" s="232">
        <f>Table1[[#This Row],[UNIT (BUILDING) RATE (FULLY FINISH)]]*Table1[[#This Row],[Unit Selling Area]]</f>
        <v>9032000.0000000019</v>
      </c>
      <c r="AM693" s="232">
        <f t="shared" si="108"/>
        <v>0</v>
      </c>
      <c r="AN693" s="232">
        <f>(AM693+AJ693)*FACTS!$S$2</f>
        <v>665720.00000000012</v>
      </c>
      <c r="AO693" s="101">
        <f>VLOOKUP(S693,FACTS!$A$17:$C$23,3,FALSE)</f>
        <v>2</v>
      </c>
      <c r="AP693" s="232">
        <f>VLOOKUP(AA693,FACTS!$B$2:$J$14,9,FALSE)</f>
        <v>220000.00000000003</v>
      </c>
      <c r="AQ693" s="232">
        <f>Table1[[#This Row],[PARKING VALUE]]*1</f>
        <v>220000.00000000003</v>
      </c>
      <c r="AR693" s="232">
        <f t="shared" si="103"/>
        <v>8052000.0000000009</v>
      </c>
      <c r="AS693" s="440">
        <f>Table1[[#This Row],[TOTAL CARS VALUE]]+Table1[[#This Row],[UNIT (BUILDING) VALUE BASIC FINISHED]]+Table1[[#This Row],[UNIT (GARDEN) VALUE]]</f>
        <v>8772000.0000000019</v>
      </c>
      <c r="AT693" s="232">
        <f>Table1[[#This Row],[TOTAL CARS VALUE]]+Table1[[#This Row],[UNIT (GARDEN) VALUE]]+Table1[[#This Row],[UNIT (BUILDING) VALUE FULLY FINISHED]]</f>
        <v>9252000.0000000019</v>
      </c>
      <c r="AU693" s="233">
        <f>VLOOKUP(I693,'C PHASES'!$I$108:$J$110,2,FALSE)</f>
        <v>46569</v>
      </c>
      <c r="AV693" s="233">
        <f>VLOOKUP(AA693,'C PHASES'!$I$113:$J$125,2,FALSE)</f>
        <v>45566</v>
      </c>
    </row>
    <row r="694" spans="1:48" x14ac:dyDescent="0.25">
      <c r="A694" s="235"/>
      <c r="B694" s="227" t="str">
        <f t="shared" ref="B694:B757" si="112">LEFT(C694,1)</f>
        <v>D</v>
      </c>
      <c r="C694" s="227" t="s">
        <v>58</v>
      </c>
      <c r="D694" s="227" t="s">
        <v>1147</v>
      </c>
      <c r="E694" s="228">
        <v>2</v>
      </c>
      <c r="F694" s="101">
        <v>2</v>
      </c>
      <c r="G694" s="87" t="str">
        <f t="shared" si="111"/>
        <v>D222</v>
      </c>
      <c r="H694" s="87" t="s">
        <v>1294</v>
      </c>
      <c r="I694" s="89" t="str">
        <f>VLOOKUP(C694,'PREMIUM TABLES'!$G$107:$H$149,2,FALSE)</f>
        <v>C3</v>
      </c>
      <c r="J694" s="87">
        <v>131.03</v>
      </c>
      <c r="K694" s="87">
        <v>142.35212990250278</v>
      </c>
      <c r="L694" s="87">
        <v>160</v>
      </c>
      <c r="O694" s="87" t="s">
        <v>180</v>
      </c>
      <c r="P694" s="87" t="s">
        <v>190</v>
      </c>
      <c r="Q694" s="229" t="s">
        <v>211</v>
      </c>
      <c r="R694" s="87" t="str">
        <f>VLOOKUP(E694,'PREMIUM TABLES'!$F$214:$G$219,2,FALSE)</f>
        <v>SECOND</v>
      </c>
      <c r="S694" s="87" t="str" cm="1">
        <f t="array" ref="S694">IF(AND(L694&gt;0,L694&lt;90),"A",IF(AND(L694&gt;90,L694&lt;123),"B",IF(AND(L694&gt;122,L694&lt;159),"C",IF(AND(L694&gt;159,L694&lt;185),"D",IF(AND(L694&gt;185,L694&lt;230),"E",IF(AND(L694&gt;230,L694&lt;350),"F",NONE))))))</f>
        <v>D</v>
      </c>
      <c r="T694" s="230">
        <f>VLOOKUP(O694,'PREMIUM TABLES'!$G$165:$H$172,2,FALSE)</f>
        <v>0.13</v>
      </c>
      <c r="U694" s="230">
        <f>VLOOKUP(P694,'PREMIUM TABLES'!$G$208:$H$209,2,FALSE)</f>
        <v>2.5000000000000001E-2</v>
      </c>
      <c r="V694" s="230">
        <f>VLOOKUP(Q694,'PREMIUM TABLES'!$G$175:$H$195,2,FALSE)</f>
        <v>0.43</v>
      </c>
      <c r="W694" s="230">
        <f>VLOOKUP(R694,'PREMIUM TABLES'!$G$214:$H$219,2,FALSE)</f>
        <v>0.11</v>
      </c>
      <c r="X694" s="230">
        <f>VLOOKUP(S694,'PREMIUM TABLES'!$F$199:$H$205,3,FALSE)</f>
        <v>2.5000000000000001E-2</v>
      </c>
      <c r="Y694" s="231">
        <f t="shared" si="104"/>
        <v>0.72</v>
      </c>
      <c r="Z694" s="231" t="str" cm="1">
        <f t="array" ref="Z694">IF(AND(Y694&gt;0,Y694&lt;0.5),"C",IF(AND(Y694&gt;=0.5,Y694&lt;0.73),"B",IF(AND(Y694&gt;=0.73,Y694&lt;0.98),"A",NONE)))</f>
        <v>B</v>
      </c>
      <c r="AA694" s="231" t="str">
        <f>VLOOKUP(G694,'ALL (R)'!$N$5:$R$862,5,FALSE)</f>
        <v>R 1</v>
      </c>
      <c r="AB694" s="232">
        <f>VLOOKUP(AA694,FACTS!$B$2:$L$14,10,FALSE)</f>
        <v>42500</v>
      </c>
      <c r="AC694" s="232">
        <f>VLOOKUP(AA694,FACTS!$B$2:$L$14,11,FALSE)</f>
        <v>47500</v>
      </c>
      <c r="AD694" s="232">
        <f>VLOOKUP(AA694,FACTS!$B$2:$N$14,13,FALSE)</f>
        <v>5000</v>
      </c>
      <c r="AE694" s="232">
        <f t="shared" si="105"/>
        <v>3600</v>
      </c>
      <c r="AF694" s="232">
        <f t="shared" si="106"/>
        <v>46100</v>
      </c>
      <c r="AG694" s="232">
        <f>AF694*FACTS!$T$2</f>
        <v>15213</v>
      </c>
      <c r="AH694" s="232">
        <f>Table1[[#This Row],[UNIT (BUILDING) RATE (SEMI FINISHED)]]+4500</f>
        <v>50600</v>
      </c>
      <c r="AI694" s="232">
        <f>Table1[[#This Row],[UNIT (BUILDING) RATE (SEMI FINISHED)]]+7500</f>
        <v>53600</v>
      </c>
      <c r="AJ694" s="232">
        <f t="shared" si="107"/>
        <v>7376000</v>
      </c>
      <c r="AK694" s="232">
        <f>Table1[[#This Row],[UNIT (BUILDING) RATE (BASIC FINISH)]]*Table1[[#This Row],[Unit Selling Area]]</f>
        <v>8096000</v>
      </c>
      <c r="AL694" s="232">
        <f>Table1[[#This Row],[UNIT (BUILDING) RATE (FULLY FINISH)]]*Table1[[#This Row],[Unit Selling Area]]</f>
        <v>8576000</v>
      </c>
      <c r="AM694" s="232">
        <f t="shared" si="108"/>
        <v>0</v>
      </c>
      <c r="AN694" s="232">
        <f>(AM694+AJ694)*FACTS!$S$2</f>
        <v>626960</v>
      </c>
      <c r="AO694" s="101">
        <f>VLOOKUP(S694,FACTS!$A$17:$C$23,3,FALSE)</f>
        <v>2</v>
      </c>
      <c r="AP694" s="232">
        <f>VLOOKUP(AA694,FACTS!$B$2:$J$14,9,FALSE)</f>
        <v>200000</v>
      </c>
      <c r="AQ694" s="232">
        <f>Table1[[#This Row],[PARKING VALUE]]*1</f>
        <v>200000</v>
      </c>
      <c r="AR694" s="232">
        <f t="shared" si="103"/>
        <v>7576000</v>
      </c>
      <c r="AS694" s="440">
        <f>Table1[[#This Row],[TOTAL CARS VALUE]]+Table1[[#This Row],[UNIT (BUILDING) VALUE BASIC FINISHED]]+Table1[[#This Row],[UNIT (GARDEN) VALUE]]</f>
        <v>8296000</v>
      </c>
      <c r="AT694" s="232">
        <f>Table1[[#This Row],[TOTAL CARS VALUE]]+Table1[[#This Row],[UNIT (GARDEN) VALUE]]+Table1[[#This Row],[UNIT (BUILDING) VALUE FULLY FINISHED]]</f>
        <v>8776000</v>
      </c>
      <c r="AU694" s="233">
        <f>VLOOKUP(I694,'C PHASES'!$I$108:$J$110,2,FALSE)</f>
        <v>46569</v>
      </c>
      <c r="AV694" s="233">
        <f>VLOOKUP(AA694,'C PHASES'!$I$113:$J$125,2,FALSE)</f>
        <v>45170</v>
      </c>
    </row>
    <row r="695" spans="1:48" x14ac:dyDescent="0.25">
      <c r="A695" s="235"/>
      <c r="B695" s="227" t="str">
        <f t="shared" si="112"/>
        <v>D</v>
      </c>
      <c r="C695" s="227" t="s">
        <v>58</v>
      </c>
      <c r="D695" s="227" t="s">
        <v>1147</v>
      </c>
      <c r="E695" s="228">
        <v>2</v>
      </c>
      <c r="F695" s="101">
        <v>3</v>
      </c>
      <c r="G695" s="87" t="str">
        <f t="shared" si="111"/>
        <v>D223</v>
      </c>
      <c r="H695" s="87" t="s">
        <v>1294</v>
      </c>
      <c r="I695" s="89" t="str">
        <f>VLOOKUP(C695,'PREMIUM TABLES'!$G$107:$H$149,2,FALSE)</f>
        <v>C3</v>
      </c>
      <c r="J695" s="87">
        <v>126.89</v>
      </c>
      <c r="K695" s="87">
        <v>137.85439794954269</v>
      </c>
      <c r="L695" s="87">
        <v>155</v>
      </c>
      <c r="O695" s="87" t="s">
        <v>180</v>
      </c>
      <c r="P695" s="87" t="s">
        <v>190</v>
      </c>
      <c r="Q695" s="229" t="s">
        <v>211</v>
      </c>
      <c r="R695" s="87" t="str">
        <f>VLOOKUP(E695,'PREMIUM TABLES'!$F$214:$G$219,2,FALSE)</f>
        <v>SECOND</v>
      </c>
      <c r="S695" s="87" t="str" cm="1">
        <f t="array" ref="S695">IF(AND(L695&gt;0,L695&lt;90),"A",IF(AND(L695&gt;90,L695&lt;123),"B",IF(AND(L695&gt;122,L695&lt;159),"C",IF(AND(L695&gt;159,L695&lt;185),"D",IF(AND(L695&gt;185,L695&lt;230),"E",IF(AND(L695&gt;230,L695&lt;350),"F",NONE))))))</f>
        <v>C</v>
      </c>
      <c r="T695" s="230">
        <f>VLOOKUP(O695,'PREMIUM TABLES'!$G$165:$H$172,2,FALSE)</f>
        <v>0.13</v>
      </c>
      <c r="U695" s="230">
        <f>VLOOKUP(P695,'PREMIUM TABLES'!$G$208:$H$209,2,FALSE)</f>
        <v>2.5000000000000001E-2</v>
      </c>
      <c r="V695" s="230">
        <f>VLOOKUP(Q695,'PREMIUM TABLES'!$G$175:$H$195,2,FALSE)</f>
        <v>0.43</v>
      </c>
      <c r="W695" s="230">
        <f>VLOOKUP(R695,'PREMIUM TABLES'!$G$214:$H$219,2,FALSE)</f>
        <v>0.11</v>
      </c>
      <c r="X695" s="230">
        <f>VLOOKUP(S695,'PREMIUM TABLES'!$F$199:$H$205,3,FALSE)</f>
        <v>3.5000000000000003E-2</v>
      </c>
      <c r="Y695" s="231">
        <f t="shared" si="104"/>
        <v>0.73</v>
      </c>
      <c r="Z695" s="231" t="str" cm="1">
        <f t="array" ref="Z695">IF(AND(Y695&gt;0,Y695&lt;0.5),"C",IF(AND(Y695&gt;=0.5,Y695&lt;0.73),"B",IF(AND(Y695&gt;=0.73,Y695&lt;0.98),"A",NONE)))</f>
        <v>A</v>
      </c>
      <c r="AA695" s="231" t="str">
        <f>VLOOKUP(G695,'ALL (R)'!$N$5:$R$862,5,FALSE)</f>
        <v>R 1</v>
      </c>
      <c r="AB695" s="232">
        <f>VLOOKUP(AA695,FACTS!$B$2:$L$14,10,FALSE)</f>
        <v>42500</v>
      </c>
      <c r="AC695" s="232">
        <f>VLOOKUP(AA695,FACTS!$B$2:$L$14,11,FALSE)</f>
        <v>47500</v>
      </c>
      <c r="AD695" s="232">
        <f>VLOOKUP(AA695,FACTS!$B$2:$N$14,13,FALSE)</f>
        <v>5000</v>
      </c>
      <c r="AE695" s="232">
        <f t="shared" si="105"/>
        <v>3650</v>
      </c>
      <c r="AF695" s="232">
        <f t="shared" si="106"/>
        <v>46150</v>
      </c>
      <c r="AG695" s="232">
        <f>AF695*FACTS!$T$2</f>
        <v>15229.5</v>
      </c>
      <c r="AH695" s="232">
        <f>Table1[[#This Row],[UNIT (BUILDING) RATE (SEMI FINISHED)]]+4500</f>
        <v>50650</v>
      </c>
      <c r="AI695" s="232">
        <f>Table1[[#This Row],[UNIT (BUILDING) RATE (SEMI FINISHED)]]+7500</f>
        <v>53650</v>
      </c>
      <c r="AJ695" s="232">
        <f t="shared" si="107"/>
        <v>7153250</v>
      </c>
      <c r="AK695" s="232">
        <f>Table1[[#This Row],[UNIT (BUILDING) RATE (BASIC FINISH)]]*Table1[[#This Row],[Unit Selling Area]]</f>
        <v>7850750</v>
      </c>
      <c r="AL695" s="232">
        <f>Table1[[#This Row],[UNIT (BUILDING) RATE (FULLY FINISH)]]*Table1[[#This Row],[Unit Selling Area]]</f>
        <v>8315750</v>
      </c>
      <c r="AM695" s="232">
        <f t="shared" si="108"/>
        <v>0</v>
      </c>
      <c r="AN695" s="232">
        <f>(AM695+AJ695)*FACTS!$S$2</f>
        <v>608026.25</v>
      </c>
      <c r="AO695" s="101">
        <f>VLOOKUP(S695,FACTS!$A$17:$C$23,3,FALSE)</f>
        <v>2</v>
      </c>
      <c r="AP695" s="232">
        <f>VLOOKUP(AA695,FACTS!$B$2:$J$14,9,FALSE)</f>
        <v>200000</v>
      </c>
      <c r="AQ695" s="232">
        <f>Table1[[#This Row],[PARKING VALUE]]*1</f>
        <v>200000</v>
      </c>
      <c r="AR695" s="232">
        <f t="shared" si="103"/>
        <v>7353250</v>
      </c>
      <c r="AS695" s="440">
        <f>Table1[[#This Row],[TOTAL CARS VALUE]]+Table1[[#This Row],[UNIT (BUILDING) VALUE BASIC FINISHED]]+Table1[[#This Row],[UNIT (GARDEN) VALUE]]</f>
        <v>8050750</v>
      </c>
      <c r="AT695" s="232">
        <f>Table1[[#This Row],[TOTAL CARS VALUE]]+Table1[[#This Row],[UNIT (GARDEN) VALUE]]+Table1[[#This Row],[UNIT (BUILDING) VALUE FULLY FINISHED]]</f>
        <v>8515750</v>
      </c>
      <c r="AU695" s="233">
        <f>VLOOKUP(I695,'C PHASES'!$I$108:$J$110,2,FALSE)</f>
        <v>46569</v>
      </c>
      <c r="AV695" s="233">
        <f>VLOOKUP(AA695,'C PHASES'!$I$113:$J$125,2,FALSE)</f>
        <v>45170</v>
      </c>
    </row>
    <row r="696" spans="1:48" x14ac:dyDescent="0.25">
      <c r="A696" s="235"/>
      <c r="B696" s="227" t="str">
        <f t="shared" si="112"/>
        <v>D</v>
      </c>
      <c r="C696" s="227" t="s">
        <v>58</v>
      </c>
      <c r="D696" s="227" t="s">
        <v>1147</v>
      </c>
      <c r="E696" s="228">
        <v>2</v>
      </c>
      <c r="F696" s="101">
        <v>4</v>
      </c>
      <c r="G696" s="87" t="str">
        <f t="shared" si="111"/>
        <v>D224</v>
      </c>
      <c r="H696" s="87" t="s">
        <v>1294</v>
      </c>
      <c r="I696" s="89" t="str">
        <f>VLOOKUP(C696,'PREMIUM TABLES'!$G$107:$H$149,2,FALSE)</f>
        <v>C3</v>
      </c>
      <c r="J696" s="87">
        <v>126.99</v>
      </c>
      <c r="K696" s="87">
        <v>137.96303881797166</v>
      </c>
      <c r="L696" s="87">
        <v>155</v>
      </c>
      <c r="O696" s="87" t="s">
        <v>187</v>
      </c>
      <c r="P696" s="87" t="s">
        <v>190</v>
      </c>
      <c r="Q696" s="229" t="s">
        <v>197</v>
      </c>
      <c r="R696" s="87" t="str">
        <f>VLOOKUP(E696,'PREMIUM TABLES'!$F$214:$G$219,2,FALSE)</f>
        <v>SECOND</v>
      </c>
      <c r="S696" s="87" t="str" cm="1">
        <f t="array" ref="S696">IF(AND(L696&gt;0,L696&lt;90),"A",IF(AND(L696&gt;90,L696&lt;123),"B",IF(AND(L696&gt;122,L696&lt;159),"C",IF(AND(L696&gt;159,L696&lt;185),"D",IF(AND(L696&gt;185,L696&lt;230),"E",IF(AND(L696&gt;230,L696&lt;350),"F",NONE))))))</f>
        <v>C</v>
      </c>
      <c r="T696" s="230">
        <f>VLOOKUP(O696,'PREMIUM TABLES'!$G$165:$H$172,2,FALSE)</f>
        <v>0.08</v>
      </c>
      <c r="U696" s="230">
        <f>VLOOKUP(P696,'PREMIUM TABLES'!$G$208:$H$209,2,FALSE)</f>
        <v>2.5000000000000001E-2</v>
      </c>
      <c r="V696" s="230">
        <f>VLOOKUP(Q696,'PREMIUM TABLES'!$G$175:$H$195,2,FALSE)</f>
        <v>0.16</v>
      </c>
      <c r="W696" s="230">
        <f>VLOOKUP(R696,'PREMIUM TABLES'!$G$214:$H$219,2,FALSE)</f>
        <v>0.11</v>
      </c>
      <c r="X696" s="230">
        <f>VLOOKUP(S696,'PREMIUM TABLES'!$F$199:$H$205,3,FALSE)</f>
        <v>3.5000000000000003E-2</v>
      </c>
      <c r="Y696" s="231">
        <f t="shared" si="104"/>
        <v>0.41000000000000003</v>
      </c>
      <c r="Z696" s="231" t="str" cm="1">
        <f t="array" ref="Z696">IF(AND(Y696&gt;0,Y696&lt;0.5),"C",IF(AND(Y696&gt;=0.5,Y696&lt;0.73),"B",IF(AND(Y696&gt;=0.73,Y696&lt;0.98),"A",NONE)))</f>
        <v>C</v>
      </c>
      <c r="AA696" s="231" t="str">
        <f>VLOOKUP(G696,'ALL (R)'!$N$5:$R$862,5,FALSE)</f>
        <v>R 6</v>
      </c>
      <c r="AB696" s="232">
        <f>VLOOKUP(AA696,FACTS!$B$2:$L$14,10,FALSE)</f>
        <v>48450.000000000007</v>
      </c>
      <c r="AC696" s="232">
        <f>VLOOKUP(AA696,FACTS!$B$2:$L$14,11,FALSE)</f>
        <v>54150.000000000007</v>
      </c>
      <c r="AD696" s="232">
        <f>VLOOKUP(AA696,FACTS!$B$2:$N$14,13,FALSE)</f>
        <v>5700</v>
      </c>
      <c r="AE696" s="232">
        <f t="shared" si="105"/>
        <v>2337</v>
      </c>
      <c r="AF696" s="232">
        <f t="shared" si="106"/>
        <v>50787.000000000007</v>
      </c>
      <c r="AG696" s="232">
        <f>AF696*FACTS!$T$2</f>
        <v>16759.710000000003</v>
      </c>
      <c r="AH696" s="232">
        <f>Table1[[#This Row],[UNIT (BUILDING) RATE (SEMI FINISHED)]]+4500</f>
        <v>55287.000000000007</v>
      </c>
      <c r="AI696" s="232">
        <f>Table1[[#This Row],[UNIT (BUILDING) RATE (SEMI FINISHED)]]+7500</f>
        <v>58287.000000000007</v>
      </c>
      <c r="AJ696" s="232">
        <f t="shared" si="107"/>
        <v>7871985.0000000009</v>
      </c>
      <c r="AK696" s="232">
        <f>Table1[[#This Row],[UNIT (BUILDING) RATE (BASIC FINISH)]]*Table1[[#This Row],[Unit Selling Area]]</f>
        <v>8569485.0000000019</v>
      </c>
      <c r="AL696" s="232">
        <f>Table1[[#This Row],[UNIT (BUILDING) RATE (FULLY FINISH)]]*Table1[[#This Row],[Unit Selling Area]]</f>
        <v>9034485.0000000019</v>
      </c>
      <c r="AM696" s="232">
        <f t="shared" si="108"/>
        <v>0</v>
      </c>
      <c r="AN696" s="232">
        <f>(AM696+AJ696)*FACTS!$S$2</f>
        <v>669118.72500000009</v>
      </c>
      <c r="AO696" s="101">
        <f>VLOOKUP(S696,FACTS!$A$17:$C$23,3,FALSE)</f>
        <v>2</v>
      </c>
      <c r="AP696" s="232">
        <f>VLOOKUP(AA696,FACTS!$B$2:$J$14,9,FALSE)</f>
        <v>228000.00000000003</v>
      </c>
      <c r="AQ696" s="232">
        <f>Table1[[#This Row],[PARKING VALUE]]*1</f>
        <v>228000.00000000003</v>
      </c>
      <c r="AR696" s="232">
        <f t="shared" si="103"/>
        <v>8099985.0000000009</v>
      </c>
      <c r="AS696" s="440">
        <f>Table1[[#This Row],[TOTAL CARS VALUE]]+Table1[[#This Row],[UNIT (BUILDING) VALUE BASIC FINISHED]]+Table1[[#This Row],[UNIT (GARDEN) VALUE]]</f>
        <v>8797485.0000000019</v>
      </c>
      <c r="AT696" s="232">
        <f>Table1[[#This Row],[TOTAL CARS VALUE]]+Table1[[#This Row],[UNIT (GARDEN) VALUE]]+Table1[[#This Row],[UNIT (BUILDING) VALUE FULLY FINISHED]]</f>
        <v>9262485.0000000019</v>
      </c>
      <c r="AU696" s="233">
        <f>VLOOKUP(I696,'C PHASES'!$I$108:$J$110,2,FALSE)</f>
        <v>46569</v>
      </c>
      <c r="AV696" s="233">
        <f>VLOOKUP(AA696,'C PHASES'!$I$113:$J$125,2,FALSE)</f>
        <v>45658</v>
      </c>
    </row>
    <row r="697" spans="1:48" x14ac:dyDescent="0.25">
      <c r="A697" s="235"/>
      <c r="B697" s="227" t="str">
        <f t="shared" si="112"/>
        <v>D</v>
      </c>
      <c r="C697" s="227" t="s">
        <v>58</v>
      </c>
      <c r="D697" s="227" t="s">
        <v>1147</v>
      </c>
      <c r="E697" s="228">
        <v>3</v>
      </c>
      <c r="F697" s="101">
        <v>1</v>
      </c>
      <c r="G697" s="87" t="str">
        <f t="shared" si="111"/>
        <v>D231</v>
      </c>
      <c r="H697" s="87" t="s">
        <v>1294</v>
      </c>
      <c r="I697" s="89" t="str">
        <f>VLOOKUP(C697,'PREMIUM TABLES'!$G$107:$H$149,2,FALSE)</f>
        <v>C3</v>
      </c>
      <c r="J697" s="87">
        <v>131.88</v>
      </c>
      <c r="K697" s="87">
        <v>143.27557728414919</v>
      </c>
      <c r="L697" s="87">
        <v>161</v>
      </c>
      <c r="O697" s="87" t="s">
        <v>187</v>
      </c>
      <c r="P697" s="87" t="s">
        <v>190</v>
      </c>
      <c r="Q697" s="229" t="s">
        <v>197</v>
      </c>
      <c r="R697" s="87" t="str">
        <f>VLOOKUP(E697,'PREMIUM TABLES'!$F$214:$G$219,2,FALSE)</f>
        <v>THIRD</v>
      </c>
      <c r="S697" s="87" t="str" cm="1">
        <f t="array" ref="S697">IF(AND(L697&gt;0,L697&lt;90),"A",IF(AND(L697&gt;90,L697&lt;123),"B",IF(AND(L697&gt;122,L697&lt;159),"C",IF(AND(L697&gt;159,L697&lt;185),"D",IF(AND(L697&gt;185,L697&lt;230),"E",IF(AND(L697&gt;230,L697&lt;350),"F",NONE))))))</f>
        <v>D</v>
      </c>
      <c r="T697" s="230">
        <f>VLOOKUP(O697,'PREMIUM TABLES'!$G$165:$H$172,2,FALSE)</f>
        <v>0.08</v>
      </c>
      <c r="U697" s="230">
        <f>VLOOKUP(P697,'PREMIUM TABLES'!$G$208:$H$209,2,FALSE)</f>
        <v>2.5000000000000001E-2</v>
      </c>
      <c r="V697" s="230">
        <f>VLOOKUP(Q697,'PREMIUM TABLES'!$G$175:$H$195,2,FALSE)</f>
        <v>0.16</v>
      </c>
      <c r="W697" s="230">
        <f>VLOOKUP(R697,'PREMIUM TABLES'!$G$214:$H$219,2,FALSE)</f>
        <v>0.15</v>
      </c>
      <c r="X697" s="230">
        <f>VLOOKUP(S697,'PREMIUM TABLES'!$F$199:$H$205,3,FALSE)</f>
        <v>2.5000000000000001E-2</v>
      </c>
      <c r="Y697" s="231">
        <f t="shared" si="104"/>
        <v>0.44000000000000006</v>
      </c>
      <c r="Z697" s="231" t="str" cm="1">
        <f t="array" ref="Z697">IF(AND(Y697&gt;0,Y697&lt;0.5),"C",IF(AND(Y697&gt;=0.5,Y697&lt;0.73),"B",IF(AND(Y697&gt;=0.73,Y697&lt;0.98),"A",NONE)))</f>
        <v>C</v>
      </c>
      <c r="AA697" s="231" t="str">
        <f>VLOOKUP(G697,'ALL (R)'!$N$5:$R$862,5,FALSE)</f>
        <v>R 9</v>
      </c>
      <c r="AB697" s="232">
        <f>VLOOKUP(AA697,FACTS!$B$2:$L$14,10,FALSE)</f>
        <v>53550</v>
      </c>
      <c r="AC697" s="232">
        <f>VLOOKUP(AA697,FACTS!$B$2:$L$14,11,FALSE)</f>
        <v>59850</v>
      </c>
      <c r="AD697" s="232">
        <f>VLOOKUP(AA697,FACTS!$B$2:$N$14,13,FALSE)</f>
        <v>6300</v>
      </c>
      <c r="AE697" s="232">
        <f t="shared" si="105"/>
        <v>2772.0000000000005</v>
      </c>
      <c r="AF697" s="232">
        <f t="shared" si="106"/>
        <v>56322</v>
      </c>
      <c r="AG697" s="232">
        <f>AF697*FACTS!$T$2</f>
        <v>18586.260000000002</v>
      </c>
      <c r="AH697" s="232">
        <f>Table1[[#This Row],[UNIT (BUILDING) RATE (SEMI FINISHED)]]+4500</f>
        <v>60822</v>
      </c>
      <c r="AI697" s="232">
        <f>Table1[[#This Row],[UNIT (BUILDING) RATE (SEMI FINISHED)]]+7500</f>
        <v>63822</v>
      </c>
      <c r="AJ697" s="232">
        <f t="shared" si="107"/>
        <v>9067842</v>
      </c>
      <c r="AK697" s="232">
        <f>Table1[[#This Row],[UNIT (BUILDING) RATE (BASIC FINISH)]]*Table1[[#This Row],[Unit Selling Area]]</f>
        <v>9792342</v>
      </c>
      <c r="AL697" s="232">
        <f>Table1[[#This Row],[UNIT (BUILDING) RATE (FULLY FINISH)]]*Table1[[#This Row],[Unit Selling Area]]</f>
        <v>10275342</v>
      </c>
      <c r="AM697" s="232">
        <f t="shared" si="108"/>
        <v>0</v>
      </c>
      <c r="AN697" s="232">
        <f>(AM697+AJ697)*FACTS!$S$2</f>
        <v>770766.57000000007</v>
      </c>
      <c r="AO697" s="101">
        <f>VLOOKUP(S697,FACTS!$A$17:$C$23,3,FALSE)</f>
        <v>2</v>
      </c>
      <c r="AP697" s="232">
        <f>VLOOKUP(AA697,FACTS!$B$2:$J$14,9,FALSE)</f>
        <v>252000</v>
      </c>
      <c r="AQ697" s="232">
        <f>Table1[[#This Row],[PARKING VALUE]]*1</f>
        <v>252000</v>
      </c>
      <c r="AR697" s="232">
        <f t="shared" si="103"/>
        <v>9319842</v>
      </c>
      <c r="AS697" s="440">
        <f>Table1[[#This Row],[TOTAL CARS VALUE]]+Table1[[#This Row],[UNIT (BUILDING) VALUE BASIC FINISHED]]+Table1[[#This Row],[UNIT (GARDEN) VALUE]]</f>
        <v>10044342</v>
      </c>
      <c r="AT697" s="232">
        <f>Table1[[#This Row],[TOTAL CARS VALUE]]+Table1[[#This Row],[UNIT (GARDEN) VALUE]]+Table1[[#This Row],[UNIT (BUILDING) VALUE FULLY FINISHED]]</f>
        <v>10527342</v>
      </c>
      <c r="AU697" s="233">
        <f>VLOOKUP(I697,'C PHASES'!$I$108:$J$110,2,FALSE)</f>
        <v>46569</v>
      </c>
      <c r="AV697" s="233">
        <f>VLOOKUP(AA697,'C PHASES'!$I$113:$J$125,2,FALSE)</f>
        <v>45931</v>
      </c>
    </row>
    <row r="698" spans="1:48" x14ac:dyDescent="0.25">
      <c r="A698" s="235"/>
      <c r="B698" s="227" t="str">
        <f t="shared" si="112"/>
        <v>D</v>
      </c>
      <c r="C698" s="227" t="s">
        <v>58</v>
      </c>
      <c r="D698" s="227" t="s">
        <v>1147</v>
      </c>
      <c r="E698" s="228">
        <v>3</v>
      </c>
      <c r="F698" s="101">
        <v>2</v>
      </c>
      <c r="G698" s="87" t="str">
        <f t="shared" si="111"/>
        <v>D232</v>
      </c>
      <c r="H698" s="87" t="s">
        <v>1294</v>
      </c>
      <c r="I698" s="89" t="str">
        <f>VLOOKUP(C698,'PREMIUM TABLES'!$G$107:$H$149,2,FALSE)</f>
        <v>C3</v>
      </c>
      <c r="J698" s="87">
        <v>131.02000000000001</v>
      </c>
      <c r="K698" s="87">
        <v>142.34126581565991</v>
      </c>
      <c r="L698" s="87">
        <v>160</v>
      </c>
      <c r="O698" s="87" t="s">
        <v>180</v>
      </c>
      <c r="P698" s="87" t="s">
        <v>190</v>
      </c>
      <c r="Q698" s="229" t="s">
        <v>211</v>
      </c>
      <c r="R698" s="87" t="str">
        <f>VLOOKUP(E698,'PREMIUM TABLES'!$F$214:$G$219,2,FALSE)</f>
        <v>THIRD</v>
      </c>
      <c r="S698" s="87" t="str" cm="1">
        <f t="array" ref="S698">IF(AND(L698&gt;0,L698&lt;90),"A",IF(AND(L698&gt;90,L698&lt;123),"B",IF(AND(L698&gt;122,L698&lt;159),"C",IF(AND(L698&gt;159,L698&lt;185),"D",IF(AND(L698&gt;185,L698&lt;230),"E",IF(AND(L698&gt;230,L698&lt;350),"F",NONE))))))</f>
        <v>D</v>
      </c>
      <c r="T698" s="230">
        <f>VLOOKUP(O698,'PREMIUM TABLES'!$G$165:$H$172,2,FALSE)</f>
        <v>0.13</v>
      </c>
      <c r="U698" s="230">
        <f>VLOOKUP(P698,'PREMIUM TABLES'!$G$208:$H$209,2,FALSE)</f>
        <v>2.5000000000000001E-2</v>
      </c>
      <c r="V698" s="230">
        <f>VLOOKUP(Q698,'PREMIUM TABLES'!$G$175:$H$195,2,FALSE)</f>
        <v>0.43</v>
      </c>
      <c r="W698" s="230">
        <f>VLOOKUP(R698,'PREMIUM TABLES'!$G$214:$H$219,2,FALSE)</f>
        <v>0.15</v>
      </c>
      <c r="X698" s="230">
        <f>VLOOKUP(S698,'PREMIUM TABLES'!$F$199:$H$205,3,FALSE)</f>
        <v>2.5000000000000001E-2</v>
      </c>
      <c r="Y698" s="231">
        <f t="shared" si="104"/>
        <v>0.76</v>
      </c>
      <c r="Z698" s="231" t="str" cm="1">
        <f t="array" ref="Z698">IF(AND(Y698&gt;0,Y698&lt;0.5),"C",IF(AND(Y698&gt;=0.5,Y698&lt;0.73),"B",IF(AND(Y698&gt;=0.73,Y698&lt;0.98),"A",NONE)))</f>
        <v>A</v>
      </c>
      <c r="AA698" s="231" t="str">
        <f>VLOOKUP(G698,'ALL (R)'!$N$5:$R$862,5,FALSE)</f>
        <v>R 3</v>
      </c>
      <c r="AB698" s="232">
        <f>VLOOKUP(AA698,FACTS!$B$2:$L$14,10,FALSE)</f>
        <v>44625</v>
      </c>
      <c r="AC698" s="232">
        <f>VLOOKUP(AA698,FACTS!$B$2:$L$14,11,FALSE)</f>
        <v>49875</v>
      </c>
      <c r="AD698" s="232">
        <f>VLOOKUP(AA698,FACTS!$B$2:$N$14,13,FALSE)</f>
        <v>5250</v>
      </c>
      <c r="AE698" s="232">
        <f t="shared" si="105"/>
        <v>3990</v>
      </c>
      <c r="AF698" s="232">
        <f t="shared" si="106"/>
        <v>48615</v>
      </c>
      <c r="AG698" s="232">
        <f>AF698*FACTS!$T$2</f>
        <v>16042.95</v>
      </c>
      <c r="AH698" s="232">
        <f>Table1[[#This Row],[UNIT (BUILDING) RATE (SEMI FINISHED)]]+4500</f>
        <v>53115</v>
      </c>
      <c r="AI698" s="232">
        <f>Table1[[#This Row],[UNIT (BUILDING) RATE (SEMI FINISHED)]]+7500</f>
        <v>56115</v>
      </c>
      <c r="AJ698" s="232">
        <f t="shared" si="107"/>
        <v>7778400</v>
      </c>
      <c r="AK698" s="232">
        <f>Table1[[#This Row],[UNIT (BUILDING) RATE (BASIC FINISH)]]*Table1[[#This Row],[Unit Selling Area]]</f>
        <v>8498400</v>
      </c>
      <c r="AL698" s="232">
        <f>Table1[[#This Row],[UNIT (BUILDING) RATE (FULLY FINISH)]]*Table1[[#This Row],[Unit Selling Area]]</f>
        <v>8978400</v>
      </c>
      <c r="AM698" s="232">
        <f t="shared" si="108"/>
        <v>0</v>
      </c>
      <c r="AN698" s="232">
        <f>(AM698+AJ698)*FACTS!$S$2</f>
        <v>661164</v>
      </c>
      <c r="AO698" s="101">
        <f>VLOOKUP(S698,FACTS!$A$17:$C$23,3,FALSE)</f>
        <v>2</v>
      </c>
      <c r="AP698" s="232">
        <f>VLOOKUP(AA698,FACTS!$B$2:$J$14,9,FALSE)</f>
        <v>210000</v>
      </c>
      <c r="AQ698" s="232">
        <f>Table1[[#This Row],[PARKING VALUE]]*1</f>
        <v>210000</v>
      </c>
      <c r="AR698" s="232">
        <f t="shared" si="103"/>
        <v>7988400</v>
      </c>
      <c r="AS698" s="440">
        <f>Table1[[#This Row],[TOTAL CARS VALUE]]+Table1[[#This Row],[UNIT (BUILDING) VALUE BASIC FINISHED]]+Table1[[#This Row],[UNIT (GARDEN) VALUE]]</f>
        <v>8708400</v>
      </c>
      <c r="AT698" s="232">
        <f>Table1[[#This Row],[TOTAL CARS VALUE]]+Table1[[#This Row],[UNIT (GARDEN) VALUE]]+Table1[[#This Row],[UNIT (BUILDING) VALUE FULLY FINISHED]]</f>
        <v>9188400</v>
      </c>
      <c r="AU698" s="233">
        <f>VLOOKUP(I698,'C PHASES'!$I$108:$J$110,2,FALSE)</f>
        <v>46569</v>
      </c>
      <c r="AV698" s="233">
        <f>VLOOKUP(AA698,'C PHASES'!$I$113:$J$125,2,FALSE)</f>
        <v>45383</v>
      </c>
    </row>
    <row r="699" spans="1:48" x14ac:dyDescent="0.25">
      <c r="A699" s="235"/>
      <c r="B699" s="227" t="str">
        <f t="shared" si="112"/>
        <v>D</v>
      </c>
      <c r="C699" s="227" t="s">
        <v>58</v>
      </c>
      <c r="D699" s="227" t="s">
        <v>1147</v>
      </c>
      <c r="E699" s="228">
        <v>3</v>
      </c>
      <c r="F699" s="101">
        <v>3</v>
      </c>
      <c r="G699" s="87" t="str">
        <f t="shared" si="111"/>
        <v>D233</v>
      </c>
      <c r="H699" s="87" t="s">
        <v>1294</v>
      </c>
      <c r="I699" s="89" t="str">
        <f>VLOOKUP(C699,'PREMIUM TABLES'!$G$107:$H$149,2,FALSE)</f>
        <v>C3</v>
      </c>
      <c r="J699" s="87">
        <v>126.87</v>
      </c>
      <c r="K699" s="87">
        <v>137.83266977585691</v>
      </c>
      <c r="L699" s="87">
        <v>155</v>
      </c>
      <c r="O699" s="87" t="s">
        <v>180</v>
      </c>
      <c r="P699" s="87" t="s">
        <v>190</v>
      </c>
      <c r="Q699" s="229" t="s">
        <v>211</v>
      </c>
      <c r="R699" s="87" t="str">
        <f>VLOOKUP(E699,'PREMIUM TABLES'!$F$214:$G$219,2,FALSE)</f>
        <v>THIRD</v>
      </c>
      <c r="S699" s="87" t="str" cm="1">
        <f t="array" ref="S699">IF(AND(L699&gt;0,L699&lt;90),"A",IF(AND(L699&gt;90,L699&lt;123),"B",IF(AND(L699&gt;122,L699&lt;159),"C",IF(AND(L699&gt;159,L699&lt;185),"D",IF(AND(L699&gt;185,L699&lt;230),"E",IF(AND(L699&gt;230,L699&lt;350),"F",NONE))))))</f>
        <v>C</v>
      </c>
      <c r="T699" s="230">
        <f>VLOOKUP(O699,'PREMIUM TABLES'!$G$165:$H$172,2,FALSE)</f>
        <v>0.13</v>
      </c>
      <c r="U699" s="230">
        <f>VLOOKUP(P699,'PREMIUM TABLES'!$G$208:$H$209,2,FALSE)</f>
        <v>2.5000000000000001E-2</v>
      </c>
      <c r="V699" s="230">
        <f>VLOOKUP(Q699,'PREMIUM TABLES'!$G$175:$H$195,2,FALSE)</f>
        <v>0.43</v>
      </c>
      <c r="W699" s="230">
        <f>VLOOKUP(R699,'PREMIUM TABLES'!$G$214:$H$219,2,FALSE)</f>
        <v>0.15</v>
      </c>
      <c r="X699" s="230">
        <f>VLOOKUP(S699,'PREMIUM TABLES'!$F$199:$H$205,3,FALSE)</f>
        <v>3.5000000000000003E-2</v>
      </c>
      <c r="Y699" s="231">
        <f t="shared" si="104"/>
        <v>0.77</v>
      </c>
      <c r="Z699" s="231" t="str" cm="1">
        <f t="array" ref="Z699">IF(AND(Y699&gt;0,Y699&lt;0.5),"C",IF(AND(Y699&gt;=0.5,Y699&lt;0.73),"B",IF(AND(Y699&gt;=0.73,Y699&lt;0.98),"A",NONE)))</f>
        <v>A</v>
      </c>
      <c r="AA699" s="231" t="str">
        <f>VLOOKUP(G699,'ALL (R)'!$N$5:$R$862,5,FALSE)</f>
        <v>R 3</v>
      </c>
      <c r="AB699" s="232">
        <f>VLOOKUP(AA699,FACTS!$B$2:$L$14,10,FALSE)</f>
        <v>44625</v>
      </c>
      <c r="AC699" s="232">
        <f>VLOOKUP(AA699,FACTS!$B$2:$L$14,11,FALSE)</f>
        <v>49875</v>
      </c>
      <c r="AD699" s="232">
        <f>VLOOKUP(AA699,FACTS!$B$2:$N$14,13,FALSE)</f>
        <v>5250</v>
      </c>
      <c r="AE699" s="232">
        <f t="shared" si="105"/>
        <v>4042.5</v>
      </c>
      <c r="AF699" s="232">
        <f t="shared" si="106"/>
        <v>48667.5</v>
      </c>
      <c r="AG699" s="232">
        <f>AF699*FACTS!$T$2</f>
        <v>16060.275000000001</v>
      </c>
      <c r="AH699" s="232">
        <f>Table1[[#This Row],[UNIT (BUILDING) RATE (SEMI FINISHED)]]+4500</f>
        <v>53167.5</v>
      </c>
      <c r="AI699" s="232">
        <f>Table1[[#This Row],[UNIT (BUILDING) RATE (SEMI FINISHED)]]+7500</f>
        <v>56167.5</v>
      </c>
      <c r="AJ699" s="232">
        <f t="shared" si="107"/>
        <v>7543462.5</v>
      </c>
      <c r="AK699" s="232">
        <f>Table1[[#This Row],[UNIT (BUILDING) RATE (BASIC FINISH)]]*Table1[[#This Row],[Unit Selling Area]]</f>
        <v>8240962.5</v>
      </c>
      <c r="AL699" s="232">
        <f>Table1[[#This Row],[UNIT (BUILDING) RATE (FULLY FINISH)]]*Table1[[#This Row],[Unit Selling Area]]</f>
        <v>8705962.5</v>
      </c>
      <c r="AM699" s="232">
        <f t="shared" si="108"/>
        <v>0</v>
      </c>
      <c r="AN699" s="232">
        <f>(AM699+AJ699)*FACTS!$S$2</f>
        <v>641194.3125</v>
      </c>
      <c r="AO699" s="101">
        <f>VLOOKUP(S699,FACTS!$A$17:$C$23,3,FALSE)</f>
        <v>2</v>
      </c>
      <c r="AP699" s="232">
        <f>VLOOKUP(AA699,FACTS!$B$2:$J$14,9,FALSE)</f>
        <v>210000</v>
      </c>
      <c r="AQ699" s="232">
        <f>Table1[[#This Row],[PARKING VALUE]]*1</f>
        <v>210000</v>
      </c>
      <c r="AR699" s="232">
        <f t="shared" si="103"/>
        <v>7753462.5</v>
      </c>
      <c r="AS699" s="440">
        <f>Table1[[#This Row],[TOTAL CARS VALUE]]+Table1[[#This Row],[UNIT (BUILDING) VALUE BASIC FINISHED]]+Table1[[#This Row],[UNIT (GARDEN) VALUE]]</f>
        <v>8450962.5</v>
      </c>
      <c r="AT699" s="232">
        <f>Table1[[#This Row],[TOTAL CARS VALUE]]+Table1[[#This Row],[UNIT (GARDEN) VALUE]]+Table1[[#This Row],[UNIT (BUILDING) VALUE FULLY FINISHED]]</f>
        <v>8915962.5</v>
      </c>
      <c r="AU699" s="233">
        <f>VLOOKUP(I699,'C PHASES'!$I$108:$J$110,2,FALSE)</f>
        <v>46569</v>
      </c>
      <c r="AV699" s="233">
        <f>VLOOKUP(AA699,'C PHASES'!$I$113:$J$125,2,FALSE)</f>
        <v>45383</v>
      </c>
    </row>
    <row r="700" spans="1:48" x14ac:dyDescent="0.25">
      <c r="A700" s="235"/>
      <c r="B700" s="227" t="str">
        <f t="shared" si="112"/>
        <v>D</v>
      </c>
      <c r="C700" s="227" t="s">
        <v>58</v>
      </c>
      <c r="D700" s="227" t="s">
        <v>1147</v>
      </c>
      <c r="E700" s="228">
        <v>3</v>
      </c>
      <c r="F700" s="101">
        <v>4</v>
      </c>
      <c r="G700" s="87" t="str">
        <f t="shared" si="111"/>
        <v>D234</v>
      </c>
      <c r="H700" s="87" t="s">
        <v>1294</v>
      </c>
      <c r="I700" s="89" t="str">
        <f>VLOOKUP(C700,'PREMIUM TABLES'!$G$107:$H$149,2,FALSE)</f>
        <v>C3</v>
      </c>
      <c r="J700" s="87">
        <v>127.41</v>
      </c>
      <c r="K700" s="87">
        <v>138.41933046537343</v>
      </c>
      <c r="L700" s="87">
        <v>155</v>
      </c>
      <c r="O700" s="87" t="s">
        <v>187</v>
      </c>
      <c r="P700" s="87" t="s">
        <v>190</v>
      </c>
      <c r="Q700" s="229" t="s">
        <v>197</v>
      </c>
      <c r="R700" s="87" t="str">
        <f>VLOOKUP(E700,'PREMIUM TABLES'!$F$214:$G$219,2,FALSE)</f>
        <v>THIRD</v>
      </c>
      <c r="S700" s="87" t="str" cm="1">
        <f t="array" ref="S700">IF(AND(L700&gt;0,L700&lt;90),"A",IF(AND(L700&gt;90,L700&lt;123),"B",IF(AND(L700&gt;122,L700&lt;159),"C",IF(AND(L700&gt;159,L700&lt;185),"D",IF(AND(L700&gt;185,L700&lt;230),"E",IF(AND(L700&gt;230,L700&lt;350),"F",NONE))))))</f>
        <v>C</v>
      </c>
      <c r="T700" s="230">
        <f>VLOOKUP(O700,'PREMIUM TABLES'!$G$165:$H$172,2,FALSE)</f>
        <v>0.08</v>
      </c>
      <c r="U700" s="230">
        <f>VLOOKUP(P700,'PREMIUM TABLES'!$G$208:$H$209,2,FALSE)</f>
        <v>2.5000000000000001E-2</v>
      </c>
      <c r="V700" s="230">
        <f>VLOOKUP(Q700,'PREMIUM TABLES'!$G$175:$H$195,2,FALSE)</f>
        <v>0.16</v>
      </c>
      <c r="W700" s="230">
        <f>VLOOKUP(R700,'PREMIUM TABLES'!$G$214:$H$219,2,FALSE)</f>
        <v>0.15</v>
      </c>
      <c r="X700" s="230">
        <f>VLOOKUP(S700,'PREMIUM TABLES'!$F$199:$H$205,3,FALSE)</f>
        <v>3.5000000000000003E-2</v>
      </c>
      <c r="Y700" s="231">
        <f t="shared" si="104"/>
        <v>0.45000000000000007</v>
      </c>
      <c r="Z700" s="231" t="str" cm="1">
        <f t="array" ref="Z700">IF(AND(Y700&gt;0,Y700&lt;0.5),"C",IF(AND(Y700&gt;=0.5,Y700&lt;0.73),"B",IF(AND(Y700&gt;=0.73,Y700&lt;0.98),"A",NONE)))</f>
        <v>C</v>
      </c>
      <c r="AA700" s="231" t="str">
        <f>VLOOKUP(G700,'ALL (R)'!$N$5:$R$862,5,FALSE)</f>
        <v>R 9</v>
      </c>
      <c r="AB700" s="232">
        <f>VLOOKUP(AA700,FACTS!$B$2:$L$14,10,FALSE)</f>
        <v>53550</v>
      </c>
      <c r="AC700" s="232">
        <f>VLOOKUP(AA700,FACTS!$B$2:$L$14,11,FALSE)</f>
        <v>59850</v>
      </c>
      <c r="AD700" s="232">
        <f>VLOOKUP(AA700,FACTS!$B$2:$N$14,13,FALSE)</f>
        <v>6300</v>
      </c>
      <c r="AE700" s="232">
        <f t="shared" si="105"/>
        <v>2835.0000000000005</v>
      </c>
      <c r="AF700" s="232">
        <f t="shared" si="106"/>
        <v>56385</v>
      </c>
      <c r="AG700" s="232">
        <f>AF700*FACTS!$T$2</f>
        <v>18607.05</v>
      </c>
      <c r="AH700" s="232">
        <f>Table1[[#This Row],[UNIT (BUILDING) RATE (SEMI FINISHED)]]+4500</f>
        <v>60885</v>
      </c>
      <c r="AI700" s="232">
        <f>Table1[[#This Row],[UNIT (BUILDING) RATE (SEMI FINISHED)]]+7500</f>
        <v>63885</v>
      </c>
      <c r="AJ700" s="232">
        <f t="shared" si="107"/>
        <v>8739675</v>
      </c>
      <c r="AK700" s="232">
        <f>Table1[[#This Row],[UNIT (BUILDING) RATE (BASIC FINISH)]]*Table1[[#This Row],[Unit Selling Area]]</f>
        <v>9437175</v>
      </c>
      <c r="AL700" s="232">
        <f>Table1[[#This Row],[UNIT (BUILDING) RATE (FULLY FINISH)]]*Table1[[#This Row],[Unit Selling Area]]</f>
        <v>9902175</v>
      </c>
      <c r="AM700" s="232">
        <f t="shared" si="108"/>
        <v>0</v>
      </c>
      <c r="AN700" s="232">
        <f>(AM700+AJ700)*FACTS!$S$2</f>
        <v>742872.375</v>
      </c>
      <c r="AO700" s="101">
        <f>VLOOKUP(S700,FACTS!$A$17:$C$23,3,FALSE)</f>
        <v>2</v>
      </c>
      <c r="AP700" s="232">
        <f>VLOOKUP(AA700,FACTS!$B$2:$J$14,9,FALSE)</f>
        <v>252000</v>
      </c>
      <c r="AQ700" s="232">
        <f>Table1[[#This Row],[PARKING VALUE]]*1</f>
        <v>252000</v>
      </c>
      <c r="AR700" s="232">
        <f t="shared" si="103"/>
        <v>8991675</v>
      </c>
      <c r="AS700" s="440">
        <f>Table1[[#This Row],[TOTAL CARS VALUE]]+Table1[[#This Row],[UNIT (BUILDING) VALUE BASIC FINISHED]]+Table1[[#This Row],[UNIT (GARDEN) VALUE]]</f>
        <v>9689175</v>
      </c>
      <c r="AT700" s="232">
        <f>Table1[[#This Row],[TOTAL CARS VALUE]]+Table1[[#This Row],[UNIT (GARDEN) VALUE]]+Table1[[#This Row],[UNIT (BUILDING) VALUE FULLY FINISHED]]</f>
        <v>10154175</v>
      </c>
      <c r="AU700" s="233">
        <f>VLOOKUP(I700,'C PHASES'!$I$108:$J$110,2,FALSE)</f>
        <v>46569</v>
      </c>
      <c r="AV700" s="233">
        <f>VLOOKUP(AA700,'C PHASES'!$I$113:$J$125,2,FALSE)</f>
        <v>45931</v>
      </c>
    </row>
    <row r="701" spans="1:48" x14ac:dyDescent="0.25">
      <c r="A701" s="235"/>
      <c r="B701" s="227" t="str">
        <f t="shared" si="112"/>
        <v>D</v>
      </c>
      <c r="C701" s="227" t="s">
        <v>58</v>
      </c>
      <c r="D701" s="227" t="s">
        <v>1147</v>
      </c>
      <c r="E701" s="228">
        <v>4</v>
      </c>
      <c r="F701" s="101">
        <v>1</v>
      </c>
      <c r="G701" s="87" t="str">
        <f t="shared" si="111"/>
        <v>D241</v>
      </c>
      <c r="H701" s="87" t="s">
        <v>1294</v>
      </c>
      <c r="I701" s="89" t="str">
        <f>VLOOKUP(C701,'PREMIUM TABLES'!$G$107:$H$149,2,FALSE)</f>
        <v>C3</v>
      </c>
      <c r="J701" s="87">
        <v>129.59</v>
      </c>
      <c r="K701" s="87">
        <v>140.78770139712537</v>
      </c>
      <c r="L701" s="87">
        <v>158</v>
      </c>
      <c r="O701" s="87" t="s">
        <v>187</v>
      </c>
      <c r="P701" s="87" t="s">
        <v>190</v>
      </c>
      <c r="Q701" s="229" t="s">
        <v>197</v>
      </c>
      <c r="R701" s="87" t="str">
        <f>VLOOKUP(E701,'PREMIUM TABLES'!$F$214:$G$219,2,FALSE)</f>
        <v>FORTH</v>
      </c>
      <c r="S701" s="87" t="str" cm="1">
        <f t="array" ref="S701">IF(AND(L701&gt;0,L701&lt;90),"A",IF(AND(L701&gt;90,L701&lt;123),"B",IF(AND(L701&gt;122,L701&lt;159),"C",IF(AND(L701&gt;159,L701&lt;185),"D",IF(AND(L701&gt;185,L701&lt;230),"E",IF(AND(L701&gt;230,L701&lt;350),"F",NONE))))))</f>
        <v>C</v>
      </c>
      <c r="T701" s="230">
        <f>VLOOKUP(O701,'PREMIUM TABLES'!$G$165:$H$172,2,FALSE)</f>
        <v>0.08</v>
      </c>
      <c r="U701" s="230">
        <f>VLOOKUP(P701,'PREMIUM TABLES'!$G$208:$H$209,2,FALSE)</f>
        <v>2.5000000000000001E-2</v>
      </c>
      <c r="V701" s="230">
        <f>VLOOKUP(Q701,'PREMIUM TABLES'!$G$175:$H$195,2,FALSE)</f>
        <v>0.16</v>
      </c>
      <c r="W701" s="230">
        <f>VLOOKUP(R701,'PREMIUM TABLES'!$G$214:$H$219,2,FALSE)</f>
        <v>0.06</v>
      </c>
      <c r="X701" s="230">
        <f>VLOOKUP(S701,'PREMIUM TABLES'!$F$199:$H$205,3,FALSE)</f>
        <v>3.5000000000000003E-2</v>
      </c>
      <c r="Y701" s="231">
        <f t="shared" si="104"/>
        <v>0.36</v>
      </c>
      <c r="Z701" s="231" t="str" cm="1">
        <f t="array" ref="Z701">IF(AND(Y701&gt;0,Y701&lt;0.5),"C",IF(AND(Y701&gt;=0.5,Y701&lt;0.73),"B",IF(AND(Y701&gt;=0.73,Y701&lt;0.98),"A",NONE)))</f>
        <v>C</v>
      </c>
      <c r="AA701" s="231" t="str">
        <f>VLOOKUP(G701,'ALL (R)'!$N$5:$R$862,5,FALSE)</f>
        <v>R 2</v>
      </c>
      <c r="AB701" s="232">
        <f>VLOOKUP(AA701,FACTS!$B$2:$L$14,10,FALSE)</f>
        <v>43562.499999999993</v>
      </c>
      <c r="AC701" s="232">
        <f>VLOOKUP(AA701,FACTS!$B$2:$L$14,11,FALSE)</f>
        <v>48687.499999999993</v>
      </c>
      <c r="AD701" s="232">
        <f>VLOOKUP(AA701,FACTS!$B$2:$N$14,13,FALSE)</f>
        <v>5125</v>
      </c>
      <c r="AE701" s="232">
        <f t="shared" si="105"/>
        <v>1845</v>
      </c>
      <c r="AF701" s="232">
        <f t="shared" si="106"/>
        <v>45407.499999999993</v>
      </c>
      <c r="AG701" s="232">
        <f>AF701*FACTS!$T$2</f>
        <v>14984.474999999999</v>
      </c>
      <c r="AH701" s="232">
        <f>Table1[[#This Row],[UNIT (BUILDING) RATE (SEMI FINISHED)]]+4500</f>
        <v>49907.499999999993</v>
      </c>
      <c r="AI701" s="232">
        <f>Table1[[#This Row],[UNIT (BUILDING) RATE (SEMI FINISHED)]]+7500</f>
        <v>52907.499999999993</v>
      </c>
      <c r="AJ701" s="232">
        <f t="shared" si="107"/>
        <v>7174384.9999999991</v>
      </c>
      <c r="AK701" s="232">
        <f>Table1[[#This Row],[UNIT (BUILDING) RATE (BASIC FINISH)]]*Table1[[#This Row],[Unit Selling Area]]</f>
        <v>7885384.9999999991</v>
      </c>
      <c r="AL701" s="232">
        <f>Table1[[#This Row],[UNIT (BUILDING) RATE (FULLY FINISH)]]*Table1[[#This Row],[Unit Selling Area]]</f>
        <v>8359384.9999999991</v>
      </c>
      <c r="AM701" s="232">
        <f t="shared" si="108"/>
        <v>0</v>
      </c>
      <c r="AN701" s="232">
        <f>(AM701+AJ701)*FACTS!$S$2</f>
        <v>609822.72499999998</v>
      </c>
      <c r="AO701" s="101">
        <f>VLOOKUP(S701,FACTS!$A$17:$C$23,3,FALSE)</f>
        <v>2</v>
      </c>
      <c r="AP701" s="232">
        <f>VLOOKUP(AA701,FACTS!$B$2:$J$14,9,FALSE)</f>
        <v>204999.99999999997</v>
      </c>
      <c r="AQ701" s="232">
        <f>Table1[[#This Row],[PARKING VALUE]]*1</f>
        <v>204999.99999999997</v>
      </c>
      <c r="AR701" s="232">
        <f t="shared" si="103"/>
        <v>7379384.9999999991</v>
      </c>
      <c r="AS701" s="440">
        <f>Table1[[#This Row],[TOTAL CARS VALUE]]+Table1[[#This Row],[UNIT (BUILDING) VALUE BASIC FINISHED]]+Table1[[#This Row],[UNIT (GARDEN) VALUE]]</f>
        <v>8090384.9999999991</v>
      </c>
      <c r="AT701" s="232">
        <f>Table1[[#This Row],[TOTAL CARS VALUE]]+Table1[[#This Row],[UNIT (GARDEN) VALUE]]+Table1[[#This Row],[UNIT (BUILDING) VALUE FULLY FINISHED]]</f>
        <v>8564384.9999999981</v>
      </c>
      <c r="AU701" s="233">
        <f>VLOOKUP(I701,'C PHASES'!$I$108:$J$110,2,FALSE)</f>
        <v>46569</v>
      </c>
      <c r="AV701" s="233">
        <f>VLOOKUP(AA701,'C PHASES'!$I$113:$J$125,2,FALSE)</f>
        <v>45292</v>
      </c>
    </row>
    <row r="702" spans="1:48" x14ac:dyDescent="0.25">
      <c r="A702" s="235"/>
      <c r="B702" s="227" t="str">
        <f t="shared" si="112"/>
        <v>D</v>
      </c>
      <c r="C702" s="227" t="s">
        <v>58</v>
      </c>
      <c r="D702" s="227" t="s">
        <v>1147</v>
      </c>
      <c r="E702" s="228">
        <v>4</v>
      </c>
      <c r="F702" s="101">
        <v>2</v>
      </c>
      <c r="G702" s="87" t="str">
        <f t="shared" si="111"/>
        <v>D242</v>
      </c>
      <c r="H702" s="87" t="s">
        <v>1294</v>
      </c>
      <c r="I702" s="89" t="str">
        <f>VLOOKUP(C702,'PREMIUM TABLES'!$G$107:$H$149,2,FALSE)</f>
        <v>C3</v>
      </c>
      <c r="J702" s="87">
        <v>131.72</v>
      </c>
      <c r="K702" s="87">
        <v>143.10175189466281</v>
      </c>
      <c r="L702" s="87">
        <v>161</v>
      </c>
      <c r="O702" s="87" t="s">
        <v>180</v>
      </c>
      <c r="P702" s="87" t="s">
        <v>190</v>
      </c>
      <c r="Q702" s="229" t="s">
        <v>211</v>
      </c>
      <c r="R702" s="87" t="str">
        <f>VLOOKUP(E702,'PREMIUM TABLES'!$F$214:$G$219,2,FALSE)</f>
        <v>FORTH</v>
      </c>
      <c r="S702" s="87" t="str" cm="1">
        <f t="array" ref="S702">IF(AND(L702&gt;0,L702&lt;90),"A",IF(AND(L702&gt;90,L702&lt;123),"B",IF(AND(L702&gt;122,L702&lt;159),"C",IF(AND(L702&gt;159,L702&lt;185),"D",IF(AND(L702&gt;185,L702&lt;230),"E",IF(AND(L702&gt;230,L702&lt;350),"F",NONE))))))</f>
        <v>D</v>
      </c>
      <c r="T702" s="230">
        <f>VLOOKUP(O702,'PREMIUM TABLES'!$G$165:$H$172,2,FALSE)</f>
        <v>0.13</v>
      </c>
      <c r="U702" s="230">
        <f>VLOOKUP(P702,'PREMIUM TABLES'!$G$208:$H$209,2,FALSE)</f>
        <v>2.5000000000000001E-2</v>
      </c>
      <c r="V702" s="230">
        <f>VLOOKUP(Q702,'PREMIUM TABLES'!$G$175:$H$195,2,FALSE)</f>
        <v>0.43</v>
      </c>
      <c r="W702" s="230">
        <f>VLOOKUP(R702,'PREMIUM TABLES'!$G$214:$H$219,2,FALSE)</f>
        <v>0.06</v>
      </c>
      <c r="X702" s="230">
        <f>VLOOKUP(S702,'PREMIUM TABLES'!$F$199:$H$205,3,FALSE)</f>
        <v>2.5000000000000001E-2</v>
      </c>
      <c r="Y702" s="231">
        <f t="shared" si="104"/>
        <v>0.67</v>
      </c>
      <c r="Z702" s="231" t="str" cm="1">
        <f t="array" ref="Z702">IF(AND(Y702&gt;0,Y702&lt;0.5),"C",IF(AND(Y702&gt;=0.5,Y702&lt;0.73),"B",IF(AND(Y702&gt;=0.73,Y702&lt;0.98),"A",NONE)))</f>
        <v>B</v>
      </c>
      <c r="AA702" s="231" t="str">
        <f>VLOOKUP(G702,'ALL (R)'!$N$5:$R$862,5,FALSE)</f>
        <v>R 6</v>
      </c>
      <c r="AB702" s="232">
        <f>VLOOKUP(AA702,FACTS!$B$2:$L$14,10,FALSE)</f>
        <v>48450.000000000007</v>
      </c>
      <c r="AC702" s="232">
        <f>VLOOKUP(AA702,FACTS!$B$2:$L$14,11,FALSE)</f>
        <v>54150.000000000007</v>
      </c>
      <c r="AD702" s="232">
        <f>VLOOKUP(AA702,FACTS!$B$2:$N$14,13,FALSE)</f>
        <v>5700</v>
      </c>
      <c r="AE702" s="232">
        <f t="shared" si="105"/>
        <v>3819.0000000000005</v>
      </c>
      <c r="AF702" s="232">
        <f t="shared" si="106"/>
        <v>52269.000000000007</v>
      </c>
      <c r="AG702" s="232">
        <f>AF702*FACTS!$T$2</f>
        <v>17248.770000000004</v>
      </c>
      <c r="AH702" s="232">
        <f>Table1[[#This Row],[UNIT (BUILDING) RATE (SEMI FINISHED)]]+4500</f>
        <v>56769.000000000007</v>
      </c>
      <c r="AI702" s="232">
        <f>Table1[[#This Row],[UNIT (BUILDING) RATE (SEMI FINISHED)]]+7500</f>
        <v>59769.000000000007</v>
      </c>
      <c r="AJ702" s="232">
        <f t="shared" si="107"/>
        <v>8415309.0000000019</v>
      </c>
      <c r="AK702" s="232">
        <f>Table1[[#This Row],[UNIT (BUILDING) RATE (BASIC FINISH)]]*Table1[[#This Row],[Unit Selling Area]]</f>
        <v>9139809.0000000019</v>
      </c>
      <c r="AL702" s="232">
        <f>Table1[[#This Row],[UNIT (BUILDING) RATE (FULLY FINISH)]]*Table1[[#This Row],[Unit Selling Area]]</f>
        <v>9622809.0000000019</v>
      </c>
      <c r="AM702" s="232">
        <f t="shared" si="108"/>
        <v>0</v>
      </c>
      <c r="AN702" s="232">
        <f>(AM702+AJ702)*FACTS!$S$2</f>
        <v>715301.26500000025</v>
      </c>
      <c r="AO702" s="101">
        <f>VLOOKUP(S702,FACTS!$A$17:$C$23,3,FALSE)</f>
        <v>2</v>
      </c>
      <c r="AP702" s="232">
        <f>VLOOKUP(AA702,FACTS!$B$2:$J$14,9,FALSE)</f>
        <v>228000.00000000003</v>
      </c>
      <c r="AQ702" s="232">
        <f>Table1[[#This Row],[PARKING VALUE]]*1</f>
        <v>228000.00000000003</v>
      </c>
      <c r="AR702" s="232">
        <f t="shared" si="103"/>
        <v>8643309.0000000019</v>
      </c>
      <c r="AS702" s="440">
        <f>Table1[[#This Row],[TOTAL CARS VALUE]]+Table1[[#This Row],[UNIT (BUILDING) VALUE BASIC FINISHED]]+Table1[[#This Row],[UNIT (GARDEN) VALUE]]</f>
        <v>9367809.0000000019</v>
      </c>
      <c r="AT702" s="232">
        <f>Table1[[#This Row],[TOTAL CARS VALUE]]+Table1[[#This Row],[UNIT (GARDEN) VALUE]]+Table1[[#This Row],[UNIT (BUILDING) VALUE FULLY FINISHED]]</f>
        <v>9850809.0000000019</v>
      </c>
      <c r="AU702" s="233">
        <f>VLOOKUP(I702,'C PHASES'!$I$108:$J$110,2,FALSE)</f>
        <v>46569</v>
      </c>
      <c r="AV702" s="233">
        <f>VLOOKUP(AA702,'C PHASES'!$I$113:$J$125,2,FALSE)</f>
        <v>45658</v>
      </c>
    </row>
    <row r="703" spans="1:48" x14ac:dyDescent="0.25">
      <c r="A703" s="235"/>
      <c r="B703" s="227" t="str">
        <f t="shared" si="112"/>
        <v>D</v>
      </c>
      <c r="C703" s="227" t="s">
        <v>58</v>
      </c>
      <c r="D703" s="227" t="s">
        <v>1147</v>
      </c>
      <c r="E703" s="228">
        <v>4</v>
      </c>
      <c r="F703" s="101">
        <v>3</v>
      </c>
      <c r="G703" s="87" t="str">
        <f t="shared" si="111"/>
        <v>D243</v>
      </c>
      <c r="H703" s="87" t="s">
        <v>1294</v>
      </c>
      <c r="I703" s="89" t="str">
        <f>VLOOKUP(C703,'PREMIUM TABLES'!$G$107:$H$149,2,FALSE)</f>
        <v>C3</v>
      </c>
      <c r="J703" s="87">
        <v>127.12</v>
      </c>
      <c r="K703" s="87">
        <v>138.10427194692937</v>
      </c>
      <c r="L703" s="87">
        <v>155</v>
      </c>
      <c r="O703" s="87" t="s">
        <v>180</v>
      </c>
      <c r="P703" s="87" t="s">
        <v>190</v>
      </c>
      <c r="Q703" s="229" t="s">
        <v>211</v>
      </c>
      <c r="R703" s="87" t="str">
        <f>VLOOKUP(E703,'PREMIUM TABLES'!$F$214:$G$219,2,FALSE)</f>
        <v>FORTH</v>
      </c>
      <c r="S703" s="87" t="str" cm="1">
        <f t="array" ref="S703">IF(AND(L703&gt;0,L703&lt;90),"A",IF(AND(L703&gt;90,L703&lt;123),"B",IF(AND(L703&gt;122,L703&lt;159),"C",IF(AND(L703&gt;159,L703&lt;185),"D",IF(AND(L703&gt;185,L703&lt;230),"E",IF(AND(L703&gt;230,L703&lt;350),"F",NONE))))))</f>
        <v>C</v>
      </c>
      <c r="T703" s="230">
        <f>VLOOKUP(O703,'PREMIUM TABLES'!$G$165:$H$172,2,FALSE)</f>
        <v>0.13</v>
      </c>
      <c r="U703" s="230">
        <f>VLOOKUP(P703,'PREMIUM TABLES'!$G$208:$H$209,2,FALSE)</f>
        <v>2.5000000000000001E-2</v>
      </c>
      <c r="V703" s="230">
        <f>VLOOKUP(Q703,'PREMIUM TABLES'!$G$175:$H$195,2,FALSE)</f>
        <v>0.43</v>
      </c>
      <c r="W703" s="230">
        <f>VLOOKUP(R703,'PREMIUM TABLES'!$G$214:$H$219,2,FALSE)</f>
        <v>0.06</v>
      </c>
      <c r="X703" s="230">
        <f>VLOOKUP(S703,'PREMIUM TABLES'!$F$199:$H$205,3,FALSE)</f>
        <v>3.5000000000000003E-2</v>
      </c>
      <c r="Y703" s="231">
        <f t="shared" si="104"/>
        <v>0.68</v>
      </c>
      <c r="Z703" s="231" t="str" cm="1">
        <f t="array" ref="Z703">IF(AND(Y703&gt;0,Y703&lt;0.5),"C",IF(AND(Y703&gt;=0.5,Y703&lt;0.73),"B",IF(AND(Y703&gt;=0.73,Y703&lt;0.98),"A",NONE)))</f>
        <v>B</v>
      </c>
      <c r="AA703" s="231" t="str">
        <f>VLOOKUP(G703,'ALL (R)'!$N$5:$R$862,5,FALSE)</f>
        <v>R 7</v>
      </c>
      <c r="AB703" s="232">
        <f>VLOOKUP(AA703,FACTS!$B$2:$L$14,10,FALSE)</f>
        <v>50150</v>
      </c>
      <c r="AC703" s="232">
        <f>VLOOKUP(AA703,FACTS!$B$2:$L$14,11,FALSE)</f>
        <v>56050</v>
      </c>
      <c r="AD703" s="232">
        <f>VLOOKUP(AA703,FACTS!$B$2:$N$14,13,FALSE)</f>
        <v>5900</v>
      </c>
      <c r="AE703" s="232">
        <f t="shared" si="105"/>
        <v>4012.0000000000005</v>
      </c>
      <c r="AF703" s="232">
        <f t="shared" si="106"/>
        <v>54162</v>
      </c>
      <c r="AG703" s="232">
        <f>AF703*FACTS!$T$2</f>
        <v>17873.46</v>
      </c>
      <c r="AH703" s="232">
        <f>Table1[[#This Row],[UNIT (BUILDING) RATE (SEMI FINISHED)]]+4500</f>
        <v>58662</v>
      </c>
      <c r="AI703" s="232">
        <f>Table1[[#This Row],[UNIT (BUILDING) RATE (SEMI FINISHED)]]+7500</f>
        <v>61662</v>
      </c>
      <c r="AJ703" s="232">
        <f t="shared" si="107"/>
        <v>8395110</v>
      </c>
      <c r="AK703" s="232">
        <f>Table1[[#This Row],[UNIT (BUILDING) RATE (BASIC FINISH)]]*Table1[[#This Row],[Unit Selling Area]]</f>
        <v>9092610</v>
      </c>
      <c r="AL703" s="232">
        <f>Table1[[#This Row],[UNIT (BUILDING) RATE (FULLY FINISH)]]*Table1[[#This Row],[Unit Selling Area]]</f>
        <v>9557610</v>
      </c>
      <c r="AM703" s="232">
        <f t="shared" si="108"/>
        <v>0</v>
      </c>
      <c r="AN703" s="232">
        <f>(AM703+AJ703)*FACTS!$S$2</f>
        <v>713584.35000000009</v>
      </c>
      <c r="AO703" s="101">
        <f>VLOOKUP(S703,FACTS!$A$17:$C$23,3,FALSE)</f>
        <v>2</v>
      </c>
      <c r="AP703" s="232">
        <f>VLOOKUP(AA703,FACTS!$B$2:$J$14,9,FALSE)</f>
        <v>236000</v>
      </c>
      <c r="AQ703" s="232">
        <f>Table1[[#This Row],[PARKING VALUE]]*1</f>
        <v>236000</v>
      </c>
      <c r="AR703" s="232">
        <f t="shared" si="103"/>
        <v>8631110</v>
      </c>
      <c r="AS703" s="440">
        <f>Table1[[#This Row],[TOTAL CARS VALUE]]+Table1[[#This Row],[UNIT (BUILDING) VALUE BASIC FINISHED]]+Table1[[#This Row],[UNIT (GARDEN) VALUE]]</f>
        <v>9328610</v>
      </c>
      <c r="AT703" s="232">
        <f>Table1[[#This Row],[TOTAL CARS VALUE]]+Table1[[#This Row],[UNIT (GARDEN) VALUE]]+Table1[[#This Row],[UNIT (BUILDING) VALUE FULLY FINISHED]]</f>
        <v>9793610</v>
      </c>
      <c r="AU703" s="233">
        <f>VLOOKUP(I703,'C PHASES'!$I$108:$J$110,2,FALSE)</f>
        <v>46569</v>
      </c>
      <c r="AV703" s="233">
        <f>VLOOKUP(AA703,'C PHASES'!$I$113:$J$125,2,FALSE)</f>
        <v>45748</v>
      </c>
    </row>
    <row r="704" spans="1:48" x14ac:dyDescent="0.25">
      <c r="A704" s="235"/>
      <c r="B704" s="227" t="str">
        <f t="shared" si="112"/>
        <v>D</v>
      </c>
      <c r="C704" s="227" t="s">
        <v>58</v>
      </c>
      <c r="D704" s="227" t="s">
        <v>1147</v>
      </c>
      <c r="E704" s="228">
        <v>4</v>
      </c>
      <c r="F704" s="101">
        <v>4</v>
      </c>
      <c r="G704" s="87" t="str">
        <f t="shared" si="111"/>
        <v>D244</v>
      </c>
      <c r="H704" s="87" t="s">
        <v>1294</v>
      </c>
      <c r="I704" s="89" t="str">
        <f>VLOOKUP(C704,'PREMIUM TABLES'!$G$107:$H$149,2,FALSE)</f>
        <v>C3</v>
      </c>
      <c r="J704" s="87">
        <v>125.12</v>
      </c>
      <c r="K704" s="87">
        <v>135.93145457834962</v>
      </c>
      <c r="L704" s="87">
        <v>153</v>
      </c>
      <c r="O704" s="87" t="s">
        <v>187</v>
      </c>
      <c r="P704" s="87" t="s">
        <v>190</v>
      </c>
      <c r="Q704" s="229" t="s">
        <v>197</v>
      </c>
      <c r="R704" s="87" t="str">
        <f>VLOOKUP(E704,'PREMIUM TABLES'!$F$214:$G$219,2,FALSE)</f>
        <v>FORTH</v>
      </c>
      <c r="S704" s="87" t="str" cm="1">
        <f t="array" ref="S704">IF(AND(L704&gt;0,L704&lt;90),"A",IF(AND(L704&gt;90,L704&lt;123),"B",IF(AND(L704&gt;122,L704&lt;159),"C",IF(AND(L704&gt;159,L704&lt;185),"D",IF(AND(L704&gt;185,L704&lt;230),"E",IF(AND(L704&gt;230,L704&lt;350),"F",NONE))))))</f>
        <v>C</v>
      </c>
      <c r="T704" s="230">
        <f>VLOOKUP(O704,'PREMIUM TABLES'!$G$165:$H$172,2,FALSE)</f>
        <v>0.08</v>
      </c>
      <c r="U704" s="230">
        <f>VLOOKUP(P704,'PREMIUM TABLES'!$G$208:$H$209,2,FALSE)</f>
        <v>2.5000000000000001E-2</v>
      </c>
      <c r="V704" s="230">
        <f>VLOOKUP(Q704,'PREMIUM TABLES'!$G$175:$H$195,2,FALSE)</f>
        <v>0.16</v>
      </c>
      <c r="W704" s="230">
        <f>VLOOKUP(R704,'PREMIUM TABLES'!$G$214:$H$219,2,FALSE)</f>
        <v>0.06</v>
      </c>
      <c r="X704" s="230">
        <f>VLOOKUP(S704,'PREMIUM TABLES'!$F$199:$H$205,3,FALSE)</f>
        <v>3.5000000000000003E-2</v>
      </c>
      <c r="Y704" s="231">
        <f t="shared" si="104"/>
        <v>0.36</v>
      </c>
      <c r="Z704" s="231" t="str" cm="1">
        <f t="array" ref="Z704">IF(AND(Y704&gt;0,Y704&lt;0.5),"C",IF(AND(Y704&gt;=0.5,Y704&lt;0.73),"B",IF(AND(Y704&gt;=0.73,Y704&lt;0.98),"A",NONE)))</f>
        <v>C</v>
      </c>
      <c r="AA704" s="231" t="str">
        <f>VLOOKUP(G704,'ALL (R)'!$N$5:$R$862,5,FALSE)</f>
        <v>R 2</v>
      </c>
      <c r="AB704" s="232">
        <f>VLOOKUP(AA704,FACTS!$B$2:$L$14,10,FALSE)</f>
        <v>43562.499999999993</v>
      </c>
      <c r="AC704" s="232">
        <f>VLOOKUP(AA704,FACTS!$B$2:$L$14,11,FALSE)</f>
        <v>48687.499999999993</v>
      </c>
      <c r="AD704" s="232">
        <f>VLOOKUP(AA704,FACTS!$B$2:$N$14,13,FALSE)</f>
        <v>5125</v>
      </c>
      <c r="AE704" s="232">
        <f t="shared" si="105"/>
        <v>1845</v>
      </c>
      <c r="AF704" s="232">
        <f t="shared" si="106"/>
        <v>45407.499999999993</v>
      </c>
      <c r="AG704" s="232">
        <f>AF704*FACTS!$T$2</f>
        <v>14984.474999999999</v>
      </c>
      <c r="AH704" s="232">
        <f>Table1[[#This Row],[UNIT (BUILDING) RATE (SEMI FINISHED)]]+4500</f>
        <v>49907.499999999993</v>
      </c>
      <c r="AI704" s="232">
        <f>Table1[[#This Row],[UNIT (BUILDING) RATE (SEMI FINISHED)]]+7500</f>
        <v>52907.499999999993</v>
      </c>
      <c r="AJ704" s="232">
        <f t="shared" si="107"/>
        <v>6947347.4999999991</v>
      </c>
      <c r="AK704" s="232">
        <f>Table1[[#This Row],[UNIT (BUILDING) RATE (BASIC FINISH)]]*Table1[[#This Row],[Unit Selling Area]]</f>
        <v>7635847.4999999991</v>
      </c>
      <c r="AL704" s="232">
        <f>Table1[[#This Row],[UNIT (BUILDING) RATE (FULLY FINISH)]]*Table1[[#This Row],[Unit Selling Area]]</f>
        <v>8094847.4999999991</v>
      </c>
      <c r="AM704" s="232">
        <f t="shared" si="108"/>
        <v>0</v>
      </c>
      <c r="AN704" s="232">
        <f>(AM704+AJ704)*FACTS!$S$2</f>
        <v>590524.53749999998</v>
      </c>
      <c r="AO704" s="101">
        <f>VLOOKUP(S704,FACTS!$A$17:$C$23,3,FALSE)</f>
        <v>2</v>
      </c>
      <c r="AP704" s="232">
        <f>VLOOKUP(AA704,FACTS!$B$2:$J$14,9,FALSE)</f>
        <v>204999.99999999997</v>
      </c>
      <c r="AQ704" s="232">
        <f>Table1[[#This Row],[PARKING VALUE]]*1</f>
        <v>204999.99999999997</v>
      </c>
      <c r="AR704" s="232">
        <f t="shared" si="103"/>
        <v>7152347.4999999991</v>
      </c>
      <c r="AS704" s="440">
        <f>Table1[[#This Row],[TOTAL CARS VALUE]]+Table1[[#This Row],[UNIT (BUILDING) VALUE BASIC FINISHED]]+Table1[[#This Row],[UNIT (GARDEN) VALUE]]</f>
        <v>7840847.4999999991</v>
      </c>
      <c r="AT704" s="232">
        <f>Table1[[#This Row],[TOTAL CARS VALUE]]+Table1[[#This Row],[UNIT (GARDEN) VALUE]]+Table1[[#This Row],[UNIT (BUILDING) VALUE FULLY FINISHED]]</f>
        <v>8299847.4999999991</v>
      </c>
      <c r="AU704" s="233">
        <f>VLOOKUP(I704,'C PHASES'!$I$108:$J$110,2,FALSE)</f>
        <v>46569</v>
      </c>
      <c r="AV704" s="233">
        <f>VLOOKUP(AA704,'C PHASES'!$I$113:$J$125,2,FALSE)</f>
        <v>45292</v>
      </c>
    </row>
    <row r="705" spans="1:48" ht="21.75" x14ac:dyDescent="0.25">
      <c r="A705" s="235" t="s">
        <v>38</v>
      </c>
      <c r="B705" s="227" t="str">
        <f t="shared" si="112"/>
        <v>D</v>
      </c>
      <c r="C705" s="227" t="s">
        <v>56</v>
      </c>
      <c r="D705" s="227" t="s">
        <v>1147</v>
      </c>
      <c r="E705" s="228">
        <v>0</v>
      </c>
      <c r="F705" s="101">
        <v>1</v>
      </c>
      <c r="G705" s="87" t="str">
        <f>LEFT(C705,2)&amp;E705&amp;F705</f>
        <v>D301</v>
      </c>
      <c r="H705" s="87" t="s">
        <v>1294</v>
      </c>
      <c r="I705" s="89" t="str">
        <f>VLOOKUP(C705,'PREMIUM TABLES'!$G$107:$H$149,2,FALSE)</f>
        <v>C3</v>
      </c>
      <c r="J705" s="87">
        <v>131.34</v>
      </c>
      <c r="K705" s="87">
        <v>142.61992000608555</v>
      </c>
      <c r="L705" s="87">
        <v>160</v>
      </c>
      <c r="M705" s="87">
        <v>66.235699999999994</v>
      </c>
      <c r="O705" s="87" t="s">
        <v>187</v>
      </c>
      <c r="P705" s="87" t="s">
        <v>226</v>
      </c>
      <c r="Q705" s="229" t="s">
        <v>197</v>
      </c>
      <c r="R705" s="87" t="str">
        <f>VLOOKUP(E705,'PREMIUM TABLES'!$F$214:$G$219,2,FALSE)</f>
        <v>GROUND</v>
      </c>
      <c r="S705" s="87" t="str" cm="1">
        <f t="array" ref="S705">IF(AND(L705&gt;0,L705&lt;90),"A",IF(AND(L705&gt;90,L705&lt;123),"B",IF(AND(L705&gt;122,L705&lt;159),"C",IF(AND(L705&gt;159,L705&lt;185),"D",IF(AND(L705&gt;185,L705&lt;230),"E",IF(AND(L705&gt;230,L705&lt;350),"F",NONE))))))</f>
        <v>D</v>
      </c>
      <c r="T705" s="230">
        <f>VLOOKUP(O705,'PREMIUM TABLES'!$G$165:$H$172,2,FALSE)</f>
        <v>0.08</v>
      </c>
      <c r="U705" s="230">
        <f>VLOOKUP(P705,'PREMIUM TABLES'!$G$208:$H$209,2,FALSE)</f>
        <v>0.05</v>
      </c>
      <c r="V705" s="230">
        <f>VLOOKUP(Q705,'PREMIUM TABLES'!$G$175:$H$195,2,FALSE)</f>
        <v>0.16</v>
      </c>
      <c r="W705" s="230">
        <f>VLOOKUP(R705,'PREMIUM TABLES'!$G$214:$H$219,2,FALSE)</f>
        <v>0.05</v>
      </c>
      <c r="X705" s="230">
        <f>VLOOKUP(S705,'PREMIUM TABLES'!$F$199:$H$205,3,FALSE)</f>
        <v>2.5000000000000001E-2</v>
      </c>
      <c r="Y705" s="231">
        <f t="shared" si="104"/>
        <v>0.36500000000000005</v>
      </c>
      <c r="Z705" s="231" t="str" cm="1">
        <f t="array" ref="Z705">IF(AND(Y705&gt;0,Y705&lt;0.5),"C",IF(AND(Y705&gt;=0.5,Y705&lt;0.73),"B",IF(AND(Y705&gt;=0.73,Y705&lt;0.98),"A",NONE)))</f>
        <v>C</v>
      </c>
      <c r="AA705" s="231" t="str">
        <f>VLOOKUP(G705,'ALL (R)'!$N$5:$R$862,5,FALSE)</f>
        <v>R 2</v>
      </c>
      <c r="AB705" s="232">
        <f>VLOOKUP(AA705,FACTS!$B$2:$L$14,10,FALSE)</f>
        <v>43562.499999999993</v>
      </c>
      <c r="AC705" s="232">
        <f>VLOOKUP(AA705,FACTS!$B$2:$L$14,11,FALSE)</f>
        <v>48687.499999999993</v>
      </c>
      <c r="AD705" s="232">
        <f>VLOOKUP(AA705,FACTS!$B$2:$N$14,13,FALSE)</f>
        <v>5125</v>
      </c>
      <c r="AE705" s="232">
        <f t="shared" si="105"/>
        <v>1870.6250000000002</v>
      </c>
      <c r="AF705" s="232">
        <f t="shared" si="106"/>
        <v>45433.124999999993</v>
      </c>
      <c r="AG705" s="232">
        <f>AF705*FACTS!$T$2</f>
        <v>14992.931249999998</v>
      </c>
      <c r="AH705" s="232">
        <f>Table1[[#This Row],[UNIT (BUILDING) RATE (SEMI FINISHED)]]+4500</f>
        <v>49933.124999999993</v>
      </c>
      <c r="AI705" s="232">
        <f>Table1[[#This Row],[UNIT (BUILDING) RATE (SEMI FINISHED)]]+7500</f>
        <v>52933.124999999993</v>
      </c>
      <c r="AJ705" s="232">
        <f t="shared" si="107"/>
        <v>7269299.9999999991</v>
      </c>
      <c r="AK705" s="232">
        <f>Table1[[#This Row],[UNIT (BUILDING) RATE (BASIC FINISH)]]*Table1[[#This Row],[Unit Selling Area]]</f>
        <v>7989299.9999999991</v>
      </c>
      <c r="AL705" s="232">
        <f>Table1[[#This Row],[UNIT (BUILDING) RATE (FULLY FINISH)]]*Table1[[#This Row],[Unit Selling Area]]</f>
        <v>8469299.9999999981</v>
      </c>
      <c r="AM705" s="232">
        <f t="shared" si="108"/>
        <v>993067.29639562475</v>
      </c>
      <c r="AN705" s="232">
        <f>(AM705+AJ705)*FACTS!$S$2</f>
        <v>702301.22019362811</v>
      </c>
      <c r="AO705" s="101">
        <f>VLOOKUP(S705,FACTS!$A$17:$C$23,3,FALSE)</f>
        <v>2</v>
      </c>
      <c r="AP705" s="232">
        <f>VLOOKUP(AA705,FACTS!$B$2:$J$14,9,FALSE)</f>
        <v>204999.99999999997</v>
      </c>
      <c r="AQ705" s="232">
        <f>Table1[[#This Row],[PARKING VALUE]]*1</f>
        <v>204999.99999999997</v>
      </c>
      <c r="AR705" s="232">
        <f t="shared" si="103"/>
        <v>8467367.2963956241</v>
      </c>
      <c r="AS705" s="440">
        <f>Table1[[#This Row],[TOTAL CARS VALUE]]+Table1[[#This Row],[UNIT (BUILDING) VALUE BASIC FINISHED]]+Table1[[#This Row],[UNIT (GARDEN) VALUE]]</f>
        <v>9187367.2963956241</v>
      </c>
      <c r="AT705" s="232">
        <f>Table1[[#This Row],[TOTAL CARS VALUE]]+Table1[[#This Row],[UNIT (GARDEN) VALUE]]+Table1[[#This Row],[UNIT (BUILDING) VALUE FULLY FINISHED]]</f>
        <v>9667367.2963956222</v>
      </c>
      <c r="AU705" s="233">
        <f>VLOOKUP(I705,'C PHASES'!$I$108:$J$110,2,FALSE)</f>
        <v>46569</v>
      </c>
      <c r="AV705" s="233">
        <f>VLOOKUP(AA705,'C PHASES'!$I$113:$J$125,2,FALSE)</f>
        <v>45292</v>
      </c>
    </row>
    <row r="706" spans="1:48" x14ac:dyDescent="0.25">
      <c r="A706" s="235"/>
      <c r="B706" s="227" t="str">
        <f t="shared" si="112"/>
        <v>D</v>
      </c>
      <c r="C706" s="227" t="s">
        <v>56</v>
      </c>
      <c r="D706" s="227" t="s">
        <v>1147</v>
      </c>
      <c r="E706" s="228">
        <v>0</v>
      </c>
      <c r="F706" s="101">
        <v>2</v>
      </c>
      <c r="G706" s="87" t="str">
        <f t="shared" ref="G706:G724" si="113">LEFT(C706,2)&amp;E706&amp;F706</f>
        <v>D302</v>
      </c>
      <c r="H706" s="87" t="s">
        <v>1294</v>
      </c>
      <c r="I706" s="89" t="str">
        <f>VLOOKUP(C706,'PREMIUM TABLES'!$G$107:$H$149,2,FALSE)</f>
        <v>C3</v>
      </c>
      <c r="J706" s="87">
        <v>129.57</v>
      </c>
      <c r="K706" s="87">
        <v>140.69790646557411</v>
      </c>
      <c r="L706" s="87">
        <v>158</v>
      </c>
      <c r="M706" s="87">
        <v>84.036199999999994</v>
      </c>
      <c r="O706" s="87" t="s">
        <v>180</v>
      </c>
      <c r="P706" s="87" t="s">
        <v>226</v>
      </c>
      <c r="Q706" s="229" t="s">
        <v>211</v>
      </c>
      <c r="R706" s="87" t="str">
        <f>VLOOKUP(E706,'PREMIUM TABLES'!$F$214:$G$219,2,FALSE)</f>
        <v>GROUND</v>
      </c>
      <c r="S706" s="87" t="str" cm="1">
        <f t="array" ref="S706">IF(AND(L706&gt;0,L706&lt;90),"A",IF(AND(L706&gt;90,L706&lt;123),"B",IF(AND(L706&gt;122,L706&lt;159),"C",IF(AND(L706&gt;159,L706&lt;185),"D",IF(AND(L706&gt;185,L706&lt;230),"E",IF(AND(L706&gt;230,L706&lt;350),"F",NONE))))))</f>
        <v>C</v>
      </c>
      <c r="T706" s="230">
        <f>VLOOKUP(O706,'PREMIUM TABLES'!$G$165:$H$172,2,FALSE)</f>
        <v>0.13</v>
      </c>
      <c r="U706" s="230">
        <f>VLOOKUP(P706,'PREMIUM TABLES'!$G$208:$H$209,2,FALSE)</f>
        <v>0.05</v>
      </c>
      <c r="V706" s="230">
        <f>VLOOKUP(Q706,'PREMIUM TABLES'!$G$175:$H$195,2,FALSE)</f>
        <v>0.43</v>
      </c>
      <c r="W706" s="230">
        <f>VLOOKUP(R706,'PREMIUM TABLES'!$G$214:$H$219,2,FALSE)</f>
        <v>0.05</v>
      </c>
      <c r="X706" s="230">
        <f>VLOOKUP(S706,'PREMIUM TABLES'!$F$199:$H$205,3,FALSE)</f>
        <v>3.5000000000000003E-2</v>
      </c>
      <c r="Y706" s="231">
        <f t="shared" si="104"/>
        <v>0.69500000000000006</v>
      </c>
      <c r="Z706" s="231" t="str" cm="1">
        <f t="array" ref="Z706">IF(AND(Y706&gt;0,Y706&lt;0.5),"C",IF(AND(Y706&gt;=0.5,Y706&lt;0.73),"B",IF(AND(Y706&gt;=0.73,Y706&lt;0.98),"A",NONE)))</f>
        <v>B</v>
      </c>
      <c r="AA706" s="231" t="str">
        <f>VLOOKUP(G706,'ALL (R)'!$N$5:$R$862,5,FALSE)</f>
        <v>R 8</v>
      </c>
      <c r="AB706" s="232">
        <f>VLOOKUP(AA706,FACTS!$B$2:$L$14,10,FALSE)</f>
        <v>51850</v>
      </c>
      <c r="AC706" s="232">
        <f>VLOOKUP(AA706,FACTS!$B$2:$L$14,11,FALSE)</f>
        <v>57950</v>
      </c>
      <c r="AD706" s="232">
        <f>VLOOKUP(AA706,FACTS!$B$2:$N$14,13,FALSE)</f>
        <v>6100</v>
      </c>
      <c r="AE706" s="232">
        <f t="shared" si="105"/>
        <v>4239.5</v>
      </c>
      <c r="AF706" s="232">
        <f t="shared" si="106"/>
        <v>56089.5</v>
      </c>
      <c r="AG706" s="232">
        <f>AF706*FACTS!$T$2</f>
        <v>18509.535</v>
      </c>
      <c r="AH706" s="232">
        <f>Table1[[#This Row],[UNIT (BUILDING) RATE (SEMI FINISHED)]]+4500</f>
        <v>60589.5</v>
      </c>
      <c r="AI706" s="232">
        <f>Table1[[#This Row],[UNIT (BUILDING) RATE (SEMI FINISHED)]]+7500</f>
        <v>63589.5</v>
      </c>
      <c r="AJ706" s="232">
        <f t="shared" si="107"/>
        <v>8862141</v>
      </c>
      <c r="AK706" s="232">
        <f>Table1[[#This Row],[UNIT (BUILDING) RATE (BASIC FINISH)]]*Table1[[#This Row],[Unit Selling Area]]</f>
        <v>9573141</v>
      </c>
      <c r="AL706" s="232">
        <f>Table1[[#This Row],[UNIT (BUILDING) RATE (FULLY FINISH)]]*Table1[[#This Row],[Unit Selling Area]]</f>
        <v>10047141</v>
      </c>
      <c r="AM706" s="232">
        <f t="shared" si="108"/>
        <v>1555470.985167</v>
      </c>
      <c r="AN706" s="232">
        <f>(AM706+AJ706)*FACTS!$S$2</f>
        <v>885497.01873919507</v>
      </c>
      <c r="AO706" s="101">
        <f>VLOOKUP(S706,FACTS!$A$17:$C$23,3,FALSE)</f>
        <v>2</v>
      </c>
      <c r="AP706" s="232">
        <f>VLOOKUP(AA706,FACTS!$B$2:$J$14,9,FALSE)</f>
        <v>244000</v>
      </c>
      <c r="AQ706" s="232">
        <f>Table1[[#This Row],[PARKING VALUE]]*1</f>
        <v>244000</v>
      </c>
      <c r="AR706" s="232">
        <f t="shared" si="103"/>
        <v>10661611.985167</v>
      </c>
      <c r="AS706" s="440">
        <f>Table1[[#This Row],[TOTAL CARS VALUE]]+Table1[[#This Row],[UNIT (BUILDING) VALUE BASIC FINISHED]]+Table1[[#This Row],[UNIT (GARDEN) VALUE]]</f>
        <v>11372611.985167</v>
      </c>
      <c r="AT706" s="232">
        <f>Table1[[#This Row],[TOTAL CARS VALUE]]+Table1[[#This Row],[UNIT (GARDEN) VALUE]]+Table1[[#This Row],[UNIT (BUILDING) VALUE FULLY FINISHED]]</f>
        <v>11846611.985167</v>
      </c>
      <c r="AU706" s="233">
        <f>VLOOKUP(I706,'C PHASES'!$I$108:$J$110,2,FALSE)</f>
        <v>46569</v>
      </c>
      <c r="AV706" s="233">
        <f>VLOOKUP(AA706,'C PHASES'!$I$113:$J$125,2,FALSE)</f>
        <v>45839</v>
      </c>
    </row>
    <row r="707" spans="1:48" x14ac:dyDescent="0.25">
      <c r="A707" s="235"/>
      <c r="B707" s="227" t="str">
        <f t="shared" si="112"/>
        <v>D</v>
      </c>
      <c r="C707" s="227" t="s">
        <v>56</v>
      </c>
      <c r="D707" s="227" t="s">
        <v>1147</v>
      </c>
      <c r="E707" s="228">
        <v>0</v>
      </c>
      <c r="F707" s="101">
        <v>3</v>
      </c>
      <c r="G707" s="87" t="str">
        <f t="shared" si="113"/>
        <v>D303</v>
      </c>
      <c r="H707" s="87" t="s">
        <v>1294</v>
      </c>
      <c r="I707" s="89" t="str">
        <f>VLOOKUP(C707,'PREMIUM TABLES'!$G$107:$H$149,2,FALSE)</f>
        <v>C3</v>
      </c>
      <c r="J707" s="87">
        <v>125.09</v>
      </c>
      <c r="K707" s="87">
        <v>135.83314902970338</v>
      </c>
      <c r="L707" s="87">
        <v>153</v>
      </c>
      <c r="M707" s="87">
        <v>85.562899999999999</v>
      </c>
      <c r="O707" s="87" t="s">
        <v>180</v>
      </c>
      <c r="P707" s="87" t="s">
        <v>190</v>
      </c>
      <c r="Q707" s="229" t="s">
        <v>211</v>
      </c>
      <c r="R707" s="87" t="str">
        <f>VLOOKUP(E707,'PREMIUM TABLES'!$F$214:$G$219,2,FALSE)</f>
        <v>GROUND</v>
      </c>
      <c r="S707" s="87" t="str" cm="1">
        <f t="array" ref="S707">IF(AND(L707&gt;0,L707&lt;90),"A",IF(AND(L707&gt;90,L707&lt;123),"B",IF(AND(L707&gt;122,L707&lt;159),"C",IF(AND(L707&gt;159,L707&lt;185),"D",IF(AND(L707&gt;185,L707&lt;230),"E",IF(AND(L707&gt;230,L707&lt;350),"F",NONE))))))</f>
        <v>C</v>
      </c>
      <c r="T707" s="230">
        <f>VLOOKUP(O707,'PREMIUM TABLES'!$G$165:$H$172,2,FALSE)</f>
        <v>0.13</v>
      </c>
      <c r="U707" s="230">
        <f>VLOOKUP(P707,'PREMIUM TABLES'!$G$208:$H$209,2,FALSE)</f>
        <v>2.5000000000000001E-2</v>
      </c>
      <c r="V707" s="230">
        <f>VLOOKUP(Q707,'PREMIUM TABLES'!$G$175:$H$195,2,FALSE)</f>
        <v>0.43</v>
      </c>
      <c r="W707" s="230">
        <f>VLOOKUP(R707,'PREMIUM TABLES'!$G$214:$H$219,2,FALSE)</f>
        <v>0.05</v>
      </c>
      <c r="X707" s="230">
        <f>VLOOKUP(S707,'PREMIUM TABLES'!$F$199:$H$205,3,FALSE)</f>
        <v>3.5000000000000003E-2</v>
      </c>
      <c r="Y707" s="231">
        <f t="shared" si="104"/>
        <v>0.67</v>
      </c>
      <c r="Z707" s="231" t="str" cm="1">
        <f t="array" ref="Z707">IF(AND(Y707&gt;0,Y707&lt;0.5),"C",IF(AND(Y707&gt;=0.5,Y707&lt;0.73),"B",IF(AND(Y707&gt;=0.73,Y707&lt;0.98),"A",NONE)))</f>
        <v>B</v>
      </c>
      <c r="AA707" s="231" t="str">
        <f>VLOOKUP(G707,'ALL (R)'!$N$5:$R$862,5,FALSE)</f>
        <v>R 6</v>
      </c>
      <c r="AB707" s="232">
        <f>VLOOKUP(AA707,FACTS!$B$2:$L$14,10,FALSE)</f>
        <v>48450.000000000007</v>
      </c>
      <c r="AC707" s="232">
        <f>VLOOKUP(AA707,FACTS!$B$2:$L$14,11,FALSE)</f>
        <v>54150.000000000007</v>
      </c>
      <c r="AD707" s="232">
        <f>VLOOKUP(AA707,FACTS!$B$2:$N$14,13,FALSE)</f>
        <v>5700</v>
      </c>
      <c r="AE707" s="232">
        <f t="shared" si="105"/>
        <v>3819.0000000000005</v>
      </c>
      <c r="AF707" s="232">
        <f t="shared" si="106"/>
        <v>52269.000000000007</v>
      </c>
      <c r="AG707" s="232">
        <f>AF707*FACTS!$T$2</f>
        <v>17248.770000000004</v>
      </c>
      <c r="AH707" s="232">
        <f>Table1[[#This Row],[UNIT (BUILDING) RATE (SEMI FINISHED)]]+4500</f>
        <v>56769.000000000007</v>
      </c>
      <c r="AI707" s="232">
        <f>Table1[[#This Row],[UNIT (BUILDING) RATE (SEMI FINISHED)]]+7500</f>
        <v>59769.000000000007</v>
      </c>
      <c r="AJ707" s="232">
        <f t="shared" si="107"/>
        <v>7997157.0000000009</v>
      </c>
      <c r="AK707" s="232">
        <f>Table1[[#This Row],[UNIT (BUILDING) RATE (BASIC FINISH)]]*Table1[[#This Row],[Unit Selling Area]]</f>
        <v>8685657.0000000019</v>
      </c>
      <c r="AL707" s="232">
        <f>Table1[[#This Row],[UNIT (BUILDING) RATE (FULLY FINISH)]]*Table1[[#This Row],[Unit Selling Area]]</f>
        <v>9144657.0000000019</v>
      </c>
      <c r="AM707" s="232">
        <f t="shared" si="108"/>
        <v>1475854.7826330003</v>
      </c>
      <c r="AN707" s="232">
        <f>(AM707+AJ707)*FACTS!$S$2</f>
        <v>805206.00152380508</v>
      </c>
      <c r="AO707" s="101">
        <f>VLOOKUP(S707,FACTS!$A$17:$C$23,3,FALSE)</f>
        <v>2</v>
      </c>
      <c r="AP707" s="232">
        <f>VLOOKUP(AA707,FACTS!$B$2:$J$14,9,FALSE)</f>
        <v>228000.00000000003</v>
      </c>
      <c r="AQ707" s="232">
        <f>Table1[[#This Row],[PARKING VALUE]]*1</f>
        <v>228000.00000000003</v>
      </c>
      <c r="AR707" s="232">
        <f t="shared" si="103"/>
        <v>9701011.782633001</v>
      </c>
      <c r="AS707" s="440">
        <f>Table1[[#This Row],[TOTAL CARS VALUE]]+Table1[[#This Row],[UNIT (BUILDING) VALUE BASIC FINISHED]]+Table1[[#This Row],[UNIT (GARDEN) VALUE]]</f>
        <v>10389511.782633003</v>
      </c>
      <c r="AT707" s="232">
        <f>Table1[[#This Row],[TOTAL CARS VALUE]]+Table1[[#This Row],[UNIT (GARDEN) VALUE]]+Table1[[#This Row],[UNIT (BUILDING) VALUE FULLY FINISHED]]</f>
        <v>10848511.782633003</v>
      </c>
      <c r="AU707" s="233">
        <f>VLOOKUP(I707,'C PHASES'!$I$108:$J$110,2,FALSE)</f>
        <v>46569</v>
      </c>
      <c r="AV707" s="233">
        <f>VLOOKUP(AA707,'C PHASES'!$I$113:$J$125,2,FALSE)</f>
        <v>45658</v>
      </c>
    </row>
    <row r="708" spans="1:48" x14ac:dyDescent="0.25">
      <c r="A708" s="235"/>
      <c r="B708" s="227" t="str">
        <f t="shared" si="112"/>
        <v>D</v>
      </c>
      <c r="C708" s="227" t="s">
        <v>56</v>
      </c>
      <c r="D708" s="227" t="s">
        <v>1147</v>
      </c>
      <c r="E708" s="228">
        <v>0</v>
      </c>
      <c r="F708" s="101">
        <v>4</v>
      </c>
      <c r="G708" s="87" t="str">
        <f t="shared" si="113"/>
        <v>D304</v>
      </c>
      <c r="H708" s="87" t="s">
        <v>1293</v>
      </c>
      <c r="I708" s="89" t="str">
        <f>VLOOKUP(C708,'PREMIUM TABLES'!$G$107:$H$149,2,FALSE)</f>
        <v>C3</v>
      </c>
      <c r="J708" s="87">
        <v>87.23</v>
      </c>
      <c r="K708" s="87">
        <v>94.721605163170736</v>
      </c>
      <c r="L708" s="87">
        <v>106</v>
      </c>
      <c r="M708" s="87">
        <v>67.414699999999996</v>
      </c>
      <c r="O708" s="87" t="s">
        <v>187</v>
      </c>
      <c r="P708" s="87" t="s">
        <v>190</v>
      </c>
      <c r="Q708" s="229" t="s">
        <v>197</v>
      </c>
      <c r="R708" s="87" t="str">
        <f>VLOOKUP(E708,'PREMIUM TABLES'!$F$214:$G$219,2,FALSE)</f>
        <v>GROUND</v>
      </c>
      <c r="S708" s="87" t="str" cm="1">
        <f t="array" ref="S708">IF(AND(L708&gt;0,L708&lt;90),"A",IF(AND(L708&gt;90,L708&lt;123),"B",IF(AND(L708&gt;122,L708&lt;159),"C",IF(AND(L708&gt;159,L708&lt;185),"D",IF(AND(L708&gt;185,L708&lt;230),"E",IF(AND(L708&gt;230,L708&lt;350),"F",NONE))))))</f>
        <v>B</v>
      </c>
      <c r="T708" s="230">
        <f>VLOOKUP(O708,'PREMIUM TABLES'!$G$165:$H$172,2,FALSE)</f>
        <v>0.08</v>
      </c>
      <c r="U708" s="230">
        <f>VLOOKUP(P708,'PREMIUM TABLES'!$G$208:$H$209,2,FALSE)</f>
        <v>2.5000000000000001E-2</v>
      </c>
      <c r="V708" s="230">
        <f>VLOOKUP(Q708,'PREMIUM TABLES'!$G$175:$H$195,2,FALSE)</f>
        <v>0.16</v>
      </c>
      <c r="W708" s="230">
        <f>VLOOKUP(R708,'PREMIUM TABLES'!$G$214:$H$219,2,FALSE)</f>
        <v>0.05</v>
      </c>
      <c r="X708" s="230">
        <f>VLOOKUP(S708,'PREMIUM TABLES'!$F$199:$H$205,3,FALSE)</f>
        <v>0.04</v>
      </c>
      <c r="Y708" s="231">
        <f t="shared" si="104"/>
        <v>0.35499999999999998</v>
      </c>
      <c r="Z708" s="231" t="str" cm="1">
        <f t="array" ref="Z708">IF(AND(Y708&gt;0,Y708&lt;0.5),"C",IF(AND(Y708&gt;=0.5,Y708&lt;0.73),"B",IF(AND(Y708&gt;=0.73,Y708&lt;0.98),"A",NONE)))</f>
        <v>C</v>
      </c>
      <c r="AA708" s="231" t="str">
        <f>VLOOKUP(G708,'ALL (R)'!$N$5:$R$862,5,FALSE)</f>
        <v>R 1</v>
      </c>
      <c r="AB708" s="232">
        <f>VLOOKUP(AA708,FACTS!$B$2:$L$14,10,FALSE)</f>
        <v>42500</v>
      </c>
      <c r="AC708" s="232">
        <f>VLOOKUP(AA708,FACTS!$B$2:$L$14,11,FALSE)</f>
        <v>47500</v>
      </c>
      <c r="AD708" s="232">
        <f>VLOOKUP(AA708,FACTS!$B$2:$N$14,13,FALSE)</f>
        <v>5000</v>
      </c>
      <c r="AE708" s="232">
        <f t="shared" si="105"/>
        <v>1775</v>
      </c>
      <c r="AF708" s="232">
        <f t="shared" si="106"/>
        <v>44275</v>
      </c>
      <c r="AG708" s="232">
        <f>AF708*FACTS!$T$2</f>
        <v>14610.75</v>
      </c>
      <c r="AH708" s="232">
        <f>Table1[[#This Row],[UNIT (BUILDING) RATE (SEMI FINISHED)]]+4500</f>
        <v>48775</v>
      </c>
      <c r="AI708" s="232">
        <f>Table1[[#This Row],[UNIT (BUILDING) RATE (SEMI FINISHED)]]+7500</f>
        <v>51775</v>
      </c>
      <c r="AJ708" s="232">
        <f t="shared" si="107"/>
        <v>4693150</v>
      </c>
      <c r="AK708" s="232">
        <f>Table1[[#This Row],[UNIT (BUILDING) RATE (BASIC FINISH)]]*Table1[[#This Row],[Unit Selling Area]]</f>
        <v>5170150</v>
      </c>
      <c r="AL708" s="232">
        <f>Table1[[#This Row],[UNIT (BUILDING) RATE (FULLY FINISH)]]*Table1[[#This Row],[Unit Selling Area]]</f>
        <v>5488150</v>
      </c>
      <c r="AM708" s="232">
        <f t="shared" si="108"/>
        <v>984979.32802499994</v>
      </c>
      <c r="AN708" s="232">
        <f>(AM708+AJ708)*FACTS!$S$2</f>
        <v>482640.99288212502</v>
      </c>
      <c r="AO708" s="101">
        <f>VLOOKUP(S708,FACTS!$A$17:$C$23,3,FALSE)</f>
        <v>1</v>
      </c>
      <c r="AP708" s="232">
        <f>VLOOKUP(AA708,FACTS!$B$2:$J$14,9,FALSE)</f>
        <v>200000</v>
      </c>
      <c r="AQ708" s="232">
        <f>Table1[[#This Row],[PARKING VALUE]]*1</f>
        <v>200000</v>
      </c>
      <c r="AR708" s="232">
        <f t="shared" si="103"/>
        <v>5878129.3280250002</v>
      </c>
      <c r="AS708" s="440">
        <f>Table1[[#This Row],[TOTAL CARS VALUE]]+Table1[[#This Row],[UNIT (BUILDING) VALUE BASIC FINISHED]]+Table1[[#This Row],[UNIT (GARDEN) VALUE]]</f>
        <v>6355129.3280250002</v>
      </c>
      <c r="AT708" s="232">
        <f>Table1[[#This Row],[TOTAL CARS VALUE]]+Table1[[#This Row],[UNIT (GARDEN) VALUE]]+Table1[[#This Row],[UNIT (BUILDING) VALUE FULLY FINISHED]]</f>
        <v>6673129.3280250002</v>
      </c>
      <c r="AU708" s="233">
        <f>VLOOKUP(I708,'C PHASES'!$I$108:$J$110,2,FALSE)</f>
        <v>46569</v>
      </c>
      <c r="AV708" s="233">
        <f>VLOOKUP(AA708,'C PHASES'!$I$113:$J$125,2,FALSE)</f>
        <v>45170</v>
      </c>
    </row>
    <row r="709" spans="1:48" x14ac:dyDescent="0.25">
      <c r="A709" s="235"/>
      <c r="B709" s="227" t="str">
        <f t="shared" si="112"/>
        <v>D</v>
      </c>
      <c r="C709" s="227" t="s">
        <v>56</v>
      </c>
      <c r="D709" s="227" t="s">
        <v>1147</v>
      </c>
      <c r="E709" s="228">
        <v>1</v>
      </c>
      <c r="F709" s="101">
        <v>1</v>
      </c>
      <c r="G709" s="87" t="str">
        <f t="shared" si="113"/>
        <v>D311</v>
      </c>
      <c r="H709" s="87" t="s">
        <v>1294</v>
      </c>
      <c r="I709" s="89" t="str">
        <f>VLOOKUP(C709,'PREMIUM TABLES'!$G$107:$H$149,2,FALSE)</f>
        <v>C3</v>
      </c>
      <c r="J709" s="87">
        <v>129.04</v>
      </c>
      <c r="K709" s="87">
        <v>140.1223882867769</v>
      </c>
      <c r="L709" s="87">
        <v>157</v>
      </c>
      <c r="O709" s="87" t="s">
        <v>187</v>
      </c>
      <c r="P709" s="87" t="s">
        <v>226</v>
      </c>
      <c r="Q709" s="229" t="s">
        <v>197</v>
      </c>
      <c r="R709" s="87" t="str">
        <f>VLOOKUP(E709,'PREMIUM TABLES'!$F$214:$G$219,2,FALSE)</f>
        <v>FIRST</v>
      </c>
      <c r="S709" s="87" t="str" cm="1">
        <f t="array" ref="S709">IF(AND(L709&gt;0,L709&lt;90),"A",IF(AND(L709&gt;90,L709&lt;123),"B",IF(AND(L709&gt;122,L709&lt;159),"C",IF(AND(L709&gt;159,L709&lt;185),"D",IF(AND(L709&gt;185,L709&lt;230),"E",IF(AND(L709&gt;230,L709&lt;350),"F",NONE))))))</f>
        <v>C</v>
      </c>
      <c r="T709" s="230">
        <f>VLOOKUP(O709,'PREMIUM TABLES'!$G$165:$H$172,2,FALSE)</f>
        <v>0.08</v>
      </c>
      <c r="U709" s="230">
        <f>VLOOKUP(P709,'PREMIUM TABLES'!$G$208:$H$209,2,FALSE)</f>
        <v>0.05</v>
      </c>
      <c r="V709" s="230">
        <f>VLOOKUP(Q709,'PREMIUM TABLES'!$G$175:$H$195,2,FALSE)</f>
        <v>0.16</v>
      </c>
      <c r="W709" s="230">
        <f>VLOOKUP(R709,'PREMIUM TABLES'!$G$214:$H$219,2,FALSE)</f>
        <v>7.0000000000000007E-2</v>
      </c>
      <c r="X709" s="230">
        <f>VLOOKUP(S709,'PREMIUM TABLES'!$F$199:$H$205,3,FALSE)</f>
        <v>3.5000000000000003E-2</v>
      </c>
      <c r="Y709" s="231">
        <f t="shared" si="104"/>
        <v>0.39500000000000002</v>
      </c>
      <c r="Z709" s="231" t="str" cm="1">
        <f t="array" ref="Z709">IF(AND(Y709&gt;0,Y709&lt;0.5),"C",IF(AND(Y709&gt;=0.5,Y709&lt;0.73),"B",IF(AND(Y709&gt;=0.73,Y709&lt;0.98),"A",NONE)))</f>
        <v>C</v>
      </c>
      <c r="AA709" s="231" t="str">
        <f>VLOOKUP(G709,'ALL (R)'!$N$5:$R$862,5,FALSE)</f>
        <v>R 4</v>
      </c>
      <c r="AB709" s="232">
        <f>VLOOKUP(AA709,FACTS!$B$2:$L$14,10,FALSE)</f>
        <v>45687.5</v>
      </c>
      <c r="AC709" s="232">
        <f>VLOOKUP(AA709,FACTS!$B$2:$L$14,11,FALSE)</f>
        <v>51062.5</v>
      </c>
      <c r="AD709" s="232">
        <f>VLOOKUP(AA709,FACTS!$B$2:$N$14,13,FALSE)</f>
        <v>5375</v>
      </c>
      <c r="AE709" s="232">
        <f t="shared" si="105"/>
        <v>2123.125</v>
      </c>
      <c r="AF709" s="232">
        <f t="shared" si="106"/>
        <v>47810.625</v>
      </c>
      <c r="AG709" s="232">
        <f>AF709*FACTS!$T$2</f>
        <v>15777.50625</v>
      </c>
      <c r="AH709" s="232">
        <f>Table1[[#This Row],[UNIT (BUILDING) RATE (SEMI FINISHED)]]+4500</f>
        <v>52310.625</v>
      </c>
      <c r="AI709" s="232">
        <f>Table1[[#This Row],[UNIT (BUILDING) RATE (SEMI FINISHED)]]+7500</f>
        <v>55310.625</v>
      </c>
      <c r="AJ709" s="232">
        <f t="shared" si="107"/>
        <v>7506268.125</v>
      </c>
      <c r="AK709" s="232">
        <f>Table1[[#This Row],[UNIT (BUILDING) RATE (BASIC FINISH)]]*Table1[[#This Row],[Unit Selling Area]]</f>
        <v>8212768.125</v>
      </c>
      <c r="AL709" s="232">
        <f>Table1[[#This Row],[UNIT (BUILDING) RATE (FULLY FINISH)]]*Table1[[#This Row],[Unit Selling Area]]</f>
        <v>8683768.125</v>
      </c>
      <c r="AM709" s="232">
        <f t="shared" si="108"/>
        <v>0</v>
      </c>
      <c r="AN709" s="232">
        <f>(AM709+AJ709)*FACTS!$S$2</f>
        <v>638032.79062500002</v>
      </c>
      <c r="AO709" s="101">
        <f>VLOOKUP(S709,FACTS!$A$17:$C$23,3,FALSE)</f>
        <v>2</v>
      </c>
      <c r="AP709" s="232">
        <f>VLOOKUP(AA709,FACTS!$B$2:$J$14,9,FALSE)</f>
        <v>215000</v>
      </c>
      <c r="AQ709" s="232">
        <f>Table1[[#This Row],[PARKING VALUE]]*1</f>
        <v>215000</v>
      </c>
      <c r="AR709" s="232">
        <f t="shared" ref="AR709:AR772" si="114">AQ709+AM709+AJ709</f>
        <v>7721268.125</v>
      </c>
      <c r="AS709" s="440">
        <f>Table1[[#This Row],[TOTAL CARS VALUE]]+Table1[[#This Row],[UNIT (BUILDING) VALUE BASIC FINISHED]]+Table1[[#This Row],[UNIT (GARDEN) VALUE]]</f>
        <v>8427768.125</v>
      </c>
      <c r="AT709" s="232">
        <f>Table1[[#This Row],[TOTAL CARS VALUE]]+Table1[[#This Row],[UNIT (GARDEN) VALUE]]+Table1[[#This Row],[UNIT (BUILDING) VALUE FULLY FINISHED]]</f>
        <v>8898768.125</v>
      </c>
      <c r="AU709" s="233">
        <f>VLOOKUP(I709,'C PHASES'!$I$108:$J$110,2,FALSE)</f>
        <v>46569</v>
      </c>
      <c r="AV709" s="233">
        <f>VLOOKUP(AA709,'C PHASES'!$I$113:$J$125,2,FALSE)</f>
        <v>45474</v>
      </c>
    </row>
    <row r="710" spans="1:48" x14ac:dyDescent="0.25">
      <c r="A710" s="235"/>
      <c r="B710" s="227" t="str">
        <f t="shared" si="112"/>
        <v>D</v>
      </c>
      <c r="C710" s="227" t="s">
        <v>56</v>
      </c>
      <c r="D710" s="227" t="s">
        <v>1147</v>
      </c>
      <c r="E710" s="228">
        <v>1</v>
      </c>
      <c r="F710" s="101">
        <v>2</v>
      </c>
      <c r="G710" s="87" t="str">
        <f t="shared" si="113"/>
        <v>D312</v>
      </c>
      <c r="H710" s="87" t="s">
        <v>1294</v>
      </c>
      <c r="I710" s="89" t="str">
        <f>VLOOKUP(C710,'PREMIUM TABLES'!$G$107:$H$149,2,FALSE)</f>
        <v>C3</v>
      </c>
      <c r="J710" s="87">
        <v>131.43</v>
      </c>
      <c r="K710" s="87">
        <v>142.71764950814546</v>
      </c>
      <c r="L710" s="87">
        <v>160</v>
      </c>
      <c r="O710" s="87" t="s">
        <v>180</v>
      </c>
      <c r="P710" s="87" t="s">
        <v>226</v>
      </c>
      <c r="Q710" s="229" t="s">
        <v>211</v>
      </c>
      <c r="R710" s="87" t="str">
        <f>VLOOKUP(E710,'PREMIUM TABLES'!$F$214:$G$219,2,FALSE)</f>
        <v>FIRST</v>
      </c>
      <c r="S710" s="87" t="str" cm="1">
        <f t="array" ref="S710">IF(AND(L710&gt;0,L710&lt;90),"A",IF(AND(L710&gt;90,L710&lt;123),"B",IF(AND(L710&gt;122,L710&lt;159),"C",IF(AND(L710&gt;159,L710&lt;185),"D",IF(AND(L710&gt;185,L710&lt;230),"E",IF(AND(L710&gt;230,L710&lt;350),"F",NONE))))))</f>
        <v>D</v>
      </c>
      <c r="T710" s="230">
        <f>VLOOKUP(O710,'PREMIUM TABLES'!$G$165:$H$172,2,FALSE)</f>
        <v>0.13</v>
      </c>
      <c r="U710" s="230">
        <f>VLOOKUP(P710,'PREMIUM TABLES'!$G$208:$H$209,2,FALSE)</f>
        <v>0.05</v>
      </c>
      <c r="V710" s="230">
        <f>VLOOKUP(Q710,'PREMIUM TABLES'!$G$175:$H$195,2,FALSE)</f>
        <v>0.43</v>
      </c>
      <c r="W710" s="230">
        <f>VLOOKUP(R710,'PREMIUM TABLES'!$G$214:$H$219,2,FALSE)</f>
        <v>7.0000000000000007E-2</v>
      </c>
      <c r="X710" s="230">
        <f>VLOOKUP(S710,'PREMIUM TABLES'!$F$199:$H$205,3,FALSE)</f>
        <v>2.5000000000000001E-2</v>
      </c>
      <c r="Y710" s="231">
        <f t="shared" ref="Y710:Y773" si="115">SUM(T710:X710)</f>
        <v>0.70499999999999996</v>
      </c>
      <c r="Z710" s="231" t="str" cm="1">
        <f t="array" ref="Z710">IF(AND(Y710&gt;0,Y710&lt;0.5),"C",IF(AND(Y710&gt;=0.5,Y710&lt;0.73),"B",IF(AND(Y710&gt;=0.73,Y710&lt;0.98),"A",NONE)))</f>
        <v>B</v>
      </c>
      <c r="AA710" s="231" t="str">
        <f>VLOOKUP(G710,'ALL (R)'!$N$5:$R$862,5,FALSE)</f>
        <v>R 9</v>
      </c>
      <c r="AB710" s="232">
        <f>VLOOKUP(AA710,FACTS!$B$2:$L$14,10,FALSE)</f>
        <v>53550</v>
      </c>
      <c r="AC710" s="232">
        <f>VLOOKUP(AA710,FACTS!$B$2:$L$14,11,FALSE)</f>
        <v>59850</v>
      </c>
      <c r="AD710" s="232">
        <f>VLOOKUP(AA710,FACTS!$B$2:$N$14,13,FALSE)</f>
        <v>6300</v>
      </c>
      <c r="AE710" s="232">
        <f t="shared" ref="AE710:AE773" si="116">AD710*Y710</f>
        <v>4441.5</v>
      </c>
      <c r="AF710" s="232">
        <f t="shared" ref="AF710:AF773" si="117">AE710+AB710</f>
        <v>57991.5</v>
      </c>
      <c r="AG710" s="232">
        <f>AF710*FACTS!$T$2</f>
        <v>19137.195</v>
      </c>
      <c r="AH710" s="232">
        <f>Table1[[#This Row],[UNIT (BUILDING) RATE (SEMI FINISHED)]]+4500</f>
        <v>62491.5</v>
      </c>
      <c r="AI710" s="232">
        <f>Table1[[#This Row],[UNIT (BUILDING) RATE (SEMI FINISHED)]]+7500</f>
        <v>65491.5</v>
      </c>
      <c r="AJ710" s="232">
        <f t="shared" ref="AJ710:AJ773" si="118">AF710*L710</f>
        <v>9278640</v>
      </c>
      <c r="AK710" s="232">
        <f>Table1[[#This Row],[UNIT (BUILDING) RATE (BASIC FINISH)]]*Table1[[#This Row],[Unit Selling Area]]</f>
        <v>9998640</v>
      </c>
      <c r="AL710" s="232">
        <f>Table1[[#This Row],[UNIT (BUILDING) RATE (FULLY FINISH)]]*Table1[[#This Row],[Unit Selling Area]]</f>
        <v>10478640</v>
      </c>
      <c r="AM710" s="232">
        <f t="shared" ref="AM710:AM773" si="119">AG710*M710</f>
        <v>0</v>
      </c>
      <c r="AN710" s="232">
        <f>(AM710+AJ710)*FACTS!$S$2</f>
        <v>788684.4</v>
      </c>
      <c r="AO710" s="101">
        <f>VLOOKUP(S710,FACTS!$A$17:$C$23,3,FALSE)</f>
        <v>2</v>
      </c>
      <c r="AP710" s="232">
        <f>VLOOKUP(AA710,FACTS!$B$2:$J$14,9,FALSE)</f>
        <v>252000</v>
      </c>
      <c r="AQ710" s="232">
        <f>Table1[[#This Row],[PARKING VALUE]]*1</f>
        <v>252000</v>
      </c>
      <c r="AR710" s="232">
        <f t="shared" si="114"/>
        <v>9530640</v>
      </c>
      <c r="AS710" s="440">
        <f>Table1[[#This Row],[TOTAL CARS VALUE]]+Table1[[#This Row],[UNIT (BUILDING) VALUE BASIC FINISHED]]+Table1[[#This Row],[UNIT (GARDEN) VALUE]]</f>
        <v>10250640</v>
      </c>
      <c r="AT710" s="232">
        <f>Table1[[#This Row],[TOTAL CARS VALUE]]+Table1[[#This Row],[UNIT (GARDEN) VALUE]]+Table1[[#This Row],[UNIT (BUILDING) VALUE FULLY FINISHED]]</f>
        <v>10730640</v>
      </c>
      <c r="AU710" s="233">
        <f>VLOOKUP(I710,'C PHASES'!$I$108:$J$110,2,FALSE)</f>
        <v>46569</v>
      </c>
      <c r="AV710" s="233">
        <f>VLOOKUP(AA710,'C PHASES'!$I$113:$J$125,2,FALSE)</f>
        <v>45931</v>
      </c>
    </row>
    <row r="711" spans="1:48" x14ac:dyDescent="0.25">
      <c r="A711" s="235"/>
      <c r="B711" s="227" t="str">
        <f t="shared" si="112"/>
        <v>D</v>
      </c>
      <c r="C711" s="227" t="s">
        <v>56</v>
      </c>
      <c r="D711" s="227" t="s">
        <v>1147</v>
      </c>
      <c r="E711" s="228">
        <v>1</v>
      </c>
      <c r="F711" s="101">
        <v>3</v>
      </c>
      <c r="G711" s="87" t="str">
        <f t="shared" si="113"/>
        <v>D313</v>
      </c>
      <c r="H711" s="87" t="s">
        <v>1294</v>
      </c>
      <c r="I711" s="89" t="str">
        <f>VLOOKUP(C711,'PREMIUM TABLES'!$G$107:$H$149,2,FALSE)</f>
        <v>C3</v>
      </c>
      <c r="J711" s="87">
        <v>127.14</v>
      </c>
      <c r="K711" s="87">
        <v>138.05920990995673</v>
      </c>
      <c r="L711" s="87">
        <v>155</v>
      </c>
      <c r="O711" s="87" t="s">
        <v>180</v>
      </c>
      <c r="P711" s="87" t="s">
        <v>190</v>
      </c>
      <c r="Q711" s="229" t="s">
        <v>211</v>
      </c>
      <c r="R711" s="87" t="str">
        <f>VLOOKUP(E711,'PREMIUM TABLES'!$F$214:$G$219,2,FALSE)</f>
        <v>FIRST</v>
      </c>
      <c r="S711" s="87" t="str" cm="1">
        <f t="array" ref="S711">IF(AND(L711&gt;0,L711&lt;90),"A",IF(AND(L711&gt;90,L711&lt;123),"B",IF(AND(L711&gt;122,L711&lt;159),"C",IF(AND(L711&gt;159,L711&lt;185),"D",IF(AND(L711&gt;185,L711&lt;230),"E",IF(AND(L711&gt;230,L711&lt;350),"F",NONE))))))</f>
        <v>C</v>
      </c>
      <c r="T711" s="230">
        <f>VLOOKUP(O711,'PREMIUM TABLES'!$G$165:$H$172,2,FALSE)</f>
        <v>0.13</v>
      </c>
      <c r="U711" s="230">
        <f>VLOOKUP(P711,'PREMIUM TABLES'!$G$208:$H$209,2,FALSE)</f>
        <v>2.5000000000000001E-2</v>
      </c>
      <c r="V711" s="230">
        <f>VLOOKUP(Q711,'PREMIUM TABLES'!$G$175:$H$195,2,FALSE)</f>
        <v>0.43</v>
      </c>
      <c r="W711" s="230">
        <f>VLOOKUP(R711,'PREMIUM TABLES'!$G$214:$H$219,2,FALSE)</f>
        <v>7.0000000000000007E-2</v>
      </c>
      <c r="X711" s="230">
        <f>VLOOKUP(S711,'PREMIUM TABLES'!$F$199:$H$205,3,FALSE)</f>
        <v>3.5000000000000003E-2</v>
      </c>
      <c r="Y711" s="231">
        <f t="shared" si="115"/>
        <v>0.69000000000000006</v>
      </c>
      <c r="Z711" s="231" t="str" cm="1">
        <f t="array" ref="Z711">IF(AND(Y711&gt;0,Y711&lt;0.5),"C",IF(AND(Y711&gt;=0.5,Y711&lt;0.73),"B",IF(AND(Y711&gt;=0.73,Y711&lt;0.98),"A",NONE)))</f>
        <v>B</v>
      </c>
      <c r="AA711" s="231" t="str">
        <f>VLOOKUP(G711,'ALL (R)'!$N$5:$R$862,5,FALSE)</f>
        <v>R 8</v>
      </c>
      <c r="AB711" s="232">
        <f>VLOOKUP(AA711,FACTS!$B$2:$L$14,10,FALSE)</f>
        <v>51850</v>
      </c>
      <c r="AC711" s="232">
        <f>VLOOKUP(AA711,FACTS!$B$2:$L$14,11,FALSE)</f>
        <v>57950</v>
      </c>
      <c r="AD711" s="232">
        <f>VLOOKUP(AA711,FACTS!$B$2:$N$14,13,FALSE)</f>
        <v>6100</v>
      </c>
      <c r="AE711" s="232">
        <f t="shared" si="116"/>
        <v>4209</v>
      </c>
      <c r="AF711" s="232">
        <f t="shared" si="117"/>
        <v>56059</v>
      </c>
      <c r="AG711" s="232">
        <f>AF711*FACTS!$T$2</f>
        <v>18499.47</v>
      </c>
      <c r="AH711" s="232">
        <f>Table1[[#This Row],[UNIT (BUILDING) RATE (SEMI FINISHED)]]+4500</f>
        <v>60559</v>
      </c>
      <c r="AI711" s="232">
        <f>Table1[[#This Row],[UNIT (BUILDING) RATE (SEMI FINISHED)]]+7500</f>
        <v>63559</v>
      </c>
      <c r="AJ711" s="232">
        <f t="shared" si="118"/>
        <v>8689145</v>
      </c>
      <c r="AK711" s="232">
        <f>Table1[[#This Row],[UNIT (BUILDING) RATE (BASIC FINISH)]]*Table1[[#This Row],[Unit Selling Area]]</f>
        <v>9386645</v>
      </c>
      <c r="AL711" s="232">
        <f>Table1[[#This Row],[UNIT (BUILDING) RATE (FULLY FINISH)]]*Table1[[#This Row],[Unit Selling Area]]</f>
        <v>9851645</v>
      </c>
      <c r="AM711" s="232">
        <f t="shared" si="119"/>
        <v>0</v>
      </c>
      <c r="AN711" s="232">
        <f>(AM711+AJ711)*FACTS!$S$2</f>
        <v>738577.32500000007</v>
      </c>
      <c r="AO711" s="101">
        <f>VLOOKUP(S711,FACTS!$A$17:$C$23,3,FALSE)</f>
        <v>2</v>
      </c>
      <c r="AP711" s="232">
        <f>VLOOKUP(AA711,FACTS!$B$2:$J$14,9,FALSE)</f>
        <v>244000</v>
      </c>
      <c r="AQ711" s="232">
        <f>Table1[[#This Row],[PARKING VALUE]]*1</f>
        <v>244000</v>
      </c>
      <c r="AR711" s="232">
        <f t="shared" si="114"/>
        <v>8933145</v>
      </c>
      <c r="AS711" s="440">
        <f>Table1[[#This Row],[TOTAL CARS VALUE]]+Table1[[#This Row],[UNIT (BUILDING) VALUE BASIC FINISHED]]+Table1[[#This Row],[UNIT (GARDEN) VALUE]]</f>
        <v>9630645</v>
      </c>
      <c r="AT711" s="232">
        <f>Table1[[#This Row],[TOTAL CARS VALUE]]+Table1[[#This Row],[UNIT (GARDEN) VALUE]]+Table1[[#This Row],[UNIT (BUILDING) VALUE FULLY FINISHED]]</f>
        <v>10095645</v>
      </c>
      <c r="AU711" s="233">
        <f>VLOOKUP(I711,'C PHASES'!$I$108:$J$110,2,FALSE)</f>
        <v>46569</v>
      </c>
      <c r="AV711" s="233">
        <f>VLOOKUP(AA711,'C PHASES'!$I$113:$J$125,2,FALSE)</f>
        <v>45839</v>
      </c>
    </row>
    <row r="712" spans="1:48" x14ac:dyDescent="0.25">
      <c r="A712" s="235"/>
      <c r="B712" s="227" t="str">
        <f t="shared" si="112"/>
        <v>D</v>
      </c>
      <c r="C712" s="227" t="s">
        <v>56</v>
      </c>
      <c r="D712" s="227" t="s">
        <v>1147</v>
      </c>
      <c r="E712" s="228">
        <v>1</v>
      </c>
      <c r="F712" s="101">
        <v>4</v>
      </c>
      <c r="G712" s="87" t="str">
        <f t="shared" si="113"/>
        <v>D314</v>
      </c>
      <c r="H712" s="87" t="s">
        <v>1293</v>
      </c>
      <c r="I712" s="89" t="str">
        <f>VLOOKUP(C712,'PREMIUM TABLES'!$G$107:$H$149,2,FALSE)</f>
        <v>C3</v>
      </c>
      <c r="J712" s="87">
        <v>88.87</v>
      </c>
      <c r="K712" s="87">
        <v>96.502453867373418</v>
      </c>
      <c r="L712" s="87">
        <v>108</v>
      </c>
      <c r="O712" s="87" t="s">
        <v>187</v>
      </c>
      <c r="P712" s="87" t="s">
        <v>190</v>
      </c>
      <c r="Q712" s="229" t="s">
        <v>197</v>
      </c>
      <c r="R712" s="87" t="str">
        <f>VLOOKUP(E712,'PREMIUM TABLES'!$F$214:$G$219,2,FALSE)</f>
        <v>FIRST</v>
      </c>
      <c r="S712" s="87" t="str" cm="1">
        <f t="array" ref="S712">IF(AND(L712&gt;0,L712&lt;90),"A",IF(AND(L712&gt;90,L712&lt;123),"B",IF(AND(L712&gt;122,L712&lt;159),"C",IF(AND(L712&gt;159,L712&lt;185),"D",IF(AND(L712&gt;185,L712&lt;230),"E",IF(AND(L712&gt;230,L712&lt;350),"F",NONE))))))</f>
        <v>B</v>
      </c>
      <c r="T712" s="230">
        <f>VLOOKUP(O712,'PREMIUM TABLES'!$G$165:$H$172,2,FALSE)</f>
        <v>0.08</v>
      </c>
      <c r="U712" s="230">
        <f>VLOOKUP(P712,'PREMIUM TABLES'!$G$208:$H$209,2,FALSE)</f>
        <v>2.5000000000000001E-2</v>
      </c>
      <c r="V712" s="230">
        <f>VLOOKUP(Q712,'PREMIUM TABLES'!$G$175:$H$195,2,FALSE)</f>
        <v>0.16</v>
      </c>
      <c r="W712" s="230">
        <f>VLOOKUP(R712,'PREMIUM TABLES'!$G$214:$H$219,2,FALSE)</f>
        <v>7.0000000000000007E-2</v>
      </c>
      <c r="X712" s="230">
        <f>VLOOKUP(S712,'PREMIUM TABLES'!$F$199:$H$205,3,FALSE)</f>
        <v>0.04</v>
      </c>
      <c r="Y712" s="231">
        <f t="shared" si="115"/>
        <v>0.375</v>
      </c>
      <c r="Z712" s="231" t="str" cm="1">
        <f t="array" ref="Z712">IF(AND(Y712&gt;0,Y712&lt;0.5),"C",IF(AND(Y712&gt;=0.5,Y712&lt;0.73),"B",IF(AND(Y712&gt;=0.73,Y712&lt;0.98),"A",NONE)))</f>
        <v>C</v>
      </c>
      <c r="AA712" s="231" t="str">
        <f>VLOOKUP(G712,'ALL (R)'!$N$5:$R$862,5,FALSE)</f>
        <v>R 3</v>
      </c>
      <c r="AB712" s="232">
        <f>VLOOKUP(AA712,FACTS!$B$2:$L$14,10,FALSE)</f>
        <v>44625</v>
      </c>
      <c r="AC712" s="232">
        <f>VLOOKUP(AA712,FACTS!$B$2:$L$14,11,FALSE)</f>
        <v>49875</v>
      </c>
      <c r="AD712" s="232">
        <f>VLOOKUP(AA712,FACTS!$B$2:$N$14,13,FALSE)</f>
        <v>5250</v>
      </c>
      <c r="AE712" s="232">
        <f t="shared" si="116"/>
        <v>1968.75</v>
      </c>
      <c r="AF712" s="232">
        <f t="shared" si="117"/>
        <v>46593.75</v>
      </c>
      <c r="AG712" s="232">
        <f>AF712*FACTS!$T$2</f>
        <v>15375.9375</v>
      </c>
      <c r="AH712" s="232">
        <f>Table1[[#This Row],[UNIT (BUILDING) RATE (SEMI FINISHED)]]+4500</f>
        <v>51093.75</v>
      </c>
      <c r="AI712" s="232">
        <f>Table1[[#This Row],[UNIT (BUILDING) RATE (SEMI FINISHED)]]+7500</f>
        <v>54093.75</v>
      </c>
      <c r="AJ712" s="232">
        <f t="shared" si="118"/>
        <v>5032125</v>
      </c>
      <c r="AK712" s="232">
        <f>Table1[[#This Row],[UNIT (BUILDING) RATE (BASIC FINISH)]]*Table1[[#This Row],[Unit Selling Area]]</f>
        <v>5518125</v>
      </c>
      <c r="AL712" s="232">
        <f>Table1[[#This Row],[UNIT (BUILDING) RATE (FULLY FINISH)]]*Table1[[#This Row],[Unit Selling Area]]</f>
        <v>5842125</v>
      </c>
      <c r="AM712" s="232">
        <f t="shared" si="119"/>
        <v>0</v>
      </c>
      <c r="AN712" s="232">
        <f>(AM712+AJ712)*FACTS!$S$2</f>
        <v>427730.62500000006</v>
      </c>
      <c r="AO712" s="101">
        <f>VLOOKUP(S712,FACTS!$A$17:$C$23,3,FALSE)</f>
        <v>1</v>
      </c>
      <c r="AP712" s="232">
        <f>VLOOKUP(AA712,FACTS!$B$2:$J$14,9,FALSE)</f>
        <v>210000</v>
      </c>
      <c r="AQ712" s="232">
        <f>Table1[[#This Row],[PARKING VALUE]]*1</f>
        <v>210000</v>
      </c>
      <c r="AR712" s="232">
        <f t="shared" si="114"/>
        <v>5242125</v>
      </c>
      <c r="AS712" s="440">
        <f>Table1[[#This Row],[TOTAL CARS VALUE]]+Table1[[#This Row],[UNIT (BUILDING) VALUE BASIC FINISHED]]+Table1[[#This Row],[UNIT (GARDEN) VALUE]]</f>
        <v>5728125</v>
      </c>
      <c r="AT712" s="232">
        <f>Table1[[#This Row],[TOTAL CARS VALUE]]+Table1[[#This Row],[UNIT (GARDEN) VALUE]]+Table1[[#This Row],[UNIT (BUILDING) VALUE FULLY FINISHED]]</f>
        <v>6052125</v>
      </c>
      <c r="AU712" s="233">
        <f>VLOOKUP(I712,'C PHASES'!$I$108:$J$110,2,FALSE)</f>
        <v>46569</v>
      </c>
      <c r="AV712" s="233">
        <f>VLOOKUP(AA712,'C PHASES'!$I$113:$J$125,2,FALSE)</f>
        <v>45383</v>
      </c>
    </row>
    <row r="713" spans="1:48" x14ac:dyDescent="0.25">
      <c r="A713" s="235"/>
      <c r="B713" s="227" t="str">
        <f t="shared" si="112"/>
        <v>D</v>
      </c>
      <c r="C713" s="227" t="s">
        <v>56</v>
      </c>
      <c r="D713" s="227" t="s">
        <v>1147</v>
      </c>
      <c r="E713" s="228">
        <v>2</v>
      </c>
      <c r="F713" s="101">
        <v>1</v>
      </c>
      <c r="G713" s="87" t="str">
        <f t="shared" si="113"/>
        <v>D321</v>
      </c>
      <c r="H713" s="87" t="s">
        <v>1294</v>
      </c>
      <c r="I713" s="89" t="str">
        <f>VLOOKUP(C713,'PREMIUM TABLES'!$G$107:$H$149,2,FALSE)</f>
        <v>C3</v>
      </c>
      <c r="J713" s="87">
        <v>131.43</v>
      </c>
      <c r="K713" s="87">
        <v>142.71764950814546</v>
      </c>
      <c r="L713" s="87">
        <v>160</v>
      </c>
      <c r="O713" s="87" t="s">
        <v>187</v>
      </c>
      <c r="P713" s="87" t="s">
        <v>226</v>
      </c>
      <c r="Q713" s="229" t="s">
        <v>197</v>
      </c>
      <c r="R713" s="87" t="str">
        <f>VLOOKUP(E713,'PREMIUM TABLES'!$F$214:$G$219,2,FALSE)</f>
        <v>SECOND</v>
      </c>
      <c r="S713" s="87" t="str" cm="1">
        <f t="array" ref="S713">IF(AND(L713&gt;0,L713&lt;90),"A",IF(AND(L713&gt;90,L713&lt;123),"B",IF(AND(L713&gt;122,L713&lt;159),"C",IF(AND(L713&gt;159,L713&lt;185),"D",IF(AND(L713&gt;185,L713&lt;230),"E",IF(AND(L713&gt;230,L713&lt;350),"F",NONE))))))</f>
        <v>D</v>
      </c>
      <c r="T713" s="230">
        <f>VLOOKUP(O713,'PREMIUM TABLES'!$G$165:$H$172,2,FALSE)</f>
        <v>0.08</v>
      </c>
      <c r="U713" s="230">
        <f>VLOOKUP(P713,'PREMIUM TABLES'!$G$208:$H$209,2,FALSE)</f>
        <v>0.05</v>
      </c>
      <c r="V713" s="230">
        <f>VLOOKUP(Q713,'PREMIUM TABLES'!$G$175:$H$195,2,FALSE)</f>
        <v>0.16</v>
      </c>
      <c r="W713" s="230">
        <f>VLOOKUP(R713,'PREMIUM TABLES'!$G$214:$H$219,2,FALSE)</f>
        <v>0.11</v>
      </c>
      <c r="X713" s="230">
        <f>VLOOKUP(S713,'PREMIUM TABLES'!$F$199:$H$205,3,FALSE)</f>
        <v>2.5000000000000001E-2</v>
      </c>
      <c r="Y713" s="231">
        <f t="shared" si="115"/>
        <v>0.42500000000000004</v>
      </c>
      <c r="Z713" s="231" t="str" cm="1">
        <f t="array" ref="Z713">IF(AND(Y713&gt;0,Y713&lt;0.5),"C",IF(AND(Y713&gt;=0.5,Y713&lt;0.73),"B",IF(AND(Y713&gt;=0.73,Y713&lt;0.98),"A",NONE)))</f>
        <v>C</v>
      </c>
      <c r="AA713" s="231" t="str">
        <f>VLOOKUP(G713,'ALL (R)'!$N$5:$R$862,5,FALSE)</f>
        <v>R 8</v>
      </c>
      <c r="AB713" s="232">
        <f>VLOOKUP(AA713,FACTS!$B$2:$L$14,10,FALSE)</f>
        <v>51850</v>
      </c>
      <c r="AC713" s="232">
        <f>VLOOKUP(AA713,FACTS!$B$2:$L$14,11,FALSE)</f>
        <v>57950</v>
      </c>
      <c r="AD713" s="232">
        <f>VLOOKUP(AA713,FACTS!$B$2:$N$14,13,FALSE)</f>
        <v>6100</v>
      </c>
      <c r="AE713" s="232">
        <f t="shared" si="116"/>
        <v>2592.5000000000005</v>
      </c>
      <c r="AF713" s="232">
        <f t="shared" si="117"/>
        <v>54442.5</v>
      </c>
      <c r="AG713" s="232">
        <f>AF713*FACTS!$T$2</f>
        <v>17966.025000000001</v>
      </c>
      <c r="AH713" s="232">
        <f>Table1[[#This Row],[UNIT (BUILDING) RATE (SEMI FINISHED)]]+4500</f>
        <v>58942.5</v>
      </c>
      <c r="AI713" s="232">
        <f>Table1[[#This Row],[UNIT (BUILDING) RATE (SEMI FINISHED)]]+7500</f>
        <v>61942.5</v>
      </c>
      <c r="AJ713" s="232">
        <f t="shared" si="118"/>
        <v>8710800</v>
      </c>
      <c r="AK713" s="232">
        <f>Table1[[#This Row],[UNIT (BUILDING) RATE (BASIC FINISH)]]*Table1[[#This Row],[Unit Selling Area]]</f>
        <v>9430800</v>
      </c>
      <c r="AL713" s="232">
        <f>Table1[[#This Row],[UNIT (BUILDING) RATE (FULLY FINISH)]]*Table1[[#This Row],[Unit Selling Area]]</f>
        <v>9910800</v>
      </c>
      <c r="AM713" s="232">
        <f t="shared" si="119"/>
        <v>0</v>
      </c>
      <c r="AN713" s="232">
        <f>(AM713+AJ713)*FACTS!$S$2</f>
        <v>740418</v>
      </c>
      <c r="AO713" s="101">
        <f>VLOOKUP(S713,FACTS!$A$17:$C$23,3,FALSE)</f>
        <v>2</v>
      </c>
      <c r="AP713" s="232">
        <f>VLOOKUP(AA713,FACTS!$B$2:$J$14,9,FALSE)</f>
        <v>244000</v>
      </c>
      <c r="AQ713" s="232">
        <f>Table1[[#This Row],[PARKING VALUE]]*1</f>
        <v>244000</v>
      </c>
      <c r="AR713" s="232">
        <f t="shared" si="114"/>
        <v>8954800</v>
      </c>
      <c r="AS713" s="440">
        <f>Table1[[#This Row],[TOTAL CARS VALUE]]+Table1[[#This Row],[UNIT (BUILDING) VALUE BASIC FINISHED]]+Table1[[#This Row],[UNIT (GARDEN) VALUE]]</f>
        <v>9674800</v>
      </c>
      <c r="AT713" s="232">
        <f>Table1[[#This Row],[TOTAL CARS VALUE]]+Table1[[#This Row],[UNIT (GARDEN) VALUE]]+Table1[[#This Row],[UNIT (BUILDING) VALUE FULLY FINISHED]]</f>
        <v>10154800</v>
      </c>
      <c r="AU713" s="233">
        <f>VLOOKUP(I713,'C PHASES'!$I$108:$J$110,2,FALSE)</f>
        <v>46569</v>
      </c>
      <c r="AV713" s="233">
        <f>VLOOKUP(AA713,'C PHASES'!$I$113:$J$125,2,FALSE)</f>
        <v>45839</v>
      </c>
    </row>
    <row r="714" spans="1:48" x14ac:dyDescent="0.25">
      <c r="A714" s="235"/>
      <c r="B714" s="227" t="str">
        <f t="shared" si="112"/>
        <v>D</v>
      </c>
      <c r="C714" s="227" t="s">
        <v>56</v>
      </c>
      <c r="D714" s="227" t="s">
        <v>1147</v>
      </c>
      <c r="E714" s="228">
        <v>2</v>
      </c>
      <c r="F714" s="101">
        <v>2</v>
      </c>
      <c r="G714" s="87" t="str">
        <f t="shared" si="113"/>
        <v>D322</v>
      </c>
      <c r="H714" s="87" t="s">
        <v>1294</v>
      </c>
      <c r="I714" s="89" t="str">
        <f>VLOOKUP(C714,'PREMIUM TABLES'!$G$107:$H$149,2,FALSE)</f>
        <v>C3</v>
      </c>
      <c r="J714" s="87">
        <v>131.44</v>
      </c>
      <c r="K714" s="87">
        <v>142.72850834170768</v>
      </c>
      <c r="L714" s="87">
        <v>160</v>
      </c>
      <c r="O714" s="87" t="s">
        <v>180</v>
      </c>
      <c r="P714" s="87" t="s">
        <v>226</v>
      </c>
      <c r="Q714" s="229" t="s">
        <v>211</v>
      </c>
      <c r="R714" s="87" t="str">
        <f>VLOOKUP(E714,'PREMIUM TABLES'!$F$214:$G$219,2,FALSE)</f>
        <v>SECOND</v>
      </c>
      <c r="S714" s="87" t="str" cm="1">
        <f t="array" ref="S714">IF(AND(L714&gt;0,L714&lt;90),"A",IF(AND(L714&gt;90,L714&lt;123),"B",IF(AND(L714&gt;122,L714&lt;159),"C",IF(AND(L714&gt;159,L714&lt;185),"D",IF(AND(L714&gt;185,L714&lt;230),"E",IF(AND(L714&gt;230,L714&lt;350),"F",NONE))))))</f>
        <v>D</v>
      </c>
      <c r="T714" s="230">
        <f>VLOOKUP(O714,'PREMIUM TABLES'!$G$165:$H$172,2,FALSE)</f>
        <v>0.13</v>
      </c>
      <c r="U714" s="230">
        <f>VLOOKUP(P714,'PREMIUM TABLES'!$G$208:$H$209,2,FALSE)</f>
        <v>0.05</v>
      </c>
      <c r="V714" s="230">
        <f>VLOOKUP(Q714,'PREMIUM TABLES'!$G$175:$H$195,2,FALSE)</f>
        <v>0.43</v>
      </c>
      <c r="W714" s="230">
        <f>VLOOKUP(R714,'PREMIUM TABLES'!$G$214:$H$219,2,FALSE)</f>
        <v>0.11</v>
      </c>
      <c r="X714" s="230">
        <f>VLOOKUP(S714,'PREMIUM TABLES'!$F$199:$H$205,3,FALSE)</f>
        <v>2.5000000000000001E-2</v>
      </c>
      <c r="Y714" s="231">
        <f t="shared" si="115"/>
        <v>0.745</v>
      </c>
      <c r="Z714" s="231" t="str" cm="1">
        <f t="array" ref="Z714">IF(AND(Y714&gt;0,Y714&lt;0.5),"C",IF(AND(Y714&gt;=0.5,Y714&lt;0.73),"B",IF(AND(Y714&gt;=0.73,Y714&lt;0.98),"A",NONE)))</f>
        <v>A</v>
      </c>
      <c r="AA714" s="231" t="str">
        <f>VLOOKUP(G714,'ALL (R)'!$N$5:$R$862,5,FALSE)</f>
        <v>R 1</v>
      </c>
      <c r="AB714" s="232">
        <f>VLOOKUP(AA714,FACTS!$B$2:$L$14,10,FALSE)</f>
        <v>42500</v>
      </c>
      <c r="AC714" s="232">
        <f>VLOOKUP(AA714,FACTS!$B$2:$L$14,11,FALSE)</f>
        <v>47500</v>
      </c>
      <c r="AD714" s="232">
        <f>VLOOKUP(AA714,FACTS!$B$2:$N$14,13,FALSE)</f>
        <v>5000</v>
      </c>
      <c r="AE714" s="232">
        <f t="shared" si="116"/>
        <v>3725</v>
      </c>
      <c r="AF714" s="232">
        <f t="shared" si="117"/>
        <v>46225</v>
      </c>
      <c r="AG714" s="232">
        <f>AF714*FACTS!$T$2</f>
        <v>15254.25</v>
      </c>
      <c r="AH714" s="232">
        <f>Table1[[#This Row],[UNIT (BUILDING) RATE (SEMI FINISHED)]]+4500</f>
        <v>50725</v>
      </c>
      <c r="AI714" s="232">
        <f>Table1[[#This Row],[UNIT (BUILDING) RATE (SEMI FINISHED)]]+7500</f>
        <v>53725</v>
      </c>
      <c r="AJ714" s="232">
        <f t="shared" si="118"/>
        <v>7396000</v>
      </c>
      <c r="AK714" s="232">
        <f>Table1[[#This Row],[UNIT (BUILDING) RATE (BASIC FINISH)]]*Table1[[#This Row],[Unit Selling Area]]</f>
        <v>8116000</v>
      </c>
      <c r="AL714" s="232">
        <f>Table1[[#This Row],[UNIT (BUILDING) RATE (FULLY FINISH)]]*Table1[[#This Row],[Unit Selling Area]]</f>
        <v>8596000</v>
      </c>
      <c r="AM714" s="232">
        <f t="shared" si="119"/>
        <v>0</v>
      </c>
      <c r="AN714" s="232">
        <f>(AM714+AJ714)*FACTS!$S$2</f>
        <v>628660</v>
      </c>
      <c r="AO714" s="101">
        <f>VLOOKUP(S714,FACTS!$A$17:$C$23,3,FALSE)</f>
        <v>2</v>
      </c>
      <c r="AP714" s="232">
        <f>VLOOKUP(AA714,FACTS!$B$2:$J$14,9,FALSE)</f>
        <v>200000</v>
      </c>
      <c r="AQ714" s="232">
        <f>Table1[[#This Row],[PARKING VALUE]]*1</f>
        <v>200000</v>
      </c>
      <c r="AR714" s="232">
        <f t="shared" si="114"/>
        <v>7596000</v>
      </c>
      <c r="AS714" s="440">
        <f>Table1[[#This Row],[TOTAL CARS VALUE]]+Table1[[#This Row],[UNIT (BUILDING) VALUE BASIC FINISHED]]+Table1[[#This Row],[UNIT (GARDEN) VALUE]]</f>
        <v>8316000</v>
      </c>
      <c r="AT714" s="232">
        <f>Table1[[#This Row],[TOTAL CARS VALUE]]+Table1[[#This Row],[UNIT (GARDEN) VALUE]]+Table1[[#This Row],[UNIT (BUILDING) VALUE FULLY FINISHED]]</f>
        <v>8796000</v>
      </c>
      <c r="AU714" s="233">
        <f>VLOOKUP(I714,'C PHASES'!$I$108:$J$110,2,FALSE)</f>
        <v>46569</v>
      </c>
      <c r="AV714" s="233">
        <f>VLOOKUP(AA714,'C PHASES'!$I$113:$J$125,2,FALSE)</f>
        <v>45170</v>
      </c>
    </row>
    <row r="715" spans="1:48" x14ac:dyDescent="0.25">
      <c r="A715" s="235"/>
      <c r="B715" s="227" t="str">
        <f t="shared" si="112"/>
        <v>D</v>
      </c>
      <c r="C715" s="227" t="s">
        <v>56</v>
      </c>
      <c r="D715" s="227" t="s">
        <v>1147</v>
      </c>
      <c r="E715" s="228">
        <v>2</v>
      </c>
      <c r="F715" s="101">
        <v>3</v>
      </c>
      <c r="G715" s="87" t="str">
        <f t="shared" si="113"/>
        <v>D323</v>
      </c>
      <c r="H715" s="87" t="s">
        <v>1294</v>
      </c>
      <c r="I715" s="89" t="str">
        <f>VLOOKUP(C715,'PREMIUM TABLES'!$G$107:$H$149,2,FALSE)</f>
        <v>C3</v>
      </c>
      <c r="J715" s="87">
        <v>126.95</v>
      </c>
      <c r="K715" s="87">
        <v>137.85289207227473</v>
      </c>
      <c r="L715" s="87">
        <v>155</v>
      </c>
      <c r="O715" s="87" t="s">
        <v>180</v>
      </c>
      <c r="P715" s="87" t="s">
        <v>190</v>
      </c>
      <c r="Q715" s="229" t="s">
        <v>211</v>
      </c>
      <c r="R715" s="87" t="str">
        <f>VLOOKUP(E715,'PREMIUM TABLES'!$F$214:$G$219,2,FALSE)</f>
        <v>SECOND</v>
      </c>
      <c r="S715" s="87" t="str" cm="1">
        <f t="array" ref="S715">IF(AND(L715&gt;0,L715&lt;90),"A",IF(AND(L715&gt;90,L715&lt;123),"B",IF(AND(L715&gt;122,L715&lt;159),"C",IF(AND(L715&gt;159,L715&lt;185),"D",IF(AND(L715&gt;185,L715&lt;230),"E",IF(AND(L715&gt;230,L715&lt;350),"F",NONE))))))</f>
        <v>C</v>
      </c>
      <c r="T715" s="230">
        <f>VLOOKUP(O715,'PREMIUM TABLES'!$G$165:$H$172,2,FALSE)</f>
        <v>0.13</v>
      </c>
      <c r="U715" s="230">
        <f>VLOOKUP(P715,'PREMIUM TABLES'!$G$208:$H$209,2,FALSE)</f>
        <v>2.5000000000000001E-2</v>
      </c>
      <c r="V715" s="230">
        <f>VLOOKUP(Q715,'PREMIUM TABLES'!$G$175:$H$195,2,FALSE)</f>
        <v>0.43</v>
      </c>
      <c r="W715" s="230">
        <f>VLOOKUP(R715,'PREMIUM TABLES'!$G$214:$H$219,2,FALSE)</f>
        <v>0.11</v>
      </c>
      <c r="X715" s="230">
        <f>VLOOKUP(S715,'PREMIUM TABLES'!$F$199:$H$205,3,FALSE)</f>
        <v>3.5000000000000003E-2</v>
      </c>
      <c r="Y715" s="231">
        <f t="shared" si="115"/>
        <v>0.73</v>
      </c>
      <c r="Z715" s="231" t="str" cm="1">
        <f t="array" ref="Z715">IF(AND(Y715&gt;0,Y715&lt;0.5),"C",IF(AND(Y715&gt;=0.5,Y715&lt;0.73),"B",IF(AND(Y715&gt;=0.73,Y715&lt;0.98),"A",NONE)))</f>
        <v>A</v>
      </c>
      <c r="AA715" s="231" t="str">
        <f>VLOOKUP(G715,'ALL (R)'!$N$5:$R$862,5,FALSE)</f>
        <v>R 1</v>
      </c>
      <c r="AB715" s="232">
        <f>VLOOKUP(AA715,FACTS!$B$2:$L$14,10,FALSE)</f>
        <v>42500</v>
      </c>
      <c r="AC715" s="232">
        <f>VLOOKUP(AA715,FACTS!$B$2:$L$14,11,FALSE)</f>
        <v>47500</v>
      </c>
      <c r="AD715" s="232">
        <f>VLOOKUP(AA715,FACTS!$B$2:$N$14,13,FALSE)</f>
        <v>5000</v>
      </c>
      <c r="AE715" s="232">
        <f t="shared" si="116"/>
        <v>3650</v>
      </c>
      <c r="AF715" s="232">
        <f t="shared" si="117"/>
        <v>46150</v>
      </c>
      <c r="AG715" s="232">
        <f>AF715*FACTS!$T$2</f>
        <v>15229.5</v>
      </c>
      <c r="AH715" s="232">
        <f>Table1[[#This Row],[UNIT (BUILDING) RATE (SEMI FINISHED)]]+4500</f>
        <v>50650</v>
      </c>
      <c r="AI715" s="232">
        <f>Table1[[#This Row],[UNIT (BUILDING) RATE (SEMI FINISHED)]]+7500</f>
        <v>53650</v>
      </c>
      <c r="AJ715" s="232">
        <f t="shared" si="118"/>
        <v>7153250</v>
      </c>
      <c r="AK715" s="232">
        <f>Table1[[#This Row],[UNIT (BUILDING) RATE (BASIC FINISH)]]*Table1[[#This Row],[Unit Selling Area]]</f>
        <v>7850750</v>
      </c>
      <c r="AL715" s="232">
        <f>Table1[[#This Row],[UNIT (BUILDING) RATE (FULLY FINISH)]]*Table1[[#This Row],[Unit Selling Area]]</f>
        <v>8315750</v>
      </c>
      <c r="AM715" s="232">
        <f t="shared" si="119"/>
        <v>0</v>
      </c>
      <c r="AN715" s="232">
        <f>(AM715+AJ715)*FACTS!$S$2</f>
        <v>608026.25</v>
      </c>
      <c r="AO715" s="101">
        <f>VLOOKUP(S715,FACTS!$A$17:$C$23,3,FALSE)</f>
        <v>2</v>
      </c>
      <c r="AP715" s="232">
        <f>VLOOKUP(AA715,FACTS!$B$2:$J$14,9,FALSE)</f>
        <v>200000</v>
      </c>
      <c r="AQ715" s="232">
        <f>Table1[[#This Row],[PARKING VALUE]]*1</f>
        <v>200000</v>
      </c>
      <c r="AR715" s="232">
        <f t="shared" si="114"/>
        <v>7353250</v>
      </c>
      <c r="AS715" s="440">
        <f>Table1[[#This Row],[TOTAL CARS VALUE]]+Table1[[#This Row],[UNIT (BUILDING) VALUE BASIC FINISHED]]+Table1[[#This Row],[UNIT (GARDEN) VALUE]]</f>
        <v>8050750</v>
      </c>
      <c r="AT715" s="232">
        <f>Table1[[#This Row],[TOTAL CARS VALUE]]+Table1[[#This Row],[UNIT (GARDEN) VALUE]]+Table1[[#This Row],[UNIT (BUILDING) VALUE FULLY FINISHED]]</f>
        <v>8515750</v>
      </c>
      <c r="AU715" s="233">
        <f>VLOOKUP(I715,'C PHASES'!$I$108:$J$110,2,FALSE)</f>
        <v>46569</v>
      </c>
      <c r="AV715" s="233">
        <f>VLOOKUP(AA715,'C PHASES'!$I$113:$J$125,2,FALSE)</f>
        <v>45170</v>
      </c>
    </row>
    <row r="716" spans="1:48" x14ac:dyDescent="0.25">
      <c r="A716" s="235"/>
      <c r="B716" s="227" t="str">
        <f t="shared" si="112"/>
        <v>D</v>
      </c>
      <c r="C716" s="227" t="s">
        <v>56</v>
      </c>
      <c r="D716" s="227" t="s">
        <v>1147</v>
      </c>
      <c r="E716" s="228">
        <v>2</v>
      </c>
      <c r="F716" s="101">
        <v>4</v>
      </c>
      <c r="G716" s="87" t="str">
        <f t="shared" si="113"/>
        <v>D324</v>
      </c>
      <c r="H716" s="87" t="s">
        <v>1294</v>
      </c>
      <c r="I716" s="89" t="str">
        <f>VLOOKUP(C716,'PREMIUM TABLES'!$G$107:$H$149,2,FALSE)</f>
        <v>C3</v>
      </c>
      <c r="J716" s="87">
        <v>127.15</v>
      </c>
      <c r="K716" s="87">
        <v>138.07006874351896</v>
      </c>
      <c r="L716" s="87">
        <v>155</v>
      </c>
      <c r="O716" s="87" t="s">
        <v>187</v>
      </c>
      <c r="P716" s="87" t="s">
        <v>190</v>
      </c>
      <c r="Q716" s="229" t="s">
        <v>197</v>
      </c>
      <c r="R716" s="87" t="str">
        <f>VLOOKUP(E716,'PREMIUM TABLES'!$F$214:$G$219,2,FALSE)</f>
        <v>SECOND</v>
      </c>
      <c r="S716" s="87" t="str" cm="1">
        <f t="array" ref="S716">IF(AND(L716&gt;0,L716&lt;90),"A",IF(AND(L716&gt;90,L716&lt;123),"B",IF(AND(L716&gt;122,L716&lt;159),"C",IF(AND(L716&gt;159,L716&lt;185),"D",IF(AND(L716&gt;185,L716&lt;230),"E",IF(AND(L716&gt;230,L716&lt;350),"F",NONE))))))</f>
        <v>C</v>
      </c>
      <c r="T716" s="230">
        <f>VLOOKUP(O716,'PREMIUM TABLES'!$G$165:$H$172,2,FALSE)</f>
        <v>0.08</v>
      </c>
      <c r="U716" s="230">
        <f>VLOOKUP(P716,'PREMIUM TABLES'!$G$208:$H$209,2,FALSE)</f>
        <v>2.5000000000000001E-2</v>
      </c>
      <c r="V716" s="230">
        <f>VLOOKUP(Q716,'PREMIUM TABLES'!$G$175:$H$195,2,FALSE)</f>
        <v>0.16</v>
      </c>
      <c r="W716" s="230">
        <f>VLOOKUP(R716,'PREMIUM TABLES'!$G$214:$H$219,2,FALSE)</f>
        <v>0.11</v>
      </c>
      <c r="X716" s="230">
        <f>VLOOKUP(S716,'PREMIUM TABLES'!$F$199:$H$205,3,FALSE)</f>
        <v>3.5000000000000003E-2</v>
      </c>
      <c r="Y716" s="231">
        <f t="shared" si="115"/>
        <v>0.41000000000000003</v>
      </c>
      <c r="Z716" s="231" t="str" cm="1">
        <f t="array" ref="Z716">IF(AND(Y716&gt;0,Y716&lt;0.5),"C",IF(AND(Y716&gt;=0.5,Y716&lt;0.73),"B",IF(AND(Y716&gt;=0.73,Y716&lt;0.98),"A",NONE)))</f>
        <v>C</v>
      </c>
      <c r="AA716" s="231" t="str">
        <f>VLOOKUP(G716,'ALL (R)'!$N$5:$R$862,5,FALSE)</f>
        <v>R 6</v>
      </c>
      <c r="AB716" s="232">
        <f>VLOOKUP(AA716,FACTS!$B$2:$L$14,10,FALSE)</f>
        <v>48450.000000000007</v>
      </c>
      <c r="AC716" s="232">
        <f>VLOOKUP(AA716,FACTS!$B$2:$L$14,11,FALSE)</f>
        <v>54150.000000000007</v>
      </c>
      <c r="AD716" s="232">
        <f>VLOOKUP(AA716,FACTS!$B$2:$N$14,13,FALSE)</f>
        <v>5700</v>
      </c>
      <c r="AE716" s="232">
        <f t="shared" si="116"/>
        <v>2337</v>
      </c>
      <c r="AF716" s="232">
        <f t="shared" si="117"/>
        <v>50787.000000000007</v>
      </c>
      <c r="AG716" s="232">
        <f>AF716*FACTS!$T$2</f>
        <v>16759.710000000003</v>
      </c>
      <c r="AH716" s="232">
        <f>Table1[[#This Row],[UNIT (BUILDING) RATE (SEMI FINISHED)]]+4500</f>
        <v>55287.000000000007</v>
      </c>
      <c r="AI716" s="232">
        <f>Table1[[#This Row],[UNIT (BUILDING) RATE (SEMI FINISHED)]]+7500</f>
        <v>58287.000000000007</v>
      </c>
      <c r="AJ716" s="232">
        <f t="shared" si="118"/>
        <v>7871985.0000000009</v>
      </c>
      <c r="AK716" s="232">
        <f>Table1[[#This Row],[UNIT (BUILDING) RATE (BASIC FINISH)]]*Table1[[#This Row],[Unit Selling Area]]</f>
        <v>8569485.0000000019</v>
      </c>
      <c r="AL716" s="232">
        <f>Table1[[#This Row],[UNIT (BUILDING) RATE (FULLY FINISH)]]*Table1[[#This Row],[Unit Selling Area]]</f>
        <v>9034485.0000000019</v>
      </c>
      <c r="AM716" s="232">
        <f t="shared" si="119"/>
        <v>0</v>
      </c>
      <c r="AN716" s="232">
        <f>(AM716+AJ716)*FACTS!$S$2</f>
        <v>669118.72500000009</v>
      </c>
      <c r="AO716" s="101">
        <f>VLOOKUP(S716,FACTS!$A$17:$C$23,3,FALSE)</f>
        <v>2</v>
      </c>
      <c r="AP716" s="232">
        <f>VLOOKUP(AA716,FACTS!$B$2:$J$14,9,FALSE)</f>
        <v>228000.00000000003</v>
      </c>
      <c r="AQ716" s="232">
        <f>Table1[[#This Row],[PARKING VALUE]]*1</f>
        <v>228000.00000000003</v>
      </c>
      <c r="AR716" s="232">
        <f t="shared" si="114"/>
        <v>8099985.0000000009</v>
      </c>
      <c r="AS716" s="440">
        <f>Table1[[#This Row],[TOTAL CARS VALUE]]+Table1[[#This Row],[UNIT (BUILDING) VALUE BASIC FINISHED]]+Table1[[#This Row],[UNIT (GARDEN) VALUE]]</f>
        <v>8797485.0000000019</v>
      </c>
      <c r="AT716" s="232">
        <f>Table1[[#This Row],[TOTAL CARS VALUE]]+Table1[[#This Row],[UNIT (GARDEN) VALUE]]+Table1[[#This Row],[UNIT (BUILDING) VALUE FULLY FINISHED]]</f>
        <v>9262485.0000000019</v>
      </c>
      <c r="AU716" s="233">
        <f>VLOOKUP(I716,'C PHASES'!$I$108:$J$110,2,FALSE)</f>
        <v>46569</v>
      </c>
      <c r="AV716" s="233">
        <f>VLOOKUP(AA716,'C PHASES'!$I$113:$J$125,2,FALSE)</f>
        <v>45658</v>
      </c>
    </row>
    <row r="717" spans="1:48" x14ac:dyDescent="0.25">
      <c r="A717" s="235"/>
      <c r="B717" s="227" t="str">
        <f t="shared" si="112"/>
        <v>D</v>
      </c>
      <c r="C717" s="227" t="s">
        <v>56</v>
      </c>
      <c r="D717" s="227" t="s">
        <v>1147</v>
      </c>
      <c r="E717" s="228">
        <v>3</v>
      </c>
      <c r="F717" s="101">
        <v>1</v>
      </c>
      <c r="G717" s="87" t="str">
        <f t="shared" si="113"/>
        <v>D331</v>
      </c>
      <c r="H717" s="87" t="s">
        <v>1294</v>
      </c>
      <c r="I717" s="89" t="str">
        <f>VLOOKUP(C717,'PREMIUM TABLES'!$G$107:$H$149,2,FALSE)</f>
        <v>C3</v>
      </c>
      <c r="J717" s="87">
        <v>131.88</v>
      </c>
      <c r="K717" s="87">
        <v>143.20629701844499</v>
      </c>
      <c r="L717" s="87">
        <v>161</v>
      </c>
      <c r="O717" s="87" t="s">
        <v>187</v>
      </c>
      <c r="P717" s="87" t="s">
        <v>226</v>
      </c>
      <c r="Q717" s="229" t="s">
        <v>197</v>
      </c>
      <c r="R717" s="87" t="str">
        <f>VLOOKUP(E717,'PREMIUM TABLES'!$F$214:$G$219,2,FALSE)</f>
        <v>THIRD</v>
      </c>
      <c r="S717" s="87" t="str" cm="1">
        <f t="array" ref="S717">IF(AND(L717&gt;0,L717&lt;90),"A",IF(AND(L717&gt;90,L717&lt;123),"B",IF(AND(L717&gt;122,L717&lt;159),"C",IF(AND(L717&gt;159,L717&lt;185),"D",IF(AND(L717&gt;185,L717&lt;230),"E",IF(AND(L717&gt;230,L717&lt;350),"F",NONE))))))</f>
        <v>D</v>
      </c>
      <c r="T717" s="230">
        <f>VLOOKUP(O717,'PREMIUM TABLES'!$G$165:$H$172,2,FALSE)</f>
        <v>0.08</v>
      </c>
      <c r="U717" s="230">
        <f>VLOOKUP(P717,'PREMIUM TABLES'!$G$208:$H$209,2,FALSE)</f>
        <v>0.05</v>
      </c>
      <c r="V717" s="230">
        <f>VLOOKUP(Q717,'PREMIUM TABLES'!$G$175:$H$195,2,FALSE)</f>
        <v>0.16</v>
      </c>
      <c r="W717" s="230">
        <f>VLOOKUP(R717,'PREMIUM TABLES'!$G$214:$H$219,2,FALSE)</f>
        <v>0.15</v>
      </c>
      <c r="X717" s="230">
        <f>VLOOKUP(S717,'PREMIUM TABLES'!$F$199:$H$205,3,FALSE)</f>
        <v>2.5000000000000001E-2</v>
      </c>
      <c r="Y717" s="231">
        <f t="shared" si="115"/>
        <v>0.46500000000000008</v>
      </c>
      <c r="Z717" s="231" t="str" cm="1">
        <f t="array" ref="Z717">IF(AND(Y717&gt;0,Y717&lt;0.5),"C",IF(AND(Y717&gt;=0.5,Y717&lt;0.73),"B",IF(AND(Y717&gt;=0.73,Y717&lt;0.98),"A",NONE)))</f>
        <v>C</v>
      </c>
      <c r="AA717" s="231" t="str">
        <f>VLOOKUP(G717,'ALL (R)'!$N$5:$R$862,5,FALSE)</f>
        <v>R 11</v>
      </c>
      <c r="AB717" s="232">
        <f>VLOOKUP(AA717,FACTS!$B$2:$L$14,10,FALSE)</f>
        <v>58649.999999999993</v>
      </c>
      <c r="AC717" s="232">
        <f>VLOOKUP(AA717,FACTS!$B$2:$L$14,11,FALSE)</f>
        <v>65550</v>
      </c>
      <c r="AD717" s="232">
        <f>VLOOKUP(AA717,FACTS!$B$2:$N$14,13,FALSE)</f>
        <v>6900.0000000000073</v>
      </c>
      <c r="AE717" s="232">
        <f t="shared" si="116"/>
        <v>3208.5000000000041</v>
      </c>
      <c r="AF717" s="232">
        <f t="shared" si="117"/>
        <v>61858.5</v>
      </c>
      <c r="AG717" s="232">
        <f>AF717*FACTS!$T$2</f>
        <v>20413.305</v>
      </c>
      <c r="AH717" s="232">
        <f>Table1[[#This Row],[UNIT (BUILDING) RATE (SEMI FINISHED)]]+4500</f>
        <v>66358.5</v>
      </c>
      <c r="AI717" s="232">
        <f>Table1[[#This Row],[UNIT (BUILDING) RATE (SEMI FINISHED)]]+7500</f>
        <v>69358.5</v>
      </c>
      <c r="AJ717" s="232">
        <f t="shared" si="118"/>
        <v>9959218.5</v>
      </c>
      <c r="AK717" s="232">
        <f>Table1[[#This Row],[UNIT (BUILDING) RATE (BASIC FINISH)]]*Table1[[#This Row],[Unit Selling Area]]</f>
        <v>10683718.5</v>
      </c>
      <c r="AL717" s="232">
        <f>Table1[[#This Row],[UNIT (BUILDING) RATE (FULLY FINISH)]]*Table1[[#This Row],[Unit Selling Area]]</f>
        <v>11166718.5</v>
      </c>
      <c r="AM717" s="232">
        <f t="shared" si="119"/>
        <v>0</v>
      </c>
      <c r="AN717" s="232">
        <f>(AM717+AJ717)*FACTS!$S$2</f>
        <v>846533.57250000001</v>
      </c>
      <c r="AO717" s="101">
        <f>VLOOKUP(S717,FACTS!$A$17:$C$23,3,FALSE)</f>
        <v>2</v>
      </c>
      <c r="AP717" s="232">
        <f>VLOOKUP(AA717,FACTS!$B$2:$J$14,9,FALSE)</f>
        <v>276000</v>
      </c>
      <c r="AQ717" s="232">
        <f>Table1[[#This Row],[PARKING VALUE]]*1</f>
        <v>276000</v>
      </c>
      <c r="AR717" s="232">
        <f t="shared" si="114"/>
        <v>10235218.5</v>
      </c>
      <c r="AS717" s="440">
        <f>Table1[[#This Row],[TOTAL CARS VALUE]]+Table1[[#This Row],[UNIT (BUILDING) VALUE BASIC FINISHED]]+Table1[[#This Row],[UNIT (GARDEN) VALUE]]</f>
        <v>10959718.5</v>
      </c>
      <c r="AT717" s="232">
        <f>Table1[[#This Row],[TOTAL CARS VALUE]]+Table1[[#This Row],[UNIT (GARDEN) VALUE]]+Table1[[#This Row],[UNIT (BUILDING) VALUE FULLY FINISHED]]</f>
        <v>11442718.5</v>
      </c>
      <c r="AU717" s="233">
        <f>VLOOKUP(I717,'C PHASES'!$I$108:$J$110,2,FALSE)</f>
        <v>46569</v>
      </c>
      <c r="AV717" s="233">
        <f>VLOOKUP(AA717,'C PHASES'!$I$113:$J$125,2,FALSE)</f>
        <v>46113</v>
      </c>
    </row>
    <row r="718" spans="1:48" x14ac:dyDescent="0.25">
      <c r="A718" s="235"/>
      <c r="B718" s="227" t="str">
        <f t="shared" si="112"/>
        <v>D</v>
      </c>
      <c r="C718" s="227" t="s">
        <v>56</v>
      </c>
      <c r="D718" s="227" t="s">
        <v>1147</v>
      </c>
      <c r="E718" s="228">
        <v>3</v>
      </c>
      <c r="F718" s="101">
        <v>2</v>
      </c>
      <c r="G718" s="87" t="str">
        <f t="shared" si="113"/>
        <v>D332</v>
      </c>
      <c r="H718" s="87" t="s">
        <v>1294</v>
      </c>
      <c r="I718" s="89" t="str">
        <f>VLOOKUP(C718,'PREMIUM TABLES'!$G$107:$H$149,2,FALSE)</f>
        <v>C3</v>
      </c>
      <c r="J718" s="87">
        <v>131.43</v>
      </c>
      <c r="K718" s="87">
        <v>142.71764950814546</v>
      </c>
      <c r="L718" s="87">
        <v>160</v>
      </c>
      <c r="O718" s="87" t="s">
        <v>180</v>
      </c>
      <c r="P718" s="87" t="s">
        <v>226</v>
      </c>
      <c r="Q718" s="229" t="s">
        <v>211</v>
      </c>
      <c r="R718" s="87" t="str">
        <f>VLOOKUP(E718,'PREMIUM TABLES'!$F$214:$G$219,2,FALSE)</f>
        <v>THIRD</v>
      </c>
      <c r="S718" s="87" t="str" cm="1">
        <f t="array" ref="S718">IF(AND(L718&gt;0,L718&lt;90),"A",IF(AND(L718&gt;90,L718&lt;123),"B",IF(AND(L718&gt;122,L718&lt;159),"C",IF(AND(L718&gt;159,L718&lt;185),"D",IF(AND(L718&gt;185,L718&lt;230),"E",IF(AND(L718&gt;230,L718&lt;350),"F",NONE))))))</f>
        <v>D</v>
      </c>
      <c r="T718" s="230">
        <f>VLOOKUP(O718,'PREMIUM TABLES'!$G$165:$H$172,2,FALSE)</f>
        <v>0.13</v>
      </c>
      <c r="U718" s="230">
        <f>VLOOKUP(P718,'PREMIUM TABLES'!$G$208:$H$209,2,FALSE)</f>
        <v>0.05</v>
      </c>
      <c r="V718" s="230">
        <f>VLOOKUP(Q718,'PREMIUM TABLES'!$G$175:$H$195,2,FALSE)</f>
        <v>0.43</v>
      </c>
      <c r="W718" s="230">
        <f>VLOOKUP(R718,'PREMIUM TABLES'!$G$214:$H$219,2,FALSE)</f>
        <v>0.15</v>
      </c>
      <c r="X718" s="230">
        <f>VLOOKUP(S718,'PREMIUM TABLES'!$F$199:$H$205,3,FALSE)</f>
        <v>2.5000000000000001E-2</v>
      </c>
      <c r="Y718" s="231">
        <f t="shared" si="115"/>
        <v>0.78500000000000003</v>
      </c>
      <c r="Z718" s="231" t="str" cm="1">
        <f t="array" ref="Z718">IF(AND(Y718&gt;0,Y718&lt;0.5),"C",IF(AND(Y718&gt;=0.5,Y718&lt;0.73),"B",IF(AND(Y718&gt;=0.73,Y718&lt;0.98),"A",NONE)))</f>
        <v>A</v>
      </c>
      <c r="AA718" s="231" t="str">
        <f>VLOOKUP(G718,'ALL (R)'!$N$5:$R$862,5,FALSE)</f>
        <v>R 5</v>
      </c>
      <c r="AB718" s="232">
        <f>VLOOKUP(AA718,FACTS!$B$2:$L$14,10,FALSE)</f>
        <v>46750.000000000007</v>
      </c>
      <c r="AC718" s="232">
        <f>VLOOKUP(AA718,FACTS!$B$2:$L$14,11,FALSE)</f>
        <v>52250.000000000007</v>
      </c>
      <c r="AD718" s="232">
        <f>VLOOKUP(AA718,FACTS!$B$2:$N$14,13,FALSE)</f>
        <v>5500</v>
      </c>
      <c r="AE718" s="232">
        <f t="shared" si="116"/>
        <v>4317.5</v>
      </c>
      <c r="AF718" s="232">
        <f t="shared" si="117"/>
        <v>51067.500000000007</v>
      </c>
      <c r="AG718" s="232">
        <f>AF718*FACTS!$T$2</f>
        <v>16852.275000000001</v>
      </c>
      <c r="AH718" s="232">
        <f>Table1[[#This Row],[UNIT (BUILDING) RATE (SEMI FINISHED)]]+4500</f>
        <v>55567.500000000007</v>
      </c>
      <c r="AI718" s="232">
        <f>Table1[[#This Row],[UNIT (BUILDING) RATE (SEMI FINISHED)]]+7500</f>
        <v>58567.500000000007</v>
      </c>
      <c r="AJ718" s="232">
        <f t="shared" si="118"/>
        <v>8170800.0000000009</v>
      </c>
      <c r="AK718" s="232">
        <f>Table1[[#This Row],[UNIT (BUILDING) RATE (BASIC FINISH)]]*Table1[[#This Row],[Unit Selling Area]]</f>
        <v>8890800.0000000019</v>
      </c>
      <c r="AL718" s="232">
        <f>Table1[[#This Row],[UNIT (BUILDING) RATE (FULLY FINISH)]]*Table1[[#This Row],[Unit Selling Area]]</f>
        <v>9370800.0000000019</v>
      </c>
      <c r="AM718" s="232">
        <f t="shared" si="119"/>
        <v>0</v>
      </c>
      <c r="AN718" s="232">
        <f>(AM718+AJ718)*FACTS!$S$2</f>
        <v>694518.00000000012</v>
      </c>
      <c r="AO718" s="101">
        <f>VLOOKUP(S718,FACTS!$A$17:$C$23,3,FALSE)</f>
        <v>2</v>
      </c>
      <c r="AP718" s="232">
        <f>VLOOKUP(AA718,FACTS!$B$2:$J$14,9,FALSE)</f>
        <v>220000.00000000003</v>
      </c>
      <c r="AQ718" s="232">
        <f>Table1[[#This Row],[PARKING VALUE]]*1</f>
        <v>220000.00000000003</v>
      </c>
      <c r="AR718" s="232">
        <f t="shared" si="114"/>
        <v>8390800.0000000019</v>
      </c>
      <c r="AS718" s="440">
        <f>Table1[[#This Row],[TOTAL CARS VALUE]]+Table1[[#This Row],[UNIT (BUILDING) VALUE BASIC FINISHED]]+Table1[[#This Row],[UNIT (GARDEN) VALUE]]</f>
        <v>9110800.0000000019</v>
      </c>
      <c r="AT718" s="232">
        <f>Table1[[#This Row],[TOTAL CARS VALUE]]+Table1[[#This Row],[UNIT (GARDEN) VALUE]]+Table1[[#This Row],[UNIT (BUILDING) VALUE FULLY FINISHED]]</f>
        <v>9590800.0000000019</v>
      </c>
      <c r="AU718" s="233">
        <f>VLOOKUP(I718,'C PHASES'!$I$108:$J$110,2,FALSE)</f>
        <v>46569</v>
      </c>
      <c r="AV718" s="233">
        <f>VLOOKUP(AA718,'C PHASES'!$I$113:$J$125,2,FALSE)</f>
        <v>45566</v>
      </c>
    </row>
    <row r="719" spans="1:48" x14ac:dyDescent="0.25">
      <c r="A719" s="235"/>
      <c r="B719" s="227" t="str">
        <f t="shared" si="112"/>
        <v>D</v>
      </c>
      <c r="C719" s="227" t="s">
        <v>56</v>
      </c>
      <c r="D719" s="227" t="s">
        <v>1147</v>
      </c>
      <c r="E719" s="228">
        <v>3</v>
      </c>
      <c r="F719" s="101">
        <v>3</v>
      </c>
      <c r="G719" s="87" t="str">
        <f t="shared" si="113"/>
        <v>D333</v>
      </c>
      <c r="H719" s="87" t="s">
        <v>1294</v>
      </c>
      <c r="I719" s="89" t="str">
        <f>VLOOKUP(C719,'PREMIUM TABLES'!$G$107:$H$149,2,FALSE)</f>
        <v>C3</v>
      </c>
      <c r="J719" s="87">
        <v>126.97</v>
      </c>
      <c r="K719" s="87">
        <v>137.87460973939915</v>
      </c>
      <c r="L719" s="87">
        <v>155</v>
      </c>
      <c r="O719" s="87" t="s">
        <v>180</v>
      </c>
      <c r="P719" s="87" t="s">
        <v>190</v>
      </c>
      <c r="Q719" s="229" t="s">
        <v>211</v>
      </c>
      <c r="R719" s="87" t="str">
        <f>VLOOKUP(E719,'PREMIUM TABLES'!$F$214:$G$219,2,FALSE)</f>
        <v>THIRD</v>
      </c>
      <c r="S719" s="87" t="str" cm="1">
        <f t="array" ref="S719">IF(AND(L719&gt;0,L719&lt;90),"A",IF(AND(L719&gt;90,L719&lt;123),"B",IF(AND(L719&gt;122,L719&lt;159),"C",IF(AND(L719&gt;159,L719&lt;185),"D",IF(AND(L719&gt;185,L719&lt;230),"E",IF(AND(L719&gt;230,L719&lt;350),"F",NONE))))))</f>
        <v>C</v>
      </c>
      <c r="T719" s="230">
        <f>VLOOKUP(O719,'PREMIUM TABLES'!$G$165:$H$172,2,FALSE)</f>
        <v>0.13</v>
      </c>
      <c r="U719" s="230">
        <f>VLOOKUP(P719,'PREMIUM TABLES'!$G$208:$H$209,2,FALSE)</f>
        <v>2.5000000000000001E-2</v>
      </c>
      <c r="V719" s="230">
        <f>VLOOKUP(Q719,'PREMIUM TABLES'!$G$175:$H$195,2,FALSE)</f>
        <v>0.43</v>
      </c>
      <c r="W719" s="230">
        <f>VLOOKUP(R719,'PREMIUM TABLES'!$G$214:$H$219,2,FALSE)</f>
        <v>0.15</v>
      </c>
      <c r="X719" s="230">
        <f>VLOOKUP(S719,'PREMIUM TABLES'!$F$199:$H$205,3,FALSE)</f>
        <v>3.5000000000000003E-2</v>
      </c>
      <c r="Y719" s="231">
        <f t="shared" si="115"/>
        <v>0.77</v>
      </c>
      <c r="Z719" s="231" t="str" cm="1">
        <f t="array" ref="Z719">IF(AND(Y719&gt;0,Y719&lt;0.5),"C",IF(AND(Y719&gt;=0.5,Y719&lt;0.73),"B",IF(AND(Y719&gt;=0.73,Y719&lt;0.98),"A",NONE)))</f>
        <v>A</v>
      </c>
      <c r="AA719" s="231" t="str">
        <f>VLOOKUP(G719,'ALL (R)'!$N$5:$R$862,5,FALSE)</f>
        <v>R 3</v>
      </c>
      <c r="AB719" s="232">
        <f>VLOOKUP(AA719,FACTS!$B$2:$L$14,10,FALSE)</f>
        <v>44625</v>
      </c>
      <c r="AC719" s="232">
        <f>VLOOKUP(AA719,FACTS!$B$2:$L$14,11,FALSE)</f>
        <v>49875</v>
      </c>
      <c r="AD719" s="232">
        <f>VLOOKUP(AA719,FACTS!$B$2:$N$14,13,FALSE)</f>
        <v>5250</v>
      </c>
      <c r="AE719" s="232">
        <f t="shared" si="116"/>
        <v>4042.5</v>
      </c>
      <c r="AF719" s="232">
        <f t="shared" si="117"/>
        <v>48667.5</v>
      </c>
      <c r="AG719" s="232">
        <f>AF719*FACTS!$T$2</f>
        <v>16060.275000000001</v>
      </c>
      <c r="AH719" s="232">
        <f>Table1[[#This Row],[UNIT (BUILDING) RATE (SEMI FINISHED)]]+4500</f>
        <v>53167.5</v>
      </c>
      <c r="AI719" s="232">
        <f>Table1[[#This Row],[UNIT (BUILDING) RATE (SEMI FINISHED)]]+7500</f>
        <v>56167.5</v>
      </c>
      <c r="AJ719" s="232">
        <f t="shared" si="118"/>
        <v>7543462.5</v>
      </c>
      <c r="AK719" s="232">
        <f>Table1[[#This Row],[UNIT (BUILDING) RATE (BASIC FINISH)]]*Table1[[#This Row],[Unit Selling Area]]</f>
        <v>8240962.5</v>
      </c>
      <c r="AL719" s="232">
        <f>Table1[[#This Row],[UNIT (BUILDING) RATE (FULLY FINISH)]]*Table1[[#This Row],[Unit Selling Area]]</f>
        <v>8705962.5</v>
      </c>
      <c r="AM719" s="232">
        <f t="shared" si="119"/>
        <v>0</v>
      </c>
      <c r="AN719" s="232">
        <f>(AM719+AJ719)*FACTS!$S$2</f>
        <v>641194.3125</v>
      </c>
      <c r="AO719" s="101">
        <f>VLOOKUP(S719,FACTS!$A$17:$C$23,3,FALSE)</f>
        <v>2</v>
      </c>
      <c r="AP719" s="232">
        <f>VLOOKUP(AA719,FACTS!$B$2:$J$14,9,FALSE)</f>
        <v>210000</v>
      </c>
      <c r="AQ719" s="232">
        <f>Table1[[#This Row],[PARKING VALUE]]*1</f>
        <v>210000</v>
      </c>
      <c r="AR719" s="232">
        <f t="shared" si="114"/>
        <v>7753462.5</v>
      </c>
      <c r="AS719" s="440">
        <f>Table1[[#This Row],[TOTAL CARS VALUE]]+Table1[[#This Row],[UNIT (BUILDING) VALUE BASIC FINISHED]]+Table1[[#This Row],[UNIT (GARDEN) VALUE]]</f>
        <v>8450962.5</v>
      </c>
      <c r="AT719" s="232">
        <f>Table1[[#This Row],[TOTAL CARS VALUE]]+Table1[[#This Row],[UNIT (GARDEN) VALUE]]+Table1[[#This Row],[UNIT (BUILDING) VALUE FULLY FINISHED]]</f>
        <v>8915962.5</v>
      </c>
      <c r="AU719" s="233">
        <f>VLOOKUP(I719,'C PHASES'!$I$108:$J$110,2,FALSE)</f>
        <v>46569</v>
      </c>
      <c r="AV719" s="233">
        <f>VLOOKUP(AA719,'C PHASES'!$I$113:$J$125,2,FALSE)</f>
        <v>45383</v>
      </c>
    </row>
    <row r="720" spans="1:48" x14ac:dyDescent="0.25">
      <c r="A720" s="235"/>
      <c r="B720" s="227" t="str">
        <f t="shared" si="112"/>
        <v>D</v>
      </c>
      <c r="C720" s="227" t="s">
        <v>56</v>
      </c>
      <c r="D720" s="227" t="s">
        <v>1147</v>
      </c>
      <c r="E720" s="228">
        <v>3</v>
      </c>
      <c r="F720" s="101">
        <v>4</v>
      </c>
      <c r="G720" s="87" t="str">
        <f t="shared" si="113"/>
        <v>D334</v>
      </c>
      <c r="H720" s="87" t="s">
        <v>1294</v>
      </c>
      <c r="I720" s="89" t="str">
        <f>VLOOKUP(C720,'PREMIUM TABLES'!$G$107:$H$149,2,FALSE)</f>
        <v>C3</v>
      </c>
      <c r="J720" s="87">
        <v>127.45</v>
      </c>
      <c r="K720" s="87">
        <v>138.39583375038529</v>
      </c>
      <c r="L720" s="87">
        <v>155</v>
      </c>
      <c r="O720" s="87" t="s">
        <v>187</v>
      </c>
      <c r="P720" s="87" t="s">
        <v>190</v>
      </c>
      <c r="Q720" s="229" t="s">
        <v>197</v>
      </c>
      <c r="R720" s="87" t="str">
        <f>VLOOKUP(E720,'PREMIUM TABLES'!$F$214:$G$219,2,FALSE)</f>
        <v>THIRD</v>
      </c>
      <c r="S720" s="87" t="str" cm="1">
        <f t="array" ref="S720">IF(AND(L720&gt;0,L720&lt;90),"A",IF(AND(L720&gt;90,L720&lt;123),"B",IF(AND(L720&gt;122,L720&lt;159),"C",IF(AND(L720&gt;159,L720&lt;185),"D",IF(AND(L720&gt;185,L720&lt;230),"E",IF(AND(L720&gt;230,L720&lt;350),"F",NONE))))))</f>
        <v>C</v>
      </c>
      <c r="T720" s="230">
        <f>VLOOKUP(O720,'PREMIUM TABLES'!$G$165:$H$172,2,FALSE)</f>
        <v>0.08</v>
      </c>
      <c r="U720" s="230">
        <f>VLOOKUP(P720,'PREMIUM TABLES'!$G$208:$H$209,2,FALSE)</f>
        <v>2.5000000000000001E-2</v>
      </c>
      <c r="V720" s="230">
        <f>VLOOKUP(Q720,'PREMIUM TABLES'!$G$175:$H$195,2,FALSE)</f>
        <v>0.16</v>
      </c>
      <c r="W720" s="230">
        <f>VLOOKUP(R720,'PREMIUM TABLES'!$G$214:$H$219,2,FALSE)</f>
        <v>0.15</v>
      </c>
      <c r="X720" s="230">
        <f>VLOOKUP(S720,'PREMIUM TABLES'!$F$199:$H$205,3,FALSE)</f>
        <v>3.5000000000000003E-2</v>
      </c>
      <c r="Y720" s="231">
        <f t="shared" si="115"/>
        <v>0.45000000000000007</v>
      </c>
      <c r="Z720" s="231" t="str" cm="1">
        <f t="array" ref="Z720">IF(AND(Y720&gt;0,Y720&lt;0.5),"C",IF(AND(Y720&gt;=0.5,Y720&lt;0.73),"B",IF(AND(Y720&gt;=0.73,Y720&lt;0.98),"A",NONE)))</f>
        <v>C</v>
      </c>
      <c r="AA720" s="231" t="str">
        <f>VLOOKUP(G720,'ALL (R)'!$N$5:$R$862,5,FALSE)</f>
        <v>R 9</v>
      </c>
      <c r="AB720" s="232">
        <f>VLOOKUP(AA720,FACTS!$B$2:$L$14,10,FALSE)</f>
        <v>53550</v>
      </c>
      <c r="AC720" s="232">
        <f>VLOOKUP(AA720,FACTS!$B$2:$L$14,11,FALSE)</f>
        <v>59850</v>
      </c>
      <c r="AD720" s="232">
        <f>VLOOKUP(AA720,FACTS!$B$2:$N$14,13,FALSE)</f>
        <v>6300</v>
      </c>
      <c r="AE720" s="232">
        <f t="shared" si="116"/>
        <v>2835.0000000000005</v>
      </c>
      <c r="AF720" s="232">
        <f t="shared" si="117"/>
        <v>56385</v>
      </c>
      <c r="AG720" s="232">
        <f>AF720*FACTS!$T$2</f>
        <v>18607.05</v>
      </c>
      <c r="AH720" s="232">
        <f>Table1[[#This Row],[UNIT (BUILDING) RATE (SEMI FINISHED)]]+4500</f>
        <v>60885</v>
      </c>
      <c r="AI720" s="232">
        <f>Table1[[#This Row],[UNIT (BUILDING) RATE (SEMI FINISHED)]]+7500</f>
        <v>63885</v>
      </c>
      <c r="AJ720" s="232">
        <f t="shared" si="118"/>
        <v>8739675</v>
      </c>
      <c r="AK720" s="232">
        <f>Table1[[#This Row],[UNIT (BUILDING) RATE (BASIC FINISH)]]*Table1[[#This Row],[Unit Selling Area]]</f>
        <v>9437175</v>
      </c>
      <c r="AL720" s="232">
        <f>Table1[[#This Row],[UNIT (BUILDING) RATE (FULLY FINISH)]]*Table1[[#This Row],[Unit Selling Area]]</f>
        <v>9902175</v>
      </c>
      <c r="AM720" s="232">
        <f t="shared" si="119"/>
        <v>0</v>
      </c>
      <c r="AN720" s="232">
        <f>(AM720+AJ720)*FACTS!$S$2</f>
        <v>742872.375</v>
      </c>
      <c r="AO720" s="101">
        <f>VLOOKUP(S720,FACTS!$A$17:$C$23,3,FALSE)</f>
        <v>2</v>
      </c>
      <c r="AP720" s="232">
        <f>VLOOKUP(AA720,FACTS!$B$2:$J$14,9,FALSE)</f>
        <v>252000</v>
      </c>
      <c r="AQ720" s="232">
        <f>Table1[[#This Row],[PARKING VALUE]]*1</f>
        <v>252000</v>
      </c>
      <c r="AR720" s="232">
        <f t="shared" si="114"/>
        <v>8991675</v>
      </c>
      <c r="AS720" s="440">
        <f>Table1[[#This Row],[TOTAL CARS VALUE]]+Table1[[#This Row],[UNIT (BUILDING) VALUE BASIC FINISHED]]+Table1[[#This Row],[UNIT (GARDEN) VALUE]]</f>
        <v>9689175</v>
      </c>
      <c r="AT720" s="232">
        <f>Table1[[#This Row],[TOTAL CARS VALUE]]+Table1[[#This Row],[UNIT (GARDEN) VALUE]]+Table1[[#This Row],[UNIT (BUILDING) VALUE FULLY FINISHED]]</f>
        <v>10154175</v>
      </c>
      <c r="AU720" s="233">
        <f>VLOOKUP(I720,'C PHASES'!$I$108:$J$110,2,FALSE)</f>
        <v>46569</v>
      </c>
      <c r="AV720" s="233">
        <f>VLOOKUP(AA720,'C PHASES'!$I$113:$J$125,2,FALSE)</f>
        <v>45931</v>
      </c>
    </row>
    <row r="721" spans="1:48" x14ac:dyDescent="0.25">
      <c r="A721" s="235"/>
      <c r="B721" s="227" t="str">
        <f t="shared" si="112"/>
        <v>D</v>
      </c>
      <c r="C721" s="227" t="s">
        <v>56</v>
      </c>
      <c r="D721" s="227" t="s">
        <v>1147</v>
      </c>
      <c r="E721" s="228">
        <v>4</v>
      </c>
      <c r="F721" s="101">
        <v>1</v>
      </c>
      <c r="G721" s="87" t="str">
        <f t="shared" si="113"/>
        <v>D341</v>
      </c>
      <c r="H721" s="87" t="s">
        <v>1294</v>
      </c>
      <c r="I721" s="89" t="str">
        <f>VLOOKUP(C721,'PREMIUM TABLES'!$G$107:$H$149,2,FALSE)</f>
        <v>C3</v>
      </c>
      <c r="J721" s="87">
        <v>129.58000000000001</v>
      </c>
      <c r="K721" s="87">
        <v>140.70876529913636</v>
      </c>
      <c r="L721" s="87">
        <v>158</v>
      </c>
      <c r="O721" s="87" t="s">
        <v>187</v>
      </c>
      <c r="P721" s="87" t="s">
        <v>226</v>
      </c>
      <c r="Q721" s="229" t="s">
        <v>197</v>
      </c>
      <c r="R721" s="87" t="str">
        <f>VLOOKUP(E721,'PREMIUM TABLES'!$F$214:$G$219,2,FALSE)</f>
        <v>FORTH</v>
      </c>
      <c r="S721" s="87" t="str" cm="1">
        <f t="array" ref="S721">IF(AND(L721&gt;0,L721&lt;90),"A",IF(AND(L721&gt;90,L721&lt;123),"B",IF(AND(L721&gt;122,L721&lt;159),"C",IF(AND(L721&gt;159,L721&lt;185),"D",IF(AND(L721&gt;185,L721&lt;230),"E",IF(AND(L721&gt;230,L721&lt;350),"F",NONE))))))</f>
        <v>C</v>
      </c>
      <c r="T721" s="230">
        <f>VLOOKUP(O721,'PREMIUM TABLES'!$G$165:$H$172,2,FALSE)</f>
        <v>0.08</v>
      </c>
      <c r="U721" s="230">
        <f>VLOOKUP(P721,'PREMIUM TABLES'!$G$208:$H$209,2,FALSE)</f>
        <v>0.05</v>
      </c>
      <c r="V721" s="230">
        <f>VLOOKUP(Q721,'PREMIUM TABLES'!$G$175:$H$195,2,FALSE)</f>
        <v>0.16</v>
      </c>
      <c r="W721" s="230">
        <f>VLOOKUP(R721,'PREMIUM TABLES'!$G$214:$H$219,2,FALSE)</f>
        <v>0.06</v>
      </c>
      <c r="X721" s="230">
        <f>VLOOKUP(S721,'PREMIUM TABLES'!$F$199:$H$205,3,FALSE)</f>
        <v>3.5000000000000003E-2</v>
      </c>
      <c r="Y721" s="231">
        <f t="shared" si="115"/>
        <v>0.38500000000000001</v>
      </c>
      <c r="Z721" s="231" t="str" cm="1">
        <f t="array" ref="Z721">IF(AND(Y721&gt;0,Y721&lt;0.5),"C",IF(AND(Y721&gt;=0.5,Y721&lt;0.73),"B",IF(AND(Y721&gt;=0.73,Y721&lt;0.98),"A",NONE)))</f>
        <v>C</v>
      </c>
      <c r="AA721" s="231" t="str">
        <f>VLOOKUP(G721,'ALL (R)'!$N$5:$R$862,5,FALSE)</f>
        <v>R 4</v>
      </c>
      <c r="AB721" s="232">
        <f>VLOOKUP(AA721,FACTS!$B$2:$L$14,10,FALSE)</f>
        <v>45687.5</v>
      </c>
      <c r="AC721" s="232">
        <f>VLOOKUP(AA721,FACTS!$B$2:$L$14,11,FALSE)</f>
        <v>51062.5</v>
      </c>
      <c r="AD721" s="232">
        <f>VLOOKUP(AA721,FACTS!$B$2:$N$14,13,FALSE)</f>
        <v>5375</v>
      </c>
      <c r="AE721" s="232">
        <f t="shared" si="116"/>
        <v>2069.375</v>
      </c>
      <c r="AF721" s="232">
        <f t="shared" si="117"/>
        <v>47756.875</v>
      </c>
      <c r="AG721" s="232">
        <f>AF721*FACTS!$T$2</f>
        <v>15759.768750000001</v>
      </c>
      <c r="AH721" s="232">
        <f>Table1[[#This Row],[UNIT (BUILDING) RATE (SEMI FINISHED)]]+4500</f>
        <v>52256.875</v>
      </c>
      <c r="AI721" s="232">
        <f>Table1[[#This Row],[UNIT (BUILDING) RATE (SEMI FINISHED)]]+7500</f>
        <v>55256.875</v>
      </c>
      <c r="AJ721" s="232">
        <f t="shared" si="118"/>
        <v>7545586.25</v>
      </c>
      <c r="AK721" s="232">
        <f>Table1[[#This Row],[UNIT (BUILDING) RATE (BASIC FINISH)]]*Table1[[#This Row],[Unit Selling Area]]</f>
        <v>8256586.25</v>
      </c>
      <c r="AL721" s="232">
        <f>Table1[[#This Row],[UNIT (BUILDING) RATE (FULLY FINISH)]]*Table1[[#This Row],[Unit Selling Area]]</f>
        <v>8730586.25</v>
      </c>
      <c r="AM721" s="232">
        <f t="shared" si="119"/>
        <v>0</v>
      </c>
      <c r="AN721" s="232">
        <f>(AM721+AJ721)*FACTS!$S$2</f>
        <v>641374.83125000005</v>
      </c>
      <c r="AO721" s="101">
        <f>VLOOKUP(S721,FACTS!$A$17:$C$23,3,FALSE)</f>
        <v>2</v>
      </c>
      <c r="AP721" s="232">
        <f>VLOOKUP(AA721,FACTS!$B$2:$J$14,9,FALSE)</f>
        <v>215000</v>
      </c>
      <c r="AQ721" s="232">
        <f>Table1[[#This Row],[PARKING VALUE]]*1</f>
        <v>215000</v>
      </c>
      <c r="AR721" s="232">
        <f t="shared" si="114"/>
        <v>7760586.25</v>
      </c>
      <c r="AS721" s="440">
        <f>Table1[[#This Row],[TOTAL CARS VALUE]]+Table1[[#This Row],[UNIT (BUILDING) VALUE BASIC FINISHED]]+Table1[[#This Row],[UNIT (GARDEN) VALUE]]</f>
        <v>8471586.25</v>
      </c>
      <c r="AT721" s="232">
        <f>Table1[[#This Row],[TOTAL CARS VALUE]]+Table1[[#This Row],[UNIT (GARDEN) VALUE]]+Table1[[#This Row],[UNIT (BUILDING) VALUE FULLY FINISHED]]</f>
        <v>8945586.25</v>
      </c>
      <c r="AU721" s="233">
        <f>VLOOKUP(I721,'C PHASES'!$I$108:$J$110,2,FALSE)</f>
        <v>46569</v>
      </c>
      <c r="AV721" s="233">
        <f>VLOOKUP(AA721,'C PHASES'!$I$113:$J$125,2,FALSE)</f>
        <v>45474</v>
      </c>
    </row>
    <row r="722" spans="1:48" x14ac:dyDescent="0.25">
      <c r="A722" s="235"/>
      <c r="B722" s="227" t="str">
        <f t="shared" si="112"/>
        <v>D</v>
      </c>
      <c r="C722" s="227" t="s">
        <v>56</v>
      </c>
      <c r="D722" s="227" t="s">
        <v>1147</v>
      </c>
      <c r="E722" s="228">
        <v>4</v>
      </c>
      <c r="F722" s="101">
        <v>2</v>
      </c>
      <c r="G722" s="87" t="str">
        <f t="shared" si="113"/>
        <v>D342</v>
      </c>
      <c r="H722" s="87" t="s">
        <v>1294</v>
      </c>
      <c r="I722" s="89" t="str">
        <f>VLOOKUP(C722,'PREMIUM TABLES'!$G$107:$H$149,2,FALSE)</f>
        <v>C3</v>
      </c>
      <c r="J722" s="87">
        <v>131.38</v>
      </c>
      <c r="K722" s="87">
        <v>142.66335534033439</v>
      </c>
      <c r="L722" s="87">
        <v>160</v>
      </c>
      <c r="O722" s="87" t="s">
        <v>180</v>
      </c>
      <c r="P722" s="87" t="s">
        <v>226</v>
      </c>
      <c r="Q722" s="229" t="s">
        <v>211</v>
      </c>
      <c r="R722" s="87" t="str">
        <f>VLOOKUP(E722,'PREMIUM TABLES'!$F$214:$G$219,2,FALSE)</f>
        <v>FORTH</v>
      </c>
      <c r="S722" s="87" t="str" cm="1">
        <f t="array" ref="S722">IF(AND(L722&gt;0,L722&lt;90),"A",IF(AND(L722&gt;90,L722&lt;123),"B",IF(AND(L722&gt;122,L722&lt;159),"C",IF(AND(L722&gt;159,L722&lt;185),"D",IF(AND(L722&gt;185,L722&lt;230),"E",IF(AND(L722&gt;230,L722&lt;350),"F",NONE))))))</f>
        <v>D</v>
      </c>
      <c r="T722" s="230">
        <f>VLOOKUP(O722,'PREMIUM TABLES'!$G$165:$H$172,2,FALSE)</f>
        <v>0.13</v>
      </c>
      <c r="U722" s="230">
        <f>VLOOKUP(P722,'PREMIUM TABLES'!$G$208:$H$209,2,FALSE)</f>
        <v>0.05</v>
      </c>
      <c r="V722" s="230">
        <f>VLOOKUP(Q722,'PREMIUM TABLES'!$G$175:$H$195,2,FALSE)</f>
        <v>0.43</v>
      </c>
      <c r="W722" s="230">
        <f>VLOOKUP(R722,'PREMIUM TABLES'!$G$214:$H$219,2,FALSE)</f>
        <v>0.06</v>
      </c>
      <c r="X722" s="230">
        <f>VLOOKUP(S722,'PREMIUM TABLES'!$F$199:$H$205,3,FALSE)</f>
        <v>2.5000000000000001E-2</v>
      </c>
      <c r="Y722" s="231">
        <f t="shared" si="115"/>
        <v>0.69499999999999995</v>
      </c>
      <c r="Z722" s="231" t="str" cm="1">
        <f t="array" ref="Z722">IF(AND(Y722&gt;0,Y722&lt;0.5),"C",IF(AND(Y722&gt;=0.5,Y722&lt;0.73),"B",IF(AND(Y722&gt;=0.73,Y722&lt;0.98),"A",NONE)))</f>
        <v>B</v>
      </c>
      <c r="AA722" s="231" t="str">
        <f>VLOOKUP(G722,'ALL (R)'!$N$5:$R$862,5,FALSE)</f>
        <v>R 8</v>
      </c>
      <c r="AB722" s="232">
        <f>VLOOKUP(AA722,FACTS!$B$2:$L$14,10,FALSE)</f>
        <v>51850</v>
      </c>
      <c r="AC722" s="232">
        <f>VLOOKUP(AA722,FACTS!$B$2:$L$14,11,FALSE)</f>
        <v>57950</v>
      </c>
      <c r="AD722" s="232">
        <f>VLOOKUP(AA722,FACTS!$B$2:$N$14,13,FALSE)</f>
        <v>6100</v>
      </c>
      <c r="AE722" s="232">
        <f t="shared" si="116"/>
        <v>4239.5</v>
      </c>
      <c r="AF722" s="232">
        <f t="shared" si="117"/>
        <v>56089.5</v>
      </c>
      <c r="AG722" s="232">
        <f>AF722*FACTS!$T$2</f>
        <v>18509.535</v>
      </c>
      <c r="AH722" s="232">
        <f>Table1[[#This Row],[UNIT (BUILDING) RATE (SEMI FINISHED)]]+4500</f>
        <v>60589.5</v>
      </c>
      <c r="AI722" s="232">
        <f>Table1[[#This Row],[UNIT (BUILDING) RATE (SEMI FINISHED)]]+7500</f>
        <v>63589.5</v>
      </c>
      <c r="AJ722" s="232">
        <f t="shared" si="118"/>
        <v>8974320</v>
      </c>
      <c r="AK722" s="232">
        <f>Table1[[#This Row],[UNIT (BUILDING) RATE (BASIC FINISH)]]*Table1[[#This Row],[Unit Selling Area]]</f>
        <v>9694320</v>
      </c>
      <c r="AL722" s="232">
        <f>Table1[[#This Row],[UNIT (BUILDING) RATE (FULLY FINISH)]]*Table1[[#This Row],[Unit Selling Area]]</f>
        <v>10174320</v>
      </c>
      <c r="AM722" s="232">
        <f t="shared" si="119"/>
        <v>0</v>
      </c>
      <c r="AN722" s="232">
        <f>(AM722+AJ722)*FACTS!$S$2</f>
        <v>762817.20000000007</v>
      </c>
      <c r="AO722" s="101">
        <f>VLOOKUP(S722,FACTS!$A$17:$C$23,3,FALSE)</f>
        <v>2</v>
      </c>
      <c r="AP722" s="232">
        <f>VLOOKUP(AA722,FACTS!$B$2:$J$14,9,FALSE)</f>
        <v>244000</v>
      </c>
      <c r="AQ722" s="232">
        <f>Table1[[#This Row],[PARKING VALUE]]*1</f>
        <v>244000</v>
      </c>
      <c r="AR722" s="232">
        <f t="shared" si="114"/>
        <v>9218320</v>
      </c>
      <c r="AS722" s="440">
        <f>Table1[[#This Row],[TOTAL CARS VALUE]]+Table1[[#This Row],[UNIT (BUILDING) VALUE BASIC FINISHED]]+Table1[[#This Row],[UNIT (GARDEN) VALUE]]</f>
        <v>9938320</v>
      </c>
      <c r="AT722" s="232">
        <f>Table1[[#This Row],[TOTAL CARS VALUE]]+Table1[[#This Row],[UNIT (GARDEN) VALUE]]+Table1[[#This Row],[UNIT (BUILDING) VALUE FULLY FINISHED]]</f>
        <v>10418320</v>
      </c>
      <c r="AU722" s="233">
        <f>VLOOKUP(I722,'C PHASES'!$I$108:$J$110,2,FALSE)</f>
        <v>46569</v>
      </c>
      <c r="AV722" s="233">
        <f>VLOOKUP(AA722,'C PHASES'!$I$113:$J$125,2,FALSE)</f>
        <v>45839</v>
      </c>
    </row>
    <row r="723" spans="1:48" x14ac:dyDescent="0.25">
      <c r="A723" s="235"/>
      <c r="B723" s="227" t="str">
        <f t="shared" si="112"/>
        <v>D</v>
      </c>
      <c r="C723" s="227" t="s">
        <v>56</v>
      </c>
      <c r="D723" s="227" t="s">
        <v>1147</v>
      </c>
      <c r="E723" s="228">
        <v>4</v>
      </c>
      <c r="F723" s="101">
        <v>3</v>
      </c>
      <c r="G723" s="87" t="str">
        <f t="shared" si="113"/>
        <v>D343</v>
      </c>
      <c r="H723" s="87" t="s">
        <v>1294</v>
      </c>
      <c r="I723" s="89" t="str">
        <f>VLOOKUP(C723,'PREMIUM TABLES'!$G$107:$H$149,2,FALSE)</f>
        <v>C3</v>
      </c>
      <c r="J723" s="87">
        <v>127.19</v>
      </c>
      <c r="K723" s="87">
        <v>138.1135040777678</v>
      </c>
      <c r="L723" s="87">
        <v>155</v>
      </c>
      <c r="O723" s="87" t="s">
        <v>180</v>
      </c>
      <c r="P723" s="87" t="s">
        <v>190</v>
      </c>
      <c r="Q723" s="229" t="s">
        <v>211</v>
      </c>
      <c r="R723" s="87" t="str">
        <f>VLOOKUP(E723,'PREMIUM TABLES'!$F$214:$G$219,2,FALSE)</f>
        <v>FORTH</v>
      </c>
      <c r="S723" s="87" t="str" cm="1">
        <f t="array" ref="S723">IF(AND(L723&gt;0,L723&lt;90),"A",IF(AND(L723&gt;90,L723&lt;123),"B",IF(AND(L723&gt;122,L723&lt;159),"C",IF(AND(L723&gt;159,L723&lt;185),"D",IF(AND(L723&gt;185,L723&lt;230),"E",IF(AND(L723&gt;230,L723&lt;350),"F",NONE))))))</f>
        <v>C</v>
      </c>
      <c r="T723" s="230">
        <f>VLOOKUP(O723,'PREMIUM TABLES'!$G$165:$H$172,2,FALSE)</f>
        <v>0.13</v>
      </c>
      <c r="U723" s="230">
        <f>VLOOKUP(P723,'PREMIUM TABLES'!$G$208:$H$209,2,FALSE)</f>
        <v>2.5000000000000001E-2</v>
      </c>
      <c r="V723" s="230">
        <f>VLOOKUP(Q723,'PREMIUM TABLES'!$G$175:$H$195,2,FALSE)</f>
        <v>0.43</v>
      </c>
      <c r="W723" s="230">
        <f>VLOOKUP(R723,'PREMIUM TABLES'!$G$214:$H$219,2,FALSE)</f>
        <v>0.06</v>
      </c>
      <c r="X723" s="230">
        <f>VLOOKUP(S723,'PREMIUM TABLES'!$F$199:$H$205,3,FALSE)</f>
        <v>3.5000000000000003E-2</v>
      </c>
      <c r="Y723" s="231">
        <f t="shared" si="115"/>
        <v>0.68</v>
      </c>
      <c r="Z723" s="231" t="str" cm="1">
        <f t="array" ref="Z723">IF(AND(Y723&gt;0,Y723&lt;0.5),"C",IF(AND(Y723&gt;=0.5,Y723&lt;0.73),"B",IF(AND(Y723&gt;=0.73,Y723&lt;0.98),"A",NONE)))</f>
        <v>B</v>
      </c>
      <c r="AA723" s="231" t="str">
        <f>VLOOKUP(G723,'ALL (R)'!$N$5:$R$862,5,FALSE)</f>
        <v>R 7</v>
      </c>
      <c r="AB723" s="232">
        <f>VLOOKUP(AA723,FACTS!$B$2:$L$14,10,FALSE)</f>
        <v>50150</v>
      </c>
      <c r="AC723" s="232">
        <f>VLOOKUP(AA723,FACTS!$B$2:$L$14,11,FALSE)</f>
        <v>56050</v>
      </c>
      <c r="AD723" s="232">
        <f>VLOOKUP(AA723,FACTS!$B$2:$N$14,13,FALSE)</f>
        <v>5900</v>
      </c>
      <c r="AE723" s="232">
        <f t="shared" si="116"/>
        <v>4012.0000000000005</v>
      </c>
      <c r="AF723" s="232">
        <f t="shared" si="117"/>
        <v>54162</v>
      </c>
      <c r="AG723" s="232">
        <f>AF723*FACTS!$T$2</f>
        <v>17873.46</v>
      </c>
      <c r="AH723" s="232">
        <f>Table1[[#This Row],[UNIT (BUILDING) RATE (SEMI FINISHED)]]+4500</f>
        <v>58662</v>
      </c>
      <c r="AI723" s="232">
        <f>Table1[[#This Row],[UNIT (BUILDING) RATE (SEMI FINISHED)]]+7500</f>
        <v>61662</v>
      </c>
      <c r="AJ723" s="232">
        <f t="shared" si="118"/>
        <v>8395110</v>
      </c>
      <c r="AK723" s="232">
        <f>Table1[[#This Row],[UNIT (BUILDING) RATE (BASIC FINISH)]]*Table1[[#This Row],[Unit Selling Area]]</f>
        <v>9092610</v>
      </c>
      <c r="AL723" s="232">
        <f>Table1[[#This Row],[UNIT (BUILDING) RATE (FULLY FINISH)]]*Table1[[#This Row],[Unit Selling Area]]</f>
        <v>9557610</v>
      </c>
      <c r="AM723" s="232">
        <f t="shared" si="119"/>
        <v>0</v>
      </c>
      <c r="AN723" s="232">
        <f>(AM723+AJ723)*FACTS!$S$2</f>
        <v>713584.35000000009</v>
      </c>
      <c r="AO723" s="101">
        <f>VLOOKUP(S723,FACTS!$A$17:$C$23,3,FALSE)</f>
        <v>2</v>
      </c>
      <c r="AP723" s="232">
        <f>VLOOKUP(AA723,FACTS!$B$2:$J$14,9,FALSE)</f>
        <v>236000</v>
      </c>
      <c r="AQ723" s="232">
        <f>Table1[[#This Row],[PARKING VALUE]]*1</f>
        <v>236000</v>
      </c>
      <c r="AR723" s="232">
        <f t="shared" si="114"/>
        <v>8631110</v>
      </c>
      <c r="AS723" s="440">
        <f>Table1[[#This Row],[TOTAL CARS VALUE]]+Table1[[#This Row],[UNIT (BUILDING) VALUE BASIC FINISHED]]+Table1[[#This Row],[UNIT (GARDEN) VALUE]]</f>
        <v>9328610</v>
      </c>
      <c r="AT723" s="232">
        <f>Table1[[#This Row],[TOTAL CARS VALUE]]+Table1[[#This Row],[UNIT (GARDEN) VALUE]]+Table1[[#This Row],[UNIT (BUILDING) VALUE FULLY FINISHED]]</f>
        <v>9793610</v>
      </c>
      <c r="AU723" s="233">
        <f>VLOOKUP(I723,'C PHASES'!$I$108:$J$110,2,FALSE)</f>
        <v>46569</v>
      </c>
      <c r="AV723" s="233">
        <f>VLOOKUP(AA723,'C PHASES'!$I$113:$J$125,2,FALSE)</f>
        <v>45748</v>
      </c>
    </row>
    <row r="724" spans="1:48" x14ac:dyDescent="0.25">
      <c r="A724" s="235"/>
      <c r="B724" s="227" t="str">
        <f t="shared" si="112"/>
        <v>D</v>
      </c>
      <c r="C724" s="227" t="s">
        <v>56</v>
      </c>
      <c r="D724" s="227" t="s">
        <v>1147</v>
      </c>
      <c r="E724" s="228">
        <v>4</v>
      </c>
      <c r="F724" s="101">
        <v>4</v>
      </c>
      <c r="G724" s="87" t="str">
        <f t="shared" si="113"/>
        <v>D344</v>
      </c>
      <c r="H724" s="87" t="s">
        <v>1294</v>
      </c>
      <c r="I724" s="89" t="str">
        <f>VLOOKUP(C724,'PREMIUM TABLES'!$G$107:$H$149,2,FALSE)</f>
        <v>C3</v>
      </c>
      <c r="J724" s="87">
        <v>125.13</v>
      </c>
      <c r="K724" s="87">
        <v>135.87658436395222</v>
      </c>
      <c r="L724" s="87">
        <v>153</v>
      </c>
      <c r="O724" s="87" t="s">
        <v>187</v>
      </c>
      <c r="P724" s="87" t="s">
        <v>190</v>
      </c>
      <c r="Q724" s="229" t="s">
        <v>197</v>
      </c>
      <c r="R724" s="87" t="str">
        <f>VLOOKUP(E724,'PREMIUM TABLES'!$F$214:$G$219,2,FALSE)</f>
        <v>FORTH</v>
      </c>
      <c r="S724" s="87" t="str" cm="1">
        <f t="array" ref="S724">IF(AND(L724&gt;0,L724&lt;90),"A",IF(AND(L724&gt;90,L724&lt;123),"B",IF(AND(L724&gt;122,L724&lt;159),"C",IF(AND(L724&gt;159,L724&lt;185),"D",IF(AND(L724&gt;185,L724&lt;230),"E",IF(AND(L724&gt;230,L724&lt;350),"F",NONE))))))</f>
        <v>C</v>
      </c>
      <c r="T724" s="230">
        <f>VLOOKUP(O724,'PREMIUM TABLES'!$G$165:$H$172,2,FALSE)</f>
        <v>0.08</v>
      </c>
      <c r="U724" s="230">
        <f>VLOOKUP(P724,'PREMIUM TABLES'!$G$208:$H$209,2,FALSE)</f>
        <v>2.5000000000000001E-2</v>
      </c>
      <c r="V724" s="230">
        <f>VLOOKUP(Q724,'PREMIUM TABLES'!$G$175:$H$195,2,FALSE)</f>
        <v>0.16</v>
      </c>
      <c r="W724" s="230">
        <f>VLOOKUP(R724,'PREMIUM TABLES'!$G$214:$H$219,2,FALSE)</f>
        <v>0.06</v>
      </c>
      <c r="X724" s="230">
        <f>VLOOKUP(S724,'PREMIUM TABLES'!$F$199:$H$205,3,FALSE)</f>
        <v>3.5000000000000003E-2</v>
      </c>
      <c r="Y724" s="231">
        <f t="shared" si="115"/>
        <v>0.36</v>
      </c>
      <c r="Z724" s="231" t="str" cm="1">
        <f t="array" ref="Z724">IF(AND(Y724&gt;0,Y724&lt;0.5),"C",IF(AND(Y724&gt;=0.5,Y724&lt;0.73),"B",IF(AND(Y724&gt;=0.73,Y724&lt;0.98),"A",NONE)))</f>
        <v>C</v>
      </c>
      <c r="AA724" s="231" t="str">
        <f>VLOOKUP(G724,'ALL (R)'!$N$5:$R$862,5,FALSE)</f>
        <v>R 1</v>
      </c>
      <c r="AB724" s="232">
        <f>VLOOKUP(AA724,FACTS!$B$2:$L$14,10,FALSE)</f>
        <v>42500</v>
      </c>
      <c r="AC724" s="232">
        <f>VLOOKUP(AA724,FACTS!$B$2:$L$14,11,FALSE)</f>
        <v>47500</v>
      </c>
      <c r="AD724" s="232">
        <f>VLOOKUP(AA724,FACTS!$B$2:$N$14,13,FALSE)</f>
        <v>5000</v>
      </c>
      <c r="AE724" s="232">
        <f t="shared" si="116"/>
        <v>1800</v>
      </c>
      <c r="AF724" s="232">
        <f t="shared" si="117"/>
        <v>44300</v>
      </c>
      <c r="AG724" s="232">
        <f>AF724*FACTS!$T$2</f>
        <v>14619</v>
      </c>
      <c r="AH724" s="232">
        <f>Table1[[#This Row],[UNIT (BUILDING) RATE (SEMI FINISHED)]]+4500</f>
        <v>48800</v>
      </c>
      <c r="AI724" s="232">
        <f>Table1[[#This Row],[UNIT (BUILDING) RATE (SEMI FINISHED)]]+7500</f>
        <v>51800</v>
      </c>
      <c r="AJ724" s="232">
        <f t="shared" si="118"/>
        <v>6777900</v>
      </c>
      <c r="AK724" s="232">
        <f>Table1[[#This Row],[UNIT (BUILDING) RATE (BASIC FINISH)]]*Table1[[#This Row],[Unit Selling Area]]</f>
        <v>7466400</v>
      </c>
      <c r="AL724" s="232">
        <f>Table1[[#This Row],[UNIT (BUILDING) RATE (FULLY FINISH)]]*Table1[[#This Row],[Unit Selling Area]]</f>
        <v>7925400</v>
      </c>
      <c r="AM724" s="232">
        <f t="shared" si="119"/>
        <v>0</v>
      </c>
      <c r="AN724" s="232">
        <f>(AM724+AJ724)*FACTS!$S$2</f>
        <v>576121.5</v>
      </c>
      <c r="AO724" s="101">
        <f>VLOOKUP(S724,FACTS!$A$17:$C$23,3,FALSE)</f>
        <v>2</v>
      </c>
      <c r="AP724" s="232">
        <f>VLOOKUP(AA724,FACTS!$B$2:$J$14,9,FALSE)</f>
        <v>200000</v>
      </c>
      <c r="AQ724" s="232">
        <f>Table1[[#This Row],[PARKING VALUE]]*1</f>
        <v>200000</v>
      </c>
      <c r="AR724" s="232">
        <f t="shared" si="114"/>
        <v>6977900</v>
      </c>
      <c r="AS724" s="440">
        <f>Table1[[#This Row],[TOTAL CARS VALUE]]+Table1[[#This Row],[UNIT (BUILDING) VALUE BASIC FINISHED]]+Table1[[#This Row],[UNIT (GARDEN) VALUE]]</f>
        <v>7666400</v>
      </c>
      <c r="AT724" s="232">
        <f>Table1[[#This Row],[TOTAL CARS VALUE]]+Table1[[#This Row],[UNIT (GARDEN) VALUE]]+Table1[[#This Row],[UNIT (BUILDING) VALUE FULLY FINISHED]]</f>
        <v>8125400</v>
      </c>
      <c r="AU724" s="233">
        <f>VLOOKUP(I724,'C PHASES'!$I$108:$J$110,2,FALSE)</f>
        <v>46569</v>
      </c>
      <c r="AV724" s="233">
        <f>VLOOKUP(AA724,'C PHASES'!$I$113:$J$125,2,FALSE)</f>
        <v>45170</v>
      </c>
    </row>
    <row r="725" spans="1:48" ht="21.75" x14ac:dyDescent="0.25">
      <c r="A725" s="235" t="s">
        <v>38</v>
      </c>
      <c r="B725" s="227" t="str">
        <f t="shared" si="112"/>
        <v>D</v>
      </c>
      <c r="C725" s="227" t="s">
        <v>63</v>
      </c>
      <c r="D725" s="227" t="s">
        <v>1147</v>
      </c>
      <c r="E725" s="228">
        <v>0</v>
      </c>
      <c r="F725" s="101">
        <v>1</v>
      </c>
      <c r="G725" s="87" t="str">
        <f>LEFT(C725,2)&amp;E725&amp;F725</f>
        <v>D401</v>
      </c>
      <c r="H725" s="87" t="s">
        <v>1293</v>
      </c>
      <c r="I725" s="89" t="str">
        <f>VLOOKUP(C725,'PREMIUM TABLES'!$G$107:$H$149,2,FALSE)</f>
        <v>C3</v>
      </c>
      <c r="J725" s="87">
        <v>88.49</v>
      </c>
      <c r="K725" s="87">
        <v>96.199295659590803</v>
      </c>
      <c r="L725" s="87">
        <v>108</v>
      </c>
      <c r="M725" s="87">
        <v>67.5261</v>
      </c>
      <c r="O725" s="87" t="s">
        <v>180</v>
      </c>
      <c r="P725" s="87" t="s">
        <v>190</v>
      </c>
      <c r="Q725" s="229" t="s">
        <v>198</v>
      </c>
      <c r="R725" s="87" t="str">
        <f>VLOOKUP(E725,'PREMIUM TABLES'!$F$214:$G$219,2,FALSE)</f>
        <v>GROUND</v>
      </c>
      <c r="S725" s="87" t="str" cm="1">
        <f t="array" ref="S725">IF(AND(L725&gt;0,L725&lt;90),"A",IF(AND(L725&gt;90,L725&lt;123),"B",IF(AND(L725&gt;122,L725&lt;159),"C",IF(AND(L725&gt;159,L725&lt;185),"D",IF(AND(L725&gt;185,L725&lt;230),"E",IF(AND(L725&gt;230,L725&lt;350),"F",NONE))))))</f>
        <v>B</v>
      </c>
      <c r="T725" s="230">
        <f>VLOOKUP(O725,'PREMIUM TABLES'!$G$165:$H$172,2,FALSE)</f>
        <v>0.13</v>
      </c>
      <c r="U725" s="230">
        <f>VLOOKUP(P725,'PREMIUM TABLES'!$G$208:$H$209,2,FALSE)</f>
        <v>2.5000000000000001E-2</v>
      </c>
      <c r="V725" s="230">
        <f>VLOOKUP(Q725,'PREMIUM TABLES'!$G$175:$H$195,2,FALSE)</f>
        <v>0.15</v>
      </c>
      <c r="W725" s="230">
        <f>VLOOKUP(R725,'PREMIUM TABLES'!$G$214:$H$219,2,FALSE)</f>
        <v>0.05</v>
      </c>
      <c r="X725" s="230">
        <f>VLOOKUP(S725,'PREMIUM TABLES'!$F$199:$H$205,3,FALSE)</f>
        <v>0.04</v>
      </c>
      <c r="Y725" s="231">
        <f t="shared" si="115"/>
        <v>0.39499999999999996</v>
      </c>
      <c r="Z725" s="231" t="str" cm="1">
        <f t="array" ref="Z725">IF(AND(Y725&gt;0,Y725&lt;0.5),"C",IF(AND(Y725&gt;=0.5,Y725&lt;0.73),"B",IF(AND(Y725&gt;=0.73,Y725&lt;0.98),"A",NONE)))</f>
        <v>C</v>
      </c>
      <c r="AA725" s="231" t="str">
        <f>VLOOKUP(G725,'ALL (R)'!$N$5:$R$862,5,FALSE)</f>
        <v>R 4</v>
      </c>
      <c r="AB725" s="232">
        <f>VLOOKUP(AA725,FACTS!$B$2:$L$14,10,FALSE)</f>
        <v>45687.5</v>
      </c>
      <c r="AC725" s="232">
        <f>VLOOKUP(AA725,FACTS!$B$2:$L$14,11,FALSE)</f>
        <v>51062.5</v>
      </c>
      <c r="AD725" s="232">
        <f>VLOOKUP(AA725,FACTS!$B$2:$N$14,13,FALSE)</f>
        <v>5375</v>
      </c>
      <c r="AE725" s="232">
        <f t="shared" si="116"/>
        <v>2123.125</v>
      </c>
      <c r="AF725" s="232">
        <f t="shared" si="117"/>
        <v>47810.625</v>
      </c>
      <c r="AG725" s="232">
        <f>AF725*FACTS!$T$2</f>
        <v>15777.50625</v>
      </c>
      <c r="AH725" s="232">
        <f>Table1[[#This Row],[UNIT (BUILDING) RATE (SEMI FINISHED)]]+4500</f>
        <v>52310.625</v>
      </c>
      <c r="AI725" s="232">
        <f>Table1[[#This Row],[UNIT (BUILDING) RATE (SEMI FINISHED)]]+7500</f>
        <v>55310.625</v>
      </c>
      <c r="AJ725" s="232">
        <f t="shared" si="118"/>
        <v>5163547.5</v>
      </c>
      <c r="AK725" s="232">
        <f>Table1[[#This Row],[UNIT (BUILDING) RATE (BASIC FINISH)]]*Table1[[#This Row],[Unit Selling Area]]</f>
        <v>5649547.5</v>
      </c>
      <c r="AL725" s="232">
        <f>Table1[[#This Row],[UNIT (BUILDING) RATE (FULLY FINISH)]]*Table1[[#This Row],[Unit Selling Area]]</f>
        <v>5973547.5</v>
      </c>
      <c r="AM725" s="232">
        <f t="shared" si="119"/>
        <v>1065393.4647881251</v>
      </c>
      <c r="AN725" s="232">
        <f>(AM725+AJ725)*FACTS!$S$2</f>
        <v>529459.9820069907</v>
      </c>
      <c r="AO725" s="101">
        <f>VLOOKUP(S725,FACTS!$A$17:$C$23,3,FALSE)</f>
        <v>1</v>
      </c>
      <c r="AP725" s="232">
        <f>VLOOKUP(AA725,FACTS!$B$2:$J$14,9,FALSE)</f>
        <v>215000</v>
      </c>
      <c r="AQ725" s="232">
        <f>Table1[[#This Row],[PARKING VALUE]]*1</f>
        <v>215000</v>
      </c>
      <c r="AR725" s="232">
        <f t="shared" si="114"/>
        <v>6443940.9647881249</v>
      </c>
      <c r="AS725" s="440">
        <f>Table1[[#This Row],[TOTAL CARS VALUE]]+Table1[[#This Row],[UNIT (BUILDING) VALUE BASIC FINISHED]]+Table1[[#This Row],[UNIT (GARDEN) VALUE]]</f>
        <v>6929940.9647881249</v>
      </c>
      <c r="AT725" s="232">
        <f>Table1[[#This Row],[TOTAL CARS VALUE]]+Table1[[#This Row],[UNIT (GARDEN) VALUE]]+Table1[[#This Row],[UNIT (BUILDING) VALUE FULLY FINISHED]]</f>
        <v>7253940.9647881249</v>
      </c>
      <c r="AU725" s="233">
        <f>VLOOKUP(I725,'C PHASES'!$I$108:$J$110,2,FALSE)</f>
        <v>46569</v>
      </c>
      <c r="AV725" s="233">
        <f>VLOOKUP(AA725,'C PHASES'!$I$113:$J$125,2,FALSE)</f>
        <v>45474</v>
      </c>
    </row>
    <row r="726" spans="1:48" x14ac:dyDescent="0.25">
      <c r="A726" s="235"/>
      <c r="B726" s="227" t="str">
        <f t="shared" si="112"/>
        <v>D</v>
      </c>
      <c r="C726" s="227" t="s">
        <v>63</v>
      </c>
      <c r="D726" s="227" t="s">
        <v>1147</v>
      </c>
      <c r="E726" s="228">
        <v>0</v>
      </c>
      <c r="F726" s="101">
        <v>2</v>
      </c>
      <c r="G726" s="87" t="str">
        <f t="shared" ref="G726:G744" si="120">LEFT(C726,2)&amp;E726&amp;F726</f>
        <v>D402</v>
      </c>
      <c r="H726" s="87" t="s">
        <v>1294</v>
      </c>
      <c r="I726" s="89" t="str">
        <f>VLOOKUP(C726,'PREMIUM TABLES'!$G$107:$H$149,2,FALSE)</f>
        <v>C3</v>
      </c>
      <c r="J726" s="87">
        <v>124.72</v>
      </c>
      <c r="K726" s="87">
        <v>135.58567244506912</v>
      </c>
      <c r="L726" s="87">
        <v>152</v>
      </c>
      <c r="M726" s="87">
        <v>85.417599999999993</v>
      </c>
      <c r="O726" s="87" t="s">
        <v>187</v>
      </c>
      <c r="P726" s="87" t="s">
        <v>190</v>
      </c>
      <c r="Q726" s="229" t="s">
        <v>211</v>
      </c>
      <c r="R726" s="87" t="str">
        <f>VLOOKUP(E726,'PREMIUM TABLES'!$F$214:$G$219,2,FALSE)</f>
        <v>GROUND</v>
      </c>
      <c r="S726" s="87" t="str" cm="1">
        <f t="array" ref="S726">IF(AND(L726&gt;0,L726&lt;90),"A",IF(AND(L726&gt;90,L726&lt;123),"B",IF(AND(L726&gt;122,L726&lt;159),"C",IF(AND(L726&gt;159,L726&lt;185),"D",IF(AND(L726&gt;185,L726&lt;230),"E",IF(AND(L726&gt;230,L726&lt;350),"F",NONE))))))</f>
        <v>C</v>
      </c>
      <c r="T726" s="230">
        <f>VLOOKUP(O726,'PREMIUM TABLES'!$G$165:$H$172,2,FALSE)</f>
        <v>0.08</v>
      </c>
      <c r="U726" s="230">
        <f>VLOOKUP(P726,'PREMIUM TABLES'!$G$208:$H$209,2,FALSE)</f>
        <v>2.5000000000000001E-2</v>
      </c>
      <c r="V726" s="230">
        <f>VLOOKUP(Q726,'PREMIUM TABLES'!$G$175:$H$195,2,FALSE)</f>
        <v>0.43</v>
      </c>
      <c r="W726" s="230">
        <f>VLOOKUP(R726,'PREMIUM TABLES'!$G$214:$H$219,2,FALSE)</f>
        <v>0.05</v>
      </c>
      <c r="X726" s="230">
        <f>VLOOKUP(S726,'PREMIUM TABLES'!$F$199:$H$205,3,FALSE)</f>
        <v>3.5000000000000003E-2</v>
      </c>
      <c r="Y726" s="231">
        <f t="shared" si="115"/>
        <v>0.62000000000000011</v>
      </c>
      <c r="Z726" s="231" t="str" cm="1">
        <f t="array" ref="Z726">IF(AND(Y726&gt;0,Y726&lt;0.5),"C",IF(AND(Y726&gt;=0.5,Y726&lt;0.73),"B",IF(AND(Y726&gt;=0.73,Y726&lt;0.98),"A",NONE)))</f>
        <v>B</v>
      </c>
      <c r="AA726" s="231" t="str">
        <f>VLOOKUP(G726,'ALL (R)'!$N$5:$R$862,5,FALSE)</f>
        <v>R 3</v>
      </c>
      <c r="AB726" s="232">
        <f>VLOOKUP(AA726,FACTS!$B$2:$L$14,10,FALSE)</f>
        <v>44625</v>
      </c>
      <c r="AC726" s="232">
        <f>VLOOKUP(AA726,FACTS!$B$2:$L$14,11,FALSE)</f>
        <v>49875</v>
      </c>
      <c r="AD726" s="232">
        <f>VLOOKUP(AA726,FACTS!$B$2:$N$14,13,FALSE)</f>
        <v>5250</v>
      </c>
      <c r="AE726" s="232">
        <f t="shared" si="116"/>
        <v>3255.0000000000005</v>
      </c>
      <c r="AF726" s="232">
        <f t="shared" si="117"/>
        <v>47880</v>
      </c>
      <c r="AG726" s="232">
        <f>AF726*FACTS!$T$2</f>
        <v>15800.400000000001</v>
      </c>
      <c r="AH726" s="232">
        <f>Table1[[#This Row],[UNIT (BUILDING) RATE (SEMI FINISHED)]]+4500</f>
        <v>52380</v>
      </c>
      <c r="AI726" s="232">
        <f>Table1[[#This Row],[UNIT (BUILDING) RATE (SEMI FINISHED)]]+7500</f>
        <v>55380</v>
      </c>
      <c r="AJ726" s="232">
        <f t="shared" si="118"/>
        <v>7277760</v>
      </c>
      <c r="AK726" s="232">
        <f>Table1[[#This Row],[UNIT (BUILDING) RATE (BASIC FINISH)]]*Table1[[#This Row],[Unit Selling Area]]</f>
        <v>7961760</v>
      </c>
      <c r="AL726" s="232">
        <f>Table1[[#This Row],[UNIT (BUILDING) RATE (FULLY FINISH)]]*Table1[[#This Row],[Unit Selling Area]]</f>
        <v>8417760</v>
      </c>
      <c r="AM726" s="232">
        <f t="shared" si="119"/>
        <v>1349632.24704</v>
      </c>
      <c r="AN726" s="232">
        <f>(AM726+AJ726)*FACTS!$S$2</f>
        <v>733328.3409984</v>
      </c>
      <c r="AO726" s="101">
        <f>VLOOKUP(S726,FACTS!$A$17:$C$23,3,FALSE)</f>
        <v>2</v>
      </c>
      <c r="AP726" s="232">
        <f>VLOOKUP(AA726,FACTS!$B$2:$J$14,9,FALSE)</f>
        <v>210000</v>
      </c>
      <c r="AQ726" s="232">
        <f>Table1[[#This Row],[PARKING VALUE]]*1</f>
        <v>210000</v>
      </c>
      <c r="AR726" s="232">
        <f t="shared" si="114"/>
        <v>8837392.2470399998</v>
      </c>
      <c r="AS726" s="440">
        <f>Table1[[#This Row],[TOTAL CARS VALUE]]+Table1[[#This Row],[UNIT (BUILDING) VALUE BASIC FINISHED]]+Table1[[#This Row],[UNIT (GARDEN) VALUE]]</f>
        <v>9521392.2470399998</v>
      </c>
      <c r="AT726" s="232">
        <f>Table1[[#This Row],[TOTAL CARS VALUE]]+Table1[[#This Row],[UNIT (GARDEN) VALUE]]+Table1[[#This Row],[UNIT (BUILDING) VALUE FULLY FINISHED]]</f>
        <v>9977392.2470399998</v>
      </c>
      <c r="AU726" s="233">
        <f>VLOOKUP(I726,'C PHASES'!$I$108:$J$110,2,FALSE)</f>
        <v>46569</v>
      </c>
      <c r="AV726" s="233">
        <f>VLOOKUP(AA726,'C PHASES'!$I$113:$J$125,2,FALSE)</f>
        <v>45383</v>
      </c>
    </row>
    <row r="727" spans="1:48" x14ac:dyDescent="0.25">
      <c r="A727" s="235"/>
      <c r="B727" s="227" t="str">
        <f t="shared" si="112"/>
        <v>D</v>
      </c>
      <c r="C727" s="227" t="s">
        <v>63</v>
      </c>
      <c r="D727" s="227" t="s">
        <v>1147</v>
      </c>
      <c r="E727" s="228">
        <v>0</v>
      </c>
      <c r="F727" s="101">
        <v>3</v>
      </c>
      <c r="G727" s="87" t="str">
        <f t="shared" si="120"/>
        <v>D403</v>
      </c>
      <c r="H727" s="87" t="s">
        <v>1294</v>
      </c>
      <c r="I727" s="89" t="str">
        <f>VLOOKUP(C727,'PREMIUM TABLES'!$G$107:$H$149,2,FALSE)</f>
        <v>C3</v>
      </c>
      <c r="J727" s="87">
        <v>129.5</v>
      </c>
      <c r="K727" s="87">
        <v>140.78210857630253</v>
      </c>
      <c r="L727" s="87">
        <v>158</v>
      </c>
      <c r="M727" s="87">
        <v>84.0732</v>
      </c>
      <c r="O727" s="87" t="s">
        <v>187</v>
      </c>
      <c r="P727" s="87" t="s">
        <v>226</v>
      </c>
      <c r="Q727" s="229" t="s">
        <v>211</v>
      </c>
      <c r="R727" s="87" t="str">
        <f>VLOOKUP(E727,'PREMIUM TABLES'!$F$214:$G$219,2,FALSE)</f>
        <v>GROUND</v>
      </c>
      <c r="S727" s="87" t="str" cm="1">
        <f t="array" ref="S727">IF(AND(L727&gt;0,L727&lt;90),"A",IF(AND(L727&gt;90,L727&lt;123),"B",IF(AND(L727&gt;122,L727&lt;159),"C",IF(AND(L727&gt;159,L727&lt;185),"D",IF(AND(L727&gt;185,L727&lt;230),"E",IF(AND(L727&gt;230,L727&lt;350),"F",NONE))))))</f>
        <v>C</v>
      </c>
      <c r="T727" s="230">
        <f>VLOOKUP(O727,'PREMIUM TABLES'!$G$165:$H$172,2,FALSE)</f>
        <v>0.08</v>
      </c>
      <c r="U727" s="230">
        <f>VLOOKUP(P727,'PREMIUM TABLES'!$G$208:$H$209,2,FALSE)</f>
        <v>0.05</v>
      </c>
      <c r="V727" s="230">
        <f>VLOOKUP(Q727,'PREMIUM TABLES'!$G$175:$H$195,2,FALSE)</f>
        <v>0.43</v>
      </c>
      <c r="W727" s="230">
        <f>VLOOKUP(R727,'PREMIUM TABLES'!$G$214:$H$219,2,FALSE)</f>
        <v>0.05</v>
      </c>
      <c r="X727" s="230">
        <f>VLOOKUP(S727,'PREMIUM TABLES'!$F$199:$H$205,3,FALSE)</f>
        <v>3.5000000000000003E-2</v>
      </c>
      <c r="Y727" s="231">
        <f t="shared" si="115"/>
        <v>0.64500000000000013</v>
      </c>
      <c r="Z727" s="231" t="str" cm="1">
        <f t="array" ref="Z727">IF(AND(Y727&gt;0,Y727&lt;0.5),"C",IF(AND(Y727&gt;=0.5,Y727&lt;0.73),"B",IF(AND(Y727&gt;=0.73,Y727&lt;0.98),"A",NONE)))</f>
        <v>B</v>
      </c>
      <c r="AA727" s="231" t="str">
        <f>VLOOKUP(G727,'ALL (R)'!$N$5:$R$862,5,FALSE)</f>
        <v>R 4</v>
      </c>
      <c r="AB727" s="232">
        <f>VLOOKUP(AA727,FACTS!$B$2:$L$14,10,FALSE)</f>
        <v>45687.5</v>
      </c>
      <c r="AC727" s="232">
        <f>VLOOKUP(AA727,FACTS!$B$2:$L$14,11,FALSE)</f>
        <v>51062.5</v>
      </c>
      <c r="AD727" s="232">
        <f>VLOOKUP(AA727,FACTS!$B$2:$N$14,13,FALSE)</f>
        <v>5375</v>
      </c>
      <c r="AE727" s="232">
        <f t="shared" si="116"/>
        <v>3466.8750000000009</v>
      </c>
      <c r="AF727" s="232">
        <f t="shared" si="117"/>
        <v>49154.375</v>
      </c>
      <c r="AG727" s="232">
        <f>AF727*FACTS!$T$2</f>
        <v>16220.94375</v>
      </c>
      <c r="AH727" s="232">
        <f>Table1[[#This Row],[UNIT (BUILDING) RATE (SEMI FINISHED)]]+4500</f>
        <v>53654.375</v>
      </c>
      <c r="AI727" s="232">
        <f>Table1[[#This Row],[UNIT (BUILDING) RATE (SEMI FINISHED)]]+7500</f>
        <v>56654.375</v>
      </c>
      <c r="AJ727" s="232">
        <f t="shared" si="118"/>
        <v>7766391.25</v>
      </c>
      <c r="AK727" s="232">
        <f>Table1[[#This Row],[UNIT (BUILDING) RATE (BASIC FINISH)]]*Table1[[#This Row],[Unit Selling Area]]</f>
        <v>8477391.25</v>
      </c>
      <c r="AL727" s="232">
        <f>Table1[[#This Row],[UNIT (BUILDING) RATE (FULLY FINISH)]]*Table1[[#This Row],[Unit Selling Area]]</f>
        <v>8951391.25</v>
      </c>
      <c r="AM727" s="232">
        <f t="shared" si="119"/>
        <v>1363746.6480825001</v>
      </c>
      <c r="AN727" s="232">
        <f>(AM727+AJ727)*FACTS!$S$2</f>
        <v>776061.7213370126</v>
      </c>
      <c r="AO727" s="101">
        <f>VLOOKUP(S727,FACTS!$A$17:$C$23,3,FALSE)</f>
        <v>2</v>
      </c>
      <c r="AP727" s="232">
        <f>VLOOKUP(AA727,FACTS!$B$2:$J$14,9,FALSE)</f>
        <v>215000</v>
      </c>
      <c r="AQ727" s="232">
        <f>Table1[[#This Row],[PARKING VALUE]]*1</f>
        <v>215000</v>
      </c>
      <c r="AR727" s="232">
        <f t="shared" si="114"/>
        <v>9345137.8980825003</v>
      </c>
      <c r="AS727" s="440">
        <f>Table1[[#This Row],[TOTAL CARS VALUE]]+Table1[[#This Row],[UNIT (BUILDING) VALUE BASIC FINISHED]]+Table1[[#This Row],[UNIT (GARDEN) VALUE]]</f>
        <v>10056137.8980825</v>
      </c>
      <c r="AT727" s="232">
        <f>Table1[[#This Row],[TOTAL CARS VALUE]]+Table1[[#This Row],[UNIT (GARDEN) VALUE]]+Table1[[#This Row],[UNIT (BUILDING) VALUE FULLY FINISHED]]</f>
        <v>10530137.8980825</v>
      </c>
      <c r="AU727" s="233">
        <f>VLOOKUP(I727,'C PHASES'!$I$108:$J$110,2,FALSE)</f>
        <v>46569</v>
      </c>
      <c r="AV727" s="233">
        <f>VLOOKUP(AA727,'C PHASES'!$I$113:$J$125,2,FALSE)</f>
        <v>45474</v>
      </c>
    </row>
    <row r="728" spans="1:48" x14ac:dyDescent="0.25">
      <c r="A728" s="235"/>
      <c r="B728" s="227" t="str">
        <f t="shared" si="112"/>
        <v>D</v>
      </c>
      <c r="C728" s="227" t="s">
        <v>63</v>
      </c>
      <c r="D728" s="227" t="s">
        <v>1147</v>
      </c>
      <c r="E728" s="228">
        <v>0</v>
      </c>
      <c r="F728" s="101">
        <v>4</v>
      </c>
      <c r="G728" s="87" t="str">
        <f t="shared" si="120"/>
        <v>D404</v>
      </c>
      <c r="H728" s="87" t="s">
        <v>1294</v>
      </c>
      <c r="I728" s="89" t="str">
        <f>VLOOKUP(C728,'PREMIUM TABLES'!$G$107:$H$149,2,FALSE)</f>
        <v>C3</v>
      </c>
      <c r="J728" s="87">
        <v>131.68</v>
      </c>
      <c r="K728" s="87">
        <v>143.15203133071444</v>
      </c>
      <c r="L728" s="87">
        <v>161</v>
      </c>
      <c r="M728" s="87">
        <v>83.961500000000001</v>
      </c>
      <c r="O728" s="87" t="s">
        <v>180</v>
      </c>
      <c r="P728" s="87" t="s">
        <v>226</v>
      </c>
      <c r="Q728" s="229" t="s">
        <v>193</v>
      </c>
      <c r="R728" s="87" t="str">
        <f>VLOOKUP(E728,'PREMIUM TABLES'!$F$214:$G$219,2,FALSE)</f>
        <v>GROUND</v>
      </c>
      <c r="S728" s="87" t="str" cm="1">
        <f t="array" ref="S728">IF(AND(L728&gt;0,L728&lt;90),"A",IF(AND(L728&gt;90,L728&lt;123),"B",IF(AND(L728&gt;122,L728&lt;159),"C",IF(AND(L728&gt;159,L728&lt;185),"D",IF(AND(L728&gt;185,L728&lt;230),"E",IF(AND(L728&gt;230,L728&lt;350),"F",NONE))))))</f>
        <v>D</v>
      </c>
      <c r="T728" s="230">
        <f>VLOOKUP(O728,'PREMIUM TABLES'!$G$165:$H$172,2,FALSE)</f>
        <v>0.13</v>
      </c>
      <c r="U728" s="230">
        <f>VLOOKUP(P728,'PREMIUM TABLES'!$G$208:$H$209,2,FALSE)</f>
        <v>0.05</v>
      </c>
      <c r="V728" s="230">
        <f>VLOOKUP(Q728,'PREMIUM TABLES'!$G$175:$H$195,2,FALSE)</f>
        <v>0.3</v>
      </c>
      <c r="W728" s="230">
        <f>VLOOKUP(R728,'PREMIUM TABLES'!$G$214:$H$219,2,FALSE)</f>
        <v>0.05</v>
      </c>
      <c r="X728" s="230">
        <f>VLOOKUP(S728,'PREMIUM TABLES'!$F$199:$H$205,3,FALSE)</f>
        <v>2.5000000000000001E-2</v>
      </c>
      <c r="Y728" s="231">
        <f t="shared" si="115"/>
        <v>0.55500000000000005</v>
      </c>
      <c r="Z728" s="231" t="str" cm="1">
        <f t="array" ref="Z728">IF(AND(Y728&gt;0,Y728&lt;0.5),"C",IF(AND(Y728&gt;=0.5,Y728&lt;0.73),"B",IF(AND(Y728&gt;=0.73,Y728&lt;0.98),"A",NONE)))</f>
        <v>B</v>
      </c>
      <c r="AA728" s="231" t="str">
        <f>VLOOKUP(G728,'ALL (R)'!$N$5:$R$862,5,FALSE)</f>
        <v>R 1</v>
      </c>
      <c r="AB728" s="232">
        <f>VLOOKUP(AA728,FACTS!$B$2:$L$14,10,FALSE)</f>
        <v>42500</v>
      </c>
      <c r="AC728" s="232">
        <f>VLOOKUP(AA728,FACTS!$B$2:$L$14,11,FALSE)</f>
        <v>47500</v>
      </c>
      <c r="AD728" s="232">
        <f>VLOOKUP(AA728,FACTS!$B$2:$N$14,13,FALSE)</f>
        <v>5000</v>
      </c>
      <c r="AE728" s="232">
        <f t="shared" si="116"/>
        <v>2775.0000000000005</v>
      </c>
      <c r="AF728" s="232">
        <f t="shared" si="117"/>
        <v>45275</v>
      </c>
      <c r="AG728" s="232">
        <f>AF728*FACTS!$T$2</f>
        <v>14940.75</v>
      </c>
      <c r="AH728" s="232">
        <f>Table1[[#This Row],[UNIT (BUILDING) RATE (SEMI FINISHED)]]+4500</f>
        <v>49775</v>
      </c>
      <c r="AI728" s="232">
        <f>Table1[[#This Row],[UNIT (BUILDING) RATE (SEMI FINISHED)]]+7500</f>
        <v>52775</v>
      </c>
      <c r="AJ728" s="232">
        <f t="shared" si="118"/>
        <v>7289275</v>
      </c>
      <c r="AK728" s="232">
        <f>Table1[[#This Row],[UNIT (BUILDING) RATE (BASIC FINISH)]]*Table1[[#This Row],[Unit Selling Area]]</f>
        <v>8013775</v>
      </c>
      <c r="AL728" s="232">
        <f>Table1[[#This Row],[UNIT (BUILDING) RATE (FULLY FINISH)]]*Table1[[#This Row],[Unit Selling Area]]</f>
        <v>8496775</v>
      </c>
      <c r="AM728" s="232">
        <f t="shared" si="119"/>
        <v>1254447.781125</v>
      </c>
      <c r="AN728" s="232">
        <f>(AM728+AJ728)*FACTS!$S$2</f>
        <v>726216.436395625</v>
      </c>
      <c r="AO728" s="101">
        <f>VLOOKUP(S728,FACTS!$A$17:$C$23,3,FALSE)</f>
        <v>2</v>
      </c>
      <c r="AP728" s="232">
        <f>VLOOKUP(AA728,FACTS!$B$2:$J$14,9,FALSE)</f>
        <v>200000</v>
      </c>
      <c r="AQ728" s="232">
        <f>Table1[[#This Row],[PARKING VALUE]]*1</f>
        <v>200000</v>
      </c>
      <c r="AR728" s="232">
        <f t="shared" si="114"/>
        <v>8743722.7811249997</v>
      </c>
      <c r="AS728" s="440">
        <f>Table1[[#This Row],[TOTAL CARS VALUE]]+Table1[[#This Row],[UNIT (BUILDING) VALUE BASIC FINISHED]]+Table1[[#This Row],[UNIT (GARDEN) VALUE]]</f>
        <v>9468222.7811249997</v>
      </c>
      <c r="AT728" s="232">
        <f>Table1[[#This Row],[TOTAL CARS VALUE]]+Table1[[#This Row],[UNIT (GARDEN) VALUE]]+Table1[[#This Row],[UNIT (BUILDING) VALUE FULLY FINISHED]]</f>
        <v>9951222.7811249997</v>
      </c>
      <c r="AU728" s="233">
        <f>VLOOKUP(I728,'C PHASES'!$I$108:$J$110,2,FALSE)</f>
        <v>46569</v>
      </c>
      <c r="AV728" s="233">
        <f>VLOOKUP(AA728,'C PHASES'!$I$113:$J$125,2,FALSE)</f>
        <v>45170</v>
      </c>
    </row>
    <row r="729" spans="1:48" x14ac:dyDescent="0.25">
      <c r="A729" s="235"/>
      <c r="B729" s="227" t="str">
        <f t="shared" si="112"/>
        <v>D</v>
      </c>
      <c r="C729" s="227" t="s">
        <v>63</v>
      </c>
      <c r="D729" s="227" t="s">
        <v>1147</v>
      </c>
      <c r="E729" s="228">
        <v>1</v>
      </c>
      <c r="F729" s="101">
        <v>1</v>
      </c>
      <c r="G729" s="87" t="str">
        <f t="shared" si="120"/>
        <v>D411</v>
      </c>
      <c r="H729" s="87" t="s">
        <v>1293</v>
      </c>
      <c r="I729" s="89" t="str">
        <f>VLOOKUP(C729,'PREMIUM TABLES'!$G$107:$H$149,2,FALSE)</f>
        <v>C3</v>
      </c>
      <c r="J729" s="87">
        <v>88.79</v>
      </c>
      <c r="K729" s="87">
        <v>96.525431818454848</v>
      </c>
      <c r="L729" s="87">
        <v>108</v>
      </c>
      <c r="O729" s="87" t="s">
        <v>180</v>
      </c>
      <c r="P729" s="87" t="s">
        <v>190</v>
      </c>
      <c r="Q729" s="229" t="s">
        <v>198</v>
      </c>
      <c r="R729" s="87" t="str">
        <f>VLOOKUP(E729,'PREMIUM TABLES'!$F$214:$G$219,2,FALSE)</f>
        <v>FIRST</v>
      </c>
      <c r="S729" s="87" t="str" cm="1">
        <f t="array" ref="S729">IF(AND(L729&gt;0,L729&lt;90),"A",IF(AND(L729&gt;90,L729&lt;123),"B",IF(AND(L729&gt;122,L729&lt;159),"C",IF(AND(L729&gt;159,L729&lt;185),"D",IF(AND(L729&gt;185,L729&lt;230),"E",IF(AND(L729&gt;230,L729&lt;350),"F",NONE))))))</f>
        <v>B</v>
      </c>
      <c r="T729" s="230">
        <f>VLOOKUP(O729,'PREMIUM TABLES'!$G$165:$H$172,2,FALSE)</f>
        <v>0.13</v>
      </c>
      <c r="U729" s="230">
        <f>VLOOKUP(P729,'PREMIUM TABLES'!$G$208:$H$209,2,FALSE)</f>
        <v>2.5000000000000001E-2</v>
      </c>
      <c r="V729" s="230">
        <f>VLOOKUP(Q729,'PREMIUM TABLES'!$G$175:$H$195,2,FALSE)</f>
        <v>0.15</v>
      </c>
      <c r="W729" s="230">
        <f>VLOOKUP(R729,'PREMIUM TABLES'!$G$214:$H$219,2,FALSE)</f>
        <v>7.0000000000000007E-2</v>
      </c>
      <c r="X729" s="230">
        <f>VLOOKUP(S729,'PREMIUM TABLES'!$F$199:$H$205,3,FALSE)</f>
        <v>0.04</v>
      </c>
      <c r="Y729" s="231">
        <f t="shared" si="115"/>
        <v>0.41499999999999998</v>
      </c>
      <c r="Z729" s="231" t="str" cm="1">
        <f t="array" ref="Z729">IF(AND(Y729&gt;0,Y729&lt;0.5),"C",IF(AND(Y729&gt;=0.5,Y729&lt;0.73),"B",IF(AND(Y729&gt;=0.73,Y729&lt;0.98),"A",NONE)))</f>
        <v>C</v>
      </c>
      <c r="AA729" s="231" t="str">
        <f>VLOOKUP(G729,'ALL (R)'!$N$5:$R$862,5,FALSE)</f>
        <v>R 7</v>
      </c>
      <c r="AB729" s="232">
        <f>VLOOKUP(AA729,FACTS!$B$2:$L$14,10,FALSE)</f>
        <v>50150</v>
      </c>
      <c r="AC729" s="232">
        <f>VLOOKUP(AA729,FACTS!$B$2:$L$14,11,FALSE)</f>
        <v>56050</v>
      </c>
      <c r="AD729" s="232">
        <f>VLOOKUP(AA729,FACTS!$B$2:$N$14,13,FALSE)</f>
        <v>5900</v>
      </c>
      <c r="AE729" s="232">
        <f t="shared" si="116"/>
        <v>2448.5</v>
      </c>
      <c r="AF729" s="232">
        <f t="shared" si="117"/>
        <v>52598.5</v>
      </c>
      <c r="AG729" s="232">
        <f>AF729*FACTS!$T$2</f>
        <v>17357.505000000001</v>
      </c>
      <c r="AH729" s="232">
        <f>Table1[[#This Row],[UNIT (BUILDING) RATE (SEMI FINISHED)]]+4500</f>
        <v>57098.5</v>
      </c>
      <c r="AI729" s="232">
        <f>Table1[[#This Row],[UNIT (BUILDING) RATE (SEMI FINISHED)]]+7500</f>
        <v>60098.5</v>
      </c>
      <c r="AJ729" s="232">
        <f t="shared" si="118"/>
        <v>5680638</v>
      </c>
      <c r="AK729" s="232">
        <f>Table1[[#This Row],[UNIT (BUILDING) RATE (BASIC FINISH)]]*Table1[[#This Row],[Unit Selling Area]]</f>
        <v>6166638</v>
      </c>
      <c r="AL729" s="232">
        <f>Table1[[#This Row],[UNIT (BUILDING) RATE (FULLY FINISH)]]*Table1[[#This Row],[Unit Selling Area]]</f>
        <v>6490638</v>
      </c>
      <c r="AM729" s="232">
        <f t="shared" si="119"/>
        <v>0</v>
      </c>
      <c r="AN729" s="232">
        <f>(AM729+AJ729)*FACTS!$S$2</f>
        <v>482854.23000000004</v>
      </c>
      <c r="AO729" s="101">
        <f>VLOOKUP(S729,FACTS!$A$17:$C$23,3,FALSE)</f>
        <v>1</v>
      </c>
      <c r="AP729" s="232">
        <f>VLOOKUP(AA729,FACTS!$B$2:$J$14,9,FALSE)</f>
        <v>236000</v>
      </c>
      <c r="AQ729" s="232">
        <f>Table1[[#This Row],[PARKING VALUE]]*1</f>
        <v>236000</v>
      </c>
      <c r="AR729" s="232">
        <f t="shared" si="114"/>
        <v>5916638</v>
      </c>
      <c r="AS729" s="440">
        <f>Table1[[#This Row],[TOTAL CARS VALUE]]+Table1[[#This Row],[UNIT (BUILDING) VALUE BASIC FINISHED]]+Table1[[#This Row],[UNIT (GARDEN) VALUE]]</f>
        <v>6402638</v>
      </c>
      <c r="AT729" s="232">
        <f>Table1[[#This Row],[TOTAL CARS VALUE]]+Table1[[#This Row],[UNIT (GARDEN) VALUE]]+Table1[[#This Row],[UNIT (BUILDING) VALUE FULLY FINISHED]]</f>
        <v>6726638</v>
      </c>
      <c r="AU729" s="233">
        <f>VLOOKUP(I729,'C PHASES'!$I$108:$J$110,2,FALSE)</f>
        <v>46569</v>
      </c>
      <c r="AV729" s="233">
        <f>VLOOKUP(AA729,'C PHASES'!$I$113:$J$125,2,FALSE)</f>
        <v>45748</v>
      </c>
    </row>
    <row r="730" spans="1:48" x14ac:dyDescent="0.25">
      <c r="A730" s="235"/>
      <c r="B730" s="227" t="str">
        <f t="shared" si="112"/>
        <v>D</v>
      </c>
      <c r="C730" s="227" t="s">
        <v>63</v>
      </c>
      <c r="D730" s="227" t="s">
        <v>1147</v>
      </c>
      <c r="E730" s="228">
        <v>1</v>
      </c>
      <c r="F730" s="101">
        <v>2</v>
      </c>
      <c r="G730" s="87" t="str">
        <f t="shared" si="120"/>
        <v>D412</v>
      </c>
      <c r="H730" s="87" t="s">
        <v>1294</v>
      </c>
      <c r="I730" s="89" t="str">
        <f>VLOOKUP(C730,'PREMIUM TABLES'!$G$107:$H$149,2,FALSE)</f>
        <v>C3</v>
      </c>
      <c r="J730" s="87">
        <v>126.34</v>
      </c>
      <c r="K730" s="87">
        <v>137.34680770293485</v>
      </c>
      <c r="L730" s="87">
        <v>154</v>
      </c>
      <c r="O730" s="87" t="s">
        <v>187</v>
      </c>
      <c r="P730" s="87" t="s">
        <v>190</v>
      </c>
      <c r="Q730" s="229" t="s">
        <v>211</v>
      </c>
      <c r="R730" s="87" t="str">
        <f>VLOOKUP(E730,'PREMIUM TABLES'!$F$214:$G$219,2,FALSE)</f>
        <v>FIRST</v>
      </c>
      <c r="S730" s="87" t="str" cm="1">
        <f t="array" ref="S730">IF(AND(L730&gt;0,L730&lt;90),"A",IF(AND(L730&gt;90,L730&lt;123),"B",IF(AND(L730&gt;122,L730&lt;159),"C",IF(AND(L730&gt;159,L730&lt;185),"D",IF(AND(L730&gt;185,L730&lt;230),"E",IF(AND(L730&gt;230,L730&lt;350),"F",NONE))))))</f>
        <v>C</v>
      </c>
      <c r="T730" s="230">
        <f>VLOOKUP(O730,'PREMIUM TABLES'!$G$165:$H$172,2,FALSE)</f>
        <v>0.08</v>
      </c>
      <c r="U730" s="230">
        <f>VLOOKUP(P730,'PREMIUM TABLES'!$G$208:$H$209,2,FALSE)</f>
        <v>2.5000000000000001E-2</v>
      </c>
      <c r="V730" s="230">
        <f>VLOOKUP(Q730,'PREMIUM TABLES'!$G$175:$H$195,2,FALSE)</f>
        <v>0.43</v>
      </c>
      <c r="W730" s="230">
        <f>VLOOKUP(R730,'PREMIUM TABLES'!$G$214:$H$219,2,FALSE)</f>
        <v>7.0000000000000007E-2</v>
      </c>
      <c r="X730" s="230">
        <f>VLOOKUP(S730,'PREMIUM TABLES'!$F$199:$H$205,3,FALSE)</f>
        <v>3.5000000000000003E-2</v>
      </c>
      <c r="Y730" s="231">
        <f t="shared" si="115"/>
        <v>0.64</v>
      </c>
      <c r="Z730" s="231" t="str" cm="1">
        <f t="array" ref="Z730">IF(AND(Y730&gt;0,Y730&lt;0.5),"C",IF(AND(Y730&gt;=0.5,Y730&lt;0.73),"B",IF(AND(Y730&gt;=0.73,Y730&lt;0.98),"A",NONE)))</f>
        <v>B</v>
      </c>
      <c r="AA730" s="231" t="str">
        <f>VLOOKUP(G730,'ALL (R)'!$N$5:$R$862,5,FALSE)</f>
        <v>R 4</v>
      </c>
      <c r="AB730" s="232">
        <f>VLOOKUP(AA730,FACTS!$B$2:$L$14,10,FALSE)</f>
        <v>45687.5</v>
      </c>
      <c r="AC730" s="232">
        <f>VLOOKUP(AA730,FACTS!$B$2:$L$14,11,FALSE)</f>
        <v>51062.5</v>
      </c>
      <c r="AD730" s="232">
        <f>VLOOKUP(AA730,FACTS!$B$2:$N$14,13,FALSE)</f>
        <v>5375</v>
      </c>
      <c r="AE730" s="232">
        <f t="shared" si="116"/>
        <v>3440</v>
      </c>
      <c r="AF730" s="232">
        <f t="shared" si="117"/>
        <v>49127.5</v>
      </c>
      <c r="AG730" s="232">
        <f>AF730*FACTS!$T$2</f>
        <v>16212.075000000001</v>
      </c>
      <c r="AH730" s="232">
        <f>Table1[[#This Row],[UNIT (BUILDING) RATE (SEMI FINISHED)]]+4500</f>
        <v>53627.5</v>
      </c>
      <c r="AI730" s="232">
        <f>Table1[[#This Row],[UNIT (BUILDING) RATE (SEMI FINISHED)]]+7500</f>
        <v>56627.5</v>
      </c>
      <c r="AJ730" s="232">
        <f t="shared" si="118"/>
        <v>7565635</v>
      </c>
      <c r="AK730" s="232">
        <f>Table1[[#This Row],[UNIT (BUILDING) RATE (BASIC FINISH)]]*Table1[[#This Row],[Unit Selling Area]]</f>
        <v>8258635</v>
      </c>
      <c r="AL730" s="232">
        <f>Table1[[#This Row],[UNIT (BUILDING) RATE (FULLY FINISH)]]*Table1[[#This Row],[Unit Selling Area]]</f>
        <v>8720635</v>
      </c>
      <c r="AM730" s="232">
        <f t="shared" si="119"/>
        <v>0</v>
      </c>
      <c r="AN730" s="232">
        <f>(AM730+AJ730)*FACTS!$S$2</f>
        <v>643078.97500000009</v>
      </c>
      <c r="AO730" s="101">
        <f>VLOOKUP(S730,FACTS!$A$17:$C$23,3,FALSE)</f>
        <v>2</v>
      </c>
      <c r="AP730" s="232">
        <f>VLOOKUP(AA730,FACTS!$B$2:$J$14,9,FALSE)</f>
        <v>215000</v>
      </c>
      <c r="AQ730" s="232">
        <f>Table1[[#This Row],[PARKING VALUE]]*1</f>
        <v>215000</v>
      </c>
      <c r="AR730" s="232">
        <f t="shared" si="114"/>
        <v>7780635</v>
      </c>
      <c r="AS730" s="440">
        <f>Table1[[#This Row],[TOTAL CARS VALUE]]+Table1[[#This Row],[UNIT (BUILDING) VALUE BASIC FINISHED]]+Table1[[#This Row],[UNIT (GARDEN) VALUE]]</f>
        <v>8473635</v>
      </c>
      <c r="AT730" s="232">
        <f>Table1[[#This Row],[TOTAL CARS VALUE]]+Table1[[#This Row],[UNIT (GARDEN) VALUE]]+Table1[[#This Row],[UNIT (BUILDING) VALUE FULLY FINISHED]]</f>
        <v>8935635</v>
      </c>
      <c r="AU730" s="233">
        <f>VLOOKUP(I730,'C PHASES'!$I$108:$J$110,2,FALSE)</f>
        <v>46569</v>
      </c>
      <c r="AV730" s="233">
        <f>VLOOKUP(AA730,'C PHASES'!$I$113:$J$125,2,FALSE)</f>
        <v>45474</v>
      </c>
    </row>
    <row r="731" spans="1:48" x14ac:dyDescent="0.25">
      <c r="A731" s="235"/>
      <c r="B731" s="227" t="str">
        <f t="shared" si="112"/>
        <v>D</v>
      </c>
      <c r="C731" s="227" t="s">
        <v>63</v>
      </c>
      <c r="D731" s="227" t="s">
        <v>1147</v>
      </c>
      <c r="E731" s="228">
        <v>1</v>
      </c>
      <c r="F731" s="101">
        <v>3</v>
      </c>
      <c r="G731" s="87" t="str">
        <f t="shared" si="120"/>
        <v>D413</v>
      </c>
      <c r="H731" s="87" t="s">
        <v>1294</v>
      </c>
      <c r="I731" s="89" t="str">
        <f>VLOOKUP(C731,'PREMIUM TABLES'!$G$107:$H$149,2,FALSE)</f>
        <v>C3</v>
      </c>
      <c r="J731" s="87">
        <v>131.12</v>
      </c>
      <c r="K731" s="87">
        <v>142.54324383416824</v>
      </c>
      <c r="L731" s="87">
        <v>160</v>
      </c>
      <c r="O731" s="87" t="s">
        <v>187</v>
      </c>
      <c r="P731" s="87" t="s">
        <v>226</v>
      </c>
      <c r="Q731" s="229" t="s">
        <v>211</v>
      </c>
      <c r="R731" s="87" t="str">
        <f>VLOOKUP(E731,'PREMIUM TABLES'!$F$214:$G$219,2,FALSE)</f>
        <v>FIRST</v>
      </c>
      <c r="S731" s="87" t="str" cm="1">
        <f t="array" ref="S731">IF(AND(L731&gt;0,L731&lt;90),"A",IF(AND(L731&gt;90,L731&lt;123),"B",IF(AND(L731&gt;122,L731&lt;159),"C",IF(AND(L731&gt;159,L731&lt;185),"D",IF(AND(L731&gt;185,L731&lt;230),"E",IF(AND(L731&gt;230,L731&lt;350),"F",NONE))))))</f>
        <v>D</v>
      </c>
      <c r="T731" s="230">
        <f>VLOOKUP(O731,'PREMIUM TABLES'!$G$165:$H$172,2,FALSE)</f>
        <v>0.08</v>
      </c>
      <c r="U731" s="230">
        <f>VLOOKUP(P731,'PREMIUM TABLES'!$G$208:$H$209,2,FALSE)</f>
        <v>0.05</v>
      </c>
      <c r="V731" s="230">
        <f>VLOOKUP(Q731,'PREMIUM TABLES'!$G$175:$H$195,2,FALSE)</f>
        <v>0.43</v>
      </c>
      <c r="W731" s="230">
        <f>VLOOKUP(R731,'PREMIUM TABLES'!$G$214:$H$219,2,FALSE)</f>
        <v>7.0000000000000007E-2</v>
      </c>
      <c r="X731" s="230">
        <f>VLOOKUP(S731,'PREMIUM TABLES'!$F$199:$H$205,3,FALSE)</f>
        <v>2.5000000000000001E-2</v>
      </c>
      <c r="Y731" s="231">
        <f t="shared" si="115"/>
        <v>0.65500000000000014</v>
      </c>
      <c r="Z731" s="231" t="str" cm="1">
        <f t="array" ref="Z731">IF(AND(Y731&gt;0,Y731&lt;0.5),"C",IF(AND(Y731&gt;=0.5,Y731&lt;0.73),"B",IF(AND(Y731&gt;=0.73,Y731&lt;0.98),"A",NONE)))</f>
        <v>B</v>
      </c>
      <c r="AA731" s="231" t="str">
        <f>VLOOKUP(G731,'ALL (R)'!$N$5:$R$862,5,FALSE)</f>
        <v>R 6</v>
      </c>
      <c r="AB731" s="232">
        <f>VLOOKUP(AA731,FACTS!$B$2:$L$14,10,FALSE)</f>
        <v>48450.000000000007</v>
      </c>
      <c r="AC731" s="232">
        <f>VLOOKUP(AA731,FACTS!$B$2:$L$14,11,FALSE)</f>
        <v>54150.000000000007</v>
      </c>
      <c r="AD731" s="232">
        <f>VLOOKUP(AA731,FACTS!$B$2:$N$14,13,FALSE)</f>
        <v>5700</v>
      </c>
      <c r="AE731" s="232">
        <f t="shared" si="116"/>
        <v>3733.5000000000009</v>
      </c>
      <c r="AF731" s="232">
        <f t="shared" si="117"/>
        <v>52183.500000000007</v>
      </c>
      <c r="AG731" s="232">
        <f>AF731*FACTS!$T$2</f>
        <v>17220.555000000004</v>
      </c>
      <c r="AH731" s="232">
        <f>Table1[[#This Row],[UNIT (BUILDING) RATE (SEMI FINISHED)]]+4500</f>
        <v>56683.500000000007</v>
      </c>
      <c r="AI731" s="232">
        <f>Table1[[#This Row],[UNIT (BUILDING) RATE (SEMI FINISHED)]]+7500</f>
        <v>59683.500000000007</v>
      </c>
      <c r="AJ731" s="232">
        <f t="shared" si="118"/>
        <v>8349360.0000000009</v>
      </c>
      <c r="AK731" s="232">
        <f>Table1[[#This Row],[UNIT (BUILDING) RATE (BASIC FINISH)]]*Table1[[#This Row],[Unit Selling Area]]</f>
        <v>9069360.0000000019</v>
      </c>
      <c r="AL731" s="232">
        <f>Table1[[#This Row],[UNIT (BUILDING) RATE (FULLY FINISH)]]*Table1[[#This Row],[Unit Selling Area]]</f>
        <v>9549360.0000000019</v>
      </c>
      <c r="AM731" s="232">
        <f t="shared" si="119"/>
        <v>0</v>
      </c>
      <c r="AN731" s="232">
        <f>(AM731+AJ731)*FACTS!$S$2</f>
        <v>709695.60000000009</v>
      </c>
      <c r="AO731" s="101">
        <f>VLOOKUP(S731,FACTS!$A$17:$C$23,3,FALSE)</f>
        <v>2</v>
      </c>
      <c r="AP731" s="232">
        <f>VLOOKUP(AA731,FACTS!$B$2:$J$14,9,FALSE)</f>
        <v>228000.00000000003</v>
      </c>
      <c r="AQ731" s="232">
        <f>Table1[[#This Row],[PARKING VALUE]]*1</f>
        <v>228000.00000000003</v>
      </c>
      <c r="AR731" s="232">
        <f t="shared" si="114"/>
        <v>8577360.0000000019</v>
      </c>
      <c r="AS731" s="440">
        <f>Table1[[#This Row],[TOTAL CARS VALUE]]+Table1[[#This Row],[UNIT (BUILDING) VALUE BASIC FINISHED]]+Table1[[#This Row],[UNIT (GARDEN) VALUE]]</f>
        <v>9297360.0000000019</v>
      </c>
      <c r="AT731" s="232">
        <f>Table1[[#This Row],[TOTAL CARS VALUE]]+Table1[[#This Row],[UNIT (GARDEN) VALUE]]+Table1[[#This Row],[UNIT (BUILDING) VALUE FULLY FINISHED]]</f>
        <v>9777360.0000000019</v>
      </c>
      <c r="AU731" s="233">
        <f>VLOOKUP(I731,'C PHASES'!$I$108:$J$110,2,FALSE)</f>
        <v>46569</v>
      </c>
      <c r="AV731" s="233">
        <f>VLOOKUP(AA731,'C PHASES'!$I$113:$J$125,2,FALSE)</f>
        <v>45658</v>
      </c>
    </row>
    <row r="732" spans="1:48" x14ac:dyDescent="0.25">
      <c r="A732" s="235"/>
      <c r="B732" s="227" t="str">
        <f t="shared" si="112"/>
        <v>D</v>
      </c>
      <c r="C732" s="227" t="s">
        <v>63</v>
      </c>
      <c r="D732" s="227" t="s">
        <v>1147</v>
      </c>
      <c r="E732" s="228">
        <v>1</v>
      </c>
      <c r="F732" s="101">
        <v>4</v>
      </c>
      <c r="G732" s="87" t="str">
        <f t="shared" si="120"/>
        <v>D414</v>
      </c>
      <c r="H732" s="87" t="s">
        <v>1294</v>
      </c>
      <c r="I732" s="89" t="str">
        <f>VLOOKUP(C732,'PREMIUM TABLES'!$G$107:$H$149,2,FALSE)</f>
        <v>C3</v>
      </c>
      <c r="J732" s="87">
        <v>128.56</v>
      </c>
      <c r="K732" s="87">
        <v>139.76021527852859</v>
      </c>
      <c r="L732" s="87">
        <v>157</v>
      </c>
      <c r="O732" s="87" t="s">
        <v>180</v>
      </c>
      <c r="P732" s="87" t="s">
        <v>226</v>
      </c>
      <c r="Q732" s="229" t="s">
        <v>193</v>
      </c>
      <c r="R732" s="87" t="str">
        <f>VLOOKUP(E732,'PREMIUM TABLES'!$F$214:$G$219,2,FALSE)</f>
        <v>FIRST</v>
      </c>
      <c r="S732" s="87" t="str" cm="1">
        <f t="array" ref="S732">IF(AND(L732&gt;0,L732&lt;90),"A",IF(AND(L732&gt;90,L732&lt;123),"B",IF(AND(L732&gt;122,L732&lt;159),"C",IF(AND(L732&gt;159,L732&lt;185),"D",IF(AND(L732&gt;185,L732&lt;230),"E",IF(AND(L732&gt;230,L732&lt;350),"F",NONE))))))</f>
        <v>C</v>
      </c>
      <c r="T732" s="230">
        <f>VLOOKUP(O732,'PREMIUM TABLES'!$G$165:$H$172,2,FALSE)</f>
        <v>0.13</v>
      </c>
      <c r="U732" s="230">
        <f>VLOOKUP(P732,'PREMIUM TABLES'!$G$208:$H$209,2,FALSE)</f>
        <v>0.05</v>
      </c>
      <c r="V732" s="230">
        <f>VLOOKUP(Q732,'PREMIUM TABLES'!$G$175:$H$195,2,FALSE)</f>
        <v>0.3</v>
      </c>
      <c r="W732" s="230">
        <f>VLOOKUP(R732,'PREMIUM TABLES'!$G$214:$H$219,2,FALSE)</f>
        <v>7.0000000000000007E-2</v>
      </c>
      <c r="X732" s="230">
        <f>VLOOKUP(S732,'PREMIUM TABLES'!$F$199:$H$205,3,FALSE)</f>
        <v>3.5000000000000003E-2</v>
      </c>
      <c r="Y732" s="231">
        <f t="shared" si="115"/>
        <v>0.58500000000000008</v>
      </c>
      <c r="Z732" s="231" t="str" cm="1">
        <f t="array" ref="Z732">IF(AND(Y732&gt;0,Y732&lt;0.5),"C",IF(AND(Y732&gt;=0.5,Y732&lt;0.73),"B",IF(AND(Y732&gt;=0.73,Y732&lt;0.98),"A",NONE)))</f>
        <v>B</v>
      </c>
      <c r="AA732" s="231" t="str">
        <f>VLOOKUP(G732,'ALL (R)'!$N$5:$R$862,5,FALSE)</f>
        <v>R 1</v>
      </c>
      <c r="AB732" s="232">
        <f>VLOOKUP(AA732,FACTS!$B$2:$L$14,10,FALSE)</f>
        <v>42500</v>
      </c>
      <c r="AC732" s="232">
        <f>VLOOKUP(AA732,FACTS!$B$2:$L$14,11,FALSE)</f>
        <v>47500</v>
      </c>
      <c r="AD732" s="232">
        <f>VLOOKUP(AA732,FACTS!$B$2:$N$14,13,FALSE)</f>
        <v>5000</v>
      </c>
      <c r="AE732" s="232">
        <f t="shared" si="116"/>
        <v>2925.0000000000005</v>
      </c>
      <c r="AF732" s="232">
        <f t="shared" si="117"/>
        <v>45425</v>
      </c>
      <c r="AG732" s="232">
        <f>AF732*FACTS!$T$2</f>
        <v>14990.25</v>
      </c>
      <c r="AH732" s="232">
        <f>Table1[[#This Row],[UNIT (BUILDING) RATE (SEMI FINISHED)]]+4500</f>
        <v>49925</v>
      </c>
      <c r="AI732" s="232">
        <f>Table1[[#This Row],[UNIT (BUILDING) RATE (SEMI FINISHED)]]+7500</f>
        <v>52925</v>
      </c>
      <c r="AJ732" s="232">
        <f t="shared" si="118"/>
        <v>7131725</v>
      </c>
      <c r="AK732" s="232">
        <f>Table1[[#This Row],[UNIT (BUILDING) RATE (BASIC FINISH)]]*Table1[[#This Row],[Unit Selling Area]]</f>
        <v>7838225</v>
      </c>
      <c r="AL732" s="232">
        <f>Table1[[#This Row],[UNIT (BUILDING) RATE (FULLY FINISH)]]*Table1[[#This Row],[Unit Selling Area]]</f>
        <v>8309225</v>
      </c>
      <c r="AM732" s="232">
        <f t="shared" si="119"/>
        <v>0</v>
      </c>
      <c r="AN732" s="232">
        <f>(AM732+AJ732)*FACTS!$S$2</f>
        <v>606196.625</v>
      </c>
      <c r="AO732" s="101">
        <f>VLOOKUP(S732,FACTS!$A$17:$C$23,3,FALSE)</f>
        <v>2</v>
      </c>
      <c r="AP732" s="232">
        <f>VLOOKUP(AA732,FACTS!$B$2:$J$14,9,FALSE)</f>
        <v>200000</v>
      </c>
      <c r="AQ732" s="232">
        <f>Table1[[#This Row],[PARKING VALUE]]*1</f>
        <v>200000</v>
      </c>
      <c r="AR732" s="232">
        <f t="shared" si="114"/>
        <v>7331725</v>
      </c>
      <c r="AS732" s="440">
        <f>Table1[[#This Row],[TOTAL CARS VALUE]]+Table1[[#This Row],[UNIT (BUILDING) VALUE BASIC FINISHED]]+Table1[[#This Row],[UNIT (GARDEN) VALUE]]</f>
        <v>8038225</v>
      </c>
      <c r="AT732" s="232">
        <f>Table1[[#This Row],[TOTAL CARS VALUE]]+Table1[[#This Row],[UNIT (GARDEN) VALUE]]+Table1[[#This Row],[UNIT (BUILDING) VALUE FULLY FINISHED]]</f>
        <v>8509225</v>
      </c>
      <c r="AU732" s="233">
        <f>VLOOKUP(I732,'C PHASES'!$I$108:$J$110,2,FALSE)</f>
        <v>46569</v>
      </c>
      <c r="AV732" s="233">
        <f>VLOOKUP(AA732,'C PHASES'!$I$113:$J$125,2,FALSE)</f>
        <v>45170</v>
      </c>
    </row>
    <row r="733" spans="1:48" x14ac:dyDescent="0.25">
      <c r="A733" s="235"/>
      <c r="B733" s="227" t="str">
        <f t="shared" si="112"/>
        <v>D</v>
      </c>
      <c r="C733" s="227" t="s">
        <v>63</v>
      </c>
      <c r="D733" s="227" t="s">
        <v>1147</v>
      </c>
      <c r="E733" s="228">
        <v>2</v>
      </c>
      <c r="F733" s="101">
        <v>1</v>
      </c>
      <c r="G733" s="87" t="str">
        <f t="shared" si="120"/>
        <v>D421</v>
      </c>
      <c r="H733" s="87" t="s">
        <v>1294</v>
      </c>
      <c r="I733" s="89" t="str">
        <f>VLOOKUP(C733,'PREMIUM TABLES'!$G$107:$H$149,2,FALSE)</f>
        <v>C3</v>
      </c>
      <c r="J733" s="87">
        <v>127.15</v>
      </c>
      <c r="K733" s="87">
        <v>138.22737533186771</v>
      </c>
      <c r="L733" s="87">
        <v>155</v>
      </c>
      <c r="O733" s="87" t="s">
        <v>180</v>
      </c>
      <c r="P733" s="87" t="s">
        <v>190</v>
      </c>
      <c r="Q733" s="229" t="s">
        <v>198</v>
      </c>
      <c r="R733" s="87" t="str">
        <f>VLOOKUP(E733,'PREMIUM TABLES'!$F$214:$G$219,2,FALSE)</f>
        <v>SECOND</v>
      </c>
      <c r="S733" s="87" t="str" cm="1">
        <f t="array" ref="S733">IF(AND(L733&gt;0,L733&lt;90),"A",IF(AND(L733&gt;90,L733&lt;123),"B",IF(AND(L733&gt;122,L733&lt;159),"C",IF(AND(L733&gt;159,L733&lt;185),"D",IF(AND(L733&gt;185,L733&lt;230),"E",IF(AND(L733&gt;230,L733&lt;350),"F",NONE))))))</f>
        <v>C</v>
      </c>
      <c r="T733" s="230">
        <f>VLOOKUP(O733,'PREMIUM TABLES'!$G$165:$H$172,2,FALSE)</f>
        <v>0.13</v>
      </c>
      <c r="U733" s="230">
        <f>VLOOKUP(P733,'PREMIUM TABLES'!$G$208:$H$209,2,FALSE)</f>
        <v>2.5000000000000001E-2</v>
      </c>
      <c r="V733" s="230">
        <f>VLOOKUP(Q733,'PREMIUM TABLES'!$G$175:$H$195,2,FALSE)</f>
        <v>0.15</v>
      </c>
      <c r="W733" s="230">
        <f>VLOOKUP(R733,'PREMIUM TABLES'!$G$214:$H$219,2,FALSE)</f>
        <v>0.11</v>
      </c>
      <c r="X733" s="230">
        <f>VLOOKUP(S733,'PREMIUM TABLES'!$F$199:$H$205,3,FALSE)</f>
        <v>3.5000000000000003E-2</v>
      </c>
      <c r="Y733" s="231">
        <f t="shared" si="115"/>
        <v>0.44999999999999996</v>
      </c>
      <c r="Z733" s="231" t="str" cm="1">
        <f t="array" ref="Z733">IF(AND(Y733&gt;0,Y733&lt;0.5),"C",IF(AND(Y733&gt;=0.5,Y733&lt;0.73),"B",IF(AND(Y733&gt;=0.73,Y733&lt;0.98),"A",NONE)))</f>
        <v>C</v>
      </c>
      <c r="AA733" s="231" t="str">
        <f>VLOOKUP(G733,'ALL (R)'!$N$5:$R$862,5,FALSE)</f>
        <v>R 9</v>
      </c>
      <c r="AB733" s="232">
        <f>VLOOKUP(AA733,FACTS!$B$2:$L$14,10,FALSE)</f>
        <v>53550</v>
      </c>
      <c r="AC733" s="232">
        <f>VLOOKUP(AA733,FACTS!$B$2:$L$14,11,FALSE)</f>
        <v>59850</v>
      </c>
      <c r="AD733" s="232">
        <f>VLOOKUP(AA733,FACTS!$B$2:$N$14,13,FALSE)</f>
        <v>6300</v>
      </c>
      <c r="AE733" s="232">
        <f t="shared" si="116"/>
        <v>2834.9999999999995</v>
      </c>
      <c r="AF733" s="232">
        <f t="shared" si="117"/>
        <v>56385</v>
      </c>
      <c r="AG733" s="232">
        <f>AF733*FACTS!$T$2</f>
        <v>18607.05</v>
      </c>
      <c r="AH733" s="232">
        <f>Table1[[#This Row],[UNIT (BUILDING) RATE (SEMI FINISHED)]]+4500</f>
        <v>60885</v>
      </c>
      <c r="AI733" s="232">
        <f>Table1[[#This Row],[UNIT (BUILDING) RATE (SEMI FINISHED)]]+7500</f>
        <v>63885</v>
      </c>
      <c r="AJ733" s="232">
        <f t="shared" si="118"/>
        <v>8739675</v>
      </c>
      <c r="AK733" s="232">
        <f>Table1[[#This Row],[UNIT (BUILDING) RATE (BASIC FINISH)]]*Table1[[#This Row],[Unit Selling Area]]</f>
        <v>9437175</v>
      </c>
      <c r="AL733" s="232">
        <f>Table1[[#This Row],[UNIT (BUILDING) RATE (FULLY FINISH)]]*Table1[[#This Row],[Unit Selling Area]]</f>
        <v>9902175</v>
      </c>
      <c r="AM733" s="232">
        <f t="shared" si="119"/>
        <v>0</v>
      </c>
      <c r="AN733" s="232">
        <f>(AM733+AJ733)*FACTS!$S$2</f>
        <v>742872.375</v>
      </c>
      <c r="AO733" s="101">
        <f>VLOOKUP(S733,FACTS!$A$17:$C$23,3,FALSE)</f>
        <v>2</v>
      </c>
      <c r="AP733" s="232">
        <f>VLOOKUP(AA733,FACTS!$B$2:$J$14,9,FALSE)</f>
        <v>252000</v>
      </c>
      <c r="AQ733" s="232">
        <f>Table1[[#This Row],[PARKING VALUE]]*1</f>
        <v>252000</v>
      </c>
      <c r="AR733" s="232">
        <f t="shared" si="114"/>
        <v>8991675</v>
      </c>
      <c r="AS733" s="440">
        <f>Table1[[#This Row],[TOTAL CARS VALUE]]+Table1[[#This Row],[UNIT (BUILDING) VALUE BASIC FINISHED]]+Table1[[#This Row],[UNIT (GARDEN) VALUE]]</f>
        <v>9689175</v>
      </c>
      <c r="AT733" s="232">
        <f>Table1[[#This Row],[TOTAL CARS VALUE]]+Table1[[#This Row],[UNIT (GARDEN) VALUE]]+Table1[[#This Row],[UNIT (BUILDING) VALUE FULLY FINISHED]]</f>
        <v>10154175</v>
      </c>
      <c r="AU733" s="233">
        <f>VLOOKUP(I733,'C PHASES'!$I$108:$J$110,2,FALSE)</f>
        <v>46569</v>
      </c>
      <c r="AV733" s="233">
        <f>VLOOKUP(AA733,'C PHASES'!$I$113:$J$125,2,FALSE)</f>
        <v>45931</v>
      </c>
    </row>
    <row r="734" spans="1:48" x14ac:dyDescent="0.25">
      <c r="A734" s="235"/>
      <c r="B734" s="227" t="str">
        <f t="shared" si="112"/>
        <v>D</v>
      </c>
      <c r="C734" s="227" t="s">
        <v>63</v>
      </c>
      <c r="D734" s="227" t="s">
        <v>1147</v>
      </c>
      <c r="E734" s="228">
        <v>2</v>
      </c>
      <c r="F734" s="101">
        <v>2</v>
      </c>
      <c r="G734" s="87" t="str">
        <f t="shared" si="120"/>
        <v>D422</v>
      </c>
      <c r="H734" s="87" t="s">
        <v>1294</v>
      </c>
      <c r="I734" s="89" t="str">
        <f>VLOOKUP(C734,'PREMIUM TABLES'!$G$107:$H$149,2,FALSE)</f>
        <v>C3</v>
      </c>
      <c r="J734" s="87">
        <v>126.78</v>
      </c>
      <c r="K734" s="87">
        <v>137.82514073593541</v>
      </c>
      <c r="L734" s="87">
        <v>155</v>
      </c>
      <c r="O734" s="87" t="s">
        <v>187</v>
      </c>
      <c r="P734" s="87" t="s">
        <v>190</v>
      </c>
      <c r="Q734" s="229" t="s">
        <v>211</v>
      </c>
      <c r="R734" s="87" t="str">
        <f>VLOOKUP(E734,'PREMIUM TABLES'!$F$214:$G$219,2,FALSE)</f>
        <v>SECOND</v>
      </c>
      <c r="S734" s="87" t="str" cm="1">
        <f t="array" ref="S734">IF(AND(L734&gt;0,L734&lt;90),"A",IF(AND(L734&gt;90,L734&lt;123),"B",IF(AND(L734&gt;122,L734&lt;159),"C",IF(AND(L734&gt;159,L734&lt;185),"D",IF(AND(L734&gt;185,L734&lt;230),"E",IF(AND(L734&gt;230,L734&lt;350),"F",NONE))))))</f>
        <v>C</v>
      </c>
      <c r="T734" s="230">
        <f>VLOOKUP(O734,'PREMIUM TABLES'!$G$165:$H$172,2,FALSE)</f>
        <v>0.08</v>
      </c>
      <c r="U734" s="230">
        <f>VLOOKUP(P734,'PREMIUM TABLES'!$G$208:$H$209,2,FALSE)</f>
        <v>2.5000000000000001E-2</v>
      </c>
      <c r="V734" s="230">
        <f>VLOOKUP(Q734,'PREMIUM TABLES'!$G$175:$H$195,2,FALSE)</f>
        <v>0.43</v>
      </c>
      <c r="W734" s="230">
        <f>VLOOKUP(R734,'PREMIUM TABLES'!$G$214:$H$219,2,FALSE)</f>
        <v>0.11</v>
      </c>
      <c r="X734" s="230">
        <f>VLOOKUP(S734,'PREMIUM TABLES'!$F$199:$H$205,3,FALSE)</f>
        <v>3.5000000000000003E-2</v>
      </c>
      <c r="Y734" s="231">
        <f t="shared" si="115"/>
        <v>0.68</v>
      </c>
      <c r="Z734" s="231" t="str" cm="1">
        <f t="array" ref="Z734">IF(AND(Y734&gt;0,Y734&lt;0.5),"C",IF(AND(Y734&gt;=0.5,Y734&lt;0.73),"B",IF(AND(Y734&gt;=0.73,Y734&lt;0.98),"A",NONE)))</f>
        <v>B</v>
      </c>
      <c r="AA734" s="231" t="str">
        <f>VLOOKUP(G734,'ALL (R)'!$N$5:$R$862,5,FALSE)</f>
        <v>R 7</v>
      </c>
      <c r="AB734" s="232">
        <f>VLOOKUP(AA734,FACTS!$B$2:$L$14,10,FALSE)</f>
        <v>50150</v>
      </c>
      <c r="AC734" s="232">
        <f>VLOOKUP(AA734,FACTS!$B$2:$L$14,11,FALSE)</f>
        <v>56050</v>
      </c>
      <c r="AD734" s="232">
        <f>VLOOKUP(AA734,FACTS!$B$2:$N$14,13,FALSE)</f>
        <v>5900</v>
      </c>
      <c r="AE734" s="232">
        <f t="shared" si="116"/>
        <v>4012.0000000000005</v>
      </c>
      <c r="AF734" s="232">
        <f t="shared" si="117"/>
        <v>54162</v>
      </c>
      <c r="AG734" s="232">
        <f>AF734*FACTS!$T$2</f>
        <v>17873.46</v>
      </c>
      <c r="AH734" s="232">
        <f>Table1[[#This Row],[UNIT (BUILDING) RATE (SEMI FINISHED)]]+4500</f>
        <v>58662</v>
      </c>
      <c r="AI734" s="232">
        <f>Table1[[#This Row],[UNIT (BUILDING) RATE (SEMI FINISHED)]]+7500</f>
        <v>61662</v>
      </c>
      <c r="AJ734" s="232">
        <f t="shared" si="118"/>
        <v>8395110</v>
      </c>
      <c r="AK734" s="232">
        <f>Table1[[#This Row],[UNIT (BUILDING) RATE (BASIC FINISH)]]*Table1[[#This Row],[Unit Selling Area]]</f>
        <v>9092610</v>
      </c>
      <c r="AL734" s="232">
        <f>Table1[[#This Row],[UNIT (BUILDING) RATE (FULLY FINISH)]]*Table1[[#This Row],[Unit Selling Area]]</f>
        <v>9557610</v>
      </c>
      <c r="AM734" s="232">
        <f t="shared" si="119"/>
        <v>0</v>
      </c>
      <c r="AN734" s="232">
        <f>(AM734+AJ734)*FACTS!$S$2</f>
        <v>713584.35000000009</v>
      </c>
      <c r="AO734" s="101">
        <f>VLOOKUP(S734,FACTS!$A$17:$C$23,3,FALSE)</f>
        <v>2</v>
      </c>
      <c r="AP734" s="232">
        <f>VLOOKUP(AA734,FACTS!$B$2:$J$14,9,FALSE)</f>
        <v>236000</v>
      </c>
      <c r="AQ734" s="232">
        <f>Table1[[#This Row],[PARKING VALUE]]*1</f>
        <v>236000</v>
      </c>
      <c r="AR734" s="232">
        <f t="shared" si="114"/>
        <v>8631110</v>
      </c>
      <c r="AS734" s="440">
        <f>Table1[[#This Row],[TOTAL CARS VALUE]]+Table1[[#This Row],[UNIT (BUILDING) VALUE BASIC FINISHED]]+Table1[[#This Row],[UNIT (GARDEN) VALUE]]</f>
        <v>9328610</v>
      </c>
      <c r="AT734" s="232">
        <f>Table1[[#This Row],[TOTAL CARS VALUE]]+Table1[[#This Row],[UNIT (GARDEN) VALUE]]+Table1[[#This Row],[UNIT (BUILDING) VALUE FULLY FINISHED]]</f>
        <v>9793610</v>
      </c>
      <c r="AU734" s="233">
        <f>VLOOKUP(I734,'C PHASES'!$I$108:$J$110,2,FALSE)</f>
        <v>46569</v>
      </c>
      <c r="AV734" s="233">
        <f>VLOOKUP(AA734,'C PHASES'!$I$113:$J$125,2,FALSE)</f>
        <v>45748</v>
      </c>
    </row>
    <row r="735" spans="1:48" x14ac:dyDescent="0.25">
      <c r="A735" s="235"/>
      <c r="B735" s="227" t="str">
        <f t="shared" si="112"/>
        <v>D</v>
      </c>
      <c r="C735" s="227" t="s">
        <v>63</v>
      </c>
      <c r="D735" s="227" t="s">
        <v>1147</v>
      </c>
      <c r="E735" s="228">
        <v>2</v>
      </c>
      <c r="F735" s="101">
        <v>3</v>
      </c>
      <c r="G735" s="87" t="str">
        <f t="shared" si="120"/>
        <v>D423</v>
      </c>
      <c r="H735" s="87" t="s">
        <v>1294</v>
      </c>
      <c r="I735" s="89" t="str">
        <f>VLOOKUP(C735,'PREMIUM TABLES'!$G$107:$H$149,2,FALSE)</f>
        <v>C3</v>
      </c>
      <c r="J735" s="87">
        <v>131.56</v>
      </c>
      <c r="K735" s="87">
        <v>143.02157686716882</v>
      </c>
      <c r="L735" s="87">
        <v>161</v>
      </c>
      <c r="O735" s="87" t="s">
        <v>187</v>
      </c>
      <c r="P735" s="87" t="s">
        <v>226</v>
      </c>
      <c r="Q735" s="229" t="s">
        <v>211</v>
      </c>
      <c r="R735" s="87" t="str">
        <f>VLOOKUP(E735,'PREMIUM TABLES'!$F$214:$G$219,2,FALSE)</f>
        <v>SECOND</v>
      </c>
      <c r="S735" s="87" t="str" cm="1">
        <f t="array" ref="S735">IF(AND(L735&gt;0,L735&lt;90),"A",IF(AND(L735&gt;90,L735&lt;123),"B",IF(AND(L735&gt;122,L735&lt;159),"C",IF(AND(L735&gt;159,L735&lt;185),"D",IF(AND(L735&gt;185,L735&lt;230),"E",IF(AND(L735&gt;230,L735&lt;350),"F",NONE))))))</f>
        <v>D</v>
      </c>
      <c r="T735" s="230">
        <f>VLOOKUP(O735,'PREMIUM TABLES'!$G$165:$H$172,2,FALSE)</f>
        <v>0.08</v>
      </c>
      <c r="U735" s="230">
        <f>VLOOKUP(P735,'PREMIUM TABLES'!$G$208:$H$209,2,FALSE)</f>
        <v>0.05</v>
      </c>
      <c r="V735" s="230">
        <f>VLOOKUP(Q735,'PREMIUM TABLES'!$G$175:$H$195,2,FALSE)</f>
        <v>0.43</v>
      </c>
      <c r="W735" s="230">
        <f>VLOOKUP(R735,'PREMIUM TABLES'!$G$214:$H$219,2,FALSE)</f>
        <v>0.11</v>
      </c>
      <c r="X735" s="230">
        <f>VLOOKUP(S735,'PREMIUM TABLES'!$F$199:$H$205,3,FALSE)</f>
        <v>2.5000000000000001E-2</v>
      </c>
      <c r="Y735" s="231">
        <f t="shared" si="115"/>
        <v>0.69500000000000006</v>
      </c>
      <c r="Z735" s="231" t="str" cm="1">
        <f t="array" ref="Z735">IF(AND(Y735&gt;0,Y735&lt;0.5),"C",IF(AND(Y735&gt;=0.5,Y735&lt;0.73),"B",IF(AND(Y735&gt;=0.73,Y735&lt;0.98),"A",NONE)))</f>
        <v>B</v>
      </c>
      <c r="AA735" s="231" t="str">
        <f>VLOOKUP(G735,'ALL (R)'!$N$5:$R$862,5,FALSE)</f>
        <v>R 8</v>
      </c>
      <c r="AB735" s="232">
        <f>VLOOKUP(AA735,FACTS!$B$2:$L$14,10,FALSE)</f>
        <v>51850</v>
      </c>
      <c r="AC735" s="232">
        <f>VLOOKUP(AA735,FACTS!$B$2:$L$14,11,FALSE)</f>
        <v>57950</v>
      </c>
      <c r="AD735" s="232">
        <f>VLOOKUP(AA735,FACTS!$B$2:$N$14,13,FALSE)</f>
        <v>6100</v>
      </c>
      <c r="AE735" s="232">
        <f t="shared" si="116"/>
        <v>4239.5</v>
      </c>
      <c r="AF735" s="232">
        <f t="shared" si="117"/>
        <v>56089.5</v>
      </c>
      <c r="AG735" s="232">
        <f>AF735*FACTS!$T$2</f>
        <v>18509.535</v>
      </c>
      <c r="AH735" s="232">
        <f>Table1[[#This Row],[UNIT (BUILDING) RATE (SEMI FINISHED)]]+4500</f>
        <v>60589.5</v>
      </c>
      <c r="AI735" s="232">
        <f>Table1[[#This Row],[UNIT (BUILDING) RATE (SEMI FINISHED)]]+7500</f>
        <v>63589.5</v>
      </c>
      <c r="AJ735" s="232">
        <f t="shared" si="118"/>
        <v>9030409.5</v>
      </c>
      <c r="AK735" s="232">
        <f>Table1[[#This Row],[UNIT (BUILDING) RATE (BASIC FINISH)]]*Table1[[#This Row],[Unit Selling Area]]</f>
        <v>9754909.5</v>
      </c>
      <c r="AL735" s="232">
        <f>Table1[[#This Row],[UNIT (BUILDING) RATE (FULLY FINISH)]]*Table1[[#This Row],[Unit Selling Area]]</f>
        <v>10237909.5</v>
      </c>
      <c r="AM735" s="232">
        <f t="shared" si="119"/>
        <v>0</v>
      </c>
      <c r="AN735" s="232">
        <f>(AM735+AJ735)*FACTS!$S$2</f>
        <v>767584.80750000011</v>
      </c>
      <c r="AO735" s="101">
        <f>VLOOKUP(S735,FACTS!$A$17:$C$23,3,FALSE)</f>
        <v>2</v>
      </c>
      <c r="AP735" s="232">
        <f>VLOOKUP(AA735,FACTS!$B$2:$J$14,9,FALSE)</f>
        <v>244000</v>
      </c>
      <c r="AQ735" s="232">
        <f>Table1[[#This Row],[PARKING VALUE]]*1</f>
        <v>244000</v>
      </c>
      <c r="AR735" s="232">
        <f t="shared" si="114"/>
        <v>9274409.5</v>
      </c>
      <c r="AS735" s="440">
        <f>Table1[[#This Row],[TOTAL CARS VALUE]]+Table1[[#This Row],[UNIT (BUILDING) VALUE BASIC FINISHED]]+Table1[[#This Row],[UNIT (GARDEN) VALUE]]</f>
        <v>9998909.5</v>
      </c>
      <c r="AT735" s="232">
        <f>Table1[[#This Row],[TOTAL CARS VALUE]]+Table1[[#This Row],[UNIT (GARDEN) VALUE]]+Table1[[#This Row],[UNIT (BUILDING) VALUE FULLY FINISHED]]</f>
        <v>10481909.5</v>
      </c>
      <c r="AU735" s="233">
        <f>VLOOKUP(I735,'C PHASES'!$I$108:$J$110,2,FALSE)</f>
        <v>46569</v>
      </c>
      <c r="AV735" s="233">
        <f>VLOOKUP(AA735,'C PHASES'!$I$113:$J$125,2,FALSE)</f>
        <v>45839</v>
      </c>
    </row>
    <row r="736" spans="1:48" x14ac:dyDescent="0.25">
      <c r="A736" s="235"/>
      <c r="B736" s="227" t="str">
        <f t="shared" si="112"/>
        <v>D</v>
      </c>
      <c r="C736" s="227" t="s">
        <v>63</v>
      </c>
      <c r="D736" s="227" t="s">
        <v>1147</v>
      </c>
      <c r="E736" s="228">
        <v>2</v>
      </c>
      <c r="F736" s="101">
        <v>4</v>
      </c>
      <c r="G736" s="87" t="str">
        <f t="shared" si="120"/>
        <v>D424</v>
      </c>
      <c r="H736" s="87" t="s">
        <v>1294</v>
      </c>
      <c r="I736" s="89" t="str">
        <f>VLOOKUP(C736,'PREMIUM TABLES'!$G$107:$H$149,2,FALSE)</f>
        <v>C3</v>
      </c>
      <c r="J736" s="87">
        <v>131.56</v>
      </c>
      <c r="K736" s="87">
        <v>143.02157686716882</v>
      </c>
      <c r="L736" s="87">
        <v>161</v>
      </c>
      <c r="O736" s="87" t="s">
        <v>180</v>
      </c>
      <c r="P736" s="87" t="s">
        <v>226</v>
      </c>
      <c r="Q736" s="229" t="s">
        <v>193</v>
      </c>
      <c r="R736" s="87" t="str">
        <f>VLOOKUP(E736,'PREMIUM TABLES'!$F$214:$G$219,2,FALSE)</f>
        <v>SECOND</v>
      </c>
      <c r="S736" s="87" t="str" cm="1">
        <f t="array" ref="S736">IF(AND(L736&gt;0,L736&lt;90),"A",IF(AND(L736&gt;90,L736&lt;123),"B",IF(AND(L736&gt;122,L736&lt;159),"C",IF(AND(L736&gt;159,L736&lt;185),"D",IF(AND(L736&gt;185,L736&lt;230),"E",IF(AND(L736&gt;230,L736&lt;350),"F",NONE))))))</f>
        <v>D</v>
      </c>
      <c r="T736" s="230">
        <f>VLOOKUP(O736,'PREMIUM TABLES'!$G$165:$H$172,2,FALSE)</f>
        <v>0.13</v>
      </c>
      <c r="U736" s="230">
        <f>VLOOKUP(P736,'PREMIUM TABLES'!$G$208:$H$209,2,FALSE)</f>
        <v>0.05</v>
      </c>
      <c r="V736" s="230">
        <f>VLOOKUP(Q736,'PREMIUM TABLES'!$G$175:$H$195,2,FALSE)</f>
        <v>0.3</v>
      </c>
      <c r="W736" s="230">
        <f>VLOOKUP(R736,'PREMIUM TABLES'!$G$214:$H$219,2,FALSE)</f>
        <v>0.11</v>
      </c>
      <c r="X736" s="230">
        <f>VLOOKUP(S736,'PREMIUM TABLES'!$F$199:$H$205,3,FALSE)</f>
        <v>2.5000000000000001E-2</v>
      </c>
      <c r="Y736" s="231">
        <f t="shared" si="115"/>
        <v>0.61499999999999999</v>
      </c>
      <c r="Z736" s="231" t="str" cm="1">
        <f t="array" ref="Z736">IF(AND(Y736&gt;0,Y736&lt;0.5),"C",IF(AND(Y736&gt;=0.5,Y736&lt;0.73),"B",IF(AND(Y736&gt;=0.73,Y736&lt;0.98),"A",NONE)))</f>
        <v>B</v>
      </c>
      <c r="AA736" s="231" t="str">
        <f>VLOOKUP(G736,'ALL (R)'!$N$5:$R$862,5,FALSE)</f>
        <v>R 2</v>
      </c>
      <c r="AB736" s="232">
        <f>VLOOKUP(AA736,FACTS!$B$2:$L$14,10,FALSE)</f>
        <v>43562.499999999993</v>
      </c>
      <c r="AC736" s="232">
        <f>VLOOKUP(AA736,FACTS!$B$2:$L$14,11,FALSE)</f>
        <v>48687.499999999993</v>
      </c>
      <c r="AD736" s="232">
        <f>VLOOKUP(AA736,FACTS!$B$2:$N$14,13,FALSE)</f>
        <v>5125</v>
      </c>
      <c r="AE736" s="232">
        <f t="shared" si="116"/>
        <v>3151.875</v>
      </c>
      <c r="AF736" s="232">
        <f t="shared" si="117"/>
        <v>46714.374999999993</v>
      </c>
      <c r="AG736" s="232">
        <f>AF736*FACTS!$T$2</f>
        <v>15415.743749999998</v>
      </c>
      <c r="AH736" s="232">
        <f>Table1[[#This Row],[UNIT (BUILDING) RATE (SEMI FINISHED)]]+4500</f>
        <v>51214.374999999993</v>
      </c>
      <c r="AI736" s="232">
        <f>Table1[[#This Row],[UNIT (BUILDING) RATE (SEMI FINISHED)]]+7500</f>
        <v>54214.374999999993</v>
      </c>
      <c r="AJ736" s="232">
        <f t="shared" si="118"/>
        <v>7521014.3749999991</v>
      </c>
      <c r="AK736" s="232">
        <f>Table1[[#This Row],[UNIT (BUILDING) RATE (BASIC FINISH)]]*Table1[[#This Row],[Unit Selling Area]]</f>
        <v>8245514.3749999991</v>
      </c>
      <c r="AL736" s="232">
        <f>Table1[[#This Row],[UNIT (BUILDING) RATE (FULLY FINISH)]]*Table1[[#This Row],[Unit Selling Area]]</f>
        <v>8728514.3749999981</v>
      </c>
      <c r="AM736" s="232">
        <f t="shared" si="119"/>
        <v>0</v>
      </c>
      <c r="AN736" s="232">
        <f>(AM736+AJ736)*FACTS!$S$2</f>
        <v>639286.22187499993</v>
      </c>
      <c r="AO736" s="101">
        <f>VLOOKUP(S736,FACTS!$A$17:$C$23,3,FALSE)</f>
        <v>2</v>
      </c>
      <c r="AP736" s="232">
        <f>VLOOKUP(AA736,FACTS!$B$2:$J$14,9,FALSE)</f>
        <v>204999.99999999997</v>
      </c>
      <c r="AQ736" s="232">
        <f>Table1[[#This Row],[PARKING VALUE]]*1</f>
        <v>204999.99999999997</v>
      </c>
      <c r="AR736" s="232">
        <f t="shared" si="114"/>
        <v>7726014.3749999991</v>
      </c>
      <c r="AS736" s="440">
        <f>Table1[[#This Row],[TOTAL CARS VALUE]]+Table1[[#This Row],[UNIT (BUILDING) VALUE BASIC FINISHED]]+Table1[[#This Row],[UNIT (GARDEN) VALUE]]</f>
        <v>8450514.3749999981</v>
      </c>
      <c r="AT736" s="232">
        <f>Table1[[#This Row],[TOTAL CARS VALUE]]+Table1[[#This Row],[UNIT (GARDEN) VALUE]]+Table1[[#This Row],[UNIT (BUILDING) VALUE FULLY FINISHED]]</f>
        <v>8933514.3749999981</v>
      </c>
      <c r="AU736" s="233">
        <f>VLOOKUP(I736,'C PHASES'!$I$108:$J$110,2,FALSE)</f>
        <v>46569</v>
      </c>
      <c r="AV736" s="233">
        <f>VLOOKUP(AA736,'C PHASES'!$I$113:$J$125,2,FALSE)</f>
        <v>45292</v>
      </c>
    </row>
    <row r="737" spans="1:48" x14ac:dyDescent="0.25">
      <c r="A737" s="235"/>
      <c r="B737" s="227" t="str">
        <f t="shared" si="112"/>
        <v>D</v>
      </c>
      <c r="C737" s="227" t="s">
        <v>63</v>
      </c>
      <c r="D737" s="227" t="s">
        <v>1147</v>
      </c>
      <c r="E737" s="228">
        <v>3</v>
      </c>
      <c r="F737" s="101">
        <v>1</v>
      </c>
      <c r="G737" s="87" t="str">
        <f t="shared" si="120"/>
        <v>D431</v>
      </c>
      <c r="H737" s="87" t="s">
        <v>1294</v>
      </c>
      <c r="I737" s="89" t="str">
        <f>VLOOKUP(C737,'PREMIUM TABLES'!$G$107:$H$149,2,FALSE)</f>
        <v>C3</v>
      </c>
      <c r="J737" s="87">
        <v>127.45</v>
      </c>
      <c r="K737" s="87">
        <v>138.55351149073172</v>
      </c>
      <c r="L737" s="87">
        <v>155</v>
      </c>
      <c r="O737" s="87" t="s">
        <v>180</v>
      </c>
      <c r="P737" s="87" t="s">
        <v>190</v>
      </c>
      <c r="Q737" s="229" t="s">
        <v>198</v>
      </c>
      <c r="R737" s="87" t="str">
        <f>VLOOKUP(E737,'PREMIUM TABLES'!$F$214:$G$219,2,FALSE)</f>
        <v>THIRD</v>
      </c>
      <c r="S737" s="87" t="str" cm="1">
        <f t="array" ref="S737">IF(AND(L737&gt;0,L737&lt;90),"A",IF(AND(L737&gt;90,L737&lt;123),"B",IF(AND(L737&gt;122,L737&lt;159),"C",IF(AND(L737&gt;159,L737&lt;185),"D",IF(AND(L737&gt;185,L737&lt;230),"E",IF(AND(L737&gt;230,L737&lt;350),"F",NONE))))))</f>
        <v>C</v>
      </c>
      <c r="T737" s="230">
        <f>VLOOKUP(O737,'PREMIUM TABLES'!$G$165:$H$172,2,FALSE)</f>
        <v>0.13</v>
      </c>
      <c r="U737" s="230">
        <f>VLOOKUP(P737,'PREMIUM TABLES'!$G$208:$H$209,2,FALSE)</f>
        <v>2.5000000000000001E-2</v>
      </c>
      <c r="V737" s="230">
        <f>VLOOKUP(Q737,'PREMIUM TABLES'!$G$175:$H$195,2,FALSE)</f>
        <v>0.15</v>
      </c>
      <c r="W737" s="230">
        <f>VLOOKUP(R737,'PREMIUM TABLES'!$G$214:$H$219,2,FALSE)</f>
        <v>0.15</v>
      </c>
      <c r="X737" s="230">
        <f>VLOOKUP(S737,'PREMIUM TABLES'!$F$199:$H$205,3,FALSE)</f>
        <v>3.5000000000000003E-2</v>
      </c>
      <c r="Y737" s="231">
        <f t="shared" si="115"/>
        <v>0.49</v>
      </c>
      <c r="Z737" s="231" t="str" cm="1">
        <f t="array" ref="Z737">IF(AND(Y737&gt;0,Y737&lt;0.5),"C",IF(AND(Y737&gt;=0.5,Y737&lt;0.73),"B",IF(AND(Y737&gt;=0.73,Y737&lt;0.98),"A",NONE)))</f>
        <v>C</v>
      </c>
      <c r="AA737" s="231" t="str">
        <f>VLOOKUP(G737,'ALL (R)'!$N$5:$R$862,5,FALSE)</f>
        <v>R 12</v>
      </c>
      <c r="AB737" s="232">
        <f>VLOOKUP(AA737,FACTS!$B$2:$L$14,10,FALSE)</f>
        <v>61625</v>
      </c>
      <c r="AC737" s="232">
        <f>VLOOKUP(AA737,FACTS!$B$2:$L$14,11,FALSE)</f>
        <v>68875</v>
      </c>
      <c r="AD737" s="232">
        <f>VLOOKUP(AA737,FACTS!$B$2:$N$14,13,FALSE)</f>
        <v>7250</v>
      </c>
      <c r="AE737" s="232">
        <f t="shared" si="116"/>
        <v>3552.5</v>
      </c>
      <c r="AF737" s="232">
        <f t="shared" si="117"/>
        <v>65177.5</v>
      </c>
      <c r="AG737" s="232">
        <f>AF737*FACTS!$T$2</f>
        <v>21508.575000000001</v>
      </c>
      <c r="AH737" s="232">
        <f>Table1[[#This Row],[UNIT (BUILDING) RATE (SEMI FINISHED)]]+4500</f>
        <v>69677.5</v>
      </c>
      <c r="AI737" s="232">
        <f>Table1[[#This Row],[UNIT (BUILDING) RATE (SEMI FINISHED)]]+7500</f>
        <v>72677.5</v>
      </c>
      <c r="AJ737" s="232">
        <f t="shared" si="118"/>
        <v>10102512.5</v>
      </c>
      <c r="AK737" s="232">
        <f>Table1[[#This Row],[UNIT (BUILDING) RATE (BASIC FINISH)]]*Table1[[#This Row],[Unit Selling Area]]</f>
        <v>10800012.5</v>
      </c>
      <c r="AL737" s="232">
        <f>Table1[[#This Row],[UNIT (BUILDING) RATE (FULLY FINISH)]]*Table1[[#This Row],[Unit Selling Area]]</f>
        <v>11265012.5</v>
      </c>
      <c r="AM737" s="232">
        <f t="shared" si="119"/>
        <v>0</v>
      </c>
      <c r="AN737" s="232">
        <f>(AM737+AJ737)*FACTS!$S$2</f>
        <v>858713.56250000012</v>
      </c>
      <c r="AO737" s="101">
        <f>VLOOKUP(S737,FACTS!$A$17:$C$23,3,FALSE)</f>
        <v>2</v>
      </c>
      <c r="AP737" s="232">
        <f>VLOOKUP(AA737,FACTS!$B$2:$J$14,9,FALSE)</f>
        <v>290000</v>
      </c>
      <c r="AQ737" s="232">
        <f>Table1[[#This Row],[PARKING VALUE]]*1</f>
        <v>290000</v>
      </c>
      <c r="AR737" s="232">
        <f t="shared" si="114"/>
        <v>10392512.5</v>
      </c>
      <c r="AS737" s="440">
        <f>Table1[[#This Row],[TOTAL CARS VALUE]]+Table1[[#This Row],[UNIT (BUILDING) VALUE BASIC FINISHED]]+Table1[[#This Row],[UNIT (GARDEN) VALUE]]</f>
        <v>11090012.5</v>
      </c>
      <c r="AT737" s="232">
        <f>Table1[[#This Row],[TOTAL CARS VALUE]]+Table1[[#This Row],[UNIT (GARDEN) VALUE]]+Table1[[#This Row],[UNIT (BUILDING) VALUE FULLY FINISHED]]</f>
        <v>11555012.5</v>
      </c>
      <c r="AU737" s="233">
        <f>VLOOKUP(I737,'C PHASES'!$I$108:$J$110,2,FALSE)</f>
        <v>46569</v>
      </c>
      <c r="AV737" s="233">
        <f>VLOOKUP(AA737,'C PHASES'!$I$113:$J$125,2,FALSE)</f>
        <v>46204</v>
      </c>
    </row>
    <row r="738" spans="1:48" x14ac:dyDescent="0.25">
      <c r="A738" s="235"/>
      <c r="B738" s="227" t="str">
        <f t="shared" si="112"/>
        <v>D</v>
      </c>
      <c r="C738" s="227" t="s">
        <v>63</v>
      </c>
      <c r="D738" s="227" t="s">
        <v>1147</v>
      </c>
      <c r="E738" s="228">
        <v>3</v>
      </c>
      <c r="F738" s="101">
        <v>2</v>
      </c>
      <c r="G738" s="87" t="str">
        <f t="shared" si="120"/>
        <v>D432</v>
      </c>
      <c r="H738" s="87" t="s">
        <v>1294</v>
      </c>
      <c r="I738" s="89" t="str">
        <f>VLOOKUP(C738,'PREMIUM TABLES'!$G$107:$H$149,2,FALSE)</f>
        <v>C3</v>
      </c>
      <c r="J738" s="87">
        <v>126.88</v>
      </c>
      <c r="K738" s="87">
        <v>137.93385278889008</v>
      </c>
      <c r="L738" s="87">
        <v>155</v>
      </c>
      <c r="O738" s="87" t="s">
        <v>187</v>
      </c>
      <c r="P738" s="87" t="s">
        <v>190</v>
      </c>
      <c r="Q738" s="229" t="s">
        <v>211</v>
      </c>
      <c r="R738" s="87" t="str">
        <f>VLOOKUP(E738,'PREMIUM TABLES'!$F$214:$G$219,2,FALSE)</f>
        <v>THIRD</v>
      </c>
      <c r="S738" s="87" t="str" cm="1">
        <f t="array" ref="S738">IF(AND(L738&gt;0,L738&lt;90),"A",IF(AND(L738&gt;90,L738&lt;123),"B",IF(AND(L738&gt;122,L738&lt;159),"C",IF(AND(L738&gt;159,L738&lt;185),"D",IF(AND(L738&gt;185,L738&lt;230),"E",IF(AND(L738&gt;230,L738&lt;350),"F",NONE))))))</f>
        <v>C</v>
      </c>
      <c r="T738" s="230">
        <f>VLOOKUP(O738,'PREMIUM TABLES'!$G$165:$H$172,2,FALSE)</f>
        <v>0.08</v>
      </c>
      <c r="U738" s="230">
        <f>VLOOKUP(P738,'PREMIUM TABLES'!$G$208:$H$209,2,FALSE)</f>
        <v>2.5000000000000001E-2</v>
      </c>
      <c r="V738" s="230">
        <f>VLOOKUP(Q738,'PREMIUM TABLES'!$G$175:$H$195,2,FALSE)</f>
        <v>0.43</v>
      </c>
      <c r="W738" s="230">
        <f>VLOOKUP(R738,'PREMIUM TABLES'!$G$214:$H$219,2,FALSE)</f>
        <v>0.15</v>
      </c>
      <c r="X738" s="230">
        <f>VLOOKUP(S738,'PREMIUM TABLES'!$F$199:$H$205,3,FALSE)</f>
        <v>3.5000000000000003E-2</v>
      </c>
      <c r="Y738" s="231">
        <f t="shared" si="115"/>
        <v>0.72000000000000008</v>
      </c>
      <c r="Z738" s="231" t="str" cm="1">
        <f t="array" ref="Z738">IF(AND(Y738&gt;0,Y738&lt;0.5),"C",IF(AND(Y738&gt;=0.5,Y738&lt;0.73),"B",IF(AND(Y738&gt;=0.73,Y738&lt;0.98),"A",NONE)))</f>
        <v>B</v>
      </c>
      <c r="AA738" s="231" t="str">
        <f>VLOOKUP(G738,'ALL (R)'!$N$5:$R$862,5,FALSE)</f>
        <v>R 12</v>
      </c>
      <c r="AB738" s="232">
        <f>VLOOKUP(AA738,FACTS!$B$2:$L$14,10,FALSE)</f>
        <v>61625</v>
      </c>
      <c r="AC738" s="232">
        <f>VLOOKUP(AA738,FACTS!$B$2:$L$14,11,FALSE)</f>
        <v>68875</v>
      </c>
      <c r="AD738" s="232">
        <f>VLOOKUP(AA738,FACTS!$B$2:$N$14,13,FALSE)</f>
        <v>7250</v>
      </c>
      <c r="AE738" s="232">
        <f t="shared" si="116"/>
        <v>5220.0000000000009</v>
      </c>
      <c r="AF738" s="232">
        <f t="shared" si="117"/>
        <v>66845</v>
      </c>
      <c r="AG738" s="232">
        <f>AF738*FACTS!$T$2</f>
        <v>22058.850000000002</v>
      </c>
      <c r="AH738" s="232">
        <f>Table1[[#This Row],[UNIT (BUILDING) RATE (SEMI FINISHED)]]+4500</f>
        <v>71345</v>
      </c>
      <c r="AI738" s="232">
        <f>Table1[[#This Row],[UNIT (BUILDING) RATE (SEMI FINISHED)]]+7500</f>
        <v>74345</v>
      </c>
      <c r="AJ738" s="232">
        <f t="shared" si="118"/>
        <v>10360975</v>
      </c>
      <c r="AK738" s="232">
        <f>Table1[[#This Row],[UNIT (BUILDING) RATE (BASIC FINISH)]]*Table1[[#This Row],[Unit Selling Area]]</f>
        <v>11058475</v>
      </c>
      <c r="AL738" s="232">
        <f>Table1[[#This Row],[UNIT (BUILDING) RATE (FULLY FINISH)]]*Table1[[#This Row],[Unit Selling Area]]</f>
        <v>11523475</v>
      </c>
      <c r="AM738" s="232">
        <f t="shared" si="119"/>
        <v>0</v>
      </c>
      <c r="AN738" s="232">
        <f>(AM738+AJ738)*FACTS!$S$2</f>
        <v>880682.87500000012</v>
      </c>
      <c r="AO738" s="101">
        <f>VLOOKUP(S738,FACTS!$A$17:$C$23,3,FALSE)</f>
        <v>2</v>
      </c>
      <c r="AP738" s="232">
        <f>VLOOKUP(AA738,FACTS!$B$2:$J$14,9,FALSE)</f>
        <v>290000</v>
      </c>
      <c r="AQ738" s="232">
        <f>Table1[[#This Row],[PARKING VALUE]]*1</f>
        <v>290000</v>
      </c>
      <c r="AR738" s="232">
        <f t="shared" si="114"/>
        <v>10650975</v>
      </c>
      <c r="AS738" s="440">
        <f>Table1[[#This Row],[TOTAL CARS VALUE]]+Table1[[#This Row],[UNIT (BUILDING) VALUE BASIC FINISHED]]+Table1[[#This Row],[UNIT (GARDEN) VALUE]]</f>
        <v>11348475</v>
      </c>
      <c r="AT738" s="232">
        <f>Table1[[#This Row],[TOTAL CARS VALUE]]+Table1[[#This Row],[UNIT (GARDEN) VALUE]]+Table1[[#This Row],[UNIT (BUILDING) VALUE FULLY FINISHED]]</f>
        <v>11813475</v>
      </c>
      <c r="AU738" s="233">
        <f>VLOOKUP(I738,'C PHASES'!$I$108:$J$110,2,FALSE)</f>
        <v>46569</v>
      </c>
      <c r="AV738" s="233">
        <f>VLOOKUP(AA738,'C PHASES'!$I$113:$J$125,2,FALSE)</f>
        <v>46204</v>
      </c>
    </row>
    <row r="739" spans="1:48" x14ac:dyDescent="0.25">
      <c r="A739" s="235"/>
      <c r="B739" s="227" t="str">
        <f t="shared" si="112"/>
        <v>D</v>
      </c>
      <c r="C739" s="227" t="s">
        <v>63</v>
      </c>
      <c r="D739" s="227" t="s">
        <v>1147</v>
      </c>
      <c r="E739" s="228">
        <v>3</v>
      </c>
      <c r="F739" s="101">
        <v>3</v>
      </c>
      <c r="G739" s="87" t="str">
        <f t="shared" si="120"/>
        <v>D433</v>
      </c>
      <c r="H739" s="87" t="s">
        <v>1294</v>
      </c>
      <c r="I739" s="89" t="str">
        <f>VLOOKUP(C739,'PREMIUM TABLES'!$G$107:$H$149,2,FALSE)</f>
        <v>C3</v>
      </c>
      <c r="J739" s="87">
        <v>131.66</v>
      </c>
      <c r="K739" s="87">
        <v>143.13028892012346</v>
      </c>
      <c r="L739" s="87">
        <v>161</v>
      </c>
      <c r="O739" s="87" t="s">
        <v>187</v>
      </c>
      <c r="P739" s="87" t="s">
        <v>226</v>
      </c>
      <c r="Q739" s="229" t="s">
        <v>211</v>
      </c>
      <c r="R739" s="87" t="str">
        <f>VLOOKUP(E739,'PREMIUM TABLES'!$F$214:$G$219,2,FALSE)</f>
        <v>THIRD</v>
      </c>
      <c r="S739" s="87" t="str" cm="1">
        <f t="array" ref="S739">IF(AND(L739&gt;0,L739&lt;90),"A",IF(AND(L739&gt;90,L739&lt;123),"B",IF(AND(L739&gt;122,L739&lt;159),"C",IF(AND(L739&gt;159,L739&lt;185),"D",IF(AND(L739&gt;185,L739&lt;230),"E",IF(AND(L739&gt;230,L739&lt;350),"F",NONE))))))</f>
        <v>D</v>
      </c>
      <c r="T739" s="230">
        <f>VLOOKUP(O739,'PREMIUM TABLES'!$G$165:$H$172,2,FALSE)</f>
        <v>0.08</v>
      </c>
      <c r="U739" s="230">
        <f>VLOOKUP(P739,'PREMIUM TABLES'!$G$208:$H$209,2,FALSE)</f>
        <v>0.05</v>
      </c>
      <c r="V739" s="230">
        <f>VLOOKUP(Q739,'PREMIUM TABLES'!$G$175:$H$195,2,FALSE)</f>
        <v>0.43</v>
      </c>
      <c r="W739" s="230">
        <f>VLOOKUP(R739,'PREMIUM TABLES'!$G$214:$H$219,2,FALSE)</f>
        <v>0.15</v>
      </c>
      <c r="X739" s="230">
        <f>VLOOKUP(S739,'PREMIUM TABLES'!$F$199:$H$205,3,FALSE)</f>
        <v>2.5000000000000001E-2</v>
      </c>
      <c r="Y739" s="231">
        <f t="shared" si="115"/>
        <v>0.7350000000000001</v>
      </c>
      <c r="Z739" s="231" t="str" cm="1">
        <f t="array" ref="Z739">IF(AND(Y739&gt;0,Y739&lt;0.5),"C",IF(AND(Y739&gt;=0.5,Y739&lt;0.73),"B",IF(AND(Y739&gt;=0.73,Y739&lt;0.98),"A",NONE)))</f>
        <v>A</v>
      </c>
      <c r="AA739" s="231" t="str">
        <f>VLOOKUP(G739,'ALL (R)'!$N$5:$R$862,5,FALSE)</f>
        <v>R 1</v>
      </c>
      <c r="AB739" s="232">
        <f>VLOOKUP(AA739,FACTS!$B$2:$L$14,10,FALSE)</f>
        <v>42500</v>
      </c>
      <c r="AC739" s="232">
        <f>VLOOKUP(AA739,FACTS!$B$2:$L$14,11,FALSE)</f>
        <v>47500</v>
      </c>
      <c r="AD739" s="232">
        <f>VLOOKUP(AA739,FACTS!$B$2:$N$14,13,FALSE)</f>
        <v>5000</v>
      </c>
      <c r="AE739" s="232">
        <f t="shared" si="116"/>
        <v>3675.0000000000005</v>
      </c>
      <c r="AF739" s="232">
        <f t="shared" si="117"/>
        <v>46175</v>
      </c>
      <c r="AG739" s="232">
        <f>AF739*FACTS!$T$2</f>
        <v>15237.75</v>
      </c>
      <c r="AH739" s="232">
        <f>Table1[[#This Row],[UNIT (BUILDING) RATE (SEMI FINISHED)]]+4500</f>
        <v>50675</v>
      </c>
      <c r="AI739" s="232">
        <f>Table1[[#This Row],[UNIT (BUILDING) RATE (SEMI FINISHED)]]+7500</f>
        <v>53675</v>
      </c>
      <c r="AJ739" s="232">
        <f t="shared" si="118"/>
        <v>7434175</v>
      </c>
      <c r="AK739" s="232">
        <f>Table1[[#This Row],[UNIT (BUILDING) RATE (BASIC FINISH)]]*Table1[[#This Row],[Unit Selling Area]]</f>
        <v>8158675</v>
      </c>
      <c r="AL739" s="232">
        <f>Table1[[#This Row],[UNIT (BUILDING) RATE (FULLY FINISH)]]*Table1[[#This Row],[Unit Selling Area]]</f>
        <v>8641675</v>
      </c>
      <c r="AM739" s="232">
        <f t="shared" si="119"/>
        <v>0</v>
      </c>
      <c r="AN739" s="232">
        <f>(AM739+AJ739)*FACTS!$S$2</f>
        <v>631904.875</v>
      </c>
      <c r="AO739" s="101">
        <f>VLOOKUP(S739,FACTS!$A$17:$C$23,3,FALSE)</f>
        <v>2</v>
      </c>
      <c r="AP739" s="232">
        <f>VLOOKUP(AA739,FACTS!$B$2:$J$14,9,FALSE)</f>
        <v>200000</v>
      </c>
      <c r="AQ739" s="232">
        <f>Table1[[#This Row],[PARKING VALUE]]*1</f>
        <v>200000</v>
      </c>
      <c r="AR739" s="232">
        <f t="shared" si="114"/>
        <v>7634175</v>
      </c>
      <c r="AS739" s="440">
        <f>Table1[[#This Row],[TOTAL CARS VALUE]]+Table1[[#This Row],[UNIT (BUILDING) VALUE BASIC FINISHED]]+Table1[[#This Row],[UNIT (GARDEN) VALUE]]</f>
        <v>8358675</v>
      </c>
      <c r="AT739" s="232">
        <f>Table1[[#This Row],[TOTAL CARS VALUE]]+Table1[[#This Row],[UNIT (GARDEN) VALUE]]+Table1[[#This Row],[UNIT (BUILDING) VALUE FULLY FINISHED]]</f>
        <v>8841675</v>
      </c>
      <c r="AU739" s="233">
        <f>VLOOKUP(I739,'C PHASES'!$I$108:$J$110,2,FALSE)</f>
        <v>46569</v>
      </c>
      <c r="AV739" s="233">
        <f>VLOOKUP(AA739,'C PHASES'!$I$113:$J$125,2,FALSE)</f>
        <v>45170</v>
      </c>
    </row>
    <row r="740" spans="1:48" x14ac:dyDescent="0.25">
      <c r="A740" s="235"/>
      <c r="B740" s="227" t="str">
        <f t="shared" si="112"/>
        <v>D</v>
      </c>
      <c r="C740" s="227" t="s">
        <v>63</v>
      </c>
      <c r="D740" s="227" t="s">
        <v>1147</v>
      </c>
      <c r="E740" s="228">
        <v>3</v>
      </c>
      <c r="F740" s="101">
        <v>4</v>
      </c>
      <c r="G740" s="87" t="str">
        <f t="shared" si="120"/>
        <v>D434</v>
      </c>
      <c r="H740" s="87" t="s">
        <v>1294</v>
      </c>
      <c r="I740" s="89" t="str">
        <f>VLOOKUP(C740,'PREMIUM TABLES'!$G$107:$H$149,2,FALSE)</f>
        <v>C3</v>
      </c>
      <c r="J740" s="87">
        <v>131.86000000000001</v>
      </c>
      <c r="K740" s="87">
        <v>143.34771302603284</v>
      </c>
      <c r="L740" s="87">
        <v>161</v>
      </c>
      <c r="O740" s="87" t="s">
        <v>180</v>
      </c>
      <c r="P740" s="87" t="s">
        <v>226</v>
      </c>
      <c r="Q740" s="229" t="s">
        <v>193</v>
      </c>
      <c r="R740" s="87" t="str">
        <f>VLOOKUP(E740,'PREMIUM TABLES'!$F$214:$G$219,2,FALSE)</f>
        <v>THIRD</v>
      </c>
      <c r="S740" s="87" t="str" cm="1">
        <f t="array" ref="S740">IF(AND(L740&gt;0,L740&lt;90),"A",IF(AND(L740&gt;90,L740&lt;123),"B",IF(AND(L740&gt;122,L740&lt;159),"C",IF(AND(L740&gt;159,L740&lt;185),"D",IF(AND(L740&gt;185,L740&lt;230),"E",IF(AND(L740&gt;230,L740&lt;350),"F",NONE))))))</f>
        <v>D</v>
      </c>
      <c r="T740" s="230">
        <f>VLOOKUP(O740,'PREMIUM TABLES'!$G$165:$H$172,2,FALSE)</f>
        <v>0.13</v>
      </c>
      <c r="U740" s="230">
        <f>VLOOKUP(P740,'PREMIUM TABLES'!$G$208:$H$209,2,FALSE)</f>
        <v>0.05</v>
      </c>
      <c r="V740" s="230">
        <f>VLOOKUP(Q740,'PREMIUM TABLES'!$G$175:$H$195,2,FALSE)</f>
        <v>0.3</v>
      </c>
      <c r="W740" s="230">
        <f>VLOOKUP(R740,'PREMIUM TABLES'!$G$214:$H$219,2,FALSE)</f>
        <v>0.15</v>
      </c>
      <c r="X740" s="230">
        <f>VLOOKUP(S740,'PREMIUM TABLES'!$F$199:$H$205,3,FALSE)</f>
        <v>2.5000000000000001E-2</v>
      </c>
      <c r="Y740" s="231">
        <f t="shared" si="115"/>
        <v>0.65500000000000003</v>
      </c>
      <c r="Z740" s="231" t="str" cm="1">
        <f t="array" ref="Z740">IF(AND(Y740&gt;0,Y740&lt;0.5),"C",IF(AND(Y740&gt;=0.5,Y740&lt;0.73),"B",IF(AND(Y740&gt;=0.73,Y740&lt;0.98),"A",NONE)))</f>
        <v>B</v>
      </c>
      <c r="AA740" s="231" t="str">
        <f>VLOOKUP(G740,'ALL (R)'!$N$5:$R$862,5,FALSE)</f>
        <v>R 5</v>
      </c>
      <c r="AB740" s="232">
        <f>VLOOKUP(AA740,FACTS!$B$2:$L$14,10,FALSE)</f>
        <v>46750.000000000007</v>
      </c>
      <c r="AC740" s="232">
        <f>VLOOKUP(AA740,FACTS!$B$2:$L$14,11,FALSE)</f>
        <v>52250.000000000007</v>
      </c>
      <c r="AD740" s="232">
        <f>VLOOKUP(AA740,FACTS!$B$2:$N$14,13,FALSE)</f>
        <v>5500</v>
      </c>
      <c r="AE740" s="232">
        <f t="shared" si="116"/>
        <v>3602.5</v>
      </c>
      <c r="AF740" s="232">
        <f t="shared" si="117"/>
        <v>50352.500000000007</v>
      </c>
      <c r="AG740" s="232">
        <f>AF740*FACTS!$T$2</f>
        <v>16616.325000000004</v>
      </c>
      <c r="AH740" s="232">
        <f>Table1[[#This Row],[UNIT (BUILDING) RATE (SEMI FINISHED)]]+4500</f>
        <v>54852.500000000007</v>
      </c>
      <c r="AI740" s="232">
        <f>Table1[[#This Row],[UNIT (BUILDING) RATE (SEMI FINISHED)]]+7500</f>
        <v>57852.500000000007</v>
      </c>
      <c r="AJ740" s="232">
        <f t="shared" si="118"/>
        <v>8106752.5000000009</v>
      </c>
      <c r="AK740" s="232">
        <f>Table1[[#This Row],[UNIT (BUILDING) RATE (BASIC FINISH)]]*Table1[[#This Row],[Unit Selling Area]]</f>
        <v>8831252.5000000019</v>
      </c>
      <c r="AL740" s="232">
        <f>Table1[[#This Row],[UNIT (BUILDING) RATE (FULLY FINISH)]]*Table1[[#This Row],[Unit Selling Area]]</f>
        <v>9314252.5000000019</v>
      </c>
      <c r="AM740" s="232">
        <f t="shared" si="119"/>
        <v>0</v>
      </c>
      <c r="AN740" s="232">
        <f>(AM740+AJ740)*FACTS!$S$2</f>
        <v>689073.96250000014</v>
      </c>
      <c r="AO740" s="101">
        <f>VLOOKUP(S740,FACTS!$A$17:$C$23,3,FALSE)</f>
        <v>2</v>
      </c>
      <c r="AP740" s="232">
        <f>VLOOKUP(AA740,FACTS!$B$2:$J$14,9,FALSE)</f>
        <v>220000.00000000003</v>
      </c>
      <c r="AQ740" s="232">
        <f>Table1[[#This Row],[PARKING VALUE]]*1</f>
        <v>220000.00000000003</v>
      </c>
      <c r="AR740" s="232">
        <f t="shared" si="114"/>
        <v>8326752.5000000009</v>
      </c>
      <c r="AS740" s="440">
        <f>Table1[[#This Row],[TOTAL CARS VALUE]]+Table1[[#This Row],[UNIT (BUILDING) VALUE BASIC FINISHED]]+Table1[[#This Row],[UNIT (GARDEN) VALUE]]</f>
        <v>9051252.5000000019</v>
      </c>
      <c r="AT740" s="232">
        <f>Table1[[#This Row],[TOTAL CARS VALUE]]+Table1[[#This Row],[UNIT (GARDEN) VALUE]]+Table1[[#This Row],[UNIT (BUILDING) VALUE FULLY FINISHED]]</f>
        <v>9534252.5000000019</v>
      </c>
      <c r="AU740" s="233">
        <f>VLOOKUP(I740,'C PHASES'!$I$108:$J$110,2,FALSE)</f>
        <v>46569</v>
      </c>
      <c r="AV740" s="233">
        <f>VLOOKUP(AA740,'C PHASES'!$I$113:$J$125,2,FALSE)</f>
        <v>45566</v>
      </c>
    </row>
    <row r="741" spans="1:48" x14ac:dyDescent="0.25">
      <c r="A741" s="235"/>
      <c r="B741" s="227" t="str">
        <f t="shared" si="112"/>
        <v>D</v>
      </c>
      <c r="C741" s="227" t="s">
        <v>63</v>
      </c>
      <c r="D741" s="227" t="s">
        <v>1147</v>
      </c>
      <c r="E741" s="228">
        <v>4</v>
      </c>
      <c r="F741" s="101">
        <v>1</v>
      </c>
      <c r="G741" s="87" t="str">
        <f t="shared" si="120"/>
        <v>D441</v>
      </c>
      <c r="H741" s="87" t="s">
        <v>1294</v>
      </c>
      <c r="I741" s="89" t="str">
        <f>VLOOKUP(C741,'PREMIUM TABLES'!$G$107:$H$149,2,FALSE)</f>
        <v>C3</v>
      </c>
      <c r="J741" s="87">
        <v>125.09</v>
      </c>
      <c r="K741" s="87">
        <v>135.98790704100142</v>
      </c>
      <c r="L741" s="87">
        <v>153</v>
      </c>
      <c r="O741" s="87" t="s">
        <v>180</v>
      </c>
      <c r="P741" s="87" t="s">
        <v>190</v>
      </c>
      <c r="Q741" s="229" t="s">
        <v>198</v>
      </c>
      <c r="R741" s="87" t="str">
        <f>VLOOKUP(E741,'PREMIUM TABLES'!$F$214:$G$219,2,FALSE)</f>
        <v>FORTH</v>
      </c>
      <c r="S741" s="87" t="str" cm="1">
        <f t="array" ref="S741">IF(AND(L741&gt;0,L741&lt;90),"A",IF(AND(L741&gt;90,L741&lt;123),"B",IF(AND(L741&gt;122,L741&lt;159),"C",IF(AND(L741&gt;159,L741&lt;185),"D",IF(AND(L741&gt;185,L741&lt;230),"E",IF(AND(L741&gt;230,L741&lt;350),"F",NONE))))))</f>
        <v>C</v>
      </c>
      <c r="T741" s="230">
        <f>VLOOKUP(O741,'PREMIUM TABLES'!$G$165:$H$172,2,FALSE)</f>
        <v>0.13</v>
      </c>
      <c r="U741" s="230">
        <f>VLOOKUP(P741,'PREMIUM TABLES'!$G$208:$H$209,2,FALSE)</f>
        <v>2.5000000000000001E-2</v>
      </c>
      <c r="V741" s="230">
        <f>VLOOKUP(Q741,'PREMIUM TABLES'!$G$175:$H$195,2,FALSE)</f>
        <v>0.15</v>
      </c>
      <c r="W741" s="230">
        <f>VLOOKUP(R741,'PREMIUM TABLES'!$G$214:$H$219,2,FALSE)</f>
        <v>0.06</v>
      </c>
      <c r="X741" s="230">
        <f>VLOOKUP(S741,'PREMIUM TABLES'!$F$199:$H$205,3,FALSE)</f>
        <v>3.5000000000000003E-2</v>
      </c>
      <c r="Y741" s="231">
        <f t="shared" si="115"/>
        <v>0.4</v>
      </c>
      <c r="Z741" s="231" t="str" cm="1">
        <f t="array" ref="Z741">IF(AND(Y741&gt;0,Y741&lt;0.5),"C",IF(AND(Y741&gt;=0.5,Y741&lt;0.73),"B",IF(AND(Y741&gt;=0.73,Y741&lt;0.98),"A",NONE)))</f>
        <v>C</v>
      </c>
      <c r="AA741" s="231" t="str">
        <f>VLOOKUP(G741,'ALL (R)'!$N$5:$R$862,5,FALSE)</f>
        <v>R 5</v>
      </c>
      <c r="AB741" s="232">
        <f>VLOOKUP(AA741,FACTS!$B$2:$L$14,10,FALSE)</f>
        <v>46750.000000000007</v>
      </c>
      <c r="AC741" s="232">
        <f>VLOOKUP(AA741,FACTS!$B$2:$L$14,11,FALSE)</f>
        <v>52250.000000000007</v>
      </c>
      <c r="AD741" s="232">
        <f>VLOOKUP(AA741,FACTS!$B$2:$N$14,13,FALSE)</f>
        <v>5500</v>
      </c>
      <c r="AE741" s="232">
        <f t="shared" si="116"/>
        <v>2200</v>
      </c>
      <c r="AF741" s="232">
        <f t="shared" si="117"/>
        <v>48950.000000000007</v>
      </c>
      <c r="AG741" s="232">
        <f>AF741*FACTS!$T$2</f>
        <v>16153.500000000004</v>
      </c>
      <c r="AH741" s="232">
        <f>Table1[[#This Row],[UNIT (BUILDING) RATE (SEMI FINISHED)]]+4500</f>
        <v>53450.000000000007</v>
      </c>
      <c r="AI741" s="232">
        <f>Table1[[#This Row],[UNIT (BUILDING) RATE (SEMI FINISHED)]]+7500</f>
        <v>56450.000000000007</v>
      </c>
      <c r="AJ741" s="232">
        <f t="shared" si="118"/>
        <v>7489350.0000000009</v>
      </c>
      <c r="AK741" s="232">
        <f>Table1[[#This Row],[UNIT (BUILDING) RATE (BASIC FINISH)]]*Table1[[#This Row],[Unit Selling Area]]</f>
        <v>8177850.0000000009</v>
      </c>
      <c r="AL741" s="232">
        <f>Table1[[#This Row],[UNIT (BUILDING) RATE (FULLY FINISH)]]*Table1[[#This Row],[Unit Selling Area]]</f>
        <v>8636850.0000000019</v>
      </c>
      <c r="AM741" s="232">
        <f t="shared" si="119"/>
        <v>0</v>
      </c>
      <c r="AN741" s="232">
        <f>(AM741+AJ741)*FACTS!$S$2</f>
        <v>636594.75000000012</v>
      </c>
      <c r="AO741" s="101">
        <f>VLOOKUP(S741,FACTS!$A$17:$C$23,3,FALSE)</f>
        <v>2</v>
      </c>
      <c r="AP741" s="232">
        <f>VLOOKUP(AA741,FACTS!$B$2:$J$14,9,FALSE)</f>
        <v>220000.00000000003</v>
      </c>
      <c r="AQ741" s="232">
        <f>Table1[[#This Row],[PARKING VALUE]]*1</f>
        <v>220000.00000000003</v>
      </c>
      <c r="AR741" s="232">
        <f t="shared" si="114"/>
        <v>7709350.0000000009</v>
      </c>
      <c r="AS741" s="440">
        <f>Table1[[#This Row],[TOTAL CARS VALUE]]+Table1[[#This Row],[UNIT (BUILDING) VALUE BASIC FINISHED]]+Table1[[#This Row],[UNIT (GARDEN) VALUE]]</f>
        <v>8397850.0000000019</v>
      </c>
      <c r="AT741" s="232">
        <f>Table1[[#This Row],[TOTAL CARS VALUE]]+Table1[[#This Row],[UNIT (GARDEN) VALUE]]+Table1[[#This Row],[UNIT (BUILDING) VALUE FULLY FINISHED]]</f>
        <v>8856850.0000000019</v>
      </c>
      <c r="AU741" s="233">
        <f>VLOOKUP(I741,'C PHASES'!$I$108:$J$110,2,FALSE)</f>
        <v>46569</v>
      </c>
      <c r="AV741" s="233">
        <f>VLOOKUP(AA741,'C PHASES'!$I$113:$J$125,2,FALSE)</f>
        <v>45566</v>
      </c>
    </row>
    <row r="742" spans="1:48" x14ac:dyDescent="0.25">
      <c r="A742" s="235"/>
      <c r="B742" s="227" t="str">
        <f t="shared" si="112"/>
        <v>D</v>
      </c>
      <c r="C742" s="227" t="s">
        <v>63</v>
      </c>
      <c r="D742" s="227" t="s">
        <v>1147</v>
      </c>
      <c r="E742" s="228">
        <v>4</v>
      </c>
      <c r="F742" s="101">
        <v>2</v>
      </c>
      <c r="G742" s="87" t="str">
        <f t="shared" si="120"/>
        <v>D442</v>
      </c>
      <c r="H742" s="87" t="s">
        <v>1294</v>
      </c>
      <c r="I742" s="89" t="str">
        <f>VLOOKUP(C742,'PREMIUM TABLES'!$G$107:$H$149,2,FALSE)</f>
        <v>C3</v>
      </c>
      <c r="J742" s="87">
        <v>126.88</v>
      </c>
      <c r="K742" s="87">
        <v>137.93385278889008</v>
      </c>
      <c r="L742" s="87">
        <v>155</v>
      </c>
      <c r="O742" s="87" t="s">
        <v>187</v>
      </c>
      <c r="P742" s="87" t="s">
        <v>190</v>
      </c>
      <c r="Q742" s="229" t="s">
        <v>211</v>
      </c>
      <c r="R742" s="87" t="str">
        <f>VLOOKUP(E742,'PREMIUM TABLES'!$F$214:$G$219,2,FALSE)</f>
        <v>FORTH</v>
      </c>
      <c r="S742" s="87" t="str" cm="1">
        <f t="array" ref="S742">IF(AND(L742&gt;0,L742&lt;90),"A",IF(AND(L742&gt;90,L742&lt;123),"B",IF(AND(L742&gt;122,L742&lt;159),"C",IF(AND(L742&gt;159,L742&lt;185),"D",IF(AND(L742&gt;185,L742&lt;230),"E",IF(AND(L742&gt;230,L742&lt;350),"F",NONE))))))</f>
        <v>C</v>
      </c>
      <c r="T742" s="230">
        <f>VLOOKUP(O742,'PREMIUM TABLES'!$G$165:$H$172,2,FALSE)</f>
        <v>0.08</v>
      </c>
      <c r="U742" s="230">
        <f>VLOOKUP(P742,'PREMIUM TABLES'!$G$208:$H$209,2,FALSE)</f>
        <v>2.5000000000000001E-2</v>
      </c>
      <c r="V742" s="230">
        <f>VLOOKUP(Q742,'PREMIUM TABLES'!$G$175:$H$195,2,FALSE)</f>
        <v>0.43</v>
      </c>
      <c r="W742" s="230">
        <f>VLOOKUP(R742,'PREMIUM TABLES'!$G$214:$H$219,2,FALSE)</f>
        <v>0.06</v>
      </c>
      <c r="X742" s="230">
        <f>VLOOKUP(S742,'PREMIUM TABLES'!$F$199:$H$205,3,FALSE)</f>
        <v>3.5000000000000003E-2</v>
      </c>
      <c r="Y742" s="231">
        <f t="shared" si="115"/>
        <v>0.63</v>
      </c>
      <c r="Z742" s="231" t="str" cm="1">
        <f t="array" ref="Z742">IF(AND(Y742&gt;0,Y742&lt;0.5),"C",IF(AND(Y742&gt;=0.5,Y742&lt;0.73),"B",IF(AND(Y742&gt;=0.73,Y742&lt;0.98),"A",NONE)))</f>
        <v>B</v>
      </c>
      <c r="AA742" s="231" t="str">
        <f>VLOOKUP(G742,'ALL (R)'!$N$5:$R$862,5,FALSE)</f>
        <v>R 3</v>
      </c>
      <c r="AB742" s="232">
        <f>VLOOKUP(AA742,FACTS!$B$2:$L$14,10,FALSE)</f>
        <v>44625</v>
      </c>
      <c r="AC742" s="232">
        <f>VLOOKUP(AA742,FACTS!$B$2:$L$14,11,FALSE)</f>
        <v>49875</v>
      </c>
      <c r="AD742" s="232">
        <f>VLOOKUP(AA742,FACTS!$B$2:$N$14,13,FALSE)</f>
        <v>5250</v>
      </c>
      <c r="AE742" s="232">
        <f t="shared" si="116"/>
        <v>3307.5</v>
      </c>
      <c r="AF742" s="232">
        <f t="shared" si="117"/>
        <v>47932.5</v>
      </c>
      <c r="AG742" s="232">
        <f>AF742*FACTS!$T$2</f>
        <v>15817.725</v>
      </c>
      <c r="AH742" s="232">
        <f>Table1[[#This Row],[UNIT (BUILDING) RATE (SEMI FINISHED)]]+4500</f>
        <v>52432.5</v>
      </c>
      <c r="AI742" s="232">
        <f>Table1[[#This Row],[UNIT (BUILDING) RATE (SEMI FINISHED)]]+7500</f>
        <v>55432.5</v>
      </c>
      <c r="AJ742" s="232">
        <f t="shared" si="118"/>
        <v>7429537.5</v>
      </c>
      <c r="AK742" s="232">
        <f>Table1[[#This Row],[UNIT (BUILDING) RATE (BASIC FINISH)]]*Table1[[#This Row],[Unit Selling Area]]</f>
        <v>8127037.5</v>
      </c>
      <c r="AL742" s="232">
        <f>Table1[[#This Row],[UNIT (BUILDING) RATE (FULLY FINISH)]]*Table1[[#This Row],[Unit Selling Area]]</f>
        <v>8592037.5</v>
      </c>
      <c r="AM742" s="232">
        <f t="shared" si="119"/>
        <v>0</v>
      </c>
      <c r="AN742" s="232">
        <f>(AM742+AJ742)*FACTS!$S$2</f>
        <v>631510.6875</v>
      </c>
      <c r="AO742" s="101">
        <f>VLOOKUP(S742,FACTS!$A$17:$C$23,3,FALSE)</f>
        <v>2</v>
      </c>
      <c r="AP742" s="232">
        <f>VLOOKUP(AA742,FACTS!$B$2:$J$14,9,FALSE)</f>
        <v>210000</v>
      </c>
      <c r="AQ742" s="232">
        <f>Table1[[#This Row],[PARKING VALUE]]*1</f>
        <v>210000</v>
      </c>
      <c r="AR742" s="232">
        <f t="shared" si="114"/>
        <v>7639537.5</v>
      </c>
      <c r="AS742" s="440">
        <f>Table1[[#This Row],[TOTAL CARS VALUE]]+Table1[[#This Row],[UNIT (BUILDING) VALUE BASIC FINISHED]]+Table1[[#This Row],[UNIT (GARDEN) VALUE]]</f>
        <v>8337037.5</v>
      </c>
      <c r="AT742" s="232">
        <f>Table1[[#This Row],[TOTAL CARS VALUE]]+Table1[[#This Row],[UNIT (GARDEN) VALUE]]+Table1[[#This Row],[UNIT (BUILDING) VALUE FULLY FINISHED]]</f>
        <v>8802037.5</v>
      </c>
      <c r="AU742" s="233">
        <f>VLOOKUP(I742,'C PHASES'!$I$108:$J$110,2,FALSE)</f>
        <v>46569</v>
      </c>
      <c r="AV742" s="233">
        <f>VLOOKUP(AA742,'C PHASES'!$I$113:$J$125,2,FALSE)</f>
        <v>45383</v>
      </c>
    </row>
    <row r="743" spans="1:48" x14ac:dyDescent="0.25">
      <c r="A743" s="235"/>
      <c r="B743" s="227" t="str">
        <f t="shared" si="112"/>
        <v>D</v>
      </c>
      <c r="C743" s="227" t="s">
        <v>63</v>
      </c>
      <c r="D743" s="227" t="s">
        <v>1147</v>
      </c>
      <c r="E743" s="228">
        <v>4</v>
      </c>
      <c r="F743" s="101">
        <v>3</v>
      </c>
      <c r="G743" s="87" t="str">
        <f t="shared" si="120"/>
        <v>D443</v>
      </c>
      <c r="H743" s="87" t="s">
        <v>1294</v>
      </c>
      <c r="I743" s="89" t="str">
        <f>VLOOKUP(C743,'PREMIUM TABLES'!$G$107:$H$149,2,FALSE)</f>
        <v>C3</v>
      </c>
      <c r="J743" s="87">
        <v>131.66</v>
      </c>
      <c r="K743" s="87">
        <v>143.13028892012346</v>
      </c>
      <c r="L743" s="87">
        <v>161</v>
      </c>
      <c r="O743" s="87" t="s">
        <v>187</v>
      </c>
      <c r="P743" s="87" t="s">
        <v>226</v>
      </c>
      <c r="Q743" s="229" t="s">
        <v>211</v>
      </c>
      <c r="R743" s="87" t="str">
        <f>VLOOKUP(E743,'PREMIUM TABLES'!$F$214:$G$219,2,FALSE)</f>
        <v>FORTH</v>
      </c>
      <c r="S743" s="87" t="str" cm="1">
        <f t="array" ref="S743">IF(AND(L743&gt;0,L743&lt;90),"A",IF(AND(L743&gt;90,L743&lt;123),"B",IF(AND(L743&gt;122,L743&lt;159),"C",IF(AND(L743&gt;159,L743&lt;185),"D",IF(AND(L743&gt;185,L743&lt;230),"E",IF(AND(L743&gt;230,L743&lt;350),"F",NONE))))))</f>
        <v>D</v>
      </c>
      <c r="T743" s="230">
        <f>VLOOKUP(O743,'PREMIUM TABLES'!$G$165:$H$172,2,FALSE)</f>
        <v>0.08</v>
      </c>
      <c r="U743" s="230">
        <f>VLOOKUP(P743,'PREMIUM TABLES'!$G$208:$H$209,2,FALSE)</f>
        <v>0.05</v>
      </c>
      <c r="V743" s="230">
        <f>VLOOKUP(Q743,'PREMIUM TABLES'!$G$175:$H$195,2,FALSE)</f>
        <v>0.43</v>
      </c>
      <c r="W743" s="230">
        <f>VLOOKUP(R743,'PREMIUM TABLES'!$G$214:$H$219,2,FALSE)</f>
        <v>0.06</v>
      </c>
      <c r="X743" s="230">
        <f>VLOOKUP(S743,'PREMIUM TABLES'!$F$199:$H$205,3,FALSE)</f>
        <v>2.5000000000000001E-2</v>
      </c>
      <c r="Y743" s="231">
        <f t="shared" si="115"/>
        <v>0.64500000000000013</v>
      </c>
      <c r="Z743" s="231" t="str" cm="1">
        <f t="array" ref="Z743">IF(AND(Y743&gt;0,Y743&lt;0.5),"C",IF(AND(Y743&gt;=0.5,Y743&lt;0.73),"B",IF(AND(Y743&gt;=0.73,Y743&lt;0.98),"A",NONE)))</f>
        <v>B</v>
      </c>
      <c r="AA743" s="231" t="str">
        <f>VLOOKUP(G743,'ALL (R)'!$N$5:$R$862,5,FALSE)</f>
        <v>R 4</v>
      </c>
      <c r="AB743" s="232">
        <f>VLOOKUP(AA743,FACTS!$B$2:$L$14,10,FALSE)</f>
        <v>45687.5</v>
      </c>
      <c r="AC743" s="232">
        <f>VLOOKUP(AA743,FACTS!$B$2:$L$14,11,FALSE)</f>
        <v>51062.5</v>
      </c>
      <c r="AD743" s="232">
        <f>VLOOKUP(AA743,FACTS!$B$2:$N$14,13,FALSE)</f>
        <v>5375</v>
      </c>
      <c r="AE743" s="232">
        <f t="shared" si="116"/>
        <v>3466.8750000000009</v>
      </c>
      <c r="AF743" s="232">
        <f t="shared" si="117"/>
        <v>49154.375</v>
      </c>
      <c r="AG743" s="232">
        <f>AF743*FACTS!$T$2</f>
        <v>16220.94375</v>
      </c>
      <c r="AH743" s="232">
        <f>Table1[[#This Row],[UNIT (BUILDING) RATE (SEMI FINISHED)]]+4500</f>
        <v>53654.375</v>
      </c>
      <c r="AI743" s="232">
        <f>Table1[[#This Row],[UNIT (BUILDING) RATE (SEMI FINISHED)]]+7500</f>
        <v>56654.375</v>
      </c>
      <c r="AJ743" s="232">
        <f t="shared" si="118"/>
        <v>7913854.375</v>
      </c>
      <c r="AK743" s="232">
        <f>Table1[[#This Row],[UNIT (BUILDING) RATE (BASIC FINISH)]]*Table1[[#This Row],[Unit Selling Area]]</f>
        <v>8638354.375</v>
      </c>
      <c r="AL743" s="232">
        <f>Table1[[#This Row],[UNIT (BUILDING) RATE (FULLY FINISH)]]*Table1[[#This Row],[Unit Selling Area]]</f>
        <v>9121354.375</v>
      </c>
      <c r="AM743" s="232">
        <f t="shared" si="119"/>
        <v>0</v>
      </c>
      <c r="AN743" s="232">
        <f>(AM743+AJ743)*FACTS!$S$2</f>
        <v>672677.62187500007</v>
      </c>
      <c r="AO743" s="101">
        <f>VLOOKUP(S743,FACTS!$A$17:$C$23,3,FALSE)</f>
        <v>2</v>
      </c>
      <c r="AP743" s="232">
        <f>VLOOKUP(AA743,FACTS!$B$2:$J$14,9,FALSE)</f>
        <v>215000</v>
      </c>
      <c r="AQ743" s="232">
        <f>Table1[[#This Row],[PARKING VALUE]]*1</f>
        <v>215000</v>
      </c>
      <c r="AR743" s="232">
        <f t="shared" si="114"/>
        <v>8128854.375</v>
      </c>
      <c r="AS743" s="440">
        <f>Table1[[#This Row],[TOTAL CARS VALUE]]+Table1[[#This Row],[UNIT (BUILDING) VALUE BASIC FINISHED]]+Table1[[#This Row],[UNIT (GARDEN) VALUE]]</f>
        <v>8853354.375</v>
      </c>
      <c r="AT743" s="232">
        <f>Table1[[#This Row],[TOTAL CARS VALUE]]+Table1[[#This Row],[UNIT (GARDEN) VALUE]]+Table1[[#This Row],[UNIT (BUILDING) VALUE FULLY FINISHED]]</f>
        <v>9336354.375</v>
      </c>
      <c r="AU743" s="233">
        <f>VLOOKUP(I743,'C PHASES'!$I$108:$J$110,2,FALSE)</f>
        <v>46569</v>
      </c>
      <c r="AV743" s="233">
        <f>VLOOKUP(AA743,'C PHASES'!$I$113:$J$125,2,FALSE)</f>
        <v>45474</v>
      </c>
    </row>
    <row r="744" spans="1:48" x14ac:dyDescent="0.25">
      <c r="A744" s="235"/>
      <c r="B744" s="227" t="str">
        <f t="shared" si="112"/>
        <v>D</v>
      </c>
      <c r="C744" s="227" t="s">
        <v>63</v>
      </c>
      <c r="D744" s="227" t="s">
        <v>1147</v>
      </c>
      <c r="E744" s="228">
        <v>4</v>
      </c>
      <c r="F744" s="101">
        <v>4</v>
      </c>
      <c r="G744" s="87" t="str">
        <f t="shared" si="120"/>
        <v>D444</v>
      </c>
      <c r="H744" s="87" t="s">
        <v>1294</v>
      </c>
      <c r="I744" s="89" t="str">
        <f>VLOOKUP(C744,'PREMIUM TABLES'!$G$107:$H$149,2,FALSE)</f>
        <v>C3</v>
      </c>
      <c r="J744" s="87">
        <v>129.5</v>
      </c>
      <c r="K744" s="87">
        <v>140.78210857630253</v>
      </c>
      <c r="L744" s="87">
        <v>158</v>
      </c>
      <c r="O744" s="87" t="s">
        <v>180</v>
      </c>
      <c r="P744" s="87" t="s">
        <v>226</v>
      </c>
      <c r="Q744" s="229" t="s">
        <v>193</v>
      </c>
      <c r="R744" s="87" t="str">
        <f>VLOOKUP(E744,'PREMIUM TABLES'!$F$214:$G$219,2,FALSE)</f>
        <v>FORTH</v>
      </c>
      <c r="S744" s="87" t="str" cm="1">
        <f t="array" ref="S744">IF(AND(L744&gt;0,L744&lt;90),"A",IF(AND(L744&gt;90,L744&lt;123),"B",IF(AND(L744&gt;122,L744&lt;159),"C",IF(AND(L744&gt;159,L744&lt;185),"D",IF(AND(L744&gt;185,L744&lt;230),"E",IF(AND(L744&gt;230,L744&lt;350),"F",NONE))))))</f>
        <v>C</v>
      </c>
      <c r="T744" s="230">
        <f>VLOOKUP(O744,'PREMIUM TABLES'!$G$165:$H$172,2,FALSE)</f>
        <v>0.13</v>
      </c>
      <c r="U744" s="230">
        <f>VLOOKUP(P744,'PREMIUM TABLES'!$G$208:$H$209,2,FALSE)</f>
        <v>0.05</v>
      </c>
      <c r="V744" s="230">
        <f>VLOOKUP(Q744,'PREMIUM TABLES'!$G$175:$H$195,2,FALSE)</f>
        <v>0.3</v>
      </c>
      <c r="W744" s="230">
        <f>VLOOKUP(R744,'PREMIUM TABLES'!$G$214:$H$219,2,FALSE)</f>
        <v>0.06</v>
      </c>
      <c r="X744" s="230">
        <f>VLOOKUP(S744,'PREMIUM TABLES'!$F$199:$H$205,3,FALSE)</f>
        <v>3.5000000000000003E-2</v>
      </c>
      <c r="Y744" s="231">
        <f t="shared" si="115"/>
        <v>0.57500000000000007</v>
      </c>
      <c r="Z744" s="231" t="str" cm="1">
        <f t="array" ref="Z744">IF(AND(Y744&gt;0,Y744&lt;0.5),"C",IF(AND(Y744&gt;=0.5,Y744&lt;0.73),"B",IF(AND(Y744&gt;=0.73,Y744&lt;0.98),"A",NONE)))</f>
        <v>B</v>
      </c>
      <c r="AA744" s="231" t="str">
        <f>VLOOKUP(G744,'ALL (R)'!$N$5:$R$862,5,FALSE)</f>
        <v>R 1</v>
      </c>
      <c r="AB744" s="232">
        <f>VLOOKUP(AA744,FACTS!$B$2:$L$14,10,FALSE)</f>
        <v>42500</v>
      </c>
      <c r="AC744" s="232">
        <f>VLOOKUP(AA744,FACTS!$B$2:$L$14,11,FALSE)</f>
        <v>47500</v>
      </c>
      <c r="AD744" s="232">
        <f>VLOOKUP(AA744,FACTS!$B$2:$N$14,13,FALSE)</f>
        <v>5000</v>
      </c>
      <c r="AE744" s="232">
        <f t="shared" si="116"/>
        <v>2875.0000000000005</v>
      </c>
      <c r="AF744" s="232">
        <f t="shared" si="117"/>
        <v>45375</v>
      </c>
      <c r="AG744" s="232">
        <f>AF744*FACTS!$T$2</f>
        <v>14973.75</v>
      </c>
      <c r="AH744" s="232">
        <f>Table1[[#This Row],[UNIT (BUILDING) RATE (SEMI FINISHED)]]+4500</f>
        <v>49875</v>
      </c>
      <c r="AI744" s="232">
        <f>Table1[[#This Row],[UNIT (BUILDING) RATE (SEMI FINISHED)]]+7500</f>
        <v>52875</v>
      </c>
      <c r="AJ744" s="232">
        <f t="shared" si="118"/>
        <v>7169250</v>
      </c>
      <c r="AK744" s="232">
        <f>Table1[[#This Row],[UNIT (BUILDING) RATE (BASIC FINISH)]]*Table1[[#This Row],[Unit Selling Area]]</f>
        <v>7880250</v>
      </c>
      <c r="AL744" s="232">
        <f>Table1[[#This Row],[UNIT (BUILDING) RATE (FULLY FINISH)]]*Table1[[#This Row],[Unit Selling Area]]</f>
        <v>8354250</v>
      </c>
      <c r="AM744" s="232">
        <f t="shared" si="119"/>
        <v>0</v>
      </c>
      <c r="AN744" s="232">
        <f>(AM744+AJ744)*FACTS!$S$2</f>
        <v>609386.25</v>
      </c>
      <c r="AO744" s="101">
        <f>VLOOKUP(S744,FACTS!$A$17:$C$23,3,FALSE)</f>
        <v>2</v>
      </c>
      <c r="AP744" s="232">
        <f>VLOOKUP(AA744,FACTS!$B$2:$J$14,9,FALSE)</f>
        <v>200000</v>
      </c>
      <c r="AQ744" s="232">
        <f>Table1[[#This Row],[PARKING VALUE]]*1</f>
        <v>200000</v>
      </c>
      <c r="AR744" s="232">
        <f t="shared" si="114"/>
        <v>7369250</v>
      </c>
      <c r="AS744" s="440">
        <f>Table1[[#This Row],[TOTAL CARS VALUE]]+Table1[[#This Row],[UNIT (BUILDING) VALUE BASIC FINISHED]]+Table1[[#This Row],[UNIT (GARDEN) VALUE]]</f>
        <v>8080250</v>
      </c>
      <c r="AT744" s="232">
        <f>Table1[[#This Row],[TOTAL CARS VALUE]]+Table1[[#This Row],[UNIT (GARDEN) VALUE]]+Table1[[#This Row],[UNIT (BUILDING) VALUE FULLY FINISHED]]</f>
        <v>8554250</v>
      </c>
      <c r="AU744" s="233">
        <f>VLOOKUP(I744,'C PHASES'!$I$108:$J$110,2,FALSE)</f>
        <v>46569</v>
      </c>
      <c r="AV744" s="233">
        <f>VLOOKUP(AA744,'C PHASES'!$I$113:$J$125,2,FALSE)</f>
        <v>45170</v>
      </c>
    </row>
    <row r="745" spans="1:48" ht="21.75" x14ac:dyDescent="0.25">
      <c r="A745" s="235" t="s">
        <v>38</v>
      </c>
      <c r="B745" s="227" t="str">
        <f t="shared" si="112"/>
        <v>D</v>
      </c>
      <c r="C745" s="227" t="s">
        <v>62</v>
      </c>
      <c r="D745" s="227" t="s">
        <v>1147</v>
      </c>
      <c r="E745" s="228">
        <v>0</v>
      </c>
      <c r="F745" s="101">
        <v>1</v>
      </c>
      <c r="G745" s="87" t="str">
        <f>LEFT(C745,2)&amp;E745&amp;F745</f>
        <v>D501</v>
      </c>
      <c r="H745" s="87" t="s">
        <v>1294</v>
      </c>
      <c r="I745" s="89" t="str">
        <f>VLOOKUP(C745,'PREMIUM TABLES'!$G$107:$H$149,2,FALSE)</f>
        <v>C3</v>
      </c>
      <c r="J745" s="87">
        <v>131.68</v>
      </c>
      <c r="K745" s="87">
        <v>143.16923069529381</v>
      </c>
      <c r="L745" s="87">
        <v>161</v>
      </c>
      <c r="M745" s="87">
        <v>84.359399999999994</v>
      </c>
      <c r="O745" s="87" t="s">
        <v>180</v>
      </c>
      <c r="P745" s="87" t="s">
        <v>226</v>
      </c>
      <c r="Q745" s="229" t="s">
        <v>199</v>
      </c>
      <c r="R745" s="87" t="str">
        <f>VLOOKUP(E745,'PREMIUM TABLES'!$F$214:$G$219,2,FALSE)</f>
        <v>GROUND</v>
      </c>
      <c r="S745" s="87" t="str" cm="1">
        <f t="array" ref="S745">IF(AND(L745&gt;0,L745&lt;90),"A",IF(AND(L745&gt;90,L745&lt;123),"B",IF(AND(L745&gt;122,L745&lt;159),"C",IF(AND(L745&gt;159,L745&lt;185),"D",IF(AND(L745&gt;185,L745&lt;230),"E",IF(AND(L745&gt;230,L745&lt;350),"F",NONE))))))</f>
        <v>D</v>
      </c>
      <c r="T745" s="230">
        <f>VLOOKUP(O745,'PREMIUM TABLES'!$G$165:$H$172,2,FALSE)</f>
        <v>0.13</v>
      </c>
      <c r="U745" s="230">
        <f>VLOOKUP(P745,'PREMIUM TABLES'!$G$208:$H$209,2,FALSE)</f>
        <v>0.05</v>
      </c>
      <c r="V745" s="230">
        <f>VLOOKUP(Q745,'PREMIUM TABLES'!$G$175:$H$195,2,FALSE)</f>
        <v>0.13</v>
      </c>
      <c r="W745" s="230">
        <f>VLOOKUP(R745,'PREMIUM TABLES'!$G$214:$H$219,2,FALSE)</f>
        <v>0.05</v>
      </c>
      <c r="X745" s="230">
        <f>VLOOKUP(S745,'PREMIUM TABLES'!$F$199:$H$205,3,FALSE)</f>
        <v>2.5000000000000001E-2</v>
      </c>
      <c r="Y745" s="231">
        <f t="shared" si="115"/>
        <v>0.38500000000000001</v>
      </c>
      <c r="Z745" s="231" t="str" cm="1">
        <f t="array" ref="Z745">IF(AND(Y745&gt;0,Y745&lt;0.5),"C",IF(AND(Y745&gt;=0.5,Y745&lt;0.73),"B",IF(AND(Y745&gt;=0.73,Y745&lt;0.98),"A",NONE)))</f>
        <v>C</v>
      </c>
      <c r="AA745" s="231" t="str">
        <f>VLOOKUP(G745,'ALL (R)'!$N$5:$R$862,5,FALSE)</f>
        <v>R 3</v>
      </c>
      <c r="AB745" s="232">
        <f>VLOOKUP(AA745,FACTS!$B$2:$L$14,10,FALSE)</f>
        <v>44625</v>
      </c>
      <c r="AC745" s="232">
        <f>VLOOKUP(AA745,FACTS!$B$2:$L$14,11,FALSE)</f>
        <v>49875</v>
      </c>
      <c r="AD745" s="232">
        <f>VLOOKUP(AA745,FACTS!$B$2:$N$14,13,FALSE)</f>
        <v>5250</v>
      </c>
      <c r="AE745" s="232">
        <f t="shared" si="116"/>
        <v>2021.25</v>
      </c>
      <c r="AF745" s="232">
        <f t="shared" si="117"/>
        <v>46646.25</v>
      </c>
      <c r="AG745" s="232">
        <f>AF745*FACTS!$T$2</f>
        <v>15393.262500000001</v>
      </c>
      <c r="AH745" s="232">
        <f>Table1[[#This Row],[UNIT (BUILDING) RATE (SEMI FINISHED)]]+4500</f>
        <v>51146.25</v>
      </c>
      <c r="AI745" s="232">
        <f>Table1[[#This Row],[UNIT (BUILDING) RATE (SEMI FINISHED)]]+7500</f>
        <v>54146.25</v>
      </c>
      <c r="AJ745" s="232">
        <f t="shared" si="118"/>
        <v>7510046.25</v>
      </c>
      <c r="AK745" s="232">
        <f>Table1[[#This Row],[UNIT (BUILDING) RATE (BASIC FINISH)]]*Table1[[#This Row],[Unit Selling Area]]</f>
        <v>8234546.25</v>
      </c>
      <c r="AL745" s="232">
        <f>Table1[[#This Row],[UNIT (BUILDING) RATE (FULLY FINISH)]]*Table1[[#This Row],[Unit Selling Area]]</f>
        <v>8717546.25</v>
      </c>
      <c r="AM745" s="232">
        <f t="shared" si="119"/>
        <v>1298566.3885424999</v>
      </c>
      <c r="AN745" s="232">
        <f>(AM745+AJ745)*FACTS!$S$2</f>
        <v>748732.07427611249</v>
      </c>
      <c r="AO745" s="101">
        <f>VLOOKUP(S745,FACTS!$A$17:$C$23,3,FALSE)</f>
        <v>2</v>
      </c>
      <c r="AP745" s="232">
        <f>VLOOKUP(AA745,FACTS!$B$2:$J$14,9,FALSE)</f>
        <v>210000</v>
      </c>
      <c r="AQ745" s="232">
        <f>Table1[[#This Row],[PARKING VALUE]]*1</f>
        <v>210000</v>
      </c>
      <c r="AR745" s="232">
        <f t="shared" si="114"/>
        <v>9018612.6385424994</v>
      </c>
      <c r="AS745" s="440">
        <f>Table1[[#This Row],[TOTAL CARS VALUE]]+Table1[[#This Row],[UNIT (BUILDING) VALUE BASIC FINISHED]]+Table1[[#This Row],[UNIT (GARDEN) VALUE]]</f>
        <v>9743112.6385424994</v>
      </c>
      <c r="AT745" s="232">
        <f>Table1[[#This Row],[TOTAL CARS VALUE]]+Table1[[#This Row],[UNIT (GARDEN) VALUE]]+Table1[[#This Row],[UNIT (BUILDING) VALUE FULLY FINISHED]]</f>
        <v>10226112.638542499</v>
      </c>
      <c r="AU745" s="233">
        <f>VLOOKUP(I745,'C PHASES'!$I$108:$J$110,2,FALSE)</f>
        <v>46569</v>
      </c>
      <c r="AV745" s="233">
        <f>VLOOKUP(AA745,'C PHASES'!$I$113:$J$125,2,FALSE)</f>
        <v>45383</v>
      </c>
    </row>
    <row r="746" spans="1:48" x14ac:dyDescent="0.25">
      <c r="A746" s="235"/>
      <c r="B746" s="227" t="str">
        <f t="shared" si="112"/>
        <v>D</v>
      </c>
      <c r="C746" s="227" t="s">
        <v>62</v>
      </c>
      <c r="D746" s="227" t="s">
        <v>1147</v>
      </c>
      <c r="E746" s="228">
        <v>0</v>
      </c>
      <c r="F746" s="101">
        <v>2</v>
      </c>
      <c r="G746" s="87" t="str">
        <f t="shared" ref="G746:G764" si="121">LEFT(C746,2)&amp;E746&amp;F746</f>
        <v>D502</v>
      </c>
      <c r="H746" s="87" t="s">
        <v>1294</v>
      </c>
      <c r="I746" s="89" t="str">
        <f>VLOOKUP(C746,'PREMIUM TABLES'!$G$107:$H$149,2,FALSE)</f>
        <v>C3</v>
      </c>
      <c r="J746" s="87">
        <v>129.5</v>
      </c>
      <c r="K746" s="87">
        <v>140.79902320049018</v>
      </c>
      <c r="L746" s="87">
        <v>158</v>
      </c>
      <c r="M746" s="87">
        <v>84.0732</v>
      </c>
      <c r="O746" s="87" t="s">
        <v>187</v>
      </c>
      <c r="P746" s="87" t="s">
        <v>226</v>
      </c>
      <c r="Q746" s="229" t="s">
        <v>211</v>
      </c>
      <c r="R746" s="87" t="str">
        <f>VLOOKUP(E746,'PREMIUM TABLES'!$F$214:$G$219,2,FALSE)</f>
        <v>GROUND</v>
      </c>
      <c r="S746" s="87" t="str" cm="1">
        <f t="array" ref="S746">IF(AND(L746&gt;0,L746&lt;90),"A",IF(AND(L746&gt;90,L746&lt;123),"B",IF(AND(L746&gt;122,L746&lt;159),"C",IF(AND(L746&gt;159,L746&lt;185),"D",IF(AND(L746&gt;185,L746&lt;230),"E",IF(AND(L746&gt;230,L746&lt;350),"F",NONE))))))</f>
        <v>C</v>
      </c>
      <c r="T746" s="230">
        <f>VLOOKUP(O746,'PREMIUM TABLES'!$G$165:$H$172,2,FALSE)</f>
        <v>0.08</v>
      </c>
      <c r="U746" s="230">
        <f>VLOOKUP(P746,'PREMIUM TABLES'!$G$208:$H$209,2,FALSE)</f>
        <v>0.05</v>
      </c>
      <c r="V746" s="230">
        <f>VLOOKUP(Q746,'PREMIUM TABLES'!$G$175:$H$195,2,FALSE)</f>
        <v>0.43</v>
      </c>
      <c r="W746" s="230">
        <f>VLOOKUP(R746,'PREMIUM TABLES'!$G$214:$H$219,2,FALSE)</f>
        <v>0.05</v>
      </c>
      <c r="X746" s="230">
        <f>VLOOKUP(S746,'PREMIUM TABLES'!$F$199:$H$205,3,FALSE)</f>
        <v>3.5000000000000003E-2</v>
      </c>
      <c r="Y746" s="231">
        <f t="shared" si="115"/>
        <v>0.64500000000000013</v>
      </c>
      <c r="Z746" s="231" t="str" cm="1">
        <f t="array" ref="Z746">IF(AND(Y746&gt;0,Y746&lt;0.5),"C",IF(AND(Y746&gt;=0.5,Y746&lt;0.73),"B",IF(AND(Y746&gt;=0.73,Y746&lt;0.98),"A",NONE)))</f>
        <v>B</v>
      </c>
      <c r="AA746" s="231" t="str">
        <f>VLOOKUP(G746,'ALL (R)'!$N$5:$R$862,5,FALSE)</f>
        <v>R 4</v>
      </c>
      <c r="AB746" s="232">
        <f>VLOOKUP(AA746,FACTS!$B$2:$L$14,10,FALSE)</f>
        <v>45687.5</v>
      </c>
      <c r="AC746" s="232">
        <f>VLOOKUP(AA746,FACTS!$B$2:$L$14,11,FALSE)</f>
        <v>51062.5</v>
      </c>
      <c r="AD746" s="232">
        <f>VLOOKUP(AA746,FACTS!$B$2:$N$14,13,FALSE)</f>
        <v>5375</v>
      </c>
      <c r="AE746" s="232">
        <f t="shared" si="116"/>
        <v>3466.8750000000009</v>
      </c>
      <c r="AF746" s="232">
        <f t="shared" si="117"/>
        <v>49154.375</v>
      </c>
      <c r="AG746" s="232">
        <f>AF746*FACTS!$T$2</f>
        <v>16220.94375</v>
      </c>
      <c r="AH746" s="232">
        <f>Table1[[#This Row],[UNIT (BUILDING) RATE (SEMI FINISHED)]]+4500</f>
        <v>53654.375</v>
      </c>
      <c r="AI746" s="232">
        <f>Table1[[#This Row],[UNIT (BUILDING) RATE (SEMI FINISHED)]]+7500</f>
        <v>56654.375</v>
      </c>
      <c r="AJ746" s="232">
        <f t="shared" si="118"/>
        <v>7766391.25</v>
      </c>
      <c r="AK746" s="232">
        <f>Table1[[#This Row],[UNIT (BUILDING) RATE (BASIC FINISH)]]*Table1[[#This Row],[Unit Selling Area]]</f>
        <v>8477391.25</v>
      </c>
      <c r="AL746" s="232">
        <f>Table1[[#This Row],[UNIT (BUILDING) RATE (FULLY FINISH)]]*Table1[[#This Row],[Unit Selling Area]]</f>
        <v>8951391.25</v>
      </c>
      <c r="AM746" s="232">
        <f t="shared" si="119"/>
        <v>1363746.6480825001</v>
      </c>
      <c r="AN746" s="232">
        <f>(AM746+AJ746)*FACTS!$S$2</f>
        <v>776061.7213370126</v>
      </c>
      <c r="AO746" s="101">
        <f>VLOOKUP(S746,FACTS!$A$17:$C$23,3,FALSE)</f>
        <v>2</v>
      </c>
      <c r="AP746" s="232">
        <f>VLOOKUP(AA746,FACTS!$B$2:$J$14,9,FALSE)</f>
        <v>215000</v>
      </c>
      <c r="AQ746" s="232">
        <f>Table1[[#This Row],[PARKING VALUE]]*1</f>
        <v>215000</v>
      </c>
      <c r="AR746" s="232">
        <f t="shared" si="114"/>
        <v>9345137.8980825003</v>
      </c>
      <c r="AS746" s="440">
        <f>Table1[[#This Row],[TOTAL CARS VALUE]]+Table1[[#This Row],[UNIT (BUILDING) VALUE BASIC FINISHED]]+Table1[[#This Row],[UNIT (GARDEN) VALUE]]</f>
        <v>10056137.8980825</v>
      </c>
      <c r="AT746" s="232">
        <f>Table1[[#This Row],[TOTAL CARS VALUE]]+Table1[[#This Row],[UNIT (GARDEN) VALUE]]+Table1[[#This Row],[UNIT (BUILDING) VALUE FULLY FINISHED]]</f>
        <v>10530137.8980825</v>
      </c>
      <c r="AU746" s="233">
        <f>VLOOKUP(I746,'C PHASES'!$I$108:$J$110,2,FALSE)</f>
        <v>46569</v>
      </c>
      <c r="AV746" s="233">
        <f>VLOOKUP(AA746,'C PHASES'!$I$113:$J$125,2,FALSE)</f>
        <v>45474</v>
      </c>
    </row>
    <row r="747" spans="1:48" x14ac:dyDescent="0.25">
      <c r="A747" s="235"/>
      <c r="B747" s="227" t="str">
        <f t="shared" si="112"/>
        <v>D</v>
      </c>
      <c r="C747" s="227" t="s">
        <v>62</v>
      </c>
      <c r="D747" s="227" t="s">
        <v>1147</v>
      </c>
      <c r="E747" s="228">
        <v>0</v>
      </c>
      <c r="F747" s="101">
        <v>3</v>
      </c>
      <c r="G747" s="87" t="str">
        <f t="shared" si="121"/>
        <v>D503</v>
      </c>
      <c r="H747" s="87" t="s">
        <v>1294</v>
      </c>
      <c r="I747" s="89" t="str">
        <f>VLOOKUP(C747,'PREMIUM TABLES'!$G$107:$H$149,2,FALSE)</f>
        <v>C3</v>
      </c>
      <c r="J747" s="87">
        <v>124.72</v>
      </c>
      <c r="K747" s="87">
        <v>135.60196273023271</v>
      </c>
      <c r="L747" s="87">
        <v>152</v>
      </c>
      <c r="M747" s="87">
        <v>85.417599999999993</v>
      </c>
      <c r="O747" s="87" t="s">
        <v>187</v>
      </c>
      <c r="P747" s="87" t="s">
        <v>190</v>
      </c>
      <c r="Q747" s="229" t="s">
        <v>211</v>
      </c>
      <c r="R747" s="87" t="str">
        <f>VLOOKUP(E747,'PREMIUM TABLES'!$F$214:$G$219,2,FALSE)</f>
        <v>GROUND</v>
      </c>
      <c r="S747" s="87" t="str" cm="1">
        <f t="array" ref="S747">IF(AND(L747&gt;0,L747&lt;90),"A",IF(AND(L747&gt;90,L747&lt;123),"B",IF(AND(L747&gt;122,L747&lt;159),"C",IF(AND(L747&gt;159,L747&lt;185),"D",IF(AND(L747&gt;185,L747&lt;230),"E",IF(AND(L747&gt;230,L747&lt;350),"F",NONE))))))</f>
        <v>C</v>
      </c>
      <c r="T747" s="230">
        <f>VLOOKUP(O747,'PREMIUM TABLES'!$G$165:$H$172,2,FALSE)</f>
        <v>0.08</v>
      </c>
      <c r="U747" s="230">
        <f>VLOOKUP(P747,'PREMIUM TABLES'!$G$208:$H$209,2,FALSE)</f>
        <v>2.5000000000000001E-2</v>
      </c>
      <c r="V747" s="230">
        <f>VLOOKUP(Q747,'PREMIUM TABLES'!$G$175:$H$195,2,FALSE)</f>
        <v>0.43</v>
      </c>
      <c r="W747" s="230">
        <f>VLOOKUP(R747,'PREMIUM TABLES'!$G$214:$H$219,2,FALSE)</f>
        <v>0.05</v>
      </c>
      <c r="X747" s="230">
        <f>VLOOKUP(S747,'PREMIUM TABLES'!$F$199:$H$205,3,FALSE)</f>
        <v>3.5000000000000003E-2</v>
      </c>
      <c r="Y747" s="231">
        <f t="shared" si="115"/>
        <v>0.62000000000000011</v>
      </c>
      <c r="Z747" s="231" t="str" cm="1">
        <f t="array" ref="Z747">IF(AND(Y747&gt;0,Y747&lt;0.5),"C",IF(AND(Y747&gt;=0.5,Y747&lt;0.73),"B",IF(AND(Y747&gt;=0.73,Y747&lt;0.98),"A",NONE)))</f>
        <v>B</v>
      </c>
      <c r="AA747" s="231" t="str">
        <f>VLOOKUP(G747,'ALL (R)'!$N$5:$R$862,5,FALSE)</f>
        <v>R 3</v>
      </c>
      <c r="AB747" s="232">
        <f>VLOOKUP(AA747,FACTS!$B$2:$L$14,10,FALSE)</f>
        <v>44625</v>
      </c>
      <c r="AC747" s="232">
        <f>VLOOKUP(AA747,FACTS!$B$2:$L$14,11,FALSE)</f>
        <v>49875</v>
      </c>
      <c r="AD747" s="232">
        <f>VLOOKUP(AA747,FACTS!$B$2:$N$14,13,FALSE)</f>
        <v>5250</v>
      </c>
      <c r="AE747" s="232">
        <f t="shared" si="116"/>
        <v>3255.0000000000005</v>
      </c>
      <c r="AF747" s="232">
        <f t="shared" si="117"/>
        <v>47880</v>
      </c>
      <c r="AG747" s="232">
        <f>AF747*FACTS!$T$2</f>
        <v>15800.400000000001</v>
      </c>
      <c r="AH747" s="232">
        <f>Table1[[#This Row],[UNIT (BUILDING) RATE (SEMI FINISHED)]]+4500</f>
        <v>52380</v>
      </c>
      <c r="AI747" s="232">
        <f>Table1[[#This Row],[UNIT (BUILDING) RATE (SEMI FINISHED)]]+7500</f>
        <v>55380</v>
      </c>
      <c r="AJ747" s="232">
        <f t="shared" si="118"/>
        <v>7277760</v>
      </c>
      <c r="AK747" s="232">
        <f>Table1[[#This Row],[UNIT (BUILDING) RATE (BASIC FINISH)]]*Table1[[#This Row],[Unit Selling Area]]</f>
        <v>7961760</v>
      </c>
      <c r="AL747" s="232">
        <f>Table1[[#This Row],[UNIT (BUILDING) RATE (FULLY FINISH)]]*Table1[[#This Row],[Unit Selling Area]]</f>
        <v>8417760</v>
      </c>
      <c r="AM747" s="232">
        <f t="shared" si="119"/>
        <v>1349632.24704</v>
      </c>
      <c r="AN747" s="232">
        <f>(AM747+AJ747)*FACTS!$S$2</f>
        <v>733328.3409984</v>
      </c>
      <c r="AO747" s="101">
        <f>VLOOKUP(S747,FACTS!$A$17:$C$23,3,FALSE)</f>
        <v>2</v>
      </c>
      <c r="AP747" s="232">
        <f>VLOOKUP(AA747,FACTS!$B$2:$J$14,9,FALSE)</f>
        <v>210000</v>
      </c>
      <c r="AQ747" s="232">
        <f>Table1[[#This Row],[PARKING VALUE]]*1</f>
        <v>210000</v>
      </c>
      <c r="AR747" s="232">
        <f t="shared" si="114"/>
        <v>8837392.2470399998</v>
      </c>
      <c r="AS747" s="440">
        <f>Table1[[#This Row],[TOTAL CARS VALUE]]+Table1[[#This Row],[UNIT (BUILDING) VALUE BASIC FINISHED]]+Table1[[#This Row],[UNIT (GARDEN) VALUE]]</f>
        <v>9521392.2470399998</v>
      </c>
      <c r="AT747" s="232">
        <f>Table1[[#This Row],[TOTAL CARS VALUE]]+Table1[[#This Row],[UNIT (GARDEN) VALUE]]+Table1[[#This Row],[UNIT (BUILDING) VALUE FULLY FINISHED]]</f>
        <v>9977392.2470399998</v>
      </c>
      <c r="AU747" s="233">
        <f>VLOOKUP(I747,'C PHASES'!$I$108:$J$110,2,FALSE)</f>
        <v>46569</v>
      </c>
      <c r="AV747" s="233">
        <f>VLOOKUP(AA747,'C PHASES'!$I$113:$J$125,2,FALSE)</f>
        <v>45383</v>
      </c>
    </row>
    <row r="748" spans="1:48" x14ac:dyDescent="0.25">
      <c r="A748" s="235"/>
      <c r="B748" s="227" t="str">
        <f t="shared" si="112"/>
        <v>D</v>
      </c>
      <c r="C748" s="227" t="s">
        <v>62</v>
      </c>
      <c r="D748" s="227" t="s">
        <v>1147</v>
      </c>
      <c r="E748" s="228">
        <v>0</v>
      </c>
      <c r="F748" s="101">
        <v>4</v>
      </c>
      <c r="G748" s="87" t="str">
        <f t="shared" si="121"/>
        <v>D504</v>
      </c>
      <c r="H748" s="87" t="s">
        <v>1293</v>
      </c>
      <c r="I748" s="89" t="str">
        <f>VLOOKUP(C748,'PREMIUM TABLES'!$G$107:$H$149,2,FALSE)</f>
        <v>C3</v>
      </c>
      <c r="J748" s="87">
        <v>88.49</v>
      </c>
      <c r="K748" s="87">
        <v>96.210853768427611</v>
      </c>
      <c r="L748" s="87">
        <v>108</v>
      </c>
      <c r="M748" s="87">
        <v>67.558899999999994</v>
      </c>
      <c r="O748" s="87" t="s">
        <v>180</v>
      </c>
      <c r="P748" s="87" t="s">
        <v>190</v>
      </c>
      <c r="Q748" s="229" t="s">
        <v>199</v>
      </c>
      <c r="R748" s="87" t="str">
        <f>VLOOKUP(E748,'PREMIUM TABLES'!$F$214:$G$219,2,FALSE)</f>
        <v>GROUND</v>
      </c>
      <c r="S748" s="87" t="str" cm="1">
        <f t="array" ref="S748">IF(AND(L748&gt;0,L748&lt;90),"A",IF(AND(L748&gt;90,L748&lt;123),"B",IF(AND(L748&gt;122,L748&lt;159),"C",IF(AND(L748&gt;159,L748&lt;185),"D",IF(AND(L748&gt;185,L748&lt;230),"E",IF(AND(L748&gt;230,L748&lt;350),"F",NONE))))))</f>
        <v>B</v>
      </c>
      <c r="T748" s="230">
        <f>VLOOKUP(O748,'PREMIUM TABLES'!$G$165:$H$172,2,FALSE)</f>
        <v>0.13</v>
      </c>
      <c r="U748" s="230">
        <f>VLOOKUP(P748,'PREMIUM TABLES'!$G$208:$H$209,2,FALSE)</f>
        <v>2.5000000000000001E-2</v>
      </c>
      <c r="V748" s="230">
        <f>VLOOKUP(Q748,'PREMIUM TABLES'!$G$175:$H$195,2,FALSE)</f>
        <v>0.13</v>
      </c>
      <c r="W748" s="230">
        <f>VLOOKUP(R748,'PREMIUM TABLES'!$G$214:$H$219,2,FALSE)</f>
        <v>0.05</v>
      </c>
      <c r="X748" s="230">
        <f>VLOOKUP(S748,'PREMIUM TABLES'!$F$199:$H$205,3,FALSE)</f>
        <v>0.04</v>
      </c>
      <c r="Y748" s="231">
        <f t="shared" si="115"/>
        <v>0.375</v>
      </c>
      <c r="Z748" s="231" t="str" cm="1">
        <f t="array" ref="Z748">IF(AND(Y748&gt;0,Y748&lt;0.5),"C",IF(AND(Y748&gt;=0.5,Y748&lt;0.73),"B",IF(AND(Y748&gt;=0.73,Y748&lt;0.98),"A",NONE)))</f>
        <v>C</v>
      </c>
      <c r="AA748" s="231" t="str">
        <f>VLOOKUP(G748,'ALL (R)'!$N$5:$R$862,5,FALSE)</f>
        <v>R 3</v>
      </c>
      <c r="AB748" s="232">
        <f>VLOOKUP(AA748,FACTS!$B$2:$L$14,10,FALSE)</f>
        <v>44625</v>
      </c>
      <c r="AC748" s="232">
        <f>VLOOKUP(AA748,FACTS!$B$2:$L$14,11,FALSE)</f>
        <v>49875</v>
      </c>
      <c r="AD748" s="232">
        <f>VLOOKUP(AA748,FACTS!$B$2:$N$14,13,FALSE)</f>
        <v>5250</v>
      </c>
      <c r="AE748" s="232">
        <f t="shared" si="116"/>
        <v>1968.75</v>
      </c>
      <c r="AF748" s="232">
        <f t="shared" si="117"/>
        <v>46593.75</v>
      </c>
      <c r="AG748" s="232">
        <f>AF748*FACTS!$T$2</f>
        <v>15375.9375</v>
      </c>
      <c r="AH748" s="232">
        <f>Table1[[#This Row],[UNIT (BUILDING) RATE (SEMI FINISHED)]]+4500</f>
        <v>51093.75</v>
      </c>
      <c r="AI748" s="232">
        <f>Table1[[#This Row],[UNIT (BUILDING) RATE (SEMI FINISHED)]]+7500</f>
        <v>54093.75</v>
      </c>
      <c r="AJ748" s="232">
        <f t="shared" si="118"/>
        <v>5032125</v>
      </c>
      <c r="AK748" s="232">
        <f>Table1[[#This Row],[UNIT (BUILDING) RATE (BASIC FINISH)]]*Table1[[#This Row],[Unit Selling Area]]</f>
        <v>5518125</v>
      </c>
      <c r="AL748" s="232">
        <f>Table1[[#This Row],[UNIT (BUILDING) RATE (FULLY FINISH)]]*Table1[[#This Row],[Unit Selling Area]]</f>
        <v>5842125</v>
      </c>
      <c r="AM748" s="232">
        <f t="shared" si="119"/>
        <v>1038781.4239687499</v>
      </c>
      <c r="AN748" s="232">
        <f>(AM748+AJ748)*FACTS!$S$2</f>
        <v>516027.0460373438</v>
      </c>
      <c r="AO748" s="101">
        <f>VLOOKUP(S748,FACTS!$A$17:$C$23,3,FALSE)</f>
        <v>1</v>
      </c>
      <c r="AP748" s="232">
        <f>VLOOKUP(AA748,FACTS!$B$2:$J$14,9,FALSE)</f>
        <v>210000</v>
      </c>
      <c r="AQ748" s="232">
        <f>Table1[[#This Row],[PARKING VALUE]]*1</f>
        <v>210000</v>
      </c>
      <c r="AR748" s="232">
        <f t="shared" si="114"/>
        <v>6280906.4239687501</v>
      </c>
      <c r="AS748" s="440">
        <f>Table1[[#This Row],[TOTAL CARS VALUE]]+Table1[[#This Row],[UNIT (BUILDING) VALUE BASIC FINISHED]]+Table1[[#This Row],[UNIT (GARDEN) VALUE]]</f>
        <v>6766906.4239687501</v>
      </c>
      <c r="AT748" s="232">
        <f>Table1[[#This Row],[TOTAL CARS VALUE]]+Table1[[#This Row],[UNIT (GARDEN) VALUE]]+Table1[[#This Row],[UNIT (BUILDING) VALUE FULLY FINISHED]]</f>
        <v>7090906.4239687501</v>
      </c>
      <c r="AU748" s="233">
        <f>VLOOKUP(I748,'C PHASES'!$I$108:$J$110,2,FALSE)</f>
        <v>46569</v>
      </c>
      <c r="AV748" s="233">
        <f>VLOOKUP(AA748,'C PHASES'!$I$113:$J$125,2,FALSE)</f>
        <v>45383</v>
      </c>
    </row>
    <row r="749" spans="1:48" x14ac:dyDescent="0.25">
      <c r="A749" s="235"/>
      <c r="B749" s="227" t="str">
        <f t="shared" si="112"/>
        <v>D</v>
      </c>
      <c r="C749" s="227" t="s">
        <v>62</v>
      </c>
      <c r="D749" s="227" t="s">
        <v>1147</v>
      </c>
      <c r="E749" s="228">
        <v>1</v>
      </c>
      <c r="F749" s="101">
        <v>1</v>
      </c>
      <c r="G749" s="87" t="str">
        <f t="shared" si="121"/>
        <v>D511</v>
      </c>
      <c r="H749" s="87" t="s">
        <v>1294</v>
      </c>
      <c r="I749" s="89" t="str">
        <f>VLOOKUP(C749,'PREMIUM TABLES'!$G$107:$H$149,2,FALSE)</f>
        <v>C3</v>
      </c>
      <c r="J749" s="87">
        <v>128.56</v>
      </c>
      <c r="K749" s="87">
        <v>139.77700712474919</v>
      </c>
      <c r="L749" s="87">
        <v>157</v>
      </c>
      <c r="O749" s="87" t="s">
        <v>180</v>
      </c>
      <c r="P749" s="87" t="s">
        <v>226</v>
      </c>
      <c r="Q749" s="229" t="s">
        <v>199</v>
      </c>
      <c r="R749" s="87" t="str">
        <f>VLOOKUP(E749,'PREMIUM TABLES'!$F$214:$G$219,2,FALSE)</f>
        <v>FIRST</v>
      </c>
      <c r="S749" s="87" t="str" cm="1">
        <f t="array" ref="S749">IF(AND(L749&gt;0,L749&lt;90),"A",IF(AND(L749&gt;90,L749&lt;123),"B",IF(AND(L749&gt;122,L749&lt;159),"C",IF(AND(L749&gt;159,L749&lt;185),"D",IF(AND(L749&gt;185,L749&lt;230),"E",IF(AND(L749&gt;230,L749&lt;350),"F",NONE))))))</f>
        <v>C</v>
      </c>
      <c r="T749" s="230">
        <f>VLOOKUP(O749,'PREMIUM TABLES'!$G$165:$H$172,2,FALSE)</f>
        <v>0.13</v>
      </c>
      <c r="U749" s="230">
        <f>VLOOKUP(P749,'PREMIUM TABLES'!$G$208:$H$209,2,FALSE)</f>
        <v>0.05</v>
      </c>
      <c r="V749" s="230">
        <f>VLOOKUP(Q749,'PREMIUM TABLES'!$G$175:$H$195,2,FALSE)</f>
        <v>0.13</v>
      </c>
      <c r="W749" s="230">
        <f>VLOOKUP(R749,'PREMIUM TABLES'!$G$214:$H$219,2,FALSE)</f>
        <v>7.0000000000000007E-2</v>
      </c>
      <c r="X749" s="230">
        <f>VLOOKUP(S749,'PREMIUM TABLES'!$F$199:$H$205,3,FALSE)</f>
        <v>3.5000000000000003E-2</v>
      </c>
      <c r="Y749" s="231">
        <f t="shared" si="115"/>
        <v>0.41500000000000004</v>
      </c>
      <c r="Z749" s="231" t="str" cm="1">
        <f t="array" ref="Z749">IF(AND(Y749&gt;0,Y749&lt;0.5),"C",IF(AND(Y749&gt;=0.5,Y749&lt;0.73),"B",IF(AND(Y749&gt;=0.73,Y749&lt;0.98),"A",NONE)))</f>
        <v>C</v>
      </c>
      <c r="AA749" s="231" t="str">
        <f>VLOOKUP(G749,'ALL (R)'!$N$5:$R$862,5,FALSE)</f>
        <v>R 7</v>
      </c>
      <c r="AB749" s="232">
        <f>VLOOKUP(AA749,FACTS!$B$2:$L$14,10,FALSE)</f>
        <v>50150</v>
      </c>
      <c r="AC749" s="232">
        <f>VLOOKUP(AA749,FACTS!$B$2:$L$14,11,FALSE)</f>
        <v>56050</v>
      </c>
      <c r="AD749" s="232">
        <f>VLOOKUP(AA749,FACTS!$B$2:$N$14,13,FALSE)</f>
        <v>5900</v>
      </c>
      <c r="AE749" s="232">
        <f t="shared" si="116"/>
        <v>2448.5</v>
      </c>
      <c r="AF749" s="232">
        <f t="shared" si="117"/>
        <v>52598.5</v>
      </c>
      <c r="AG749" s="232">
        <f>AF749*FACTS!$T$2</f>
        <v>17357.505000000001</v>
      </c>
      <c r="AH749" s="232">
        <f>Table1[[#This Row],[UNIT (BUILDING) RATE (SEMI FINISHED)]]+4500</f>
        <v>57098.5</v>
      </c>
      <c r="AI749" s="232">
        <f>Table1[[#This Row],[UNIT (BUILDING) RATE (SEMI FINISHED)]]+7500</f>
        <v>60098.5</v>
      </c>
      <c r="AJ749" s="232">
        <f t="shared" si="118"/>
        <v>8257964.5</v>
      </c>
      <c r="AK749" s="232">
        <f>Table1[[#This Row],[UNIT (BUILDING) RATE (BASIC FINISH)]]*Table1[[#This Row],[Unit Selling Area]]</f>
        <v>8964464.5</v>
      </c>
      <c r="AL749" s="232">
        <f>Table1[[#This Row],[UNIT (BUILDING) RATE (FULLY FINISH)]]*Table1[[#This Row],[Unit Selling Area]]</f>
        <v>9435464.5</v>
      </c>
      <c r="AM749" s="232">
        <f t="shared" si="119"/>
        <v>0</v>
      </c>
      <c r="AN749" s="232">
        <f>(AM749+AJ749)*FACTS!$S$2</f>
        <v>701926.98250000004</v>
      </c>
      <c r="AO749" s="101">
        <f>VLOOKUP(S749,FACTS!$A$17:$C$23,3,FALSE)</f>
        <v>2</v>
      </c>
      <c r="AP749" s="232">
        <f>VLOOKUP(AA749,FACTS!$B$2:$J$14,9,FALSE)</f>
        <v>236000</v>
      </c>
      <c r="AQ749" s="232">
        <f>Table1[[#This Row],[PARKING VALUE]]*1</f>
        <v>236000</v>
      </c>
      <c r="AR749" s="232">
        <f t="shared" si="114"/>
        <v>8493964.5</v>
      </c>
      <c r="AS749" s="440">
        <f>Table1[[#This Row],[TOTAL CARS VALUE]]+Table1[[#This Row],[UNIT (BUILDING) VALUE BASIC FINISHED]]+Table1[[#This Row],[UNIT (GARDEN) VALUE]]</f>
        <v>9200464.5</v>
      </c>
      <c r="AT749" s="232">
        <f>Table1[[#This Row],[TOTAL CARS VALUE]]+Table1[[#This Row],[UNIT (GARDEN) VALUE]]+Table1[[#This Row],[UNIT (BUILDING) VALUE FULLY FINISHED]]</f>
        <v>9671464.5</v>
      </c>
      <c r="AU749" s="233">
        <f>VLOOKUP(I749,'C PHASES'!$I$108:$J$110,2,FALSE)</f>
        <v>46569</v>
      </c>
      <c r="AV749" s="233">
        <f>VLOOKUP(AA749,'C PHASES'!$I$113:$J$125,2,FALSE)</f>
        <v>45748</v>
      </c>
    </row>
    <row r="750" spans="1:48" x14ac:dyDescent="0.25">
      <c r="A750" s="235"/>
      <c r="B750" s="227" t="str">
        <f t="shared" si="112"/>
        <v>D</v>
      </c>
      <c r="C750" s="227" t="s">
        <v>62</v>
      </c>
      <c r="D750" s="227" t="s">
        <v>1147</v>
      </c>
      <c r="E750" s="228">
        <v>1</v>
      </c>
      <c r="F750" s="101">
        <v>2</v>
      </c>
      <c r="G750" s="87" t="str">
        <f t="shared" si="121"/>
        <v>D512</v>
      </c>
      <c r="H750" s="87" t="s">
        <v>1294</v>
      </c>
      <c r="I750" s="89" t="str">
        <f>VLOOKUP(C750,'PREMIUM TABLES'!$G$107:$H$149,2,FALSE)</f>
        <v>C3</v>
      </c>
      <c r="J750" s="87">
        <v>131.12</v>
      </c>
      <c r="K750" s="87">
        <v>142.56037005442684</v>
      </c>
      <c r="L750" s="87">
        <v>160</v>
      </c>
      <c r="O750" s="87" t="s">
        <v>187</v>
      </c>
      <c r="P750" s="87" t="s">
        <v>226</v>
      </c>
      <c r="Q750" s="229" t="s">
        <v>211</v>
      </c>
      <c r="R750" s="87" t="str">
        <f>VLOOKUP(E750,'PREMIUM TABLES'!$F$214:$G$219,2,FALSE)</f>
        <v>FIRST</v>
      </c>
      <c r="S750" s="87" t="str" cm="1">
        <f t="array" ref="S750">IF(AND(L750&gt;0,L750&lt;90),"A",IF(AND(L750&gt;90,L750&lt;123),"B",IF(AND(L750&gt;122,L750&lt;159),"C",IF(AND(L750&gt;159,L750&lt;185),"D",IF(AND(L750&gt;185,L750&lt;230),"E",IF(AND(L750&gt;230,L750&lt;350),"F",NONE))))))</f>
        <v>D</v>
      </c>
      <c r="T750" s="230">
        <f>VLOOKUP(O750,'PREMIUM TABLES'!$G$165:$H$172,2,FALSE)</f>
        <v>0.08</v>
      </c>
      <c r="U750" s="230">
        <f>VLOOKUP(P750,'PREMIUM TABLES'!$G$208:$H$209,2,FALSE)</f>
        <v>0.05</v>
      </c>
      <c r="V750" s="230">
        <f>VLOOKUP(Q750,'PREMIUM TABLES'!$G$175:$H$195,2,FALSE)</f>
        <v>0.43</v>
      </c>
      <c r="W750" s="230">
        <f>VLOOKUP(R750,'PREMIUM TABLES'!$G$214:$H$219,2,FALSE)</f>
        <v>7.0000000000000007E-2</v>
      </c>
      <c r="X750" s="230">
        <f>VLOOKUP(S750,'PREMIUM TABLES'!$F$199:$H$205,3,FALSE)</f>
        <v>2.5000000000000001E-2</v>
      </c>
      <c r="Y750" s="231">
        <f t="shared" si="115"/>
        <v>0.65500000000000014</v>
      </c>
      <c r="Z750" s="231" t="str" cm="1">
        <f t="array" ref="Z750">IF(AND(Y750&gt;0,Y750&lt;0.5),"C",IF(AND(Y750&gt;=0.5,Y750&lt;0.73),"B",IF(AND(Y750&gt;=0.73,Y750&lt;0.98),"A",NONE)))</f>
        <v>B</v>
      </c>
      <c r="AA750" s="231" t="str">
        <f>VLOOKUP(G750,'ALL (R)'!$N$5:$R$862,5,FALSE)</f>
        <v>R 6</v>
      </c>
      <c r="AB750" s="232">
        <f>VLOOKUP(AA750,FACTS!$B$2:$L$14,10,FALSE)</f>
        <v>48450.000000000007</v>
      </c>
      <c r="AC750" s="232">
        <f>VLOOKUP(AA750,FACTS!$B$2:$L$14,11,FALSE)</f>
        <v>54150.000000000007</v>
      </c>
      <c r="AD750" s="232">
        <f>VLOOKUP(AA750,FACTS!$B$2:$N$14,13,FALSE)</f>
        <v>5700</v>
      </c>
      <c r="AE750" s="232">
        <f t="shared" si="116"/>
        <v>3733.5000000000009</v>
      </c>
      <c r="AF750" s="232">
        <f t="shared" si="117"/>
        <v>52183.500000000007</v>
      </c>
      <c r="AG750" s="232">
        <f>AF750*FACTS!$T$2</f>
        <v>17220.555000000004</v>
      </c>
      <c r="AH750" s="232">
        <f>Table1[[#This Row],[UNIT (BUILDING) RATE (SEMI FINISHED)]]+4500</f>
        <v>56683.500000000007</v>
      </c>
      <c r="AI750" s="232">
        <f>Table1[[#This Row],[UNIT (BUILDING) RATE (SEMI FINISHED)]]+7500</f>
        <v>59683.500000000007</v>
      </c>
      <c r="AJ750" s="232">
        <f t="shared" si="118"/>
        <v>8349360.0000000009</v>
      </c>
      <c r="AK750" s="232">
        <f>Table1[[#This Row],[UNIT (BUILDING) RATE (BASIC FINISH)]]*Table1[[#This Row],[Unit Selling Area]]</f>
        <v>9069360.0000000019</v>
      </c>
      <c r="AL750" s="232">
        <f>Table1[[#This Row],[UNIT (BUILDING) RATE (FULLY FINISH)]]*Table1[[#This Row],[Unit Selling Area]]</f>
        <v>9549360.0000000019</v>
      </c>
      <c r="AM750" s="232">
        <f t="shared" si="119"/>
        <v>0</v>
      </c>
      <c r="AN750" s="232">
        <f>(AM750+AJ750)*FACTS!$S$2</f>
        <v>709695.60000000009</v>
      </c>
      <c r="AO750" s="101">
        <f>VLOOKUP(S750,FACTS!$A$17:$C$23,3,FALSE)</f>
        <v>2</v>
      </c>
      <c r="AP750" s="232">
        <f>VLOOKUP(AA750,FACTS!$B$2:$J$14,9,FALSE)</f>
        <v>228000.00000000003</v>
      </c>
      <c r="AQ750" s="232">
        <f>Table1[[#This Row],[PARKING VALUE]]*1</f>
        <v>228000.00000000003</v>
      </c>
      <c r="AR750" s="232">
        <f t="shared" si="114"/>
        <v>8577360.0000000019</v>
      </c>
      <c r="AS750" s="440">
        <f>Table1[[#This Row],[TOTAL CARS VALUE]]+Table1[[#This Row],[UNIT (BUILDING) VALUE BASIC FINISHED]]+Table1[[#This Row],[UNIT (GARDEN) VALUE]]</f>
        <v>9297360.0000000019</v>
      </c>
      <c r="AT750" s="232">
        <f>Table1[[#This Row],[TOTAL CARS VALUE]]+Table1[[#This Row],[UNIT (GARDEN) VALUE]]+Table1[[#This Row],[UNIT (BUILDING) VALUE FULLY FINISHED]]</f>
        <v>9777360.0000000019</v>
      </c>
      <c r="AU750" s="233">
        <f>VLOOKUP(I750,'C PHASES'!$I$108:$J$110,2,FALSE)</f>
        <v>46569</v>
      </c>
      <c r="AV750" s="233">
        <f>VLOOKUP(AA750,'C PHASES'!$I$113:$J$125,2,FALSE)</f>
        <v>45658</v>
      </c>
    </row>
    <row r="751" spans="1:48" x14ac:dyDescent="0.25">
      <c r="A751" s="235"/>
      <c r="B751" s="227" t="str">
        <f t="shared" si="112"/>
        <v>D</v>
      </c>
      <c r="C751" s="227" t="s">
        <v>62</v>
      </c>
      <c r="D751" s="227" t="s">
        <v>1147</v>
      </c>
      <c r="E751" s="228">
        <v>1</v>
      </c>
      <c r="F751" s="101">
        <v>3</v>
      </c>
      <c r="G751" s="87" t="str">
        <f t="shared" si="121"/>
        <v>D513</v>
      </c>
      <c r="H751" s="87" t="s">
        <v>1294</v>
      </c>
      <c r="I751" s="89" t="str">
        <f>VLOOKUP(C751,'PREMIUM TABLES'!$G$107:$H$149,2,FALSE)</f>
        <v>C3</v>
      </c>
      <c r="J751" s="87">
        <v>126.34</v>
      </c>
      <c r="K751" s="87">
        <v>137.36330958416934</v>
      </c>
      <c r="L751" s="87">
        <v>154</v>
      </c>
      <c r="O751" s="87" t="s">
        <v>187</v>
      </c>
      <c r="P751" s="87" t="s">
        <v>190</v>
      </c>
      <c r="Q751" s="229" t="s">
        <v>211</v>
      </c>
      <c r="R751" s="87" t="str">
        <f>VLOOKUP(E751,'PREMIUM TABLES'!$F$214:$G$219,2,FALSE)</f>
        <v>FIRST</v>
      </c>
      <c r="S751" s="87" t="str" cm="1">
        <f t="array" ref="S751">IF(AND(L751&gt;0,L751&lt;90),"A",IF(AND(L751&gt;90,L751&lt;123),"B",IF(AND(L751&gt;122,L751&lt;159),"C",IF(AND(L751&gt;159,L751&lt;185),"D",IF(AND(L751&gt;185,L751&lt;230),"E",IF(AND(L751&gt;230,L751&lt;350),"F",NONE))))))</f>
        <v>C</v>
      </c>
      <c r="T751" s="230">
        <f>VLOOKUP(O751,'PREMIUM TABLES'!$G$165:$H$172,2,FALSE)</f>
        <v>0.08</v>
      </c>
      <c r="U751" s="230">
        <f>VLOOKUP(P751,'PREMIUM TABLES'!$G$208:$H$209,2,FALSE)</f>
        <v>2.5000000000000001E-2</v>
      </c>
      <c r="V751" s="230">
        <f>VLOOKUP(Q751,'PREMIUM TABLES'!$G$175:$H$195,2,FALSE)</f>
        <v>0.43</v>
      </c>
      <c r="W751" s="230">
        <f>VLOOKUP(R751,'PREMIUM TABLES'!$G$214:$H$219,2,FALSE)</f>
        <v>7.0000000000000007E-2</v>
      </c>
      <c r="X751" s="230">
        <f>VLOOKUP(S751,'PREMIUM TABLES'!$F$199:$H$205,3,FALSE)</f>
        <v>3.5000000000000003E-2</v>
      </c>
      <c r="Y751" s="231">
        <f t="shared" si="115"/>
        <v>0.64</v>
      </c>
      <c r="Z751" s="231" t="str" cm="1">
        <f t="array" ref="Z751">IF(AND(Y751&gt;0,Y751&lt;0.5),"C",IF(AND(Y751&gt;=0.5,Y751&lt;0.73),"B",IF(AND(Y751&gt;=0.73,Y751&lt;0.98),"A",NONE)))</f>
        <v>B</v>
      </c>
      <c r="AA751" s="231" t="str">
        <f>VLOOKUP(G751,'ALL (R)'!$N$5:$R$862,5,FALSE)</f>
        <v>R 4</v>
      </c>
      <c r="AB751" s="232">
        <f>VLOOKUP(AA751,FACTS!$B$2:$L$14,10,FALSE)</f>
        <v>45687.5</v>
      </c>
      <c r="AC751" s="232">
        <f>VLOOKUP(AA751,FACTS!$B$2:$L$14,11,FALSE)</f>
        <v>51062.5</v>
      </c>
      <c r="AD751" s="232">
        <f>VLOOKUP(AA751,FACTS!$B$2:$N$14,13,FALSE)</f>
        <v>5375</v>
      </c>
      <c r="AE751" s="232">
        <f t="shared" si="116"/>
        <v>3440</v>
      </c>
      <c r="AF751" s="232">
        <f t="shared" si="117"/>
        <v>49127.5</v>
      </c>
      <c r="AG751" s="232">
        <f>AF751*FACTS!$T$2</f>
        <v>16212.075000000001</v>
      </c>
      <c r="AH751" s="232">
        <f>Table1[[#This Row],[UNIT (BUILDING) RATE (SEMI FINISHED)]]+4500</f>
        <v>53627.5</v>
      </c>
      <c r="AI751" s="232">
        <f>Table1[[#This Row],[UNIT (BUILDING) RATE (SEMI FINISHED)]]+7500</f>
        <v>56627.5</v>
      </c>
      <c r="AJ751" s="232">
        <f t="shared" si="118"/>
        <v>7565635</v>
      </c>
      <c r="AK751" s="232">
        <f>Table1[[#This Row],[UNIT (BUILDING) RATE (BASIC FINISH)]]*Table1[[#This Row],[Unit Selling Area]]</f>
        <v>8258635</v>
      </c>
      <c r="AL751" s="232">
        <f>Table1[[#This Row],[UNIT (BUILDING) RATE (FULLY FINISH)]]*Table1[[#This Row],[Unit Selling Area]]</f>
        <v>8720635</v>
      </c>
      <c r="AM751" s="232">
        <f t="shared" si="119"/>
        <v>0</v>
      </c>
      <c r="AN751" s="232">
        <f>(AM751+AJ751)*FACTS!$S$2</f>
        <v>643078.97500000009</v>
      </c>
      <c r="AO751" s="101">
        <f>VLOOKUP(S751,FACTS!$A$17:$C$23,3,FALSE)</f>
        <v>2</v>
      </c>
      <c r="AP751" s="232">
        <f>VLOOKUP(AA751,FACTS!$B$2:$J$14,9,FALSE)</f>
        <v>215000</v>
      </c>
      <c r="AQ751" s="232">
        <f>Table1[[#This Row],[PARKING VALUE]]*1</f>
        <v>215000</v>
      </c>
      <c r="AR751" s="232">
        <f t="shared" si="114"/>
        <v>7780635</v>
      </c>
      <c r="AS751" s="440">
        <f>Table1[[#This Row],[TOTAL CARS VALUE]]+Table1[[#This Row],[UNIT (BUILDING) VALUE BASIC FINISHED]]+Table1[[#This Row],[UNIT (GARDEN) VALUE]]</f>
        <v>8473635</v>
      </c>
      <c r="AT751" s="232">
        <f>Table1[[#This Row],[TOTAL CARS VALUE]]+Table1[[#This Row],[UNIT (GARDEN) VALUE]]+Table1[[#This Row],[UNIT (BUILDING) VALUE FULLY FINISHED]]</f>
        <v>8935635</v>
      </c>
      <c r="AU751" s="233">
        <f>VLOOKUP(I751,'C PHASES'!$I$108:$J$110,2,FALSE)</f>
        <v>46569</v>
      </c>
      <c r="AV751" s="233">
        <f>VLOOKUP(AA751,'C PHASES'!$I$113:$J$125,2,FALSE)</f>
        <v>45474</v>
      </c>
    </row>
    <row r="752" spans="1:48" x14ac:dyDescent="0.25">
      <c r="A752" s="235"/>
      <c r="B752" s="227" t="str">
        <f t="shared" si="112"/>
        <v>D</v>
      </c>
      <c r="C752" s="227" t="s">
        <v>62</v>
      </c>
      <c r="D752" s="227" t="s">
        <v>1147</v>
      </c>
      <c r="E752" s="228">
        <v>1</v>
      </c>
      <c r="F752" s="101">
        <v>4</v>
      </c>
      <c r="G752" s="87" t="str">
        <f t="shared" si="121"/>
        <v>D514</v>
      </c>
      <c r="H752" s="87" t="s">
        <v>1293</v>
      </c>
      <c r="I752" s="89" t="str">
        <f>VLOOKUP(C752,'PREMIUM TABLES'!$G$107:$H$149,2,FALSE)</f>
        <v>C3</v>
      </c>
      <c r="J752" s="87">
        <v>88.79</v>
      </c>
      <c r="K752" s="87">
        <v>96.537029111749234</v>
      </c>
      <c r="L752" s="87">
        <v>108</v>
      </c>
      <c r="O752" s="87" t="s">
        <v>180</v>
      </c>
      <c r="P752" s="87" t="s">
        <v>190</v>
      </c>
      <c r="Q752" s="229" t="s">
        <v>199</v>
      </c>
      <c r="R752" s="87" t="str">
        <f>VLOOKUP(E752,'PREMIUM TABLES'!$F$214:$G$219,2,FALSE)</f>
        <v>FIRST</v>
      </c>
      <c r="S752" s="87" t="str" cm="1">
        <f t="array" ref="S752">IF(AND(L752&gt;0,L752&lt;90),"A",IF(AND(L752&gt;90,L752&lt;123),"B",IF(AND(L752&gt;122,L752&lt;159),"C",IF(AND(L752&gt;159,L752&lt;185),"D",IF(AND(L752&gt;185,L752&lt;230),"E",IF(AND(L752&gt;230,L752&lt;350),"F",NONE))))))</f>
        <v>B</v>
      </c>
      <c r="T752" s="230">
        <f>VLOOKUP(O752,'PREMIUM TABLES'!$G$165:$H$172,2,FALSE)</f>
        <v>0.13</v>
      </c>
      <c r="U752" s="230">
        <f>VLOOKUP(P752,'PREMIUM TABLES'!$G$208:$H$209,2,FALSE)</f>
        <v>2.5000000000000001E-2</v>
      </c>
      <c r="V752" s="230">
        <f>VLOOKUP(Q752,'PREMIUM TABLES'!$G$175:$H$195,2,FALSE)</f>
        <v>0.13</v>
      </c>
      <c r="W752" s="230">
        <f>VLOOKUP(R752,'PREMIUM TABLES'!$G$214:$H$219,2,FALSE)</f>
        <v>7.0000000000000007E-2</v>
      </c>
      <c r="X752" s="230">
        <f>VLOOKUP(S752,'PREMIUM TABLES'!$F$199:$H$205,3,FALSE)</f>
        <v>0.04</v>
      </c>
      <c r="Y752" s="231">
        <f t="shared" si="115"/>
        <v>0.39500000000000002</v>
      </c>
      <c r="Z752" s="231" t="str" cm="1">
        <f t="array" ref="Z752">IF(AND(Y752&gt;0,Y752&lt;0.5),"C",IF(AND(Y752&gt;=0.5,Y752&lt;0.73),"B",IF(AND(Y752&gt;=0.73,Y752&lt;0.98),"A",NONE)))</f>
        <v>C</v>
      </c>
      <c r="AA752" s="231" t="str">
        <f>VLOOKUP(G752,'ALL (R)'!$N$5:$R$862,5,FALSE)</f>
        <v>R 4</v>
      </c>
      <c r="AB752" s="232">
        <f>VLOOKUP(AA752,FACTS!$B$2:$L$14,10,FALSE)</f>
        <v>45687.5</v>
      </c>
      <c r="AC752" s="232">
        <f>VLOOKUP(AA752,FACTS!$B$2:$L$14,11,FALSE)</f>
        <v>51062.5</v>
      </c>
      <c r="AD752" s="232">
        <f>VLOOKUP(AA752,FACTS!$B$2:$N$14,13,FALSE)</f>
        <v>5375</v>
      </c>
      <c r="AE752" s="232">
        <f t="shared" si="116"/>
        <v>2123.125</v>
      </c>
      <c r="AF752" s="232">
        <f t="shared" si="117"/>
        <v>47810.625</v>
      </c>
      <c r="AG752" s="232">
        <f>AF752*FACTS!$T$2</f>
        <v>15777.50625</v>
      </c>
      <c r="AH752" s="232">
        <f>Table1[[#This Row],[UNIT (BUILDING) RATE (SEMI FINISHED)]]+4500</f>
        <v>52310.625</v>
      </c>
      <c r="AI752" s="232">
        <f>Table1[[#This Row],[UNIT (BUILDING) RATE (SEMI FINISHED)]]+7500</f>
        <v>55310.625</v>
      </c>
      <c r="AJ752" s="232">
        <f t="shared" si="118"/>
        <v>5163547.5</v>
      </c>
      <c r="AK752" s="232">
        <f>Table1[[#This Row],[UNIT (BUILDING) RATE (BASIC FINISH)]]*Table1[[#This Row],[Unit Selling Area]]</f>
        <v>5649547.5</v>
      </c>
      <c r="AL752" s="232">
        <f>Table1[[#This Row],[UNIT (BUILDING) RATE (FULLY FINISH)]]*Table1[[#This Row],[Unit Selling Area]]</f>
        <v>5973547.5</v>
      </c>
      <c r="AM752" s="232">
        <f t="shared" si="119"/>
        <v>0</v>
      </c>
      <c r="AN752" s="232">
        <f>(AM752+AJ752)*FACTS!$S$2</f>
        <v>438901.53750000003</v>
      </c>
      <c r="AO752" s="101">
        <f>VLOOKUP(S752,FACTS!$A$17:$C$23,3,FALSE)</f>
        <v>1</v>
      </c>
      <c r="AP752" s="232">
        <f>VLOOKUP(AA752,FACTS!$B$2:$J$14,9,FALSE)</f>
        <v>215000</v>
      </c>
      <c r="AQ752" s="232">
        <f>Table1[[#This Row],[PARKING VALUE]]*1</f>
        <v>215000</v>
      </c>
      <c r="AR752" s="232">
        <f t="shared" si="114"/>
        <v>5378547.5</v>
      </c>
      <c r="AS752" s="440">
        <f>Table1[[#This Row],[TOTAL CARS VALUE]]+Table1[[#This Row],[UNIT (BUILDING) VALUE BASIC FINISHED]]+Table1[[#This Row],[UNIT (GARDEN) VALUE]]</f>
        <v>5864547.5</v>
      </c>
      <c r="AT752" s="232">
        <f>Table1[[#This Row],[TOTAL CARS VALUE]]+Table1[[#This Row],[UNIT (GARDEN) VALUE]]+Table1[[#This Row],[UNIT (BUILDING) VALUE FULLY FINISHED]]</f>
        <v>6188547.5</v>
      </c>
      <c r="AU752" s="233">
        <f>VLOOKUP(I752,'C PHASES'!$I$108:$J$110,2,FALSE)</f>
        <v>46569</v>
      </c>
      <c r="AV752" s="233">
        <f>VLOOKUP(AA752,'C PHASES'!$I$113:$J$125,2,FALSE)</f>
        <v>45474</v>
      </c>
    </row>
    <row r="753" spans="1:48" x14ac:dyDescent="0.25">
      <c r="A753" s="235"/>
      <c r="B753" s="227" t="str">
        <f t="shared" si="112"/>
        <v>D</v>
      </c>
      <c r="C753" s="227" t="s">
        <v>62</v>
      </c>
      <c r="D753" s="227" t="s">
        <v>1147</v>
      </c>
      <c r="E753" s="228">
        <v>2</v>
      </c>
      <c r="F753" s="101">
        <v>1</v>
      </c>
      <c r="G753" s="87" t="str">
        <f t="shared" si="121"/>
        <v>D521</v>
      </c>
      <c r="H753" s="87" t="s">
        <v>1294</v>
      </c>
      <c r="I753" s="89" t="str">
        <f>VLOOKUP(C753,'PREMIUM TABLES'!$G$107:$H$149,2,FALSE)</f>
        <v>C3</v>
      </c>
      <c r="J753" s="87">
        <v>131.56</v>
      </c>
      <c r="K753" s="87">
        <v>143.03876055796516</v>
      </c>
      <c r="L753" s="87">
        <v>161</v>
      </c>
      <c r="O753" s="87" t="s">
        <v>180</v>
      </c>
      <c r="P753" s="87" t="s">
        <v>226</v>
      </c>
      <c r="Q753" s="229" t="s">
        <v>199</v>
      </c>
      <c r="R753" s="87" t="str">
        <f>VLOOKUP(E753,'PREMIUM TABLES'!$F$214:$G$219,2,FALSE)</f>
        <v>SECOND</v>
      </c>
      <c r="S753" s="87" t="str" cm="1">
        <f t="array" ref="S753">IF(AND(L753&gt;0,L753&lt;90),"A",IF(AND(L753&gt;90,L753&lt;123),"B",IF(AND(L753&gt;122,L753&lt;159),"C",IF(AND(L753&gt;159,L753&lt;185),"D",IF(AND(L753&gt;185,L753&lt;230),"E",IF(AND(L753&gt;230,L753&lt;350),"F",NONE))))))</f>
        <v>D</v>
      </c>
      <c r="T753" s="230">
        <f>VLOOKUP(O753,'PREMIUM TABLES'!$G$165:$H$172,2,FALSE)</f>
        <v>0.13</v>
      </c>
      <c r="U753" s="230">
        <f>VLOOKUP(P753,'PREMIUM TABLES'!$G$208:$H$209,2,FALSE)</f>
        <v>0.05</v>
      </c>
      <c r="V753" s="230">
        <f>VLOOKUP(Q753,'PREMIUM TABLES'!$G$175:$H$195,2,FALSE)</f>
        <v>0.13</v>
      </c>
      <c r="W753" s="230">
        <f>VLOOKUP(R753,'PREMIUM TABLES'!$G$214:$H$219,2,FALSE)</f>
        <v>0.11</v>
      </c>
      <c r="X753" s="230">
        <f>VLOOKUP(S753,'PREMIUM TABLES'!$F$199:$H$205,3,FALSE)</f>
        <v>2.5000000000000001E-2</v>
      </c>
      <c r="Y753" s="231">
        <f t="shared" si="115"/>
        <v>0.44500000000000001</v>
      </c>
      <c r="Z753" s="231" t="str" cm="1">
        <f t="array" ref="Z753">IF(AND(Y753&gt;0,Y753&lt;0.5),"C",IF(AND(Y753&gt;=0.5,Y753&lt;0.73),"B",IF(AND(Y753&gt;=0.73,Y753&lt;0.98),"A",NONE)))</f>
        <v>C</v>
      </c>
      <c r="AA753" s="231" t="str">
        <f>VLOOKUP(G753,'ALL (R)'!$N$5:$R$862,5,FALSE)</f>
        <v>R 9</v>
      </c>
      <c r="AB753" s="232">
        <f>VLOOKUP(AA753,FACTS!$B$2:$L$14,10,FALSE)</f>
        <v>53550</v>
      </c>
      <c r="AC753" s="232">
        <f>VLOOKUP(AA753,FACTS!$B$2:$L$14,11,FALSE)</f>
        <v>59850</v>
      </c>
      <c r="AD753" s="232">
        <f>VLOOKUP(AA753,FACTS!$B$2:$N$14,13,FALSE)</f>
        <v>6300</v>
      </c>
      <c r="AE753" s="232">
        <f t="shared" si="116"/>
        <v>2803.5</v>
      </c>
      <c r="AF753" s="232">
        <f t="shared" si="117"/>
        <v>56353.5</v>
      </c>
      <c r="AG753" s="232">
        <f>AF753*FACTS!$T$2</f>
        <v>18596.655000000002</v>
      </c>
      <c r="AH753" s="232">
        <f>Table1[[#This Row],[UNIT (BUILDING) RATE (SEMI FINISHED)]]+4500</f>
        <v>60853.5</v>
      </c>
      <c r="AI753" s="232">
        <f>Table1[[#This Row],[UNIT (BUILDING) RATE (SEMI FINISHED)]]+7500</f>
        <v>63853.5</v>
      </c>
      <c r="AJ753" s="232">
        <f t="shared" si="118"/>
        <v>9072913.5</v>
      </c>
      <c r="AK753" s="232">
        <f>Table1[[#This Row],[UNIT (BUILDING) RATE (BASIC FINISH)]]*Table1[[#This Row],[Unit Selling Area]]</f>
        <v>9797413.5</v>
      </c>
      <c r="AL753" s="232">
        <f>Table1[[#This Row],[UNIT (BUILDING) RATE (FULLY FINISH)]]*Table1[[#This Row],[Unit Selling Area]]</f>
        <v>10280413.5</v>
      </c>
      <c r="AM753" s="232">
        <f t="shared" si="119"/>
        <v>0</v>
      </c>
      <c r="AN753" s="232">
        <f>(AM753+AJ753)*FACTS!$S$2</f>
        <v>771197.64750000008</v>
      </c>
      <c r="AO753" s="101">
        <f>VLOOKUP(S753,FACTS!$A$17:$C$23,3,FALSE)</f>
        <v>2</v>
      </c>
      <c r="AP753" s="232">
        <f>VLOOKUP(AA753,FACTS!$B$2:$J$14,9,FALSE)</f>
        <v>252000</v>
      </c>
      <c r="AQ753" s="232">
        <f>Table1[[#This Row],[PARKING VALUE]]*1</f>
        <v>252000</v>
      </c>
      <c r="AR753" s="232">
        <f t="shared" si="114"/>
        <v>9324913.5</v>
      </c>
      <c r="AS753" s="440">
        <f>Table1[[#This Row],[TOTAL CARS VALUE]]+Table1[[#This Row],[UNIT (BUILDING) VALUE BASIC FINISHED]]+Table1[[#This Row],[UNIT (GARDEN) VALUE]]</f>
        <v>10049413.5</v>
      </c>
      <c r="AT753" s="232">
        <f>Table1[[#This Row],[TOTAL CARS VALUE]]+Table1[[#This Row],[UNIT (GARDEN) VALUE]]+Table1[[#This Row],[UNIT (BUILDING) VALUE FULLY FINISHED]]</f>
        <v>10532413.5</v>
      </c>
      <c r="AU753" s="233">
        <f>VLOOKUP(I753,'C PHASES'!$I$108:$J$110,2,FALSE)</f>
        <v>46569</v>
      </c>
      <c r="AV753" s="233">
        <f>VLOOKUP(AA753,'C PHASES'!$I$113:$J$125,2,FALSE)</f>
        <v>45931</v>
      </c>
    </row>
    <row r="754" spans="1:48" x14ac:dyDescent="0.25">
      <c r="A754" s="235"/>
      <c r="B754" s="227" t="str">
        <f t="shared" si="112"/>
        <v>D</v>
      </c>
      <c r="C754" s="227" t="s">
        <v>62</v>
      </c>
      <c r="D754" s="227" t="s">
        <v>1147</v>
      </c>
      <c r="E754" s="228">
        <v>2</v>
      </c>
      <c r="F754" s="101">
        <v>2</v>
      </c>
      <c r="G754" s="87" t="str">
        <f t="shared" si="121"/>
        <v>D522</v>
      </c>
      <c r="H754" s="87" t="s">
        <v>1294</v>
      </c>
      <c r="I754" s="89" t="str">
        <f>VLOOKUP(C754,'PREMIUM TABLES'!$G$107:$H$149,2,FALSE)</f>
        <v>C3</v>
      </c>
      <c r="J754" s="87">
        <v>131.56</v>
      </c>
      <c r="K754" s="87">
        <v>143.03876055796516</v>
      </c>
      <c r="L754" s="87">
        <v>161</v>
      </c>
      <c r="O754" s="87" t="s">
        <v>187</v>
      </c>
      <c r="P754" s="87" t="s">
        <v>226</v>
      </c>
      <c r="Q754" s="229" t="s">
        <v>211</v>
      </c>
      <c r="R754" s="87" t="str">
        <f>VLOOKUP(E754,'PREMIUM TABLES'!$F$214:$G$219,2,FALSE)</f>
        <v>SECOND</v>
      </c>
      <c r="S754" s="87" t="str" cm="1">
        <f t="array" ref="S754">IF(AND(L754&gt;0,L754&lt;90),"A",IF(AND(L754&gt;90,L754&lt;123),"B",IF(AND(L754&gt;122,L754&lt;159),"C",IF(AND(L754&gt;159,L754&lt;185),"D",IF(AND(L754&gt;185,L754&lt;230),"E",IF(AND(L754&gt;230,L754&lt;350),"F",NONE))))))</f>
        <v>D</v>
      </c>
      <c r="T754" s="230">
        <f>VLOOKUP(O754,'PREMIUM TABLES'!$G$165:$H$172,2,FALSE)</f>
        <v>0.08</v>
      </c>
      <c r="U754" s="230">
        <f>VLOOKUP(P754,'PREMIUM TABLES'!$G$208:$H$209,2,FALSE)</f>
        <v>0.05</v>
      </c>
      <c r="V754" s="230">
        <f>VLOOKUP(Q754,'PREMIUM TABLES'!$G$175:$H$195,2,FALSE)</f>
        <v>0.43</v>
      </c>
      <c r="W754" s="230">
        <f>VLOOKUP(R754,'PREMIUM TABLES'!$G$214:$H$219,2,FALSE)</f>
        <v>0.11</v>
      </c>
      <c r="X754" s="230">
        <f>VLOOKUP(S754,'PREMIUM TABLES'!$F$199:$H$205,3,FALSE)</f>
        <v>2.5000000000000001E-2</v>
      </c>
      <c r="Y754" s="231">
        <f t="shared" si="115"/>
        <v>0.69500000000000006</v>
      </c>
      <c r="Z754" s="231" t="str" cm="1">
        <f t="array" ref="Z754">IF(AND(Y754&gt;0,Y754&lt;0.5),"C",IF(AND(Y754&gt;=0.5,Y754&lt;0.73),"B",IF(AND(Y754&gt;=0.73,Y754&lt;0.98),"A",NONE)))</f>
        <v>B</v>
      </c>
      <c r="AA754" s="231" t="str">
        <f>VLOOKUP(G754,'ALL (R)'!$N$5:$R$862,5,FALSE)</f>
        <v>R 9</v>
      </c>
      <c r="AB754" s="232">
        <f>VLOOKUP(AA754,FACTS!$B$2:$L$14,10,FALSE)</f>
        <v>53550</v>
      </c>
      <c r="AC754" s="232">
        <f>VLOOKUP(AA754,FACTS!$B$2:$L$14,11,FALSE)</f>
        <v>59850</v>
      </c>
      <c r="AD754" s="232">
        <f>VLOOKUP(AA754,FACTS!$B$2:$N$14,13,FALSE)</f>
        <v>6300</v>
      </c>
      <c r="AE754" s="232">
        <f t="shared" si="116"/>
        <v>4378.5</v>
      </c>
      <c r="AF754" s="232">
        <f t="shared" si="117"/>
        <v>57928.5</v>
      </c>
      <c r="AG754" s="232">
        <f>AF754*FACTS!$T$2</f>
        <v>19116.405000000002</v>
      </c>
      <c r="AH754" s="232">
        <f>Table1[[#This Row],[UNIT (BUILDING) RATE (SEMI FINISHED)]]+4500</f>
        <v>62428.5</v>
      </c>
      <c r="AI754" s="232">
        <f>Table1[[#This Row],[UNIT (BUILDING) RATE (SEMI FINISHED)]]+7500</f>
        <v>65428.5</v>
      </c>
      <c r="AJ754" s="232">
        <f t="shared" si="118"/>
        <v>9326488.5</v>
      </c>
      <c r="AK754" s="232">
        <f>Table1[[#This Row],[UNIT (BUILDING) RATE (BASIC FINISH)]]*Table1[[#This Row],[Unit Selling Area]]</f>
        <v>10050988.5</v>
      </c>
      <c r="AL754" s="232">
        <f>Table1[[#This Row],[UNIT (BUILDING) RATE (FULLY FINISH)]]*Table1[[#This Row],[Unit Selling Area]]</f>
        <v>10533988.5</v>
      </c>
      <c r="AM754" s="232">
        <f t="shared" si="119"/>
        <v>0</v>
      </c>
      <c r="AN754" s="232">
        <f>(AM754+AJ754)*FACTS!$S$2</f>
        <v>792751.52250000008</v>
      </c>
      <c r="AO754" s="101">
        <f>VLOOKUP(S754,FACTS!$A$17:$C$23,3,FALSE)</f>
        <v>2</v>
      </c>
      <c r="AP754" s="232">
        <f>VLOOKUP(AA754,FACTS!$B$2:$J$14,9,FALSE)</f>
        <v>252000</v>
      </c>
      <c r="AQ754" s="232">
        <f>Table1[[#This Row],[PARKING VALUE]]*1</f>
        <v>252000</v>
      </c>
      <c r="AR754" s="232">
        <f t="shared" si="114"/>
        <v>9578488.5</v>
      </c>
      <c r="AS754" s="440">
        <f>Table1[[#This Row],[TOTAL CARS VALUE]]+Table1[[#This Row],[UNIT (BUILDING) VALUE BASIC FINISHED]]+Table1[[#This Row],[UNIT (GARDEN) VALUE]]</f>
        <v>10302988.5</v>
      </c>
      <c r="AT754" s="232">
        <f>Table1[[#This Row],[TOTAL CARS VALUE]]+Table1[[#This Row],[UNIT (GARDEN) VALUE]]+Table1[[#This Row],[UNIT (BUILDING) VALUE FULLY FINISHED]]</f>
        <v>10785988.5</v>
      </c>
      <c r="AU754" s="233">
        <f>VLOOKUP(I754,'C PHASES'!$I$108:$J$110,2,FALSE)</f>
        <v>46569</v>
      </c>
      <c r="AV754" s="233">
        <f>VLOOKUP(AA754,'C PHASES'!$I$113:$J$125,2,FALSE)</f>
        <v>45931</v>
      </c>
    </row>
    <row r="755" spans="1:48" x14ac:dyDescent="0.25">
      <c r="A755" s="235"/>
      <c r="B755" s="227" t="str">
        <f t="shared" si="112"/>
        <v>D</v>
      </c>
      <c r="C755" s="227" t="s">
        <v>62</v>
      </c>
      <c r="D755" s="227" t="s">
        <v>1147</v>
      </c>
      <c r="E755" s="228">
        <v>2</v>
      </c>
      <c r="F755" s="101">
        <v>3</v>
      </c>
      <c r="G755" s="87" t="str">
        <f t="shared" si="121"/>
        <v>D523</v>
      </c>
      <c r="H755" s="87" t="s">
        <v>1294</v>
      </c>
      <c r="I755" s="89" t="str">
        <f>VLOOKUP(C755,'PREMIUM TABLES'!$G$107:$H$149,2,FALSE)</f>
        <v>C3</v>
      </c>
      <c r="J755" s="87">
        <v>126.78</v>
      </c>
      <c r="K755" s="87">
        <v>137.84170008770769</v>
      </c>
      <c r="L755" s="87">
        <v>155</v>
      </c>
      <c r="O755" s="87" t="s">
        <v>187</v>
      </c>
      <c r="P755" s="87" t="s">
        <v>190</v>
      </c>
      <c r="Q755" s="229" t="s">
        <v>211</v>
      </c>
      <c r="R755" s="87" t="str">
        <f>VLOOKUP(E755,'PREMIUM TABLES'!$F$214:$G$219,2,FALSE)</f>
        <v>SECOND</v>
      </c>
      <c r="S755" s="87" t="str" cm="1">
        <f t="array" ref="S755">IF(AND(L755&gt;0,L755&lt;90),"A",IF(AND(L755&gt;90,L755&lt;123),"B",IF(AND(L755&gt;122,L755&lt;159),"C",IF(AND(L755&gt;159,L755&lt;185),"D",IF(AND(L755&gt;185,L755&lt;230),"E",IF(AND(L755&gt;230,L755&lt;350),"F",NONE))))))</f>
        <v>C</v>
      </c>
      <c r="T755" s="230">
        <f>VLOOKUP(O755,'PREMIUM TABLES'!$G$165:$H$172,2,FALSE)</f>
        <v>0.08</v>
      </c>
      <c r="U755" s="230">
        <f>VLOOKUP(P755,'PREMIUM TABLES'!$G$208:$H$209,2,FALSE)</f>
        <v>2.5000000000000001E-2</v>
      </c>
      <c r="V755" s="230">
        <f>VLOOKUP(Q755,'PREMIUM TABLES'!$G$175:$H$195,2,FALSE)</f>
        <v>0.43</v>
      </c>
      <c r="W755" s="230">
        <f>VLOOKUP(R755,'PREMIUM TABLES'!$G$214:$H$219,2,FALSE)</f>
        <v>0.11</v>
      </c>
      <c r="X755" s="230">
        <f>VLOOKUP(S755,'PREMIUM TABLES'!$F$199:$H$205,3,FALSE)</f>
        <v>3.5000000000000003E-2</v>
      </c>
      <c r="Y755" s="231">
        <f t="shared" si="115"/>
        <v>0.68</v>
      </c>
      <c r="Z755" s="231" t="str" cm="1">
        <f t="array" ref="Z755">IF(AND(Y755&gt;0,Y755&lt;0.5),"C",IF(AND(Y755&gt;=0.5,Y755&lt;0.73),"B",IF(AND(Y755&gt;=0.73,Y755&lt;0.98),"A",NONE)))</f>
        <v>B</v>
      </c>
      <c r="AA755" s="231" t="str">
        <f>VLOOKUP(G755,'ALL (R)'!$N$5:$R$862,5,FALSE)</f>
        <v>R 7</v>
      </c>
      <c r="AB755" s="232">
        <f>VLOOKUP(AA755,FACTS!$B$2:$L$14,10,FALSE)</f>
        <v>50150</v>
      </c>
      <c r="AC755" s="232">
        <f>VLOOKUP(AA755,FACTS!$B$2:$L$14,11,FALSE)</f>
        <v>56050</v>
      </c>
      <c r="AD755" s="232">
        <f>VLOOKUP(AA755,FACTS!$B$2:$N$14,13,FALSE)</f>
        <v>5900</v>
      </c>
      <c r="AE755" s="232">
        <f t="shared" si="116"/>
        <v>4012.0000000000005</v>
      </c>
      <c r="AF755" s="232">
        <f t="shared" si="117"/>
        <v>54162</v>
      </c>
      <c r="AG755" s="232">
        <f>AF755*FACTS!$T$2</f>
        <v>17873.46</v>
      </c>
      <c r="AH755" s="232">
        <f>Table1[[#This Row],[UNIT (BUILDING) RATE (SEMI FINISHED)]]+4500</f>
        <v>58662</v>
      </c>
      <c r="AI755" s="232">
        <f>Table1[[#This Row],[UNIT (BUILDING) RATE (SEMI FINISHED)]]+7500</f>
        <v>61662</v>
      </c>
      <c r="AJ755" s="232">
        <f t="shared" si="118"/>
        <v>8395110</v>
      </c>
      <c r="AK755" s="232">
        <f>Table1[[#This Row],[UNIT (BUILDING) RATE (BASIC FINISH)]]*Table1[[#This Row],[Unit Selling Area]]</f>
        <v>9092610</v>
      </c>
      <c r="AL755" s="232">
        <f>Table1[[#This Row],[UNIT (BUILDING) RATE (FULLY FINISH)]]*Table1[[#This Row],[Unit Selling Area]]</f>
        <v>9557610</v>
      </c>
      <c r="AM755" s="232">
        <f t="shared" si="119"/>
        <v>0</v>
      </c>
      <c r="AN755" s="232">
        <f>(AM755+AJ755)*FACTS!$S$2</f>
        <v>713584.35000000009</v>
      </c>
      <c r="AO755" s="101">
        <f>VLOOKUP(S755,FACTS!$A$17:$C$23,3,FALSE)</f>
        <v>2</v>
      </c>
      <c r="AP755" s="232">
        <f>VLOOKUP(AA755,FACTS!$B$2:$J$14,9,FALSE)</f>
        <v>236000</v>
      </c>
      <c r="AQ755" s="232">
        <f>Table1[[#This Row],[PARKING VALUE]]*1</f>
        <v>236000</v>
      </c>
      <c r="AR755" s="232">
        <f t="shared" si="114"/>
        <v>8631110</v>
      </c>
      <c r="AS755" s="440">
        <f>Table1[[#This Row],[TOTAL CARS VALUE]]+Table1[[#This Row],[UNIT (BUILDING) VALUE BASIC FINISHED]]+Table1[[#This Row],[UNIT (GARDEN) VALUE]]</f>
        <v>9328610</v>
      </c>
      <c r="AT755" s="232">
        <f>Table1[[#This Row],[TOTAL CARS VALUE]]+Table1[[#This Row],[UNIT (GARDEN) VALUE]]+Table1[[#This Row],[UNIT (BUILDING) VALUE FULLY FINISHED]]</f>
        <v>9793610</v>
      </c>
      <c r="AU755" s="233">
        <f>VLOOKUP(I755,'C PHASES'!$I$108:$J$110,2,FALSE)</f>
        <v>46569</v>
      </c>
      <c r="AV755" s="233">
        <f>VLOOKUP(AA755,'C PHASES'!$I$113:$J$125,2,FALSE)</f>
        <v>45748</v>
      </c>
    </row>
    <row r="756" spans="1:48" x14ac:dyDescent="0.25">
      <c r="A756" s="235"/>
      <c r="B756" s="227" t="str">
        <f t="shared" si="112"/>
        <v>D</v>
      </c>
      <c r="C756" s="227" t="s">
        <v>62</v>
      </c>
      <c r="D756" s="227" t="s">
        <v>1147</v>
      </c>
      <c r="E756" s="228">
        <v>2</v>
      </c>
      <c r="F756" s="101">
        <v>4</v>
      </c>
      <c r="G756" s="87" t="str">
        <f t="shared" si="121"/>
        <v>D524</v>
      </c>
      <c r="H756" s="87" t="s">
        <v>1294</v>
      </c>
      <c r="I756" s="89" t="str">
        <f>VLOOKUP(C756,'PREMIUM TABLES'!$G$107:$H$149,2,FALSE)</f>
        <v>C3</v>
      </c>
      <c r="J756" s="87">
        <v>127.15</v>
      </c>
      <c r="K756" s="87">
        <v>138.24398301113769</v>
      </c>
      <c r="L756" s="87">
        <v>155</v>
      </c>
      <c r="O756" s="87" t="s">
        <v>180</v>
      </c>
      <c r="P756" s="87" t="s">
        <v>190</v>
      </c>
      <c r="Q756" s="229" t="s">
        <v>199</v>
      </c>
      <c r="R756" s="87" t="str">
        <f>VLOOKUP(E756,'PREMIUM TABLES'!$F$214:$G$219,2,FALSE)</f>
        <v>SECOND</v>
      </c>
      <c r="S756" s="87" t="str" cm="1">
        <f t="array" ref="S756">IF(AND(L756&gt;0,L756&lt;90),"A",IF(AND(L756&gt;90,L756&lt;123),"B",IF(AND(L756&gt;122,L756&lt;159),"C",IF(AND(L756&gt;159,L756&lt;185),"D",IF(AND(L756&gt;185,L756&lt;230),"E",IF(AND(L756&gt;230,L756&lt;350),"F",NONE))))))</f>
        <v>C</v>
      </c>
      <c r="T756" s="230">
        <f>VLOOKUP(O756,'PREMIUM TABLES'!$G$165:$H$172,2,FALSE)</f>
        <v>0.13</v>
      </c>
      <c r="U756" s="230">
        <f>VLOOKUP(P756,'PREMIUM TABLES'!$G$208:$H$209,2,FALSE)</f>
        <v>2.5000000000000001E-2</v>
      </c>
      <c r="V756" s="230">
        <f>VLOOKUP(Q756,'PREMIUM TABLES'!$G$175:$H$195,2,FALSE)</f>
        <v>0.13</v>
      </c>
      <c r="W756" s="230">
        <f>VLOOKUP(R756,'PREMIUM TABLES'!$G$214:$H$219,2,FALSE)</f>
        <v>0.11</v>
      </c>
      <c r="X756" s="230">
        <f>VLOOKUP(S756,'PREMIUM TABLES'!$F$199:$H$205,3,FALSE)</f>
        <v>3.5000000000000003E-2</v>
      </c>
      <c r="Y756" s="231">
        <f t="shared" si="115"/>
        <v>0.43000000000000005</v>
      </c>
      <c r="Z756" s="231" t="str" cm="1">
        <f t="array" ref="Z756">IF(AND(Y756&gt;0,Y756&lt;0.5),"C",IF(AND(Y756&gt;=0.5,Y756&lt;0.73),"B",IF(AND(Y756&gt;=0.73,Y756&lt;0.98),"A",NONE)))</f>
        <v>C</v>
      </c>
      <c r="AA756" s="231" t="str">
        <f>VLOOKUP(G756,'ALL (R)'!$N$5:$R$862,5,FALSE)</f>
        <v>R 8</v>
      </c>
      <c r="AB756" s="232">
        <f>VLOOKUP(AA756,FACTS!$B$2:$L$14,10,FALSE)</f>
        <v>51850</v>
      </c>
      <c r="AC756" s="232">
        <f>VLOOKUP(AA756,FACTS!$B$2:$L$14,11,FALSE)</f>
        <v>57950</v>
      </c>
      <c r="AD756" s="232">
        <f>VLOOKUP(AA756,FACTS!$B$2:$N$14,13,FALSE)</f>
        <v>6100</v>
      </c>
      <c r="AE756" s="232">
        <f t="shared" si="116"/>
        <v>2623.0000000000005</v>
      </c>
      <c r="AF756" s="232">
        <f t="shared" si="117"/>
        <v>54473</v>
      </c>
      <c r="AG756" s="232">
        <f>AF756*FACTS!$T$2</f>
        <v>17976.09</v>
      </c>
      <c r="AH756" s="232">
        <f>Table1[[#This Row],[UNIT (BUILDING) RATE (SEMI FINISHED)]]+4500</f>
        <v>58973</v>
      </c>
      <c r="AI756" s="232">
        <f>Table1[[#This Row],[UNIT (BUILDING) RATE (SEMI FINISHED)]]+7500</f>
        <v>61973</v>
      </c>
      <c r="AJ756" s="232">
        <f t="shared" si="118"/>
        <v>8443315</v>
      </c>
      <c r="AK756" s="232">
        <f>Table1[[#This Row],[UNIT (BUILDING) RATE (BASIC FINISH)]]*Table1[[#This Row],[Unit Selling Area]]</f>
        <v>9140815</v>
      </c>
      <c r="AL756" s="232">
        <f>Table1[[#This Row],[UNIT (BUILDING) RATE (FULLY FINISH)]]*Table1[[#This Row],[Unit Selling Area]]</f>
        <v>9605815</v>
      </c>
      <c r="AM756" s="232">
        <f t="shared" si="119"/>
        <v>0</v>
      </c>
      <c r="AN756" s="232">
        <f>(AM756+AJ756)*FACTS!$S$2</f>
        <v>717681.77500000002</v>
      </c>
      <c r="AO756" s="101">
        <f>VLOOKUP(S756,FACTS!$A$17:$C$23,3,FALSE)</f>
        <v>2</v>
      </c>
      <c r="AP756" s="232">
        <f>VLOOKUP(AA756,FACTS!$B$2:$J$14,9,FALSE)</f>
        <v>244000</v>
      </c>
      <c r="AQ756" s="232">
        <f>Table1[[#This Row],[PARKING VALUE]]*1</f>
        <v>244000</v>
      </c>
      <c r="AR756" s="232">
        <f t="shared" si="114"/>
        <v>8687315</v>
      </c>
      <c r="AS756" s="440">
        <f>Table1[[#This Row],[TOTAL CARS VALUE]]+Table1[[#This Row],[UNIT (BUILDING) VALUE BASIC FINISHED]]+Table1[[#This Row],[UNIT (GARDEN) VALUE]]</f>
        <v>9384815</v>
      </c>
      <c r="AT756" s="232">
        <f>Table1[[#This Row],[TOTAL CARS VALUE]]+Table1[[#This Row],[UNIT (GARDEN) VALUE]]+Table1[[#This Row],[UNIT (BUILDING) VALUE FULLY FINISHED]]</f>
        <v>9849815</v>
      </c>
      <c r="AU756" s="233">
        <f>VLOOKUP(I756,'C PHASES'!$I$108:$J$110,2,FALSE)</f>
        <v>46569</v>
      </c>
      <c r="AV756" s="233">
        <f>VLOOKUP(AA756,'C PHASES'!$I$113:$J$125,2,FALSE)</f>
        <v>45839</v>
      </c>
    </row>
    <row r="757" spans="1:48" x14ac:dyDescent="0.25">
      <c r="A757" s="235"/>
      <c r="B757" s="227" t="str">
        <f t="shared" si="112"/>
        <v>D</v>
      </c>
      <c r="C757" s="227" t="s">
        <v>62</v>
      </c>
      <c r="D757" s="227" t="s">
        <v>1147</v>
      </c>
      <c r="E757" s="228">
        <v>3</v>
      </c>
      <c r="F757" s="101">
        <v>1</v>
      </c>
      <c r="G757" s="87" t="str">
        <f t="shared" si="121"/>
        <v>D531</v>
      </c>
      <c r="H757" s="87" t="s">
        <v>1294</v>
      </c>
      <c r="I757" s="89" t="str">
        <f>VLOOKUP(C757,'PREMIUM TABLES'!$G$107:$H$149,2,FALSE)</f>
        <v>C3</v>
      </c>
      <c r="J757" s="87">
        <v>131.86000000000001</v>
      </c>
      <c r="K757" s="87">
        <v>143.36493590128677</v>
      </c>
      <c r="L757" s="87">
        <v>161</v>
      </c>
      <c r="O757" s="87" t="s">
        <v>180</v>
      </c>
      <c r="P757" s="87" t="s">
        <v>226</v>
      </c>
      <c r="Q757" s="229" t="s">
        <v>199</v>
      </c>
      <c r="R757" s="87" t="str">
        <f>VLOOKUP(E757,'PREMIUM TABLES'!$F$214:$G$219,2,FALSE)</f>
        <v>THIRD</v>
      </c>
      <c r="S757" s="87" t="str" cm="1">
        <f t="array" ref="S757">IF(AND(L757&gt;0,L757&lt;90),"A",IF(AND(L757&gt;90,L757&lt;123),"B",IF(AND(L757&gt;122,L757&lt;159),"C",IF(AND(L757&gt;159,L757&lt;185),"D",IF(AND(L757&gt;185,L757&lt;230),"E",IF(AND(L757&gt;230,L757&lt;350),"F",NONE))))))</f>
        <v>D</v>
      </c>
      <c r="T757" s="230">
        <f>VLOOKUP(O757,'PREMIUM TABLES'!$G$165:$H$172,2,FALSE)</f>
        <v>0.13</v>
      </c>
      <c r="U757" s="230">
        <f>VLOOKUP(P757,'PREMIUM TABLES'!$G$208:$H$209,2,FALSE)</f>
        <v>0.05</v>
      </c>
      <c r="V757" s="230">
        <f>VLOOKUP(Q757,'PREMIUM TABLES'!$G$175:$H$195,2,FALSE)</f>
        <v>0.13</v>
      </c>
      <c r="W757" s="230">
        <f>VLOOKUP(R757,'PREMIUM TABLES'!$G$214:$H$219,2,FALSE)</f>
        <v>0.15</v>
      </c>
      <c r="X757" s="230">
        <f>VLOOKUP(S757,'PREMIUM TABLES'!$F$199:$H$205,3,FALSE)</f>
        <v>2.5000000000000001E-2</v>
      </c>
      <c r="Y757" s="231">
        <f t="shared" si="115"/>
        <v>0.48499999999999999</v>
      </c>
      <c r="Z757" s="231" t="str" cm="1">
        <f t="array" ref="Z757">IF(AND(Y757&gt;0,Y757&lt;0.5),"C",IF(AND(Y757&gt;=0.5,Y757&lt;0.73),"B",IF(AND(Y757&gt;=0.73,Y757&lt;0.98),"A",NONE)))</f>
        <v>C</v>
      </c>
      <c r="AA757" s="231" t="str">
        <f>VLOOKUP(G757,'ALL (R)'!$N$5:$R$862,5,FALSE)</f>
        <v>R 12</v>
      </c>
      <c r="AB757" s="232">
        <f>VLOOKUP(AA757,FACTS!$B$2:$L$14,10,FALSE)</f>
        <v>61625</v>
      </c>
      <c r="AC757" s="232">
        <f>VLOOKUP(AA757,FACTS!$B$2:$L$14,11,FALSE)</f>
        <v>68875</v>
      </c>
      <c r="AD757" s="232">
        <f>VLOOKUP(AA757,FACTS!$B$2:$N$14,13,FALSE)</f>
        <v>7250</v>
      </c>
      <c r="AE757" s="232">
        <f t="shared" si="116"/>
        <v>3516.25</v>
      </c>
      <c r="AF757" s="232">
        <f t="shared" si="117"/>
        <v>65141.25</v>
      </c>
      <c r="AG757" s="232">
        <f>AF757*FACTS!$T$2</f>
        <v>21496.612499999999</v>
      </c>
      <c r="AH757" s="232">
        <f>Table1[[#This Row],[UNIT (BUILDING) RATE (SEMI FINISHED)]]+4500</f>
        <v>69641.25</v>
      </c>
      <c r="AI757" s="232">
        <f>Table1[[#This Row],[UNIT (BUILDING) RATE (SEMI FINISHED)]]+7500</f>
        <v>72641.25</v>
      </c>
      <c r="AJ757" s="232">
        <f t="shared" si="118"/>
        <v>10487741.25</v>
      </c>
      <c r="AK757" s="232">
        <f>Table1[[#This Row],[UNIT (BUILDING) RATE (BASIC FINISH)]]*Table1[[#This Row],[Unit Selling Area]]</f>
        <v>11212241.25</v>
      </c>
      <c r="AL757" s="232">
        <f>Table1[[#This Row],[UNIT (BUILDING) RATE (FULLY FINISH)]]*Table1[[#This Row],[Unit Selling Area]]</f>
        <v>11695241.25</v>
      </c>
      <c r="AM757" s="232">
        <f t="shared" si="119"/>
        <v>0</v>
      </c>
      <c r="AN757" s="232">
        <f>(AM757+AJ757)*FACTS!$S$2</f>
        <v>891458.00625000009</v>
      </c>
      <c r="AO757" s="101">
        <f>VLOOKUP(S757,FACTS!$A$17:$C$23,3,FALSE)</f>
        <v>2</v>
      </c>
      <c r="AP757" s="232">
        <f>VLOOKUP(AA757,FACTS!$B$2:$J$14,9,FALSE)</f>
        <v>290000</v>
      </c>
      <c r="AQ757" s="232">
        <f>Table1[[#This Row],[PARKING VALUE]]*1</f>
        <v>290000</v>
      </c>
      <c r="AR757" s="232">
        <f t="shared" si="114"/>
        <v>10777741.25</v>
      </c>
      <c r="AS757" s="440">
        <f>Table1[[#This Row],[TOTAL CARS VALUE]]+Table1[[#This Row],[UNIT (BUILDING) VALUE BASIC FINISHED]]+Table1[[#This Row],[UNIT (GARDEN) VALUE]]</f>
        <v>11502241.25</v>
      </c>
      <c r="AT757" s="232">
        <f>Table1[[#This Row],[TOTAL CARS VALUE]]+Table1[[#This Row],[UNIT (GARDEN) VALUE]]+Table1[[#This Row],[UNIT (BUILDING) VALUE FULLY FINISHED]]</f>
        <v>11985241.25</v>
      </c>
      <c r="AU757" s="233">
        <f>VLOOKUP(I757,'C PHASES'!$I$108:$J$110,2,FALSE)</f>
        <v>46569</v>
      </c>
      <c r="AV757" s="233">
        <f>VLOOKUP(AA757,'C PHASES'!$I$113:$J$125,2,FALSE)</f>
        <v>46204</v>
      </c>
    </row>
    <row r="758" spans="1:48" x14ac:dyDescent="0.25">
      <c r="A758" s="235"/>
      <c r="B758" s="227" t="str">
        <f t="shared" ref="B758:B821" si="122">LEFT(C758,1)</f>
        <v>D</v>
      </c>
      <c r="C758" s="227" t="s">
        <v>62</v>
      </c>
      <c r="D758" s="227" t="s">
        <v>1147</v>
      </c>
      <c r="E758" s="228">
        <v>3</v>
      </c>
      <c r="F758" s="101">
        <v>2</v>
      </c>
      <c r="G758" s="87" t="str">
        <f t="shared" si="121"/>
        <v>D532</v>
      </c>
      <c r="H758" s="87" t="s">
        <v>1294</v>
      </c>
      <c r="I758" s="89" t="str">
        <f>VLOOKUP(C758,'PREMIUM TABLES'!$G$107:$H$149,2,FALSE)</f>
        <v>C3</v>
      </c>
      <c r="J758" s="87">
        <v>131.66</v>
      </c>
      <c r="K758" s="87">
        <v>143.14748567240571</v>
      </c>
      <c r="L758" s="87">
        <v>161</v>
      </c>
      <c r="O758" s="87" t="s">
        <v>187</v>
      </c>
      <c r="P758" s="87" t="s">
        <v>226</v>
      </c>
      <c r="Q758" s="229" t="s">
        <v>211</v>
      </c>
      <c r="R758" s="87" t="str">
        <f>VLOOKUP(E758,'PREMIUM TABLES'!$F$214:$G$219,2,FALSE)</f>
        <v>THIRD</v>
      </c>
      <c r="S758" s="87" t="str" cm="1">
        <f t="array" ref="S758">IF(AND(L758&gt;0,L758&lt;90),"A",IF(AND(L758&gt;90,L758&lt;123),"B",IF(AND(L758&gt;122,L758&lt;159),"C",IF(AND(L758&gt;159,L758&lt;185),"D",IF(AND(L758&gt;185,L758&lt;230),"E",IF(AND(L758&gt;230,L758&lt;350),"F",NONE))))))</f>
        <v>D</v>
      </c>
      <c r="T758" s="230">
        <f>VLOOKUP(O758,'PREMIUM TABLES'!$G$165:$H$172,2,FALSE)</f>
        <v>0.08</v>
      </c>
      <c r="U758" s="230">
        <f>VLOOKUP(P758,'PREMIUM TABLES'!$G$208:$H$209,2,FALSE)</f>
        <v>0.05</v>
      </c>
      <c r="V758" s="230">
        <f>VLOOKUP(Q758,'PREMIUM TABLES'!$G$175:$H$195,2,FALSE)</f>
        <v>0.43</v>
      </c>
      <c r="W758" s="230">
        <f>VLOOKUP(R758,'PREMIUM TABLES'!$G$214:$H$219,2,FALSE)</f>
        <v>0.15</v>
      </c>
      <c r="X758" s="230">
        <f>VLOOKUP(S758,'PREMIUM TABLES'!$F$199:$H$205,3,FALSE)</f>
        <v>2.5000000000000001E-2</v>
      </c>
      <c r="Y758" s="231">
        <f t="shared" si="115"/>
        <v>0.7350000000000001</v>
      </c>
      <c r="Z758" s="231" t="str" cm="1">
        <f t="array" ref="Z758">IF(AND(Y758&gt;0,Y758&lt;0.5),"C",IF(AND(Y758&gt;=0.5,Y758&lt;0.73),"B",IF(AND(Y758&gt;=0.73,Y758&lt;0.98),"A",NONE)))</f>
        <v>A</v>
      </c>
      <c r="AA758" s="231" t="str">
        <f>VLOOKUP(G758,'ALL (R)'!$N$5:$R$862,5,FALSE)</f>
        <v>R 1</v>
      </c>
      <c r="AB758" s="232">
        <f>VLOOKUP(AA758,FACTS!$B$2:$L$14,10,FALSE)</f>
        <v>42500</v>
      </c>
      <c r="AC758" s="232">
        <f>VLOOKUP(AA758,FACTS!$B$2:$L$14,11,FALSE)</f>
        <v>47500</v>
      </c>
      <c r="AD758" s="232">
        <f>VLOOKUP(AA758,FACTS!$B$2:$N$14,13,FALSE)</f>
        <v>5000</v>
      </c>
      <c r="AE758" s="232">
        <f t="shared" si="116"/>
        <v>3675.0000000000005</v>
      </c>
      <c r="AF758" s="232">
        <f t="shared" si="117"/>
        <v>46175</v>
      </c>
      <c r="AG758" s="232">
        <f>AF758*FACTS!$T$2</f>
        <v>15237.75</v>
      </c>
      <c r="AH758" s="232">
        <f>Table1[[#This Row],[UNIT (BUILDING) RATE (SEMI FINISHED)]]+4500</f>
        <v>50675</v>
      </c>
      <c r="AI758" s="232">
        <f>Table1[[#This Row],[UNIT (BUILDING) RATE (SEMI FINISHED)]]+7500</f>
        <v>53675</v>
      </c>
      <c r="AJ758" s="232">
        <f t="shared" si="118"/>
        <v>7434175</v>
      </c>
      <c r="AK758" s="232">
        <f>Table1[[#This Row],[UNIT (BUILDING) RATE (BASIC FINISH)]]*Table1[[#This Row],[Unit Selling Area]]</f>
        <v>8158675</v>
      </c>
      <c r="AL758" s="232">
        <f>Table1[[#This Row],[UNIT (BUILDING) RATE (FULLY FINISH)]]*Table1[[#This Row],[Unit Selling Area]]</f>
        <v>8641675</v>
      </c>
      <c r="AM758" s="232">
        <f t="shared" si="119"/>
        <v>0</v>
      </c>
      <c r="AN758" s="232">
        <f>(AM758+AJ758)*FACTS!$S$2</f>
        <v>631904.875</v>
      </c>
      <c r="AO758" s="101">
        <f>VLOOKUP(S758,FACTS!$A$17:$C$23,3,FALSE)</f>
        <v>2</v>
      </c>
      <c r="AP758" s="232">
        <f>VLOOKUP(AA758,FACTS!$B$2:$J$14,9,FALSE)</f>
        <v>200000</v>
      </c>
      <c r="AQ758" s="232">
        <f>Table1[[#This Row],[PARKING VALUE]]*1</f>
        <v>200000</v>
      </c>
      <c r="AR758" s="232">
        <f t="shared" si="114"/>
        <v>7634175</v>
      </c>
      <c r="AS758" s="440">
        <f>Table1[[#This Row],[TOTAL CARS VALUE]]+Table1[[#This Row],[UNIT (BUILDING) VALUE BASIC FINISHED]]+Table1[[#This Row],[UNIT (GARDEN) VALUE]]</f>
        <v>8358675</v>
      </c>
      <c r="AT758" s="232">
        <f>Table1[[#This Row],[TOTAL CARS VALUE]]+Table1[[#This Row],[UNIT (GARDEN) VALUE]]+Table1[[#This Row],[UNIT (BUILDING) VALUE FULLY FINISHED]]</f>
        <v>8841675</v>
      </c>
      <c r="AU758" s="233">
        <f>VLOOKUP(I758,'C PHASES'!$I$108:$J$110,2,FALSE)</f>
        <v>46569</v>
      </c>
      <c r="AV758" s="233">
        <f>VLOOKUP(AA758,'C PHASES'!$I$113:$J$125,2,FALSE)</f>
        <v>45170</v>
      </c>
    </row>
    <row r="759" spans="1:48" x14ac:dyDescent="0.25">
      <c r="A759" s="235"/>
      <c r="B759" s="227" t="str">
        <f t="shared" si="122"/>
        <v>D</v>
      </c>
      <c r="C759" s="227" t="s">
        <v>62</v>
      </c>
      <c r="D759" s="227" t="s">
        <v>1147</v>
      </c>
      <c r="E759" s="228">
        <v>3</v>
      </c>
      <c r="F759" s="101">
        <v>3</v>
      </c>
      <c r="G759" s="87" t="str">
        <f t="shared" si="121"/>
        <v>D533</v>
      </c>
      <c r="H759" s="87" t="s">
        <v>1294</v>
      </c>
      <c r="I759" s="89" t="str">
        <f>VLOOKUP(C759,'PREMIUM TABLES'!$G$107:$H$149,2,FALSE)</f>
        <v>C3</v>
      </c>
      <c r="J759" s="87">
        <v>126.88</v>
      </c>
      <c r="K759" s="87">
        <v>137.95042520214821</v>
      </c>
      <c r="L759" s="87">
        <v>155</v>
      </c>
      <c r="O759" s="87" t="s">
        <v>187</v>
      </c>
      <c r="P759" s="87" t="s">
        <v>190</v>
      </c>
      <c r="Q759" s="229" t="s">
        <v>211</v>
      </c>
      <c r="R759" s="87" t="str">
        <f>VLOOKUP(E759,'PREMIUM TABLES'!$F$214:$G$219,2,FALSE)</f>
        <v>THIRD</v>
      </c>
      <c r="S759" s="87" t="str" cm="1">
        <f t="array" ref="S759">IF(AND(L759&gt;0,L759&lt;90),"A",IF(AND(L759&gt;90,L759&lt;123),"B",IF(AND(L759&gt;122,L759&lt;159),"C",IF(AND(L759&gt;159,L759&lt;185),"D",IF(AND(L759&gt;185,L759&lt;230),"E",IF(AND(L759&gt;230,L759&lt;350),"F",NONE))))))</f>
        <v>C</v>
      </c>
      <c r="T759" s="230">
        <f>VLOOKUP(O759,'PREMIUM TABLES'!$G$165:$H$172,2,FALSE)</f>
        <v>0.08</v>
      </c>
      <c r="U759" s="230">
        <f>VLOOKUP(P759,'PREMIUM TABLES'!$G$208:$H$209,2,FALSE)</f>
        <v>2.5000000000000001E-2</v>
      </c>
      <c r="V759" s="230">
        <f>VLOOKUP(Q759,'PREMIUM TABLES'!$G$175:$H$195,2,FALSE)</f>
        <v>0.43</v>
      </c>
      <c r="W759" s="230">
        <f>VLOOKUP(R759,'PREMIUM TABLES'!$G$214:$H$219,2,FALSE)</f>
        <v>0.15</v>
      </c>
      <c r="X759" s="230">
        <f>VLOOKUP(S759,'PREMIUM TABLES'!$F$199:$H$205,3,FALSE)</f>
        <v>3.5000000000000003E-2</v>
      </c>
      <c r="Y759" s="231">
        <f t="shared" si="115"/>
        <v>0.72000000000000008</v>
      </c>
      <c r="Z759" s="231" t="str" cm="1">
        <f t="array" ref="Z759">IF(AND(Y759&gt;0,Y759&lt;0.5),"C",IF(AND(Y759&gt;=0.5,Y759&lt;0.73),"B",IF(AND(Y759&gt;=0.73,Y759&lt;0.98),"A",NONE)))</f>
        <v>B</v>
      </c>
      <c r="AA759" s="231" t="str">
        <f>VLOOKUP(G759,'ALL (R)'!$N$5:$R$862,5,FALSE)</f>
        <v>R 12</v>
      </c>
      <c r="AB759" s="232">
        <f>VLOOKUP(AA759,FACTS!$B$2:$L$14,10,FALSE)</f>
        <v>61625</v>
      </c>
      <c r="AC759" s="232">
        <f>VLOOKUP(AA759,FACTS!$B$2:$L$14,11,FALSE)</f>
        <v>68875</v>
      </c>
      <c r="AD759" s="232">
        <f>VLOOKUP(AA759,FACTS!$B$2:$N$14,13,FALSE)</f>
        <v>7250</v>
      </c>
      <c r="AE759" s="232">
        <f t="shared" si="116"/>
        <v>5220.0000000000009</v>
      </c>
      <c r="AF759" s="232">
        <f t="shared" si="117"/>
        <v>66845</v>
      </c>
      <c r="AG759" s="232">
        <f>AF759*FACTS!$T$2</f>
        <v>22058.850000000002</v>
      </c>
      <c r="AH759" s="232">
        <f>Table1[[#This Row],[UNIT (BUILDING) RATE (SEMI FINISHED)]]+4500</f>
        <v>71345</v>
      </c>
      <c r="AI759" s="232">
        <f>Table1[[#This Row],[UNIT (BUILDING) RATE (SEMI FINISHED)]]+7500</f>
        <v>74345</v>
      </c>
      <c r="AJ759" s="232">
        <f t="shared" si="118"/>
        <v>10360975</v>
      </c>
      <c r="AK759" s="232">
        <f>Table1[[#This Row],[UNIT (BUILDING) RATE (BASIC FINISH)]]*Table1[[#This Row],[Unit Selling Area]]</f>
        <v>11058475</v>
      </c>
      <c r="AL759" s="232">
        <f>Table1[[#This Row],[UNIT (BUILDING) RATE (FULLY FINISH)]]*Table1[[#This Row],[Unit Selling Area]]</f>
        <v>11523475</v>
      </c>
      <c r="AM759" s="232">
        <f t="shared" si="119"/>
        <v>0</v>
      </c>
      <c r="AN759" s="232">
        <f>(AM759+AJ759)*FACTS!$S$2</f>
        <v>880682.87500000012</v>
      </c>
      <c r="AO759" s="101">
        <f>VLOOKUP(S759,FACTS!$A$17:$C$23,3,FALSE)</f>
        <v>2</v>
      </c>
      <c r="AP759" s="232">
        <f>VLOOKUP(AA759,FACTS!$B$2:$J$14,9,FALSE)</f>
        <v>290000</v>
      </c>
      <c r="AQ759" s="232">
        <f>Table1[[#This Row],[PARKING VALUE]]*1</f>
        <v>290000</v>
      </c>
      <c r="AR759" s="232">
        <f t="shared" si="114"/>
        <v>10650975</v>
      </c>
      <c r="AS759" s="440">
        <f>Table1[[#This Row],[TOTAL CARS VALUE]]+Table1[[#This Row],[UNIT (BUILDING) VALUE BASIC FINISHED]]+Table1[[#This Row],[UNIT (GARDEN) VALUE]]</f>
        <v>11348475</v>
      </c>
      <c r="AT759" s="232">
        <f>Table1[[#This Row],[TOTAL CARS VALUE]]+Table1[[#This Row],[UNIT (GARDEN) VALUE]]+Table1[[#This Row],[UNIT (BUILDING) VALUE FULLY FINISHED]]</f>
        <v>11813475</v>
      </c>
      <c r="AU759" s="233">
        <f>VLOOKUP(I759,'C PHASES'!$I$108:$J$110,2,FALSE)</f>
        <v>46569</v>
      </c>
      <c r="AV759" s="233">
        <f>VLOOKUP(AA759,'C PHASES'!$I$113:$J$125,2,FALSE)</f>
        <v>46204</v>
      </c>
    </row>
    <row r="760" spans="1:48" x14ac:dyDescent="0.25">
      <c r="A760" s="235"/>
      <c r="B760" s="227" t="str">
        <f t="shared" si="122"/>
        <v>D</v>
      </c>
      <c r="C760" s="227" t="s">
        <v>62</v>
      </c>
      <c r="D760" s="227" t="s">
        <v>1147</v>
      </c>
      <c r="E760" s="228">
        <v>3</v>
      </c>
      <c r="F760" s="101">
        <v>4</v>
      </c>
      <c r="G760" s="87" t="str">
        <f t="shared" si="121"/>
        <v>D534</v>
      </c>
      <c r="H760" s="87" t="s">
        <v>1294</v>
      </c>
      <c r="I760" s="89" t="str">
        <f>VLOOKUP(C760,'PREMIUM TABLES'!$G$107:$H$149,2,FALSE)</f>
        <v>C3</v>
      </c>
      <c r="J760" s="87">
        <v>127.15</v>
      </c>
      <c r="K760" s="87">
        <v>138.24398301113769</v>
      </c>
      <c r="L760" s="87">
        <v>155</v>
      </c>
      <c r="O760" s="87" t="s">
        <v>180</v>
      </c>
      <c r="P760" s="87" t="s">
        <v>190</v>
      </c>
      <c r="Q760" s="229" t="s">
        <v>199</v>
      </c>
      <c r="R760" s="87" t="str">
        <f>VLOOKUP(E760,'PREMIUM TABLES'!$F$214:$G$219,2,FALSE)</f>
        <v>THIRD</v>
      </c>
      <c r="S760" s="87" t="str" cm="1">
        <f t="array" ref="S760">IF(AND(L760&gt;0,L760&lt;90),"A",IF(AND(L760&gt;90,L760&lt;123),"B",IF(AND(L760&gt;122,L760&lt;159),"C",IF(AND(L760&gt;159,L760&lt;185),"D",IF(AND(L760&gt;185,L760&lt;230),"E",IF(AND(L760&gt;230,L760&lt;350),"F",NONE))))))</f>
        <v>C</v>
      </c>
      <c r="T760" s="230">
        <f>VLOOKUP(O760,'PREMIUM TABLES'!$G$165:$H$172,2,FALSE)</f>
        <v>0.13</v>
      </c>
      <c r="U760" s="230">
        <f>VLOOKUP(P760,'PREMIUM TABLES'!$G$208:$H$209,2,FALSE)</f>
        <v>2.5000000000000001E-2</v>
      </c>
      <c r="V760" s="230">
        <f>VLOOKUP(Q760,'PREMIUM TABLES'!$G$175:$H$195,2,FALSE)</f>
        <v>0.13</v>
      </c>
      <c r="W760" s="230">
        <f>VLOOKUP(R760,'PREMIUM TABLES'!$G$214:$H$219,2,FALSE)</f>
        <v>0.15</v>
      </c>
      <c r="X760" s="230">
        <f>VLOOKUP(S760,'PREMIUM TABLES'!$F$199:$H$205,3,FALSE)</f>
        <v>3.5000000000000003E-2</v>
      </c>
      <c r="Y760" s="231">
        <f t="shared" si="115"/>
        <v>0.47000000000000008</v>
      </c>
      <c r="Z760" s="231" t="str" cm="1">
        <f t="array" ref="Z760">IF(AND(Y760&gt;0,Y760&lt;0.5),"C",IF(AND(Y760&gt;=0.5,Y760&lt;0.73),"B",IF(AND(Y760&gt;=0.73,Y760&lt;0.98),"A",NONE)))</f>
        <v>C</v>
      </c>
      <c r="AA760" s="231" t="str">
        <f>VLOOKUP(G760,'ALL (R)'!$N$5:$R$862,5,FALSE)</f>
        <v>R 12</v>
      </c>
      <c r="AB760" s="232">
        <f>VLOOKUP(AA760,FACTS!$B$2:$L$14,10,FALSE)</f>
        <v>61625</v>
      </c>
      <c r="AC760" s="232">
        <f>VLOOKUP(AA760,FACTS!$B$2:$L$14,11,FALSE)</f>
        <v>68875</v>
      </c>
      <c r="AD760" s="232">
        <f>VLOOKUP(AA760,FACTS!$B$2:$N$14,13,FALSE)</f>
        <v>7250</v>
      </c>
      <c r="AE760" s="232">
        <f t="shared" si="116"/>
        <v>3407.5000000000005</v>
      </c>
      <c r="AF760" s="232">
        <f t="shared" si="117"/>
        <v>65032.5</v>
      </c>
      <c r="AG760" s="232">
        <f>AF760*FACTS!$T$2</f>
        <v>21460.725000000002</v>
      </c>
      <c r="AH760" s="232">
        <f>Table1[[#This Row],[UNIT (BUILDING) RATE (SEMI FINISHED)]]+4500</f>
        <v>69532.5</v>
      </c>
      <c r="AI760" s="232">
        <f>Table1[[#This Row],[UNIT (BUILDING) RATE (SEMI FINISHED)]]+7500</f>
        <v>72532.5</v>
      </c>
      <c r="AJ760" s="232">
        <f t="shared" si="118"/>
        <v>10080037.5</v>
      </c>
      <c r="AK760" s="232">
        <f>Table1[[#This Row],[UNIT (BUILDING) RATE (BASIC FINISH)]]*Table1[[#This Row],[Unit Selling Area]]</f>
        <v>10777537.5</v>
      </c>
      <c r="AL760" s="232">
        <f>Table1[[#This Row],[UNIT (BUILDING) RATE (FULLY FINISH)]]*Table1[[#This Row],[Unit Selling Area]]</f>
        <v>11242537.5</v>
      </c>
      <c r="AM760" s="232">
        <f t="shared" si="119"/>
        <v>0</v>
      </c>
      <c r="AN760" s="232">
        <f>(AM760+AJ760)*FACTS!$S$2</f>
        <v>856803.18750000012</v>
      </c>
      <c r="AO760" s="101">
        <f>VLOOKUP(S760,FACTS!$A$17:$C$23,3,FALSE)</f>
        <v>2</v>
      </c>
      <c r="AP760" s="232">
        <f>VLOOKUP(AA760,FACTS!$B$2:$J$14,9,FALSE)</f>
        <v>290000</v>
      </c>
      <c r="AQ760" s="232">
        <f>Table1[[#This Row],[PARKING VALUE]]*1</f>
        <v>290000</v>
      </c>
      <c r="AR760" s="232">
        <f t="shared" si="114"/>
        <v>10370037.5</v>
      </c>
      <c r="AS760" s="440">
        <f>Table1[[#This Row],[TOTAL CARS VALUE]]+Table1[[#This Row],[UNIT (BUILDING) VALUE BASIC FINISHED]]+Table1[[#This Row],[UNIT (GARDEN) VALUE]]</f>
        <v>11067537.5</v>
      </c>
      <c r="AT760" s="232">
        <f>Table1[[#This Row],[TOTAL CARS VALUE]]+Table1[[#This Row],[UNIT (GARDEN) VALUE]]+Table1[[#This Row],[UNIT (BUILDING) VALUE FULLY FINISHED]]</f>
        <v>11532537.5</v>
      </c>
      <c r="AU760" s="233">
        <f>VLOOKUP(I760,'C PHASES'!$I$108:$J$110,2,FALSE)</f>
        <v>46569</v>
      </c>
      <c r="AV760" s="233">
        <f>VLOOKUP(AA760,'C PHASES'!$I$113:$J$125,2,FALSE)</f>
        <v>46204</v>
      </c>
    </row>
    <row r="761" spans="1:48" x14ac:dyDescent="0.25">
      <c r="A761" s="235"/>
      <c r="B761" s="227" t="str">
        <f t="shared" si="122"/>
        <v>D</v>
      </c>
      <c r="C761" s="227" t="s">
        <v>62</v>
      </c>
      <c r="D761" s="227" t="s">
        <v>1147</v>
      </c>
      <c r="E761" s="228">
        <v>4</v>
      </c>
      <c r="F761" s="101">
        <v>1</v>
      </c>
      <c r="G761" s="87" t="str">
        <f t="shared" si="121"/>
        <v>D541</v>
      </c>
      <c r="H761" s="87" t="s">
        <v>1294</v>
      </c>
      <c r="I761" s="89" t="str">
        <f>VLOOKUP(C761,'PREMIUM TABLES'!$G$107:$H$149,2,FALSE)</f>
        <v>C3</v>
      </c>
      <c r="J761" s="87">
        <v>129.5</v>
      </c>
      <c r="K761" s="87">
        <v>140.79902320049018</v>
      </c>
      <c r="L761" s="87">
        <v>158</v>
      </c>
      <c r="O761" s="87" t="s">
        <v>180</v>
      </c>
      <c r="P761" s="87" t="s">
        <v>226</v>
      </c>
      <c r="Q761" s="229" t="s">
        <v>199</v>
      </c>
      <c r="R761" s="87" t="str">
        <f>VLOOKUP(E761,'PREMIUM TABLES'!$F$214:$G$219,2,FALSE)</f>
        <v>FORTH</v>
      </c>
      <c r="S761" s="87" t="str" cm="1">
        <f t="array" ref="S761">IF(AND(L761&gt;0,L761&lt;90),"A",IF(AND(L761&gt;90,L761&lt;123),"B",IF(AND(L761&gt;122,L761&lt;159),"C",IF(AND(L761&gt;159,L761&lt;185),"D",IF(AND(L761&gt;185,L761&lt;230),"E",IF(AND(L761&gt;230,L761&lt;350),"F",NONE))))))</f>
        <v>C</v>
      </c>
      <c r="T761" s="230">
        <f>VLOOKUP(O761,'PREMIUM TABLES'!$G$165:$H$172,2,FALSE)</f>
        <v>0.13</v>
      </c>
      <c r="U761" s="230">
        <f>VLOOKUP(P761,'PREMIUM TABLES'!$G$208:$H$209,2,FALSE)</f>
        <v>0.05</v>
      </c>
      <c r="V761" s="230">
        <f>VLOOKUP(Q761,'PREMIUM TABLES'!$G$175:$H$195,2,FALSE)</f>
        <v>0.13</v>
      </c>
      <c r="W761" s="230">
        <f>VLOOKUP(R761,'PREMIUM TABLES'!$G$214:$H$219,2,FALSE)</f>
        <v>0.06</v>
      </c>
      <c r="X761" s="230">
        <f>VLOOKUP(S761,'PREMIUM TABLES'!$F$199:$H$205,3,FALSE)</f>
        <v>3.5000000000000003E-2</v>
      </c>
      <c r="Y761" s="231">
        <f t="shared" si="115"/>
        <v>0.40500000000000003</v>
      </c>
      <c r="Z761" s="231" t="str" cm="1">
        <f t="array" ref="Z761">IF(AND(Y761&gt;0,Y761&lt;0.5),"C",IF(AND(Y761&gt;=0.5,Y761&lt;0.73),"B",IF(AND(Y761&gt;=0.73,Y761&lt;0.98),"A",NONE)))</f>
        <v>C</v>
      </c>
      <c r="AA761" s="231" t="str">
        <f>VLOOKUP(G761,'ALL (R)'!$N$5:$R$862,5,FALSE)</f>
        <v>R 6</v>
      </c>
      <c r="AB761" s="232">
        <f>VLOOKUP(AA761,FACTS!$B$2:$L$14,10,FALSE)</f>
        <v>48450.000000000007</v>
      </c>
      <c r="AC761" s="232">
        <f>VLOOKUP(AA761,FACTS!$B$2:$L$14,11,FALSE)</f>
        <v>54150.000000000007</v>
      </c>
      <c r="AD761" s="232">
        <f>VLOOKUP(AA761,FACTS!$B$2:$N$14,13,FALSE)</f>
        <v>5700</v>
      </c>
      <c r="AE761" s="232">
        <f t="shared" si="116"/>
        <v>2308.5</v>
      </c>
      <c r="AF761" s="232">
        <f t="shared" si="117"/>
        <v>50758.500000000007</v>
      </c>
      <c r="AG761" s="232">
        <f>AF761*FACTS!$T$2</f>
        <v>16750.305000000004</v>
      </c>
      <c r="AH761" s="232">
        <f>Table1[[#This Row],[UNIT (BUILDING) RATE (SEMI FINISHED)]]+4500</f>
        <v>55258.500000000007</v>
      </c>
      <c r="AI761" s="232">
        <f>Table1[[#This Row],[UNIT (BUILDING) RATE (SEMI FINISHED)]]+7500</f>
        <v>58258.500000000007</v>
      </c>
      <c r="AJ761" s="232">
        <f t="shared" si="118"/>
        <v>8019843.0000000009</v>
      </c>
      <c r="AK761" s="232">
        <f>Table1[[#This Row],[UNIT (BUILDING) RATE (BASIC FINISH)]]*Table1[[#This Row],[Unit Selling Area]]</f>
        <v>8730843.0000000019</v>
      </c>
      <c r="AL761" s="232">
        <f>Table1[[#This Row],[UNIT (BUILDING) RATE (FULLY FINISH)]]*Table1[[#This Row],[Unit Selling Area]]</f>
        <v>9204843.0000000019</v>
      </c>
      <c r="AM761" s="232">
        <f t="shared" si="119"/>
        <v>0</v>
      </c>
      <c r="AN761" s="232">
        <f>(AM761+AJ761)*FACTS!$S$2</f>
        <v>681686.65500000014</v>
      </c>
      <c r="AO761" s="101">
        <f>VLOOKUP(S761,FACTS!$A$17:$C$23,3,FALSE)</f>
        <v>2</v>
      </c>
      <c r="AP761" s="232">
        <f>VLOOKUP(AA761,FACTS!$B$2:$J$14,9,FALSE)</f>
        <v>228000.00000000003</v>
      </c>
      <c r="AQ761" s="232">
        <f>Table1[[#This Row],[PARKING VALUE]]*1</f>
        <v>228000.00000000003</v>
      </c>
      <c r="AR761" s="232">
        <f t="shared" si="114"/>
        <v>8247843.0000000009</v>
      </c>
      <c r="AS761" s="440">
        <f>Table1[[#This Row],[TOTAL CARS VALUE]]+Table1[[#This Row],[UNIT (BUILDING) VALUE BASIC FINISHED]]+Table1[[#This Row],[UNIT (GARDEN) VALUE]]</f>
        <v>8958843.0000000019</v>
      </c>
      <c r="AT761" s="232">
        <f>Table1[[#This Row],[TOTAL CARS VALUE]]+Table1[[#This Row],[UNIT (GARDEN) VALUE]]+Table1[[#This Row],[UNIT (BUILDING) VALUE FULLY FINISHED]]</f>
        <v>9432843.0000000019</v>
      </c>
      <c r="AU761" s="233">
        <f>VLOOKUP(I761,'C PHASES'!$I$108:$J$110,2,FALSE)</f>
        <v>46569</v>
      </c>
      <c r="AV761" s="233">
        <f>VLOOKUP(AA761,'C PHASES'!$I$113:$J$125,2,FALSE)</f>
        <v>45658</v>
      </c>
    </row>
    <row r="762" spans="1:48" x14ac:dyDescent="0.25">
      <c r="A762" s="235"/>
      <c r="B762" s="227" t="str">
        <f t="shared" si="122"/>
        <v>D</v>
      </c>
      <c r="C762" s="227" t="s">
        <v>62</v>
      </c>
      <c r="D762" s="227" t="s">
        <v>1147</v>
      </c>
      <c r="E762" s="228">
        <v>4</v>
      </c>
      <c r="F762" s="101">
        <v>2</v>
      </c>
      <c r="G762" s="87" t="str">
        <f t="shared" si="121"/>
        <v>D542</v>
      </c>
      <c r="H762" s="87" t="s">
        <v>1294</v>
      </c>
      <c r="I762" s="89" t="str">
        <f>VLOOKUP(C762,'PREMIUM TABLES'!$G$107:$H$149,2,FALSE)</f>
        <v>C3</v>
      </c>
      <c r="J762" s="87">
        <v>131.66</v>
      </c>
      <c r="K762" s="87">
        <v>143.14748567240571</v>
      </c>
      <c r="L762" s="87">
        <v>161</v>
      </c>
      <c r="O762" s="87" t="s">
        <v>187</v>
      </c>
      <c r="P762" s="87" t="s">
        <v>226</v>
      </c>
      <c r="Q762" s="229" t="s">
        <v>211</v>
      </c>
      <c r="R762" s="87" t="str">
        <f>VLOOKUP(E762,'PREMIUM TABLES'!$F$214:$G$219,2,FALSE)</f>
        <v>FORTH</v>
      </c>
      <c r="S762" s="87" t="str" cm="1">
        <f t="array" ref="S762">IF(AND(L762&gt;0,L762&lt;90),"A",IF(AND(L762&gt;90,L762&lt;123),"B",IF(AND(L762&gt;122,L762&lt;159),"C",IF(AND(L762&gt;159,L762&lt;185),"D",IF(AND(L762&gt;185,L762&lt;230),"E",IF(AND(L762&gt;230,L762&lt;350),"F",NONE))))))</f>
        <v>D</v>
      </c>
      <c r="T762" s="230">
        <f>VLOOKUP(O762,'PREMIUM TABLES'!$G$165:$H$172,2,FALSE)</f>
        <v>0.08</v>
      </c>
      <c r="U762" s="230">
        <f>VLOOKUP(P762,'PREMIUM TABLES'!$G$208:$H$209,2,FALSE)</f>
        <v>0.05</v>
      </c>
      <c r="V762" s="230">
        <f>VLOOKUP(Q762,'PREMIUM TABLES'!$G$175:$H$195,2,FALSE)</f>
        <v>0.43</v>
      </c>
      <c r="W762" s="230">
        <f>VLOOKUP(R762,'PREMIUM TABLES'!$G$214:$H$219,2,FALSE)</f>
        <v>0.06</v>
      </c>
      <c r="X762" s="230">
        <f>VLOOKUP(S762,'PREMIUM TABLES'!$F$199:$H$205,3,FALSE)</f>
        <v>2.5000000000000001E-2</v>
      </c>
      <c r="Y762" s="231">
        <f t="shared" si="115"/>
        <v>0.64500000000000013</v>
      </c>
      <c r="Z762" s="231" t="str" cm="1">
        <f t="array" ref="Z762">IF(AND(Y762&gt;0,Y762&lt;0.5),"C",IF(AND(Y762&gt;=0.5,Y762&lt;0.73),"B",IF(AND(Y762&gt;=0.73,Y762&lt;0.98),"A",NONE)))</f>
        <v>B</v>
      </c>
      <c r="AA762" s="231" t="str">
        <f>VLOOKUP(G762,'ALL (R)'!$N$5:$R$862,5,FALSE)</f>
        <v>R 4</v>
      </c>
      <c r="AB762" s="232">
        <f>VLOOKUP(AA762,FACTS!$B$2:$L$14,10,FALSE)</f>
        <v>45687.5</v>
      </c>
      <c r="AC762" s="232">
        <f>VLOOKUP(AA762,FACTS!$B$2:$L$14,11,FALSE)</f>
        <v>51062.5</v>
      </c>
      <c r="AD762" s="232">
        <f>VLOOKUP(AA762,FACTS!$B$2:$N$14,13,FALSE)</f>
        <v>5375</v>
      </c>
      <c r="AE762" s="232">
        <f t="shared" si="116"/>
        <v>3466.8750000000009</v>
      </c>
      <c r="AF762" s="232">
        <f t="shared" si="117"/>
        <v>49154.375</v>
      </c>
      <c r="AG762" s="232">
        <f>AF762*FACTS!$T$2</f>
        <v>16220.94375</v>
      </c>
      <c r="AH762" s="232">
        <f>Table1[[#This Row],[UNIT (BUILDING) RATE (SEMI FINISHED)]]+4500</f>
        <v>53654.375</v>
      </c>
      <c r="AI762" s="232">
        <f>Table1[[#This Row],[UNIT (BUILDING) RATE (SEMI FINISHED)]]+7500</f>
        <v>56654.375</v>
      </c>
      <c r="AJ762" s="232">
        <f t="shared" si="118"/>
        <v>7913854.375</v>
      </c>
      <c r="AK762" s="232">
        <f>Table1[[#This Row],[UNIT (BUILDING) RATE (BASIC FINISH)]]*Table1[[#This Row],[Unit Selling Area]]</f>
        <v>8638354.375</v>
      </c>
      <c r="AL762" s="232">
        <f>Table1[[#This Row],[UNIT (BUILDING) RATE (FULLY FINISH)]]*Table1[[#This Row],[Unit Selling Area]]</f>
        <v>9121354.375</v>
      </c>
      <c r="AM762" s="232">
        <f t="shared" si="119"/>
        <v>0</v>
      </c>
      <c r="AN762" s="232">
        <f>(AM762+AJ762)*FACTS!$S$2</f>
        <v>672677.62187500007</v>
      </c>
      <c r="AO762" s="101">
        <f>VLOOKUP(S762,FACTS!$A$17:$C$23,3,FALSE)</f>
        <v>2</v>
      </c>
      <c r="AP762" s="232">
        <f>VLOOKUP(AA762,FACTS!$B$2:$J$14,9,FALSE)</f>
        <v>215000</v>
      </c>
      <c r="AQ762" s="232">
        <f>Table1[[#This Row],[PARKING VALUE]]*1</f>
        <v>215000</v>
      </c>
      <c r="AR762" s="232">
        <f t="shared" si="114"/>
        <v>8128854.375</v>
      </c>
      <c r="AS762" s="440">
        <f>Table1[[#This Row],[TOTAL CARS VALUE]]+Table1[[#This Row],[UNIT (BUILDING) VALUE BASIC FINISHED]]+Table1[[#This Row],[UNIT (GARDEN) VALUE]]</f>
        <v>8853354.375</v>
      </c>
      <c r="AT762" s="232">
        <f>Table1[[#This Row],[TOTAL CARS VALUE]]+Table1[[#This Row],[UNIT (GARDEN) VALUE]]+Table1[[#This Row],[UNIT (BUILDING) VALUE FULLY FINISHED]]</f>
        <v>9336354.375</v>
      </c>
      <c r="AU762" s="233">
        <f>VLOOKUP(I762,'C PHASES'!$I$108:$J$110,2,FALSE)</f>
        <v>46569</v>
      </c>
      <c r="AV762" s="233">
        <f>VLOOKUP(AA762,'C PHASES'!$I$113:$J$125,2,FALSE)</f>
        <v>45474</v>
      </c>
    </row>
    <row r="763" spans="1:48" x14ac:dyDescent="0.25">
      <c r="A763" s="235"/>
      <c r="B763" s="227" t="str">
        <f t="shared" si="122"/>
        <v>D</v>
      </c>
      <c r="C763" s="227" t="s">
        <v>62</v>
      </c>
      <c r="D763" s="227" t="s">
        <v>1147</v>
      </c>
      <c r="E763" s="228">
        <v>4</v>
      </c>
      <c r="F763" s="101">
        <v>3</v>
      </c>
      <c r="G763" s="87" t="str">
        <f t="shared" si="121"/>
        <v>D543</v>
      </c>
      <c r="H763" s="87" t="s">
        <v>1294</v>
      </c>
      <c r="I763" s="89" t="str">
        <f>VLOOKUP(C763,'PREMIUM TABLES'!$G$107:$H$149,2,FALSE)</f>
        <v>C3</v>
      </c>
      <c r="J763" s="87">
        <v>126.88</v>
      </c>
      <c r="K763" s="87">
        <v>137.95042520214821</v>
      </c>
      <c r="L763" s="87">
        <v>155</v>
      </c>
      <c r="O763" s="87" t="s">
        <v>187</v>
      </c>
      <c r="P763" s="87" t="s">
        <v>190</v>
      </c>
      <c r="Q763" s="229" t="s">
        <v>211</v>
      </c>
      <c r="R763" s="87" t="str">
        <f>VLOOKUP(E763,'PREMIUM TABLES'!$F$214:$G$219,2,FALSE)</f>
        <v>FORTH</v>
      </c>
      <c r="S763" s="87" t="str" cm="1">
        <f t="array" ref="S763">IF(AND(L763&gt;0,L763&lt;90),"A",IF(AND(L763&gt;90,L763&lt;123),"B",IF(AND(L763&gt;122,L763&lt;159),"C",IF(AND(L763&gt;159,L763&lt;185),"D",IF(AND(L763&gt;185,L763&lt;230),"E",IF(AND(L763&gt;230,L763&lt;350),"F",NONE))))))</f>
        <v>C</v>
      </c>
      <c r="T763" s="230">
        <f>VLOOKUP(O763,'PREMIUM TABLES'!$G$165:$H$172,2,FALSE)</f>
        <v>0.08</v>
      </c>
      <c r="U763" s="230">
        <f>VLOOKUP(P763,'PREMIUM TABLES'!$G$208:$H$209,2,FALSE)</f>
        <v>2.5000000000000001E-2</v>
      </c>
      <c r="V763" s="230">
        <f>VLOOKUP(Q763,'PREMIUM TABLES'!$G$175:$H$195,2,FALSE)</f>
        <v>0.43</v>
      </c>
      <c r="W763" s="230">
        <f>VLOOKUP(R763,'PREMIUM TABLES'!$G$214:$H$219,2,FALSE)</f>
        <v>0.06</v>
      </c>
      <c r="X763" s="230">
        <f>VLOOKUP(S763,'PREMIUM TABLES'!$F$199:$H$205,3,FALSE)</f>
        <v>3.5000000000000003E-2</v>
      </c>
      <c r="Y763" s="231">
        <f t="shared" si="115"/>
        <v>0.63</v>
      </c>
      <c r="Z763" s="231" t="str" cm="1">
        <f t="array" ref="Z763">IF(AND(Y763&gt;0,Y763&lt;0.5),"C",IF(AND(Y763&gt;=0.5,Y763&lt;0.73),"B",IF(AND(Y763&gt;=0.73,Y763&lt;0.98),"A",NONE)))</f>
        <v>B</v>
      </c>
      <c r="AA763" s="231" t="str">
        <f>VLOOKUP(G763,'ALL (R)'!$N$5:$R$862,5,FALSE)</f>
        <v>R 3</v>
      </c>
      <c r="AB763" s="232">
        <f>VLOOKUP(AA763,FACTS!$B$2:$L$14,10,FALSE)</f>
        <v>44625</v>
      </c>
      <c r="AC763" s="232">
        <f>VLOOKUP(AA763,FACTS!$B$2:$L$14,11,FALSE)</f>
        <v>49875</v>
      </c>
      <c r="AD763" s="232">
        <f>VLOOKUP(AA763,FACTS!$B$2:$N$14,13,FALSE)</f>
        <v>5250</v>
      </c>
      <c r="AE763" s="232">
        <f t="shared" si="116"/>
        <v>3307.5</v>
      </c>
      <c r="AF763" s="232">
        <f t="shared" si="117"/>
        <v>47932.5</v>
      </c>
      <c r="AG763" s="232">
        <f>AF763*FACTS!$T$2</f>
        <v>15817.725</v>
      </c>
      <c r="AH763" s="232">
        <f>Table1[[#This Row],[UNIT (BUILDING) RATE (SEMI FINISHED)]]+4500</f>
        <v>52432.5</v>
      </c>
      <c r="AI763" s="232">
        <f>Table1[[#This Row],[UNIT (BUILDING) RATE (SEMI FINISHED)]]+7500</f>
        <v>55432.5</v>
      </c>
      <c r="AJ763" s="232">
        <f t="shared" si="118"/>
        <v>7429537.5</v>
      </c>
      <c r="AK763" s="232">
        <f>Table1[[#This Row],[UNIT (BUILDING) RATE (BASIC FINISH)]]*Table1[[#This Row],[Unit Selling Area]]</f>
        <v>8127037.5</v>
      </c>
      <c r="AL763" s="232">
        <f>Table1[[#This Row],[UNIT (BUILDING) RATE (FULLY FINISH)]]*Table1[[#This Row],[Unit Selling Area]]</f>
        <v>8592037.5</v>
      </c>
      <c r="AM763" s="232">
        <f t="shared" si="119"/>
        <v>0</v>
      </c>
      <c r="AN763" s="232">
        <f>(AM763+AJ763)*FACTS!$S$2</f>
        <v>631510.6875</v>
      </c>
      <c r="AO763" s="101">
        <f>VLOOKUP(S763,FACTS!$A$17:$C$23,3,FALSE)</f>
        <v>2</v>
      </c>
      <c r="AP763" s="232">
        <f>VLOOKUP(AA763,FACTS!$B$2:$J$14,9,FALSE)</f>
        <v>210000</v>
      </c>
      <c r="AQ763" s="232">
        <f>Table1[[#This Row],[PARKING VALUE]]*1</f>
        <v>210000</v>
      </c>
      <c r="AR763" s="232">
        <f t="shared" si="114"/>
        <v>7639537.5</v>
      </c>
      <c r="AS763" s="440">
        <f>Table1[[#This Row],[TOTAL CARS VALUE]]+Table1[[#This Row],[UNIT (BUILDING) VALUE BASIC FINISHED]]+Table1[[#This Row],[UNIT (GARDEN) VALUE]]</f>
        <v>8337037.5</v>
      </c>
      <c r="AT763" s="232">
        <f>Table1[[#This Row],[TOTAL CARS VALUE]]+Table1[[#This Row],[UNIT (GARDEN) VALUE]]+Table1[[#This Row],[UNIT (BUILDING) VALUE FULLY FINISHED]]</f>
        <v>8802037.5</v>
      </c>
      <c r="AU763" s="233">
        <f>VLOOKUP(I763,'C PHASES'!$I$108:$J$110,2,FALSE)</f>
        <v>46569</v>
      </c>
      <c r="AV763" s="233">
        <f>VLOOKUP(AA763,'C PHASES'!$I$113:$J$125,2,FALSE)</f>
        <v>45383</v>
      </c>
    </row>
    <row r="764" spans="1:48" x14ac:dyDescent="0.25">
      <c r="A764" s="235"/>
      <c r="B764" s="227" t="str">
        <f t="shared" si="122"/>
        <v>D</v>
      </c>
      <c r="C764" s="227" t="s">
        <v>62</v>
      </c>
      <c r="D764" s="227" t="s">
        <v>1147</v>
      </c>
      <c r="E764" s="228">
        <v>4</v>
      </c>
      <c r="F764" s="101">
        <v>4</v>
      </c>
      <c r="G764" s="87" t="str">
        <f t="shared" si="121"/>
        <v>D544</v>
      </c>
      <c r="H764" s="87" t="s">
        <v>1294</v>
      </c>
      <c r="I764" s="89" t="str">
        <f>VLOOKUP(C764,'PREMIUM TABLES'!$G$107:$H$149,2,FALSE)</f>
        <v>C3</v>
      </c>
      <c r="J764" s="87">
        <v>125.09</v>
      </c>
      <c r="K764" s="87">
        <v>136.00424565366268</v>
      </c>
      <c r="L764" s="87">
        <v>153</v>
      </c>
      <c r="O764" s="87" t="s">
        <v>180</v>
      </c>
      <c r="P764" s="87" t="s">
        <v>190</v>
      </c>
      <c r="Q764" s="229" t="s">
        <v>199</v>
      </c>
      <c r="R764" s="87" t="str">
        <f>VLOOKUP(E764,'PREMIUM TABLES'!$F$214:$G$219,2,FALSE)</f>
        <v>FORTH</v>
      </c>
      <c r="S764" s="87" t="str" cm="1">
        <f t="array" ref="S764">IF(AND(L764&gt;0,L764&lt;90),"A",IF(AND(L764&gt;90,L764&lt;123),"B",IF(AND(L764&gt;122,L764&lt;159),"C",IF(AND(L764&gt;159,L764&lt;185),"D",IF(AND(L764&gt;185,L764&lt;230),"E",IF(AND(L764&gt;230,L764&lt;350),"F",NONE))))))</f>
        <v>C</v>
      </c>
      <c r="T764" s="230">
        <f>VLOOKUP(O764,'PREMIUM TABLES'!$G$165:$H$172,2,FALSE)</f>
        <v>0.13</v>
      </c>
      <c r="U764" s="230">
        <f>VLOOKUP(P764,'PREMIUM TABLES'!$G$208:$H$209,2,FALSE)</f>
        <v>2.5000000000000001E-2</v>
      </c>
      <c r="V764" s="230">
        <f>VLOOKUP(Q764,'PREMIUM TABLES'!$G$175:$H$195,2,FALSE)</f>
        <v>0.13</v>
      </c>
      <c r="W764" s="230">
        <f>VLOOKUP(R764,'PREMIUM TABLES'!$G$214:$H$219,2,FALSE)</f>
        <v>0.06</v>
      </c>
      <c r="X764" s="230">
        <f>VLOOKUP(S764,'PREMIUM TABLES'!$F$199:$H$205,3,FALSE)</f>
        <v>3.5000000000000003E-2</v>
      </c>
      <c r="Y764" s="231">
        <f t="shared" si="115"/>
        <v>0.38</v>
      </c>
      <c r="Z764" s="231" t="str" cm="1">
        <f t="array" ref="Z764">IF(AND(Y764&gt;0,Y764&lt;0.5),"C",IF(AND(Y764&gt;=0.5,Y764&lt;0.73),"B",IF(AND(Y764&gt;=0.73,Y764&lt;0.98),"A",NONE)))</f>
        <v>C</v>
      </c>
      <c r="AA764" s="231" t="str">
        <f>VLOOKUP(G764,'ALL (R)'!$N$5:$R$862,5,FALSE)</f>
        <v>R 3</v>
      </c>
      <c r="AB764" s="232">
        <f>VLOOKUP(AA764,FACTS!$B$2:$L$14,10,FALSE)</f>
        <v>44625</v>
      </c>
      <c r="AC764" s="232">
        <f>VLOOKUP(AA764,FACTS!$B$2:$L$14,11,FALSE)</f>
        <v>49875</v>
      </c>
      <c r="AD764" s="232">
        <f>VLOOKUP(AA764,FACTS!$B$2:$N$14,13,FALSE)</f>
        <v>5250</v>
      </c>
      <c r="AE764" s="232">
        <f t="shared" si="116"/>
        <v>1995</v>
      </c>
      <c r="AF764" s="232">
        <f t="shared" si="117"/>
        <v>46620</v>
      </c>
      <c r="AG764" s="232">
        <f>AF764*FACTS!$T$2</f>
        <v>15384.6</v>
      </c>
      <c r="AH764" s="232">
        <f>Table1[[#This Row],[UNIT (BUILDING) RATE (SEMI FINISHED)]]+4500</f>
        <v>51120</v>
      </c>
      <c r="AI764" s="232">
        <f>Table1[[#This Row],[UNIT (BUILDING) RATE (SEMI FINISHED)]]+7500</f>
        <v>54120</v>
      </c>
      <c r="AJ764" s="232">
        <f t="shared" si="118"/>
        <v>7132860</v>
      </c>
      <c r="AK764" s="232">
        <f>Table1[[#This Row],[UNIT (BUILDING) RATE (BASIC FINISH)]]*Table1[[#This Row],[Unit Selling Area]]</f>
        <v>7821360</v>
      </c>
      <c r="AL764" s="232">
        <f>Table1[[#This Row],[UNIT (BUILDING) RATE (FULLY FINISH)]]*Table1[[#This Row],[Unit Selling Area]]</f>
        <v>8280360</v>
      </c>
      <c r="AM764" s="232">
        <f t="shared" si="119"/>
        <v>0</v>
      </c>
      <c r="AN764" s="232">
        <f>(AM764+AJ764)*FACTS!$S$2</f>
        <v>606293.10000000009</v>
      </c>
      <c r="AO764" s="101">
        <f>VLOOKUP(S764,FACTS!$A$17:$C$23,3,FALSE)</f>
        <v>2</v>
      </c>
      <c r="AP764" s="232">
        <f>VLOOKUP(AA764,FACTS!$B$2:$J$14,9,FALSE)</f>
        <v>210000</v>
      </c>
      <c r="AQ764" s="232">
        <f>Table1[[#This Row],[PARKING VALUE]]*1</f>
        <v>210000</v>
      </c>
      <c r="AR764" s="232">
        <f t="shared" si="114"/>
        <v>7342860</v>
      </c>
      <c r="AS764" s="440">
        <f>Table1[[#This Row],[TOTAL CARS VALUE]]+Table1[[#This Row],[UNIT (BUILDING) VALUE BASIC FINISHED]]+Table1[[#This Row],[UNIT (GARDEN) VALUE]]</f>
        <v>8031360</v>
      </c>
      <c r="AT764" s="232">
        <f>Table1[[#This Row],[TOTAL CARS VALUE]]+Table1[[#This Row],[UNIT (GARDEN) VALUE]]+Table1[[#This Row],[UNIT (BUILDING) VALUE FULLY FINISHED]]</f>
        <v>8490360</v>
      </c>
      <c r="AU764" s="233">
        <f>VLOOKUP(I764,'C PHASES'!$I$108:$J$110,2,FALSE)</f>
        <v>46569</v>
      </c>
      <c r="AV764" s="233">
        <f>VLOOKUP(AA764,'C PHASES'!$I$113:$J$125,2,FALSE)</f>
        <v>45383</v>
      </c>
    </row>
    <row r="765" spans="1:48" ht="21.75" x14ac:dyDescent="0.25">
      <c r="A765" s="235" t="s">
        <v>38</v>
      </c>
      <c r="B765" s="227" t="str">
        <f t="shared" si="122"/>
        <v>E</v>
      </c>
      <c r="C765" s="227" t="s">
        <v>73</v>
      </c>
      <c r="D765" s="227" t="s">
        <v>1147</v>
      </c>
      <c r="E765" s="228">
        <v>0</v>
      </c>
      <c r="F765" s="101">
        <v>1</v>
      </c>
      <c r="G765" s="87" t="str">
        <f>LEFT(C765,2)&amp;E765&amp;F765</f>
        <v>E101</v>
      </c>
      <c r="H765" s="87" t="s">
        <v>1293</v>
      </c>
      <c r="I765" s="89" t="str">
        <f>VLOOKUP(C765,'PREMIUM TABLES'!$G$107:$H$149,2,FALSE)</f>
        <v>C3</v>
      </c>
      <c r="J765" s="87">
        <v>88.49</v>
      </c>
      <c r="K765" s="87">
        <v>96.199295659590803</v>
      </c>
      <c r="L765" s="87">
        <v>108</v>
      </c>
      <c r="M765" s="87">
        <v>67.980199999999996</v>
      </c>
      <c r="O765" s="87" t="s">
        <v>187</v>
      </c>
      <c r="P765" s="87" t="s">
        <v>190</v>
      </c>
      <c r="Q765" s="229" t="s">
        <v>199</v>
      </c>
      <c r="R765" s="87" t="str">
        <f>VLOOKUP(E765,'PREMIUM TABLES'!$F$214:$G$219,2,FALSE)</f>
        <v>GROUND</v>
      </c>
      <c r="S765" s="87" t="str" cm="1">
        <f t="array" ref="S765">IF(AND(L765&gt;0,L765&lt;90),"A",IF(AND(L765&gt;90,L765&lt;123),"B",IF(AND(L765&gt;122,L765&lt;159),"C",IF(AND(L765&gt;159,L765&lt;185),"D",IF(AND(L765&gt;185,L765&lt;230),"E",IF(AND(L765&gt;230,L765&lt;350),"F",NONE))))))</f>
        <v>B</v>
      </c>
      <c r="T765" s="230">
        <f>VLOOKUP(O765,'PREMIUM TABLES'!$G$165:$H$172,2,FALSE)</f>
        <v>0.08</v>
      </c>
      <c r="U765" s="230">
        <f>VLOOKUP(P765,'PREMIUM TABLES'!$G$208:$H$209,2,FALSE)</f>
        <v>2.5000000000000001E-2</v>
      </c>
      <c r="V765" s="230">
        <f>VLOOKUP(Q765,'PREMIUM TABLES'!$G$175:$H$195,2,FALSE)</f>
        <v>0.13</v>
      </c>
      <c r="W765" s="230">
        <f>VLOOKUP(R765,'PREMIUM TABLES'!$G$214:$H$219,2,FALSE)</f>
        <v>0.05</v>
      </c>
      <c r="X765" s="230">
        <f>VLOOKUP(S765,'PREMIUM TABLES'!$F$199:$H$205,3,FALSE)</f>
        <v>0.04</v>
      </c>
      <c r="Y765" s="231">
        <f t="shared" si="115"/>
        <v>0.32500000000000001</v>
      </c>
      <c r="Z765" s="231" t="str" cm="1">
        <f t="array" ref="Z765">IF(AND(Y765&gt;0,Y765&lt;0.5),"C",IF(AND(Y765&gt;=0.5,Y765&lt;0.73),"B",IF(AND(Y765&gt;=0.73,Y765&lt;0.98),"A",NONE)))</f>
        <v>C</v>
      </c>
      <c r="AA765" s="231" t="str">
        <f>VLOOKUP(G765,'ALL (R)'!$N$5:$R$862,5,FALSE)</f>
        <v>R 1</v>
      </c>
      <c r="AB765" s="232">
        <f>VLOOKUP(AA765,FACTS!$B$2:$L$14,10,FALSE)</f>
        <v>42500</v>
      </c>
      <c r="AC765" s="232">
        <f>VLOOKUP(AA765,FACTS!$B$2:$L$14,11,FALSE)</f>
        <v>47500</v>
      </c>
      <c r="AD765" s="232">
        <f>VLOOKUP(AA765,FACTS!$B$2:$N$14,13,FALSE)</f>
        <v>5000</v>
      </c>
      <c r="AE765" s="232">
        <f t="shared" si="116"/>
        <v>1625</v>
      </c>
      <c r="AF765" s="232">
        <f t="shared" si="117"/>
        <v>44125</v>
      </c>
      <c r="AG765" s="232">
        <f>AF765*FACTS!$T$2</f>
        <v>14561.25</v>
      </c>
      <c r="AH765" s="232">
        <f>Table1[[#This Row],[UNIT (BUILDING) RATE (SEMI FINISHED)]]+4500</f>
        <v>48625</v>
      </c>
      <c r="AI765" s="232">
        <f>Table1[[#This Row],[UNIT (BUILDING) RATE (SEMI FINISHED)]]+7500</f>
        <v>51625</v>
      </c>
      <c r="AJ765" s="232">
        <f t="shared" si="118"/>
        <v>4765500</v>
      </c>
      <c r="AK765" s="232">
        <f>Table1[[#This Row],[UNIT (BUILDING) RATE (BASIC FINISH)]]*Table1[[#This Row],[Unit Selling Area]]</f>
        <v>5251500</v>
      </c>
      <c r="AL765" s="232">
        <f>Table1[[#This Row],[UNIT (BUILDING) RATE (FULLY FINISH)]]*Table1[[#This Row],[Unit Selling Area]]</f>
        <v>5575500</v>
      </c>
      <c r="AM765" s="232">
        <f t="shared" si="119"/>
        <v>989876.68724999996</v>
      </c>
      <c r="AN765" s="232">
        <f>(AM765+AJ765)*FACTS!$S$2</f>
        <v>489207.01841625001</v>
      </c>
      <c r="AO765" s="101">
        <f>VLOOKUP(S765,FACTS!$A$17:$C$23,3,FALSE)</f>
        <v>1</v>
      </c>
      <c r="AP765" s="232">
        <f>VLOOKUP(AA765,FACTS!$B$2:$J$14,9,FALSE)</f>
        <v>200000</v>
      </c>
      <c r="AQ765" s="232">
        <f>Table1[[#This Row],[PARKING VALUE]]*1</f>
        <v>200000</v>
      </c>
      <c r="AR765" s="232">
        <f t="shared" si="114"/>
        <v>5955376.6872499995</v>
      </c>
      <c r="AS765" s="440">
        <f>Table1[[#This Row],[TOTAL CARS VALUE]]+Table1[[#This Row],[UNIT (BUILDING) VALUE BASIC FINISHED]]+Table1[[#This Row],[UNIT (GARDEN) VALUE]]</f>
        <v>6441376.6872499995</v>
      </c>
      <c r="AT765" s="232">
        <f>Table1[[#This Row],[TOTAL CARS VALUE]]+Table1[[#This Row],[UNIT (GARDEN) VALUE]]+Table1[[#This Row],[UNIT (BUILDING) VALUE FULLY FINISHED]]</f>
        <v>6765376.6872499995</v>
      </c>
      <c r="AU765" s="233">
        <f>VLOOKUP(I765,'C PHASES'!$I$108:$J$110,2,FALSE)</f>
        <v>46569</v>
      </c>
      <c r="AV765" s="233">
        <f>VLOOKUP(AA765,'C PHASES'!$I$113:$J$125,2,FALSE)</f>
        <v>45170</v>
      </c>
    </row>
    <row r="766" spans="1:48" x14ac:dyDescent="0.25">
      <c r="A766" s="235"/>
      <c r="B766" s="227" t="str">
        <f t="shared" si="122"/>
        <v>E</v>
      </c>
      <c r="C766" s="227" t="s">
        <v>73</v>
      </c>
      <c r="D766" s="227" t="s">
        <v>1147</v>
      </c>
      <c r="E766" s="228">
        <v>0</v>
      </c>
      <c r="F766" s="101">
        <v>2</v>
      </c>
      <c r="G766" s="87" t="str">
        <f t="shared" ref="G766:G784" si="123">LEFT(C766,2)&amp;E766&amp;F766</f>
        <v>E102</v>
      </c>
      <c r="H766" s="87" t="s">
        <v>1294</v>
      </c>
      <c r="I766" s="89" t="str">
        <f>VLOOKUP(C766,'PREMIUM TABLES'!$G$107:$H$149,2,FALSE)</f>
        <v>C3</v>
      </c>
      <c r="J766" s="87">
        <v>124.72</v>
      </c>
      <c r="K766" s="87">
        <v>135.58567244506912</v>
      </c>
      <c r="L766" s="87">
        <v>152</v>
      </c>
      <c r="M766" s="87">
        <v>85.417599999999993</v>
      </c>
      <c r="O766" s="87" t="s">
        <v>180</v>
      </c>
      <c r="P766" s="87" t="s">
        <v>190</v>
      </c>
      <c r="Q766" s="229" t="s">
        <v>212</v>
      </c>
      <c r="R766" s="87" t="str">
        <f>VLOOKUP(E766,'PREMIUM TABLES'!$F$214:$G$219,2,FALSE)</f>
        <v>GROUND</v>
      </c>
      <c r="S766" s="87" t="str" cm="1">
        <f t="array" ref="S766">IF(AND(L766&gt;0,L766&lt;90),"A",IF(AND(L766&gt;90,L766&lt;123),"B",IF(AND(L766&gt;122,L766&lt;159),"C",IF(AND(L766&gt;159,L766&lt;185),"D",IF(AND(L766&gt;185,L766&lt;230),"E",IF(AND(L766&gt;230,L766&lt;350),"F",NONE))))))</f>
        <v>C</v>
      </c>
      <c r="T766" s="230">
        <f>VLOOKUP(O766,'PREMIUM TABLES'!$G$165:$H$172,2,FALSE)</f>
        <v>0.13</v>
      </c>
      <c r="U766" s="230">
        <f>VLOOKUP(P766,'PREMIUM TABLES'!$G$208:$H$209,2,FALSE)</f>
        <v>2.5000000000000001E-2</v>
      </c>
      <c r="V766" s="230">
        <f>VLOOKUP(Q766,'PREMIUM TABLES'!$G$175:$H$195,2,FALSE)</f>
        <v>0.43</v>
      </c>
      <c r="W766" s="230">
        <f>VLOOKUP(R766,'PREMIUM TABLES'!$G$214:$H$219,2,FALSE)</f>
        <v>0.05</v>
      </c>
      <c r="X766" s="230">
        <f>VLOOKUP(S766,'PREMIUM TABLES'!$F$199:$H$205,3,FALSE)</f>
        <v>3.5000000000000003E-2</v>
      </c>
      <c r="Y766" s="231">
        <f t="shared" si="115"/>
        <v>0.67</v>
      </c>
      <c r="Z766" s="231" t="str" cm="1">
        <f t="array" ref="Z766">IF(AND(Y766&gt;0,Y766&lt;0.5),"C",IF(AND(Y766&gt;=0.5,Y766&lt;0.73),"B",IF(AND(Y766&gt;=0.73,Y766&lt;0.98),"A",NONE)))</f>
        <v>B</v>
      </c>
      <c r="AA766" s="231" t="str">
        <f>VLOOKUP(G766,'ALL (R)'!$N$5:$R$862,5,FALSE)</f>
        <v>R 6</v>
      </c>
      <c r="AB766" s="232">
        <f>VLOOKUP(AA766,FACTS!$B$2:$L$14,10,FALSE)</f>
        <v>48450.000000000007</v>
      </c>
      <c r="AC766" s="232">
        <f>VLOOKUP(AA766,FACTS!$B$2:$L$14,11,FALSE)</f>
        <v>54150.000000000007</v>
      </c>
      <c r="AD766" s="232">
        <f>VLOOKUP(AA766,FACTS!$B$2:$N$14,13,FALSE)</f>
        <v>5700</v>
      </c>
      <c r="AE766" s="232">
        <f t="shared" si="116"/>
        <v>3819.0000000000005</v>
      </c>
      <c r="AF766" s="232">
        <f t="shared" si="117"/>
        <v>52269.000000000007</v>
      </c>
      <c r="AG766" s="232">
        <f>AF766*FACTS!$T$2</f>
        <v>17248.770000000004</v>
      </c>
      <c r="AH766" s="232">
        <f>Table1[[#This Row],[UNIT (BUILDING) RATE (SEMI FINISHED)]]+4500</f>
        <v>56769.000000000007</v>
      </c>
      <c r="AI766" s="232">
        <f>Table1[[#This Row],[UNIT (BUILDING) RATE (SEMI FINISHED)]]+7500</f>
        <v>59769.000000000007</v>
      </c>
      <c r="AJ766" s="232">
        <f t="shared" si="118"/>
        <v>7944888.0000000009</v>
      </c>
      <c r="AK766" s="232">
        <f>Table1[[#This Row],[UNIT (BUILDING) RATE (BASIC FINISH)]]*Table1[[#This Row],[Unit Selling Area]]</f>
        <v>8628888.0000000019</v>
      </c>
      <c r="AL766" s="232">
        <f>Table1[[#This Row],[UNIT (BUILDING) RATE (FULLY FINISH)]]*Table1[[#This Row],[Unit Selling Area]]</f>
        <v>9084888.0000000019</v>
      </c>
      <c r="AM766" s="232">
        <f t="shared" si="119"/>
        <v>1473348.5363520002</v>
      </c>
      <c r="AN766" s="232">
        <f>(AM766+AJ766)*FACTS!$S$2</f>
        <v>800550.10558992019</v>
      </c>
      <c r="AO766" s="101">
        <f>VLOOKUP(S766,FACTS!$A$17:$C$23,3,FALSE)</f>
        <v>2</v>
      </c>
      <c r="AP766" s="232">
        <f>VLOOKUP(AA766,FACTS!$B$2:$J$14,9,FALSE)</f>
        <v>228000.00000000003</v>
      </c>
      <c r="AQ766" s="232">
        <f>Table1[[#This Row],[PARKING VALUE]]*1</f>
        <v>228000.00000000003</v>
      </c>
      <c r="AR766" s="232">
        <f t="shared" si="114"/>
        <v>9646236.5363520011</v>
      </c>
      <c r="AS766" s="440">
        <f>Table1[[#This Row],[TOTAL CARS VALUE]]+Table1[[#This Row],[UNIT (BUILDING) VALUE BASIC FINISHED]]+Table1[[#This Row],[UNIT (GARDEN) VALUE]]</f>
        <v>10330236.536352001</v>
      </c>
      <c r="AT766" s="232">
        <f>Table1[[#This Row],[TOTAL CARS VALUE]]+Table1[[#This Row],[UNIT (GARDEN) VALUE]]+Table1[[#This Row],[UNIT (BUILDING) VALUE FULLY FINISHED]]</f>
        <v>10786236.536352001</v>
      </c>
      <c r="AU766" s="233">
        <f>VLOOKUP(I766,'C PHASES'!$I$108:$J$110,2,FALSE)</f>
        <v>46569</v>
      </c>
      <c r="AV766" s="233">
        <f>VLOOKUP(AA766,'C PHASES'!$I$113:$J$125,2,FALSE)</f>
        <v>45658</v>
      </c>
    </row>
    <row r="767" spans="1:48" x14ac:dyDescent="0.25">
      <c r="A767" s="235"/>
      <c r="B767" s="227" t="str">
        <f t="shared" si="122"/>
        <v>E</v>
      </c>
      <c r="C767" s="227" t="s">
        <v>73</v>
      </c>
      <c r="D767" s="227" t="s">
        <v>1147</v>
      </c>
      <c r="E767" s="228">
        <v>0</v>
      </c>
      <c r="F767" s="101">
        <v>3</v>
      </c>
      <c r="G767" s="87" t="str">
        <f t="shared" si="123"/>
        <v>E103</v>
      </c>
      <c r="H767" s="87" t="s">
        <v>1294</v>
      </c>
      <c r="I767" s="89" t="str">
        <f>VLOOKUP(C767,'PREMIUM TABLES'!$G$107:$H$149,2,FALSE)</f>
        <v>C3</v>
      </c>
      <c r="J767" s="87">
        <v>129.5</v>
      </c>
      <c r="K767" s="87">
        <v>140.78210857630253</v>
      </c>
      <c r="L767" s="87">
        <v>158</v>
      </c>
      <c r="M767" s="87">
        <v>84.0732</v>
      </c>
      <c r="O767" s="87" t="s">
        <v>180</v>
      </c>
      <c r="P767" s="87" t="s">
        <v>226</v>
      </c>
      <c r="Q767" s="229" t="s">
        <v>212</v>
      </c>
      <c r="R767" s="87" t="str">
        <f>VLOOKUP(E767,'PREMIUM TABLES'!$F$214:$G$219,2,FALSE)</f>
        <v>GROUND</v>
      </c>
      <c r="S767" s="87" t="str" cm="1">
        <f t="array" ref="S767">IF(AND(L767&gt;0,L767&lt;90),"A",IF(AND(L767&gt;90,L767&lt;123),"B",IF(AND(L767&gt;122,L767&lt;159),"C",IF(AND(L767&gt;159,L767&lt;185),"D",IF(AND(L767&gt;185,L767&lt;230),"E",IF(AND(L767&gt;230,L767&lt;350),"F",NONE))))))</f>
        <v>C</v>
      </c>
      <c r="T767" s="230">
        <f>VLOOKUP(O767,'PREMIUM TABLES'!$G$165:$H$172,2,FALSE)</f>
        <v>0.13</v>
      </c>
      <c r="U767" s="230">
        <f>VLOOKUP(P767,'PREMIUM TABLES'!$G$208:$H$209,2,FALSE)</f>
        <v>0.05</v>
      </c>
      <c r="V767" s="230">
        <f>VLOOKUP(Q767,'PREMIUM TABLES'!$G$175:$H$195,2,FALSE)</f>
        <v>0.43</v>
      </c>
      <c r="W767" s="230">
        <f>VLOOKUP(R767,'PREMIUM TABLES'!$G$214:$H$219,2,FALSE)</f>
        <v>0.05</v>
      </c>
      <c r="X767" s="230">
        <f>VLOOKUP(S767,'PREMIUM TABLES'!$F$199:$H$205,3,FALSE)</f>
        <v>3.5000000000000003E-2</v>
      </c>
      <c r="Y767" s="231">
        <f t="shared" si="115"/>
        <v>0.69500000000000006</v>
      </c>
      <c r="Z767" s="231" t="str" cm="1">
        <f t="array" ref="Z767">IF(AND(Y767&gt;0,Y767&lt;0.5),"C",IF(AND(Y767&gt;=0.5,Y767&lt;0.73),"B",IF(AND(Y767&gt;=0.73,Y767&lt;0.98),"A",NONE)))</f>
        <v>B</v>
      </c>
      <c r="AA767" s="231" t="str">
        <f>VLOOKUP(G767,'ALL (R)'!$N$5:$R$862,5,FALSE)</f>
        <v>R 9</v>
      </c>
      <c r="AB767" s="232">
        <f>VLOOKUP(AA767,FACTS!$B$2:$L$14,10,FALSE)</f>
        <v>53550</v>
      </c>
      <c r="AC767" s="232">
        <f>VLOOKUP(AA767,FACTS!$B$2:$L$14,11,FALSE)</f>
        <v>59850</v>
      </c>
      <c r="AD767" s="232">
        <f>VLOOKUP(AA767,FACTS!$B$2:$N$14,13,FALSE)</f>
        <v>6300</v>
      </c>
      <c r="AE767" s="232">
        <f t="shared" si="116"/>
        <v>4378.5</v>
      </c>
      <c r="AF767" s="232">
        <f t="shared" si="117"/>
        <v>57928.5</v>
      </c>
      <c r="AG767" s="232">
        <f>AF767*FACTS!$T$2</f>
        <v>19116.405000000002</v>
      </c>
      <c r="AH767" s="232">
        <f>Table1[[#This Row],[UNIT (BUILDING) RATE (SEMI FINISHED)]]+4500</f>
        <v>62428.5</v>
      </c>
      <c r="AI767" s="232">
        <f>Table1[[#This Row],[UNIT (BUILDING) RATE (SEMI FINISHED)]]+7500</f>
        <v>65428.5</v>
      </c>
      <c r="AJ767" s="232">
        <f t="shared" si="118"/>
        <v>9152703</v>
      </c>
      <c r="AK767" s="232">
        <f>Table1[[#This Row],[UNIT (BUILDING) RATE (BASIC FINISH)]]*Table1[[#This Row],[Unit Selling Area]]</f>
        <v>9863703</v>
      </c>
      <c r="AL767" s="232">
        <f>Table1[[#This Row],[UNIT (BUILDING) RATE (FULLY FINISH)]]*Table1[[#This Row],[Unit Selling Area]]</f>
        <v>10337703</v>
      </c>
      <c r="AM767" s="232">
        <f t="shared" si="119"/>
        <v>1607177.3408460002</v>
      </c>
      <c r="AN767" s="232">
        <f>(AM767+AJ767)*FACTS!$S$2</f>
        <v>914589.82897191006</v>
      </c>
      <c r="AO767" s="101">
        <f>VLOOKUP(S767,FACTS!$A$17:$C$23,3,FALSE)</f>
        <v>2</v>
      </c>
      <c r="AP767" s="232">
        <f>VLOOKUP(AA767,FACTS!$B$2:$J$14,9,FALSE)</f>
        <v>252000</v>
      </c>
      <c r="AQ767" s="232">
        <f>Table1[[#This Row],[PARKING VALUE]]*1</f>
        <v>252000</v>
      </c>
      <c r="AR767" s="232">
        <f t="shared" si="114"/>
        <v>11011880.340846</v>
      </c>
      <c r="AS767" s="440">
        <f>Table1[[#This Row],[TOTAL CARS VALUE]]+Table1[[#This Row],[UNIT (BUILDING) VALUE BASIC FINISHED]]+Table1[[#This Row],[UNIT (GARDEN) VALUE]]</f>
        <v>11722880.340846</v>
      </c>
      <c r="AT767" s="232">
        <f>Table1[[#This Row],[TOTAL CARS VALUE]]+Table1[[#This Row],[UNIT (GARDEN) VALUE]]+Table1[[#This Row],[UNIT (BUILDING) VALUE FULLY FINISHED]]</f>
        <v>12196880.340846</v>
      </c>
      <c r="AU767" s="233">
        <f>VLOOKUP(I767,'C PHASES'!$I$108:$J$110,2,FALSE)</f>
        <v>46569</v>
      </c>
      <c r="AV767" s="233">
        <f>VLOOKUP(AA767,'C PHASES'!$I$113:$J$125,2,FALSE)</f>
        <v>45931</v>
      </c>
    </row>
    <row r="768" spans="1:48" x14ac:dyDescent="0.25">
      <c r="A768" s="235"/>
      <c r="B768" s="227" t="str">
        <f t="shared" si="122"/>
        <v>E</v>
      </c>
      <c r="C768" s="227" t="s">
        <v>73</v>
      </c>
      <c r="D768" s="227" t="s">
        <v>1147</v>
      </c>
      <c r="E768" s="228">
        <v>0</v>
      </c>
      <c r="F768" s="101">
        <v>4</v>
      </c>
      <c r="G768" s="87" t="str">
        <f t="shared" si="123"/>
        <v>E104</v>
      </c>
      <c r="H768" s="87" t="s">
        <v>1294</v>
      </c>
      <c r="I768" s="89" t="str">
        <f>VLOOKUP(C768,'PREMIUM TABLES'!$G$107:$H$149,2,FALSE)</f>
        <v>C3</v>
      </c>
      <c r="J768" s="87">
        <v>131.68</v>
      </c>
      <c r="K768" s="87">
        <v>143.15203133071444</v>
      </c>
      <c r="L768" s="87">
        <v>161</v>
      </c>
      <c r="M768" s="87">
        <v>84.652000000000001</v>
      </c>
      <c r="O768" s="87" t="s">
        <v>187</v>
      </c>
      <c r="P768" s="87" t="s">
        <v>226</v>
      </c>
      <c r="Q768" s="229" t="s">
        <v>199</v>
      </c>
      <c r="R768" s="87" t="str">
        <f>VLOOKUP(E768,'PREMIUM TABLES'!$F$214:$G$219,2,FALSE)</f>
        <v>GROUND</v>
      </c>
      <c r="S768" s="87" t="str" cm="1">
        <f t="array" ref="S768">IF(AND(L768&gt;0,L768&lt;90),"A",IF(AND(L768&gt;90,L768&lt;123),"B",IF(AND(L768&gt;122,L768&lt;159),"C",IF(AND(L768&gt;159,L768&lt;185),"D",IF(AND(L768&gt;185,L768&lt;230),"E",IF(AND(L768&gt;230,L768&lt;350),"F",NONE))))))</f>
        <v>D</v>
      </c>
      <c r="T768" s="230">
        <f>VLOOKUP(O768,'PREMIUM TABLES'!$G$165:$H$172,2,FALSE)</f>
        <v>0.08</v>
      </c>
      <c r="U768" s="230">
        <f>VLOOKUP(P768,'PREMIUM TABLES'!$G$208:$H$209,2,FALSE)</f>
        <v>0.05</v>
      </c>
      <c r="V768" s="230">
        <f>VLOOKUP(Q768,'PREMIUM TABLES'!$G$175:$H$195,2,FALSE)</f>
        <v>0.13</v>
      </c>
      <c r="W768" s="230">
        <f>VLOOKUP(R768,'PREMIUM TABLES'!$G$214:$H$219,2,FALSE)</f>
        <v>0.05</v>
      </c>
      <c r="X768" s="230">
        <f>VLOOKUP(S768,'PREMIUM TABLES'!$F$199:$H$205,3,FALSE)</f>
        <v>2.5000000000000001E-2</v>
      </c>
      <c r="Y768" s="231">
        <f t="shared" si="115"/>
        <v>0.33500000000000002</v>
      </c>
      <c r="Z768" s="231" t="str" cm="1">
        <f t="array" ref="Z768">IF(AND(Y768&gt;0,Y768&lt;0.5),"C",IF(AND(Y768&gt;=0.5,Y768&lt;0.73),"B",IF(AND(Y768&gt;=0.73,Y768&lt;0.98),"A",NONE)))</f>
        <v>C</v>
      </c>
      <c r="AA768" s="231" t="str">
        <f>VLOOKUP(G768,'ALL (R)'!$N$5:$R$862,5,FALSE)</f>
        <v>R 1</v>
      </c>
      <c r="AB768" s="232">
        <f>VLOOKUP(AA768,FACTS!$B$2:$L$14,10,FALSE)</f>
        <v>42500</v>
      </c>
      <c r="AC768" s="232">
        <f>VLOOKUP(AA768,FACTS!$B$2:$L$14,11,FALSE)</f>
        <v>47500</v>
      </c>
      <c r="AD768" s="232">
        <f>VLOOKUP(AA768,FACTS!$B$2:$N$14,13,FALSE)</f>
        <v>5000</v>
      </c>
      <c r="AE768" s="232">
        <f t="shared" si="116"/>
        <v>1675</v>
      </c>
      <c r="AF768" s="232">
        <f t="shared" si="117"/>
        <v>44175</v>
      </c>
      <c r="AG768" s="232">
        <f>AF768*FACTS!$T$2</f>
        <v>14577.75</v>
      </c>
      <c r="AH768" s="232">
        <f>Table1[[#This Row],[UNIT (BUILDING) RATE (SEMI FINISHED)]]+4500</f>
        <v>48675</v>
      </c>
      <c r="AI768" s="232">
        <f>Table1[[#This Row],[UNIT (BUILDING) RATE (SEMI FINISHED)]]+7500</f>
        <v>51675</v>
      </c>
      <c r="AJ768" s="232">
        <f t="shared" si="118"/>
        <v>7112175</v>
      </c>
      <c r="AK768" s="232">
        <f>Table1[[#This Row],[UNIT (BUILDING) RATE (BASIC FINISH)]]*Table1[[#This Row],[Unit Selling Area]]</f>
        <v>7836675</v>
      </c>
      <c r="AL768" s="232">
        <f>Table1[[#This Row],[UNIT (BUILDING) RATE (FULLY FINISH)]]*Table1[[#This Row],[Unit Selling Area]]</f>
        <v>8319675</v>
      </c>
      <c r="AM768" s="232">
        <f t="shared" si="119"/>
        <v>1234035.693</v>
      </c>
      <c r="AN768" s="232">
        <f>(AM768+AJ768)*FACTS!$S$2</f>
        <v>709427.90890500008</v>
      </c>
      <c r="AO768" s="101">
        <f>VLOOKUP(S768,FACTS!$A$17:$C$23,3,FALSE)</f>
        <v>2</v>
      </c>
      <c r="AP768" s="232">
        <f>VLOOKUP(AA768,FACTS!$B$2:$J$14,9,FALSE)</f>
        <v>200000</v>
      </c>
      <c r="AQ768" s="232">
        <f>Table1[[#This Row],[PARKING VALUE]]*1</f>
        <v>200000</v>
      </c>
      <c r="AR768" s="232">
        <f t="shared" si="114"/>
        <v>8546210.693</v>
      </c>
      <c r="AS768" s="440">
        <f>Table1[[#This Row],[TOTAL CARS VALUE]]+Table1[[#This Row],[UNIT (BUILDING) VALUE BASIC FINISHED]]+Table1[[#This Row],[UNIT (GARDEN) VALUE]]</f>
        <v>9270710.693</v>
      </c>
      <c r="AT768" s="232">
        <f>Table1[[#This Row],[TOTAL CARS VALUE]]+Table1[[#This Row],[UNIT (GARDEN) VALUE]]+Table1[[#This Row],[UNIT (BUILDING) VALUE FULLY FINISHED]]</f>
        <v>9753710.693</v>
      </c>
      <c r="AU768" s="233">
        <f>VLOOKUP(I768,'C PHASES'!$I$108:$J$110,2,FALSE)</f>
        <v>46569</v>
      </c>
      <c r="AV768" s="233">
        <f>VLOOKUP(AA768,'C PHASES'!$I$113:$J$125,2,FALSE)</f>
        <v>45170</v>
      </c>
    </row>
    <row r="769" spans="1:48" x14ac:dyDescent="0.25">
      <c r="A769" s="235"/>
      <c r="B769" s="227" t="str">
        <f t="shared" si="122"/>
        <v>E</v>
      </c>
      <c r="C769" s="227" t="s">
        <v>73</v>
      </c>
      <c r="D769" s="227" t="s">
        <v>1147</v>
      </c>
      <c r="E769" s="228">
        <v>1</v>
      </c>
      <c r="F769" s="101">
        <v>1</v>
      </c>
      <c r="G769" s="87" t="str">
        <f t="shared" si="123"/>
        <v>E111</v>
      </c>
      <c r="H769" s="87" t="s">
        <v>1293</v>
      </c>
      <c r="I769" s="89" t="str">
        <f>VLOOKUP(C769,'PREMIUM TABLES'!$G$107:$H$149,2,FALSE)</f>
        <v>C3</v>
      </c>
      <c r="J769" s="87">
        <v>88.79</v>
      </c>
      <c r="K769" s="87">
        <v>96.525431818454848</v>
      </c>
      <c r="L769" s="87">
        <v>108</v>
      </c>
      <c r="O769" s="87" t="s">
        <v>187</v>
      </c>
      <c r="P769" s="87" t="s">
        <v>190</v>
      </c>
      <c r="Q769" s="229" t="s">
        <v>199</v>
      </c>
      <c r="R769" s="87" t="str">
        <f>VLOOKUP(E769,'PREMIUM TABLES'!$F$214:$G$219,2,FALSE)</f>
        <v>FIRST</v>
      </c>
      <c r="S769" s="87" t="str" cm="1">
        <f t="array" ref="S769">IF(AND(L769&gt;0,L769&lt;90),"A",IF(AND(L769&gt;90,L769&lt;123),"B",IF(AND(L769&gt;122,L769&lt;159),"C",IF(AND(L769&gt;159,L769&lt;185),"D",IF(AND(L769&gt;185,L769&lt;230),"E",IF(AND(L769&gt;230,L769&lt;350),"F",NONE))))))</f>
        <v>B</v>
      </c>
      <c r="T769" s="230">
        <f>VLOOKUP(O769,'PREMIUM TABLES'!$G$165:$H$172,2,FALSE)</f>
        <v>0.08</v>
      </c>
      <c r="U769" s="230">
        <f>VLOOKUP(P769,'PREMIUM TABLES'!$G$208:$H$209,2,FALSE)</f>
        <v>2.5000000000000001E-2</v>
      </c>
      <c r="V769" s="230">
        <f>VLOOKUP(Q769,'PREMIUM TABLES'!$G$175:$H$195,2,FALSE)</f>
        <v>0.13</v>
      </c>
      <c r="W769" s="230">
        <f>VLOOKUP(R769,'PREMIUM TABLES'!$G$214:$H$219,2,FALSE)</f>
        <v>7.0000000000000007E-2</v>
      </c>
      <c r="X769" s="230">
        <f>VLOOKUP(S769,'PREMIUM TABLES'!$F$199:$H$205,3,FALSE)</f>
        <v>0.04</v>
      </c>
      <c r="Y769" s="231">
        <f t="shared" si="115"/>
        <v>0.34500000000000003</v>
      </c>
      <c r="Z769" s="231" t="str" cm="1">
        <f t="array" ref="Z769">IF(AND(Y769&gt;0,Y769&lt;0.5),"C",IF(AND(Y769&gt;=0.5,Y769&lt;0.73),"B",IF(AND(Y769&gt;=0.73,Y769&lt;0.98),"A",NONE)))</f>
        <v>C</v>
      </c>
      <c r="AA769" s="231" t="str">
        <f>VLOOKUP(G769,'ALL (R)'!$N$5:$R$862,5,FALSE)</f>
        <v>R 1</v>
      </c>
      <c r="AB769" s="232">
        <f>VLOOKUP(AA769,FACTS!$B$2:$L$14,10,FALSE)</f>
        <v>42500</v>
      </c>
      <c r="AC769" s="232">
        <f>VLOOKUP(AA769,FACTS!$B$2:$L$14,11,FALSE)</f>
        <v>47500</v>
      </c>
      <c r="AD769" s="232">
        <f>VLOOKUP(AA769,FACTS!$B$2:$N$14,13,FALSE)</f>
        <v>5000</v>
      </c>
      <c r="AE769" s="232">
        <f t="shared" si="116"/>
        <v>1725.0000000000002</v>
      </c>
      <c r="AF769" s="232">
        <f t="shared" si="117"/>
        <v>44225</v>
      </c>
      <c r="AG769" s="232">
        <f>AF769*FACTS!$T$2</f>
        <v>14594.25</v>
      </c>
      <c r="AH769" s="232">
        <f>Table1[[#This Row],[UNIT (BUILDING) RATE (SEMI FINISHED)]]+4500</f>
        <v>48725</v>
      </c>
      <c r="AI769" s="232">
        <f>Table1[[#This Row],[UNIT (BUILDING) RATE (SEMI FINISHED)]]+7500</f>
        <v>51725</v>
      </c>
      <c r="AJ769" s="232">
        <f t="shared" si="118"/>
        <v>4776300</v>
      </c>
      <c r="AK769" s="232">
        <f>Table1[[#This Row],[UNIT (BUILDING) RATE (BASIC FINISH)]]*Table1[[#This Row],[Unit Selling Area]]</f>
        <v>5262300</v>
      </c>
      <c r="AL769" s="232">
        <f>Table1[[#This Row],[UNIT (BUILDING) RATE (FULLY FINISH)]]*Table1[[#This Row],[Unit Selling Area]]</f>
        <v>5586300</v>
      </c>
      <c r="AM769" s="232">
        <f t="shared" si="119"/>
        <v>0</v>
      </c>
      <c r="AN769" s="232">
        <f>(AM769+AJ769)*FACTS!$S$2</f>
        <v>405985.50000000006</v>
      </c>
      <c r="AO769" s="101">
        <f>VLOOKUP(S769,FACTS!$A$17:$C$23,3,FALSE)</f>
        <v>1</v>
      </c>
      <c r="AP769" s="232">
        <f>VLOOKUP(AA769,FACTS!$B$2:$J$14,9,FALSE)</f>
        <v>200000</v>
      </c>
      <c r="AQ769" s="232">
        <f>Table1[[#This Row],[PARKING VALUE]]*1</f>
        <v>200000</v>
      </c>
      <c r="AR769" s="232">
        <f t="shared" si="114"/>
        <v>4976300</v>
      </c>
      <c r="AS769" s="440">
        <f>Table1[[#This Row],[TOTAL CARS VALUE]]+Table1[[#This Row],[UNIT (BUILDING) VALUE BASIC FINISHED]]+Table1[[#This Row],[UNIT (GARDEN) VALUE]]</f>
        <v>5462300</v>
      </c>
      <c r="AT769" s="232">
        <f>Table1[[#This Row],[TOTAL CARS VALUE]]+Table1[[#This Row],[UNIT (GARDEN) VALUE]]+Table1[[#This Row],[UNIT (BUILDING) VALUE FULLY FINISHED]]</f>
        <v>5786300</v>
      </c>
      <c r="AU769" s="233">
        <f>VLOOKUP(I769,'C PHASES'!$I$108:$J$110,2,FALSE)</f>
        <v>46569</v>
      </c>
      <c r="AV769" s="233">
        <f>VLOOKUP(AA769,'C PHASES'!$I$113:$J$125,2,FALSE)</f>
        <v>45170</v>
      </c>
    </row>
    <row r="770" spans="1:48" x14ac:dyDescent="0.25">
      <c r="A770" s="235"/>
      <c r="B770" s="227" t="str">
        <f t="shared" si="122"/>
        <v>E</v>
      </c>
      <c r="C770" s="227" t="s">
        <v>73</v>
      </c>
      <c r="D770" s="227" t="s">
        <v>1147</v>
      </c>
      <c r="E770" s="228">
        <v>1</v>
      </c>
      <c r="F770" s="101">
        <v>2</v>
      </c>
      <c r="G770" s="87" t="str">
        <f t="shared" si="123"/>
        <v>E112</v>
      </c>
      <c r="H770" s="87" t="s">
        <v>1294</v>
      </c>
      <c r="I770" s="89" t="str">
        <f>VLOOKUP(C770,'PREMIUM TABLES'!$G$107:$H$149,2,FALSE)</f>
        <v>C3</v>
      </c>
      <c r="J770" s="87">
        <v>126.34</v>
      </c>
      <c r="K770" s="87">
        <v>137.34680770293485</v>
      </c>
      <c r="L770" s="87">
        <v>154</v>
      </c>
      <c r="O770" s="87" t="s">
        <v>180</v>
      </c>
      <c r="P770" s="87" t="s">
        <v>190</v>
      </c>
      <c r="Q770" s="229" t="s">
        <v>212</v>
      </c>
      <c r="R770" s="87" t="str">
        <f>VLOOKUP(E770,'PREMIUM TABLES'!$F$214:$G$219,2,FALSE)</f>
        <v>FIRST</v>
      </c>
      <c r="S770" s="87" t="str" cm="1">
        <f t="array" ref="S770">IF(AND(L770&gt;0,L770&lt;90),"A",IF(AND(L770&gt;90,L770&lt;123),"B",IF(AND(L770&gt;122,L770&lt;159),"C",IF(AND(L770&gt;159,L770&lt;185),"D",IF(AND(L770&gt;185,L770&lt;230),"E",IF(AND(L770&gt;230,L770&lt;350),"F",NONE))))))</f>
        <v>C</v>
      </c>
      <c r="T770" s="230">
        <f>VLOOKUP(O770,'PREMIUM TABLES'!$G$165:$H$172,2,FALSE)</f>
        <v>0.13</v>
      </c>
      <c r="U770" s="230">
        <f>VLOOKUP(P770,'PREMIUM TABLES'!$G$208:$H$209,2,FALSE)</f>
        <v>2.5000000000000001E-2</v>
      </c>
      <c r="V770" s="230">
        <f>VLOOKUP(Q770,'PREMIUM TABLES'!$G$175:$H$195,2,FALSE)</f>
        <v>0.43</v>
      </c>
      <c r="W770" s="230">
        <f>VLOOKUP(R770,'PREMIUM TABLES'!$G$214:$H$219,2,FALSE)</f>
        <v>7.0000000000000007E-2</v>
      </c>
      <c r="X770" s="230">
        <f>VLOOKUP(S770,'PREMIUM TABLES'!$F$199:$H$205,3,FALSE)</f>
        <v>3.5000000000000003E-2</v>
      </c>
      <c r="Y770" s="231">
        <f t="shared" si="115"/>
        <v>0.69000000000000006</v>
      </c>
      <c r="Z770" s="231" t="str" cm="1">
        <f t="array" ref="Z770">IF(AND(Y770&gt;0,Y770&lt;0.5),"C",IF(AND(Y770&gt;=0.5,Y770&lt;0.73),"B",IF(AND(Y770&gt;=0.73,Y770&lt;0.98),"A",NONE)))</f>
        <v>B</v>
      </c>
      <c r="AA770" s="231" t="str">
        <f>VLOOKUP(G770,'ALL (R)'!$N$5:$R$862,5,FALSE)</f>
        <v>R 8</v>
      </c>
      <c r="AB770" s="232">
        <f>VLOOKUP(AA770,FACTS!$B$2:$L$14,10,FALSE)</f>
        <v>51850</v>
      </c>
      <c r="AC770" s="232">
        <f>VLOOKUP(AA770,FACTS!$B$2:$L$14,11,FALSE)</f>
        <v>57950</v>
      </c>
      <c r="AD770" s="232">
        <f>VLOOKUP(AA770,FACTS!$B$2:$N$14,13,FALSE)</f>
        <v>6100</v>
      </c>
      <c r="AE770" s="232">
        <f t="shared" si="116"/>
        <v>4209</v>
      </c>
      <c r="AF770" s="232">
        <f t="shared" si="117"/>
        <v>56059</v>
      </c>
      <c r="AG770" s="232">
        <f>AF770*FACTS!$T$2</f>
        <v>18499.47</v>
      </c>
      <c r="AH770" s="232">
        <f>Table1[[#This Row],[UNIT (BUILDING) RATE (SEMI FINISHED)]]+4500</f>
        <v>60559</v>
      </c>
      <c r="AI770" s="232">
        <f>Table1[[#This Row],[UNIT (BUILDING) RATE (SEMI FINISHED)]]+7500</f>
        <v>63559</v>
      </c>
      <c r="AJ770" s="232">
        <f t="shared" si="118"/>
        <v>8633086</v>
      </c>
      <c r="AK770" s="232">
        <f>Table1[[#This Row],[UNIT (BUILDING) RATE (BASIC FINISH)]]*Table1[[#This Row],[Unit Selling Area]]</f>
        <v>9326086</v>
      </c>
      <c r="AL770" s="232">
        <f>Table1[[#This Row],[UNIT (BUILDING) RATE (FULLY FINISH)]]*Table1[[#This Row],[Unit Selling Area]]</f>
        <v>9788086</v>
      </c>
      <c r="AM770" s="232">
        <f t="shared" si="119"/>
        <v>0</v>
      </c>
      <c r="AN770" s="232">
        <f>(AM770+AJ770)*FACTS!$S$2</f>
        <v>733812.31</v>
      </c>
      <c r="AO770" s="101">
        <f>VLOOKUP(S770,FACTS!$A$17:$C$23,3,FALSE)</f>
        <v>2</v>
      </c>
      <c r="AP770" s="232">
        <f>VLOOKUP(AA770,FACTS!$B$2:$J$14,9,FALSE)</f>
        <v>244000</v>
      </c>
      <c r="AQ770" s="232">
        <f>Table1[[#This Row],[PARKING VALUE]]*1</f>
        <v>244000</v>
      </c>
      <c r="AR770" s="232">
        <f t="shared" si="114"/>
        <v>8877086</v>
      </c>
      <c r="AS770" s="440">
        <f>Table1[[#This Row],[TOTAL CARS VALUE]]+Table1[[#This Row],[UNIT (BUILDING) VALUE BASIC FINISHED]]+Table1[[#This Row],[UNIT (GARDEN) VALUE]]</f>
        <v>9570086</v>
      </c>
      <c r="AT770" s="232">
        <f>Table1[[#This Row],[TOTAL CARS VALUE]]+Table1[[#This Row],[UNIT (GARDEN) VALUE]]+Table1[[#This Row],[UNIT (BUILDING) VALUE FULLY FINISHED]]</f>
        <v>10032086</v>
      </c>
      <c r="AU770" s="233">
        <f>VLOOKUP(I770,'C PHASES'!$I$108:$J$110,2,FALSE)</f>
        <v>46569</v>
      </c>
      <c r="AV770" s="233">
        <f>VLOOKUP(AA770,'C PHASES'!$I$113:$J$125,2,FALSE)</f>
        <v>45839</v>
      </c>
    </row>
    <row r="771" spans="1:48" x14ac:dyDescent="0.25">
      <c r="A771" s="235"/>
      <c r="B771" s="227" t="str">
        <f t="shared" si="122"/>
        <v>E</v>
      </c>
      <c r="C771" s="227" t="s">
        <v>73</v>
      </c>
      <c r="D771" s="227" t="s">
        <v>1147</v>
      </c>
      <c r="E771" s="228">
        <v>1</v>
      </c>
      <c r="F771" s="101">
        <v>3</v>
      </c>
      <c r="G771" s="87" t="str">
        <f t="shared" si="123"/>
        <v>E113</v>
      </c>
      <c r="H771" s="87" t="s">
        <v>1294</v>
      </c>
      <c r="I771" s="89" t="str">
        <f>VLOOKUP(C771,'PREMIUM TABLES'!$G$107:$H$149,2,FALSE)</f>
        <v>C3</v>
      </c>
      <c r="J771" s="87">
        <v>131.12</v>
      </c>
      <c r="K771" s="87">
        <v>142.54324383416824</v>
      </c>
      <c r="L771" s="87">
        <v>160</v>
      </c>
      <c r="O771" s="87" t="s">
        <v>180</v>
      </c>
      <c r="P771" s="87" t="s">
        <v>226</v>
      </c>
      <c r="Q771" s="229" t="s">
        <v>212</v>
      </c>
      <c r="R771" s="87" t="str">
        <f>VLOOKUP(E771,'PREMIUM TABLES'!$F$214:$G$219,2,FALSE)</f>
        <v>FIRST</v>
      </c>
      <c r="S771" s="87" t="str" cm="1">
        <f t="array" ref="S771">IF(AND(L771&gt;0,L771&lt;90),"A",IF(AND(L771&gt;90,L771&lt;123),"B",IF(AND(L771&gt;122,L771&lt;159),"C",IF(AND(L771&gt;159,L771&lt;185),"D",IF(AND(L771&gt;185,L771&lt;230),"E",IF(AND(L771&gt;230,L771&lt;350),"F",NONE))))))</f>
        <v>D</v>
      </c>
      <c r="T771" s="230">
        <f>VLOOKUP(O771,'PREMIUM TABLES'!$G$165:$H$172,2,FALSE)</f>
        <v>0.13</v>
      </c>
      <c r="U771" s="230">
        <f>VLOOKUP(P771,'PREMIUM TABLES'!$G$208:$H$209,2,FALSE)</f>
        <v>0.05</v>
      </c>
      <c r="V771" s="230">
        <f>VLOOKUP(Q771,'PREMIUM TABLES'!$G$175:$H$195,2,FALSE)</f>
        <v>0.43</v>
      </c>
      <c r="W771" s="230">
        <f>VLOOKUP(R771,'PREMIUM TABLES'!$G$214:$H$219,2,FALSE)</f>
        <v>7.0000000000000007E-2</v>
      </c>
      <c r="X771" s="230">
        <f>VLOOKUP(S771,'PREMIUM TABLES'!$F$199:$H$205,3,FALSE)</f>
        <v>2.5000000000000001E-2</v>
      </c>
      <c r="Y771" s="231">
        <f t="shared" si="115"/>
        <v>0.70499999999999996</v>
      </c>
      <c r="Z771" s="231" t="str" cm="1">
        <f t="array" ref="Z771">IF(AND(Y771&gt;0,Y771&lt;0.5),"C",IF(AND(Y771&gt;=0.5,Y771&lt;0.73),"B",IF(AND(Y771&gt;=0.73,Y771&lt;0.98),"A",NONE)))</f>
        <v>B</v>
      </c>
      <c r="AA771" s="231" t="str">
        <f>VLOOKUP(G771,'ALL (R)'!$N$5:$R$862,5,FALSE)</f>
        <v>R 12</v>
      </c>
      <c r="AB771" s="232">
        <f>VLOOKUP(AA771,FACTS!$B$2:$L$14,10,FALSE)</f>
        <v>61625</v>
      </c>
      <c r="AC771" s="232">
        <f>VLOOKUP(AA771,FACTS!$B$2:$L$14,11,FALSE)</f>
        <v>68875</v>
      </c>
      <c r="AD771" s="232">
        <f>VLOOKUP(AA771,FACTS!$B$2:$N$14,13,FALSE)</f>
        <v>7250</v>
      </c>
      <c r="AE771" s="232">
        <f t="shared" si="116"/>
        <v>5111.25</v>
      </c>
      <c r="AF771" s="232">
        <f t="shared" si="117"/>
        <v>66736.25</v>
      </c>
      <c r="AG771" s="232">
        <f>AF771*FACTS!$T$2</f>
        <v>22022.962500000001</v>
      </c>
      <c r="AH771" s="232">
        <f>Table1[[#This Row],[UNIT (BUILDING) RATE (SEMI FINISHED)]]+4500</f>
        <v>71236.25</v>
      </c>
      <c r="AI771" s="232">
        <f>Table1[[#This Row],[UNIT (BUILDING) RATE (SEMI FINISHED)]]+7500</f>
        <v>74236.25</v>
      </c>
      <c r="AJ771" s="232">
        <f t="shared" si="118"/>
        <v>10677800</v>
      </c>
      <c r="AK771" s="232">
        <f>Table1[[#This Row],[UNIT (BUILDING) RATE (BASIC FINISH)]]*Table1[[#This Row],[Unit Selling Area]]</f>
        <v>11397800</v>
      </c>
      <c r="AL771" s="232">
        <f>Table1[[#This Row],[UNIT (BUILDING) RATE (FULLY FINISH)]]*Table1[[#This Row],[Unit Selling Area]]</f>
        <v>11877800</v>
      </c>
      <c r="AM771" s="232">
        <f t="shared" si="119"/>
        <v>0</v>
      </c>
      <c r="AN771" s="232">
        <f>(AM771+AJ771)*FACTS!$S$2</f>
        <v>907613.00000000012</v>
      </c>
      <c r="AO771" s="101">
        <f>VLOOKUP(S771,FACTS!$A$17:$C$23,3,FALSE)</f>
        <v>2</v>
      </c>
      <c r="AP771" s="232">
        <f>VLOOKUP(AA771,FACTS!$B$2:$J$14,9,FALSE)</f>
        <v>290000</v>
      </c>
      <c r="AQ771" s="232">
        <f>Table1[[#This Row],[PARKING VALUE]]*1</f>
        <v>290000</v>
      </c>
      <c r="AR771" s="232">
        <f t="shared" si="114"/>
        <v>10967800</v>
      </c>
      <c r="AS771" s="440">
        <f>Table1[[#This Row],[TOTAL CARS VALUE]]+Table1[[#This Row],[UNIT (BUILDING) VALUE BASIC FINISHED]]+Table1[[#This Row],[UNIT (GARDEN) VALUE]]</f>
        <v>11687800</v>
      </c>
      <c r="AT771" s="232">
        <f>Table1[[#This Row],[TOTAL CARS VALUE]]+Table1[[#This Row],[UNIT (GARDEN) VALUE]]+Table1[[#This Row],[UNIT (BUILDING) VALUE FULLY FINISHED]]</f>
        <v>12167800</v>
      </c>
      <c r="AU771" s="233">
        <f>VLOOKUP(I771,'C PHASES'!$I$108:$J$110,2,FALSE)</f>
        <v>46569</v>
      </c>
      <c r="AV771" s="233">
        <f>VLOOKUP(AA771,'C PHASES'!$I$113:$J$125,2,FALSE)</f>
        <v>46204</v>
      </c>
    </row>
    <row r="772" spans="1:48" x14ac:dyDescent="0.25">
      <c r="A772" s="235"/>
      <c r="B772" s="227" t="str">
        <f t="shared" si="122"/>
        <v>E</v>
      </c>
      <c r="C772" s="227" t="s">
        <v>73</v>
      </c>
      <c r="D772" s="227" t="s">
        <v>1147</v>
      </c>
      <c r="E772" s="228">
        <v>1</v>
      </c>
      <c r="F772" s="101">
        <v>4</v>
      </c>
      <c r="G772" s="87" t="str">
        <f t="shared" si="123"/>
        <v>E114</v>
      </c>
      <c r="H772" s="87" t="s">
        <v>1294</v>
      </c>
      <c r="I772" s="89" t="str">
        <f>VLOOKUP(C772,'PREMIUM TABLES'!$G$107:$H$149,2,FALSE)</f>
        <v>C3</v>
      </c>
      <c r="J772" s="87">
        <v>128.56</v>
      </c>
      <c r="K772" s="87">
        <v>139.76021527852859</v>
      </c>
      <c r="L772" s="87">
        <v>157</v>
      </c>
      <c r="O772" s="87" t="s">
        <v>187</v>
      </c>
      <c r="P772" s="87" t="s">
        <v>226</v>
      </c>
      <c r="Q772" s="229" t="s">
        <v>199</v>
      </c>
      <c r="R772" s="87" t="str">
        <f>VLOOKUP(E772,'PREMIUM TABLES'!$F$214:$G$219,2,FALSE)</f>
        <v>FIRST</v>
      </c>
      <c r="S772" s="87" t="str" cm="1">
        <f t="array" ref="S772">IF(AND(L772&gt;0,L772&lt;90),"A",IF(AND(L772&gt;90,L772&lt;123),"B",IF(AND(L772&gt;122,L772&lt;159),"C",IF(AND(L772&gt;159,L772&lt;185),"D",IF(AND(L772&gt;185,L772&lt;230),"E",IF(AND(L772&gt;230,L772&lt;350),"F",NONE))))))</f>
        <v>C</v>
      </c>
      <c r="T772" s="230">
        <f>VLOOKUP(O772,'PREMIUM TABLES'!$G$165:$H$172,2,FALSE)</f>
        <v>0.08</v>
      </c>
      <c r="U772" s="230">
        <f>VLOOKUP(P772,'PREMIUM TABLES'!$G$208:$H$209,2,FALSE)</f>
        <v>0.05</v>
      </c>
      <c r="V772" s="230">
        <f>VLOOKUP(Q772,'PREMIUM TABLES'!$G$175:$H$195,2,FALSE)</f>
        <v>0.13</v>
      </c>
      <c r="W772" s="230">
        <f>VLOOKUP(R772,'PREMIUM TABLES'!$G$214:$H$219,2,FALSE)</f>
        <v>7.0000000000000007E-2</v>
      </c>
      <c r="X772" s="230">
        <f>VLOOKUP(S772,'PREMIUM TABLES'!$F$199:$H$205,3,FALSE)</f>
        <v>3.5000000000000003E-2</v>
      </c>
      <c r="Y772" s="231">
        <f t="shared" si="115"/>
        <v>0.36499999999999999</v>
      </c>
      <c r="Z772" s="231" t="str" cm="1">
        <f t="array" ref="Z772">IF(AND(Y772&gt;0,Y772&lt;0.5),"C",IF(AND(Y772&gt;=0.5,Y772&lt;0.73),"B",IF(AND(Y772&gt;=0.73,Y772&lt;0.98),"A",NONE)))</f>
        <v>C</v>
      </c>
      <c r="AA772" s="231" t="str">
        <f>VLOOKUP(G772,'ALL (R)'!$N$5:$R$862,5,FALSE)</f>
        <v>R 2</v>
      </c>
      <c r="AB772" s="232">
        <f>VLOOKUP(AA772,FACTS!$B$2:$L$14,10,FALSE)</f>
        <v>43562.499999999993</v>
      </c>
      <c r="AC772" s="232">
        <f>VLOOKUP(AA772,FACTS!$B$2:$L$14,11,FALSE)</f>
        <v>48687.499999999993</v>
      </c>
      <c r="AD772" s="232">
        <f>VLOOKUP(AA772,FACTS!$B$2:$N$14,13,FALSE)</f>
        <v>5125</v>
      </c>
      <c r="AE772" s="232">
        <f t="shared" si="116"/>
        <v>1870.625</v>
      </c>
      <c r="AF772" s="232">
        <f t="shared" si="117"/>
        <v>45433.124999999993</v>
      </c>
      <c r="AG772" s="232">
        <f>AF772*FACTS!$T$2</f>
        <v>14992.931249999998</v>
      </c>
      <c r="AH772" s="232">
        <f>Table1[[#This Row],[UNIT (BUILDING) RATE (SEMI FINISHED)]]+4500</f>
        <v>49933.124999999993</v>
      </c>
      <c r="AI772" s="232">
        <f>Table1[[#This Row],[UNIT (BUILDING) RATE (SEMI FINISHED)]]+7500</f>
        <v>52933.124999999993</v>
      </c>
      <c r="AJ772" s="232">
        <f t="shared" si="118"/>
        <v>7133000.6249999991</v>
      </c>
      <c r="AK772" s="232">
        <f>Table1[[#This Row],[UNIT (BUILDING) RATE (BASIC FINISH)]]*Table1[[#This Row],[Unit Selling Area]]</f>
        <v>7839500.6249999991</v>
      </c>
      <c r="AL772" s="232">
        <f>Table1[[#This Row],[UNIT (BUILDING) RATE (FULLY FINISH)]]*Table1[[#This Row],[Unit Selling Area]]</f>
        <v>8310500.6249999991</v>
      </c>
      <c r="AM772" s="232">
        <f t="shared" si="119"/>
        <v>0</v>
      </c>
      <c r="AN772" s="232">
        <f>(AM772+AJ772)*FACTS!$S$2</f>
        <v>606305.05312499998</v>
      </c>
      <c r="AO772" s="101">
        <f>VLOOKUP(S772,FACTS!$A$17:$C$23,3,FALSE)</f>
        <v>2</v>
      </c>
      <c r="AP772" s="232">
        <f>VLOOKUP(AA772,FACTS!$B$2:$J$14,9,FALSE)</f>
        <v>204999.99999999997</v>
      </c>
      <c r="AQ772" s="232">
        <f>Table1[[#This Row],[PARKING VALUE]]*1</f>
        <v>204999.99999999997</v>
      </c>
      <c r="AR772" s="232">
        <f t="shared" si="114"/>
        <v>7338000.6249999991</v>
      </c>
      <c r="AS772" s="440">
        <f>Table1[[#This Row],[TOTAL CARS VALUE]]+Table1[[#This Row],[UNIT (BUILDING) VALUE BASIC FINISHED]]+Table1[[#This Row],[UNIT (GARDEN) VALUE]]</f>
        <v>8044500.6249999991</v>
      </c>
      <c r="AT772" s="232">
        <f>Table1[[#This Row],[TOTAL CARS VALUE]]+Table1[[#This Row],[UNIT (GARDEN) VALUE]]+Table1[[#This Row],[UNIT (BUILDING) VALUE FULLY FINISHED]]</f>
        <v>8515500.6249999981</v>
      </c>
      <c r="AU772" s="233">
        <f>VLOOKUP(I772,'C PHASES'!$I$108:$J$110,2,FALSE)</f>
        <v>46569</v>
      </c>
      <c r="AV772" s="233">
        <f>VLOOKUP(AA772,'C PHASES'!$I$113:$J$125,2,FALSE)</f>
        <v>45292</v>
      </c>
    </row>
    <row r="773" spans="1:48" x14ac:dyDescent="0.25">
      <c r="A773" s="235"/>
      <c r="B773" s="227" t="str">
        <f t="shared" si="122"/>
        <v>E</v>
      </c>
      <c r="C773" s="227" t="s">
        <v>73</v>
      </c>
      <c r="D773" s="227" t="s">
        <v>1147</v>
      </c>
      <c r="E773" s="228">
        <v>2</v>
      </c>
      <c r="F773" s="101">
        <v>1</v>
      </c>
      <c r="G773" s="87" t="str">
        <f t="shared" si="123"/>
        <v>E121</v>
      </c>
      <c r="H773" s="87" t="s">
        <v>1294</v>
      </c>
      <c r="I773" s="89" t="str">
        <f>VLOOKUP(C773,'PREMIUM TABLES'!$G$107:$H$149,2,FALSE)</f>
        <v>C3</v>
      </c>
      <c r="J773" s="87">
        <v>127.15</v>
      </c>
      <c r="K773" s="87">
        <v>138.22737533186771</v>
      </c>
      <c r="L773" s="87">
        <v>155</v>
      </c>
      <c r="O773" s="87" t="s">
        <v>187</v>
      </c>
      <c r="P773" s="87" t="s">
        <v>190</v>
      </c>
      <c r="Q773" s="229" t="s">
        <v>199</v>
      </c>
      <c r="R773" s="87" t="str">
        <f>VLOOKUP(E773,'PREMIUM TABLES'!$F$214:$G$219,2,FALSE)</f>
        <v>SECOND</v>
      </c>
      <c r="S773" s="87" t="str" cm="1">
        <f t="array" ref="S773">IF(AND(L773&gt;0,L773&lt;90),"A",IF(AND(L773&gt;90,L773&lt;123),"B",IF(AND(L773&gt;122,L773&lt;159),"C",IF(AND(L773&gt;159,L773&lt;185),"D",IF(AND(L773&gt;185,L773&lt;230),"E",IF(AND(L773&gt;230,L773&lt;350),"F",NONE))))))</f>
        <v>C</v>
      </c>
      <c r="T773" s="230">
        <f>VLOOKUP(O773,'PREMIUM TABLES'!$G$165:$H$172,2,FALSE)</f>
        <v>0.08</v>
      </c>
      <c r="U773" s="230">
        <f>VLOOKUP(P773,'PREMIUM TABLES'!$G$208:$H$209,2,FALSE)</f>
        <v>2.5000000000000001E-2</v>
      </c>
      <c r="V773" s="230">
        <f>VLOOKUP(Q773,'PREMIUM TABLES'!$G$175:$H$195,2,FALSE)</f>
        <v>0.13</v>
      </c>
      <c r="W773" s="230">
        <f>VLOOKUP(R773,'PREMIUM TABLES'!$G$214:$H$219,2,FALSE)</f>
        <v>0.11</v>
      </c>
      <c r="X773" s="230">
        <f>VLOOKUP(S773,'PREMIUM TABLES'!$F$199:$H$205,3,FALSE)</f>
        <v>3.5000000000000003E-2</v>
      </c>
      <c r="Y773" s="231">
        <f t="shared" si="115"/>
        <v>0.38</v>
      </c>
      <c r="Z773" s="231" t="str" cm="1">
        <f t="array" ref="Z773">IF(AND(Y773&gt;0,Y773&lt;0.5),"C",IF(AND(Y773&gt;=0.5,Y773&lt;0.73),"B",IF(AND(Y773&gt;=0.73,Y773&lt;0.98),"A",NONE)))</f>
        <v>C</v>
      </c>
      <c r="AA773" s="231" t="str">
        <f>VLOOKUP(G773,'ALL (R)'!$N$5:$R$862,5,FALSE)</f>
        <v>R 3</v>
      </c>
      <c r="AB773" s="232">
        <f>VLOOKUP(AA773,FACTS!$B$2:$L$14,10,FALSE)</f>
        <v>44625</v>
      </c>
      <c r="AC773" s="232">
        <f>VLOOKUP(AA773,FACTS!$B$2:$L$14,11,FALSE)</f>
        <v>49875</v>
      </c>
      <c r="AD773" s="232">
        <f>VLOOKUP(AA773,FACTS!$B$2:$N$14,13,FALSE)</f>
        <v>5250</v>
      </c>
      <c r="AE773" s="232">
        <f t="shared" si="116"/>
        <v>1995</v>
      </c>
      <c r="AF773" s="232">
        <f t="shared" si="117"/>
        <v>46620</v>
      </c>
      <c r="AG773" s="232">
        <f>AF773*FACTS!$T$2</f>
        <v>15384.6</v>
      </c>
      <c r="AH773" s="232">
        <f>Table1[[#This Row],[UNIT (BUILDING) RATE (SEMI FINISHED)]]+4500</f>
        <v>51120</v>
      </c>
      <c r="AI773" s="232">
        <f>Table1[[#This Row],[UNIT (BUILDING) RATE (SEMI FINISHED)]]+7500</f>
        <v>54120</v>
      </c>
      <c r="AJ773" s="232">
        <f t="shared" si="118"/>
        <v>7226100</v>
      </c>
      <c r="AK773" s="232">
        <f>Table1[[#This Row],[UNIT (BUILDING) RATE (BASIC FINISH)]]*Table1[[#This Row],[Unit Selling Area]]</f>
        <v>7923600</v>
      </c>
      <c r="AL773" s="232">
        <f>Table1[[#This Row],[UNIT (BUILDING) RATE (FULLY FINISH)]]*Table1[[#This Row],[Unit Selling Area]]</f>
        <v>8388600</v>
      </c>
      <c r="AM773" s="232">
        <f t="shared" si="119"/>
        <v>0</v>
      </c>
      <c r="AN773" s="232">
        <f>(AM773+AJ773)*FACTS!$S$2</f>
        <v>614218.5</v>
      </c>
      <c r="AO773" s="101">
        <f>VLOOKUP(S773,FACTS!$A$17:$C$23,3,FALSE)</f>
        <v>2</v>
      </c>
      <c r="AP773" s="232">
        <f>VLOOKUP(AA773,FACTS!$B$2:$J$14,9,FALSE)</f>
        <v>210000</v>
      </c>
      <c r="AQ773" s="232">
        <f>Table1[[#This Row],[PARKING VALUE]]*1</f>
        <v>210000</v>
      </c>
      <c r="AR773" s="232">
        <f t="shared" ref="AR773:AR836" si="124">AQ773+AM773+AJ773</f>
        <v>7436100</v>
      </c>
      <c r="AS773" s="440">
        <f>Table1[[#This Row],[TOTAL CARS VALUE]]+Table1[[#This Row],[UNIT (BUILDING) VALUE BASIC FINISHED]]+Table1[[#This Row],[UNIT (GARDEN) VALUE]]</f>
        <v>8133600</v>
      </c>
      <c r="AT773" s="232">
        <f>Table1[[#This Row],[TOTAL CARS VALUE]]+Table1[[#This Row],[UNIT (GARDEN) VALUE]]+Table1[[#This Row],[UNIT (BUILDING) VALUE FULLY FINISHED]]</f>
        <v>8598600</v>
      </c>
      <c r="AU773" s="233">
        <f>VLOOKUP(I773,'C PHASES'!$I$108:$J$110,2,FALSE)</f>
        <v>46569</v>
      </c>
      <c r="AV773" s="233">
        <f>VLOOKUP(AA773,'C PHASES'!$I$113:$J$125,2,FALSE)</f>
        <v>45383</v>
      </c>
    </row>
    <row r="774" spans="1:48" x14ac:dyDescent="0.25">
      <c r="A774" s="235"/>
      <c r="B774" s="227" t="str">
        <f t="shared" si="122"/>
        <v>E</v>
      </c>
      <c r="C774" s="227" t="s">
        <v>73</v>
      </c>
      <c r="D774" s="227" t="s">
        <v>1147</v>
      </c>
      <c r="E774" s="228">
        <v>2</v>
      </c>
      <c r="F774" s="101">
        <v>2</v>
      </c>
      <c r="G774" s="87" t="str">
        <f t="shared" si="123"/>
        <v>E122</v>
      </c>
      <c r="H774" s="87" t="s">
        <v>1294</v>
      </c>
      <c r="I774" s="89" t="str">
        <f>VLOOKUP(C774,'PREMIUM TABLES'!$G$107:$H$149,2,FALSE)</f>
        <v>C3</v>
      </c>
      <c r="J774" s="87">
        <v>126.78</v>
      </c>
      <c r="K774" s="87">
        <v>137.82514073593541</v>
      </c>
      <c r="L774" s="87">
        <v>155</v>
      </c>
      <c r="O774" s="87" t="s">
        <v>180</v>
      </c>
      <c r="P774" s="87" t="s">
        <v>190</v>
      </c>
      <c r="Q774" s="229" t="s">
        <v>212</v>
      </c>
      <c r="R774" s="87" t="str">
        <f>VLOOKUP(E774,'PREMIUM TABLES'!$F$214:$G$219,2,FALSE)</f>
        <v>SECOND</v>
      </c>
      <c r="S774" s="87" t="str" cm="1">
        <f t="array" ref="S774">IF(AND(L774&gt;0,L774&lt;90),"A",IF(AND(L774&gt;90,L774&lt;123),"B",IF(AND(L774&gt;122,L774&lt;159),"C",IF(AND(L774&gt;159,L774&lt;185),"D",IF(AND(L774&gt;185,L774&lt;230),"E",IF(AND(L774&gt;230,L774&lt;350),"F",NONE))))))</f>
        <v>C</v>
      </c>
      <c r="T774" s="230">
        <f>VLOOKUP(O774,'PREMIUM TABLES'!$G$165:$H$172,2,FALSE)</f>
        <v>0.13</v>
      </c>
      <c r="U774" s="230">
        <f>VLOOKUP(P774,'PREMIUM TABLES'!$G$208:$H$209,2,FALSE)</f>
        <v>2.5000000000000001E-2</v>
      </c>
      <c r="V774" s="230">
        <f>VLOOKUP(Q774,'PREMIUM TABLES'!$G$175:$H$195,2,FALSE)</f>
        <v>0.43</v>
      </c>
      <c r="W774" s="230">
        <f>VLOOKUP(R774,'PREMIUM TABLES'!$G$214:$H$219,2,FALSE)</f>
        <v>0.11</v>
      </c>
      <c r="X774" s="230">
        <f>VLOOKUP(S774,'PREMIUM TABLES'!$F$199:$H$205,3,FALSE)</f>
        <v>3.5000000000000003E-2</v>
      </c>
      <c r="Y774" s="231">
        <f t="shared" ref="Y774:Y837" si="125">SUM(T774:X774)</f>
        <v>0.73</v>
      </c>
      <c r="Z774" s="231" t="str" cm="1">
        <f t="array" ref="Z774">IF(AND(Y774&gt;0,Y774&lt;0.5),"C",IF(AND(Y774&gt;=0.5,Y774&lt;0.73),"B",IF(AND(Y774&gt;=0.73,Y774&lt;0.98),"A",NONE)))</f>
        <v>A</v>
      </c>
      <c r="AA774" s="231" t="str">
        <f>VLOOKUP(G774,'ALL (R)'!$N$5:$R$862,5,FALSE)</f>
        <v>R 1</v>
      </c>
      <c r="AB774" s="232">
        <f>VLOOKUP(AA774,FACTS!$B$2:$L$14,10,FALSE)</f>
        <v>42500</v>
      </c>
      <c r="AC774" s="232">
        <f>VLOOKUP(AA774,FACTS!$B$2:$L$14,11,FALSE)</f>
        <v>47500</v>
      </c>
      <c r="AD774" s="232">
        <f>VLOOKUP(AA774,FACTS!$B$2:$N$14,13,FALSE)</f>
        <v>5000</v>
      </c>
      <c r="AE774" s="232">
        <f t="shared" ref="AE774:AE837" si="126">AD774*Y774</f>
        <v>3650</v>
      </c>
      <c r="AF774" s="232">
        <f t="shared" ref="AF774:AF837" si="127">AE774+AB774</f>
        <v>46150</v>
      </c>
      <c r="AG774" s="232">
        <f>AF774*FACTS!$T$2</f>
        <v>15229.5</v>
      </c>
      <c r="AH774" s="232">
        <f>Table1[[#This Row],[UNIT (BUILDING) RATE (SEMI FINISHED)]]+4500</f>
        <v>50650</v>
      </c>
      <c r="AI774" s="232">
        <f>Table1[[#This Row],[UNIT (BUILDING) RATE (SEMI FINISHED)]]+7500</f>
        <v>53650</v>
      </c>
      <c r="AJ774" s="232">
        <f t="shared" ref="AJ774:AJ837" si="128">AF774*L774</f>
        <v>7153250</v>
      </c>
      <c r="AK774" s="232">
        <f>Table1[[#This Row],[UNIT (BUILDING) RATE (BASIC FINISH)]]*Table1[[#This Row],[Unit Selling Area]]</f>
        <v>7850750</v>
      </c>
      <c r="AL774" s="232">
        <f>Table1[[#This Row],[UNIT (BUILDING) RATE (FULLY FINISH)]]*Table1[[#This Row],[Unit Selling Area]]</f>
        <v>8315750</v>
      </c>
      <c r="AM774" s="232">
        <f t="shared" ref="AM774:AM837" si="129">AG774*M774</f>
        <v>0</v>
      </c>
      <c r="AN774" s="232">
        <f>(AM774+AJ774)*FACTS!$S$2</f>
        <v>608026.25</v>
      </c>
      <c r="AO774" s="101">
        <f>VLOOKUP(S774,FACTS!$A$17:$C$23,3,FALSE)</f>
        <v>2</v>
      </c>
      <c r="AP774" s="232">
        <f>VLOOKUP(AA774,FACTS!$B$2:$J$14,9,FALSE)</f>
        <v>200000</v>
      </c>
      <c r="AQ774" s="232">
        <f>Table1[[#This Row],[PARKING VALUE]]*1</f>
        <v>200000</v>
      </c>
      <c r="AR774" s="232">
        <f t="shared" si="124"/>
        <v>7353250</v>
      </c>
      <c r="AS774" s="440">
        <f>Table1[[#This Row],[TOTAL CARS VALUE]]+Table1[[#This Row],[UNIT (BUILDING) VALUE BASIC FINISHED]]+Table1[[#This Row],[UNIT (GARDEN) VALUE]]</f>
        <v>8050750</v>
      </c>
      <c r="AT774" s="232">
        <f>Table1[[#This Row],[TOTAL CARS VALUE]]+Table1[[#This Row],[UNIT (GARDEN) VALUE]]+Table1[[#This Row],[UNIT (BUILDING) VALUE FULLY FINISHED]]</f>
        <v>8515750</v>
      </c>
      <c r="AU774" s="233">
        <f>VLOOKUP(I774,'C PHASES'!$I$108:$J$110,2,FALSE)</f>
        <v>46569</v>
      </c>
      <c r="AV774" s="233">
        <f>VLOOKUP(AA774,'C PHASES'!$I$113:$J$125,2,FALSE)</f>
        <v>45170</v>
      </c>
    </row>
    <row r="775" spans="1:48" x14ac:dyDescent="0.25">
      <c r="A775" s="235"/>
      <c r="B775" s="227" t="str">
        <f t="shared" si="122"/>
        <v>E</v>
      </c>
      <c r="C775" s="227" t="s">
        <v>73</v>
      </c>
      <c r="D775" s="227" t="s">
        <v>1147</v>
      </c>
      <c r="E775" s="228">
        <v>2</v>
      </c>
      <c r="F775" s="101">
        <v>3</v>
      </c>
      <c r="G775" s="87" t="str">
        <f t="shared" si="123"/>
        <v>E123</v>
      </c>
      <c r="H775" s="87" t="s">
        <v>1294</v>
      </c>
      <c r="I775" s="89" t="str">
        <f>VLOOKUP(C775,'PREMIUM TABLES'!$G$107:$H$149,2,FALSE)</f>
        <v>C3</v>
      </c>
      <c r="J775" s="87">
        <v>131.56</v>
      </c>
      <c r="K775" s="87">
        <v>143.02157686716882</v>
      </c>
      <c r="L775" s="87">
        <v>161</v>
      </c>
      <c r="O775" s="87" t="s">
        <v>180</v>
      </c>
      <c r="P775" s="87" t="s">
        <v>226</v>
      </c>
      <c r="Q775" s="229" t="s">
        <v>212</v>
      </c>
      <c r="R775" s="87" t="str">
        <f>VLOOKUP(E775,'PREMIUM TABLES'!$F$214:$G$219,2,FALSE)</f>
        <v>SECOND</v>
      </c>
      <c r="S775" s="87" t="str" cm="1">
        <f t="array" ref="S775">IF(AND(L775&gt;0,L775&lt;90),"A",IF(AND(L775&gt;90,L775&lt;123),"B",IF(AND(L775&gt;122,L775&lt;159),"C",IF(AND(L775&gt;159,L775&lt;185),"D",IF(AND(L775&gt;185,L775&lt;230),"E",IF(AND(L775&gt;230,L775&lt;350),"F",NONE))))))</f>
        <v>D</v>
      </c>
      <c r="T775" s="230">
        <f>VLOOKUP(O775,'PREMIUM TABLES'!$G$165:$H$172,2,FALSE)</f>
        <v>0.13</v>
      </c>
      <c r="U775" s="230">
        <f>VLOOKUP(P775,'PREMIUM TABLES'!$G$208:$H$209,2,FALSE)</f>
        <v>0.05</v>
      </c>
      <c r="V775" s="230">
        <f>VLOOKUP(Q775,'PREMIUM TABLES'!$G$175:$H$195,2,FALSE)</f>
        <v>0.43</v>
      </c>
      <c r="W775" s="230">
        <f>VLOOKUP(R775,'PREMIUM TABLES'!$G$214:$H$219,2,FALSE)</f>
        <v>0.11</v>
      </c>
      <c r="X775" s="230">
        <f>VLOOKUP(S775,'PREMIUM TABLES'!$F$199:$H$205,3,FALSE)</f>
        <v>2.5000000000000001E-2</v>
      </c>
      <c r="Y775" s="231">
        <f t="shared" si="125"/>
        <v>0.745</v>
      </c>
      <c r="Z775" s="231" t="str" cm="1">
        <f t="array" ref="Z775">IF(AND(Y775&gt;0,Y775&lt;0.5),"C",IF(AND(Y775&gt;=0.5,Y775&lt;0.73),"B",IF(AND(Y775&gt;=0.73,Y775&lt;0.98),"A",NONE)))</f>
        <v>A</v>
      </c>
      <c r="AA775" s="231" t="str">
        <f>VLOOKUP(G775,'ALL (R)'!$N$5:$R$862,5,FALSE)</f>
        <v>R 1</v>
      </c>
      <c r="AB775" s="232">
        <f>VLOOKUP(AA775,FACTS!$B$2:$L$14,10,FALSE)</f>
        <v>42500</v>
      </c>
      <c r="AC775" s="232">
        <f>VLOOKUP(AA775,FACTS!$B$2:$L$14,11,FALSE)</f>
        <v>47500</v>
      </c>
      <c r="AD775" s="232">
        <f>VLOOKUP(AA775,FACTS!$B$2:$N$14,13,FALSE)</f>
        <v>5000</v>
      </c>
      <c r="AE775" s="232">
        <f t="shared" si="126"/>
        <v>3725</v>
      </c>
      <c r="AF775" s="232">
        <f t="shared" si="127"/>
        <v>46225</v>
      </c>
      <c r="AG775" s="232">
        <f>AF775*FACTS!$T$2</f>
        <v>15254.25</v>
      </c>
      <c r="AH775" s="232">
        <f>Table1[[#This Row],[UNIT (BUILDING) RATE (SEMI FINISHED)]]+4500</f>
        <v>50725</v>
      </c>
      <c r="AI775" s="232">
        <f>Table1[[#This Row],[UNIT (BUILDING) RATE (SEMI FINISHED)]]+7500</f>
        <v>53725</v>
      </c>
      <c r="AJ775" s="232">
        <f t="shared" si="128"/>
        <v>7442225</v>
      </c>
      <c r="AK775" s="232">
        <f>Table1[[#This Row],[UNIT (BUILDING) RATE (BASIC FINISH)]]*Table1[[#This Row],[Unit Selling Area]]</f>
        <v>8166725</v>
      </c>
      <c r="AL775" s="232">
        <f>Table1[[#This Row],[UNIT (BUILDING) RATE (FULLY FINISH)]]*Table1[[#This Row],[Unit Selling Area]]</f>
        <v>8649725</v>
      </c>
      <c r="AM775" s="232">
        <f t="shared" si="129"/>
        <v>0</v>
      </c>
      <c r="AN775" s="232">
        <f>(AM775+AJ775)*FACTS!$S$2</f>
        <v>632589.125</v>
      </c>
      <c r="AO775" s="101">
        <f>VLOOKUP(S775,FACTS!$A$17:$C$23,3,FALSE)</f>
        <v>2</v>
      </c>
      <c r="AP775" s="232">
        <f>VLOOKUP(AA775,FACTS!$B$2:$J$14,9,FALSE)</f>
        <v>200000</v>
      </c>
      <c r="AQ775" s="232">
        <f>Table1[[#This Row],[PARKING VALUE]]*1</f>
        <v>200000</v>
      </c>
      <c r="AR775" s="232">
        <f t="shared" si="124"/>
        <v>7642225</v>
      </c>
      <c r="AS775" s="440">
        <f>Table1[[#This Row],[TOTAL CARS VALUE]]+Table1[[#This Row],[UNIT (BUILDING) VALUE BASIC FINISHED]]+Table1[[#This Row],[UNIT (GARDEN) VALUE]]</f>
        <v>8366725</v>
      </c>
      <c r="AT775" s="232">
        <f>Table1[[#This Row],[TOTAL CARS VALUE]]+Table1[[#This Row],[UNIT (GARDEN) VALUE]]+Table1[[#This Row],[UNIT (BUILDING) VALUE FULLY FINISHED]]</f>
        <v>8849725</v>
      </c>
      <c r="AU775" s="233">
        <f>VLOOKUP(I775,'C PHASES'!$I$108:$J$110,2,FALSE)</f>
        <v>46569</v>
      </c>
      <c r="AV775" s="233">
        <f>VLOOKUP(AA775,'C PHASES'!$I$113:$J$125,2,FALSE)</f>
        <v>45170</v>
      </c>
    </row>
    <row r="776" spans="1:48" x14ac:dyDescent="0.25">
      <c r="A776" s="235"/>
      <c r="B776" s="227" t="str">
        <f t="shared" si="122"/>
        <v>E</v>
      </c>
      <c r="C776" s="227" t="s">
        <v>73</v>
      </c>
      <c r="D776" s="227" t="s">
        <v>1147</v>
      </c>
      <c r="E776" s="228">
        <v>2</v>
      </c>
      <c r="F776" s="101">
        <v>4</v>
      </c>
      <c r="G776" s="87" t="str">
        <f t="shared" si="123"/>
        <v>E124</v>
      </c>
      <c r="H776" s="87" t="s">
        <v>1294</v>
      </c>
      <c r="I776" s="89" t="str">
        <f>VLOOKUP(C776,'PREMIUM TABLES'!$G$107:$H$149,2,FALSE)</f>
        <v>C3</v>
      </c>
      <c r="J776" s="87">
        <v>131.56</v>
      </c>
      <c r="K776" s="87">
        <v>143.02157686716882</v>
      </c>
      <c r="L776" s="87">
        <v>161</v>
      </c>
      <c r="O776" s="87" t="s">
        <v>187</v>
      </c>
      <c r="P776" s="87" t="s">
        <v>226</v>
      </c>
      <c r="Q776" s="229" t="s">
        <v>199</v>
      </c>
      <c r="R776" s="87" t="str">
        <f>VLOOKUP(E776,'PREMIUM TABLES'!$F$214:$G$219,2,FALSE)</f>
        <v>SECOND</v>
      </c>
      <c r="S776" s="87" t="str" cm="1">
        <f t="array" ref="S776">IF(AND(L776&gt;0,L776&lt;90),"A",IF(AND(L776&gt;90,L776&lt;123),"B",IF(AND(L776&gt;122,L776&lt;159),"C",IF(AND(L776&gt;159,L776&lt;185),"D",IF(AND(L776&gt;185,L776&lt;230),"E",IF(AND(L776&gt;230,L776&lt;350),"F",NONE))))))</f>
        <v>D</v>
      </c>
      <c r="T776" s="230">
        <f>VLOOKUP(O776,'PREMIUM TABLES'!$G$165:$H$172,2,FALSE)</f>
        <v>0.08</v>
      </c>
      <c r="U776" s="230">
        <f>VLOOKUP(P776,'PREMIUM TABLES'!$G$208:$H$209,2,FALSE)</f>
        <v>0.05</v>
      </c>
      <c r="V776" s="230">
        <f>VLOOKUP(Q776,'PREMIUM TABLES'!$G$175:$H$195,2,FALSE)</f>
        <v>0.13</v>
      </c>
      <c r="W776" s="230">
        <f>VLOOKUP(R776,'PREMIUM TABLES'!$G$214:$H$219,2,FALSE)</f>
        <v>0.11</v>
      </c>
      <c r="X776" s="230">
        <f>VLOOKUP(S776,'PREMIUM TABLES'!$F$199:$H$205,3,FALSE)</f>
        <v>2.5000000000000001E-2</v>
      </c>
      <c r="Y776" s="231">
        <f t="shared" si="125"/>
        <v>0.39500000000000002</v>
      </c>
      <c r="Z776" s="231" t="str" cm="1">
        <f t="array" ref="Z776">IF(AND(Y776&gt;0,Y776&lt;0.5),"C",IF(AND(Y776&gt;=0.5,Y776&lt;0.73),"B",IF(AND(Y776&gt;=0.73,Y776&lt;0.98),"A",NONE)))</f>
        <v>C</v>
      </c>
      <c r="AA776" s="231" t="str">
        <f>VLOOKUP(G776,'ALL (R)'!$N$5:$R$862,5,FALSE)</f>
        <v>R 4</v>
      </c>
      <c r="AB776" s="232">
        <f>VLOOKUP(AA776,FACTS!$B$2:$L$14,10,FALSE)</f>
        <v>45687.5</v>
      </c>
      <c r="AC776" s="232">
        <f>VLOOKUP(AA776,FACTS!$B$2:$L$14,11,FALSE)</f>
        <v>51062.5</v>
      </c>
      <c r="AD776" s="232">
        <f>VLOOKUP(AA776,FACTS!$B$2:$N$14,13,FALSE)</f>
        <v>5375</v>
      </c>
      <c r="AE776" s="232">
        <f t="shared" si="126"/>
        <v>2123.125</v>
      </c>
      <c r="AF776" s="232">
        <f t="shared" si="127"/>
        <v>47810.625</v>
      </c>
      <c r="AG776" s="232">
        <f>AF776*FACTS!$T$2</f>
        <v>15777.50625</v>
      </c>
      <c r="AH776" s="232">
        <f>Table1[[#This Row],[UNIT (BUILDING) RATE (SEMI FINISHED)]]+4500</f>
        <v>52310.625</v>
      </c>
      <c r="AI776" s="232">
        <f>Table1[[#This Row],[UNIT (BUILDING) RATE (SEMI FINISHED)]]+7500</f>
        <v>55310.625</v>
      </c>
      <c r="AJ776" s="232">
        <f t="shared" si="128"/>
        <v>7697510.625</v>
      </c>
      <c r="AK776" s="232">
        <f>Table1[[#This Row],[UNIT (BUILDING) RATE (BASIC FINISH)]]*Table1[[#This Row],[Unit Selling Area]]</f>
        <v>8422010.625</v>
      </c>
      <c r="AL776" s="232">
        <f>Table1[[#This Row],[UNIT (BUILDING) RATE (FULLY FINISH)]]*Table1[[#This Row],[Unit Selling Area]]</f>
        <v>8905010.625</v>
      </c>
      <c r="AM776" s="232">
        <f t="shared" si="129"/>
        <v>0</v>
      </c>
      <c r="AN776" s="232">
        <f>(AM776+AJ776)*FACTS!$S$2</f>
        <v>654288.40312500007</v>
      </c>
      <c r="AO776" s="101">
        <f>VLOOKUP(S776,FACTS!$A$17:$C$23,3,FALSE)</f>
        <v>2</v>
      </c>
      <c r="AP776" s="232">
        <f>VLOOKUP(AA776,FACTS!$B$2:$J$14,9,FALSE)</f>
        <v>215000</v>
      </c>
      <c r="AQ776" s="232">
        <f>Table1[[#This Row],[PARKING VALUE]]*1</f>
        <v>215000</v>
      </c>
      <c r="AR776" s="232">
        <f t="shared" si="124"/>
        <v>7912510.625</v>
      </c>
      <c r="AS776" s="440">
        <f>Table1[[#This Row],[TOTAL CARS VALUE]]+Table1[[#This Row],[UNIT (BUILDING) VALUE BASIC FINISHED]]+Table1[[#This Row],[UNIT (GARDEN) VALUE]]</f>
        <v>8637010.625</v>
      </c>
      <c r="AT776" s="232">
        <f>Table1[[#This Row],[TOTAL CARS VALUE]]+Table1[[#This Row],[UNIT (GARDEN) VALUE]]+Table1[[#This Row],[UNIT (BUILDING) VALUE FULLY FINISHED]]</f>
        <v>9120010.625</v>
      </c>
      <c r="AU776" s="233">
        <f>VLOOKUP(I776,'C PHASES'!$I$108:$J$110,2,FALSE)</f>
        <v>46569</v>
      </c>
      <c r="AV776" s="233">
        <f>VLOOKUP(AA776,'C PHASES'!$I$113:$J$125,2,FALSE)</f>
        <v>45474</v>
      </c>
    </row>
    <row r="777" spans="1:48" x14ac:dyDescent="0.25">
      <c r="A777" s="235"/>
      <c r="B777" s="227" t="str">
        <f t="shared" si="122"/>
        <v>E</v>
      </c>
      <c r="C777" s="227" t="s">
        <v>73</v>
      </c>
      <c r="D777" s="227" t="s">
        <v>1147</v>
      </c>
      <c r="E777" s="228">
        <v>3</v>
      </c>
      <c r="F777" s="101">
        <v>1</v>
      </c>
      <c r="G777" s="87" t="str">
        <f t="shared" si="123"/>
        <v>E131</v>
      </c>
      <c r="H777" s="87" t="s">
        <v>1294</v>
      </c>
      <c r="I777" s="89" t="str">
        <f>VLOOKUP(C777,'PREMIUM TABLES'!$G$107:$H$149,2,FALSE)</f>
        <v>C3</v>
      </c>
      <c r="J777" s="87">
        <v>127.45</v>
      </c>
      <c r="K777" s="87">
        <v>138.55351149073172</v>
      </c>
      <c r="L777" s="87">
        <v>155</v>
      </c>
      <c r="O777" s="87" t="s">
        <v>187</v>
      </c>
      <c r="P777" s="87" t="s">
        <v>190</v>
      </c>
      <c r="Q777" s="229" t="s">
        <v>199</v>
      </c>
      <c r="R777" s="87" t="str">
        <f>VLOOKUP(E777,'PREMIUM TABLES'!$F$214:$G$219,2,FALSE)</f>
        <v>THIRD</v>
      </c>
      <c r="S777" s="87" t="str" cm="1">
        <f t="array" ref="S777">IF(AND(L777&gt;0,L777&lt;90),"A",IF(AND(L777&gt;90,L777&lt;123),"B",IF(AND(L777&gt;122,L777&lt;159),"C",IF(AND(L777&gt;159,L777&lt;185),"D",IF(AND(L777&gt;185,L777&lt;230),"E",IF(AND(L777&gt;230,L777&lt;350),"F",NONE))))))</f>
        <v>C</v>
      </c>
      <c r="T777" s="230">
        <f>VLOOKUP(O777,'PREMIUM TABLES'!$G$165:$H$172,2,FALSE)</f>
        <v>0.08</v>
      </c>
      <c r="U777" s="230">
        <f>VLOOKUP(P777,'PREMIUM TABLES'!$G$208:$H$209,2,FALSE)</f>
        <v>2.5000000000000001E-2</v>
      </c>
      <c r="V777" s="230">
        <f>VLOOKUP(Q777,'PREMIUM TABLES'!$G$175:$H$195,2,FALSE)</f>
        <v>0.13</v>
      </c>
      <c r="W777" s="230">
        <f>VLOOKUP(R777,'PREMIUM TABLES'!$G$214:$H$219,2,FALSE)</f>
        <v>0.15</v>
      </c>
      <c r="X777" s="230">
        <f>VLOOKUP(S777,'PREMIUM TABLES'!$F$199:$H$205,3,FALSE)</f>
        <v>3.5000000000000003E-2</v>
      </c>
      <c r="Y777" s="231">
        <f t="shared" si="125"/>
        <v>0.42000000000000004</v>
      </c>
      <c r="Z777" s="231" t="str" cm="1">
        <f t="array" ref="Z777">IF(AND(Y777&gt;0,Y777&lt;0.5),"C",IF(AND(Y777&gt;=0.5,Y777&lt;0.73),"B",IF(AND(Y777&gt;=0.73,Y777&lt;0.98),"A",NONE)))</f>
        <v>C</v>
      </c>
      <c r="AA777" s="231" t="str">
        <f>VLOOKUP(G777,'ALL (R)'!$N$5:$R$862,5,FALSE)</f>
        <v>R 7</v>
      </c>
      <c r="AB777" s="232">
        <f>VLOOKUP(AA777,FACTS!$B$2:$L$14,10,FALSE)</f>
        <v>50150</v>
      </c>
      <c r="AC777" s="232">
        <f>VLOOKUP(AA777,FACTS!$B$2:$L$14,11,FALSE)</f>
        <v>56050</v>
      </c>
      <c r="AD777" s="232">
        <f>VLOOKUP(AA777,FACTS!$B$2:$N$14,13,FALSE)</f>
        <v>5900</v>
      </c>
      <c r="AE777" s="232">
        <f t="shared" si="126"/>
        <v>2478.0000000000005</v>
      </c>
      <c r="AF777" s="232">
        <f t="shared" si="127"/>
        <v>52628</v>
      </c>
      <c r="AG777" s="232">
        <f>AF777*FACTS!$T$2</f>
        <v>17367.240000000002</v>
      </c>
      <c r="AH777" s="232">
        <f>Table1[[#This Row],[UNIT (BUILDING) RATE (SEMI FINISHED)]]+4500</f>
        <v>57128</v>
      </c>
      <c r="AI777" s="232">
        <f>Table1[[#This Row],[UNIT (BUILDING) RATE (SEMI FINISHED)]]+7500</f>
        <v>60128</v>
      </c>
      <c r="AJ777" s="232">
        <f t="shared" si="128"/>
        <v>8157340</v>
      </c>
      <c r="AK777" s="232">
        <f>Table1[[#This Row],[UNIT (BUILDING) RATE (BASIC FINISH)]]*Table1[[#This Row],[Unit Selling Area]]</f>
        <v>8854840</v>
      </c>
      <c r="AL777" s="232">
        <f>Table1[[#This Row],[UNIT (BUILDING) RATE (FULLY FINISH)]]*Table1[[#This Row],[Unit Selling Area]]</f>
        <v>9319840</v>
      </c>
      <c r="AM777" s="232">
        <f t="shared" si="129"/>
        <v>0</v>
      </c>
      <c r="AN777" s="232">
        <f>(AM777+AJ777)*FACTS!$S$2</f>
        <v>693373.9</v>
      </c>
      <c r="AO777" s="101">
        <f>VLOOKUP(S777,FACTS!$A$17:$C$23,3,FALSE)</f>
        <v>2</v>
      </c>
      <c r="AP777" s="232">
        <f>VLOOKUP(AA777,FACTS!$B$2:$J$14,9,FALSE)</f>
        <v>236000</v>
      </c>
      <c r="AQ777" s="232">
        <f>Table1[[#This Row],[PARKING VALUE]]*1</f>
        <v>236000</v>
      </c>
      <c r="AR777" s="232">
        <f t="shared" si="124"/>
        <v>8393340</v>
      </c>
      <c r="AS777" s="440">
        <f>Table1[[#This Row],[TOTAL CARS VALUE]]+Table1[[#This Row],[UNIT (BUILDING) VALUE BASIC FINISHED]]+Table1[[#This Row],[UNIT (GARDEN) VALUE]]</f>
        <v>9090840</v>
      </c>
      <c r="AT777" s="232">
        <f>Table1[[#This Row],[TOTAL CARS VALUE]]+Table1[[#This Row],[UNIT (GARDEN) VALUE]]+Table1[[#This Row],[UNIT (BUILDING) VALUE FULLY FINISHED]]</f>
        <v>9555840</v>
      </c>
      <c r="AU777" s="233">
        <f>VLOOKUP(I777,'C PHASES'!$I$108:$J$110,2,FALSE)</f>
        <v>46569</v>
      </c>
      <c r="AV777" s="233">
        <f>VLOOKUP(AA777,'C PHASES'!$I$113:$J$125,2,FALSE)</f>
        <v>45748</v>
      </c>
    </row>
    <row r="778" spans="1:48" x14ac:dyDescent="0.25">
      <c r="A778" s="235"/>
      <c r="B778" s="227" t="str">
        <f t="shared" si="122"/>
        <v>E</v>
      </c>
      <c r="C778" s="227" t="s">
        <v>73</v>
      </c>
      <c r="D778" s="227" t="s">
        <v>1147</v>
      </c>
      <c r="E778" s="228">
        <v>3</v>
      </c>
      <c r="F778" s="101">
        <v>2</v>
      </c>
      <c r="G778" s="87" t="str">
        <f t="shared" si="123"/>
        <v>E132</v>
      </c>
      <c r="H778" s="87" t="s">
        <v>1294</v>
      </c>
      <c r="I778" s="89" t="str">
        <f>VLOOKUP(C778,'PREMIUM TABLES'!$G$107:$H$149,2,FALSE)</f>
        <v>C3</v>
      </c>
      <c r="J778" s="87">
        <v>126.88</v>
      </c>
      <c r="K778" s="87">
        <v>137.93385278889008</v>
      </c>
      <c r="L778" s="87">
        <v>155</v>
      </c>
      <c r="O778" s="87" t="s">
        <v>180</v>
      </c>
      <c r="P778" s="87" t="s">
        <v>190</v>
      </c>
      <c r="Q778" s="229" t="s">
        <v>212</v>
      </c>
      <c r="R778" s="87" t="str">
        <f>VLOOKUP(E778,'PREMIUM TABLES'!$F$214:$G$219,2,FALSE)</f>
        <v>THIRD</v>
      </c>
      <c r="S778" s="87" t="str" cm="1">
        <f t="array" ref="S778">IF(AND(L778&gt;0,L778&lt;90),"A",IF(AND(L778&gt;90,L778&lt;123),"B",IF(AND(L778&gt;122,L778&lt;159),"C",IF(AND(L778&gt;159,L778&lt;185),"D",IF(AND(L778&gt;185,L778&lt;230),"E",IF(AND(L778&gt;230,L778&lt;350),"F",NONE))))))</f>
        <v>C</v>
      </c>
      <c r="T778" s="230">
        <f>VLOOKUP(O778,'PREMIUM TABLES'!$G$165:$H$172,2,FALSE)</f>
        <v>0.13</v>
      </c>
      <c r="U778" s="230">
        <f>VLOOKUP(P778,'PREMIUM TABLES'!$G$208:$H$209,2,FALSE)</f>
        <v>2.5000000000000001E-2</v>
      </c>
      <c r="V778" s="230">
        <f>VLOOKUP(Q778,'PREMIUM TABLES'!$G$175:$H$195,2,FALSE)</f>
        <v>0.43</v>
      </c>
      <c r="W778" s="230">
        <f>VLOOKUP(R778,'PREMIUM TABLES'!$G$214:$H$219,2,FALSE)</f>
        <v>0.15</v>
      </c>
      <c r="X778" s="230">
        <f>VLOOKUP(S778,'PREMIUM TABLES'!$F$199:$H$205,3,FALSE)</f>
        <v>3.5000000000000003E-2</v>
      </c>
      <c r="Y778" s="231">
        <f t="shared" si="125"/>
        <v>0.77</v>
      </c>
      <c r="Z778" s="231" t="str" cm="1">
        <f t="array" ref="Z778">IF(AND(Y778&gt;0,Y778&lt;0.5),"C",IF(AND(Y778&gt;=0.5,Y778&lt;0.73),"B",IF(AND(Y778&gt;=0.73,Y778&lt;0.98),"A",NONE)))</f>
        <v>A</v>
      </c>
      <c r="AA778" s="231" t="str">
        <f>VLOOKUP(G778,'ALL (R)'!$N$5:$R$862,5,FALSE)</f>
        <v>R 3</v>
      </c>
      <c r="AB778" s="232">
        <f>VLOOKUP(AA778,FACTS!$B$2:$L$14,10,FALSE)</f>
        <v>44625</v>
      </c>
      <c r="AC778" s="232">
        <f>VLOOKUP(AA778,FACTS!$B$2:$L$14,11,FALSE)</f>
        <v>49875</v>
      </c>
      <c r="AD778" s="232">
        <f>VLOOKUP(AA778,FACTS!$B$2:$N$14,13,FALSE)</f>
        <v>5250</v>
      </c>
      <c r="AE778" s="232">
        <f t="shared" si="126"/>
        <v>4042.5</v>
      </c>
      <c r="AF778" s="232">
        <f t="shared" si="127"/>
        <v>48667.5</v>
      </c>
      <c r="AG778" s="232">
        <f>AF778*FACTS!$T$2</f>
        <v>16060.275000000001</v>
      </c>
      <c r="AH778" s="232">
        <f>Table1[[#This Row],[UNIT (BUILDING) RATE (SEMI FINISHED)]]+4500</f>
        <v>53167.5</v>
      </c>
      <c r="AI778" s="232">
        <f>Table1[[#This Row],[UNIT (BUILDING) RATE (SEMI FINISHED)]]+7500</f>
        <v>56167.5</v>
      </c>
      <c r="AJ778" s="232">
        <f t="shared" si="128"/>
        <v>7543462.5</v>
      </c>
      <c r="AK778" s="232">
        <f>Table1[[#This Row],[UNIT (BUILDING) RATE (BASIC FINISH)]]*Table1[[#This Row],[Unit Selling Area]]</f>
        <v>8240962.5</v>
      </c>
      <c r="AL778" s="232">
        <f>Table1[[#This Row],[UNIT (BUILDING) RATE (FULLY FINISH)]]*Table1[[#This Row],[Unit Selling Area]]</f>
        <v>8705962.5</v>
      </c>
      <c r="AM778" s="232">
        <f t="shared" si="129"/>
        <v>0</v>
      </c>
      <c r="AN778" s="232">
        <f>(AM778+AJ778)*FACTS!$S$2</f>
        <v>641194.3125</v>
      </c>
      <c r="AO778" s="101">
        <f>VLOOKUP(S778,FACTS!$A$17:$C$23,3,FALSE)</f>
        <v>2</v>
      </c>
      <c r="AP778" s="232">
        <f>VLOOKUP(AA778,FACTS!$B$2:$J$14,9,FALSE)</f>
        <v>210000</v>
      </c>
      <c r="AQ778" s="232">
        <f>Table1[[#This Row],[PARKING VALUE]]*1</f>
        <v>210000</v>
      </c>
      <c r="AR778" s="232">
        <f t="shared" si="124"/>
        <v>7753462.5</v>
      </c>
      <c r="AS778" s="440">
        <f>Table1[[#This Row],[TOTAL CARS VALUE]]+Table1[[#This Row],[UNIT (BUILDING) VALUE BASIC FINISHED]]+Table1[[#This Row],[UNIT (GARDEN) VALUE]]</f>
        <v>8450962.5</v>
      </c>
      <c r="AT778" s="232">
        <f>Table1[[#This Row],[TOTAL CARS VALUE]]+Table1[[#This Row],[UNIT (GARDEN) VALUE]]+Table1[[#This Row],[UNIT (BUILDING) VALUE FULLY FINISHED]]</f>
        <v>8915962.5</v>
      </c>
      <c r="AU778" s="233">
        <f>VLOOKUP(I778,'C PHASES'!$I$108:$J$110,2,FALSE)</f>
        <v>46569</v>
      </c>
      <c r="AV778" s="233">
        <f>VLOOKUP(AA778,'C PHASES'!$I$113:$J$125,2,FALSE)</f>
        <v>45383</v>
      </c>
    </row>
    <row r="779" spans="1:48" x14ac:dyDescent="0.25">
      <c r="A779" s="235"/>
      <c r="B779" s="227" t="str">
        <f t="shared" si="122"/>
        <v>E</v>
      </c>
      <c r="C779" s="227" t="s">
        <v>73</v>
      </c>
      <c r="D779" s="227" t="s">
        <v>1147</v>
      </c>
      <c r="E779" s="228">
        <v>3</v>
      </c>
      <c r="F779" s="101">
        <v>3</v>
      </c>
      <c r="G779" s="87" t="str">
        <f t="shared" si="123"/>
        <v>E133</v>
      </c>
      <c r="H779" s="87" t="s">
        <v>1294</v>
      </c>
      <c r="I779" s="89" t="str">
        <f>VLOOKUP(C779,'PREMIUM TABLES'!$G$107:$H$149,2,FALSE)</f>
        <v>C3</v>
      </c>
      <c r="J779" s="87">
        <v>131.66</v>
      </c>
      <c r="K779" s="87">
        <v>143.13028892012346</v>
      </c>
      <c r="L779" s="87">
        <v>161</v>
      </c>
      <c r="O779" s="87" t="s">
        <v>180</v>
      </c>
      <c r="P779" s="87" t="s">
        <v>226</v>
      </c>
      <c r="Q779" s="229" t="s">
        <v>212</v>
      </c>
      <c r="R779" s="87" t="str">
        <f>VLOOKUP(E779,'PREMIUM TABLES'!$F$214:$G$219,2,FALSE)</f>
        <v>THIRD</v>
      </c>
      <c r="S779" s="87" t="str" cm="1">
        <f t="array" ref="S779">IF(AND(L779&gt;0,L779&lt;90),"A",IF(AND(L779&gt;90,L779&lt;123),"B",IF(AND(L779&gt;122,L779&lt;159),"C",IF(AND(L779&gt;159,L779&lt;185),"D",IF(AND(L779&gt;185,L779&lt;230),"E",IF(AND(L779&gt;230,L779&lt;350),"F",NONE))))))</f>
        <v>D</v>
      </c>
      <c r="T779" s="230">
        <f>VLOOKUP(O779,'PREMIUM TABLES'!$G$165:$H$172,2,FALSE)</f>
        <v>0.13</v>
      </c>
      <c r="U779" s="230">
        <f>VLOOKUP(P779,'PREMIUM TABLES'!$G$208:$H$209,2,FALSE)</f>
        <v>0.05</v>
      </c>
      <c r="V779" s="230">
        <f>VLOOKUP(Q779,'PREMIUM TABLES'!$G$175:$H$195,2,FALSE)</f>
        <v>0.43</v>
      </c>
      <c r="W779" s="230">
        <f>VLOOKUP(R779,'PREMIUM TABLES'!$G$214:$H$219,2,FALSE)</f>
        <v>0.15</v>
      </c>
      <c r="X779" s="230">
        <f>VLOOKUP(S779,'PREMIUM TABLES'!$F$199:$H$205,3,FALSE)</f>
        <v>2.5000000000000001E-2</v>
      </c>
      <c r="Y779" s="231">
        <f t="shared" si="125"/>
        <v>0.78500000000000003</v>
      </c>
      <c r="Z779" s="231" t="str" cm="1">
        <f t="array" ref="Z779">IF(AND(Y779&gt;0,Y779&lt;0.5),"C",IF(AND(Y779&gt;=0.5,Y779&lt;0.73),"B",IF(AND(Y779&gt;=0.73,Y779&lt;0.98),"A",NONE)))</f>
        <v>A</v>
      </c>
      <c r="AA779" s="231" t="str">
        <f>VLOOKUP(G779,'ALL (R)'!$N$5:$R$862,5,FALSE)</f>
        <v>R 5</v>
      </c>
      <c r="AB779" s="232">
        <f>VLOOKUP(AA779,FACTS!$B$2:$L$14,10,FALSE)</f>
        <v>46750.000000000007</v>
      </c>
      <c r="AC779" s="232">
        <f>VLOOKUP(AA779,FACTS!$B$2:$L$14,11,FALSE)</f>
        <v>52250.000000000007</v>
      </c>
      <c r="AD779" s="232">
        <f>VLOOKUP(AA779,FACTS!$B$2:$N$14,13,FALSE)</f>
        <v>5500</v>
      </c>
      <c r="AE779" s="232">
        <f t="shared" si="126"/>
        <v>4317.5</v>
      </c>
      <c r="AF779" s="232">
        <f t="shared" si="127"/>
        <v>51067.500000000007</v>
      </c>
      <c r="AG779" s="232">
        <f>AF779*FACTS!$T$2</f>
        <v>16852.275000000001</v>
      </c>
      <c r="AH779" s="232">
        <f>Table1[[#This Row],[UNIT (BUILDING) RATE (SEMI FINISHED)]]+4500</f>
        <v>55567.500000000007</v>
      </c>
      <c r="AI779" s="232">
        <f>Table1[[#This Row],[UNIT (BUILDING) RATE (SEMI FINISHED)]]+7500</f>
        <v>58567.500000000007</v>
      </c>
      <c r="AJ779" s="232">
        <f t="shared" si="128"/>
        <v>8221867.5000000009</v>
      </c>
      <c r="AK779" s="232">
        <f>Table1[[#This Row],[UNIT (BUILDING) RATE (BASIC FINISH)]]*Table1[[#This Row],[Unit Selling Area]]</f>
        <v>8946367.5000000019</v>
      </c>
      <c r="AL779" s="232">
        <f>Table1[[#This Row],[UNIT (BUILDING) RATE (FULLY FINISH)]]*Table1[[#This Row],[Unit Selling Area]]</f>
        <v>9429367.5000000019</v>
      </c>
      <c r="AM779" s="232">
        <f t="shared" si="129"/>
        <v>0</v>
      </c>
      <c r="AN779" s="232">
        <f>(AM779+AJ779)*FACTS!$S$2</f>
        <v>698858.73750000016</v>
      </c>
      <c r="AO779" s="101">
        <f>VLOOKUP(S779,FACTS!$A$17:$C$23,3,FALSE)</f>
        <v>2</v>
      </c>
      <c r="AP779" s="232">
        <f>VLOOKUP(AA779,FACTS!$B$2:$J$14,9,FALSE)</f>
        <v>220000.00000000003</v>
      </c>
      <c r="AQ779" s="232">
        <f>Table1[[#This Row],[PARKING VALUE]]*1</f>
        <v>220000.00000000003</v>
      </c>
      <c r="AR779" s="232">
        <f t="shared" si="124"/>
        <v>8441867.5000000019</v>
      </c>
      <c r="AS779" s="440">
        <f>Table1[[#This Row],[TOTAL CARS VALUE]]+Table1[[#This Row],[UNIT (BUILDING) VALUE BASIC FINISHED]]+Table1[[#This Row],[UNIT (GARDEN) VALUE]]</f>
        <v>9166367.5000000019</v>
      </c>
      <c r="AT779" s="232">
        <f>Table1[[#This Row],[TOTAL CARS VALUE]]+Table1[[#This Row],[UNIT (GARDEN) VALUE]]+Table1[[#This Row],[UNIT (BUILDING) VALUE FULLY FINISHED]]</f>
        <v>9649367.5000000019</v>
      </c>
      <c r="AU779" s="233">
        <f>VLOOKUP(I779,'C PHASES'!$I$108:$J$110,2,FALSE)</f>
        <v>46569</v>
      </c>
      <c r="AV779" s="233">
        <f>VLOOKUP(AA779,'C PHASES'!$I$113:$J$125,2,FALSE)</f>
        <v>45566</v>
      </c>
    </row>
    <row r="780" spans="1:48" x14ac:dyDescent="0.25">
      <c r="A780" s="235"/>
      <c r="B780" s="227" t="str">
        <f t="shared" si="122"/>
        <v>E</v>
      </c>
      <c r="C780" s="227" t="s">
        <v>73</v>
      </c>
      <c r="D780" s="227" t="s">
        <v>1147</v>
      </c>
      <c r="E780" s="228">
        <v>3</v>
      </c>
      <c r="F780" s="101">
        <v>4</v>
      </c>
      <c r="G780" s="87" t="str">
        <f t="shared" si="123"/>
        <v>E134</v>
      </c>
      <c r="H780" s="87" t="s">
        <v>1294</v>
      </c>
      <c r="I780" s="89" t="str">
        <f>VLOOKUP(C780,'PREMIUM TABLES'!$G$107:$H$149,2,FALSE)</f>
        <v>C3</v>
      </c>
      <c r="J780" s="87">
        <v>131.86000000000001</v>
      </c>
      <c r="K780" s="87">
        <v>143.34771302603284</v>
      </c>
      <c r="L780" s="87">
        <v>161</v>
      </c>
      <c r="O780" s="87" t="s">
        <v>187</v>
      </c>
      <c r="P780" s="87" t="s">
        <v>226</v>
      </c>
      <c r="Q780" s="229" t="s">
        <v>199</v>
      </c>
      <c r="R780" s="87" t="str">
        <f>VLOOKUP(E780,'PREMIUM TABLES'!$F$214:$G$219,2,FALSE)</f>
        <v>THIRD</v>
      </c>
      <c r="S780" s="87" t="str" cm="1">
        <f t="array" ref="S780">IF(AND(L780&gt;0,L780&lt;90),"A",IF(AND(L780&gt;90,L780&lt;123),"B",IF(AND(L780&gt;122,L780&lt;159),"C",IF(AND(L780&gt;159,L780&lt;185),"D",IF(AND(L780&gt;185,L780&lt;230),"E",IF(AND(L780&gt;230,L780&lt;350),"F",NONE))))))</f>
        <v>D</v>
      </c>
      <c r="T780" s="230">
        <f>VLOOKUP(O780,'PREMIUM TABLES'!$G$165:$H$172,2,FALSE)</f>
        <v>0.08</v>
      </c>
      <c r="U780" s="230">
        <f>VLOOKUP(P780,'PREMIUM TABLES'!$G$208:$H$209,2,FALSE)</f>
        <v>0.05</v>
      </c>
      <c r="V780" s="230">
        <f>VLOOKUP(Q780,'PREMIUM TABLES'!$G$175:$H$195,2,FALSE)</f>
        <v>0.13</v>
      </c>
      <c r="W780" s="230">
        <f>VLOOKUP(R780,'PREMIUM TABLES'!$G$214:$H$219,2,FALSE)</f>
        <v>0.15</v>
      </c>
      <c r="X780" s="230">
        <f>VLOOKUP(S780,'PREMIUM TABLES'!$F$199:$H$205,3,FALSE)</f>
        <v>2.5000000000000001E-2</v>
      </c>
      <c r="Y780" s="231">
        <f t="shared" si="125"/>
        <v>0.43500000000000005</v>
      </c>
      <c r="Z780" s="231" t="str" cm="1">
        <f t="array" ref="Z780">IF(AND(Y780&gt;0,Y780&lt;0.5),"C",IF(AND(Y780&gt;=0.5,Y780&lt;0.73),"B",IF(AND(Y780&gt;=0.73,Y780&lt;0.98),"A",NONE)))</f>
        <v>C</v>
      </c>
      <c r="AA780" s="231" t="str">
        <f>VLOOKUP(G780,'ALL (R)'!$N$5:$R$862,5,FALSE)</f>
        <v>R 8</v>
      </c>
      <c r="AB780" s="232">
        <f>VLOOKUP(AA780,FACTS!$B$2:$L$14,10,FALSE)</f>
        <v>51850</v>
      </c>
      <c r="AC780" s="232">
        <f>VLOOKUP(AA780,FACTS!$B$2:$L$14,11,FALSE)</f>
        <v>57950</v>
      </c>
      <c r="AD780" s="232">
        <f>VLOOKUP(AA780,FACTS!$B$2:$N$14,13,FALSE)</f>
        <v>6100</v>
      </c>
      <c r="AE780" s="232">
        <f t="shared" si="126"/>
        <v>2653.5000000000005</v>
      </c>
      <c r="AF780" s="232">
        <f t="shared" si="127"/>
        <v>54503.5</v>
      </c>
      <c r="AG780" s="232">
        <f>AF780*FACTS!$T$2</f>
        <v>17986.155000000002</v>
      </c>
      <c r="AH780" s="232">
        <f>Table1[[#This Row],[UNIT (BUILDING) RATE (SEMI FINISHED)]]+4500</f>
        <v>59003.5</v>
      </c>
      <c r="AI780" s="232">
        <f>Table1[[#This Row],[UNIT (BUILDING) RATE (SEMI FINISHED)]]+7500</f>
        <v>62003.5</v>
      </c>
      <c r="AJ780" s="232">
        <f t="shared" si="128"/>
        <v>8775063.5</v>
      </c>
      <c r="AK780" s="232">
        <f>Table1[[#This Row],[UNIT (BUILDING) RATE (BASIC FINISH)]]*Table1[[#This Row],[Unit Selling Area]]</f>
        <v>9499563.5</v>
      </c>
      <c r="AL780" s="232">
        <f>Table1[[#This Row],[UNIT (BUILDING) RATE (FULLY FINISH)]]*Table1[[#This Row],[Unit Selling Area]]</f>
        <v>9982563.5</v>
      </c>
      <c r="AM780" s="232">
        <f t="shared" si="129"/>
        <v>0</v>
      </c>
      <c r="AN780" s="232">
        <f>(AM780+AJ780)*FACTS!$S$2</f>
        <v>745880.39750000008</v>
      </c>
      <c r="AO780" s="101">
        <f>VLOOKUP(S780,FACTS!$A$17:$C$23,3,FALSE)</f>
        <v>2</v>
      </c>
      <c r="AP780" s="232">
        <f>VLOOKUP(AA780,FACTS!$B$2:$J$14,9,FALSE)</f>
        <v>244000</v>
      </c>
      <c r="AQ780" s="232">
        <f>Table1[[#This Row],[PARKING VALUE]]*1</f>
        <v>244000</v>
      </c>
      <c r="AR780" s="232">
        <f t="shared" si="124"/>
        <v>9019063.5</v>
      </c>
      <c r="AS780" s="440">
        <f>Table1[[#This Row],[TOTAL CARS VALUE]]+Table1[[#This Row],[UNIT (BUILDING) VALUE BASIC FINISHED]]+Table1[[#This Row],[UNIT (GARDEN) VALUE]]</f>
        <v>9743563.5</v>
      </c>
      <c r="AT780" s="232">
        <f>Table1[[#This Row],[TOTAL CARS VALUE]]+Table1[[#This Row],[UNIT (GARDEN) VALUE]]+Table1[[#This Row],[UNIT (BUILDING) VALUE FULLY FINISHED]]</f>
        <v>10226563.5</v>
      </c>
      <c r="AU780" s="233">
        <f>VLOOKUP(I780,'C PHASES'!$I$108:$J$110,2,FALSE)</f>
        <v>46569</v>
      </c>
      <c r="AV780" s="233">
        <f>VLOOKUP(AA780,'C PHASES'!$I$113:$J$125,2,FALSE)</f>
        <v>45839</v>
      </c>
    </row>
    <row r="781" spans="1:48" x14ac:dyDescent="0.25">
      <c r="A781" s="235"/>
      <c r="B781" s="227" t="str">
        <f t="shared" si="122"/>
        <v>E</v>
      </c>
      <c r="C781" s="227" t="s">
        <v>73</v>
      </c>
      <c r="D781" s="227" t="s">
        <v>1147</v>
      </c>
      <c r="E781" s="228">
        <v>4</v>
      </c>
      <c r="F781" s="101">
        <v>1</v>
      </c>
      <c r="G781" s="87" t="str">
        <f t="shared" si="123"/>
        <v>E141</v>
      </c>
      <c r="H781" s="87" t="s">
        <v>1294</v>
      </c>
      <c r="I781" s="89" t="str">
        <f>VLOOKUP(C781,'PREMIUM TABLES'!$G$107:$H$149,2,FALSE)</f>
        <v>C3</v>
      </c>
      <c r="J781" s="87">
        <v>125.09</v>
      </c>
      <c r="K781" s="87">
        <v>135.98790704100142</v>
      </c>
      <c r="L781" s="87">
        <v>153</v>
      </c>
      <c r="O781" s="87" t="s">
        <v>187</v>
      </c>
      <c r="P781" s="87" t="s">
        <v>190</v>
      </c>
      <c r="Q781" s="229" t="s">
        <v>199</v>
      </c>
      <c r="R781" s="87" t="str">
        <f>VLOOKUP(E781,'PREMIUM TABLES'!$F$214:$G$219,2,FALSE)</f>
        <v>FORTH</v>
      </c>
      <c r="S781" s="87" t="str" cm="1">
        <f t="array" ref="S781">IF(AND(L781&gt;0,L781&lt;90),"A",IF(AND(L781&gt;90,L781&lt;123),"B",IF(AND(L781&gt;122,L781&lt;159),"C",IF(AND(L781&gt;159,L781&lt;185),"D",IF(AND(L781&gt;185,L781&lt;230),"E",IF(AND(L781&gt;230,L781&lt;350),"F",NONE))))))</f>
        <v>C</v>
      </c>
      <c r="T781" s="230">
        <f>VLOOKUP(O781,'PREMIUM TABLES'!$G$165:$H$172,2,FALSE)</f>
        <v>0.08</v>
      </c>
      <c r="U781" s="230">
        <f>VLOOKUP(P781,'PREMIUM TABLES'!$G$208:$H$209,2,FALSE)</f>
        <v>2.5000000000000001E-2</v>
      </c>
      <c r="V781" s="230">
        <f>VLOOKUP(Q781,'PREMIUM TABLES'!$G$175:$H$195,2,FALSE)</f>
        <v>0.13</v>
      </c>
      <c r="W781" s="230">
        <f>VLOOKUP(R781,'PREMIUM TABLES'!$G$214:$H$219,2,FALSE)</f>
        <v>0.06</v>
      </c>
      <c r="X781" s="230">
        <f>VLOOKUP(S781,'PREMIUM TABLES'!$F$199:$H$205,3,FALSE)</f>
        <v>3.5000000000000003E-2</v>
      </c>
      <c r="Y781" s="231">
        <f t="shared" si="125"/>
        <v>0.33000000000000007</v>
      </c>
      <c r="Z781" s="231" t="str" cm="1">
        <f t="array" ref="Z781">IF(AND(Y781&gt;0,Y781&lt;0.5),"C",IF(AND(Y781&gt;=0.5,Y781&lt;0.73),"B",IF(AND(Y781&gt;=0.73,Y781&lt;0.98),"A",NONE)))</f>
        <v>C</v>
      </c>
      <c r="AA781" s="231" t="str">
        <f>VLOOKUP(G781,'ALL (R)'!$N$5:$R$862,5,FALSE)</f>
        <v>R 1</v>
      </c>
      <c r="AB781" s="232">
        <f>VLOOKUP(AA781,FACTS!$B$2:$L$14,10,FALSE)</f>
        <v>42500</v>
      </c>
      <c r="AC781" s="232">
        <f>VLOOKUP(AA781,FACTS!$B$2:$L$14,11,FALSE)</f>
        <v>47500</v>
      </c>
      <c r="AD781" s="232">
        <f>VLOOKUP(AA781,FACTS!$B$2:$N$14,13,FALSE)</f>
        <v>5000</v>
      </c>
      <c r="AE781" s="232">
        <f t="shared" si="126"/>
        <v>1650.0000000000005</v>
      </c>
      <c r="AF781" s="232">
        <f t="shared" si="127"/>
        <v>44150</v>
      </c>
      <c r="AG781" s="232">
        <f>AF781*FACTS!$T$2</f>
        <v>14569.5</v>
      </c>
      <c r="AH781" s="232">
        <f>Table1[[#This Row],[UNIT (BUILDING) RATE (SEMI FINISHED)]]+4500</f>
        <v>48650</v>
      </c>
      <c r="AI781" s="232">
        <f>Table1[[#This Row],[UNIT (BUILDING) RATE (SEMI FINISHED)]]+7500</f>
        <v>51650</v>
      </c>
      <c r="AJ781" s="232">
        <f t="shared" si="128"/>
        <v>6754950</v>
      </c>
      <c r="AK781" s="232">
        <f>Table1[[#This Row],[UNIT (BUILDING) RATE (BASIC FINISH)]]*Table1[[#This Row],[Unit Selling Area]]</f>
        <v>7443450</v>
      </c>
      <c r="AL781" s="232">
        <f>Table1[[#This Row],[UNIT (BUILDING) RATE (FULLY FINISH)]]*Table1[[#This Row],[Unit Selling Area]]</f>
        <v>7902450</v>
      </c>
      <c r="AM781" s="232">
        <f t="shared" si="129"/>
        <v>0</v>
      </c>
      <c r="AN781" s="232">
        <f>(AM781+AJ781)*FACTS!$S$2</f>
        <v>574170.75</v>
      </c>
      <c r="AO781" s="101">
        <f>VLOOKUP(S781,FACTS!$A$17:$C$23,3,FALSE)</f>
        <v>2</v>
      </c>
      <c r="AP781" s="232">
        <f>VLOOKUP(AA781,FACTS!$B$2:$J$14,9,FALSE)</f>
        <v>200000</v>
      </c>
      <c r="AQ781" s="232">
        <f>Table1[[#This Row],[PARKING VALUE]]*1</f>
        <v>200000</v>
      </c>
      <c r="AR781" s="232">
        <f t="shared" si="124"/>
        <v>6954950</v>
      </c>
      <c r="AS781" s="440">
        <f>Table1[[#This Row],[TOTAL CARS VALUE]]+Table1[[#This Row],[UNIT (BUILDING) VALUE BASIC FINISHED]]+Table1[[#This Row],[UNIT (GARDEN) VALUE]]</f>
        <v>7643450</v>
      </c>
      <c r="AT781" s="232">
        <f>Table1[[#This Row],[TOTAL CARS VALUE]]+Table1[[#This Row],[UNIT (GARDEN) VALUE]]+Table1[[#This Row],[UNIT (BUILDING) VALUE FULLY FINISHED]]</f>
        <v>8102450</v>
      </c>
      <c r="AU781" s="233">
        <f>VLOOKUP(I781,'C PHASES'!$I$108:$J$110,2,FALSE)</f>
        <v>46569</v>
      </c>
      <c r="AV781" s="233">
        <f>VLOOKUP(AA781,'C PHASES'!$I$113:$J$125,2,FALSE)</f>
        <v>45170</v>
      </c>
    </row>
    <row r="782" spans="1:48" x14ac:dyDescent="0.25">
      <c r="A782" s="235"/>
      <c r="B782" s="227" t="str">
        <f t="shared" si="122"/>
        <v>E</v>
      </c>
      <c r="C782" s="227" t="s">
        <v>73</v>
      </c>
      <c r="D782" s="227" t="s">
        <v>1147</v>
      </c>
      <c r="E782" s="228">
        <v>4</v>
      </c>
      <c r="F782" s="101">
        <v>2</v>
      </c>
      <c r="G782" s="87" t="str">
        <f t="shared" si="123"/>
        <v>E142</v>
      </c>
      <c r="H782" s="87" t="s">
        <v>1294</v>
      </c>
      <c r="I782" s="89" t="str">
        <f>VLOOKUP(C782,'PREMIUM TABLES'!$G$107:$H$149,2,FALSE)</f>
        <v>C3</v>
      </c>
      <c r="J782" s="87">
        <v>126.88</v>
      </c>
      <c r="K782" s="87">
        <v>137.93385278889008</v>
      </c>
      <c r="L782" s="87">
        <v>155</v>
      </c>
      <c r="O782" s="87" t="s">
        <v>180</v>
      </c>
      <c r="P782" s="87" t="s">
        <v>190</v>
      </c>
      <c r="Q782" s="229" t="s">
        <v>212</v>
      </c>
      <c r="R782" s="87" t="str">
        <f>VLOOKUP(E782,'PREMIUM TABLES'!$F$214:$G$219,2,FALSE)</f>
        <v>FORTH</v>
      </c>
      <c r="S782" s="87" t="str" cm="1">
        <f t="array" ref="S782">IF(AND(L782&gt;0,L782&lt;90),"A",IF(AND(L782&gt;90,L782&lt;123),"B",IF(AND(L782&gt;122,L782&lt;159),"C",IF(AND(L782&gt;159,L782&lt;185),"D",IF(AND(L782&gt;185,L782&lt;230),"E",IF(AND(L782&gt;230,L782&lt;350),"F",NONE))))))</f>
        <v>C</v>
      </c>
      <c r="T782" s="230">
        <f>VLOOKUP(O782,'PREMIUM TABLES'!$G$165:$H$172,2,FALSE)</f>
        <v>0.13</v>
      </c>
      <c r="U782" s="230">
        <f>VLOOKUP(P782,'PREMIUM TABLES'!$G$208:$H$209,2,FALSE)</f>
        <v>2.5000000000000001E-2</v>
      </c>
      <c r="V782" s="230">
        <f>VLOOKUP(Q782,'PREMIUM TABLES'!$G$175:$H$195,2,FALSE)</f>
        <v>0.43</v>
      </c>
      <c r="W782" s="230">
        <f>VLOOKUP(R782,'PREMIUM TABLES'!$G$214:$H$219,2,FALSE)</f>
        <v>0.06</v>
      </c>
      <c r="X782" s="230">
        <f>VLOOKUP(S782,'PREMIUM TABLES'!$F$199:$H$205,3,FALSE)</f>
        <v>3.5000000000000003E-2</v>
      </c>
      <c r="Y782" s="231">
        <f t="shared" si="125"/>
        <v>0.68</v>
      </c>
      <c r="Z782" s="231" t="str" cm="1">
        <f t="array" ref="Z782">IF(AND(Y782&gt;0,Y782&lt;0.5),"C",IF(AND(Y782&gt;=0.5,Y782&lt;0.73),"B",IF(AND(Y782&gt;=0.73,Y782&lt;0.98),"A",NONE)))</f>
        <v>B</v>
      </c>
      <c r="AA782" s="231" t="str">
        <f>VLOOKUP(G782,'ALL (R)'!$N$5:$R$862,5,FALSE)</f>
        <v>R 7</v>
      </c>
      <c r="AB782" s="232">
        <f>VLOOKUP(AA782,FACTS!$B$2:$L$14,10,FALSE)</f>
        <v>50150</v>
      </c>
      <c r="AC782" s="232">
        <f>VLOOKUP(AA782,FACTS!$B$2:$L$14,11,FALSE)</f>
        <v>56050</v>
      </c>
      <c r="AD782" s="232">
        <f>VLOOKUP(AA782,FACTS!$B$2:$N$14,13,FALSE)</f>
        <v>5900</v>
      </c>
      <c r="AE782" s="232">
        <f t="shared" si="126"/>
        <v>4012.0000000000005</v>
      </c>
      <c r="AF782" s="232">
        <f t="shared" si="127"/>
        <v>54162</v>
      </c>
      <c r="AG782" s="232">
        <f>AF782*FACTS!$T$2</f>
        <v>17873.46</v>
      </c>
      <c r="AH782" s="232">
        <f>Table1[[#This Row],[UNIT (BUILDING) RATE (SEMI FINISHED)]]+4500</f>
        <v>58662</v>
      </c>
      <c r="AI782" s="232">
        <f>Table1[[#This Row],[UNIT (BUILDING) RATE (SEMI FINISHED)]]+7500</f>
        <v>61662</v>
      </c>
      <c r="AJ782" s="232">
        <f t="shared" si="128"/>
        <v>8395110</v>
      </c>
      <c r="AK782" s="232">
        <f>Table1[[#This Row],[UNIT (BUILDING) RATE (BASIC FINISH)]]*Table1[[#This Row],[Unit Selling Area]]</f>
        <v>9092610</v>
      </c>
      <c r="AL782" s="232">
        <f>Table1[[#This Row],[UNIT (BUILDING) RATE (FULLY FINISH)]]*Table1[[#This Row],[Unit Selling Area]]</f>
        <v>9557610</v>
      </c>
      <c r="AM782" s="232">
        <f t="shared" si="129"/>
        <v>0</v>
      </c>
      <c r="AN782" s="232">
        <f>(AM782+AJ782)*FACTS!$S$2</f>
        <v>713584.35000000009</v>
      </c>
      <c r="AO782" s="101">
        <f>VLOOKUP(S782,FACTS!$A$17:$C$23,3,FALSE)</f>
        <v>2</v>
      </c>
      <c r="AP782" s="232">
        <f>VLOOKUP(AA782,FACTS!$B$2:$J$14,9,FALSE)</f>
        <v>236000</v>
      </c>
      <c r="AQ782" s="232">
        <f>Table1[[#This Row],[PARKING VALUE]]*1</f>
        <v>236000</v>
      </c>
      <c r="AR782" s="232">
        <f t="shared" si="124"/>
        <v>8631110</v>
      </c>
      <c r="AS782" s="440">
        <f>Table1[[#This Row],[TOTAL CARS VALUE]]+Table1[[#This Row],[UNIT (BUILDING) VALUE BASIC FINISHED]]+Table1[[#This Row],[UNIT (GARDEN) VALUE]]</f>
        <v>9328610</v>
      </c>
      <c r="AT782" s="232">
        <f>Table1[[#This Row],[TOTAL CARS VALUE]]+Table1[[#This Row],[UNIT (GARDEN) VALUE]]+Table1[[#This Row],[UNIT (BUILDING) VALUE FULLY FINISHED]]</f>
        <v>9793610</v>
      </c>
      <c r="AU782" s="233">
        <f>VLOOKUP(I782,'C PHASES'!$I$108:$J$110,2,FALSE)</f>
        <v>46569</v>
      </c>
      <c r="AV782" s="233">
        <f>VLOOKUP(AA782,'C PHASES'!$I$113:$J$125,2,FALSE)</f>
        <v>45748</v>
      </c>
    </row>
    <row r="783" spans="1:48" x14ac:dyDescent="0.25">
      <c r="A783" s="235"/>
      <c r="B783" s="227" t="str">
        <f t="shared" si="122"/>
        <v>E</v>
      </c>
      <c r="C783" s="227" t="s">
        <v>73</v>
      </c>
      <c r="D783" s="227" t="s">
        <v>1147</v>
      </c>
      <c r="E783" s="228">
        <v>4</v>
      </c>
      <c r="F783" s="101">
        <v>3</v>
      </c>
      <c r="G783" s="87" t="str">
        <f t="shared" si="123"/>
        <v>E143</v>
      </c>
      <c r="H783" s="87" t="s">
        <v>1294</v>
      </c>
      <c r="I783" s="89" t="str">
        <f>VLOOKUP(C783,'PREMIUM TABLES'!$G$107:$H$149,2,FALSE)</f>
        <v>C3</v>
      </c>
      <c r="J783" s="87">
        <v>131.66</v>
      </c>
      <c r="K783" s="87">
        <v>143.13028892012346</v>
      </c>
      <c r="L783" s="87">
        <v>161</v>
      </c>
      <c r="O783" s="87" t="s">
        <v>180</v>
      </c>
      <c r="P783" s="87" t="s">
        <v>226</v>
      </c>
      <c r="Q783" s="229" t="s">
        <v>212</v>
      </c>
      <c r="R783" s="87" t="str">
        <f>VLOOKUP(E783,'PREMIUM TABLES'!$F$214:$G$219,2,FALSE)</f>
        <v>FORTH</v>
      </c>
      <c r="S783" s="87" t="str" cm="1">
        <f t="array" ref="S783">IF(AND(L783&gt;0,L783&lt;90),"A",IF(AND(L783&gt;90,L783&lt;123),"B",IF(AND(L783&gt;122,L783&lt;159),"C",IF(AND(L783&gt;159,L783&lt;185),"D",IF(AND(L783&gt;185,L783&lt;230),"E",IF(AND(L783&gt;230,L783&lt;350),"F",NONE))))))</f>
        <v>D</v>
      </c>
      <c r="T783" s="230">
        <f>VLOOKUP(O783,'PREMIUM TABLES'!$G$165:$H$172,2,FALSE)</f>
        <v>0.13</v>
      </c>
      <c r="U783" s="230">
        <f>VLOOKUP(P783,'PREMIUM TABLES'!$G$208:$H$209,2,FALSE)</f>
        <v>0.05</v>
      </c>
      <c r="V783" s="230">
        <f>VLOOKUP(Q783,'PREMIUM TABLES'!$G$175:$H$195,2,FALSE)</f>
        <v>0.43</v>
      </c>
      <c r="W783" s="230">
        <f>VLOOKUP(R783,'PREMIUM TABLES'!$G$214:$H$219,2,FALSE)</f>
        <v>0.06</v>
      </c>
      <c r="X783" s="230">
        <f>VLOOKUP(S783,'PREMIUM TABLES'!$F$199:$H$205,3,FALSE)</f>
        <v>2.5000000000000001E-2</v>
      </c>
      <c r="Y783" s="231">
        <f t="shared" si="125"/>
        <v>0.69499999999999995</v>
      </c>
      <c r="Z783" s="231" t="str" cm="1">
        <f t="array" ref="Z783">IF(AND(Y783&gt;0,Y783&lt;0.5),"C",IF(AND(Y783&gt;=0.5,Y783&lt;0.73),"B",IF(AND(Y783&gt;=0.73,Y783&lt;0.98),"A",NONE)))</f>
        <v>B</v>
      </c>
      <c r="AA783" s="231" t="str">
        <f>VLOOKUP(G783,'ALL (R)'!$N$5:$R$862,5,FALSE)</f>
        <v>R 8</v>
      </c>
      <c r="AB783" s="232">
        <f>VLOOKUP(AA783,FACTS!$B$2:$L$14,10,FALSE)</f>
        <v>51850</v>
      </c>
      <c r="AC783" s="232">
        <f>VLOOKUP(AA783,FACTS!$B$2:$L$14,11,FALSE)</f>
        <v>57950</v>
      </c>
      <c r="AD783" s="232">
        <f>VLOOKUP(AA783,FACTS!$B$2:$N$14,13,FALSE)</f>
        <v>6100</v>
      </c>
      <c r="AE783" s="232">
        <f t="shared" si="126"/>
        <v>4239.5</v>
      </c>
      <c r="AF783" s="232">
        <f t="shared" si="127"/>
        <v>56089.5</v>
      </c>
      <c r="AG783" s="232">
        <f>AF783*FACTS!$T$2</f>
        <v>18509.535</v>
      </c>
      <c r="AH783" s="232">
        <f>Table1[[#This Row],[UNIT (BUILDING) RATE (SEMI FINISHED)]]+4500</f>
        <v>60589.5</v>
      </c>
      <c r="AI783" s="232">
        <f>Table1[[#This Row],[UNIT (BUILDING) RATE (SEMI FINISHED)]]+7500</f>
        <v>63589.5</v>
      </c>
      <c r="AJ783" s="232">
        <f t="shared" si="128"/>
        <v>9030409.5</v>
      </c>
      <c r="AK783" s="232">
        <f>Table1[[#This Row],[UNIT (BUILDING) RATE (BASIC FINISH)]]*Table1[[#This Row],[Unit Selling Area]]</f>
        <v>9754909.5</v>
      </c>
      <c r="AL783" s="232">
        <f>Table1[[#This Row],[UNIT (BUILDING) RATE (FULLY FINISH)]]*Table1[[#This Row],[Unit Selling Area]]</f>
        <v>10237909.5</v>
      </c>
      <c r="AM783" s="232">
        <f t="shared" si="129"/>
        <v>0</v>
      </c>
      <c r="AN783" s="232">
        <f>(AM783+AJ783)*FACTS!$S$2</f>
        <v>767584.80750000011</v>
      </c>
      <c r="AO783" s="101">
        <f>VLOOKUP(S783,FACTS!$A$17:$C$23,3,FALSE)</f>
        <v>2</v>
      </c>
      <c r="AP783" s="232">
        <f>VLOOKUP(AA783,FACTS!$B$2:$J$14,9,FALSE)</f>
        <v>244000</v>
      </c>
      <c r="AQ783" s="232">
        <f>Table1[[#This Row],[PARKING VALUE]]*1</f>
        <v>244000</v>
      </c>
      <c r="AR783" s="232">
        <f t="shared" si="124"/>
        <v>9274409.5</v>
      </c>
      <c r="AS783" s="440">
        <f>Table1[[#This Row],[TOTAL CARS VALUE]]+Table1[[#This Row],[UNIT (BUILDING) VALUE BASIC FINISHED]]+Table1[[#This Row],[UNIT (GARDEN) VALUE]]</f>
        <v>9998909.5</v>
      </c>
      <c r="AT783" s="232">
        <f>Table1[[#This Row],[TOTAL CARS VALUE]]+Table1[[#This Row],[UNIT (GARDEN) VALUE]]+Table1[[#This Row],[UNIT (BUILDING) VALUE FULLY FINISHED]]</f>
        <v>10481909.5</v>
      </c>
      <c r="AU783" s="233">
        <f>VLOOKUP(I783,'C PHASES'!$I$108:$J$110,2,FALSE)</f>
        <v>46569</v>
      </c>
      <c r="AV783" s="233">
        <f>VLOOKUP(AA783,'C PHASES'!$I$113:$J$125,2,FALSE)</f>
        <v>45839</v>
      </c>
    </row>
    <row r="784" spans="1:48" x14ac:dyDescent="0.25">
      <c r="A784" s="235"/>
      <c r="B784" s="227" t="str">
        <f t="shared" si="122"/>
        <v>E</v>
      </c>
      <c r="C784" s="227" t="s">
        <v>73</v>
      </c>
      <c r="D784" s="227" t="s">
        <v>1147</v>
      </c>
      <c r="E784" s="228">
        <v>4</v>
      </c>
      <c r="F784" s="101">
        <v>4</v>
      </c>
      <c r="G784" s="87" t="str">
        <f t="shared" si="123"/>
        <v>E144</v>
      </c>
      <c r="H784" s="87" t="s">
        <v>1294</v>
      </c>
      <c r="I784" s="89" t="str">
        <f>VLOOKUP(C784,'PREMIUM TABLES'!$G$107:$H$149,2,FALSE)</f>
        <v>C3</v>
      </c>
      <c r="J784" s="87">
        <v>129.5</v>
      </c>
      <c r="K784" s="87">
        <v>140.78210857630253</v>
      </c>
      <c r="L784" s="87">
        <v>158</v>
      </c>
      <c r="O784" s="87" t="s">
        <v>187</v>
      </c>
      <c r="P784" s="87" t="s">
        <v>226</v>
      </c>
      <c r="Q784" s="229" t="s">
        <v>199</v>
      </c>
      <c r="R784" s="87" t="str">
        <f>VLOOKUP(E784,'PREMIUM TABLES'!$F$214:$G$219,2,FALSE)</f>
        <v>FORTH</v>
      </c>
      <c r="S784" s="87" t="str" cm="1">
        <f t="array" ref="S784">IF(AND(L784&gt;0,L784&lt;90),"A",IF(AND(L784&gt;90,L784&lt;123),"B",IF(AND(L784&gt;122,L784&lt;159),"C",IF(AND(L784&gt;159,L784&lt;185),"D",IF(AND(L784&gt;185,L784&lt;230),"E",IF(AND(L784&gt;230,L784&lt;350),"F",NONE))))))</f>
        <v>C</v>
      </c>
      <c r="T784" s="230">
        <f>VLOOKUP(O784,'PREMIUM TABLES'!$G$165:$H$172,2,FALSE)</f>
        <v>0.08</v>
      </c>
      <c r="U784" s="230">
        <f>VLOOKUP(P784,'PREMIUM TABLES'!$G$208:$H$209,2,FALSE)</f>
        <v>0.05</v>
      </c>
      <c r="V784" s="230">
        <f>VLOOKUP(Q784,'PREMIUM TABLES'!$G$175:$H$195,2,FALSE)</f>
        <v>0.13</v>
      </c>
      <c r="W784" s="230">
        <f>VLOOKUP(R784,'PREMIUM TABLES'!$G$214:$H$219,2,FALSE)</f>
        <v>0.06</v>
      </c>
      <c r="X784" s="230">
        <f>VLOOKUP(S784,'PREMIUM TABLES'!$F$199:$H$205,3,FALSE)</f>
        <v>3.5000000000000003E-2</v>
      </c>
      <c r="Y784" s="231">
        <f t="shared" si="125"/>
        <v>0.35499999999999998</v>
      </c>
      <c r="Z784" s="231" t="str" cm="1">
        <f t="array" ref="Z784">IF(AND(Y784&gt;0,Y784&lt;0.5),"C",IF(AND(Y784&gt;=0.5,Y784&lt;0.73),"B",IF(AND(Y784&gt;=0.73,Y784&lt;0.98),"A",NONE)))</f>
        <v>C</v>
      </c>
      <c r="AA784" s="231" t="str">
        <f>VLOOKUP(G784,'ALL (R)'!$N$5:$R$862,5,FALSE)</f>
        <v>R 1</v>
      </c>
      <c r="AB784" s="232">
        <f>VLOOKUP(AA784,FACTS!$B$2:$L$14,10,FALSE)</f>
        <v>42500</v>
      </c>
      <c r="AC784" s="232">
        <f>VLOOKUP(AA784,FACTS!$B$2:$L$14,11,FALSE)</f>
        <v>47500</v>
      </c>
      <c r="AD784" s="232">
        <f>VLOOKUP(AA784,FACTS!$B$2:$N$14,13,FALSE)</f>
        <v>5000</v>
      </c>
      <c r="AE784" s="232">
        <f t="shared" si="126"/>
        <v>1775</v>
      </c>
      <c r="AF784" s="232">
        <f t="shared" si="127"/>
        <v>44275</v>
      </c>
      <c r="AG784" s="232">
        <f>AF784*FACTS!$T$2</f>
        <v>14610.75</v>
      </c>
      <c r="AH784" s="232">
        <f>Table1[[#This Row],[UNIT (BUILDING) RATE (SEMI FINISHED)]]+4500</f>
        <v>48775</v>
      </c>
      <c r="AI784" s="232">
        <f>Table1[[#This Row],[UNIT (BUILDING) RATE (SEMI FINISHED)]]+7500</f>
        <v>51775</v>
      </c>
      <c r="AJ784" s="232">
        <f t="shared" si="128"/>
        <v>6995450</v>
      </c>
      <c r="AK784" s="232">
        <f>Table1[[#This Row],[UNIT (BUILDING) RATE (BASIC FINISH)]]*Table1[[#This Row],[Unit Selling Area]]</f>
        <v>7706450</v>
      </c>
      <c r="AL784" s="232">
        <f>Table1[[#This Row],[UNIT (BUILDING) RATE (FULLY FINISH)]]*Table1[[#This Row],[Unit Selling Area]]</f>
        <v>8180450</v>
      </c>
      <c r="AM784" s="232">
        <f t="shared" si="129"/>
        <v>0</v>
      </c>
      <c r="AN784" s="232">
        <f>(AM784+AJ784)*FACTS!$S$2</f>
        <v>594613.25</v>
      </c>
      <c r="AO784" s="101">
        <f>VLOOKUP(S784,FACTS!$A$17:$C$23,3,FALSE)</f>
        <v>2</v>
      </c>
      <c r="AP784" s="232">
        <f>VLOOKUP(AA784,FACTS!$B$2:$J$14,9,FALSE)</f>
        <v>200000</v>
      </c>
      <c r="AQ784" s="232">
        <f>Table1[[#This Row],[PARKING VALUE]]*1</f>
        <v>200000</v>
      </c>
      <c r="AR784" s="232">
        <f t="shared" si="124"/>
        <v>7195450</v>
      </c>
      <c r="AS784" s="440">
        <f>Table1[[#This Row],[TOTAL CARS VALUE]]+Table1[[#This Row],[UNIT (BUILDING) VALUE BASIC FINISHED]]+Table1[[#This Row],[UNIT (GARDEN) VALUE]]</f>
        <v>7906450</v>
      </c>
      <c r="AT784" s="232">
        <f>Table1[[#This Row],[TOTAL CARS VALUE]]+Table1[[#This Row],[UNIT (GARDEN) VALUE]]+Table1[[#This Row],[UNIT (BUILDING) VALUE FULLY FINISHED]]</f>
        <v>8380450</v>
      </c>
      <c r="AU784" s="233">
        <f>VLOOKUP(I784,'C PHASES'!$I$108:$J$110,2,FALSE)</f>
        <v>46569</v>
      </c>
      <c r="AV784" s="233">
        <f>VLOOKUP(AA784,'C PHASES'!$I$113:$J$125,2,FALSE)</f>
        <v>45170</v>
      </c>
    </row>
    <row r="785" spans="1:48" ht="21.75" x14ac:dyDescent="0.25">
      <c r="A785" s="235" t="s">
        <v>38</v>
      </c>
      <c r="B785" s="227" t="str">
        <f t="shared" si="122"/>
        <v>E</v>
      </c>
      <c r="C785" s="227" t="s">
        <v>72</v>
      </c>
      <c r="D785" s="227" t="s">
        <v>1147</v>
      </c>
      <c r="E785" s="228">
        <v>0</v>
      </c>
      <c r="F785" s="101">
        <v>1</v>
      </c>
      <c r="G785" s="87" t="str">
        <f>LEFT(C785,2)&amp;E785&amp;F785</f>
        <v>E201</v>
      </c>
      <c r="H785" s="87" t="s">
        <v>1294</v>
      </c>
      <c r="I785" s="89" t="str">
        <f>VLOOKUP(C785,'PREMIUM TABLES'!$G$107:$H$149,2,FALSE)</f>
        <v>C3</v>
      </c>
      <c r="J785" s="87">
        <v>131.68</v>
      </c>
      <c r="K785" s="87">
        <v>143.16923069529381</v>
      </c>
      <c r="L785" s="87">
        <v>161</v>
      </c>
      <c r="M785" s="87">
        <v>85.031800000000004</v>
      </c>
      <c r="O785" s="87" t="s">
        <v>187</v>
      </c>
      <c r="P785" s="87" t="s">
        <v>226</v>
      </c>
      <c r="Q785" s="229" t="s">
        <v>197</v>
      </c>
      <c r="R785" s="87" t="str">
        <f>VLOOKUP(E785,'PREMIUM TABLES'!$F$214:$G$219,2,FALSE)</f>
        <v>GROUND</v>
      </c>
      <c r="S785" s="87" t="str" cm="1">
        <f t="array" ref="S785">IF(AND(L785&gt;0,L785&lt;90),"A",IF(AND(L785&gt;90,L785&lt;123),"B",IF(AND(L785&gt;122,L785&lt;159),"C",IF(AND(L785&gt;159,L785&lt;185),"D",IF(AND(L785&gt;185,L785&lt;230),"E",IF(AND(L785&gt;230,L785&lt;350),"F",NONE))))))</f>
        <v>D</v>
      </c>
      <c r="T785" s="230">
        <f>VLOOKUP(O785,'PREMIUM TABLES'!$G$165:$H$172,2,FALSE)</f>
        <v>0.08</v>
      </c>
      <c r="U785" s="230">
        <f>VLOOKUP(P785,'PREMIUM TABLES'!$G$208:$H$209,2,FALSE)</f>
        <v>0.05</v>
      </c>
      <c r="V785" s="230">
        <f>VLOOKUP(Q785,'PREMIUM TABLES'!$G$175:$H$195,2,FALSE)</f>
        <v>0.16</v>
      </c>
      <c r="W785" s="230">
        <f>VLOOKUP(R785,'PREMIUM TABLES'!$G$214:$H$219,2,FALSE)</f>
        <v>0.05</v>
      </c>
      <c r="X785" s="230">
        <f>VLOOKUP(S785,'PREMIUM TABLES'!$F$199:$H$205,3,FALSE)</f>
        <v>2.5000000000000001E-2</v>
      </c>
      <c r="Y785" s="231">
        <f t="shared" si="125"/>
        <v>0.36500000000000005</v>
      </c>
      <c r="Z785" s="231" t="str" cm="1">
        <f t="array" ref="Z785">IF(AND(Y785&gt;0,Y785&lt;0.5),"C",IF(AND(Y785&gt;=0.5,Y785&lt;0.73),"B",IF(AND(Y785&gt;=0.73,Y785&lt;0.98),"A",NONE)))</f>
        <v>C</v>
      </c>
      <c r="AA785" s="231" t="str">
        <f>VLOOKUP(G785,'ALL (R)'!$N$5:$R$862,5,FALSE)</f>
        <v>R 1</v>
      </c>
      <c r="AB785" s="232">
        <f>VLOOKUP(AA785,FACTS!$B$2:$L$14,10,FALSE)</f>
        <v>42500</v>
      </c>
      <c r="AC785" s="232">
        <f>VLOOKUP(AA785,FACTS!$B$2:$L$14,11,FALSE)</f>
        <v>47500</v>
      </c>
      <c r="AD785" s="232">
        <f>VLOOKUP(AA785,FACTS!$B$2:$N$14,13,FALSE)</f>
        <v>5000</v>
      </c>
      <c r="AE785" s="232">
        <f t="shared" si="126"/>
        <v>1825.0000000000002</v>
      </c>
      <c r="AF785" s="232">
        <f t="shared" si="127"/>
        <v>44325</v>
      </c>
      <c r="AG785" s="232">
        <f>AF785*FACTS!$T$2</f>
        <v>14627.25</v>
      </c>
      <c r="AH785" s="232">
        <f>Table1[[#This Row],[UNIT (BUILDING) RATE (SEMI FINISHED)]]+4500</f>
        <v>48825</v>
      </c>
      <c r="AI785" s="232">
        <f>Table1[[#This Row],[UNIT (BUILDING) RATE (SEMI FINISHED)]]+7500</f>
        <v>51825</v>
      </c>
      <c r="AJ785" s="232">
        <f t="shared" si="128"/>
        <v>7136325</v>
      </c>
      <c r="AK785" s="232">
        <f>Table1[[#This Row],[UNIT (BUILDING) RATE (BASIC FINISH)]]*Table1[[#This Row],[Unit Selling Area]]</f>
        <v>7860825</v>
      </c>
      <c r="AL785" s="232">
        <f>Table1[[#This Row],[UNIT (BUILDING) RATE (FULLY FINISH)]]*Table1[[#This Row],[Unit Selling Area]]</f>
        <v>8343825</v>
      </c>
      <c r="AM785" s="232">
        <f t="shared" si="129"/>
        <v>1243781.3965499999</v>
      </c>
      <c r="AN785" s="232">
        <f>(AM785+AJ785)*FACTS!$S$2</f>
        <v>712309.04370675003</v>
      </c>
      <c r="AO785" s="101">
        <f>VLOOKUP(S785,FACTS!$A$17:$C$23,3,FALSE)</f>
        <v>2</v>
      </c>
      <c r="AP785" s="232">
        <f>VLOOKUP(AA785,FACTS!$B$2:$J$14,9,FALSE)</f>
        <v>200000</v>
      </c>
      <c r="AQ785" s="232">
        <f>Table1[[#This Row],[PARKING VALUE]]*1</f>
        <v>200000</v>
      </c>
      <c r="AR785" s="232">
        <f t="shared" si="124"/>
        <v>8580106.3965499997</v>
      </c>
      <c r="AS785" s="440">
        <f>Table1[[#This Row],[TOTAL CARS VALUE]]+Table1[[#This Row],[UNIT (BUILDING) VALUE BASIC FINISHED]]+Table1[[#This Row],[UNIT (GARDEN) VALUE]]</f>
        <v>9304606.3965499997</v>
      </c>
      <c r="AT785" s="232">
        <f>Table1[[#This Row],[TOTAL CARS VALUE]]+Table1[[#This Row],[UNIT (GARDEN) VALUE]]+Table1[[#This Row],[UNIT (BUILDING) VALUE FULLY FINISHED]]</f>
        <v>9787606.3965499997</v>
      </c>
      <c r="AU785" s="233">
        <f>VLOOKUP(I785,'C PHASES'!$I$108:$J$110,2,FALSE)</f>
        <v>46569</v>
      </c>
      <c r="AV785" s="233">
        <f>VLOOKUP(AA785,'C PHASES'!$I$113:$J$125,2,FALSE)</f>
        <v>45170</v>
      </c>
    </row>
    <row r="786" spans="1:48" x14ac:dyDescent="0.25">
      <c r="A786" s="235"/>
      <c r="B786" s="227" t="str">
        <f t="shared" si="122"/>
        <v>E</v>
      </c>
      <c r="C786" s="227" t="s">
        <v>72</v>
      </c>
      <c r="D786" s="227" t="s">
        <v>1147</v>
      </c>
      <c r="E786" s="228">
        <v>0</v>
      </c>
      <c r="F786" s="101">
        <v>2</v>
      </c>
      <c r="G786" s="87" t="str">
        <f t="shared" ref="G786:G804" si="130">LEFT(C786,2)&amp;E786&amp;F786</f>
        <v>E202</v>
      </c>
      <c r="H786" s="87" t="s">
        <v>1294</v>
      </c>
      <c r="I786" s="89" t="str">
        <f>VLOOKUP(C786,'PREMIUM TABLES'!$G$107:$H$149,2,FALSE)</f>
        <v>C3</v>
      </c>
      <c r="J786" s="87">
        <v>129.5</v>
      </c>
      <c r="K786" s="87">
        <v>140.79902320049018</v>
      </c>
      <c r="L786" s="87">
        <v>158</v>
      </c>
      <c r="M786" s="87">
        <v>84.0732</v>
      </c>
      <c r="O786" s="87" t="s">
        <v>180</v>
      </c>
      <c r="P786" s="87" t="s">
        <v>226</v>
      </c>
      <c r="Q786" s="229" t="s">
        <v>212</v>
      </c>
      <c r="R786" s="87" t="str">
        <f>VLOOKUP(E786,'PREMIUM TABLES'!$F$214:$G$219,2,FALSE)</f>
        <v>GROUND</v>
      </c>
      <c r="S786" s="87" t="str" cm="1">
        <f t="array" ref="S786">IF(AND(L786&gt;0,L786&lt;90),"A",IF(AND(L786&gt;90,L786&lt;123),"B",IF(AND(L786&gt;122,L786&lt;159),"C",IF(AND(L786&gt;159,L786&lt;185),"D",IF(AND(L786&gt;185,L786&lt;230),"E",IF(AND(L786&gt;230,L786&lt;350),"F",NONE))))))</f>
        <v>C</v>
      </c>
      <c r="T786" s="230">
        <f>VLOOKUP(O786,'PREMIUM TABLES'!$G$165:$H$172,2,FALSE)</f>
        <v>0.13</v>
      </c>
      <c r="U786" s="230">
        <f>VLOOKUP(P786,'PREMIUM TABLES'!$G$208:$H$209,2,FALSE)</f>
        <v>0.05</v>
      </c>
      <c r="V786" s="230">
        <f>VLOOKUP(Q786,'PREMIUM TABLES'!$G$175:$H$195,2,FALSE)</f>
        <v>0.43</v>
      </c>
      <c r="W786" s="230">
        <f>VLOOKUP(R786,'PREMIUM TABLES'!$G$214:$H$219,2,FALSE)</f>
        <v>0.05</v>
      </c>
      <c r="X786" s="230">
        <f>VLOOKUP(S786,'PREMIUM TABLES'!$F$199:$H$205,3,FALSE)</f>
        <v>3.5000000000000003E-2</v>
      </c>
      <c r="Y786" s="231">
        <f t="shared" si="125"/>
        <v>0.69500000000000006</v>
      </c>
      <c r="Z786" s="231" t="str" cm="1">
        <f t="array" ref="Z786">IF(AND(Y786&gt;0,Y786&lt;0.5),"C",IF(AND(Y786&gt;=0.5,Y786&lt;0.73),"B",IF(AND(Y786&gt;=0.73,Y786&lt;0.98),"A",NONE)))</f>
        <v>B</v>
      </c>
      <c r="AA786" s="231" t="str">
        <f>VLOOKUP(G786,'ALL (R)'!$N$5:$R$862,5,FALSE)</f>
        <v>R 4</v>
      </c>
      <c r="AB786" s="232">
        <f>VLOOKUP(AA786,FACTS!$B$2:$L$14,10,FALSE)</f>
        <v>45687.5</v>
      </c>
      <c r="AC786" s="232">
        <f>VLOOKUP(AA786,FACTS!$B$2:$L$14,11,FALSE)</f>
        <v>51062.5</v>
      </c>
      <c r="AD786" s="232">
        <f>VLOOKUP(AA786,FACTS!$B$2:$N$14,13,FALSE)</f>
        <v>5375</v>
      </c>
      <c r="AE786" s="232">
        <f t="shared" si="126"/>
        <v>3735.6250000000005</v>
      </c>
      <c r="AF786" s="232">
        <f t="shared" si="127"/>
        <v>49423.125</v>
      </c>
      <c r="AG786" s="232">
        <f>AF786*FACTS!$T$2</f>
        <v>16309.63125</v>
      </c>
      <c r="AH786" s="232">
        <f>Table1[[#This Row],[UNIT (BUILDING) RATE (SEMI FINISHED)]]+4500</f>
        <v>53923.125</v>
      </c>
      <c r="AI786" s="232">
        <f>Table1[[#This Row],[UNIT (BUILDING) RATE (SEMI FINISHED)]]+7500</f>
        <v>56923.125</v>
      </c>
      <c r="AJ786" s="232">
        <f t="shared" si="128"/>
        <v>7808853.75</v>
      </c>
      <c r="AK786" s="232">
        <f>Table1[[#This Row],[UNIT (BUILDING) RATE (BASIC FINISH)]]*Table1[[#This Row],[Unit Selling Area]]</f>
        <v>8519853.75</v>
      </c>
      <c r="AL786" s="232">
        <f>Table1[[#This Row],[UNIT (BUILDING) RATE (FULLY FINISH)]]*Table1[[#This Row],[Unit Selling Area]]</f>
        <v>8993853.75</v>
      </c>
      <c r="AM786" s="232">
        <f t="shared" si="129"/>
        <v>1371202.8900075001</v>
      </c>
      <c r="AN786" s="232">
        <f>(AM786+AJ786)*FACTS!$S$2</f>
        <v>780304.81440063752</v>
      </c>
      <c r="AO786" s="101">
        <f>VLOOKUP(S786,FACTS!$A$17:$C$23,3,FALSE)</f>
        <v>2</v>
      </c>
      <c r="AP786" s="232">
        <f>VLOOKUP(AA786,FACTS!$B$2:$J$14,9,FALSE)</f>
        <v>215000</v>
      </c>
      <c r="AQ786" s="232">
        <f>Table1[[#This Row],[PARKING VALUE]]*1</f>
        <v>215000</v>
      </c>
      <c r="AR786" s="232">
        <f t="shared" si="124"/>
        <v>9395056.6400074996</v>
      </c>
      <c r="AS786" s="440">
        <f>Table1[[#This Row],[TOTAL CARS VALUE]]+Table1[[#This Row],[UNIT (BUILDING) VALUE BASIC FINISHED]]+Table1[[#This Row],[UNIT (GARDEN) VALUE]]</f>
        <v>10106056.6400075</v>
      </c>
      <c r="AT786" s="232">
        <f>Table1[[#This Row],[TOTAL CARS VALUE]]+Table1[[#This Row],[UNIT (GARDEN) VALUE]]+Table1[[#This Row],[UNIT (BUILDING) VALUE FULLY FINISHED]]</f>
        <v>10580056.6400075</v>
      </c>
      <c r="AU786" s="233">
        <f>VLOOKUP(I786,'C PHASES'!$I$108:$J$110,2,FALSE)</f>
        <v>46569</v>
      </c>
      <c r="AV786" s="233">
        <f>VLOOKUP(AA786,'C PHASES'!$I$113:$J$125,2,FALSE)</f>
        <v>45474</v>
      </c>
    </row>
    <row r="787" spans="1:48" x14ac:dyDescent="0.25">
      <c r="A787" s="235"/>
      <c r="B787" s="227" t="str">
        <f t="shared" si="122"/>
        <v>E</v>
      </c>
      <c r="C787" s="227" t="s">
        <v>72</v>
      </c>
      <c r="D787" s="227" t="s">
        <v>1147</v>
      </c>
      <c r="E787" s="228">
        <v>0</v>
      </c>
      <c r="F787" s="101">
        <v>3</v>
      </c>
      <c r="G787" s="87" t="str">
        <f t="shared" si="130"/>
        <v>E203</v>
      </c>
      <c r="H787" s="87" t="s">
        <v>1294</v>
      </c>
      <c r="I787" s="89" t="str">
        <f>VLOOKUP(C787,'PREMIUM TABLES'!$G$107:$H$149,2,FALSE)</f>
        <v>C3</v>
      </c>
      <c r="J787" s="87">
        <v>124.72</v>
      </c>
      <c r="K787" s="87">
        <v>135.60196273023271</v>
      </c>
      <c r="L787" s="87">
        <v>152</v>
      </c>
      <c r="M787" s="87">
        <v>85.417599999999993</v>
      </c>
      <c r="O787" s="87" t="s">
        <v>180</v>
      </c>
      <c r="P787" s="87" t="s">
        <v>190</v>
      </c>
      <c r="Q787" s="229" t="s">
        <v>212</v>
      </c>
      <c r="R787" s="87" t="str">
        <f>VLOOKUP(E787,'PREMIUM TABLES'!$F$214:$G$219,2,FALSE)</f>
        <v>GROUND</v>
      </c>
      <c r="S787" s="87" t="str" cm="1">
        <f t="array" ref="S787">IF(AND(L787&gt;0,L787&lt;90),"A",IF(AND(L787&gt;90,L787&lt;123),"B",IF(AND(L787&gt;122,L787&lt;159),"C",IF(AND(L787&gt;159,L787&lt;185),"D",IF(AND(L787&gt;185,L787&lt;230),"E",IF(AND(L787&gt;230,L787&lt;350),"F",NONE))))))</f>
        <v>C</v>
      </c>
      <c r="T787" s="230">
        <f>VLOOKUP(O787,'PREMIUM TABLES'!$G$165:$H$172,2,FALSE)</f>
        <v>0.13</v>
      </c>
      <c r="U787" s="230">
        <f>VLOOKUP(P787,'PREMIUM TABLES'!$G$208:$H$209,2,FALSE)</f>
        <v>2.5000000000000001E-2</v>
      </c>
      <c r="V787" s="230">
        <f>VLOOKUP(Q787,'PREMIUM TABLES'!$G$175:$H$195,2,FALSE)</f>
        <v>0.43</v>
      </c>
      <c r="W787" s="230">
        <f>VLOOKUP(R787,'PREMIUM TABLES'!$G$214:$H$219,2,FALSE)</f>
        <v>0.05</v>
      </c>
      <c r="X787" s="230">
        <f>VLOOKUP(S787,'PREMIUM TABLES'!$F$199:$H$205,3,FALSE)</f>
        <v>3.5000000000000003E-2</v>
      </c>
      <c r="Y787" s="231">
        <f t="shared" si="125"/>
        <v>0.67</v>
      </c>
      <c r="Z787" s="231" t="str" cm="1">
        <f t="array" ref="Z787">IF(AND(Y787&gt;0,Y787&lt;0.5),"C",IF(AND(Y787&gt;=0.5,Y787&lt;0.73),"B",IF(AND(Y787&gt;=0.73,Y787&lt;0.98),"A",NONE)))</f>
        <v>B</v>
      </c>
      <c r="AA787" s="231" t="str">
        <f>VLOOKUP(G787,'ALL (R)'!$N$5:$R$862,5,FALSE)</f>
        <v>R 6</v>
      </c>
      <c r="AB787" s="232">
        <f>VLOOKUP(AA787,FACTS!$B$2:$L$14,10,FALSE)</f>
        <v>48450.000000000007</v>
      </c>
      <c r="AC787" s="232">
        <f>VLOOKUP(AA787,FACTS!$B$2:$L$14,11,FALSE)</f>
        <v>54150.000000000007</v>
      </c>
      <c r="AD787" s="232">
        <f>VLOOKUP(AA787,FACTS!$B$2:$N$14,13,FALSE)</f>
        <v>5700</v>
      </c>
      <c r="AE787" s="232">
        <f t="shared" si="126"/>
        <v>3819.0000000000005</v>
      </c>
      <c r="AF787" s="232">
        <f t="shared" si="127"/>
        <v>52269.000000000007</v>
      </c>
      <c r="AG787" s="232">
        <f>AF787*FACTS!$T$2</f>
        <v>17248.770000000004</v>
      </c>
      <c r="AH787" s="232">
        <f>Table1[[#This Row],[UNIT (BUILDING) RATE (SEMI FINISHED)]]+4500</f>
        <v>56769.000000000007</v>
      </c>
      <c r="AI787" s="232">
        <f>Table1[[#This Row],[UNIT (BUILDING) RATE (SEMI FINISHED)]]+7500</f>
        <v>59769.000000000007</v>
      </c>
      <c r="AJ787" s="232">
        <f t="shared" si="128"/>
        <v>7944888.0000000009</v>
      </c>
      <c r="AK787" s="232">
        <f>Table1[[#This Row],[UNIT (BUILDING) RATE (BASIC FINISH)]]*Table1[[#This Row],[Unit Selling Area]]</f>
        <v>8628888.0000000019</v>
      </c>
      <c r="AL787" s="232">
        <f>Table1[[#This Row],[UNIT (BUILDING) RATE (FULLY FINISH)]]*Table1[[#This Row],[Unit Selling Area]]</f>
        <v>9084888.0000000019</v>
      </c>
      <c r="AM787" s="232">
        <f t="shared" si="129"/>
        <v>1473348.5363520002</v>
      </c>
      <c r="AN787" s="232">
        <f>(AM787+AJ787)*FACTS!$S$2</f>
        <v>800550.10558992019</v>
      </c>
      <c r="AO787" s="101">
        <f>VLOOKUP(S787,FACTS!$A$17:$C$23,3,FALSE)</f>
        <v>2</v>
      </c>
      <c r="AP787" s="232">
        <f>VLOOKUP(AA787,FACTS!$B$2:$J$14,9,FALSE)</f>
        <v>228000.00000000003</v>
      </c>
      <c r="AQ787" s="232">
        <f>Table1[[#This Row],[PARKING VALUE]]*1</f>
        <v>228000.00000000003</v>
      </c>
      <c r="AR787" s="232">
        <f t="shared" si="124"/>
        <v>9646236.5363520011</v>
      </c>
      <c r="AS787" s="440">
        <f>Table1[[#This Row],[TOTAL CARS VALUE]]+Table1[[#This Row],[UNIT (BUILDING) VALUE BASIC FINISHED]]+Table1[[#This Row],[UNIT (GARDEN) VALUE]]</f>
        <v>10330236.536352001</v>
      </c>
      <c r="AT787" s="232">
        <f>Table1[[#This Row],[TOTAL CARS VALUE]]+Table1[[#This Row],[UNIT (GARDEN) VALUE]]+Table1[[#This Row],[UNIT (BUILDING) VALUE FULLY FINISHED]]</f>
        <v>10786236.536352001</v>
      </c>
      <c r="AU787" s="233">
        <f>VLOOKUP(I787,'C PHASES'!$I$108:$J$110,2,FALSE)</f>
        <v>46569</v>
      </c>
      <c r="AV787" s="233">
        <f>VLOOKUP(AA787,'C PHASES'!$I$113:$J$125,2,FALSE)</f>
        <v>45658</v>
      </c>
    </row>
    <row r="788" spans="1:48" x14ac:dyDescent="0.25">
      <c r="A788" s="235"/>
      <c r="B788" s="227" t="str">
        <f t="shared" si="122"/>
        <v>E</v>
      </c>
      <c r="C788" s="227" t="s">
        <v>72</v>
      </c>
      <c r="D788" s="227" t="s">
        <v>1147</v>
      </c>
      <c r="E788" s="228">
        <v>0</v>
      </c>
      <c r="F788" s="101">
        <v>4</v>
      </c>
      <c r="G788" s="87" t="str">
        <f t="shared" si="130"/>
        <v>E204</v>
      </c>
      <c r="H788" s="87" t="s">
        <v>1293</v>
      </c>
      <c r="I788" s="89" t="str">
        <f>VLOOKUP(C788,'PREMIUM TABLES'!$G$107:$H$149,2,FALSE)</f>
        <v>C3</v>
      </c>
      <c r="J788" s="87">
        <v>88.49</v>
      </c>
      <c r="K788" s="87">
        <v>96.210853768427611</v>
      </c>
      <c r="L788" s="87">
        <v>108</v>
      </c>
      <c r="M788" s="87">
        <v>68.089699999999993</v>
      </c>
      <c r="O788" s="87" t="s">
        <v>187</v>
      </c>
      <c r="P788" s="87" t="s">
        <v>190</v>
      </c>
      <c r="Q788" s="229" t="s">
        <v>199</v>
      </c>
      <c r="R788" s="87" t="str">
        <f>VLOOKUP(E788,'PREMIUM TABLES'!$F$214:$G$219,2,FALSE)</f>
        <v>GROUND</v>
      </c>
      <c r="S788" s="87" t="str" cm="1">
        <f t="array" ref="S788">IF(AND(L788&gt;0,L788&lt;90),"A",IF(AND(L788&gt;90,L788&lt;123),"B",IF(AND(L788&gt;122,L788&lt;159),"C",IF(AND(L788&gt;159,L788&lt;185),"D",IF(AND(L788&gt;185,L788&lt;230),"E",IF(AND(L788&gt;230,L788&lt;350),"F",NONE))))))</f>
        <v>B</v>
      </c>
      <c r="T788" s="230">
        <f>VLOOKUP(O788,'PREMIUM TABLES'!$G$165:$H$172,2,FALSE)</f>
        <v>0.08</v>
      </c>
      <c r="U788" s="230">
        <f>VLOOKUP(P788,'PREMIUM TABLES'!$G$208:$H$209,2,FALSE)</f>
        <v>2.5000000000000001E-2</v>
      </c>
      <c r="V788" s="230">
        <f>VLOOKUP(Q788,'PREMIUM TABLES'!$G$175:$H$195,2,FALSE)</f>
        <v>0.13</v>
      </c>
      <c r="W788" s="230">
        <f>VLOOKUP(R788,'PREMIUM TABLES'!$G$214:$H$219,2,FALSE)</f>
        <v>0.05</v>
      </c>
      <c r="X788" s="230">
        <f>VLOOKUP(S788,'PREMIUM TABLES'!$F$199:$H$205,3,FALSE)</f>
        <v>0.04</v>
      </c>
      <c r="Y788" s="231">
        <f t="shared" si="125"/>
        <v>0.32500000000000001</v>
      </c>
      <c r="Z788" s="231" t="str" cm="1">
        <f t="array" ref="Z788">IF(AND(Y788&gt;0,Y788&lt;0.5),"C",IF(AND(Y788&gt;=0.5,Y788&lt;0.73),"B",IF(AND(Y788&gt;=0.73,Y788&lt;0.98),"A",NONE)))</f>
        <v>C</v>
      </c>
      <c r="AA788" s="231" t="str">
        <f>VLOOKUP(G788,'ALL (R)'!$N$5:$R$862,5,FALSE)</f>
        <v>R 3</v>
      </c>
      <c r="AB788" s="232">
        <f>VLOOKUP(AA788,FACTS!$B$2:$L$14,10,FALSE)</f>
        <v>44625</v>
      </c>
      <c r="AC788" s="232">
        <f>VLOOKUP(AA788,FACTS!$B$2:$L$14,11,FALSE)</f>
        <v>49875</v>
      </c>
      <c r="AD788" s="232">
        <f>VLOOKUP(AA788,FACTS!$B$2:$N$14,13,FALSE)</f>
        <v>5250</v>
      </c>
      <c r="AE788" s="232">
        <f t="shared" si="126"/>
        <v>1706.25</v>
      </c>
      <c r="AF788" s="232">
        <f t="shared" si="127"/>
        <v>46331.25</v>
      </c>
      <c r="AG788" s="232">
        <f>AF788*FACTS!$T$2</f>
        <v>15289.3125</v>
      </c>
      <c r="AH788" s="232">
        <f>Table1[[#This Row],[UNIT (BUILDING) RATE (SEMI FINISHED)]]+4500</f>
        <v>50831.25</v>
      </c>
      <c r="AI788" s="232">
        <f>Table1[[#This Row],[UNIT (BUILDING) RATE (SEMI FINISHED)]]+7500</f>
        <v>53831.25</v>
      </c>
      <c r="AJ788" s="232">
        <f t="shared" si="128"/>
        <v>5003775</v>
      </c>
      <c r="AK788" s="232">
        <f>Table1[[#This Row],[UNIT (BUILDING) RATE (BASIC FINISH)]]*Table1[[#This Row],[Unit Selling Area]]</f>
        <v>5489775</v>
      </c>
      <c r="AL788" s="232">
        <f>Table1[[#This Row],[UNIT (BUILDING) RATE (FULLY FINISH)]]*Table1[[#This Row],[Unit Selling Area]]</f>
        <v>5813775</v>
      </c>
      <c r="AM788" s="232">
        <f t="shared" si="129"/>
        <v>1041044.7013312499</v>
      </c>
      <c r="AN788" s="232">
        <f>(AM788+AJ788)*FACTS!$S$2</f>
        <v>513809.6746131563</v>
      </c>
      <c r="AO788" s="101">
        <f>VLOOKUP(S788,FACTS!$A$17:$C$23,3,FALSE)</f>
        <v>1</v>
      </c>
      <c r="AP788" s="232">
        <f>VLOOKUP(AA788,FACTS!$B$2:$J$14,9,FALSE)</f>
        <v>210000</v>
      </c>
      <c r="AQ788" s="232">
        <f>Table1[[#This Row],[PARKING VALUE]]*1</f>
        <v>210000</v>
      </c>
      <c r="AR788" s="232">
        <f t="shared" si="124"/>
        <v>6254819.7013312504</v>
      </c>
      <c r="AS788" s="440">
        <f>Table1[[#This Row],[TOTAL CARS VALUE]]+Table1[[#This Row],[UNIT (BUILDING) VALUE BASIC FINISHED]]+Table1[[#This Row],[UNIT (GARDEN) VALUE]]</f>
        <v>6740819.7013312504</v>
      </c>
      <c r="AT788" s="232">
        <f>Table1[[#This Row],[TOTAL CARS VALUE]]+Table1[[#This Row],[UNIT (GARDEN) VALUE]]+Table1[[#This Row],[UNIT (BUILDING) VALUE FULLY FINISHED]]</f>
        <v>7064819.7013312504</v>
      </c>
      <c r="AU788" s="233">
        <f>VLOOKUP(I788,'C PHASES'!$I$108:$J$110,2,FALSE)</f>
        <v>46569</v>
      </c>
      <c r="AV788" s="233">
        <f>VLOOKUP(AA788,'C PHASES'!$I$113:$J$125,2,FALSE)</f>
        <v>45383</v>
      </c>
    </row>
    <row r="789" spans="1:48" x14ac:dyDescent="0.25">
      <c r="A789" s="235"/>
      <c r="B789" s="227" t="str">
        <f t="shared" si="122"/>
        <v>E</v>
      </c>
      <c r="C789" s="227" t="s">
        <v>72</v>
      </c>
      <c r="D789" s="227" t="s">
        <v>1147</v>
      </c>
      <c r="E789" s="228">
        <v>1</v>
      </c>
      <c r="F789" s="101">
        <v>1</v>
      </c>
      <c r="G789" s="87" t="str">
        <f t="shared" si="130"/>
        <v>E211</v>
      </c>
      <c r="H789" s="87" t="s">
        <v>1294</v>
      </c>
      <c r="I789" s="89" t="str">
        <f>VLOOKUP(C789,'PREMIUM TABLES'!$G$107:$H$149,2,FALSE)</f>
        <v>C3</v>
      </c>
      <c r="J789" s="87">
        <v>128.56</v>
      </c>
      <c r="K789" s="87">
        <v>139.77700712474919</v>
      </c>
      <c r="L789" s="87">
        <v>157</v>
      </c>
      <c r="O789" s="87" t="s">
        <v>187</v>
      </c>
      <c r="P789" s="87" t="s">
        <v>226</v>
      </c>
      <c r="Q789" s="229" t="s">
        <v>193</v>
      </c>
      <c r="R789" s="87" t="str">
        <f>VLOOKUP(E789,'PREMIUM TABLES'!$F$214:$G$219,2,FALSE)</f>
        <v>FIRST</v>
      </c>
      <c r="S789" s="87" t="str" cm="1">
        <f t="array" ref="S789">IF(AND(L789&gt;0,L789&lt;90),"A",IF(AND(L789&gt;90,L789&lt;123),"B",IF(AND(L789&gt;122,L789&lt;159),"C",IF(AND(L789&gt;159,L789&lt;185),"D",IF(AND(L789&gt;185,L789&lt;230),"E",IF(AND(L789&gt;230,L789&lt;350),"F",NONE))))))</f>
        <v>C</v>
      </c>
      <c r="T789" s="230">
        <f>VLOOKUP(O789,'PREMIUM TABLES'!$G$165:$H$172,2,FALSE)</f>
        <v>0.08</v>
      </c>
      <c r="U789" s="230">
        <f>VLOOKUP(P789,'PREMIUM TABLES'!$G$208:$H$209,2,FALSE)</f>
        <v>0.05</v>
      </c>
      <c r="V789" s="230">
        <f>VLOOKUP(Q789,'PREMIUM TABLES'!$G$175:$H$195,2,FALSE)</f>
        <v>0.3</v>
      </c>
      <c r="W789" s="230">
        <f>VLOOKUP(R789,'PREMIUM TABLES'!$G$214:$H$219,2,FALSE)</f>
        <v>7.0000000000000007E-2</v>
      </c>
      <c r="X789" s="230">
        <f>VLOOKUP(S789,'PREMIUM TABLES'!$F$199:$H$205,3,FALSE)</f>
        <v>3.5000000000000003E-2</v>
      </c>
      <c r="Y789" s="231">
        <f t="shared" si="125"/>
        <v>0.53500000000000003</v>
      </c>
      <c r="Z789" s="231" t="str" cm="1">
        <f t="array" ref="Z789">IF(AND(Y789&gt;0,Y789&lt;0.5),"C",IF(AND(Y789&gt;=0.5,Y789&lt;0.73),"B",IF(AND(Y789&gt;=0.73,Y789&lt;0.98),"A",NONE)))</f>
        <v>B</v>
      </c>
      <c r="AA789" s="231" t="str">
        <f>VLOOKUP(G789,'ALL (R)'!$N$5:$R$862,5,FALSE)</f>
        <v>R 1</v>
      </c>
      <c r="AB789" s="232">
        <f>VLOOKUP(AA789,FACTS!$B$2:$L$14,10,FALSE)</f>
        <v>42500</v>
      </c>
      <c r="AC789" s="232">
        <f>VLOOKUP(AA789,FACTS!$B$2:$L$14,11,FALSE)</f>
        <v>47500</v>
      </c>
      <c r="AD789" s="232">
        <f>VLOOKUP(AA789,FACTS!$B$2:$N$14,13,FALSE)</f>
        <v>5000</v>
      </c>
      <c r="AE789" s="232">
        <f t="shared" si="126"/>
        <v>2675</v>
      </c>
      <c r="AF789" s="232">
        <f t="shared" si="127"/>
        <v>45175</v>
      </c>
      <c r="AG789" s="232">
        <f>AF789*FACTS!$T$2</f>
        <v>14907.75</v>
      </c>
      <c r="AH789" s="232">
        <f>Table1[[#This Row],[UNIT (BUILDING) RATE (SEMI FINISHED)]]+4500</f>
        <v>49675</v>
      </c>
      <c r="AI789" s="232">
        <f>Table1[[#This Row],[UNIT (BUILDING) RATE (SEMI FINISHED)]]+7500</f>
        <v>52675</v>
      </c>
      <c r="AJ789" s="232">
        <f t="shared" si="128"/>
        <v>7092475</v>
      </c>
      <c r="AK789" s="232">
        <f>Table1[[#This Row],[UNIT (BUILDING) RATE (BASIC FINISH)]]*Table1[[#This Row],[Unit Selling Area]]</f>
        <v>7798975</v>
      </c>
      <c r="AL789" s="232">
        <f>Table1[[#This Row],[UNIT (BUILDING) RATE (FULLY FINISH)]]*Table1[[#This Row],[Unit Selling Area]]</f>
        <v>8269975</v>
      </c>
      <c r="AM789" s="232">
        <f t="shared" si="129"/>
        <v>0</v>
      </c>
      <c r="AN789" s="232">
        <f>(AM789+AJ789)*FACTS!$S$2</f>
        <v>602860.375</v>
      </c>
      <c r="AO789" s="101">
        <f>VLOOKUP(S789,FACTS!$A$17:$C$23,3,FALSE)</f>
        <v>2</v>
      </c>
      <c r="AP789" s="232">
        <f>VLOOKUP(AA789,FACTS!$B$2:$J$14,9,FALSE)</f>
        <v>200000</v>
      </c>
      <c r="AQ789" s="232">
        <f>Table1[[#This Row],[PARKING VALUE]]*1</f>
        <v>200000</v>
      </c>
      <c r="AR789" s="232">
        <f t="shared" si="124"/>
        <v>7292475</v>
      </c>
      <c r="AS789" s="440">
        <f>Table1[[#This Row],[TOTAL CARS VALUE]]+Table1[[#This Row],[UNIT (BUILDING) VALUE BASIC FINISHED]]+Table1[[#This Row],[UNIT (GARDEN) VALUE]]</f>
        <v>7998975</v>
      </c>
      <c r="AT789" s="232">
        <f>Table1[[#This Row],[TOTAL CARS VALUE]]+Table1[[#This Row],[UNIT (GARDEN) VALUE]]+Table1[[#This Row],[UNIT (BUILDING) VALUE FULLY FINISHED]]</f>
        <v>8469975</v>
      </c>
      <c r="AU789" s="233">
        <f>VLOOKUP(I789,'C PHASES'!$I$108:$J$110,2,FALSE)</f>
        <v>46569</v>
      </c>
      <c r="AV789" s="233">
        <f>VLOOKUP(AA789,'C PHASES'!$I$113:$J$125,2,FALSE)</f>
        <v>45170</v>
      </c>
    </row>
    <row r="790" spans="1:48" x14ac:dyDescent="0.25">
      <c r="A790" s="235"/>
      <c r="B790" s="227" t="str">
        <f t="shared" si="122"/>
        <v>E</v>
      </c>
      <c r="C790" s="227" t="s">
        <v>72</v>
      </c>
      <c r="D790" s="227" t="s">
        <v>1147</v>
      </c>
      <c r="E790" s="228">
        <v>1</v>
      </c>
      <c r="F790" s="101">
        <v>2</v>
      </c>
      <c r="G790" s="87" t="str">
        <f t="shared" si="130"/>
        <v>E212</v>
      </c>
      <c r="H790" s="87" t="s">
        <v>1294</v>
      </c>
      <c r="I790" s="89" t="str">
        <f>VLOOKUP(C790,'PREMIUM TABLES'!$G$107:$H$149,2,FALSE)</f>
        <v>C3</v>
      </c>
      <c r="J790" s="87">
        <v>131.12</v>
      </c>
      <c r="K790" s="87">
        <v>142.56037005442684</v>
      </c>
      <c r="L790" s="87">
        <v>160</v>
      </c>
      <c r="O790" s="87" t="s">
        <v>180</v>
      </c>
      <c r="P790" s="87" t="s">
        <v>226</v>
      </c>
      <c r="Q790" s="229" t="s">
        <v>212</v>
      </c>
      <c r="R790" s="87" t="str">
        <f>VLOOKUP(E790,'PREMIUM TABLES'!$F$214:$G$219,2,FALSE)</f>
        <v>FIRST</v>
      </c>
      <c r="S790" s="87" t="str" cm="1">
        <f t="array" ref="S790">IF(AND(L790&gt;0,L790&lt;90),"A",IF(AND(L790&gt;90,L790&lt;123),"B",IF(AND(L790&gt;122,L790&lt;159),"C",IF(AND(L790&gt;159,L790&lt;185),"D",IF(AND(L790&gt;185,L790&lt;230),"E",IF(AND(L790&gt;230,L790&lt;350),"F",NONE))))))</f>
        <v>D</v>
      </c>
      <c r="T790" s="230">
        <f>VLOOKUP(O790,'PREMIUM TABLES'!$G$165:$H$172,2,FALSE)</f>
        <v>0.13</v>
      </c>
      <c r="U790" s="230">
        <f>VLOOKUP(P790,'PREMIUM TABLES'!$G$208:$H$209,2,FALSE)</f>
        <v>0.05</v>
      </c>
      <c r="V790" s="230">
        <f>VLOOKUP(Q790,'PREMIUM TABLES'!$G$175:$H$195,2,FALSE)</f>
        <v>0.43</v>
      </c>
      <c r="W790" s="230">
        <f>VLOOKUP(R790,'PREMIUM TABLES'!$G$214:$H$219,2,FALSE)</f>
        <v>7.0000000000000007E-2</v>
      </c>
      <c r="X790" s="230">
        <f>VLOOKUP(S790,'PREMIUM TABLES'!$F$199:$H$205,3,FALSE)</f>
        <v>2.5000000000000001E-2</v>
      </c>
      <c r="Y790" s="231">
        <f t="shared" si="125"/>
        <v>0.70499999999999996</v>
      </c>
      <c r="Z790" s="231" t="str" cm="1">
        <f t="array" ref="Z790">IF(AND(Y790&gt;0,Y790&lt;0.5),"C",IF(AND(Y790&gt;=0.5,Y790&lt;0.73),"B",IF(AND(Y790&gt;=0.73,Y790&lt;0.98),"A",NONE)))</f>
        <v>B</v>
      </c>
      <c r="AA790" s="231" t="str">
        <f>VLOOKUP(G790,'ALL (R)'!$N$5:$R$862,5,FALSE)</f>
        <v>R 7</v>
      </c>
      <c r="AB790" s="232">
        <f>VLOOKUP(AA790,FACTS!$B$2:$L$14,10,FALSE)</f>
        <v>50150</v>
      </c>
      <c r="AC790" s="232">
        <f>VLOOKUP(AA790,FACTS!$B$2:$L$14,11,FALSE)</f>
        <v>56050</v>
      </c>
      <c r="AD790" s="232">
        <f>VLOOKUP(AA790,FACTS!$B$2:$N$14,13,FALSE)</f>
        <v>5900</v>
      </c>
      <c r="AE790" s="232">
        <f t="shared" si="126"/>
        <v>4159.5</v>
      </c>
      <c r="AF790" s="232">
        <f t="shared" si="127"/>
        <v>54309.5</v>
      </c>
      <c r="AG790" s="232">
        <f>AF790*FACTS!$T$2</f>
        <v>17922.135000000002</v>
      </c>
      <c r="AH790" s="232">
        <f>Table1[[#This Row],[UNIT (BUILDING) RATE (SEMI FINISHED)]]+4500</f>
        <v>58809.5</v>
      </c>
      <c r="AI790" s="232">
        <f>Table1[[#This Row],[UNIT (BUILDING) RATE (SEMI FINISHED)]]+7500</f>
        <v>61809.5</v>
      </c>
      <c r="AJ790" s="232">
        <f t="shared" si="128"/>
        <v>8689520</v>
      </c>
      <c r="AK790" s="232">
        <f>Table1[[#This Row],[UNIT (BUILDING) RATE (BASIC FINISH)]]*Table1[[#This Row],[Unit Selling Area]]</f>
        <v>9409520</v>
      </c>
      <c r="AL790" s="232">
        <f>Table1[[#This Row],[UNIT (BUILDING) RATE (FULLY FINISH)]]*Table1[[#This Row],[Unit Selling Area]]</f>
        <v>9889520</v>
      </c>
      <c r="AM790" s="232">
        <f t="shared" si="129"/>
        <v>0</v>
      </c>
      <c r="AN790" s="232">
        <f>(AM790+AJ790)*FACTS!$S$2</f>
        <v>738609.20000000007</v>
      </c>
      <c r="AO790" s="101">
        <f>VLOOKUP(S790,FACTS!$A$17:$C$23,3,FALSE)</f>
        <v>2</v>
      </c>
      <c r="AP790" s="232">
        <f>VLOOKUP(AA790,FACTS!$B$2:$J$14,9,FALSE)</f>
        <v>236000</v>
      </c>
      <c r="AQ790" s="232">
        <f>Table1[[#This Row],[PARKING VALUE]]*1</f>
        <v>236000</v>
      </c>
      <c r="AR790" s="232">
        <f t="shared" si="124"/>
        <v>8925520</v>
      </c>
      <c r="AS790" s="440">
        <f>Table1[[#This Row],[TOTAL CARS VALUE]]+Table1[[#This Row],[UNIT (BUILDING) VALUE BASIC FINISHED]]+Table1[[#This Row],[UNIT (GARDEN) VALUE]]</f>
        <v>9645520</v>
      </c>
      <c r="AT790" s="232">
        <f>Table1[[#This Row],[TOTAL CARS VALUE]]+Table1[[#This Row],[UNIT (GARDEN) VALUE]]+Table1[[#This Row],[UNIT (BUILDING) VALUE FULLY FINISHED]]</f>
        <v>10125520</v>
      </c>
      <c r="AU790" s="233">
        <f>VLOOKUP(I790,'C PHASES'!$I$108:$J$110,2,FALSE)</f>
        <v>46569</v>
      </c>
      <c r="AV790" s="233">
        <f>VLOOKUP(AA790,'C PHASES'!$I$113:$J$125,2,FALSE)</f>
        <v>45748</v>
      </c>
    </row>
    <row r="791" spans="1:48" x14ac:dyDescent="0.25">
      <c r="A791" s="235"/>
      <c r="B791" s="227" t="str">
        <f t="shared" si="122"/>
        <v>E</v>
      </c>
      <c r="C791" s="227" t="s">
        <v>72</v>
      </c>
      <c r="D791" s="227" t="s">
        <v>1147</v>
      </c>
      <c r="E791" s="228">
        <v>1</v>
      </c>
      <c r="F791" s="101">
        <v>3</v>
      </c>
      <c r="G791" s="87" t="str">
        <f t="shared" si="130"/>
        <v>E213</v>
      </c>
      <c r="H791" s="87" t="s">
        <v>1294</v>
      </c>
      <c r="I791" s="89" t="str">
        <f>VLOOKUP(C791,'PREMIUM TABLES'!$G$107:$H$149,2,FALSE)</f>
        <v>C3</v>
      </c>
      <c r="J791" s="87">
        <v>126.34</v>
      </c>
      <c r="K791" s="87">
        <v>137.36330958416934</v>
      </c>
      <c r="L791" s="87">
        <v>154</v>
      </c>
      <c r="O791" s="87" t="s">
        <v>180</v>
      </c>
      <c r="P791" s="87" t="s">
        <v>190</v>
      </c>
      <c r="Q791" s="229" t="s">
        <v>212</v>
      </c>
      <c r="R791" s="87" t="str">
        <f>VLOOKUP(E791,'PREMIUM TABLES'!$F$214:$G$219,2,FALSE)</f>
        <v>FIRST</v>
      </c>
      <c r="S791" s="87" t="str" cm="1">
        <f t="array" ref="S791">IF(AND(L791&gt;0,L791&lt;90),"A",IF(AND(L791&gt;90,L791&lt;123),"B",IF(AND(L791&gt;122,L791&lt;159),"C",IF(AND(L791&gt;159,L791&lt;185),"D",IF(AND(L791&gt;185,L791&lt;230),"E",IF(AND(L791&gt;230,L791&lt;350),"F",NONE))))))</f>
        <v>C</v>
      </c>
      <c r="T791" s="230">
        <f>VLOOKUP(O791,'PREMIUM TABLES'!$G$165:$H$172,2,FALSE)</f>
        <v>0.13</v>
      </c>
      <c r="U791" s="230">
        <f>VLOOKUP(P791,'PREMIUM TABLES'!$G$208:$H$209,2,FALSE)</f>
        <v>2.5000000000000001E-2</v>
      </c>
      <c r="V791" s="230">
        <f>VLOOKUP(Q791,'PREMIUM TABLES'!$G$175:$H$195,2,FALSE)</f>
        <v>0.43</v>
      </c>
      <c r="W791" s="230">
        <f>VLOOKUP(R791,'PREMIUM TABLES'!$G$214:$H$219,2,FALSE)</f>
        <v>7.0000000000000007E-2</v>
      </c>
      <c r="X791" s="230">
        <f>VLOOKUP(S791,'PREMIUM TABLES'!$F$199:$H$205,3,FALSE)</f>
        <v>3.5000000000000003E-2</v>
      </c>
      <c r="Y791" s="231">
        <f t="shared" si="125"/>
        <v>0.69000000000000006</v>
      </c>
      <c r="Z791" s="231" t="str" cm="1">
        <f t="array" ref="Z791">IF(AND(Y791&gt;0,Y791&lt;0.5),"C",IF(AND(Y791&gt;=0.5,Y791&lt;0.73),"B",IF(AND(Y791&gt;=0.73,Y791&lt;0.98),"A",NONE)))</f>
        <v>B</v>
      </c>
      <c r="AA791" s="231" t="str">
        <f>VLOOKUP(G791,'ALL (R)'!$N$5:$R$862,5,FALSE)</f>
        <v>R 8</v>
      </c>
      <c r="AB791" s="232">
        <f>VLOOKUP(AA791,FACTS!$B$2:$L$14,10,FALSE)</f>
        <v>51850</v>
      </c>
      <c r="AC791" s="232">
        <f>VLOOKUP(AA791,FACTS!$B$2:$L$14,11,FALSE)</f>
        <v>57950</v>
      </c>
      <c r="AD791" s="232">
        <f>VLOOKUP(AA791,FACTS!$B$2:$N$14,13,FALSE)</f>
        <v>6100</v>
      </c>
      <c r="AE791" s="232">
        <f t="shared" si="126"/>
        <v>4209</v>
      </c>
      <c r="AF791" s="232">
        <f t="shared" si="127"/>
        <v>56059</v>
      </c>
      <c r="AG791" s="232">
        <f>AF791*FACTS!$T$2</f>
        <v>18499.47</v>
      </c>
      <c r="AH791" s="232">
        <f>Table1[[#This Row],[UNIT (BUILDING) RATE (SEMI FINISHED)]]+4500</f>
        <v>60559</v>
      </c>
      <c r="AI791" s="232">
        <f>Table1[[#This Row],[UNIT (BUILDING) RATE (SEMI FINISHED)]]+7500</f>
        <v>63559</v>
      </c>
      <c r="AJ791" s="232">
        <f t="shared" si="128"/>
        <v>8633086</v>
      </c>
      <c r="AK791" s="232">
        <f>Table1[[#This Row],[UNIT (BUILDING) RATE (BASIC FINISH)]]*Table1[[#This Row],[Unit Selling Area]]</f>
        <v>9326086</v>
      </c>
      <c r="AL791" s="232">
        <f>Table1[[#This Row],[UNIT (BUILDING) RATE (FULLY FINISH)]]*Table1[[#This Row],[Unit Selling Area]]</f>
        <v>9788086</v>
      </c>
      <c r="AM791" s="232">
        <f t="shared" si="129"/>
        <v>0</v>
      </c>
      <c r="AN791" s="232">
        <f>(AM791+AJ791)*FACTS!$S$2</f>
        <v>733812.31</v>
      </c>
      <c r="AO791" s="101">
        <f>VLOOKUP(S791,FACTS!$A$17:$C$23,3,FALSE)</f>
        <v>2</v>
      </c>
      <c r="AP791" s="232">
        <f>VLOOKUP(AA791,FACTS!$B$2:$J$14,9,FALSE)</f>
        <v>244000</v>
      </c>
      <c r="AQ791" s="232">
        <f>Table1[[#This Row],[PARKING VALUE]]*1</f>
        <v>244000</v>
      </c>
      <c r="AR791" s="232">
        <f t="shared" si="124"/>
        <v>8877086</v>
      </c>
      <c r="AS791" s="440">
        <f>Table1[[#This Row],[TOTAL CARS VALUE]]+Table1[[#This Row],[UNIT (BUILDING) VALUE BASIC FINISHED]]+Table1[[#This Row],[UNIT (GARDEN) VALUE]]</f>
        <v>9570086</v>
      </c>
      <c r="AT791" s="232">
        <f>Table1[[#This Row],[TOTAL CARS VALUE]]+Table1[[#This Row],[UNIT (GARDEN) VALUE]]+Table1[[#This Row],[UNIT (BUILDING) VALUE FULLY FINISHED]]</f>
        <v>10032086</v>
      </c>
      <c r="AU791" s="233">
        <f>VLOOKUP(I791,'C PHASES'!$I$108:$J$110,2,FALSE)</f>
        <v>46569</v>
      </c>
      <c r="AV791" s="233">
        <f>VLOOKUP(AA791,'C PHASES'!$I$113:$J$125,2,FALSE)</f>
        <v>45839</v>
      </c>
    </row>
    <row r="792" spans="1:48" x14ac:dyDescent="0.25">
      <c r="A792" s="235"/>
      <c r="B792" s="227" t="str">
        <f t="shared" si="122"/>
        <v>E</v>
      </c>
      <c r="C792" s="227" t="s">
        <v>72</v>
      </c>
      <c r="D792" s="227" t="s">
        <v>1147</v>
      </c>
      <c r="E792" s="228">
        <v>1</v>
      </c>
      <c r="F792" s="101">
        <v>4</v>
      </c>
      <c r="G792" s="87" t="str">
        <f t="shared" si="130"/>
        <v>E214</v>
      </c>
      <c r="H792" s="87" t="s">
        <v>1293</v>
      </c>
      <c r="I792" s="89" t="str">
        <f>VLOOKUP(C792,'PREMIUM TABLES'!$G$107:$H$149,2,FALSE)</f>
        <v>C3</v>
      </c>
      <c r="J792" s="87">
        <v>88.79</v>
      </c>
      <c r="K792" s="87">
        <v>96.537029111749234</v>
      </c>
      <c r="L792" s="87">
        <v>108</v>
      </c>
      <c r="O792" s="87" t="s">
        <v>187</v>
      </c>
      <c r="P792" s="87" t="s">
        <v>190</v>
      </c>
      <c r="Q792" s="229" t="s">
        <v>199</v>
      </c>
      <c r="R792" s="87" t="str">
        <f>VLOOKUP(E792,'PREMIUM TABLES'!$F$214:$G$219,2,FALSE)</f>
        <v>FIRST</v>
      </c>
      <c r="S792" s="87" t="str" cm="1">
        <f t="array" ref="S792">IF(AND(L792&gt;0,L792&lt;90),"A",IF(AND(L792&gt;90,L792&lt;123),"B",IF(AND(L792&gt;122,L792&lt;159),"C",IF(AND(L792&gt;159,L792&lt;185),"D",IF(AND(L792&gt;185,L792&lt;230),"E",IF(AND(L792&gt;230,L792&lt;350),"F",NONE))))))</f>
        <v>B</v>
      </c>
      <c r="T792" s="230">
        <f>VLOOKUP(O792,'PREMIUM TABLES'!$G$165:$H$172,2,FALSE)</f>
        <v>0.08</v>
      </c>
      <c r="U792" s="230">
        <f>VLOOKUP(P792,'PREMIUM TABLES'!$G$208:$H$209,2,FALSE)</f>
        <v>2.5000000000000001E-2</v>
      </c>
      <c r="V792" s="230">
        <f>VLOOKUP(Q792,'PREMIUM TABLES'!$G$175:$H$195,2,FALSE)</f>
        <v>0.13</v>
      </c>
      <c r="W792" s="230">
        <f>VLOOKUP(R792,'PREMIUM TABLES'!$G$214:$H$219,2,FALSE)</f>
        <v>7.0000000000000007E-2</v>
      </c>
      <c r="X792" s="230">
        <f>VLOOKUP(S792,'PREMIUM TABLES'!$F$199:$H$205,3,FALSE)</f>
        <v>0.04</v>
      </c>
      <c r="Y792" s="231">
        <f t="shared" si="125"/>
        <v>0.34500000000000003</v>
      </c>
      <c r="Z792" s="231" t="str" cm="1">
        <f t="array" ref="Z792">IF(AND(Y792&gt;0,Y792&lt;0.5),"C",IF(AND(Y792&gt;=0.5,Y792&lt;0.73),"B",IF(AND(Y792&gt;=0.73,Y792&lt;0.98),"A",NONE)))</f>
        <v>C</v>
      </c>
      <c r="AA792" s="231" t="str">
        <f>VLOOKUP(G792,'ALL (R)'!$N$5:$R$862,5,FALSE)</f>
        <v>R 4</v>
      </c>
      <c r="AB792" s="232">
        <f>VLOOKUP(AA792,FACTS!$B$2:$L$14,10,FALSE)</f>
        <v>45687.5</v>
      </c>
      <c r="AC792" s="232">
        <f>VLOOKUP(AA792,FACTS!$B$2:$L$14,11,FALSE)</f>
        <v>51062.5</v>
      </c>
      <c r="AD792" s="232">
        <f>VLOOKUP(AA792,FACTS!$B$2:$N$14,13,FALSE)</f>
        <v>5375</v>
      </c>
      <c r="AE792" s="232">
        <f t="shared" si="126"/>
        <v>1854.3750000000002</v>
      </c>
      <c r="AF792" s="232">
        <f t="shared" si="127"/>
        <v>47541.875</v>
      </c>
      <c r="AG792" s="232">
        <f>AF792*FACTS!$T$2</f>
        <v>15688.81875</v>
      </c>
      <c r="AH792" s="232">
        <f>Table1[[#This Row],[UNIT (BUILDING) RATE (SEMI FINISHED)]]+4500</f>
        <v>52041.875</v>
      </c>
      <c r="AI792" s="232">
        <f>Table1[[#This Row],[UNIT (BUILDING) RATE (SEMI FINISHED)]]+7500</f>
        <v>55041.875</v>
      </c>
      <c r="AJ792" s="232">
        <f t="shared" si="128"/>
        <v>5134522.5</v>
      </c>
      <c r="AK792" s="232">
        <f>Table1[[#This Row],[UNIT (BUILDING) RATE (BASIC FINISH)]]*Table1[[#This Row],[Unit Selling Area]]</f>
        <v>5620522.5</v>
      </c>
      <c r="AL792" s="232">
        <f>Table1[[#This Row],[UNIT (BUILDING) RATE (FULLY FINISH)]]*Table1[[#This Row],[Unit Selling Area]]</f>
        <v>5944522.5</v>
      </c>
      <c r="AM792" s="232">
        <f t="shared" si="129"/>
        <v>0</v>
      </c>
      <c r="AN792" s="232">
        <f>(AM792+AJ792)*FACTS!$S$2</f>
        <v>436434.41250000003</v>
      </c>
      <c r="AO792" s="101">
        <f>VLOOKUP(S792,FACTS!$A$17:$C$23,3,FALSE)</f>
        <v>1</v>
      </c>
      <c r="AP792" s="232">
        <f>VLOOKUP(AA792,FACTS!$B$2:$J$14,9,FALSE)</f>
        <v>215000</v>
      </c>
      <c r="AQ792" s="232">
        <f>Table1[[#This Row],[PARKING VALUE]]*1</f>
        <v>215000</v>
      </c>
      <c r="AR792" s="232">
        <f t="shared" si="124"/>
        <v>5349522.5</v>
      </c>
      <c r="AS792" s="440">
        <f>Table1[[#This Row],[TOTAL CARS VALUE]]+Table1[[#This Row],[UNIT (BUILDING) VALUE BASIC FINISHED]]+Table1[[#This Row],[UNIT (GARDEN) VALUE]]</f>
        <v>5835522.5</v>
      </c>
      <c r="AT792" s="232">
        <f>Table1[[#This Row],[TOTAL CARS VALUE]]+Table1[[#This Row],[UNIT (GARDEN) VALUE]]+Table1[[#This Row],[UNIT (BUILDING) VALUE FULLY FINISHED]]</f>
        <v>6159522.5</v>
      </c>
      <c r="AU792" s="233">
        <f>VLOOKUP(I792,'C PHASES'!$I$108:$J$110,2,FALSE)</f>
        <v>46569</v>
      </c>
      <c r="AV792" s="233">
        <f>VLOOKUP(AA792,'C PHASES'!$I$113:$J$125,2,FALSE)</f>
        <v>45474</v>
      </c>
    </row>
    <row r="793" spans="1:48" x14ac:dyDescent="0.25">
      <c r="A793" s="235"/>
      <c r="B793" s="227" t="str">
        <f t="shared" si="122"/>
        <v>E</v>
      </c>
      <c r="C793" s="227" t="s">
        <v>72</v>
      </c>
      <c r="D793" s="227" t="s">
        <v>1147</v>
      </c>
      <c r="E793" s="228">
        <v>2</v>
      </c>
      <c r="F793" s="101">
        <v>1</v>
      </c>
      <c r="G793" s="87" t="str">
        <f t="shared" si="130"/>
        <v>E221</v>
      </c>
      <c r="H793" s="87" t="s">
        <v>1294</v>
      </c>
      <c r="I793" s="89" t="str">
        <f>VLOOKUP(C793,'PREMIUM TABLES'!$G$107:$H$149,2,FALSE)</f>
        <v>C3</v>
      </c>
      <c r="J793" s="87">
        <v>131.56</v>
      </c>
      <c r="K793" s="87">
        <v>143.03876055796516</v>
      </c>
      <c r="L793" s="87">
        <v>161</v>
      </c>
      <c r="O793" s="87" t="s">
        <v>187</v>
      </c>
      <c r="P793" s="87" t="s">
        <v>226</v>
      </c>
      <c r="Q793" s="229" t="s">
        <v>193</v>
      </c>
      <c r="R793" s="87" t="str">
        <f>VLOOKUP(E793,'PREMIUM TABLES'!$F$214:$G$219,2,FALSE)</f>
        <v>SECOND</v>
      </c>
      <c r="S793" s="87" t="str" cm="1">
        <f t="array" ref="S793">IF(AND(L793&gt;0,L793&lt;90),"A",IF(AND(L793&gt;90,L793&lt;123),"B",IF(AND(L793&gt;122,L793&lt;159),"C",IF(AND(L793&gt;159,L793&lt;185),"D",IF(AND(L793&gt;185,L793&lt;230),"E",IF(AND(L793&gt;230,L793&lt;350),"F",NONE))))))</f>
        <v>D</v>
      </c>
      <c r="T793" s="230">
        <f>VLOOKUP(O793,'PREMIUM TABLES'!$G$165:$H$172,2,FALSE)</f>
        <v>0.08</v>
      </c>
      <c r="U793" s="230">
        <f>VLOOKUP(P793,'PREMIUM TABLES'!$G$208:$H$209,2,FALSE)</f>
        <v>0.05</v>
      </c>
      <c r="V793" s="230">
        <f>VLOOKUP(Q793,'PREMIUM TABLES'!$G$175:$H$195,2,FALSE)</f>
        <v>0.3</v>
      </c>
      <c r="W793" s="230">
        <f>VLOOKUP(R793,'PREMIUM TABLES'!$G$214:$H$219,2,FALSE)</f>
        <v>0.11</v>
      </c>
      <c r="X793" s="230">
        <f>VLOOKUP(S793,'PREMIUM TABLES'!$F$199:$H$205,3,FALSE)</f>
        <v>2.5000000000000001E-2</v>
      </c>
      <c r="Y793" s="231">
        <f t="shared" si="125"/>
        <v>0.56500000000000006</v>
      </c>
      <c r="Z793" s="231" t="str" cm="1">
        <f t="array" ref="Z793">IF(AND(Y793&gt;0,Y793&lt;0.5),"C",IF(AND(Y793&gt;=0.5,Y793&lt;0.73),"B",IF(AND(Y793&gt;=0.73,Y793&lt;0.98),"A",NONE)))</f>
        <v>B</v>
      </c>
      <c r="AA793" s="231" t="str">
        <f>VLOOKUP(G793,'ALL (R)'!$N$5:$R$862,5,FALSE)</f>
        <v>R 1</v>
      </c>
      <c r="AB793" s="232">
        <f>VLOOKUP(AA793,FACTS!$B$2:$L$14,10,FALSE)</f>
        <v>42500</v>
      </c>
      <c r="AC793" s="232">
        <f>VLOOKUP(AA793,FACTS!$B$2:$L$14,11,FALSE)</f>
        <v>47500</v>
      </c>
      <c r="AD793" s="232">
        <f>VLOOKUP(AA793,FACTS!$B$2:$N$14,13,FALSE)</f>
        <v>5000</v>
      </c>
      <c r="AE793" s="232">
        <f t="shared" si="126"/>
        <v>2825.0000000000005</v>
      </c>
      <c r="AF793" s="232">
        <f t="shared" si="127"/>
        <v>45325</v>
      </c>
      <c r="AG793" s="232">
        <f>AF793*FACTS!$T$2</f>
        <v>14957.25</v>
      </c>
      <c r="AH793" s="232">
        <f>Table1[[#This Row],[UNIT (BUILDING) RATE (SEMI FINISHED)]]+4500</f>
        <v>49825</v>
      </c>
      <c r="AI793" s="232">
        <f>Table1[[#This Row],[UNIT (BUILDING) RATE (SEMI FINISHED)]]+7500</f>
        <v>52825</v>
      </c>
      <c r="AJ793" s="232">
        <f t="shared" si="128"/>
        <v>7297325</v>
      </c>
      <c r="AK793" s="232">
        <f>Table1[[#This Row],[UNIT (BUILDING) RATE (BASIC FINISH)]]*Table1[[#This Row],[Unit Selling Area]]</f>
        <v>8021825</v>
      </c>
      <c r="AL793" s="232">
        <f>Table1[[#This Row],[UNIT (BUILDING) RATE (FULLY FINISH)]]*Table1[[#This Row],[Unit Selling Area]]</f>
        <v>8504825</v>
      </c>
      <c r="AM793" s="232">
        <f t="shared" si="129"/>
        <v>0</v>
      </c>
      <c r="AN793" s="232">
        <f>(AM793+AJ793)*FACTS!$S$2</f>
        <v>620272.625</v>
      </c>
      <c r="AO793" s="101">
        <f>VLOOKUP(S793,FACTS!$A$17:$C$23,3,FALSE)</f>
        <v>2</v>
      </c>
      <c r="AP793" s="232">
        <f>VLOOKUP(AA793,FACTS!$B$2:$J$14,9,FALSE)</f>
        <v>200000</v>
      </c>
      <c r="AQ793" s="232">
        <f>Table1[[#This Row],[PARKING VALUE]]*1</f>
        <v>200000</v>
      </c>
      <c r="AR793" s="232">
        <f t="shared" si="124"/>
        <v>7497325</v>
      </c>
      <c r="AS793" s="440">
        <f>Table1[[#This Row],[TOTAL CARS VALUE]]+Table1[[#This Row],[UNIT (BUILDING) VALUE BASIC FINISHED]]+Table1[[#This Row],[UNIT (GARDEN) VALUE]]</f>
        <v>8221825</v>
      </c>
      <c r="AT793" s="232">
        <f>Table1[[#This Row],[TOTAL CARS VALUE]]+Table1[[#This Row],[UNIT (GARDEN) VALUE]]+Table1[[#This Row],[UNIT (BUILDING) VALUE FULLY FINISHED]]</f>
        <v>8704825</v>
      </c>
      <c r="AU793" s="233">
        <f>VLOOKUP(I793,'C PHASES'!$I$108:$J$110,2,FALSE)</f>
        <v>46569</v>
      </c>
      <c r="AV793" s="233">
        <f>VLOOKUP(AA793,'C PHASES'!$I$113:$J$125,2,FALSE)</f>
        <v>45170</v>
      </c>
    </row>
    <row r="794" spans="1:48" x14ac:dyDescent="0.25">
      <c r="A794" s="235"/>
      <c r="B794" s="227" t="str">
        <f t="shared" si="122"/>
        <v>E</v>
      </c>
      <c r="C794" s="227" t="s">
        <v>72</v>
      </c>
      <c r="D794" s="227" t="s">
        <v>1147</v>
      </c>
      <c r="E794" s="228">
        <v>2</v>
      </c>
      <c r="F794" s="101">
        <v>2</v>
      </c>
      <c r="G794" s="87" t="str">
        <f t="shared" si="130"/>
        <v>E222</v>
      </c>
      <c r="H794" s="87" t="s">
        <v>1294</v>
      </c>
      <c r="I794" s="89" t="str">
        <f>VLOOKUP(C794,'PREMIUM TABLES'!$G$107:$H$149,2,FALSE)</f>
        <v>C3</v>
      </c>
      <c r="J794" s="87">
        <v>131.56</v>
      </c>
      <c r="K794" s="87">
        <v>143.03876055796516</v>
      </c>
      <c r="L794" s="87">
        <v>161</v>
      </c>
      <c r="O794" s="87" t="s">
        <v>180</v>
      </c>
      <c r="P794" s="87" t="s">
        <v>226</v>
      </c>
      <c r="Q794" s="229" t="s">
        <v>212</v>
      </c>
      <c r="R794" s="87" t="str">
        <f>VLOOKUP(E794,'PREMIUM TABLES'!$F$214:$G$219,2,FALSE)</f>
        <v>SECOND</v>
      </c>
      <c r="S794" s="87" t="str" cm="1">
        <f t="array" ref="S794">IF(AND(L794&gt;0,L794&lt;90),"A",IF(AND(L794&gt;90,L794&lt;123),"B",IF(AND(L794&gt;122,L794&lt;159),"C",IF(AND(L794&gt;159,L794&lt;185),"D",IF(AND(L794&gt;185,L794&lt;230),"E",IF(AND(L794&gt;230,L794&lt;350),"F",NONE))))))</f>
        <v>D</v>
      </c>
      <c r="T794" s="230">
        <f>VLOOKUP(O794,'PREMIUM TABLES'!$G$165:$H$172,2,FALSE)</f>
        <v>0.13</v>
      </c>
      <c r="U794" s="230">
        <f>VLOOKUP(P794,'PREMIUM TABLES'!$G$208:$H$209,2,FALSE)</f>
        <v>0.05</v>
      </c>
      <c r="V794" s="230">
        <f>VLOOKUP(Q794,'PREMIUM TABLES'!$G$175:$H$195,2,FALSE)</f>
        <v>0.43</v>
      </c>
      <c r="W794" s="230">
        <f>VLOOKUP(R794,'PREMIUM TABLES'!$G$214:$H$219,2,FALSE)</f>
        <v>0.11</v>
      </c>
      <c r="X794" s="230">
        <f>VLOOKUP(S794,'PREMIUM TABLES'!$F$199:$H$205,3,FALSE)</f>
        <v>2.5000000000000001E-2</v>
      </c>
      <c r="Y794" s="231">
        <f t="shared" si="125"/>
        <v>0.745</v>
      </c>
      <c r="Z794" s="231" t="str" cm="1">
        <f t="array" ref="Z794">IF(AND(Y794&gt;0,Y794&lt;0.5),"C",IF(AND(Y794&gt;=0.5,Y794&lt;0.73),"B",IF(AND(Y794&gt;=0.73,Y794&lt;0.98),"A",NONE)))</f>
        <v>A</v>
      </c>
      <c r="AA794" s="231" t="str">
        <f>VLOOKUP(G794,'ALL (R)'!$N$5:$R$862,5,FALSE)</f>
        <v>R 9</v>
      </c>
      <c r="AB794" s="232">
        <f>VLOOKUP(AA794,FACTS!$B$2:$L$14,10,FALSE)</f>
        <v>53550</v>
      </c>
      <c r="AC794" s="232">
        <f>VLOOKUP(AA794,FACTS!$B$2:$L$14,11,FALSE)</f>
        <v>59850</v>
      </c>
      <c r="AD794" s="232">
        <f>VLOOKUP(AA794,FACTS!$B$2:$N$14,13,FALSE)</f>
        <v>6300</v>
      </c>
      <c r="AE794" s="232">
        <f t="shared" si="126"/>
        <v>4693.5</v>
      </c>
      <c r="AF794" s="232">
        <f t="shared" si="127"/>
        <v>58243.5</v>
      </c>
      <c r="AG794" s="232">
        <f>AF794*FACTS!$T$2</f>
        <v>19220.355</v>
      </c>
      <c r="AH794" s="232">
        <f>Table1[[#This Row],[UNIT (BUILDING) RATE (SEMI FINISHED)]]+4500</f>
        <v>62743.5</v>
      </c>
      <c r="AI794" s="232">
        <f>Table1[[#This Row],[UNIT (BUILDING) RATE (SEMI FINISHED)]]+7500</f>
        <v>65743.5</v>
      </c>
      <c r="AJ794" s="232">
        <f t="shared" si="128"/>
        <v>9377203.5</v>
      </c>
      <c r="AK794" s="232">
        <f>Table1[[#This Row],[UNIT (BUILDING) RATE (BASIC FINISH)]]*Table1[[#This Row],[Unit Selling Area]]</f>
        <v>10101703.5</v>
      </c>
      <c r="AL794" s="232">
        <f>Table1[[#This Row],[UNIT (BUILDING) RATE (FULLY FINISH)]]*Table1[[#This Row],[Unit Selling Area]]</f>
        <v>10584703.5</v>
      </c>
      <c r="AM794" s="232">
        <f t="shared" si="129"/>
        <v>0</v>
      </c>
      <c r="AN794" s="232">
        <f>(AM794+AJ794)*FACTS!$S$2</f>
        <v>797062.2975000001</v>
      </c>
      <c r="AO794" s="101">
        <f>VLOOKUP(S794,FACTS!$A$17:$C$23,3,FALSE)</f>
        <v>2</v>
      </c>
      <c r="AP794" s="232">
        <f>VLOOKUP(AA794,FACTS!$B$2:$J$14,9,FALSE)</f>
        <v>252000</v>
      </c>
      <c r="AQ794" s="232">
        <f>Table1[[#This Row],[PARKING VALUE]]*1</f>
        <v>252000</v>
      </c>
      <c r="AR794" s="232">
        <f t="shared" si="124"/>
        <v>9629203.5</v>
      </c>
      <c r="AS794" s="440">
        <f>Table1[[#This Row],[TOTAL CARS VALUE]]+Table1[[#This Row],[UNIT (BUILDING) VALUE BASIC FINISHED]]+Table1[[#This Row],[UNIT (GARDEN) VALUE]]</f>
        <v>10353703.5</v>
      </c>
      <c r="AT794" s="232">
        <f>Table1[[#This Row],[TOTAL CARS VALUE]]+Table1[[#This Row],[UNIT (GARDEN) VALUE]]+Table1[[#This Row],[UNIT (BUILDING) VALUE FULLY FINISHED]]</f>
        <v>10836703.5</v>
      </c>
      <c r="AU794" s="233">
        <f>VLOOKUP(I794,'C PHASES'!$I$108:$J$110,2,FALSE)</f>
        <v>46569</v>
      </c>
      <c r="AV794" s="233">
        <f>VLOOKUP(AA794,'C PHASES'!$I$113:$J$125,2,FALSE)</f>
        <v>45931</v>
      </c>
    </row>
    <row r="795" spans="1:48" x14ac:dyDescent="0.25">
      <c r="A795" s="235"/>
      <c r="B795" s="227" t="str">
        <f t="shared" si="122"/>
        <v>E</v>
      </c>
      <c r="C795" s="227" t="s">
        <v>72</v>
      </c>
      <c r="D795" s="227" t="s">
        <v>1147</v>
      </c>
      <c r="E795" s="228">
        <v>2</v>
      </c>
      <c r="F795" s="101">
        <v>3</v>
      </c>
      <c r="G795" s="87" t="str">
        <f t="shared" si="130"/>
        <v>E223</v>
      </c>
      <c r="H795" s="87" t="s">
        <v>1294</v>
      </c>
      <c r="I795" s="89" t="str">
        <f>VLOOKUP(C795,'PREMIUM TABLES'!$G$107:$H$149,2,FALSE)</f>
        <v>C3</v>
      </c>
      <c r="J795" s="87">
        <v>126.78</v>
      </c>
      <c r="K795" s="87">
        <v>137.84170008770769</v>
      </c>
      <c r="L795" s="87">
        <v>155</v>
      </c>
      <c r="O795" s="87" t="s">
        <v>180</v>
      </c>
      <c r="P795" s="87" t="s">
        <v>190</v>
      </c>
      <c r="Q795" s="229" t="s">
        <v>212</v>
      </c>
      <c r="R795" s="87" t="str">
        <f>VLOOKUP(E795,'PREMIUM TABLES'!$F$214:$G$219,2,FALSE)</f>
        <v>SECOND</v>
      </c>
      <c r="S795" s="87" t="str" cm="1">
        <f t="array" ref="S795">IF(AND(L795&gt;0,L795&lt;90),"A",IF(AND(L795&gt;90,L795&lt;123),"B",IF(AND(L795&gt;122,L795&lt;159),"C",IF(AND(L795&gt;159,L795&lt;185),"D",IF(AND(L795&gt;185,L795&lt;230),"E",IF(AND(L795&gt;230,L795&lt;350),"F",NONE))))))</f>
        <v>C</v>
      </c>
      <c r="T795" s="230">
        <f>VLOOKUP(O795,'PREMIUM TABLES'!$G$165:$H$172,2,FALSE)</f>
        <v>0.13</v>
      </c>
      <c r="U795" s="230">
        <f>VLOOKUP(P795,'PREMIUM TABLES'!$G$208:$H$209,2,FALSE)</f>
        <v>2.5000000000000001E-2</v>
      </c>
      <c r="V795" s="230">
        <f>VLOOKUP(Q795,'PREMIUM TABLES'!$G$175:$H$195,2,FALSE)</f>
        <v>0.43</v>
      </c>
      <c r="W795" s="230">
        <f>VLOOKUP(R795,'PREMIUM TABLES'!$G$214:$H$219,2,FALSE)</f>
        <v>0.11</v>
      </c>
      <c r="X795" s="230">
        <f>VLOOKUP(S795,'PREMIUM TABLES'!$F$199:$H$205,3,FALSE)</f>
        <v>3.5000000000000003E-2</v>
      </c>
      <c r="Y795" s="231">
        <f t="shared" si="125"/>
        <v>0.73</v>
      </c>
      <c r="Z795" s="231" t="str" cm="1">
        <f t="array" ref="Z795">IF(AND(Y795&gt;0,Y795&lt;0.5),"C",IF(AND(Y795&gt;=0.5,Y795&lt;0.73),"B",IF(AND(Y795&gt;=0.73,Y795&lt;0.98),"A",NONE)))</f>
        <v>A</v>
      </c>
      <c r="AA795" s="231" t="str">
        <f>VLOOKUP(G795,'ALL (R)'!$N$5:$R$862,5,FALSE)</f>
        <v>R 1</v>
      </c>
      <c r="AB795" s="232">
        <f>VLOOKUP(AA795,FACTS!$B$2:$L$14,10,FALSE)</f>
        <v>42500</v>
      </c>
      <c r="AC795" s="232">
        <f>VLOOKUP(AA795,FACTS!$B$2:$L$14,11,FALSE)</f>
        <v>47500</v>
      </c>
      <c r="AD795" s="232">
        <f>VLOOKUP(AA795,FACTS!$B$2:$N$14,13,FALSE)</f>
        <v>5000</v>
      </c>
      <c r="AE795" s="232">
        <f t="shared" si="126"/>
        <v>3650</v>
      </c>
      <c r="AF795" s="232">
        <f t="shared" si="127"/>
        <v>46150</v>
      </c>
      <c r="AG795" s="232">
        <f>AF795*FACTS!$T$2</f>
        <v>15229.5</v>
      </c>
      <c r="AH795" s="232">
        <f>Table1[[#This Row],[UNIT (BUILDING) RATE (SEMI FINISHED)]]+4500</f>
        <v>50650</v>
      </c>
      <c r="AI795" s="232">
        <f>Table1[[#This Row],[UNIT (BUILDING) RATE (SEMI FINISHED)]]+7500</f>
        <v>53650</v>
      </c>
      <c r="AJ795" s="232">
        <f t="shared" si="128"/>
        <v>7153250</v>
      </c>
      <c r="AK795" s="232">
        <f>Table1[[#This Row],[UNIT (BUILDING) RATE (BASIC FINISH)]]*Table1[[#This Row],[Unit Selling Area]]</f>
        <v>7850750</v>
      </c>
      <c r="AL795" s="232">
        <f>Table1[[#This Row],[UNIT (BUILDING) RATE (FULLY FINISH)]]*Table1[[#This Row],[Unit Selling Area]]</f>
        <v>8315750</v>
      </c>
      <c r="AM795" s="232">
        <f t="shared" si="129"/>
        <v>0</v>
      </c>
      <c r="AN795" s="232">
        <f>(AM795+AJ795)*FACTS!$S$2</f>
        <v>608026.25</v>
      </c>
      <c r="AO795" s="101">
        <f>VLOOKUP(S795,FACTS!$A$17:$C$23,3,FALSE)</f>
        <v>2</v>
      </c>
      <c r="AP795" s="232">
        <f>VLOOKUP(AA795,FACTS!$B$2:$J$14,9,FALSE)</f>
        <v>200000</v>
      </c>
      <c r="AQ795" s="232">
        <f>Table1[[#This Row],[PARKING VALUE]]*1</f>
        <v>200000</v>
      </c>
      <c r="AR795" s="232">
        <f t="shared" si="124"/>
        <v>7353250</v>
      </c>
      <c r="AS795" s="440">
        <f>Table1[[#This Row],[TOTAL CARS VALUE]]+Table1[[#This Row],[UNIT (BUILDING) VALUE BASIC FINISHED]]+Table1[[#This Row],[UNIT (GARDEN) VALUE]]</f>
        <v>8050750</v>
      </c>
      <c r="AT795" s="232">
        <f>Table1[[#This Row],[TOTAL CARS VALUE]]+Table1[[#This Row],[UNIT (GARDEN) VALUE]]+Table1[[#This Row],[UNIT (BUILDING) VALUE FULLY FINISHED]]</f>
        <v>8515750</v>
      </c>
      <c r="AU795" s="233">
        <f>VLOOKUP(I795,'C PHASES'!$I$108:$J$110,2,FALSE)</f>
        <v>46569</v>
      </c>
      <c r="AV795" s="233">
        <f>VLOOKUP(AA795,'C PHASES'!$I$113:$J$125,2,FALSE)</f>
        <v>45170</v>
      </c>
    </row>
    <row r="796" spans="1:48" x14ac:dyDescent="0.25">
      <c r="A796" s="235"/>
      <c r="B796" s="227" t="str">
        <f t="shared" si="122"/>
        <v>E</v>
      </c>
      <c r="C796" s="227" t="s">
        <v>72</v>
      </c>
      <c r="D796" s="227" t="s">
        <v>1147</v>
      </c>
      <c r="E796" s="228">
        <v>2</v>
      </c>
      <c r="F796" s="101">
        <v>4</v>
      </c>
      <c r="G796" s="87" t="str">
        <f t="shared" si="130"/>
        <v>E224</v>
      </c>
      <c r="H796" s="87" t="s">
        <v>1294</v>
      </c>
      <c r="I796" s="89" t="str">
        <f>VLOOKUP(C796,'PREMIUM TABLES'!$G$107:$H$149,2,FALSE)</f>
        <v>C3</v>
      </c>
      <c r="J796" s="87">
        <v>127.15</v>
      </c>
      <c r="K796" s="87">
        <v>138.24398301113769</v>
      </c>
      <c r="L796" s="87">
        <v>155</v>
      </c>
      <c r="O796" s="87" t="s">
        <v>187</v>
      </c>
      <c r="P796" s="87" t="s">
        <v>190</v>
      </c>
      <c r="Q796" s="229" t="s">
        <v>199</v>
      </c>
      <c r="R796" s="87" t="str">
        <f>VLOOKUP(E796,'PREMIUM TABLES'!$F$214:$G$219,2,FALSE)</f>
        <v>SECOND</v>
      </c>
      <c r="S796" s="87" t="str" cm="1">
        <f t="array" ref="S796">IF(AND(L796&gt;0,L796&lt;90),"A",IF(AND(L796&gt;90,L796&lt;123),"B",IF(AND(L796&gt;122,L796&lt;159),"C",IF(AND(L796&gt;159,L796&lt;185),"D",IF(AND(L796&gt;185,L796&lt;230),"E",IF(AND(L796&gt;230,L796&lt;350),"F",NONE))))))</f>
        <v>C</v>
      </c>
      <c r="T796" s="230">
        <f>VLOOKUP(O796,'PREMIUM TABLES'!$G$165:$H$172,2,FALSE)</f>
        <v>0.08</v>
      </c>
      <c r="U796" s="230">
        <f>VLOOKUP(P796,'PREMIUM TABLES'!$G$208:$H$209,2,FALSE)</f>
        <v>2.5000000000000001E-2</v>
      </c>
      <c r="V796" s="230">
        <f>VLOOKUP(Q796,'PREMIUM TABLES'!$G$175:$H$195,2,FALSE)</f>
        <v>0.13</v>
      </c>
      <c r="W796" s="230">
        <f>VLOOKUP(R796,'PREMIUM TABLES'!$G$214:$H$219,2,FALSE)</f>
        <v>0.11</v>
      </c>
      <c r="X796" s="230">
        <f>VLOOKUP(S796,'PREMIUM TABLES'!$F$199:$H$205,3,FALSE)</f>
        <v>3.5000000000000003E-2</v>
      </c>
      <c r="Y796" s="231">
        <f t="shared" si="125"/>
        <v>0.38</v>
      </c>
      <c r="Z796" s="231" t="str" cm="1">
        <f t="array" ref="Z796">IF(AND(Y796&gt;0,Y796&lt;0.5),"C",IF(AND(Y796&gt;=0.5,Y796&lt;0.73),"B",IF(AND(Y796&gt;=0.73,Y796&lt;0.98),"A",NONE)))</f>
        <v>C</v>
      </c>
      <c r="AA796" s="231" t="str">
        <f>VLOOKUP(G796,'ALL (R)'!$N$5:$R$862,5,FALSE)</f>
        <v>R 7</v>
      </c>
      <c r="AB796" s="232">
        <f>VLOOKUP(AA796,FACTS!$B$2:$L$14,10,FALSE)</f>
        <v>50150</v>
      </c>
      <c r="AC796" s="232">
        <f>VLOOKUP(AA796,FACTS!$B$2:$L$14,11,FALSE)</f>
        <v>56050</v>
      </c>
      <c r="AD796" s="232">
        <f>VLOOKUP(AA796,FACTS!$B$2:$N$14,13,FALSE)</f>
        <v>5900</v>
      </c>
      <c r="AE796" s="232">
        <f t="shared" si="126"/>
        <v>2242</v>
      </c>
      <c r="AF796" s="232">
        <f t="shared" si="127"/>
        <v>52392</v>
      </c>
      <c r="AG796" s="232">
        <f>AF796*FACTS!$T$2</f>
        <v>17289.36</v>
      </c>
      <c r="AH796" s="232">
        <f>Table1[[#This Row],[UNIT (BUILDING) RATE (SEMI FINISHED)]]+4500</f>
        <v>56892</v>
      </c>
      <c r="AI796" s="232">
        <f>Table1[[#This Row],[UNIT (BUILDING) RATE (SEMI FINISHED)]]+7500</f>
        <v>59892</v>
      </c>
      <c r="AJ796" s="232">
        <f t="shared" si="128"/>
        <v>8120760</v>
      </c>
      <c r="AK796" s="232">
        <f>Table1[[#This Row],[UNIT (BUILDING) RATE (BASIC FINISH)]]*Table1[[#This Row],[Unit Selling Area]]</f>
        <v>8818260</v>
      </c>
      <c r="AL796" s="232">
        <f>Table1[[#This Row],[UNIT (BUILDING) RATE (FULLY FINISH)]]*Table1[[#This Row],[Unit Selling Area]]</f>
        <v>9283260</v>
      </c>
      <c r="AM796" s="232">
        <f t="shared" si="129"/>
        <v>0</v>
      </c>
      <c r="AN796" s="232">
        <f>(AM796+AJ796)*FACTS!$S$2</f>
        <v>690264.60000000009</v>
      </c>
      <c r="AO796" s="101">
        <f>VLOOKUP(S796,FACTS!$A$17:$C$23,3,FALSE)</f>
        <v>2</v>
      </c>
      <c r="AP796" s="232">
        <f>VLOOKUP(AA796,FACTS!$B$2:$J$14,9,FALSE)</f>
        <v>236000</v>
      </c>
      <c r="AQ796" s="232">
        <f>Table1[[#This Row],[PARKING VALUE]]*1</f>
        <v>236000</v>
      </c>
      <c r="AR796" s="232">
        <f t="shared" si="124"/>
        <v>8356760</v>
      </c>
      <c r="AS796" s="440">
        <f>Table1[[#This Row],[TOTAL CARS VALUE]]+Table1[[#This Row],[UNIT (BUILDING) VALUE BASIC FINISHED]]+Table1[[#This Row],[UNIT (GARDEN) VALUE]]</f>
        <v>9054260</v>
      </c>
      <c r="AT796" s="232">
        <f>Table1[[#This Row],[TOTAL CARS VALUE]]+Table1[[#This Row],[UNIT (GARDEN) VALUE]]+Table1[[#This Row],[UNIT (BUILDING) VALUE FULLY FINISHED]]</f>
        <v>9519260</v>
      </c>
      <c r="AU796" s="233">
        <f>VLOOKUP(I796,'C PHASES'!$I$108:$J$110,2,FALSE)</f>
        <v>46569</v>
      </c>
      <c r="AV796" s="233">
        <f>VLOOKUP(AA796,'C PHASES'!$I$113:$J$125,2,FALSE)</f>
        <v>45748</v>
      </c>
    </row>
    <row r="797" spans="1:48" x14ac:dyDescent="0.25">
      <c r="A797" s="235"/>
      <c r="B797" s="227" t="str">
        <f t="shared" si="122"/>
        <v>E</v>
      </c>
      <c r="C797" s="227" t="s">
        <v>72</v>
      </c>
      <c r="D797" s="227" t="s">
        <v>1147</v>
      </c>
      <c r="E797" s="228">
        <v>3</v>
      </c>
      <c r="F797" s="101">
        <v>1</v>
      </c>
      <c r="G797" s="87" t="str">
        <f t="shared" si="130"/>
        <v>E231</v>
      </c>
      <c r="H797" s="87" t="s">
        <v>1294</v>
      </c>
      <c r="I797" s="89" t="str">
        <f>VLOOKUP(C797,'PREMIUM TABLES'!$G$107:$H$149,2,FALSE)</f>
        <v>C3</v>
      </c>
      <c r="J797" s="87">
        <v>131.86000000000001</v>
      </c>
      <c r="K797" s="87">
        <v>143.36493590128677</v>
      </c>
      <c r="L797" s="87">
        <v>161</v>
      </c>
      <c r="O797" s="87" t="s">
        <v>187</v>
      </c>
      <c r="P797" s="87" t="s">
        <v>226</v>
      </c>
      <c r="Q797" s="229" t="s">
        <v>193</v>
      </c>
      <c r="R797" s="87" t="str">
        <f>VLOOKUP(E797,'PREMIUM TABLES'!$F$214:$G$219,2,FALSE)</f>
        <v>THIRD</v>
      </c>
      <c r="S797" s="87" t="str" cm="1">
        <f t="array" ref="S797">IF(AND(L797&gt;0,L797&lt;90),"A",IF(AND(L797&gt;90,L797&lt;123),"B",IF(AND(L797&gt;122,L797&lt;159),"C",IF(AND(L797&gt;159,L797&lt;185),"D",IF(AND(L797&gt;185,L797&lt;230),"E",IF(AND(L797&gt;230,L797&lt;350),"F",NONE))))))</f>
        <v>D</v>
      </c>
      <c r="T797" s="230">
        <f>VLOOKUP(O797,'PREMIUM TABLES'!$G$165:$H$172,2,FALSE)</f>
        <v>0.08</v>
      </c>
      <c r="U797" s="230">
        <f>VLOOKUP(P797,'PREMIUM TABLES'!$G$208:$H$209,2,FALSE)</f>
        <v>0.05</v>
      </c>
      <c r="V797" s="230">
        <f>VLOOKUP(Q797,'PREMIUM TABLES'!$G$175:$H$195,2,FALSE)</f>
        <v>0.3</v>
      </c>
      <c r="W797" s="230">
        <f>VLOOKUP(R797,'PREMIUM TABLES'!$G$214:$H$219,2,FALSE)</f>
        <v>0.15</v>
      </c>
      <c r="X797" s="230">
        <f>VLOOKUP(S797,'PREMIUM TABLES'!$F$199:$H$205,3,FALSE)</f>
        <v>2.5000000000000001E-2</v>
      </c>
      <c r="Y797" s="231">
        <f t="shared" si="125"/>
        <v>0.60499999999999998</v>
      </c>
      <c r="Z797" s="231" t="str" cm="1">
        <f t="array" ref="Z797">IF(AND(Y797&gt;0,Y797&lt;0.5),"C",IF(AND(Y797&gt;=0.5,Y797&lt;0.73),"B",IF(AND(Y797&gt;=0.73,Y797&lt;0.98),"A",NONE)))</f>
        <v>B</v>
      </c>
      <c r="AA797" s="231" t="str">
        <f>VLOOKUP(G797,'ALL (R)'!$N$5:$R$862,5,FALSE)</f>
        <v>R 2</v>
      </c>
      <c r="AB797" s="232">
        <f>VLOOKUP(AA797,FACTS!$B$2:$L$14,10,FALSE)</f>
        <v>43562.499999999993</v>
      </c>
      <c r="AC797" s="232">
        <f>VLOOKUP(AA797,FACTS!$B$2:$L$14,11,FALSE)</f>
        <v>48687.499999999993</v>
      </c>
      <c r="AD797" s="232">
        <f>VLOOKUP(AA797,FACTS!$B$2:$N$14,13,FALSE)</f>
        <v>5125</v>
      </c>
      <c r="AE797" s="232">
        <f t="shared" si="126"/>
        <v>3100.625</v>
      </c>
      <c r="AF797" s="232">
        <f t="shared" si="127"/>
        <v>46663.124999999993</v>
      </c>
      <c r="AG797" s="232">
        <f>AF797*FACTS!$T$2</f>
        <v>15398.831249999997</v>
      </c>
      <c r="AH797" s="232">
        <f>Table1[[#This Row],[UNIT (BUILDING) RATE (SEMI FINISHED)]]+4500</f>
        <v>51163.124999999993</v>
      </c>
      <c r="AI797" s="232">
        <f>Table1[[#This Row],[UNIT (BUILDING) RATE (SEMI FINISHED)]]+7500</f>
        <v>54163.124999999993</v>
      </c>
      <c r="AJ797" s="232">
        <f t="shared" si="128"/>
        <v>7512763.1249999991</v>
      </c>
      <c r="AK797" s="232">
        <f>Table1[[#This Row],[UNIT (BUILDING) RATE (BASIC FINISH)]]*Table1[[#This Row],[Unit Selling Area]]</f>
        <v>8237263.1249999991</v>
      </c>
      <c r="AL797" s="232">
        <f>Table1[[#This Row],[UNIT (BUILDING) RATE (FULLY FINISH)]]*Table1[[#This Row],[Unit Selling Area]]</f>
        <v>8720263.1249999981</v>
      </c>
      <c r="AM797" s="232">
        <f t="shared" si="129"/>
        <v>0</v>
      </c>
      <c r="AN797" s="232">
        <f>(AM797+AJ797)*FACTS!$S$2</f>
        <v>638584.86562499998</v>
      </c>
      <c r="AO797" s="101">
        <f>VLOOKUP(S797,FACTS!$A$17:$C$23,3,FALSE)</f>
        <v>2</v>
      </c>
      <c r="AP797" s="232">
        <f>VLOOKUP(AA797,FACTS!$B$2:$J$14,9,FALSE)</f>
        <v>204999.99999999997</v>
      </c>
      <c r="AQ797" s="232">
        <f>Table1[[#This Row],[PARKING VALUE]]*1</f>
        <v>204999.99999999997</v>
      </c>
      <c r="AR797" s="232">
        <f t="shared" si="124"/>
        <v>7717763.1249999991</v>
      </c>
      <c r="AS797" s="440">
        <f>Table1[[#This Row],[TOTAL CARS VALUE]]+Table1[[#This Row],[UNIT (BUILDING) VALUE BASIC FINISHED]]+Table1[[#This Row],[UNIT (GARDEN) VALUE]]</f>
        <v>8442263.1249999981</v>
      </c>
      <c r="AT797" s="232">
        <f>Table1[[#This Row],[TOTAL CARS VALUE]]+Table1[[#This Row],[UNIT (GARDEN) VALUE]]+Table1[[#This Row],[UNIT (BUILDING) VALUE FULLY FINISHED]]</f>
        <v>8925263.1249999981</v>
      </c>
      <c r="AU797" s="233">
        <f>VLOOKUP(I797,'C PHASES'!$I$108:$J$110,2,FALSE)</f>
        <v>46569</v>
      </c>
      <c r="AV797" s="233">
        <f>VLOOKUP(AA797,'C PHASES'!$I$113:$J$125,2,FALSE)</f>
        <v>45292</v>
      </c>
    </row>
    <row r="798" spans="1:48" x14ac:dyDescent="0.25">
      <c r="A798" s="235"/>
      <c r="B798" s="227" t="str">
        <f t="shared" si="122"/>
        <v>E</v>
      </c>
      <c r="C798" s="227" t="s">
        <v>72</v>
      </c>
      <c r="D798" s="227" t="s">
        <v>1147</v>
      </c>
      <c r="E798" s="228">
        <v>3</v>
      </c>
      <c r="F798" s="101">
        <v>2</v>
      </c>
      <c r="G798" s="87" t="str">
        <f t="shared" si="130"/>
        <v>E232</v>
      </c>
      <c r="H798" s="87" t="s">
        <v>1294</v>
      </c>
      <c r="I798" s="89" t="str">
        <f>VLOOKUP(C798,'PREMIUM TABLES'!$G$107:$H$149,2,FALSE)</f>
        <v>C3</v>
      </c>
      <c r="J798" s="87">
        <v>131.66</v>
      </c>
      <c r="K798" s="87">
        <v>143.14748567240571</v>
      </c>
      <c r="L798" s="87">
        <v>161</v>
      </c>
      <c r="O798" s="87" t="s">
        <v>180</v>
      </c>
      <c r="P798" s="87" t="s">
        <v>226</v>
      </c>
      <c r="Q798" s="229" t="s">
        <v>212</v>
      </c>
      <c r="R798" s="87" t="str">
        <f>VLOOKUP(E798,'PREMIUM TABLES'!$F$214:$G$219,2,FALSE)</f>
        <v>THIRD</v>
      </c>
      <c r="S798" s="87" t="str" cm="1">
        <f t="array" ref="S798">IF(AND(L798&gt;0,L798&lt;90),"A",IF(AND(L798&gt;90,L798&lt;123),"B",IF(AND(L798&gt;122,L798&lt;159),"C",IF(AND(L798&gt;159,L798&lt;185),"D",IF(AND(L798&gt;185,L798&lt;230),"E",IF(AND(L798&gt;230,L798&lt;350),"F",NONE))))))</f>
        <v>D</v>
      </c>
      <c r="T798" s="230">
        <f>VLOOKUP(O798,'PREMIUM TABLES'!$G$165:$H$172,2,FALSE)</f>
        <v>0.13</v>
      </c>
      <c r="U798" s="230">
        <f>VLOOKUP(P798,'PREMIUM TABLES'!$G$208:$H$209,2,FALSE)</f>
        <v>0.05</v>
      </c>
      <c r="V798" s="230">
        <f>VLOOKUP(Q798,'PREMIUM TABLES'!$G$175:$H$195,2,FALSE)</f>
        <v>0.43</v>
      </c>
      <c r="W798" s="230">
        <f>VLOOKUP(R798,'PREMIUM TABLES'!$G$214:$H$219,2,FALSE)</f>
        <v>0.15</v>
      </c>
      <c r="X798" s="230">
        <f>VLOOKUP(S798,'PREMIUM TABLES'!$F$199:$H$205,3,FALSE)</f>
        <v>2.5000000000000001E-2</v>
      </c>
      <c r="Y798" s="231">
        <f t="shared" si="125"/>
        <v>0.78500000000000003</v>
      </c>
      <c r="Z798" s="231" t="str" cm="1">
        <f t="array" ref="Z798">IF(AND(Y798&gt;0,Y798&lt;0.5),"C",IF(AND(Y798&gt;=0.5,Y798&lt;0.73),"B",IF(AND(Y798&gt;=0.73,Y798&lt;0.98),"A",NONE)))</f>
        <v>A</v>
      </c>
      <c r="AA798" s="231" t="str">
        <f>VLOOKUP(G798,'ALL (R)'!$N$5:$R$862,5,FALSE)</f>
        <v>R 12</v>
      </c>
      <c r="AB798" s="232">
        <f>VLOOKUP(AA798,FACTS!$B$2:$L$14,10,FALSE)</f>
        <v>61625</v>
      </c>
      <c r="AC798" s="232">
        <f>VLOOKUP(AA798,FACTS!$B$2:$L$14,11,FALSE)</f>
        <v>68875</v>
      </c>
      <c r="AD798" s="232">
        <f>VLOOKUP(AA798,FACTS!$B$2:$N$14,13,FALSE)</f>
        <v>7250</v>
      </c>
      <c r="AE798" s="232">
        <f t="shared" si="126"/>
        <v>5691.25</v>
      </c>
      <c r="AF798" s="232">
        <f t="shared" si="127"/>
        <v>67316.25</v>
      </c>
      <c r="AG798" s="232">
        <f>AF798*FACTS!$T$2</f>
        <v>22214.362499999999</v>
      </c>
      <c r="AH798" s="232">
        <f>Table1[[#This Row],[UNIT (BUILDING) RATE (SEMI FINISHED)]]+4500</f>
        <v>71816.25</v>
      </c>
      <c r="AI798" s="232">
        <f>Table1[[#This Row],[UNIT (BUILDING) RATE (SEMI FINISHED)]]+7500</f>
        <v>74816.25</v>
      </c>
      <c r="AJ798" s="232">
        <f t="shared" si="128"/>
        <v>10837916.25</v>
      </c>
      <c r="AK798" s="232">
        <f>Table1[[#This Row],[UNIT (BUILDING) RATE (BASIC FINISH)]]*Table1[[#This Row],[Unit Selling Area]]</f>
        <v>11562416.25</v>
      </c>
      <c r="AL798" s="232">
        <f>Table1[[#This Row],[UNIT (BUILDING) RATE (FULLY FINISH)]]*Table1[[#This Row],[Unit Selling Area]]</f>
        <v>12045416.25</v>
      </c>
      <c r="AM798" s="232">
        <f t="shared" si="129"/>
        <v>0</v>
      </c>
      <c r="AN798" s="232">
        <f>(AM798+AJ798)*FACTS!$S$2</f>
        <v>921222.88125000009</v>
      </c>
      <c r="AO798" s="101">
        <f>VLOOKUP(S798,FACTS!$A$17:$C$23,3,FALSE)</f>
        <v>2</v>
      </c>
      <c r="AP798" s="232">
        <f>VLOOKUP(AA798,FACTS!$B$2:$J$14,9,FALSE)</f>
        <v>290000</v>
      </c>
      <c r="AQ798" s="232">
        <f>Table1[[#This Row],[PARKING VALUE]]*1</f>
        <v>290000</v>
      </c>
      <c r="AR798" s="232">
        <f t="shared" si="124"/>
        <v>11127916.25</v>
      </c>
      <c r="AS798" s="440">
        <f>Table1[[#This Row],[TOTAL CARS VALUE]]+Table1[[#This Row],[UNIT (BUILDING) VALUE BASIC FINISHED]]+Table1[[#This Row],[UNIT (GARDEN) VALUE]]</f>
        <v>11852416.25</v>
      </c>
      <c r="AT798" s="232">
        <f>Table1[[#This Row],[TOTAL CARS VALUE]]+Table1[[#This Row],[UNIT (GARDEN) VALUE]]+Table1[[#This Row],[UNIT (BUILDING) VALUE FULLY FINISHED]]</f>
        <v>12335416.25</v>
      </c>
      <c r="AU798" s="233">
        <f>VLOOKUP(I798,'C PHASES'!$I$108:$J$110,2,FALSE)</f>
        <v>46569</v>
      </c>
      <c r="AV798" s="233">
        <f>VLOOKUP(AA798,'C PHASES'!$I$113:$J$125,2,FALSE)</f>
        <v>46204</v>
      </c>
    </row>
    <row r="799" spans="1:48" x14ac:dyDescent="0.25">
      <c r="A799" s="235"/>
      <c r="B799" s="227" t="str">
        <f t="shared" si="122"/>
        <v>E</v>
      </c>
      <c r="C799" s="227" t="s">
        <v>72</v>
      </c>
      <c r="D799" s="227" t="s">
        <v>1147</v>
      </c>
      <c r="E799" s="228">
        <v>3</v>
      </c>
      <c r="F799" s="101">
        <v>3</v>
      </c>
      <c r="G799" s="87" t="str">
        <f t="shared" si="130"/>
        <v>E233</v>
      </c>
      <c r="H799" s="87" t="s">
        <v>1294</v>
      </c>
      <c r="I799" s="89" t="str">
        <f>VLOOKUP(C799,'PREMIUM TABLES'!$G$107:$H$149,2,FALSE)</f>
        <v>C3</v>
      </c>
      <c r="J799" s="87">
        <v>126.88</v>
      </c>
      <c r="K799" s="87">
        <v>137.95042520214821</v>
      </c>
      <c r="L799" s="87">
        <v>155</v>
      </c>
      <c r="O799" s="87" t="s">
        <v>180</v>
      </c>
      <c r="P799" s="87" t="s">
        <v>190</v>
      </c>
      <c r="Q799" s="229" t="s">
        <v>212</v>
      </c>
      <c r="R799" s="87" t="str">
        <f>VLOOKUP(E799,'PREMIUM TABLES'!$F$214:$G$219,2,FALSE)</f>
        <v>THIRD</v>
      </c>
      <c r="S799" s="87" t="str" cm="1">
        <f t="array" ref="S799">IF(AND(L799&gt;0,L799&lt;90),"A",IF(AND(L799&gt;90,L799&lt;123),"B",IF(AND(L799&gt;122,L799&lt;159),"C",IF(AND(L799&gt;159,L799&lt;185),"D",IF(AND(L799&gt;185,L799&lt;230),"E",IF(AND(L799&gt;230,L799&lt;350),"F",NONE))))))</f>
        <v>C</v>
      </c>
      <c r="T799" s="230">
        <f>VLOOKUP(O799,'PREMIUM TABLES'!$G$165:$H$172,2,FALSE)</f>
        <v>0.13</v>
      </c>
      <c r="U799" s="230">
        <f>VLOOKUP(P799,'PREMIUM TABLES'!$G$208:$H$209,2,FALSE)</f>
        <v>2.5000000000000001E-2</v>
      </c>
      <c r="V799" s="230">
        <f>VLOOKUP(Q799,'PREMIUM TABLES'!$G$175:$H$195,2,FALSE)</f>
        <v>0.43</v>
      </c>
      <c r="W799" s="230">
        <f>VLOOKUP(R799,'PREMIUM TABLES'!$G$214:$H$219,2,FALSE)</f>
        <v>0.15</v>
      </c>
      <c r="X799" s="230">
        <f>VLOOKUP(S799,'PREMIUM TABLES'!$F$199:$H$205,3,FALSE)</f>
        <v>3.5000000000000003E-2</v>
      </c>
      <c r="Y799" s="231">
        <f t="shared" si="125"/>
        <v>0.77</v>
      </c>
      <c r="Z799" s="231" t="str" cm="1">
        <f t="array" ref="Z799">IF(AND(Y799&gt;0,Y799&lt;0.5),"C",IF(AND(Y799&gt;=0.5,Y799&lt;0.73),"B",IF(AND(Y799&gt;=0.73,Y799&lt;0.98),"A",NONE)))</f>
        <v>A</v>
      </c>
      <c r="AA799" s="231" t="str">
        <f>VLOOKUP(G799,'ALL (R)'!$N$5:$R$862,5,FALSE)</f>
        <v>R 3</v>
      </c>
      <c r="AB799" s="232">
        <f>VLOOKUP(AA799,FACTS!$B$2:$L$14,10,FALSE)</f>
        <v>44625</v>
      </c>
      <c r="AC799" s="232">
        <f>VLOOKUP(AA799,FACTS!$B$2:$L$14,11,FALSE)</f>
        <v>49875</v>
      </c>
      <c r="AD799" s="232">
        <f>VLOOKUP(AA799,FACTS!$B$2:$N$14,13,FALSE)</f>
        <v>5250</v>
      </c>
      <c r="AE799" s="232">
        <f t="shared" si="126"/>
        <v>4042.5</v>
      </c>
      <c r="AF799" s="232">
        <f t="shared" si="127"/>
        <v>48667.5</v>
      </c>
      <c r="AG799" s="232">
        <f>AF799*FACTS!$T$2</f>
        <v>16060.275000000001</v>
      </c>
      <c r="AH799" s="232">
        <f>Table1[[#This Row],[UNIT (BUILDING) RATE (SEMI FINISHED)]]+4500</f>
        <v>53167.5</v>
      </c>
      <c r="AI799" s="232">
        <f>Table1[[#This Row],[UNIT (BUILDING) RATE (SEMI FINISHED)]]+7500</f>
        <v>56167.5</v>
      </c>
      <c r="AJ799" s="232">
        <f t="shared" si="128"/>
        <v>7543462.5</v>
      </c>
      <c r="AK799" s="232">
        <f>Table1[[#This Row],[UNIT (BUILDING) RATE (BASIC FINISH)]]*Table1[[#This Row],[Unit Selling Area]]</f>
        <v>8240962.5</v>
      </c>
      <c r="AL799" s="232">
        <f>Table1[[#This Row],[UNIT (BUILDING) RATE (FULLY FINISH)]]*Table1[[#This Row],[Unit Selling Area]]</f>
        <v>8705962.5</v>
      </c>
      <c r="AM799" s="232">
        <f t="shared" si="129"/>
        <v>0</v>
      </c>
      <c r="AN799" s="232">
        <f>(AM799+AJ799)*FACTS!$S$2</f>
        <v>641194.3125</v>
      </c>
      <c r="AO799" s="101">
        <f>VLOOKUP(S799,FACTS!$A$17:$C$23,3,FALSE)</f>
        <v>2</v>
      </c>
      <c r="AP799" s="232">
        <f>VLOOKUP(AA799,FACTS!$B$2:$J$14,9,FALSE)</f>
        <v>210000</v>
      </c>
      <c r="AQ799" s="232">
        <f>Table1[[#This Row],[PARKING VALUE]]*1</f>
        <v>210000</v>
      </c>
      <c r="AR799" s="232">
        <f t="shared" si="124"/>
        <v>7753462.5</v>
      </c>
      <c r="AS799" s="440">
        <f>Table1[[#This Row],[TOTAL CARS VALUE]]+Table1[[#This Row],[UNIT (BUILDING) VALUE BASIC FINISHED]]+Table1[[#This Row],[UNIT (GARDEN) VALUE]]</f>
        <v>8450962.5</v>
      </c>
      <c r="AT799" s="232">
        <f>Table1[[#This Row],[TOTAL CARS VALUE]]+Table1[[#This Row],[UNIT (GARDEN) VALUE]]+Table1[[#This Row],[UNIT (BUILDING) VALUE FULLY FINISHED]]</f>
        <v>8915962.5</v>
      </c>
      <c r="AU799" s="233">
        <f>VLOOKUP(I799,'C PHASES'!$I$108:$J$110,2,FALSE)</f>
        <v>46569</v>
      </c>
      <c r="AV799" s="233">
        <f>VLOOKUP(AA799,'C PHASES'!$I$113:$J$125,2,FALSE)</f>
        <v>45383</v>
      </c>
    </row>
    <row r="800" spans="1:48" x14ac:dyDescent="0.25">
      <c r="A800" s="235"/>
      <c r="B800" s="227" t="str">
        <f t="shared" si="122"/>
        <v>E</v>
      </c>
      <c r="C800" s="227" t="s">
        <v>72</v>
      </c>
      <c r="D800" s="227" t="s">
        <v>1147</v>
      </c>
      <c r="E800" s="228">
        <v>3</v>
      </c>
      <c r="F800" s="101">
        <v>4</v>
      </c>
      <c r="G800" s="87" t="str">
        <f t="shared" si="130"/>
        <v>E234</v>
      </c>
      <c r="H800" s="87" t="s">
        <v>1294</v>
      </c>
      <c r="I800" s="89" t="str">
        <f>VLOOKUP(C800,'PREMIUM TABLES'!$G$107:$H$149,2,FALSE)</f>
        <v>C3</v>
      </c>
      <c r="J800" s="87">
        <v>127.15</v>
      </c>
      <c r="K800" s="87">
        <v>138.24398301113769</v>
      </c>
      <c r="L800" s="87">
        <v>155</v>
      </c>
      <c r="O800" s="87" t="s">
        <v>187</v>
      </c>
      <c r="P800" s="87" t="s">
        <v>190</v>
      </c>
      <c r="Q800" s="229" t="s">
        <v>199</v>
      </c>
      <c r="R800" s="87" t="str">
        <f>VLOOKUP(E800,'PREMIUM TABLES'!$F$214:$G$219,2,FALSE)</f>
        <v>THIRD</v>
      </c>
      <c r="S800" s="87" t="str" cm="1">
        <f t="array" ref="S800">IF(AND(L800&gt;0,L800&lt;90),"A",IF(AND(L800&gt;90,L800&lt;123),"B",IF(AND(L800&gt;122,L800&lt;159),"C",IF(AND(L800&gt;159,L800&lt;185),"D",IF(AND(L800&gt;185,L800&lt;230),"E",IF(AND(L800&gt;230,L800&lt;350),"F",NONE))))))</f>
        <v>C</v>
      </c>
      <c r="T800" s="230">
        <f>VLOOKUP(O800,'PREMIUM TABLES'!$G$165:$H$172,2,FALSE)</f>
        <v>0.08</v>
      </c>
      <c r="U800" s="230">
        <f>VLOOKUP(P800,'PREMIUM TABLES'!$G$208:$H$209,2,FALSE)</f>
        <v>2.5000000000000001E-2</v>
      </c>
      <c r="V800" s="230">
        <f>VLOOKUP(Q800,'PREMIUM TABLES'!$G$175:$H$195,2,FALSE)</f>
        <v>0.13</v>
      </c>
      <c r="W800" s="230">
        <f>VLOOKUP(R800,'PREMIUM TABLES'!$G$214:$H$219,2,FALSE)</f>
        <v>0.15</v>
      </c>
      <c r="X800" s="230">
        <f>VLOOKUP(S800,'PREMIUM TABLES'!$F$199:$H$205,3,FALSE)</f>
        <v>3.5000000000000003E-2</v>
      </c>
      <c r="Y800" s="231">
        <f t="shared" si="125"/>
        <v>0.42000000000000004</v>
      </c>
      <c r="Z800" s="231" t="str" cm="1">
        <f t="array" ref="Z800">IF(AND(Y800&gt;0,Y800&lt;0.5),"C",IF(AND(Y800&gt;=0.5,Y800&lt;0.73),"B",IF(AND(Y800&gt;=0.73,Y800&lt;0.98),"A",NONE)))</f>
        <v>C</v>
      </c>
      <c r="AA800" s="231" t="str">
        <f>VLOOKUP(G800,'ALL (R)'!$N$5:$R$862,5,FALSE)</f>
        <v>R 12</v>
      </c>
      <c r="AB800" s="232">
        <f>VLOOKUP(AA800,FACTS!$B$2:$L$14,10,FALSE)</f>
        <v>61625</v>
      </c>
      <c r="AC800" s="232">
        <f>VLOOKUP(AA800,FACTS!$B$2:$L$14,11,FALSE)</f>
        <v>68875</v>
      </c>
      <c r="AD800" s="232">
        <f>VLOOKUP(AA800,FACTS!$B$2:$N$14,13,FALSE)</f>
        <v>7250</v>
      </c>
      <c r="AE800" s="232">
        <f t="shared" si="126"/>
        <v>3045.0000000000005</v>
      </c>
      <c r="AF800" s="232">
        <f t="shared" si="127"/>
        <v>64670</v>
      </c>
      <c r="AG800" s="232">
        <f>AF800*FACTS!$T$2</f>
        <v>21341.100000000002</v>
      </c>
      <c r="AH800" s="232">
        <f>Table1[[#This Row],[UNIT (BUILDING) RATE (SEMI FINISHED)]]+4500</f>
        <v>69170</v>
      </c>
      <c r="AI800" s="232">
        <f>Table1[[#This Row],[UNIT (BUILDING) RATE (SEMI FINISHED)]]+7500</f>
        <v>72170</v>
      </c>
      <c r="AJ800" s="232">
        <f t="shared" si="128"/>
        <v>10023850</v>
      </c>
      <c r="AK800" s="232">
        <f>Table1[[#This Row],[UNIT (BUILDING) RATE (BASIC FINISH)]]*Table1[[#This Row],[Unit Selling Area]]</f>
        <v>10721350</v>
      </c>
      <c r="AL800" s="232">
        <f>Table1[[#This Row],[UNIT (BUILDING) RATE (FULLY FINISH)]]*Table1[[#This Row],[Unit Selling Area]]</f>
        <v>11186350</v>
      </c>
      <c r="AM800" s="232">
        <f t="shared" si="129"/>
        <v>0</v>
      </c>
      <c r="AN800" s="232">
        <f>(AM800+AJ800)*FACTS!$S$2</f>
        <v>852027.25000000012</v>
      </c>
      <c r="AO800" s="101">
        <f>VLOOKUP(S800,FACTS!$A$17:$C$23,3,FALSE)</f>
        <v>2</v>
      </c>
      <c r="AP800" s="232">
        <f>VLOOKUP(AA800,FACTS!$B$2:$J$14,9,FALSE)</f>
        <v>290000</v>
      </c>
      <c r="AQ800" s="232">
        <f>Table1[[#This Row],[PARKING VALUE]]*1</f>
        <v>290000</v>
      </c>
      <c r="AR800" s="232">
        <f t="shared" si="124"/>
        <v>10313850</v>
      </c>
      <c r="AS800" s="440">
        <f>Table1[[#This Row],[TOTAL CARS VALUE]]+Table1[[#This Row],[UNIT (BUILDING) VALUE BASIC FINISHED]]+Table1[[#This Row],[UNIT (GARDEN) VALUE]]</f>
        <v>11011350</v>
      </c>
      <c r="AT800" s="232">
        <f>Table1[[#This Row],[TOTAL CARS VALUE]]+Table1[[#This Row],[UNIT (GARDEN) VALUE]]+Table1[[#This Row],[UNIT (BUILDING) VALUE FULLY FINISHED]]</f>
        <v>11476350</v>
      </c>
      <c r="AU800" s="233">
        <f>VLOOKUP(I800,'C PHASES'!$I$108:$J$110,2,FALSE)</f>
        <v>46569</v>
      </c>
      <c r="AV800" s="233">
        <f>VLOOKUP(AA800,'C PHASES'!$I$113:$J$125,2,FALSE)</f>
        <v>46204</v>
      </c>
    </row>
    <row r="801" spans="1:48" x14ac:dyDescent="0.25">
      <c r="A801" s="235"/>
      <c r="B801" s="227" t="str">
        <f t="shared" si="122"/>
        <v>E</v>
      </c>
      <c r="C801" s="227" t="s">
        <v>72</v>
      </c>
      <c r="D801" s="227" t="s">
        <v>1147</v>
      </c>
      <c r="E801" s="228">
        <v>4</v>
      </c>
      <c r="F801" s="101">
        <v>1</v>
      </c>
      <c r="G801" s="87" t="str">
        <f t="shared" si="130"/>
        <v>E241</v>
      </c>
      <c r="H801" s="87" t="s">
        <v>1294</v>
      </c>
      <c r="I801" s="89" t="str">
        <f>VLOOKUP(C801,'PREMIUM TABLES'!$G$107:$H$149,2,FALSE)</f>
        <v>C3</v>
      </c>
      <c r="J801" s="87">
        <v>129.5</v>
      </c>
      <c r="K801" s="87">
        <v>140.79902320049018</v>
      </c>
      <c r="L801" s="87">
        <v>158</v>
      </c>
      <c r="O801" s="87" t="s">
        <v>187</v>
      </c>
      <c r="P801" s="87" t="s">
        <v>226</v>
      </c>
      <c r="Q801" s="229" t="s">
        <v>193</v>
      </c>
      <c r="R801" s="87" t="str">
        <f>VLOOKUP(E801,'PREMIUM TABLES'!$F$214:$G$219,2,FALSE)</f>
        <v>FORTH</v>
      </c>
      <c r="S801" s="87" t="str" cm="1">
        <f t="array" ref="S801">IF(AND(L801&gt;0,L801&lt;90),"A",IF(AND(L801&gt;90,L801&lt;123),"B",IF(AND(L801&gt;122,L801&lt;159),"C",IF(AND(L801&gt;159,L801&lt;185),"D",IF(AND(L801&gt;185,L801&lt;230),"E",IF(AND(L801&gt;230,L801&lt;350),"F",NONE))))))</f>
        <v>C</v>
      </c>
      <c r="T801" s="230">
        <f>VLOOKUP(O801,'PREMIUM TABLES'!$G$165:$H$172,2,FALSE)</f>
        <v>0.08</v>
      </c>
      <c r="U801" s="230">
        <f>VLOOKUP(P801,'PREMIUM TABLES'!$G$208:$H$209,2,FALSE)</f>
        <v>0.05</v>
      </c>
      <c r="V801" s="230">
        <f>VLOOKUP(Q801,'PREMIUM TABLES'!$G$175:$H$195,2,FALSE)</f>
        <v>0.3</v>
      </c>
      <c r="W801" s="230">
        <f>VLOOKUP(R801,'PREMIUM TABLES'!$G$214:$H$219,2,FALSE)</f>
        <v>0.06</v>
      </c>
      <c r="X801" s="230">
        <f>VLOOKUP(S801,'PREMIUM TABLES'!$F$199:$H$205,3,FALSE)</f>
        <v>3.5000000000000003E-2</v>
      </c>
      <c r="Y801" s="231">
        <f t="shared" si="125"/>
        <v>0.52500000000000002</v>
      </c>
      <c r="Z801" s="231" t="str" cm="1">
        <f t="array" ref="Z801">IF(AND(Y801&gt;0,Y801&lt;0.5),"C",IF(AND(Y801&gt;=0.5,Y801&lt;0.73),"B",IF(AND(Y801&gt;=0.73,Y801&lt;0.98),"A",NONE)))</f>
        <v>B</v>
      </c>
      <c r="AA801" s="231" t="str">
        <f>VLOOKUP(G801,'ALL (R)'!$N$5:$R$862,5,FALSE)</f>
        <v>R 1</v>
      </c>
      <c r="AB801" s="232">
        <f>VLOOKUP(AA801,FACTS!$B$2:$L$14,10,FALSE)</f>
        <v>42500</v>
      </c>
      <c r="AC801" s="232">
        <f>VLOOKUP(AA801,FACTS!$B$2:$L$14,11,FALSE)</f>
        <v>47500</v>
      </c>
      <c r="AD801" s="232">
        <f>VLOOKUP(AA801,FACTS!$B$2:$N$14,13,FALSE)</f>
        <v>5000</v>
      </c>
      <c r="AE801" s="232">
        <f t="shared" si="126"/>
        <v>2625</v>
      </c>
      <c r="AF801" s="232">
        <f t="shared" si="127"/>
        <v>45125</v>
      </c>
      <c r="AG801" s="232">
        <f>AF801*FACTS!$T$2</f>
        <v>14891.25</v>
      </c>
      <c r="AH801" s="232">
        <f>Table1[[#This Row],[UNIT (BUILDING) RATE (SEMI FINISHED)]]+4500</f>
        <v>49625</v>
      </c>
      <c r="AI801" s="232">
        <f>Table1[[#This Row],[UNIT (BUILDING) RATE (SEMI FINISHED)]]+7500</f>
        <v>52625</v>
      </c>
      <c r="AJ801" s="232">
        <f t="shared" si="128"/>
        <v>7129750</v>
      </c>
      <c r="AK801" s="232">
        <f>Table1[[#This Row],[UNIT (BUILDING) RATE (BASIC FINISH)]]*Table1[[#This Row],[Unit Selling Area]]</f>
        <v>7840750</v>
      </c>
      <c r="AL801" s="232">
        <f>Table1[[#This Row],[UNIT (BUILDING) RATE (FULLY FINISH)]]*Table1[[#This Row],[Unit Selling Area]]</f>
        <v>8314750</v>
      </c>
      <c r="AM801" s="232">
        <f t="shared" si="129"/>
        <v>0</v>
      </c>
      <c r="AN801" s="232">
        <f>(AM801+AJ801)*FACTS!$S$2</f>
        <v>606028.75</v>
      </c>
      <c r="AO801" s="101">
        <f>VLOOKUP(S801,FACTS!$A$17:$C$23,3,FALSE)</f>
        <v>2</v>
      </c>
      <c r="AP801" s="232">
        <f>VLOOKUP(AA801,FACTS!$B$2:$J$14,9,FALSE)</f>
        <v>200000</v>
      </c>
      <c r="AQ801" s="232">
        <f>Table1[[#This Row],[PARKING VALUE]]*1</f>
        <v>200000</v>
      </c>
      <c r="AR801" s="232">
        <f t="shared" si="124"/>
        <v>7329750</v>
      </c>
      <c r="AS801" s="440">
        <f>Table1[[#This Row],[TOTAL CARS VALUE]]+Table1[[#This Row],[UNIT (BUILDING) VALUE BASIC FINISHED]]+Table1[[#This Row],[UNIT (GARDEN) VALUE]]</f>
        <v>8040750</v>
      </c>
      <c r="AT801" s="232">
        <f>Table1[[#This Row],[TOTAL CARS VALUE]]+Table1[[#This Row],[UNIT (GARDEN) VALUE]]+Table1[[#This Row],[UNIT (BUILDING) VALUE FULLY FINISHED]]</f>
        <v>8514750</v>
      </c>
      <c r="AU801" s="233">
        <f>VLOOKUP(I801,'C PHASES'!$I$108:$J$110,2,FALSE)</f>
        <v>46569</v>
      </c>
      <c r="AV801" s="233">
        <f>VLOOKUP(AA801,'C PHASES'!$I$113:$J$125,2,FALSE)</f>
        <v>45170</v>
      </c>
    </row>
    <row r="802" spans="1:48" x14ac:dyDescent="0.25">
      <c r="A802" s="235"/>
      <c r="B802" s="227" t="str">
        <f t="shared" si="122"/>
        <v>E</v>
      </c>
      <c r="C802" s="227" t="s">
        <v>72</v>
      </c>
      <c r="D802" s="227" t="s">
        <v>1147</v>
      </c>
      <c r="E802" s="228">
        <v>4</v>
      </c>
      <c r="F802" s="101">
        <v>2</v>
      </c>
      <c r="G802" s="87" t="str">
        <f t="shared" si="130"/>
        <v>E242</v>
      </c>
      <c r="H802" s="87" t="s">
        <v>1294</v>
      </c>
      <c r="I802" s="89" t="str">
        <f>VLOOKUP(C802,'PREMIUM TABLES'!$G$107:$H$149,2,FALSE)</f>
        <v>C3</v>
      </c>
      <c r="J802" s="87">
        <v>131.66</v>
      </c>
      <c r="K802" s="87">
        <v>143.14748567240571</v>
      </c>
      <c r="L802" s="87">
        <v>161</v>
      </c>
      <c r="O802" s="87" t="s">
        <v>180</v>
      </c>
      <c r="P802" s="87" t="s">
        <v>226</v>
      </c>
      <c r="Q802" s="229" t="s">
        <v>212</v>
      </c>
      <c r="R802" s="87" t="str">
        <f>VLOOKUP(E802,'PREMIUM TABLES'!$F$214:$G$219,2,FALSE)</f>
        <v>FORTH</v>
      </c>
      <c r="S802" s="87" t="str" cm="1">
        <f t="array" ref="S802">IF(AND(L802&gt;0,L802&lt;90),"A",IF(AND(L802&gt;90,L802&lt;123),"B",IF(AND(L802&gt;122,L802&lt;159),"C",IF(AND(L802&gt;159,L802&lt;185),"D",IF(AND(L802&gt;185,L802&lt;230),"E",IF(AND(L802&gt;230,L802&lt;350),"F",NONE))))))</f>
        <v>D</v>
      </c>
      <c r="T802" s="230">
        <f>VLOOKUP(O802,'PREMIUM TABLES'!$G$165:$H$172,2,FALSE)</f>
        <v>0.13</v>
      </c>
      <c r="U802" s="230">
        <f>VLOOKUP(P802,'PREMIUM TABLES'!$G$208:$H$209,2,FALSE)</f>
        <v>0.05</v>
      </c>
      <c r="V802" s="230">
        <f>VLOOKUP(Q802,'PREMIUM TABLES'!$G$175:$H$195,2,FALSE)</f>
        <v>0.43</v>
      </c>
      <c r="W802" s="230">
        <f>VLOOKUP(R802,'PREMIUM TABLES'!$G$214:$H$219,2,FALSE)</f>
        <v>0.06</v>
      </c>
      <c r="X802" s="230">
        <f>VLOOKUP(S802,'PREMIUM TABLES'!$F$199:$H$205,3,FALSE)</f>
        <v>2.5000000000000001E-2</v>
      </c>
      <c r="Y802" s="231">
        <f t="shared" si="125"/>
        <v>0.69499999999999995</v>
      </c>
      <c r="Z802" s="231" t="str" cm="1">
        <f t="array" ref="Z802">IF(AND(Y802&gt;0,Y802&lt;0.5),"C",IF(AND(Y802&gt;=0.5,Y802&lt;0.73),"B",IF(AND(Y802&gt;=0.73,Y802&lt;0.98),"A",NONE)))</f>
        <v>B</v>
      </c>
      <c r="AA802" s="231" t="str">
        <f>VLOOKUP(G802,'ALL (R)'!$N$5:$R$862,5,FALSE)</f>
        <v>R 4</v>
      </c>
      <c r="AB802" s="232">
        <f>VLOOKUP(AA802,FACTS!$B$2:$L$14,10,FALSE)</f>
        <v>45687.5</v>
      </c>
      <c r="AC802" s="232">
        <f>VLOOKUP(AA802,FACTS!$B$2:$L$14,11,FALSE)</f>
        <v>51062.5</v>
      </c>
      <c r="AD802" s="232">
        <f>VLOOKUP(AA802,FACTS!$B$2:$N$14,13,FALSE)</f>
        <v>5375</v>
      </c>
      <c r="AE802" s="232">
        <f t="shared" si="126"/>
        <v>3735.6249999999995</v>
      </c>
      <c r="AF802" s="232">
        <f t="shared" si="127"/>
        <v>49423.125</v>
      </c>
      <c r="AG802" s="232">
        <f>AF802*FACTS!$T$2</f>
        <v>16309.63125</v>
      </c>
      <c r="AH802" s="232">
        <f>Table1[[#This Row],[UNIT (BUILDING) RATE (SEMI FINISHED)]]+4500</f>
        <v>53923.125</v>
      </c>
      <c r="AI802" s="232">
        <f>Table1[[#This Row],[UNIT (BUILDING) RATE (SEMI FINISHED)]]+7500</f>
        <v>56923.125</v>
      </c>
      <c r="AJ802" s="232">
        <f t="shared" si="128"/>
        <v>7957123.125</v>
      </c>
      <c r="AK802" s="232">
        <f>Table1[[#This Row],[UNIT (BUILDING) RATE (BASIC FINISH)]]*Table1[[#This Row],[Unit Selling Area]]</f>
        <v>8681623.125</v>
      </c>
      <c r="AL802" s="232">
        <f>Table1[[#This Row],[UNIT (BUILDING) RATE (FULLY FINISH)]]*Table1[[#This Row],[Unit Selling Area]]</f>
        <v>9164623.125</v>
      </c>
      <c r="AM802" s="232">
        <f t="shared" si="129"/>
        <v>0</v>
      </c>
      <c r="AN802" s="232">
        <f>(AM802+AJ802)*FACTS!$S$2</f>
        <v>676355.46562500007</v>
      </c>
      <c r="AO802" s="101">
        <f>VLOOKUP(S802,FACTS!$A$17:$C$23,3,FALSE)</f>
        <v>2</v>
      </c>
      <c r="AP802" s="232">
        <f>VLOOKUP(AA802,FACTS!$B$2:$J$14,9,FALSE)</f>
        <v>215000</v>
      </c>
      <c r="AQ802" s="232">
        <f>Table1[[#This Row],[PARKING VALUE]]*1</f>
        <v>215000</v>
      </c>
      <c r="AR802" s="232">
        <f t="shared" si="124"/>
        <v>8172123.125</v>
      </c>
      <c r="AS802" s="440">
        <f>Table1[[#This Row],[TOTAL CARS VALUE]]+Table1[[#This Row],[UNIT (BUILDING) VALUE BASIC FINISHED]]+Table1[[#This Row],[UNIT (GARDEN) VALUE]]</f>
        <v>8896623.125</v>
      </c>
      <c r="AT802" s="232">
        <f>Table1[[#This Row],[TOTAL CARS VALUE]]+Table1[[#This Row],[UNIT (GARDEN) VALUE]]+Table1[[#This Row],[UNIT (BUILDING) VALUE FULLY FINISHED]]</f>
        <v>9379623.125</v>
      </c>
      <c r="AU802" s="233">
        <f>VLOOKUP(I802,'C PHASES'!$I$108:$J$110,2,FALSE)</f>
        <v>46569</v>
      </c>
      <c r="AV802" s="233">
        <f>VLOOKUP(AA802,'C PHASES'!$I$113:$J$125,2,FALSE)</f>
        <v>45474</v>
      </c>
    </row>
    <row r="803" spans="1:48" x14ac:dyDescent="0.25">
      <c r="A803" s="235"/>
      <c r="B803" s="227" t="str">
        <f t="shared" si="122"/>
        <v>E</v>
      </c>
      <c r="C803" s="227" t="s">
        <v>72</v>
      </c>
      <c r="D803" s="227" t="s">
        <v>1147</v>
      </c>
      <c r="E803" s="228">
        <v>4</v>
      </c>
      <c r="F803" s="101">
        <v>3</v>
      </c>
      <c r="G803" s="87" t="str">
        <f t="shared" si="130"/>
        <v>E243</v>
      </c>
      <c r="H803" s="87" t="s">
        <v>1294</v>
      </c>
      <c r="I803" s="89" t="str">
        <f>VLOOKUP(C803,'PREMIUM TABLES'!$G$107:$H$149,2,FALSE)</f>
        <v>C3</v>
      </c>
      <c r="J803" s="87">
        <v>126.88</v>
      </c>
      <c r="K803" s="87">
        <v>137.95042520214821</v>
      </c>
      <c r="L803" s="87">
        <v>155</v>
      </c>
      <c r="O803" s="87" t="s">
        <v>180</v>
      </c>
      <c r="P803" s="87" t="s">
        <v>190</v>
      </c>
      <c r="Q803" s="229" t="s">
        <v>212</v>
      </c>
      <c r="R803" s="87" t="str">
        <f>VLOOKUP(E803,'PREMIUM TABLES'!$F$214:$G$219,2,FALSE)</f>
        <v>FORTH</v>
      </c>
      <c r="S803" s="87" t="str" cm="1">
        <f t="array" ref="S803">IF(AND(L803&gt;0,L803&lt;90),"A",IF(AND(L803&gt;90,L803&lt;123),"B",IF(AND(L803&gt;122,L803&lt;159),"C",IF(AND(L803&gt;159,L803&lt;185),"D",IF(AND(L803&gt;185,L803&lt;230),"E",IF(AND(L803&gt;230,L803&lt;350),"F",NONE))))))</f>
        <v>C</v>
      </c>
      <c r="T803" s="230">
        <f>VLOOKUP(O803,'PREMIUM TABLES'!$G$165:$H$172,2,FALSE)</f>
        <v>0.13</v>
      </c>
      <c r="U803" s="230">
        <f>VLOOKUP(P803,'PREMIUM TABLES'!$G$208:$H$209,2,FALSE)</f>
        <v>2.5000000000000001E-2</v>
      </c>
      <c r="V803" s="230">
        <f>VLOOKUP(Q803,'PREMIUM TABLES'!$G$175:$H$195,2,FALSE)</f>
        <v>0.43</v>
      </c>
      <c r="W803" s="230">
        <f>VLOOKUP(R803,'PREMIUM TABLES'!$G$214:$H$219,2,FALSE)</f>
        <v>0.06</v>
      </c>
      <c r="X803" s="230">
        <f>VLOOKUP(S803,'PREMIUM TABLES'!$F$199:$H$205,3,FALSE)</f>
        <v>3.5000000000000003E-2</v>
      </c>
      <c r="Y803" s="231">
        <f t="shared" si="125"/>
        <v>0.68</v>
      </c>
      <c r="Z803" s="231" t="str" cm="1">
        <f t="array" ref="Z803">IF(AND(Y803&gt;0,Y803&lt;0.5),"C",IF(AND(Y803&gt;=0.5,Y803&lt;0.73),"B",IF(AND(Y803&gt;=0.73,Y803&lt;0.98),"A",NONE)))</f>
        <v>B</v>
      </c>
      <c r="AA803" s="231" t="str">
        <f>VLOOKUP(G803,'ALL (R)'!$N$5:$R$862,5,FALSE)</f>
        <v>R 7</v>
      </c>
      <c r="AB803" s="232">
        <f>VLOOKUP(AA803,FACTS!$B$2:$L$14,10,FALSE)</f>
        <v>50150</v>
      </c>
      <c r="AC803" s="232">
        <f>VLOOKUP(AA803,FACTS!$B$2:$L$14,11,FALSE)</f>
        <v>56050</v>
      </c>
      <c r="AD803" s="232">
        <f>VLOOKUP(AA803,FACTS!$B$2:$N$14,13,FALSE)</f>
        <v>5900</v>
      </c>
      <c r="AE803" s="232">
        <f t="shared" si="126"/>
        <v>4012.0000000000005</v>
      </c>
      <c r="AF803" s="232">
        <f t="shared" si="127"/>
        <v>54162</v>
      </c>
      <c r="AG803" s="232">
        <f>AF803*FACTS!$T$2</f>
        <v>17873.46</v>
      </c>
      <c r="AH803" s="232">
        <f>Table1[[#This Row],[UNIT (BUILDING) RATE (SEMI FINISHED)]]+4500</f>
        <v>58662</v>
      </c>
      <c r="AI803" s="232">
        <f>Table1[[#This Row],[UNIT (BUILDING) RATE (SEMI FINISHED)]]+7500</f>
        <v>61662</v>
      </c>
      <c r="AJ803" s="232">
        <f t="shared" si="128"/>
        <v>8395110</v>
      </c>
      <c r="AK803" s="232">
        <f>Table1[[#This Row],[UNIT (BUILDING) RATE (BASIC FINISH)]]*Table1[[#This Row],[Unit Selling Area]]</f>
        <v>9092610</v>
      </c>
      <c r="AL803" s="232">
        <f>Table1[[#This Row],[UNIT (BUILDING) RATE (FULLY FINISH)]]*Table1[[#This Row],[Unit Selling Area]]</f>
        <v>9557610</v>
      </c>
      <c r="AM803" s="232">
        <f t="shared" si="129"/>
        <v>0</v>
      </c>
      <c r="AN803" s="232">
        <f>(AM803+AJ803)*FACTS!$S$2</f>
        <v>713584.35000000009</v>
      </c>
      <c r="AO803" s="101">
        <f>VLOOKUP(S803,FACTS!$A$17:$C$23,3,FALSE)</f>
        <v>2</v>
      </c>
      <c r="AP803" s="232">
        <f>VLOOKUP(AA803,FACTS!$B$2:$J$14,9,FALSE)</f>
        <v>236000</v>
      </c>
      <c r="AQ803" s="232">
        <f>Table1[[#This Row],[PARKING VALUE]]*1</f>
        <v>236000</v>
      </c>
      <c r="AR803" s="232">
        <f t="shared" si="124"/>
        <v>8631110</v>
      </c>
      <c r="AS803" s="440">
        <f>Table1[[#This Row],[TOTAL CARS VALUE]]+Table1[[#This Row],[UNIT (BUILDING) VALUE BASIC FINISHED]]+Table1[[#This Row],[UNIT (GARDEN) VALUE]]</f>
        <v>9328610</v>
      </c>
      <c r="AT803" s="232">
        <f>Table1[[#This Row],[TOTAL CARS VALUE]]+Table1[[#This Row],[UNIT (GARDEN) VALUE]]+Table1[[#This Row],[UNIT (BUILDING) VALUE FULLY FINISHED]]</f>
        <v>9793610</v>
      </c>
      <c r="AU803" s="233">
        <f>VLOOKUP(I803,'C PHASES'!$I$108:$J$110,2,FALSE)</f>
        <v>46569</v>
      </c>
      <c r="AV803" s="233">
        <f>VLOOKUP(AA803,'C PHASES'!$I$113:$J$125,2,FALSE)</f>
        <v>45748</v>
      </c>
    </row>
    <row r="804" spans="1:48" x14ac:dyDescent="0.25">
      <c r="A804" s="235"/>
      <c r="B804" s="227" t="str">
        <f t="shared" si="122"/>
        <v>E</v>
      </c>
      <c r="C804" s="227" t="s">
        <v>72</v>
      </c>
      <c r="D804" s="227" t="s">
        <v>1147</v>
      </c>
      <c r="E804" s="228">
        <v>4</v>
      </c>
      <c r="F804" s="101">
        <v>4</v>
      </c>
      <c r="G804" s="87" t="str">
        <f t="shared" si="130"/>
        <v>E244</v>
      </c>
      <c r="H804" s="87" t="s">
        <v>1294</v>
      </c>
      <c r="I804" s="89" t="str">
        <f>VLOOKUP(C804,'PREMIUM TABLES'!$G$107:$H$149,2,FALSE)</f>
        <v>C3</v>
      </c>
      <c r="J804" s="87">
        <v>125.09</v>
      </c>
      <c r="K804" s="87">
        <v>136.00424565366268</v>
      </c>
      <c r="L804" s="87">
        <v>153</v>
      </c>
      <c r="O804" s="87" t="s">
        <v>187</v>
      </c>
      <c r="P804" s="87" t="s">
        <v>190</v>
      </c>
      <c r="Q804" s="229" t="s">
        <v>199</v>
      </c>
      <c r="R804" s="87" t="str">
        <f>VLOOKUP(E804,'PREMIUM TABLES'!$F$214:$G$219,2,FALSE)</f>
        <v>FORTH</v>
      </c>
      <c r="S804" s="87" t="str" cm="1">
        <f t="array" ref="S804">IF(AND(L804&gt;0,L804&lt;90),"A",IF(AND(L804&gt;90,L804&lt;123),"B",IF(AND(L804&gt;122,L804&lt;159),"C",IF(AND(L804&gt;159,L804&lt;185),"D",IF(AND(L804&gt;185,L804&lt;230),"E",IF(AND(L804&gt;230,L804&lt;350),"F",NONE))))))</f>
        <v>C</v>
      </c>
      <c r="T804" s="230">
        <f>VLOOKUP(O804,'PREMIUM TABLES'!$G$165:$H$172,2,FALSE)</f>
        <v>0.08</v>
      </c>
      <c r="U804" s="230">
        <f>VLOOKUP(P804,'PREMIUM TABLES'!$G$208:$H$209,2,FALSE)</f>
        <v>2.5000000000000001E-2</v>
      </c>
      <c r="V804" s="230">
        <f>VLOOKUP(Q804,'PREMIUM TABLES'!$G$175:$H$195,2,FALSE)</f>
        <v>0.13</v>
      </c>
      <c r="W804" s="230">
        <f>VLOOKUP(R804,'PREMIUM TABLES'!$G$214:$H$219,2,FALSE)</f>
        <v>0.06</v>
      </c>
      <c r="X804" s="230">
        <f>VLOOKUP(S804,'PREMIUM TABLES'!$F$199:$H$205,3,FALSE)</f>
        <v>3.5000000000000003E-2</v>
      </c>
      <c r="Y804" s="231">
        <f t="shared" si="125"/>
        <v>0.33000000000000007</v>
      </c>
      <c r="Z804" s="231" t="str" cm="1">
        <f t="array" ref="Z804">IF(AND(Y804&gt;0,Y804&lt;0.5),"C",IF(AND(Y804&gt;=0.5,Y804&lt;0.73),"B",IF(AND(Y804&gt;=0.73,Y804&lt;0.98),"A",NONE)))</f>
        <v>C</v>
      </c>
      <c r="AA804" s="231" t="str">
        <f>VLOOKUP(G804,'ALL (R)'!$N$5:$R$862,5,FALSE)</f>
        <v>R 3</v>
      </c>
      <c r="AB804" s="232">
        <f>VLOOKUP(AA804,FACTS!$B$2:$L$14,10,FALSE)</f>
        <v>44625</v>
      </c>
      <c r="AC804" s="232">
        <f>VLOOKUP(AA804,FACTS!$B$2:$L$14,11,FALSE)</f>
        <v>49875</v>
      </c>
      <c r="AD804" s="232">
        <f>VLOOKUP(AA804,FACTS!$B$2:$N$14,13,FALSE)</f>
        <v>5250</v>
      </c>
      <c r="AE804" s="232">
        <f t="shared" si="126"/>
        <v>1732.5000000000005</v>
      </c>
      <c r="AF804" s="232">
        <f t="shared" si="127"/>
        <v>46357.5</v>
      </c>
      <c r="AG804" s="232">
        <f>AF804*FACTS!$T$2</f>
        <v>15297.975</v>
      </c>
      <c r="AH804" s="232">
        <f>Table1[[#This Row],[UNIT (BUILDING) RATE (SEMI FINISHED)]]+4500</f>
        <v>50857.5</v>
      </c>
      <c r="AI804" s="232">
        <f>Table1[[#This Row],[UNIT (BUILDING) RATE (SEMI FINISHED)]]+7500</f>
        <v>53857.5</v>
      </c>
      <c r="AJ804" s="232">
        <f t="shared" si="128"/>
        <v>7092697.5</v>
      </c>
      <c r="AK804" s="232">
        <f>Table1[[#This Row],[UNIT (BUILDING) RATE (BASIC FINISH)]]*Table1[[#This Row],[Unit Selling Area]]</f>
        <v>7781197.5</v>
      </c>
      <c r="AL804" s="232">
        <f>Table1[[#This Row],[UNIT (BUILDING) RATE (FULLY FINISH)]]*Table1[[#This Row],[Unit Selling Area]]</f>
        <v>8240197.5</v>
      </c>
      <c r="AM804" s="232">
        <f t="shared" si="129"/>
        <v>0</v>
      </c>
      <c r="AN804" s="232">
        <f>(AM804+AJ804)*FACTS!$S$2</f>
        <v>602879.28750000009</v>
      </c>
      <c r="AO804" s="101">
        <f>VLOOKUP(S804,FACTS!$A$17:$C$23,3,FALSE)</f>
        <v>2</v>
      </c>
      <c r="AP804" s="232">
        <f>VLOOKUP(AA804,FACTS!$B$2:$J$14,9,FALSE)</f>
        <v>210000</v>
      </c>
      <c r="AQ804" s="232">
        <f>Table1[[#This Row],[PARKING VALUE]]*1</f>
        <v>210000</v>
      </c>
      <c r="AR804" s="232">
        <f t="shared" si="124"/>
        <v>7302697.5</v>
      </c>
      <c r="AS804" s="440">
        <f>Table1[[#This Row],[TOTAL CARS VALUE]]+Table1[[#This Row],[UNIT (BUILDING) VALUE BASIC FINISHED]]+Table1[[#This Row],[UNIT (GARDEN) VALUE]]</f>
        <v>7991197.5</v>
      </c>
      <c r="AT804" s="232">
        <f>Table1[[#This Row],[TOTAL CARS VALUE]]+Table1[[#This Row],[UNIT (GARDEN) VALUE]]+Table1[[#This Row],[UNIT (BUILDING) VALUE FULLY FINISHED]]</f>
        <v>8450197.5</v>
      </c>
      <c r="AU804" s="233">
        <f>VLOOKUP(I804,'C PHASES'!$I$108:$J$110,2,FALSE)</f>
        <v>46569</v>
      </c>
      <c r="AV804" s="233">
        <f>VLOOKUP(AA804,'C PHASES'!$I$113:$J$125,2,FALSE)</f>
        <v>45383</v>
      </c>
    </row>
    <row r="805" spans="1:48" ht="21.75" x14ac:dyDescent="0.25">
      <c r="A805" s="235" t="s">
        <v>38</v>
      </c>
      <c r="B805" s="227" t="str">
        <f t="shared" si="122"/>
        <v>E</v>
      </c>
      <c r="C805" s="227" t="s">
        <v>78</v>
      </c>
      <c r="D805" s="227" t="s">
        <v>1147</v>
      </c>
      <c r="E805" s="228">
        <v>0</v>
      </c>
      <c r="F805" s="101">
        <v>1</v>
      </c>
      <c r="G805" s="87" t="str">
        <f>LEFT(C805,2)&amp;E805&amp;F805</f>
        <v>E301</v>
      </c>
      <c r="H805" s="87" t="s">
        <v>1293</v>
      </c>
      <c r="I805" s="89" t="str">
        <f>VLOOKUP(C805,'PREMIUM TABLES'!$G$107:$H$149,2,FALSE)</f>
        <v>C3</v>
      </c>
      <c r="J805" s="87">
        <v>87.23</v>
      </c>
      <c r="K805" s="87">
        <v>94.72160516317075</v>
      </c>
      <c r="L805" s="87">
        <v>106</v>
      </c>
      <c r="M805" s="87">
        <v>73.757099999999994</v>
      </c>
      <c r="O805" s="87" t="s">
        <v>180</v>
      </c>
      <c r="P805" s="87" t="s">
        <v>190</v>
      </c>
      <c r="Q805" s="229" t="s">
        <v>198</v>
      </c>
      <c r="R805" s="87" t="str">
        <f>VLOOKUP(E805,'PREMIUM TABLES'!$F$214:$G$219,2,FALSE)</f>
        <v>GROUND</v>
      </c>
      <c r="S805" s="87" t="str" cm="1">
        <f t="array" ref="S805">IF(AND(L805&gt;0,L805&lt;90),"A",IF(AND(L805&gt;90,L805&lt;123),"B",IF(AND(L805&gt;122,L805&lt;159),"C",IF(AND(L805&gt;159,L805&lt;185),"D",IF(AND(L805&gt;185,L805&lt;230),"E",IF(AND(L805&gt;230,L805&lt;350),"F",NONE))))))</f>
        <v>B</v>
      </c>
      <c r="T805" s="230">
        <f>VLOOKUP(O805,'PREMIUM TABLES'!$G$165:$H$172,2,FALSE)</f>
        <v>0.13</v>
      </c>
      <c r="U805" s="230">
        <f>VLOOKUP(P805,'PREMIUM TABLES'!$G$208:$H$209,2,FALSE)</f>
        <v>2.5000000000000001E-2</v>
      </c>
      <c r="V805" s="230">
        <f>VLOOKUP(Q805,'PREMIUM TABLES'!$G$175:$H$195,2,FALSE)</f>
        <v>0.15</v>
      </c>
      <c r="W805" s="230">
        <f>VLOOKUP(R805,'PREMIUM TABLES'!$G$214:$H$219,2,FALSE)</f>
        <v>0.05</v>
      </c>
      <c r="X805" s="230">
        <f>VLOOKUP(S805,'PREMIUM TABLES'!$F$199:$H$205,3,FALSE)</f>
        <v>0.04</v>
      </c>
      <c r="Y805" s="231">
        <f t="shared" si="125"/>
        <v>0.39499999999999996</v>
      </c>
      <c r="Z805" s="231" t="str" cm="1">
        <f t="array" ref="Z805">IF(AND(Y805&gt;0,Y805&lt;0.5),"C",IF(AND(Y805&gt;=0.5,Y805&lt;0.73),"B",IF(AND(Y805&gt;=0.73,Y805&lt;0.98),"A",NONE)))</f>
        <v>C</v>
      </c>
      <c r="AA805" s="231" t="str">
        <f>VLOOKUP(G805,'ALL (R)'!$N$5:$R$862,5,FALSE)</f>
        <v>R 4</v>
      </c>
      <c r="AB805" s="232">
        <f>VLOOKUP(AA805,FACTS!$B$2:$L$14,10,FALSE)</f>
        <v>45687.5</v>
      </c>
      <c r="AC805" s="232">
        <f>VLOOKUP(AA805,FACTS!$B$2:$L$14,11,FALSE)</f>
        <v>51062.5</v>
      </c>
      <c r="AD805" s="232">
        <f>VLOOKUP(AA805,FACTS!$B$2:$N$14,13,FALSE)</f>
        <v>5375</v>
      </c>
      <c r="AE805" s="232">
        <f t="shared" si="126"/>
        <v>2123.125</v>
      </c>
      <c r="AF805" s="232">
        <f t="shared" si="127"/>
        <v>47810.625</v>
      </c>
      <c r="AG805" s="232">
        <f>AF805*FACTS!$T$2</f>
        <v>15777.50625</v>
      </c>
      <c r="AH805" s="232">
        <f>Table1[[#This Row],[UNIT (BUILDING) RATE (SEMI FINISHED)]]+4500</f>
        <v>52310.625</v>
      </c>
      <c r="AI805" s="232">
        <f>Table1[[#This Row],[UNIT (BUILDING) RATE (SEMI FINISHED)]]+7500</f>
        <v>55310.625</v>
      </c>
      <c r="AJ805" s="232">
        <f t="shared" si="128"/>
        <v>5067926.25</v>
      </c>
      <c r="AK805" s="232">
        <f>Table1[[#This Row],[UNIT (BUILDING) RATE (BASIC FINISH)]]*Table1[[#This Row],[Unit Selling Area]]</f>
        <v>5544926.25</v>
      </c>
      <c r="AL805" s="232">
        <f>Table1[[#This Row],[UNIT (BUILDING) RATE (FULLY FINISH)]]*Table1[[#This Row],[Unit Selling Area]]</f>
        <v>5862926.25</v>
      </c>
      <c r="AM805" s="232">
        <f t="shared" si="129"/>
        <v>1163703.106231875</v>
      </c>
      <c r="AN805" s="232">
        <f>(AM805+AJ805)*FACTS!$S$2</f>
        <v>529688.49527970934</v>
      </c>
      <c r="AO805" s="101">
        <f>VLOOKUP(S805,FACTS!$A$17:$C$23,3,FALSE)</f>
        <v>1</v>
      </c>
      <c r="AP805" s="232">
        <f>VLOOKUP(AA805,FACTS!$B$2:$J$14,9,FALSE)</f>
        <v>215000</v>
      </c>
      <c r="AQ805" s="232">
        <f>Table1[[#This Row],[PARKING VALUE]]*1</f>
        <v>215000</v>
      </c>
      <c r="AR805" s="232">
        <f t="shared" si="124"/>
        <v>6446629.3562318748</v>
      </c>
      <c r="AS805" s="440">
        <f>Table1[[#This Row],[TOTAL CARS VALUE]]+Table1[[#This Row],[UNIT (BUILDING) VALUE BASIC FINISHED]]+Table1[[#This Row],[UNIT (GARDEN) VALUE]]</f>
        <v>6923629.3562318748</v>
      </c>
      <c r="AT805" s="232">
        <f>Table1[[#This Row],[TOTAL CARS VALUE]]+Table1[[#This Row],[UNIT (GARDEN) VALUE]]+Table1[[#This Row],[UNIT (BUILDING) VALUE FULLY FINISHED]]</f>
        <v>7241629.3562318748</v>
      </c>
      <c r="AU805" s="233">
        <f>VLOOKUP(I805,'C PHASES'!$I$108:$J$110,2,FALSE)</f>
        <v>46569</v>
      </c>
      <c r="AV805" s="233">
        <f>VLOOKUP(AA805,'C PHASES'!$I$113:$J$125,2,FALSE)</f>
        <v>45474</v>
      </c>
    </row>
    <row r="806" spans="1:48" x14ac:dyDescent="0.25">
      <c r="A806" s="235"/>
      <c r="B806" s="227" t="str">
        <f t="shared" si="122"/>
        <v>E</v>
      </c>
      <c r="C806" s="227" t="s">
        <v>78</v>
      </c>
      <c r="D806" s="227" t="s">
        <v>1147</v>
      </c>
      <c r="E806" s="228">
        <v>0</v>
      </c>
      <c r="F806" s="101">
        <v>2</v>
      </c>
      <c r="G806" s="87" t="str">
        <f t="shared" ref="G806:G824" si="131">LEFT(C806,2)&amp;E806&amp;F806</f>
        <v>E302</v>
      </c>
      <c r="H806" s="87" t="s">
        <v>1294</v>
      </c>
      <c r="I806" s="89" t="str">
        <f>VLOOKUP(C806,'PREMIUM TABLES'!$G$107:$H$149,2,FALSE)</f>
        <v>C3</v>
      </c>
      <c r="J806" s="87">
        <v>125.09</v>
      </c>
      <c r="K806" s="87">
        <v>135.83314902970341</v>
      </c>
      <c r="L806" s="87">
        <v>153</v>
      </c>
      <c r="M806" s="87">
        <v>85.619500000000002</v>
      </c>
      <c r="O806" s="87" t="s">
        <v>187</v>
      </c>
      <c r="P806" s="87" t="s">
        <v>190</v>
      </c>
      <c r="Q806" s="229" t="s">
        <v>212</v>
      </c>
      <c r="R806" s="87" t="str">
        <f>VLOOKUP(E806,'PREMIUM TABLES'!$F$214:$G$219,2,FALSE)</f>
        <v>GROUND</v>
      </c>
      <c r="S806" s="87" t="str" cm="1">
        <f t="array" ref="S806">IF(AND(L806&gt;0,L806&lt;90),"A",IF(AND(L806&gt;90,L806&lt;123),"B",IF(AND(L806&gt;122,L806&lt;159),"C",IF(AND(L806&gt;159,L806&lt;185),"D",IF(AND(L806&gt;185,L806&lt;230),"E",IF(AND(L806&gt;230,L806&lt;350),"F",NONE))))))</f>
        <v>C</v>
      </c>
      <c r="T806" s="230">
        <f>VLOOKUP(O806,'PREMIUM TABLES'!$G$165:$H$172,2,FALSE)</f>
        <v>0.08</v>
      </c>
      <c r="U806" s="230">
        <f>VLOOKUP(P806,'PREMIUM TABLES'!$G$208:$H$209,2,FALSE)</f>
        <v>2.5000000000000001E-2</v>
      </c>
      <c r="V806" s="230">
        <f>VLOOKUP(Q806,'PREMIUM TABLES'!$G$175:$H$195,2,FALSE)</f>
        <v>0.43</v>
      </c>
      <c r="W806" s="230">
        <f>VLOOKUP(R806,'PREMIUM TABLES'!$G$214:$H$219,2,FALSE)</f>
        <v>0.05</v>
      </c>
      <c r="X806" s="230">
        <f>VLOOKUP(S806,'PREMIUM TABLES'!$F$199:$H$205,3,FALSE)</f>
        <v>3.5000000000000003E-2</v>
      </c>
      <c r="Y806" s="231">
        <f t="shared" si="125"/>
        <v>0.62000000000000011</v>
      </c>
      <c r="Z806" s="231" t="str" cm="1">
        <f t="array" ref="Z806">IF(AND(Y806&gt;0,Y806&lt;0.5),"C",IF(AND(Y806&gt;=0.5,Y806&lt;0.73),"B",IF(AND(Y806&gt;=0.73,Y806&lt;0.98),"A",NONE)))</f>
        <v>B</v>
      </c>
      <c r="AA806" s="231" t="str">
        <f>VLOOKUP(G806,'ALL (R)'!$N$5:$R$862,5,FALSE)</f>
        <v>R 3</v>
      </c>
      <c r="AB806" s="232">
        <f>VLOOKUP(AA806,FACTS!$B$2:$L$14,10,FALSE)</f>
        <v>44625</v>
      </c>
      <c r="AC806" s="232">
        <f>VLOOKUP(AA806,FACTS!$B$2:$L$14,11,FALSE)</f>
        <v>49875</v>
      </c>
      <c r="AD806" s="232">
        <f>VLOOKUP(AA806,FACTS!$B$2:$N$14,13,FALSE)</f>
        <v>5250</v>
      </c>
      <c r="AE806" s="232">
        <f t="shared" si="126"/>
        <v>3255.0000000000005</v>
      </c>
      <c r="AF806" s="232">
        <f t="shared" si="127"/>
        <v>47880</v>
      </c>
      <c r="AG806" s="232">
        <f>AF806*FACTS!$T$2</f>
        <v>15800.400000000001</v>
      </c>
      <c r="AH806" s="232">
        <f>Table1[[#This Row],[UNIT (BUILDING) RATE (SEMI FINISHED)]]+4500</f>
        <v>52380</v>
      </c>
      <c r="AI806" s="232">
        <f>Table1[[#This Row],[UNIT (BUILDING) RATE (SEMI FINISHED)]]+7500</f>
        <v>55380</v>
      </c>
      <c r="AJ806" s="232">
        <f t="shared" si="128"/>
        <v>7325640</v>
      </c>
      <c r="AK806" s="232">
        <f>Table1[[#This Row],[UNIT (BUILDING) RATE (BASIC FINISH)]]*Table1[[#This Row],[Unit Selling Area]]</f>
        <v>8014140</v>
      </c>
      <c r="AL806" s="232">
        <f>Table1[[#This Row],[UNIT (BUILDING) RATE (FULLY FINISH)]]*Table1[[#This Row],[Unit Selling Area]]</f>
        <v>8473140</v>
      </c>
      <c r="AM806" s="232">
        <f t="shared" si="129"/>
        <v>1352822.3478000001</v>
      </c>
      <c r="AN806" s="232">
        <f>(AM806+AJ806)*FACTS!$S$2</f>
        <v>737669.29956299998</v>
      </c>
      <c r="AO806" s="101">
        <f>VLOOKUP(S806,FACTS!$A$17:$C$23,3,FALSE)</f>
        <v>2</v>
      </c>
      <c r="AP806" s="232">
        <f>VLOOKUP(AA806,FACTS!$B$2:$J$14,9,FALSE)</f>
        <v>210000</v>
      </c>
      <c r="AQ806" s="232">
        <f>Table1[[#This Row],[PARKING VALUE]]*1</f>
        <v>210000</v>
      </c>
      <c r="AR806" s="232">
        <f t="shared" si="124"/>
        <v>8888462.3477999996</v>
      </c>
      <c r="AS806" s="440">
        <f>Table1[[#This Row],[TOTAL CARS VALUE]]+Table1[[#This Row],[UNIT (BUILDING) VALUE BASIC FINISHED]]+Table1[[#This Row],[UNIT (GARDEN) VALUE]]</f>
        <v>9576962.3477999996</v>
      </c>
      <c r="AT806" s="232">
        <f>Table1[[#This Row],[TOTAL CARS VALUE]]+Table1[[#This Row],[UNIT (GARDEN) VALUE]]+Table1[[#This Row],[UNIT (BUILDING) VALUE FULLY FINISHED]]</f>
        <v>10035962.3478</v>
      </c>
      <c r="AU806" s="233">
        <f>VLOOKUP(I806,'C PHASES'!$I$108:$J$110,2,FALSE)</f>
        <v>46569</v>
      </c>
      <c r="AV806" s="233">
        <f>VLOOKUP(AA806,'C PHASES'!$I$113:$J$125,2,FALSE)</f>
        <v>45383</v>
      </c>
    </row>
    <row r="807" spans="1:48" x14ac:dyDescent="0.25">
      <c r="A807" s="235"/>
      <c r="B807" s="227" t="str">
        <f t="shared" si="122"/>
        <v>E</v>
      </c>
      <c r="C807" s="227" t="s">
        <v>78</v>
      </c>
      <c r="D807" s="227" t="s">
        <v>1147</v>
      </c>
      <c r="E807" s="228">
        <v>0</v>
      </c>
      <c r="F807" s="101">
        <v>3</v>
      </c>
      <c r="G807" s="87" t="str">
        <f t="shared" si="131"/>
        <v>E303</v>
      </c>
      <c r="H807" s="87" t="s">
        <v>1294</v>
      </c>
      <c r="I807" s="89" t="str">
        <f>VLOOKUP(C807,'PREMIUM TABLES'!$G$107:$H$149,2,FALSE)</f>
        <v>C3</v>
      </c>
      <c r="J807" s="87">
        <v>129.57</v>
      </c>
      <c r="K807" s="87">
        <v>140.69790646557414</v>
      </c>
      <c r="L807" s="87">
        <v>158</v>
      </c>
      <c r="M807" s="87">
        <v>84.075199999999995</v>
      </c>
      <c r="O807" s="87" t="s">
        <v>187</v>
      </c>
      <c r="P807" s="87" t="s">
        <v>226</v>
      </c>
      <c r="Q807" s="229" t="s">
        <v>212</v>
      </c>
      <c r="R807" s="87" t="str">
        <f>VLOOKUP(E807,'PREMIUM TABLES'!$F$214:$G$219,2,FALSE)</f>
        <v>GROUND</v>
      </c>
      <c r="S807" s="87" t="str" cm="1">
        <f t="array" ref="S807">IF(AND(L807&gt;0,L807&lt;90),"A",IF(AND(L807&gt;90,L807&lt;123),"B",IF(AND(L807&gt;122,L807&lt;159),"C",IF(AND(L807&gt;159,L807&lt;185),"D",IF(AND(L807&gt;185,L807&lt;230),"E",IF(AND(L807&gt;230,L807&lt;350),"F",NONE))))))</f>
        <v>C</v>
      </c>
      <c r="T807" s="230">
        <f>VLOOKUP(O807,'PREMIUM TABLES'!$G$165:$H$172,2,FALSE)</f>
        <v>0.08</v>
      </c>
      <c r="U807" s="230">
        <f>VLOOKUP(P807,'PREMIUM TABLES'!$G$208:$H$209,2,FALSE)</f>
        <v>0.05</v>
      </c>
      <c r="V807" s="230">
        <f>VLOOKUP(Q807,'PREMIUM TABLES'!$G$175:$H$195,2,FALSE)</f>
        <v>0.43</v>
      </c>
      <c r="W807" s="230">
        <f>VLOOKUP(R807,'PREMIUM TABLES'!$G$214:$H$219,2,FALSE)</f>
        <v>0.05</v>
      </c>
      <c r="X807" s="230">
        <f>VLOOKUP(S807,'PREMIUM TABLES'!$F$199:$H$205,3,FALSE)</f>
        <v>3.5000000000000003E-2</v>
      </c>
      <c r="Y807" s="231">
        <f t="shared" si="125"/>
        <v>0.64500000000000013</v>
      </c>
      <c r="Z807" s="231" t="str" cm="1">
        <f t="array" ref="Z807">IF(AND(Y807&gt;0,Y807&lt;0.5),"C",IF(AND(Y807&gt;=0.5,Y807&lt;0.73),"B",IF(AND(Y807&gt;=0.73,Y807&lt;0.98),"A",NONE)))</f>
        <v>B</v>
      </c>
      <c r="AA807" s="231" t="str">
        <f>VLOOKUP(G807,'ALL (R)'!$N$5:$R$862,5,FALSE)</f>
        <v>R 4</v>
      </c>
      <c r="AB807" s="232">
        <f>VLOOKUP(AA807,FACTS!$B$2:$L$14,10,FALSE)</f>
        <v>45687.5</v>
      </c>
      <c r="AC807" s="232">
        <f>VLOOKUP(AA807,FACTS!$B$2:$L$14,11,FALSE)</f>
        <v>51062.5</v>
      </c>
      <c r="AD807" s="232">
        <f>VLOOKUP(AA807,FACTS!$B$2:$N$14,13,FALSE)</f>
        <v>5375</v>
      </c>
      <c r="AE807" s="232">
        <f t="shared" si="126"/>
        <v>3466.8750000000009</v>
      </c>
      <c r="AF807" s="232">
        <f t="shared" si="127"/>
        <v>49154.375</v>
      </c>
      <c r="AG807" s="232">
        <f>AF807*FACTS!$T$2</f>
        <v>16220.94375</v>
      </c>
      <c r="AH807" s="232">
        <f>Table1[[#This Row],[UNIT (BUILDING) RATE (SEMI FINISHED)]]+4500</f>
        <v>53654.375</v>
      </c>
      <c r="AI807" s="232">
        <f>Table1[[#This Row],[UNIT (BUILDING) RATE (SEMI FINISHED)]]+7500</f>
        <v>56654.375</v>
      </c>
      <c r="AJ807" s="232">
        <f t="shared" si="128"/>
        <v>7766391.25</v>
      </c>
      <c r="AK807" s="232">
        <f>Table1[[#This Row],[UNIT (BUILDING) RATE (BASIC FINISH)]]*Table1[[#This Row],[Unit Selling Area]]</f>
        <v>8477391.25</v>
      </c>
      <c r="AL807" s="232">
        <f>Table1[[#This Row],[UNIT (BUILDING) RATE (FULLY FINISH)]]*Table1[[#This Row],[Unit Selling Area]]</f>
        <v>8951391.25</v>
      </c>
      <c r="AM807" s="232">
        <f t="shared" si="129"/>
        <v>1363779.0899699999</v>
      </c>
      <c r="AN807" s="232">
        <f>(AM807+AJ807)*FACTS!$S$2</f>
        <v>776064.47889745003</v>
      </c>
      <c r="AO807" s="101">
        <f>VLOOKUP(S807,FACTS!$A$17:$C$23,3,FALSE)</f>
        <v>2</v>
      </c>
      <c r="AP807" s="232">
        <f>VLOOKUP(AA807,FACTS!$B$2:$J$14,9,FALSE)</f>
        <v>215000</v>
      </c>
      <c r="AQ807" s="232">
        <f>Table1[[#This Row],[PARKING VALUE]]*1</f>
        <v>215000</v>
      </c>
      <c r="AR807" s="232">
        <f t="shared" si="124"/>
        <v>9345170.3399700001</v>
      </c>
      <c r="AS807" s="440">
        <f>Table1[[#This Row],[TOTAL CARS VALUE]]+Table1[[#This Row],[UNIT (BUILDING) VALUE BASIC FINISHED]]+Table1[[#This Row],[UNIT (GARDEN) VALUE]]</f>
        <v>10056170.33997</v>
      </c>
      <c r="AT807" s="232">
        <f>Table1[[#This Row],[TOTAL CARS VALUE]]+Table1[[#This Row],[UNIT (GARDEN) VALUE]]+Table1[[#This Row],[UNIT (BUILDING) VALUE FULLY FINISHED]]</f>
        <v>10530170.33997</v>
      </c>
      <c r="AU807" s="233">
        <f>VLOOKUP(I807,'C PHASES'!$I$108:$J$110,2,FALSE)</f>
        <v>46569</v>
      </c>
      <c r="AV807" s="233">
        <f>VLOOKUP(AA807,'C PHASES'!$I$113:$J$125,2,FALSE)</f>
        <v>45474</v>
      </c>
    </row>
    <row r="808" spans="1:48" x14ac:dyDescent="0.25">
      <c r="A808" s="235"/>
      <c r="B808" s="227" t="str">
        <f t="shared" si="122"/>
        <v>E</v>
      </c>
      <c r="C808" s="227" t="s">
        <v>78</v>
      </c>
      <c r="D808" s="227" t="s">
        <v>1147</v>
      </c>
      <c r="E808" s="228">
        <v>0</v>
      </c>
      <c r="F808" s="101">
        <v>4</v>
      </c>
      <c r="G808" s="87" t="str">
        <f t="shared" si="131"/>
        <v>E304</v>
      </c>
      <c r="H808" s="87" t="s">
        <v>1294</v>
      </c>
      <c r="I808" s="89" t="str">
        <f>VLOOKUP(C808,'PREMIUM TABLES'!$G$107:$H$149,2,FALSE)</f>
        <v>C3</v>
      </c>
      <c r="J808" s="87">
        <v>131.34</v>
      </c>
      <c r="K808" s="87">
        <v>142.61992000608558</v>
      </c>
      <c r="L808" s="87">
        <v>160</v>
      </c>
      <c r="M808" s="87">
        <v>88.6297</v>
      </c>
      <c r="O808" s="87" t="s">
        <v>180</v>
      </c>
      <c r="P808" s="87" t="s">
        <v>226</v>
      </c>
      <c r="Q808" s="229" t="s">
        <v>198</v>
      </c>
      <c r="R808" s="87" t="str">
        <f>VLOOKUP(E808,'PREMIUM TABLES'!$F$214:$G$219,2,FALSE)</f>
        <v>GROUND</v>
      </c>
      <c r="S808" s="87" t="str" cm="1">
        <f t="array" ref="S808">IF(AND(L808&gt;0,L808&lt;90),"A",IF(AND(L808&gt;90,L808&lt;123),"B",IF(AND(L808&gt;122,L808&lt;159),"C",IF(AND(L808&gt;159,L808&lt;185),"D",IF(AND(L808&gt;185,L808&lt;230),"E",IF(AND(L808&gt;230,L808&lt;350),"F",NONE))))))</f>
        <v>D</v>
      </c>
      <c r="T808" s="230">
        <f>VLOOKUP(O808,'PREMIUM TABLES'!$G$165:$H$172,2,FALSE)</f>
        <v>0.13</v>
      </c>
      <c r="U808" s="230">
        <f>VLOOKUP(P808,'PREMIUM TABLES'!$G$208:$H$209,2,FALSE)</f>
        <v>0.05</v>
      </c>
      <c r="V808" s="230">
        <f>VLOOKUP(Q808,'PREMIUM TABLES'!$G$175:$H$195,2,FALSE)</f>
        <v>0.15</v>
      </c>
      <c r="W808" s="230">
        <f>VLOOKUP(R808,'PREMIUM TABLES'!$G$214:$H$219,2,FALSE)</f>
        <v>0.05</v>
      </c>
      <c r="X808" s="230">
        <f>VLOOKUP(S808,'PREMIUM TABLES'!$F$199:$H$205,3,FALSE)</f>
        <v>2.5000000000000001E-2</v>
      </c>
      <c r="Y808" s="231">
        <f t="shared" si="125"/>
        <v>0.40499999999999997</v>
      </c>
      <c r="Z808" s="231" t="str" cm="1">
        <f t="array" ref="Z808">IF(AND(Y808&gt;0,Y808&lt;0.5),"C",IF(AND(Y808&gt;=0.5,Y808&lt;0.73),"B",IF(AND(Y808&gt;=0.73,Y808&lt;0.98),"A",NONE)))</f>
        <v>C</v>
      </c>
      <c r="AA808" s="231" t="str">
        <f>VLOOKUP(G808,'ALL (R)'!$N$5:$R$862,5,FALSE)</f>
        <v>R 6</v>
      </c>
      <c r="AB808" s="232">
        <f>VLOOKUP(AA808,FACTS!$B$2:$L$14,10,FALSE)</f>
        <v>48450.000000000007</v>
      </c>
      <c r="AC808" s="232">
        <f>VLOOKUP(AA808,FACTS!$B$2:$L$14,11,FALSE)</f>
        <v>54150.000000000007</v>
      </c>
      <c r="AD808" s="232">
        <f>VLOOKUP(AA808,FACTS!$B$2:$N$14,13,FALSE)</f>
        <v>5700</v>
      </c>
      <c r="AE808" s="232">
        <f t="shared" si="126"/>
        <v>2308.5</v>
      </c>
      <c r="AF808" s="232">
        <f t="shared" si="127"/>
        <v>50758.500000000007</v>
      </c>
      <c r="AG808" s="232">
        <f>AF808*FACTS!$T$2</f>
        <v>16750.305000000004</v>
      </c>
      <c r="AH808" s="232">
        <f>Table1[[#This Row],[UNIT (BUILDING) RATE (SEMI FINISHED)]]+4500</f>
        <v>55258.500000000007</v>
      </c>
      <c r="AI808" s="232">
        <f>Table1[[#This Row],[UNIT (BUILDING) RATE (SEMI FINISHED)]]+7500</f>
        <v>58258.500000000007</v>
      </c>
      <c r="AJ808" s="232">
        <f t="shared" si="128"/>
        <v>8121360.0000000009</v>
      </c>
      <c r="AK808" s="232">
        <f>Table1[[#This Row],[UNIT (BUILDING) RATE (BASIC FINISH)]]*Table1[[#This Row],[Unit Selling Area]]</f>
        <v>8841360.0000000019</v>
      </c>
      <c r="AL808" s="232">
        <f>Table1[[#This Row],[UNIT (BUILDING) RATE (FULLY FINISH)]]*Table1[[#This Row],[Unit Selling Area]]</f>
        <v>9321360.0000000019</v>
      </c>
      <c r="AM808" s="232">
        <f t="shared" si="129"/>
        <v>1484574.5070585003</v>
      </c>
      <c r="AN808" s="232">
        <f>(AM808+AJ808)*FACTS!$S$2</f>
        <v>816504.43309997267</v>
      </c>
      <c r="AO808" s="101">
        <f>VLOOKUP(S808,FACTS!$A$17:$C$23,3,FALSE)</f>
        <v>2</v>
      </c>
      <c r="AP808" s="232">
        <f>VLOOKUP(AA808,FACTS!$B$2:$J$14,9,FALSE)</f>
        <v>228000.00000000003</v>
      </c>
      <c r="AQ808" s="232">
        <f>Table1[[#This Row],[PARKING VALUE]]*1</f>
        <v>228000.00000000003</v>
      </c>
      <c r="AR808" s="232">
        <f t="shared" si="124"/>
        <v>9833934.5070585012</v>
      </c>
      <c r="AS808" s="440">
        <f>Table1[[#This Row],[TOTAL CARS VALUE]]+Table1[[#This Row],[UNIT (BUILDING) VALUE BASIC FINISHED]]+Table1[[#This Row],[UNIT (GARDEN) VALUE]]</f>
        <v>10553934.507058501</v>
      </c>
      <c r="AT808" s="232">
        <f>Table1[[#This Row],[TOTAL CARS VALUE]]+Table1[[#This Row],[UNIT (GARDEN) VALUE]]+Table1[[#This Row],[UNIT (BUILDING) VALUE FULLY FINISHED]]</f>
        <v>11033934.507058501</v>
      </c>
      <c r="AU808" s="233">
        <f>VLOOKUP(I808,'C PHASES'!$I$108:$J$110,2,FALSE)</f>
        <v>46569</v>
      </c>
      <c r="AV808" s="233">
        <f>VLOOKUP(AA808,'C PHASES'!$I$113:$J$125,2,FALSE)</f>
        <v>45658</v>
      </c>
    </row>
    <row r="809" spans="1:48" x14ac:dyDescent="0.25">
      <c r="A809" s="235"/>
      <c r="B809" s="227" t="str">
        <f t="shared" si="122"/>
        <v>E</v>
      </c>
      <c r="C809" s="227" t="s">
        <v>78</v>
      </c>
      <c r="D809" s="227" t="s">
        <v>1147</v>
      </c>
      <c r="E809" s="228">
        <v>1</v>
      </c>
      <c r="F809" s="101">
        <v>1</v>
      </c>
      <c r="G809" s="87" t="str">
        <f t="shared" si="131"/>
        <v>E311</v>
      </c>
      <c r="H809" s="87" t="s">
        <v>1293</v>
      </c>
      <c r="I809" s="89" t="str">
        <f>VLOOKUP(C809,'PREMIUM TABLES'!$G$107:$H$149,2,FALSE)</f>
        <v>C3</v>
      </c>
      <c r="J809" s="87">
        <v>88.87</v>
      </c>
      <c r="K809" s="87">
        <v>96.502453867373433</v>
      </c>
      <c r="L809" s="87">
        <v>108</v>
      </c>
      <c r="O809" s="87" t="s">
        <v>180</v>
      </c>
      <c r="P809" s="87" t="s">
        <v>190</v>
      </c>
      <c r="Q809" s="229" t="s">
        <v>198</v>
      </c>
      <c r="R809" s="87" t="str">
        <f>VLOOKUP(E809,'PREMIUM TABLES'!$F$214:$G$219,2,FALSE)</f>
        <v>FIRST</v>
      </c>
      <c r="S809" s="87" t="str" cm="1">
        <f t="array" ref="S809">IF(AND(L809&gt;0,L809&lt;90),"A",IF(AND(L809&gt;90,L809&lt;123),"B",IF(AND(L809&gt;122,L809&lt;159),"C",IF(AND(L809&gt;159,L809&lt;185),"D",IF(AND(L809&gt;185,L809&lt;230),"E",IF(AND(L809&gt;230,L809&lt;350),"F",NONE))))))</f>
        <v>B</v>
      </c>
      <c r="T809" s="230">
        <f>VLOOKUP(O809,'PREMIUM TABLES'!$G$165:$H$172,2,FALSE)</f>
        <v>0.13</v>
      </c>
      <c r="U809" s="230">
        <f>VLOOKUP(P809,'PREMIUM TABLES'!$G$208:$H$209,2,FALSE)</f>
        <v>2.5000000000000001E-2</v>
      </c>
      <c r="V809" s="230">
        <f>VLOOKUP(Q809,'PREMIUM TABLES'!$G$175:$H$195,2,FALSE)</f>
        <v>0.15</v>
      </c>
      <c r="W809" s="230">
        <f>VLOOKUP(R809,'PREMIUM TABLES'!$G$214:$H$219,2,FALSE)</f>
        <v>7.0000000000000007E-2</v>
      </c>
      <c r="X809" s="230">
        <f>VLOOKUP(S809,'PREMIUM TABLES'!$F$199:$H$205,3,FALSE)</f>
        <v>0.04</v>
      </c>
      <c r="Y809" s="231">
        <f t="shared" si="125"/>
        <v>0.41499999999999998</v>
      </c>
      <c r="Z809" s="231" t="str" cm="1">
        <f t="array" ref="Z809">IF(AND(Y809&gt;0,Y809&lt;0.5),"C",IF(AND(Y809&gt;=0.5,Y809&lt;0.73),"B",IF(AND(Y809&gt;=0.73,Y809&lt;0.98),"A",NONE)))</f>
        <v>C</v>
      </c>
      <c r="AA809" s="231" t="str">
        <f>VLOOKUP(G809,'ALL (R)'!$N$5:$R$862,5,FALSE)</f>
        <v>R 7</v>
      </c>
      <c r="AB809" s="232">
        <f>VLOOKUP(AA809,FACTS!$B$2:$L$14,10,FALSE)</f>
        <v>50150</v>
      </c>
      <c r="AC809" s="232">
        <f>VLOOKUP(AA809,FACTS!$B$2:$L$14,11,FALSE)</f>
        <v>56050</v>
      </c>
      <c r="AD809" s="232">
        <f>VLOOKUP(AA809,FACTS!$B$2:$N$14,13,FALSE)</f>
        <v>5900</v>
      </c>
      <c r="AE809" s="232">
        <f t="shared" si="126"/>
        <v>2448.5</v>
      </c>
      <c r="AF809" s="232">
        <f t="shared" si="127"/>
        <v>52598.5</v>
      </c>
      <c r="AG809" s="232">
        <f>AF809*FACTS!$T$2</f>
        <v>17357.505000000001</v>
      </c>
      <c r="AH809" s="232">
        <f>Table1[[#This Row],[UNIT (BUILDING) RATE (SEMI FINISHED)]]+4500</f>
        <v>57098.5</v>
      </c>
      <c r="AI809" s="232">
        <f>Table1[[#This Row],[UNIT (BUILDING) RATE (SEMI FINISHED)]]+7500</f>
        <v>60098.5</v>
      </c>
      <c r="AJ809" s="232">
        <f t="shared" si="128"/>
        <v>5680638</v>
      </c>
      <c r="AK809" s="232">
        <f>Table1[[#This Row],[UNIT (BUILDING) RATE (BASIC FINISH)]]*Table1[[#This Row],[Unit Selling Area]]</f>
        <v>6166638</v>
      </c>
      <c r="AL809" s="232">
        <f>Table1[[#This Row],[UNIT (BUILDING) RATE (FULLY FINISH)]]*Table1[[#This Row],[Unit Selling Area]]</f>
        <v>6490638</v>
      </c>
      <c r="AM809" s="232">
        <f t="shared" si="129"/>
        <v>0</v>
      </c>
      <c r="AN809" s="232">
        <f>(AM809+AJ809)*FACTS!$S$2</f>
        <v>482854.23000000004</v>
      </c>
      <c r="AO809" s="101">
        <f>VLOOKUP(S809,FACTS!$A$17:$C$23,3,FALSE)</f>
        <v>1</v>
      </c>
      <c r="AP809" s="232">
        <f>VLOOKUP(AA809,FACTS!$B$2:$J$14,9,FALSE)</f>
        <v>236000</v>
      </c>
      <c r="AQ809" s="232">
        <f>Table1[[#This Row],[PARKING VALUE]]*1</f>
        <v>236000</v>
      </c>
      <c r="AR809" s="232">
        <f t="shared" si="124"/>
        <v>5916638</v>
      </c>
      <c r="AS809" s="440">
        <f>Table1[[#This Row],[TOTAL CARS VALUE]]+Table1[[#This Row],[UNIT (BUILDING) VALUE BASIC FINISHED]]+Table1[[#This Row],[UNIT (GARDEN) VALUE]]</f>
        <v>6402638</v>
      </c>
      <c r="AT809" s="232">
        <f>Table1[[#This Row],[TOTAL CARS VALUE]]+Table1[[#This Row],[UNIT (GARDEN) VALUE]]+Table1[[#This Row],[UNIT (BUILDING) VALUE FULLY FINISHED]]</f>
        <v>6726638</v>
      </c>
      <c r="AU809" s="233">
        <f>VLOOKUP(I809,'C PHASES'!$I$108:$J$110,2,FALSE)</f>
        <v>46569</v>
      </c>
      <c r="AV809" s="233">
        <f>VLOOKUP(AA809,'C PHASES'!$I$113:$J$125,2,FALSE)</f>
        <v>45748</v>
      </c>
    </row>
    <row r="810" spans="1:48" x14ac:dyDescent="0.25">
      <c r="A810" s="235"/>
      <c r="B810" s="227" t="str">
        <f t="shared" si="122"/>
        <v>E</v>
      </c>
      <c r="C810" s="227" t="s">
        <v>78</v>
      </c>
      <c r="D810" s="227" t="s">
        <v>1147</v>
      </c>
      <c r="E810" s="228">
        <v>1</v>
      </c>
      <c r="F810" s="101">
        <v>2</v>
      </c>
      <c r="G810" s="87" t="str">
        <f t="shared" si="131"/>
        <v>E312</v>
      </c>
      <c r="H810" s="87" t="s">
        <v>1294</v>
      </c>
      <c r="I810" s="89" t="str">
        <f>VLOOKUP(C810,'PREMIUM TABLES'!$G$107:$H$149,2,FALSE)</f>
        <v>C3</v>
      </c>
      <c r="J810" s="87">
        <v>127.14</v>
      </c>
      <c r="K810" s="87">
        <v>138.05920990995676</v>
      </c>
      <c r="L810" s="87">
        <v>155</v>
      </c>
      <c r="O810" s="87" t="s">
        <v>187</v>
      </c>
      <c r="P810" s="87" t="s">
        <v>190</v>
      </c>
      <c r="Q810" s="229" t="s">
        <v>212</v>
      </c>
      <c r="R810" s="87" t="str">
        <f>VLOOKUP(E810,'PREMIUM TABLES'!$F$214:$G$219,2,FALSE)</f>
        <v>FIRST</v>
      </c>
      <c r="S810" s="87" t="str" cm="1">
        <f t="array" ref="S810">IF(AND(L810&gt;0,L810&lt;90),"A",IF(AND(L810&gt;90,L810&lt;123),"B",IF(AND(L810&gt;122,L810&lt;159),"C",IF(AND(L810&gt;159,L810&lt;185),"D",IF(AND(L810&gt;185,L810&lt;230),"E",IF(AND(L810&gt;230,L810&lt;350),"F",NONE))))))</f>
        <v>C</v>
      </c>
      <c r="T810" s="230">
        <f>VLOOKUP(O810,'PREMIUM TABLES'!$G$165:$H$172,2,FALSE)</f>
        <v>0.08</v>
      </c>
      <c r="U810" s="230">
        <f>VLOOKUP(P810,'PREMIUM TABLES'!$G$208:$H$209,2,FALSE)</f>
        <v>2.5000000000000001E-2</v>
      </c>
      <c r="V810" s="230">
        <f>VLOOKUP(Q810,'PREMIUM TABLES'!$G$175:$H$195,2,FALSE)</f>
        <v>0.43</v>
      </c>
      <c r="W810" s="230">
        <f>VLOOKUP(R810,'PREMIUM TABLES'!$G$214:$H$219,2,FALSE)</f>
        <v>7.0000000000000007E-2</v>
      </c>
      <c r="X810" s="230">
        <f>VLOOKUP(S810,'PREMIUM TABLES'!$F$199:$H$205,3,FALSE)</f>
        <v>3.5000000000000003E-2</v>
      </c>
      <c r="Y810" s="231">
        <f t="shared" si="125"/>
        <v>0.64</v>
      </c>
      <c r="Z810" s="231" t="str" cm="1">
        <f t="array" ref="Z810">IF(AND(Y810&gt;0,Y810&lt;0.5),"C",IF(AND(Y810&gt;=0.5,Y810&lt;0.73),"B",IF(AND(Y810&gt;=0.73,Y810&lt;0.98),"A",NONE)))</f>
        <v>B</v>
      </c>
      <c r="AA810" s="231" t="str">
        <f>VLOOKUP(G810,'ALL (R)'!$N$5:$R$862,5,FALSE)</f>
        <v>R 4</v>
      </c>
      <c r="AB810" s="232">
        <f>VLOOKUP(AA810,FACTS!$B$2:$L$14,10,FALSE)</f>
        <v>45687.5</v>
      </c>
      <c r="AC810" s="232">
        <f>VLOOKUP(AA810,FACTS!$B$2:$L$14,11,FALSE)</f>
        <v>51062.5</v>
      </c>
      <c r="AD810" s="232">
        <f>VLOOKUP(AA810,FACTS!$B$2:$N$14,13,FALSE)</f>
        <v>5375</v>
      </c>
      <c r="AE810" s="232">
        <f t="shared" si="126"/>
        <v>3440</v>
      </c>
      <c r="AF810" s="232">
        <f t="shared" si="127"/>
        <v>49127.5</v>
      </c>
      <c r="AG810" s="232">
        <f>AF810*FACTS!$T$2</f>
        <v>16212.075000000001</v>
      </c>
      <c r="AH810" s="232">
        <f>Table1[[#This Row],[UNIT (BUILDING) RATE (SEMI FINISHED)]]+4500</f>
        <v>53627.5</v>
      </c>
      <c r="AI810" s="232">
        <f>Table1[[#This Row],[UNIT (BUILDING) RATE (SEMI FINISHED)]]+7500</f>
        <v>56627.5</v>
      </c>
      <c r="AJ810" s="232">
        <f t="shared" si="128"/>
        <v>7614762.5</v>
      </c>
      <c r="AK810" s="232">
        <f>Table1[[#This Row],[UNIT (BUILDING) RATE (BASIC FINISH)]]*Table1[[#This Row],[Unit Selling Area]]</f>
        <v>8312262.5</v>
      </c>
      <c r="AL810" s="232">
        <f>Table1[[#This Row],[UNIT (BUILDING) RATE (FULLY FINISH)]]*Table1[[#This Row],[Unit Selling Area]]</f>
        <v>8777262.5</v>
      </c>
      <c r="AM810" s="232">
        <f t="shared" si="129"/>
        <v>0</v>
      </c>
      <c r="AN810" s="232">
        <f>(AM810+AJ810)*FACTS!$S$2</f>
        <v>647254.8125</v>
      </c>
      <c r="AO810" s="101">
        <f>VLOOKUP(S810,FACTS!$A$17:$C$23,3,FALSE)</f>
        <v>2</v>
      </c>
      <c r="AP810" s="232">
        <f>VLOOKUP(AA810,FACTS!$B$2:$J$14,9,FALSE)</f>
        <v>215000</v>
      </c>
      <c r="AQ810" s="232">
        <f>Table1[[#This Row],[PARKING VALUE]]*1</f>
        <v>215000</v>
      </c>
      <c r="AR810" s="232">
        <f t="shared" si="124"/>
        <v>7829762.5</v>
      </c>
      <c r="AS810" s="440">
        <f>Table1[[#This Row],[TOTAL CARS VALUE]]+Table1[[#This Row],[UNIT (BUILDING) VALUE BASIC FINISHED]]+Table1[[#This Row],[UNIT (GARDEN) VALUE]]</f>
        <v>8527262.5</v>
      </c>
      <c r="AT810" s="232">
        <f>Table1[[#This Row],[TOTAL CARS VALUE]]+Table1[[#This Row],[UNIT (GARDEN) VALUE]]+Table1[[#This Row],[UNIT (BUILDING) VALUE FULLY FINISHED]]</f>
        <v>8992262.5</v>
      </c>
      <c r="AU810" s="233">
        <f>VLOOKUP(I810,'C PHASES'!$I$108:$J$110,2,FALSE)</f>
        <v>46569</v>
      </c>
      <c r="AV810" s="233">
        <f>VLOOKUP(AA810,'C PHASES'!$I$113:$J$125,2,FALSE)</f>
        <v>45474</v>
      </c>
    </row>
    <row r="811" spans="1:48" x14ac:dyDescent="0.25">
      <c r="A811" s="235"/>
      <c r="B811" s="227" t="str">
        <f t="shared" si="122"/>
        <v>E</v>
      </c>
      <c r="C811" s="227" t="s">
        <v>78</v>
      </c>
      <c r="D811" s="227" t="s">
        <v>1147</v>
      </c>
      <c r="E811" s="228">
        <v>1</v>
      </c>
      <c r="F811" s="101">
        <v>3</v>
      </c>
      <c r="G811" s="87" t="str">
        <f t="shared" si="131"/>
        <v>E313</v>
      </c>
      <c r="H811" s="87" t="s">
        <v>1294</v>
      </c>
      <c r="I811" s="89" t="str">
        <f>VLOOKUP(C811,'PREMIUM TABLES'!$G$107:$H$149,2,FALSE)</f>
        <v>C3</v>
      </c>
      <c r="J811" s="87">
        <v>131.43</v>
      </c>
      <c r="K811" s="87">
        <v>142.71764950814548</v>
      </c>
      <c r="L811" s="87">
        <v>160</v>
      </c>
      <c r="O811" s="87" t="s">
        <v>187</v>
      </c>
      <c r="P811" s="87" t="s">
        <v>226</v>
      </c>
      <c r="Q811" s="229" t="s">
        <v>212</v>
      </c>
      <c r="R811" s="87" t="str">
        <f>VLOOKUP(E811,'PREMIUM TABLES'!$F$214:$G$219,2,FALSE)</f>
        <v>FIRST</v>
      </c>
      <c r="S811" s="87" t="str" cm="1">
        <f t="array" ref="S811">IF(AND(L811&gt;0,L811&lt;90),"A",IF(AND(L811&gt;90,L811&lt;123),"B",IF(AND(L811&gt;122,L811&lt;159),"C",IF(AND(L811&gt;159,L811&lt;185),"D",IF(AND(L811&gt;185,L811&lt;230),"E",IF(AND(L811&gt;230,L811&lt;350),"F",NONE))))))</f>
        <v>D</v>
      </c>
      <c r="T811" s="230">
        <f>VLOOKUP(O811,'PREMIUM TABLES'!$G$165:$H$172,2,FALSE)</f>
        <v>0.08</v>
      </c>
      <c r="U811" s="230">
        <f>VLOOKUP(P811,'PREMIUM TABLES'!$G$208:$H$209,2,FALSE)</f>
        <v>0.05</v>
      </c>
      <c r="V811" s="230">
        <f>VLOOKUP(Q811,'PREMIUM TABLES'!$G$175:$H$195,2,FALSE)</f>
        <v>0.43</v>
      </c>
      <c r="W811" s="230">
        <f>VLOOKUP(R811,'PREMIUM TABLES'!$G$214:$H$219,2,FALSE)</f>
        <v>7.0000000000000007E-2</v>
      </c>
      <c r="X811" s="230">
        <f>VLOOKUP(S811,'PREMIUM TABLES'!$F$199:$H$205,3,FALSE)</f>
        <v>2.5000000000000001E-2</v>
      </c>
      <c r="Y811" s="231">
        <f t="shared" si="125"/>
        <v>0.65500000000000014</v>
      </c>
      <c r="Z811" s="231" t="str" cm="1">
        <f t="array" ref="Z811">IF(AND(Y811&gt;0,Y811&lt;0.5),"C",IF(AND(Y811&gt;=0.5,Y811&lt;0.73),"B",IF(AND(Y811&gt;=0.73,Y811&lt;0.98),"A",NONE)))</f>
        <v>B</v>
      </c>
      <c r="AA811" s="231" t="str">
        <f>VLOOKUP(G811,'ALL (R)'!$N$5:$R$862,5,FALSE)</f>
        <v>R 5</v>
      </c>
      <c r="AB811" s="232">
        <f>VLOOKUP(AA811,FACTS!$B$2:$L$14,10,FALSE)</f>
        <v>46750.000000000007</v>
      </c>
      <c r="AC811" s="232">
        <f>VLOOKUP(AA811,FACTS!$B$2:$L$14,11,FALSE)</f>
        <v>52250.000000000007</v>
      </c>
      <c r="AD811" s="232">
        <f>VLOOKUP(AA811,FACTS!$B$2:$N$14,13,FALSE)</f>
        <v>5500</v>
      </c>
      <c r="AE811" s="232">
        <f t="shared" si="126"/>
        <v>3602.5000000000009</v>
      </c>
      <c r="AF811" s="232">
        <f t="shared" si="127"/>
        <v>50352.500000000007</v>
      </c>
      <c r="AG811" s="232">
        <f>AF811*FACTS!$T$2</f>
        <v>16616.325000000004</v>
      </c>
      <c r="AH811" s="232">
        <f>Table1[[#This Row],[UNIT (BUILDING) RATE (SEMI FINISHED)]]+4500</f>
        <v>54852.500000000007</v>
      </c>
      <c r="AI811" s="232">
        <f>Table1[[#This Row],[UNIT (BUILDING) RATE (SEMI FINISHED)]]+7500</f>
        <v>57852.500000000007</v>
      </c>
      <c r="AJ811" s="232">
        <f t="shared" si="128"/>
        <v>8056400.0000000009</v>
      </c>
      <c r="AK811" s="232">
        <f>Table1[[#This Row],[UNIT (BUILDING) RATE (BASIC FINISH)]]*Table1[[#This Row],[Unit Selling Area]]</f>
        <v>8776400.0000000019</v>
      </c>
      <c r="AL811" s="232">
        <f>Table1[[#This Row],[UNIT (BUILDING) RATE (FULLY FINISH)]]*Table1[[#This Row],[Unit Selling Area]]</f>
        <v>9256400.0000000019</v>
      </c>
      <c r="AM811" s="232">
        <f t="shared" si="129"/>
        <v>0</v>
      </c>
      <c r="AN811" s="232">
        <f>(AM811+AJ811)*FACTS!$S$2</f>
        <v>684794.00000000012</v>
      </c>
      <c r="AO811" s="101">
        <f>VLOOKUP(S811,FACTS!$A$17:$C$23,3,FALSE)</f>
        <v>2</v>
      </c>
      <c r="AP811" s="232">
        <f>VLOOKUP(AA811,FACTS!$B$2:$J$14,9,FALSE)</f>
        <v>220000.00000000003</v>
      </c>
      <c r="AQ811" s="232">
        <f>Table1[[#This Row],[PARKING VALUE]]*1</f>
        <v>220000.00000000003</v>
      </c>
      <c r="AR811" s="232">
        <f t="shared" si="124"/>
        <v>8276400.0000000009</v>
      </c>
      <c r="AS811" s="440">
        <f>Table1[[#This Row],[TOTAL CARS VALUE]]+Table1[[#This Row],[UNIT (BUILDING) VALUE BASIC FINISHED]]+Table1[[#This Row],[UNIT (GARDEN) VALUE]]</f>
        <v>8996400.0000000019</v>
      </c>
      <c r="AT811" s="232">
        <f>Table1[[#This Row],[TOTAL CARS VALUE]]+Table1[[#This Row],[UNIT (GARDEN) VALUE]]+Table1[[#This Row],[UNIT (BUILDING) VALUE FULLY FINISHED]]</f>
        <v>9476400.0000000019</v>
      </c>
      <c r="AU811" s="233">
        <f>VLOOKUP(I811,'C PHASES'!$I$108:$J$110,2,FALSE)</f>
        <v>46569</v>
      </c>
      <c r="AV811" s="233">
        <f>VLOOKUP(AA811,'C PHASES'!$I$113:$J$125,2,FALSE)</f>
        <v>45566</v>
      </c>
    </row>
    <row r="812" spans="1:48" x14ac:dyDescent="0.25">
      <c r="A812" s="235"/>
      <c r="B812" s="227" t="str">
        <f t="shared" si="122"/>
        <v>E</v>
      </c>
      <c r="C812" s="227" t="s">
        <v>78</v>
      </c>
      <c r="D812" s="227" t="s">
        <v>1147</v>
      </c>
      <c r="E812" s="228">
        <v>1</v>
      </c>
      <c r="F812" s="101">
        <v>4</v>
      </c>
      <c r="G812" s="87" t="str">
        <f t="shared" si="131"/>
        <v>E314</v>
      </c>
      <c r="H812" s="87" t="s">
        <v>1294</v>
      </c>
      <c r="I812" s="89" t="str">
        <f>VLOOKUP(C812,'PREMIUM TABLES'!$G$107:$H$149,2,FALSE)</f>
        <v>C3</v>
      </c>
      <c r="J812" s="87">
        <v>129.04</v>
      </c>
      <c r="K812" s="87">
        <v>140.12238828677692</v>
      </c>
      <c r="L812" s="87">
        <v>157</v>
      </c>
      <c r="O812" s="87" t="s">
        <v>180</v>
      </c>
      <c r="P812" s="87" t="s">
        <v>226</v>
      </c>
      <c r="Q812" s="229" t="s">
        <v>198</v>
      </c>
      <c r="R812" s="87" t="str">
        <f>VLOOKUP(E812,'PREMIUM TABLES'!$F$214:$G$219,2,FALSE)</f>
        <v>FIRST</v>
      </c>
      <c r="S812" s="87" t="str" cm="1">
        <f t="array" ref="S812">IF(AND(L812&gt;0,L812&lt;90),"A",IF(AND(L812&gt;90,L812&lt;123),"B",IF(AND(L812&gt;122,L812&lt;159),"C",IF(AND(L812&gt;159,L812&lt;185),"D",IF(AND(L812&gt;185,L812&lt;230),"E",IF(AND(L812&gt;230,L812&lt;350),"F",NONE))))))</f>
        <v>C</v>
      </c>
      <c r="T812" s="230">
        <f>VLOOKUP(O812,'PREMIUM TABLES'!$G$165:$H$172,2,FALSE)</f>
        <v>0.13</v>
      </c>
      <c r="U812" s="230">
        <f>VLOOKUP(P812,'PREMIUM TABLES'!$G$208:$H$209,2,FALSE)</f>
        <v>0.05</v>
      </c>
      <c r="V812" s="230">
        <f>VLOOKUP(Q812,'PREMIUM TABLES'!$G$175:$H$195,2,FALSE)</f>
        <v>0.15</v>
      </c>
      <c r="W812" s="230">
        <f>VLOOKUP(R812,'PREMIUM TABLES'!$G$214:$H$219,2,FALSE)</f>
        <v>7.0000000000000007E-2</v>
      </c>
      <c r="X812" s="230">
        <f>VLOOKUP(S812,'PREMIUM TABLES'!$F$199:$H$205,3,FALSE)</f>
        <v>3.5000000000000003E-2</v>
      </c>
      <c r="Y812" s="231">
        <f t="shared" si="125"/>
        <v>0.43499999999999994</v>
      </c>
      <c r="Z812" s="231" t="str" cm="1">
        <f t="array" ref="Z812">IF(AND(Y812&gt;0,Y812&lt;0.5),"C",IF(AND(Y812&gt;=0.5,Y812&lt;0.73),"B",IF(AND(Y812&gt;=0.73,Y812&lt;0.98),"A",NONE)))</f>
        <v>C</v>
      </c>
      <c r="AA812" s="231" t="str">
        <f>VLOOKUP(G812,'ALL (R)'!$N$5:$R$862,5,FALSE)</f>
        <v>R 8</v>
      </c>
      <c r="AB812" s="232">
        <f>VLOOKUP(AA812,FACTS!$B$2:$L$14,10,FALSE)</f>
        <v>51850</v>
      </c>
      <c r="AC812" s="232">
        <f>VLOOKUP(AA812,FACTS!$B$2:$L$14,11,FALSE)</f>
        <v>57950</v>
      </c>
      <c r="AD812" s="232">
        <f>VLOOKUP(AA812,FACTS!$B$2:$N$14,13,FALSE)</f>
        <v>6100</v>
      </c>
      <c r="AE812" s="232">
        <f t="shared" si="126"/>
        <v>2653.4999999999995</v>
      </c>
      <c r="AF812" s="232">
        <f t="shared" si="127"/>
        <v>54503.5</v>
      </c>
      <c r="AG812" s="232">
        <f>AF812*FACTS!$T$2</f>
        <v>17986.155000000002</v>
      </c>
      <c r="AH812" s="232">
        <f>Table1[[#This Row],[UNIT (BUILDING) RATE (SEMI FINISHED)]]+4500</f>
        <v>59003.5</v>
      </c>
      <c r="AI812" s="232">
        <f>Table1[[#This Row],[UNIT (BUILDING) RATE (SEMI FINISHED)]]+7500</f>
        <v>62003.5</v>
      </c>
      <c r="AJ812" s="232">
        <f t="shared" si="128"/>
        <v>8557049.5</v>
      </c>
      <c r="AK812" s="232">
        <f>Table1[[#This Row],[UNIT (BUILDING) RATE (BASIC FINISH)]]*Table1[[#This Row],[Unit Selling Area]]</f>
        <v>9263549.5</v>
      </c>
      <c r="AL812" s="232">
        <f>Table1[[#This Row],[UNIT (BUILDING) RATE (FULLY FINISH)]]*Table1[[#This Row],[Unit Selling Area]]</f>
        <v>9734549.5</v>
      </c>
      <c r="AM812" s="232">
        <f t="shared" si="129"/>
        <v>0</v>
      </c>
      <c r="AN812" s="232">
        <f>(AM812+AJ812)*FACTS!$S$2</f>
        <v>727349.20750000002</v>
      </c>
      <c r="AO812" s="101">
        <f>VLOOKUP(S812,FACTS!$A$17:$C$23,3,FALSE)</f>
        <v>2</v>
      </c>
      <c r="AP812" s="232">
        <f>VLOOKUP(AA812,FACTS!$B$2:$J$14,9,FALSE)</f>
        <v>244000</v>
      </c>
      <c r="AQ812" s="232">
        <f>Table1[[#This Row],[PARKING VALUE]]*1</f>
        <v>244000</v>
      </c>
      <c r="AR812" s="232">
        <f t="shared" si="124"/>
        <v>8801049.5</v>
      </c>
      <c r="AS812" s="440">
        <f>Table1[[#This Row],[TOTAL CARS VALUE]]+Table1[[#This Row],[UNIT (BUILDING) VALUE BASIC FINISHED]]+Table1[[#This Row],[UNIT (GARDEN) VALUE]]</f>
        <v>9507549.5</v>
      </c>
      <c r="AT812" s="232">
        <f>Table1[[#This Row],[TOTAL CARS VALUE]]+Table1[[#This Row],[UNIT (GARDEN) VALUE]]+Table1[[#This Row],[UNIT (BUILDING) VALUE FULLY FINISHED]]</f>
        <v>9978549.5</v>
      </c>
      <c r="AU812" s="233">
        <f>VLOOKUP(I812,'C PHASES'!$I$108:$J$110,2,FALSE)</f>
        <v>46569</v>
      </c>
      <c r="AV812" s="233">
        <f>VLOOKUP(AA812,'C PHASES'!$I$113:$J$125,2,FALSE)</f>
        <v>45839</v>
      </c>
    </row>
    <row r="813" spans="1:48" x14ac:dyDescent="0.25">
      <c r="A813" s="235"/>
      <c r="B813" s="227" t="str">
        <f t="shared" si="122"/>
        <v>E</v>
      </c>
      <c r="C813" s="227" t="s">
        <v>78</v>
      </c>
      <c r="D813" s="227" t="s">
        <v>1147</v>
      </c>
      <c r="E813" s="228">
        <v>2</v>
      </c>
      <c r="F813" s="101">
        <v>1</v>
      </c>
      <c r="G813" s="87" t="str">
        <f t="shared" si="131"/>
        <v>E321</v>
      </c>
      <c r="H813" s="87" t="s">
        <v>1294</v>
      </c>
      <c r="I813" s="89" t="str">
        <f>VLOOKUP(C813,'PREMIUM TABLES'!$G$107:$H$149,2,FALSE)</f>
        <v>C3</v>
      </c>
      <c r="J813" s="87">
        <v>127.15</v>
      </c>
      <c r="K813" s="87">
        <v>138.07006874351899</v>
      </c>
      <c r="L813" s="87">
        <v>155</v>
      </c>
      <c r="O813" s="87" t="s">
        <v>180</v>
      </c>
      <c r="P813" s="87" t="s">
        <v>190</v>
      </c>
      <c r="Q813" s="229" t="s">
        <v>198</v>
      </c>
      <c r="R813" s="87" t="str">
        <f>VLOOKUP(E813,'PREMIUM TABLES'!$F$214:$G$219,2,FALSE)</f>
        <v>SECOND</v>
      </c>
      <c r="S813" s="87" t="str" cm="1">
        <f t="array" ref="S813">IF(AND(L813&gt;0,L813&lt;90),"A",IF(AND(L813&gt;90,L813&lt;123),"B",IF(AND(L813&gt;122,L813&lt;159),"C",IF(AND(L813&gt;159,L813&lt;185),"D",IF(AND(L813&gt;185,L813&lt;230),"E",IF(AND(L813&gt;230,L813&lt;350),"F",NONE))))))</f>
        <v>C</v>
      </c>
      <c r="T813" s="230">
        <f>VLOOKUP(O813,'PREMIUM TABLES'!$G$165:$H$172,2,FALSE)</f>
        <v>0.13</v>
      </c>
      <c r="U813" s="230">
        <f>VLOOKUP(P813,'PREMIUM TABLES'!$G$208:$H$209,2,FALSE)</f>
        <v>2.5000000000000001E-2</v>
      </c>
      <c r="V813" s="230">
        <f>VLOOKUP(Q813,'PREMIUM TABLES'!$G$175:$H$195,2,FALSE)</f>
        <v>0.15</v>
      </c>
      <c r="W813" s="230">
        <f>VLOOKUP(R813,'PREMIUM TABLES'!$G$214:$H$219,2,FALSE)</f>
        <v>0.11</v>
      </c>
      <c r="X813" s="230">
        <f>VLOOKUP(S813,'PREMIUM TABLES'!$F$199:$H$205,3,FALSE)</f>
        <v>3.5000000000000003E-2</v>
      </c>
      <c r="Y813" s="231">
        <f t="shared" si="125"/>
        <v>0.44999999999999996</v>
      </c>
      <c r="Z813" s="231" t="str" cm="1">
        <f t="array" ref="Z813">IF(AND(Y813&gt;0,Y813&lt;0.5),"C",IF(AND(Y813&gt;=0.5,Y813&lt;0.73),"B",IF(AND(Y813&gt;=0.73,Y813&lt;0.98),"A",NONE)))</f>
        <v>C</v>
      </c>
      <c r="AA813" s="231" t="str">
        <f>VLOOKUP(G813,'ALL (R)'!$N$5:$R$862,5,FALSE)</f>
        <v>R 9</v>
      </c>
      <c r="AB813" s="232">
        <f>VLOOKUP(AA813,FACTS!$B$2:$L$14,10,FALSE)</f>
        <v>53550</v>
      </c>
      <c r="AC813" s="232">
        <f>VLOOKUP(AA813,FACTS!$B$2:$L$14,11,FALSE)</f>
        <v>59850</v>
      </c>
      <c r="AD813" s="232">
        <f>VLOOKUP(AA813,FACTS!$B$2:$N$14,13,FALSE)</f>
        <v>6300</v>
      </c>
      <c r="AE813" s="232">
        <f t="shared" si="126"/>
        <v>2834.9999999999995</v>
      </c>
      <c r="AF813" s="232">
        <f t="shared" si="127"/>
        <v>56385</v>
      </c>
      <c r="AG813" s="232">
        <f>AF813*FACTS!$T$2</f>
        <v>18607.05</v>
      </c>
      <c r="AH813" s="232">
        <f>Table1[[#This Row],[UNIT (BUILDING) RATE (SEMI FINISHED)]]+4500</f>
        <v>60885</v>
      </c>
      <c r="AI813" s="232">
        <f>Table1[[#This Row],[UNIT (BUILDING) RATE (SEMI FINISHED)]]+7500</f>
        <v>63885</v>
      </c>
      <c r="AJ813" s="232">
        <f t="shared" si="128"/>
        <v>8739675</v>
      </c>
      <c r="AK813" s="232">
        <f>Table1[[#This Row],[UNIT (BUILDING) RATE (BASIC FINISH)]]*Table1[[#This Row],[Unit Selling Area]]</f>
        <v>9437175</v>
      </c>
      <c r="AL813" s="232">
        <f>Table1[[#This Row],[UNIT (BUILDING) RATE (FULLY FINISH)]]*Table1[[#This Row],[Unit Selling Area]]</f>
        <v>9902175</v>
      </c>
      <c r="AM813" s="232">
        <f t="shared" si="129"/>
        <v>0</v>
      </c>
      <c r="AN813" s="232">
        <f>(AM813+AJ813)*FACTS!$S$2</f>
        <v>742872.375</v>
      </c>
      <c r="AO813" s="101">
        <f>VLOOKUP(S813,FACTS!$A$17:$C$23,3,FALSE)</f>
        <v>2</v>
      </c>
      <c r="AP813" s="232">
        <f>VLOOKUP(AA813,FACTS!$B$2:$J$14,9,FALSE)</f>
        <v>252000</v>
      </c>
      <c r="AQ813" s="232">
        <f>Table1[[#This Row],[PARKING VALUE]]*1</f>
        <v>252000</v>
      </c>
      <c r="AR813" s="232">
        <f t="shared" si="124"/>
        <v>8991675</v>
      </c>
      <c r="AS813" s="440">
        <f>Table1[[#This Row],[TOTAL CARS VALUE]]+Table1[[#This Row],[UNIT (BUILDING) VALUE BASIC FINISHED]]+Table1[[#This Row],[UNIT (GARDEN) VALUE]]</f>
        <v>9689175</v>
      </c>
      <c r="AT813" s="232">
        <f>Table1[[#This Row],[TOTAL CARS VALUE]]+Table1[[#This Row],[UNIT (GARDEN) VALUE]]+Table1[[#This Row],[UNIT (BUILDING) VALUE FULLY FINISHED]]</f>
        <v>10154175</v>
      </c>
      <c r="AU813" s="233">
        <f>VLOOKUP(I813,'C PHASES'!$I$108:$J$110,2,FALSE)</f>
        <v>46569</v>
      </c>
      <c r="AV813" s="233">
        <f>VLOOKUP(AA813,'C PHASES'!$I$113:$J$125,2,FALSE)</f>
        <v>45931</v>
      </c>
    </row>
    <row r="814" spans="1:48" x14ac:dyDescent="0.25">
      <c r="A814" s="235"/>
      <c r="B814" s="227" t="str">
        <f t="shared" si="122"/>
        <v>E</v>
      </c>
      <c r="C814" s="227" t="s">
        <v>78</v>
      </c>
      <c r="D814" s="227" t="s">
        <v>1147</v>
      </c>
      <c r="E814" s="228">
        <v>2</v>
      </c>
      <c r="F814" s="101">
        <v>2</v>
      </c>
      <c r="G814" s="87" t="str">
        <f t="shared" si="131"/>
        <v>E322</v>
      </c>
      <c r="H814" s="87" t="s">
        <v>1294</v>
      </c>
      <c r="I814" s="89" t="str">
        <f>VLOOKUP(C814,'PREMIUM TABLES'!$G$107:$H$149,2,FALSE)</f>
        <v>C3</v>
      </c>
      <c r="J814" s="87">
        <v>126.95</v>
      </c>
      <c r="K814" s="87">
        <v>137.85289207227476</v>
      </c>
      <c r="L814" s="87">
        <v>155</v>
      </c>
      <c r="O814" s="87" t="s">
        <v>187</v>
      </c>
      <c r="P814" s="87" t="s">
        <v>190</v>
      </c>
      <c r="Q814" s="229" t="s">
        <v>212</v>
      </c>
      <c r="R814" s="87" t="str">
        <f>VLOOKUP(E814,'PREMIUM TABLES'!$F$214:$G$219,2,FALSE)</f>
        <v>SECOND</v>
      </c>
      <c r="S814" s="87" t="str" cm="1">
        <f t="array" ref="S814">IF(AND(L814&gt;0,L814&lt;90),"A",IF(AND(L814&gt;90,L814&lt;123),"B",IF(AND(L814&gt;122,L814&lt;159),"C",IF(AND(L814&gt;159,L814&lt;185),"D",IF(AND(L814&gt;185,L814&lt;230),"E",IF(AND(L814&gt;230,L814&lt;350),"F",NONE))))))</f>
        <v>C</v>
      </c>
      <c r="T814" s="230">
        <f>VLOOKUP(O814,'PREMIUM TABLES'!$G$165:$H$172,2,FALSE)</f>
        <v>0.08</v>
      </c>
      <c r="U814" s="230">
        <f>VLOOKUP(P814,'PREMIUM TABLES'!$G$208:$H$209,2,FALSE)</f>
        <v>2.5000000000000001E-2</v>
      </c>
      <c r="V814" s="230">
        <f>VLOOKUP(Q814,'PREMIUM TABLES'!$G$175:$H$195,2,FALSE)</f>
        <v>0.43</v>
      </c>
      <c r="W814" s="230">
        <f>VLOOKUP(R814,'PREMIUM TABLES'!$G$214:$H$219,2,FALSE)</f>
        <v>0.11</v>
      </c>
      <c r="X814" s="230">
        <f>VLOOKUP(S814,'PREMIUM TABLES'!$F$199:$H$205,3,FALSE)</f>
        <v>3.5000000000000003E-2</v>
      </c>
      <c r="Y814" s="231">
        <f t="shared" si="125"/>
        <v>0.68</v>
      </c>
      <c r="Z814" s="231" t="str" cm="1">
        <f t="array" ref="Z814">IF(AND(Y814&gt;0,Y814&lt;0.5),"C",IF(AND(Y814&gt;=0.5,Y814&lt;0.73),"B",IF(AND(Y814&gt;=0.73,Y814&lt;0.98),"A",NONE)))</f>
        <v>B</v>
      </c>
      <c r="AA814" s="231" t="str">
        <f>VLOOKUP(G814,'ALL (R)'!$N$5:$R$862,5,FALSE)</f>
        <v>R 7</v>
      </c>
      <c r="AB814" s="232">
        <f>VLOOKUP(AA814,FACTS!$B$2:$L$14,10,FALSE)</f>
        <v>50150</v>
      </c>
      <c r="AC814" s="232">
        <f>VLOOKUP(AA814,FACTS!$B$2:$L$14,11,FALSE)</f>
        <v>56050</v>
      </c>
      <c r="AD814" s="232">
        <f>VLOOKUP(AA814,FACTS!$B$2:$N$14,13,FALSE)</f>
        <v>5900</v>
      </c>
      <c r="AE814" s="232">
        <f t="shared" si="126"/>
        <v>4012.0000000000005</v>
      </c>
      <c r="AF814" s="232">
        <f t="shared" si="127"/>
        <v>54162</v>
      </c>
      <c r="AG814" s="232">
        <f>AF814*FACTS!$T$2</f>
        <v>17873.46</v>
      </c>
      <c r="AH814" s="232">
        <f>Table1[[#This Row],[UNIT (BUILDING) RATE (SEMI FINISHED)]]+4500</f>
        <v>58662</v>
      </c>
      <c r="AI814" s="232">
        <f>Table1[[#This Row],[UNIT (BUILDING) RATE (SEMI FINISHED)]]+7500</f>
        <v>61662</v>
      </c>
      <c r="AJ814" s="232">
        <f t="shared" si="128"/>
        <v>8395110</v>
      </c>
      <c r="AK814" s="232">
        <f>Table1[[#This Row],[UNIT (BUILDING) RATE (BASIC FINISH)]]*Table1[[#This Row],[Unit Selling Area]]</f>
        <v>9092610</v>
      </c>
      <c r="AL814" s="232">
        <f>Table1[[#This Row],[UNIT (BUILDING) RATE (FULLY FINISH)]]*Table1[[#This Row],[Unit Selling Area]]</f>
        <v>9557610</v>
      </c>
      <c r="AM814" s="232">
        <f t="shared" si="129"/>
        <v>0</v>
      </c>
      <c r="AN814" s="232">
        <f>(AM814+AJ814)*FACTS!$S$2</f>
        <v>713584.35000000009</v>
      </c>
      <c r="AO814" s="101">
        <f>VLOOKUP(S814,FACTS!$A$17:$C$23,3,FALSE)</f>
        <v>2</v>
      </c>
      <c r="AP814" s="232">
        <f>VLOOKUP(AA814,FACTS!$B$2:$J$14,9,FALSE)</f>
        <v>236000</v>
      </c>
      <c r="AQ814" s="232">
        <f>Table1[[#This Row],[PARKING VALUE]]*1</f>
        <v>236000</v>
      </c>
      <c r="AR814" s="232">
        <f t="shared" si="124"/>
        <v>8631110</v>
      </c>
      <c r="AS814" s="440">
        <f>Table1[[#This Row],[TOTAL CARS VALUE]]+Table1[[#This Row],[UNIT (BUILDING) VALUE BASIC FINISHED]]+Table1[[#This Row],[UNIT (GARDEN) VALUE]]</f>
        <v>9328610</v>
      </c>
      <c r="AT814" s="232">
        <f>Table1[[#This Row],[TOTAL CARS VALUE]]+Table1[[#This Row],[UNIT (GARDEN) VALUE]]+Table1[[#This Row],[UNIT (BUILDING) VALUE FULLY FINISHED]]</f>
        <v>9793610</v>
      </c>
      <c r="AU814" s="233">
        <f>VLOOKUP(I814,'C PHASES'!$I$108:$J$110,2,FALSE)</f>
        <v>46569</v>
      </c>
      <c r="AV814" s="233">
        <f>VLOOKUP(AA814,'C PHASES'!$I$113:$J$125,2,FALSE)</f>
        <v>45748</v>
      </c>
    </row>
    <row r="815" spans="1:48" x14ac:dyDescent="0.25">
      <c r="A815" s="235"/>
      <c r="B815" s="227" t="str">
        <f t="shared" si="122"/>
        <v>E</v>
      </c>
      <c r="C815" s="227" t="s">
        <v>78</v>
      </c>
      <c r="D815" s="227" t="s">
        <v>1147</v>
      </c>
      <c r="E815" s="228">
        <v>2</v>
      </c>
      <c r="F815" s="101">
        <v>3</v>
      </c>
      <c r="G815" s="87" t="str">
        <f t="shared" si="131"/>
        <v>E323</v>
      </c>
      <c r="H815" s="87" t="s">
        <v>1294</v>
      </c>
      <c r="I815" s="89" t="str">
        <f>VLOOKUP(C815,'PREMIUM TABLES'!$G$107:$H$149,2,FALSE)</f>
        <v>C3</v>
      </c>
      <c r="J815" s="87">
        <v>131.44</v>
      </c>
      <c r="K815" s="87">
        <v>142.72850834170771</v>
      </c>
      <c r="L815" s="87">
        <v>160</v>
      </c>
      <c r="O815" s="87" t="s">
        <v>187</v>
      </c>
      <c r="P815" s="87" t="s">
        <v>226</v>
      </c>
      <c r="Q815" s="229" t="s">
        <v>212</v>
      </c>
      <c r="R815" s="87" t="str">
        <f>VLOOKUP(E815,'PREMIUM TABLES'!$F$214:$G$219,2,FALSE)</f>
        <v>SECOND</v>
      </c>
      <c r="S815" s="87" t="str" cm="1">
        <f t="array" ref="S815">IF(AND(L815&gt;0,L815&lt;90),"A",IF(AND(L815&gt;90,L815&lt;123),"B",IF(AND(L815&gt;122,L815&lt;159),"C",IF(AND(L815&gt;159,L815&lt;185),"D",IF(AND(L815&gt;185,L815&lt;230),"E",IF(AND(L815&gt;230,L815&lt;350),"F",NONE))))))</f>
        <v>D</v>
      </c>
      <c r="T815" s="230">
        <f>VLOOKUP(O815,'PREMIUM TABLES'!$G$165:$H$172,2,FALSE)</f>
        <v>0.08</v>
      </c>
      <c r="U815" s="230">
        <f>VLOOKUP(P815,'PREMIUM TABLES'!$G$208:$H$209,2,FALSE)</f>
        <v>0.05</v>
      </c>
      <c r="V815" s="230">
        <f>VLOOKUP(Q815,'PREMIUM TABLES'!$G$175:$H$195,2,FALSE)</f>
        <v>0.43</v>
      </c>
      <c r="W815" s="230">
        <f>VLOOKUP(R815,'PREMIUM TABLES'!$G$214:$H$219,2,FALSE)</f>
        <v>0.11</v>
      </c>
      <c r="X815" s="230">
        <f>VLOOKUP(S815,'PREMIUM TABLES'!$F$199:$H$205,3,FALSE)</f>
        <v>2.5000000000000001E-2</v>
      </c>
      <c r="Y815" s="231">
        <f t="shared" si="125"/>
        <v>0.69500000000000006</v>
      </c>
      <c r="Z815" s="231" t="str" cm="1">
        <f t="array" ref="Z815">IF(AND(Y815&gt;0,Y815&lt;0.5),"C",IF(AND(Y815&gt;=0.5,Y815&lt;0.73),"B",IF(AND(Y815&gt;=0.73,Y815&lt;0.98),"A",NONE)))</f>
        <v>B</v>
      </c>
      <c r="AA815" s="231" t="str">
        <f>VLOOKUP(G815,'ALL (R)'!$N$5:$R$862,5,FALSE)</f>
        <v>R 9</v>
      </c>
      <c r="AB815" s="232">
        <f>VLOOKUP(AA815,FACTS!$B$2:$L$14,10,FALSE)</f>
        <v>53550</v>
      </c>
      <c r="AC815" s="232">
        <f>VLOOKUP(AA815,FACTS!$B$2:$L$14,11,FALSE)</f>
        <v>59850</v>
      </c>
      <c r="AD815" s="232">
        <f>VLOOKUP(AA815,FACTS!$B$2:$N$14,13,FALSE)</f>
        <v>6300</v>
      </c>
      <c r="AE815" s="232">
        <f t="shared" si="126"/>
        <v>4378.5</v>
      </c>
      <c r="AF815" s="232">
        <f t="shared" si="127"/>
        <v>57928.5</v>
      </c>
      <c r="AG815" s="232">
        <f>AF815*FACTS!$T$2</f>
        <v>19116.405000000002</v>
      </c>
      <c r="AH815" s="232">
        <f>Table1[[#This Row],[UNIT (BUILDING) RATE (SEMI FINISHED)]]+4500</f>
        <v>62428.5</v>
      </c>
      <c r="AI815" s="232">
        <f>Table1[[#This Row],[UNIT (BUILDING) RATE (SEMI FINISHED)]]+7500</f>
        <v>65428.5</v>
      </c>
      <c r="AJ815" s="232">
        <f t="shared" si="128"/>
        <v>9268560</v>
      </c>
      <c r="AK815" s="232">
        <f>Table1[[#This Row],[UNIT (BUILDING) RATE (BASIC FINISH)]]*Table1[[#This Row],[Unit Selling Area]]</f>
        <v>9988560</v>
      </c>
      <c r="AL815" s="232">
        <f>Table1[[#This Row],[UNIT (BUILDING) RATE (FULLY FINISH)]]*Table1[[#This Row],[Unit Selling Area]]</f>
        <v>10468560</v>
      </c>
      <c r="AM815" s="232">
        <f t="shared" si="129"/>
        <v>0</v>
      </c>
      <c r="AN815" s="232">
        <f>(AM815+AJ815)*FACTS!$S$2</f>
        <v>787827.60000000009</v>
      </c>
      <c r="AO815" s="101">
        <f>VLOOKUP(S815,FACTS!$A$17:$C$23,3,FALSE)</f>
        <v>2</v>
      </c>
      <c r="AP815" s="232">
        <f>VLOOKUP(AA815,FACTS!$B$2:$J$14,9,FALSE)</f>
        <v>252000</v>
      </c>
      <c r="AQ815" s="232">
        <f>Table1[[#This Row],[PARKING VALUE]]*1</f>
        <v>252000</v>
      </c>
      <c r="AR815" s="232">
        <f t="shared" si="124"/>
        <v>9520560</v>
      </c>
      <c r="AS815" s="440">
        <f>Table1[[#This Row],[TOTAL CARS VALUE]]+Table1[[#This Row],[UNIT (BUILDING) VALUE BASIC FINISHED]]+Table1[[#This Row],[UNIT (GARDEN) VALUE]]</f>
        <v>10240560</v>
      </c>
      <c r="AT815" s="232">
        <f>Table1[[#This Row],[TOTAL CARS VALUE]]+Table1[[#This Row],[UNIT (GARDEN) VALUE]]+Table1[[#This Row],[UNIT (BUILDING) VALUE FULLY FINISHED]]</f>
        <v>10720560</v>
      </c>
      <c r="AU815" s="233">
        <f>VLOOKUP(I815,'C PHASES'!$I$108:$J$110,2,FALSE)</f>
        <v>46569</v>
      </c>
      <c r="AV815" s="233">
        <f>VLOOKUP(AA815,'C PHASES'!$I$113:$J$125,2,FALSE)</f>
        <v>45931</v>
      </c>
    </row>
    <row r="816" spans="1:48" x14ac:dyDescent="0.25">
      <c r="A816" s="235"/>
      <c r="B816" s="227" t="str">
        <f t="shared" si="122"/>
        <v>E</v>
      </c>
      <c r="C816" s="227" t="s">
        <v>78</v>
      </c>
      <c r="D816" s="227" t="s">
        <v>1147</v>
      </c>
      <c r="E816" s="228">
        <v>2</v>
      </c>
      <c r="F816" s="101">
        <v>4</v>
      </c>
      <c r="G816" s="87" t="str">
        <f t="shared" si="131"/>
        <v>E324</v>
      </c>
      <c r="H816" s="87" t="s">
        <v>1294</v>
      </c>
      <c r="I816" s="89" t="str">
        <f>VLOOKUP(C816,'PREMIUM TABLES'!$G$107:$H$149,2,FALSE)</f>
        <v>C3</v>
      </c>
      <c r="J816" s="87">
        <v>131.43</v>
      </c>
      <c r="K816" s="87">
        <v>142.71764950814548</v>
      </c>
      <c r="L816" s="87">
        <v>160</v>
      </c>
      <c r="O816" s="87" t="s">
        <v>180</v>
      </c>
      <c r="P816" s="87" t="s">
        <v>226</v>
      </c>
      <c r="Q816" s="229" t="s">
        <v>198</v>
      </c>
      <c r="R816" s="87" t="str">
        <f>VLOOKUP(E816,'PREMIUM TABLES'!$F$214:$G$219,2,FALSE)</f>
        <v>SECOND</v>
      </c>
      <c r="S816" s="87" t="str" cm="1">
        <f t="array" ref="S816">IF(AND(L816&gt;0,L816&lt;90),"A",IF(AND(L816&gt;90,L816&lt;123),"B",IF(AND(L816&gt;122,L816&lt;159),"C",IF(AND(L816&gt;159,L816&lt;185),"D",IF(AND(L816&gt;185,L816&lt;230),"E",IF(AND(L816&gt;230,L816&lt;350),"F",NONE))))))</f>
        <v>D</v>
      </c>
      <c r="T816" s="230">
        <f>VLOOKUP(O816,'PREMIUM TABLES'!$G$165:$H$172,2,FALSE)</f>
        <v>0.13</v>
      </c>
      <c r="U816" s="230">
        <f>VLOOKUP(P816,'PREMIUM TABLES'!$G$208:$H$209,2,FALSE)</f>
        <v>0.05</v>
      </c>
      <c r="V816" s="230">
        <f>VLOOKUP(Q816,'PREMIUM TABLES'!$G$175:$H$195,2,FALSE)</f>
        <v>0.15</v>
      </c>
      <c r="W816" s="230">
        <f>VLOOKUP(R816,'PREMIUM TABLES'!$G$214:$H$219,2,FALSE)</f>
        <v>0.11</v>
      </c>
      <c r="X816" s="230">
        <f>VLOOKUP(S816,'PREMIUM TABLES'!$F$199:$H$205,3,FALSE)</f>
        <v>2.5000000000000001E-2</v>
      </c>
      <c r="Y816" s="231">
        <f t="shared" si="125"/>
        <v>0.46499999999999997</v>
      </c>
      <c r="Z816" s="231" t="str" cm="1">
        <f t="array" ref="Z816">IF(AND(Y816&gt;0,Y816&lt;0.5),"C",IF(AND(Y816&gt;=0.5,Y816&lt;0.73),"B",IF(AND(Y816&gt;=0.73,Y816&lt;0.98),"A",NONE)))</f>
        <v>C</v>
      </c>
      <c r="AA816" s="231" t="str">
        <f>VLOOKUP(G816,'ALL (R)'!$N$5:$R$862,5,FALSE)</f>
        <v>R 10</v>
      </c>
      <c r="AB816" s="232">
        <f>VLOOKUP(AA816,FACTS!$B$2:$L$14,10,FALSE)</f>
        <v>56100</v>
      </c>
      <c r="AC816" s="232">
        <f>VLOOKUP(AA816,FACTS!$B$2:$L$14,11,FALSE)</f>
        <v>62700</v>
      </c>
      <c r="AD816" s="232">
        <f>VLOOKUP(AA816,FACTS!$B$2:$N$14,13,FALSE)</f>
        <v>6600</v>
      </c>
      <c r="AE816" s="232">
        <f t="shared" si="126"/>
        <v>3069</v>
      </c>
      <c r="AF816" s="232">
        <f t="shared" si="127"/>
        <v>59169</v>
      </c>
      <c r="AG816" s="232">
        <f>AF816*FACTS!$T$2</f>
        <v>19525.77</v>
      </c>
      <c r="AH816" s="232">
        <f>Table1[[#This Row],[UNIT (BUILDING) RATE (SEMI FINISHED)]]+4500</f>
        <v>63669</v>
      </c>
      <c r="AI816" s="232">
        <f>Table1[[#This Row],[UNIT (BUILDING) RATE (SEMI FINISHED)]]+7500</f>
        <v>66669</v>
      </c>
      <c r="AJ816" s="232">
        <f t="shared" si="128"/>
        <v>9467040</v>
      </c>
      <c r="AK816" s="232">
        <f>Table1[[#This Row],[UNIT (BUILDING) RATE (BASIC FINISH)]]*Table1[[#This Row],[Unit Selling Area]]</f>
        <v>10187040</v>
      </c>
      <c r="AL816" s="232">
        <f>Table1[[#This Row],[UNIT (BUILDING) RATE (FULLY FINISH)]]*Table1[[#This Row],[Unit Selling Area]]</f>
        <v>10667040</v>
      </c>
      <c r="AM816" s="232">
        <f t="shared" si="129"/>
        <v>0</v>
      </c>
      <c r="AN816" s="232">
        <f>(AM816+AJ816)*FACTS!$S$2</f>
        <v>804698.4</v>
      </c>
      <c r="AO816" s="101">
        <f>VLOOKUP(S816,FACTS!$A$17:$C$23,3,FALSE)</f>
        <v>2</v>
      </c>
      <c r="AP816" s="232">
        <f>VLOOKUP(AA816,FACTS!$B$2:$J$14,9,FALSE)</f>
        <v>264000</v>
      </c>
      <c r="AQ816" s="232">
        <f>Table1[[#This Row],[PARKING VALUE]]*1</f>
        <v>264000</v>
      </c>
      <c r="AR816" s="232">
        <f t="shared" si="124"/>
        <v>9731040</v>
      </c>
      <c r="AS816" s="440">
        <f>Table1[[#This Row],[TOTAL CARS VALUE]]+Table1[[#This Row],[UNIT (BUILDING) VALUE BASIC FINISHED]]+Table1[[#This Row],[UNIT (GARDEN) VALUE]]</f>
        <v>10451040</v>
      </c>
      <c r="AT816" s="232">
        <f>Table1[[#This Row],[TOTAL CARS VALUE]]+Table1[[#This Row],[UNIT (GARDEN) VALUE]]+Table1[[#This Row],[UNIT (BUILDING) VALUE FULLY FINISHED]]</f>
        <v>10931040</v>
      </c>
      <c r="AU816" s="233">
        <f>VLOOKUP(I816,'C PHASES'!$I$108:$J$110,2,FALSE)</f>
        <v>46569</v>
      </c>
      <c r="AV816" s="233">
        <f>VLOOKUP(AA816,'C PHASES'!$I$113:$J$125,2,FALSE)</f>
        <v>46023</v>
      </c>
    </row>
    <row r="817" spans="1:48" x14ac:dyDescent="0.25">
      <c r="A817" s="235"/>
      <c r="B817" s="227" t="str">
        <f t="shared" si="122"/>
        <v>E</v>
      </c>
      <c r="C817" s="227" t="s">
        <v>78</v>
      </c>
      <c r="D817" s="227" t="s">
        <v>1147</v>
      </c>
      <c r="E817" s="228">
        <v>3</v>
      </c>
      <c r="F817" s="101">
        <v>1</v>
      </c>
      <c r="G817" s="87" t="str">
        <f t="shared" si="131"/>
        <v>E331</v>
      </c>
      <c r="H817" s="87" t="s">
        <v>1294</v>
      </c>
      <c r="I817" s="89" t="str">
        <f>VLOOKUP(C817,'PREMIUM TABLES'!$G$107:$H$149,2,FALSE)</f>
        <v>C3</v>
      </c>
      <c r="J817" s="87">
        <v>127.45</v>
      </c>
      <c r="K817" s="87">
        <v>138.39583375038532</v>
      </c>
      <c r="L817" s="87">
        <v>155</v>
      </c>
      <c r="O817" s="87" t="s">
        <v>180</v>
      </c>
      <c r="P817" s="87" t="s">
        <v>190</v>
      </c>
      <c r="Q817" s="229" t="s">
        <v>198</v>
      </c>
      <c r="R817" s="87" t="str">
        <f>VLOOKUP(E817,'PREMIUM TABLES'!$F$214:$G$219,2,FALSE)</f>
        <v>THIRD</v>
      </c>
      <c r="S817" s="87" t="str" cm="1">
        <f t="array" ref="S817">IF(AND(L817&gt;0,L817&lt;90),"A",IF(AND(L817&gt;90,L817&lt;123),"B",IF(AND(L817&gt;122,L817&lt;159),"C",IF(AND(L817&gt;159,L817&lt;185),"D",IF(AND(L817&gt;185,L817&lt;230),"E",IF(AND(L817&gt;230,L817&lt;350),"F",NONE))))))</f>
        <v>C</v>
      </c>
      <c r="T817" s="230">
        <f>VLOOKUP(O817,'PREMIUM TABLES'!$G$165:$H$172,2,FALSE)</f>
        <v>0.13</v>
      </c>
      <c r="U817" s="230">
        <f>VLOOKUP(P817,'PREMIUM TABLES'!$G$208:$H$209,2,FALSE)</f>
        <v>2.5000000000000001E-2</v>
      </c>
      <c r="V817" s="230">
        <f>VLOOKUP(Q817,'PREMIUM TABLES'!$G$175:$H$195,2,FALSE)</f>
        <v>0.15</v>
      </c>
      <c r="W817" s="230">
        <f>VLOOKUP(R817,'PREMIUM TABLES'!$G$214:$H$219,2,FALSE)</f>
        <v>0.15</v>
      </c>
      <c r="X817" s="230">
        <f>VLOOKUP(S817,'PREMIUM TABLES'!$F$199:$H$205,3,FALSE)</f>
        <v>3.5000000000000003E-2</v>
      </c>
      <c r="Y817" s="231">
        <f t="shared" si="125"/>
        <v>0.49</v>
      </c>
      <c r="Z817" s="231" t="str" cm="1">
        <f t="array" ref="Z817">IF(AND(Y817&gt;0,Y817&lt;0.5),"C",IF(AND(Y817&gt;=0.5,Y817&lt;0.73),"B",IF(AND(Y817&gt;=0.73,Y817&lt;0.98),"A",NONE)))</f>
        <v>C</v>
      </c>
      <c r="AA817" s="231" t="str">
        <f>VLOOKUP(G817,'ALL (R)'!$N$5:$R$862,5,FALSE)</f>
        <v>R 12</v>
      </c>
      <c r="AB817" s="232">
        <f>VLOOKUP(AA817,FACTS!$B$2:$L$14,10,FALSE)</f>
        <v>61625</v>
      </c>
      <c r="AC817" s="232">
        <f>VLOOKUP(AA817,FACTS!$B$2:$L$14,11,FALSE)</f>
        <v>68875</v>
      </c>
      <c r="AD817" s="232">
        <f>VLOOKUP(AA817,FACTS!$B$2:$N$14,13,FALSE)</f>
        <v>7250</v>
      </c>
      <c r="AE817" s="232">
        <f t="shared" si="126"/>
        <v>3552.5</v>
      </c>
      <c r="AF817" s="232">
        <f t="shared" si="127"/>
        <v>65177.5</v>
      </c>
      <c r="AG817" s="232">
        <f>AF817*FACTS!$T$2</f>
        <v>21508.575000000001</v>
      </c>
      <c r="AH817" s="232">
        <f>Table1[[#This Row],[UNIT (BUILDING) RATE (SEMI FINISHED)]]+4500</f>
        <v>69677.5</v>
      </c>
      <c r="AI817" s="232">
        <f>Table1[[#This Row],[UNIT (BUILDING) RATE (SEMI FINISHED)]]+7500</f>
        <v>72677.5</v>
      </c>
      <c r="AJ817" s="232">
        <f t="shared" si="128"/>
        <v>10102512.5</v>
      </c>
      <c r="AK817" s="232">
        <f>Table1[[#This Row],[UNIT (BUILDING) RATE (BASIC FINISH)]]*Table1[[#This Row],[Unit Selling Area]]</f>
        <v>10800012.5</v>
      </c>
      <c r="AL817" s="232">
        <f>Table1[[#This Row],[UNIT (BUILDING) RATE (FULLY FINISH)]]*Table1[[#This Row],[Unit Selling Area]]</f>
        <v>11265012.5</v>
      </c>
      <c r="AM817" s="232">
        <f t="shared" si="129"/>
        <v>0</v>
      </c>
      <c r="AN817" s="232">
        <f>(AM817+AJ817)*FACTS!$S$2</f>
        <v>858713.56250000012</v>
      </c>
      <c r="AO817" s="101">
        <f>VLOOKUP(S817,FACTS!$A$17:$C$23,3,FALSE)</f>
        <v>2</v>
      </c>
      <c r="AP817" s="232">
        <f>VLOOKUP(AA817,FACTS!$B$2:$J$14,9,FALSE)</f>
        <v>290000</v>
      </c>
      <c r="AQ817" s="232">
        <f>Table1[[#This Row],[PARKING VALUE]]*1</f>
        <v>290000</v>
      </c>
      <c r="AR817" s="232">
        <f t="shared" si="124"/>
        <v>10392512.5</v>
      </c>
      <c r="AS817" s="440">
        <f>Table1[[#This Row],[TOTAL CARS VALUE]]+Table1[[#This Row],[UNIT (BUILDING) VALUE BASIC FINISHED]]+Table1[[#This Row],[UNIT (GARDEN) VALUE]]</f>
        <v>11090012.5</v>
      </c>
      <c r="AT817" s="232">
        <f>Table1[[#This Row],[TOTAL CARS VALUE]]+Table1[[#This Row],[UNIT (GARDEN) VALUE]]+Table1[[#This Row],[UNIT (BUILDING) VALUE FULLY FINISHED]]</f>
        <v>11555012.5</v>
      </c>
      <c r="AU817" s="233">
        <f>VLOOKUP(I817,'C PHASES'!$I$108:$J$110,2,FALSE)</f>
        <v>46569</v>
      </c>
      <c r="AV817" s="233">
        <f>VLOOKUP(AA817,'C PHASES'!$I$113:$J$125,2,FALSE)</f>
        <v>46204</v>
      </c>
    </row>
    <row r="818" spans="1:48" x14ac:dyDescent="0.25">
      <c r="A818" s="235"/>
      <c r="B818" s="227" t="str">
        <f t="shared" si="122"/>
        <v>E</v>
      </c>
      <c r="C818" s="227" t="s">
        <v>78</v>
      </c>
      <c r="D818" s="227" t="s">
        <v>1147</v>
      </c>
      <c r="E818" s="228">
        <v>3</v>
      </c>
      <c r="F818" s="101">
        <v>2</v>
      </c>
      <c r="G818" s="87" t="str">
        <f t="shared" si="131"/>
        <v>E332</v>
      </c>
      <c r="H818" s="87" t="s">
        <v>1294</v>
      </c>
      <c r="I818" s="89" t="str">
        <f>VLOOKUP(C818,'PREMIUM TABLES'!$G$107:$H$149,2,FALSE)</f>
        <v>C3</v>
      </c>
      <c r="J818" s="87">
        <v>126.97</v>
      </c>
      <c r="K818" s="87">
        <v>137.87460973939918</v>
      </c>
      <c r="L818" s="87">
        <v>155</v>
      </c>
      <c r="O818" s="87" t="s">
        <v>187</v>
      </c>
      <c r="P818" s="87" t="s">
        <v>190</v>
      </c>
      <c r="Q818" s="229" t="s">
        <v>212</v>
      </c>
      <c r="R818" s="87" t="str">
        <f>VLOOKUP(E818,'PREMIUM TABLES'!$F$214:$G$219,2,FALSE)</f>
        <v>THIRD</v>
      </c>
      <c r="S818" s="87" t="str" cm="1">
        <f t="array" ref="S818">IF(AND(L818&gt;0,L818&lt;90),"A",IF(AND(L818&gt;90,L818&lt;123),"B",IF(AND(L818&gt;122,L818&lt;159),"C",IF(AND(L818&gt;159,L818&lt;185),"D",IF(AND(L818&gt;185,L818&lt;230),"E",IF(AND(L818&gt;230,L818&lt;350),"F",NONE))))))</f>
        <v>C</v>
      </c>
      <c r="T818" s="230">
        <f>VLOOKUP(O818,'PREMIUM TABLES'!$G$165:$H$172,2,FALSE)</f>
        <v>0.08</v>
      </c>
      <c r="U818" s="230">
        <f>VLOOKUP(P818,'PREMIUM TABLES'!$G$208:$H$209,2,FALSE)</f>
        <v>2.5000000000000001E-2</v>
      </c>
      <c r="V818" s="230">
        <f>VLOOKUP(Q818,'PREMIUM TABLES'!$G$175:$H$195,2,FALSE)</f>
        <v>0.43</v>
      </c>
      <c r="W818" s="230">
        <f>VLOOKUP(R818,'PREMIUM TABLES'!$G$214:$H$219,2,FALSE)</f>
        <v>0.15</v>
      </c>
      <c r="X818" s="230">
        <f>VLOOKUP(S818,'PREMIUM TABLES'!$F$199:$H$205,3,FALSE)</f>
        <v>3.5000000000000003E-2</v>
      </c>
      <c r="Y818" s="231">
        <f t="shared" si="125"/>
        <v>0.72000000000000008</v>
      </c>
      <c r="Z818" s="231" t="str" cm="1">
        <f t="array" ref="Z818">IF(AND(Y818&gt;0,Y818&lt;0.5),"C",IF(AND(Y818&gt;=0.5,Y818&lt;0.73),"B",IF(AND(Y818&gt;=0.73,Y818&lt;0.98),"A",NONE)))</f>
        <v>B</v>
      </c>
      <c r="AA818" s="231" t="str">
        <f>VLOOKUP(G818,'ALL (R)'!$N$5:$R$862,5,FALSE)</f>
        <v>R 12</v>
      </c>
      <c r="AB818" s="232">
        <f>VLOOKUP(AA818,FACTS!$B$2:$L$14,10,FALSE)</f>
        <v>61625</v>
      </c>
      <c r="AC818" s="232">
        <f>VLOOKUP(AA818,FACTS!$B$2:$L$14,11,FALSE)</f>
        <v>68875</v>
      </c>
      <c r="AD818" s="232">
        <f>VLOOKUP(AA818,FACTS!$B$2:$N$14,13,FALSE)</f>
        <v>7250</v>
      </c>
      <c r="AE818" s="232">
        <f t="shared" si="126"/>
        <v>5220.0000000000009</v>
      </c>
      <c r="AF818" s="232">
        <f t="shared" si="127"/>
        <v>66845</v>
      </c>
      <c r="AG818" s="232">
        <f>AF818*FACTS!$T$2</f>
        <v>22058.850000000002</v>
      </c>
      <c r="AH818" s="232">
        <f>Table1[[#This Row],[UNIT (BUILDING) RATE (SEMI FINISHED)]]+4500</f>
        <v>71345</v>
      </c>
      <c r="AI818" s="232">
        <f>Table1[[#This Row],[UNIT (BUILDING) RATE (SEMI FINISHED)]]+7500</f>
        <v>74345</v>
      </c>
      <c r="AJ818" s="232">
        <f t="shared" si="128"/>
        <v>10360975</v>
      </c>
      <c r="AK818" s="232">
        <f>Table1[[#This Row],[UNIT (BUILDING) RATE (BASIC FINISH)]]*Table1[[#This Row],[Unit Selling Area]]</f>
        <v>11058475</v>
      </c>
      <c r="AL818" s="232">
        <f>Table1[[#This Row],[UNIT (BUILDING) RATE (FULLY FINISH)]]*Table1[[#This Row],[Unit Selling Area]]</f>
        <v>11523475</v>
      </c>
      <c r="AM818" s="232">
        <f t="shared" si="129"/>
        <v>0</v>
      </c>
      <c r="AN818" s="232">
        <f>(AM818+AJ818)*FACTS!$S$2</f>
        <v>880682.87500000012</v>
      </c>
      <c r="AO818" s="101">
        <f>VLOOKUP(S818,FACTS!$A$17:$C$23,3,FALSE)</f>
        <v>2</v>
      </c>
      <c r="AP818" s="232">
        <f>VLOOKUP(AA818,FACTS!$B$2:$J$14,9,FALSE)</f>
        <v>290000</v>
      </c>
      <c r="AQ818" s="232">
        <f>Table1[[#This Row],[PARKING VALUE]]*1</f>
        <v>290000</v>
      </c>
      <c r="AR818" s="232">
        <f t="shared" si="124"/>
        <v>10650975</v>
      </c>
      <c r="AS818" s="440">
        <f>Table1[[#This Row],[TOTAL CARS VALUE]]+Table1[[#This Row],[UNIT (BUILDING) VALUE BASIC FINISHED]]+Table1[[#This Row],[UNIT (GARDEN) VALUE]]</f>
        <v>11348475</v>
      </c>
      <c r="AT818" s="232">
        <f>Table1[[#This Row],[TOTAL CARS VALUE]]+Table1[[#This Row],[UNIT (GARDEN) VALUE]]+Table1[[#This Row],[UNIT (BUILDING) VALUE FULLY FINISHED]]</f>
        <v>11813475</v>
      </c>
      <c r="AU818" s="233">
        <f>VLOOKUP(I818,'C PHASES'!$I$108:$J$110,2,FALSE)</f>
        <v>46569</v>
      </c>
      <c r="AV818" s="233">
        <f>VLOOKUP(AA818,'C PHASES'!$I$113:$J$125,2,FALSE)</f>
        <v>46204</v>
      </c>
    </row>
    <row r="819" spans="1:48" x14ac:dyDescent="0.25">
      <c r="A819" s="235"/>
      <c r="B819" s="227" t="str">
        <f t="shared" si="122"/>
        <v>E</v>
      </c>
      <c r="C819" s="227" t="s">
        <v>78</v>
      </c>
      <c r="D819" s="227" t="s">
        <v>1147</v>
      </c>
      <c r="E819" s="228">
        <v>3</v>
      </c>
      <c r="F819" s="101">
        <v>3</v>
      </c>
      <c r="G819" s="87" t="str">
        <f t="shared" si="131"/>
        <v>E333</v>
      </c>
      <c r="H819" s="87" t="s">
        <v>1294</v>
      </c>
      <c r="I819" s="89" t="str">
        <f>VLOOKUP(C819,'PREMIUM TABLES'!$G$107:$H$149,2,FALSE)</f>
        <v>C3</v>
      </c>
      <c r="J819" s="87">
        <v>131.43</v>
      </c>
      <c r="K819" s="87">
        <v>142.71764950814548</v>
      </c>
      <c r="L819" s="87">
        <v>160</v>
      </c>
      <c r="O819" s="87" t="s">
        <v>187</v>
      </c>
      <c r="P819" s="87" t="s">
        <v>226</v>
      </c>
      <c r="Q819" s="229" t="s">
        <v>212</v>
      </c>
      <c r="R819" s="87" t="str">
        <f>VLOOKUP(E819,'PREMIUM TABLES'!$F$214:$G$219,2,FALSE)</f>
        <v>THIRD</v>
      </c>
      <c r="S819" s="87" t="str" cm="1">
        <f t="array" ref="S819">IF(AND(L819&gt;0,L819&lt;90),"A",IF(AND(L819&gt;90,L819&lt;123),"B",IF(AND(L819&gt;122,L819&lt;159),"C",IF(AND(L819&gt;159,L819&lt;185),"D",IF(AND(L819&gt;185,L819&lt;230),"E",IF(AND(L819&gt;230,L819&lt;350),"F",NONE))))))</f>
        <v>D</v>
      </c>
      <c r="T819" s="230">
        <f>VLOOKUP(O819,'PREMIUM TABLES'!$G$165:$H$172,2,FALSE)</f>
        <v>0.08</v>
      </c>
      <c r="U819" s="230">
        <f>VLOOKUP(P819,'PREMIUM TABLES'!$G$208:$H$209,2,FALSE)</f>
        <v>0.05</v>
      </c>
      <c r="V819" s="230">
        <f>VLOOKUP(Q819,'PREMIUM TABLES'!$G$175:$H$195,2,FALSE)</f>
        <v>0.43</v>
      </c>
      <c r="W819" s="230">
        <f>VLOOKUP(R819,'PREMIUM TABLES'!$G$214:$H$219,2,FALSE)</f>
        <v>0.15</v>
      </c>
      <c r="X819" s="230">
        <f>VLOOKUP(S819,'PREMIUM TABLES'!$F$199:$H$205,3,FALSE)</f>
        <v>2.5000000000000001E-2</v>
      </c>
      <c r="Y819" s="231">
        <f t="shared" si="125"/>
        <v>0.7350000000000001</v>
      </c>
      <c r="Z819" s="231" t="str" cm="1">
        <f t="array" ref="Z819">IF(AND(Y819&gt;0,Y819&lt;0.5),"C",IF(AND(Y819&gt;=0.5,Y819&lt;0.73),"B",IF(AND(Y819&gt;=0.73,Y819&lt;0.98),"A",NONE)))</f>
        <v>A</v>
      </c>
      <c r="AA819" s="231" t="str">
        <f>VLOOKUP(G819,'ALL (R)'!$N$5:$R$862,5,FALSE)</f>
        <v>R 1</v>
      </c>
      <c r="AB819" s="232">
        <f>VLOOKUP(AA819,FACTS!$B$2:$L$14,10,FALSE)</f>
        <v>42500</v>
      </c>
      <c r="AC819" s="232">
        <f>VLOOKUP(AA819,FACTS!$B$2:$L$14,11,FALSE)</f>
        <v>47500</v>
      </c>
      <c r="AD819" s="232">
        <f>VLOOKUP(AA819,FACTS!$B$2:$N$14,13,FALSE)</f>
        <v>5000</v>
      </c>
      <c r="AE819" s="232">
        <f t="shared" si="126"/>
        <v>3675.0000000000005</v>
      </c>
      <c r="AF819" s="232">
        <f t="shared" si="127"/>
        <v>46175</v>
      </c>
      <c r="AG819" s="232">
        <f>AF819*FACTS!$T$2</f>
        <v>15237.75</v>
      </c>
      <c r="AH819" s="232">
        <f>Table1[[#This Row],[UNIT (BUILDING) RATE (SEMI FINISHED)]]+4500</f>
        <v>50675</v>
      </c>
      <c r="AI819" s="232">
        <f>Table1[[#This Row],[UNIT (BUILDING) RATE (SEMI FINISHED)]]+7500</f>
        <v>53675</v>
      </c>
      <c r="AJ819" s="232">
        <f t="shared" si="128"/>
        <v>7388000</v>
      </c>
      <c r="AK819" s="232">
        <f>Table1[[#This Row],[UNIT (BUILDING) RATE (BASIC FINISH)]]*Table1[[#This Row],[Unit Selling Area]]</f>
        <v>8108000</v>
      </c>
      <c r="AL819" s="232">
        <f>Table1[[#This Row],[UNIT (BUILDING) RATE (FULLY FINISH)]]*Table1[[#This Row],[Unit Selling Area]]</f>
        <v>8588000</v>
      </c>
      <c r="AM819" s="232">
        <f t="shared" si="129"/>
        <v>0</v>
      </c>
      <c r="AN819" s="232">
        <f>(AM819+AJ819)*FACTS!$S$2</f>
        <v>627980</v>
      </c>
      <c r="AO819" s="101">
        <f>VLOOKUP(S819,FACTS!$A$17:$C$23,3,FALSE)</f>
        <v>2</v>
      </c>
      <c r="AP819" s="232">
        <f>VLOOKUP(AA819,FACTS!$B$2:$J$14,9,FALSE)</f>
        <v>200000</v>
      </c>
      <c r="AQ819" s="232">
        <f>Table1[[#This Row],[PARKING VALUE]]*1</f>
        <v>200000</v>
      </c>
      <c r="AR819" s="232">
        <f t="shared" si="124"/>
        <v>7588000</v>
      </c>
      <c r="AS819" s="440">
        <f>Table1[[#This Row],[TOTAL CARS VALUE]]+Table1[[#This Row],[UNIT (BUILDING) VALUE BASIC FINISHED]]+Table1[[#This Row],[UNIT (GARDEN) VALUE]]</f>
        <v>8308000</v>
      </c>
      <c r="AT819" s="232">
        <f>Table1[[#This Row],[TOTAL CARS VALUE]]+Table1[[#This Row],[UNIT (GARDEN) VALUE]]+Table1[[#This Row],[UNIT (BUILDING) VALUE FULLY FINISHED]]</f>
        <v>8788000</v>
      </c>
      <c r="AU819" s="233">
        <f>VLOOKUP(I819,'C PHASES'!$I$108:$J$110,2,FALSE)</f>
        <v>46569</v>
      </c>
      <c r="AV819" s="233">
        <f>VLOOKUP(AA819,'C PHASES'!$I$113:$J$125,2,FALSE)</f>
        <v>45170</v>
      </c>
    </row>
    <row r="820" spans="1:48" x14ac:dyDescent="0.25">
      <c r="A820" s="235"/>
      <c r="B820" s="227" t="str">
        <f t="shared" si="122"/>
        <v>E</v>
      </c>
      <c r="C820" s="227" t="s">
        <v>78</v>
      </c>
      <c r="D820" s="227" t="s">
        <v>1147</v>
      </c>
      <c r="E820" s="228">
        <v>3</v>
      </c>
      <c r="F820" s="101">
        <v>4</v>
      </c>
      <c r="G820" s="87" t="str">
        <f t="shared" si="131"/>
        <v>E334</v>
      </c>
      <c r="H820" s="87" t="s">
        <v>1294</v>
      </c>
      <c r="I820" s="89" t="str">
        <f>VLOOKUP(C820,'PREMIUM TABLES'!$G$107:$H$149,2,FALSE)</f>
        <v>C3</v>
      </c>
      <c r="J820" s="87">
        <v>131.88</v>
      </c>
      <c r="K820" s="87">
        <v>143.20629701844501</v>
      </c>
      <c r="L820" s="87">
        <v>161</v>
      </c>
      <c r="O820" s="87" t="s">
        <v>180</v>
      </c>
      <c r="P820" s="87" t="s">
        <v>226</v>
      </c>
      <c r="Q820" s="229" t="s">
        <v>198</v>
      </c>
      <c r="R820" s="87" t="str">
        <f>VLOOKUP(E820,'PREMIUM TABLES'!$F$214:$G$219,2,FALSE)</f>
        <v>THIRD</v>
      </c>
      <c r="S820" s="87" t="str" cm="1">
        <f t="array" ref="S820">IF(AND(L820&gt;0,L820&lt;90),"A",IF(AND(L820&gt;90,L820&lt;123),"B",IF(AND(L820&gt;122,L820&lt;159),"C",IF(AND(L820&gt;159,L820&lt;185),"D",IF(AND(L820&gt;185,L820&lt;230),"E",IF(AND(L820&gt;230,L820&lt;350),"F",NONE))))))</f>
        <v>D</v>
      </c>
      <c r="T820" s="230">
        <f>VLOOKUP(O820,'PREMIUM TABLES'!$G$165:$H$172,2,FALSE)</f>
        <v>0.13</v>
      </c>
      <c r="U820" s="230">
        <f>VLOOKUP(P820,'PREMIUM TABLES'!$G$208:$H$209,2,FALSE)</f>
        <v>0.05</v>
      </c>
      <c r="V820" s="230">
        <f>VLOOKUP(Q820,'PREMIUM TABLES'!$G$175:$H$195,2,FALSE)</f>
        <v>0.15</v>
      </c>
      <c r="W820" s="230">
        <f>VLOOKUP(R820,'PREMIUM TABLES'!$G$214:$H$219,2,FALSE)</f>
        <v>0.15</v>
      </c>
      <c r="X820" s="230">
        <f>VLOOKUP(S820,'PREMIUM TABLES'!$F$199:$H$205,3,FALSE)</f>
        <v>2.5000000000000001E-2</v>
      </c>
      <c r="Y820" s="231">
        <f t="shared" si="125"/>
        <v>0.505</v>
      </c>
      <c r="Z820" s="231" t="str" cm="1">
        <f t="array" ref="Z820">IF(AND(Y820&gt;0,Y820&lt;0.5),"C",IF(AND(Y820&gt;=0.5,Y820&lt;0.73),"B",IF(AND(Y820&gt;=0.73,Y820&lt;0.98),"A",NONE)))</f>
        <v>B</v>
      </c>
      <c r="AA820" s="231" t="str">
        <f>VLOOKUP(G820,'ALL (R)'!$N$5:$R$862,5,FALSE)</f>
        <v>R 1</v>
      </c>
      <c r="AB820" s="232">
        <f>VLOOKUP(AA820,FACTS!$B$2:$L$14,10,FALSE)</f>
        <v>42500</v>
      </c>
      <c r="AC820" s="232">
        <f>VLOOKUP(AA820,FACTS!$B$2:$L$14,11,FALSE)</f>
        <v>47500</v>
      </c>
      <c r="AD820" s="232">
        <f>VLOOKUP(AA820,FACTS!$B$2:$N$14,13,FALSE)</f>
        <v>5000</v>
      </c>
      <c r="AE820" s="232">
        <f t="shared" si="126"/>
        <v>2525</v>
      </c>
      <c r="AF820" s="232">
        <f t="shared" si="127"/>
        <v>45025</v>
      </c>
      <c r="AG820" s="232">
        <f>AF820*FACTS!$T$2</f>
        <v>14858.25</v>
      </c>
      <c r="AH820" s="232">
        <f>Table1[[#This Row],[UNIT (BUILDING) RATE (SEMI FINISHED)]]+4500</f>
        <v>49525</v>
      </c>
      <c r="AI820" s="232">
        <f>Table1[[#This Row],[UNIT (BUILDING) RATE (SEMI FINISHED)]]+7500</f>
        <v>52525</v>
      </c>
      <c r="AJ820" s="232">
        <f t="shared" si="128"/>
        <v>7249025</v>
      </c>
      <c r="AK820" s="232">
        <f>Table1[[#This Row],[UNIT (BUILDING) RATE (BASIC FINISH)]]*Table1[[#This Row],[Unit Selling Area]]</f>
        <v>7973525</v>
      </c>
      <c r="AL820" s="232">
        <f>Table1[[#This Row],[UNIT (BUILDING) RATE (FULLY FINISH)]]*Table1[[#This Row],[Unit Selling Area]]</f>
        <v>8456525</v>
      </c>
      <c r="AM820" s="232">
        <f t="shared" si="129"/>
        <v>0</v>
      </c>
      <c r="AN820" s="232">
        <f>(AM820+AJ820)*FACTS!$S$2</f>
        <v>616167.125</v>
      </c>
      <c r="AO820" s="101">
        <f>VLOOKUP(S820,FACTS!$A$17:$C$23,3,FALSE)</f>
        <v>2</v>
      </c>
      <c r="AP820" s="232">
        <f>VLOOKUP(AA820,FACTS!$B$2:$J$14,9,FALSE)</f>
        <v>200000</v>
      </c>
      <c r="AQ820" s="232">
        <f>Table1[[#This Row],[PARKING VALUE]]*1</f>
        <v>200000</v>
      </c>
      <c r="AR820" s="232">
        <f t="shared" si="124"/>
        <v>7449025</v>
      </c>
      <c r="AS820" s="440">
        <f>Table1[[#This Row],[TOTAL CARS VALUE]]+Table1[[#This Row],[UNIT (BUILDING) VALUE BASIC FINISHED]]+Table1[[#This Row],[UNIT (GARDEN) VALUE]]</f>
        <v>8173525</v>
      </c>
      <c r="AT820" s="232">
        <f>Table1[[#This Row],[TOTAL CARS VALUE]]+Table1[[#This Row],[UNIT (GARDEN) VALUE]]+Table1[[#This Row],[UNIT (BUILDING) VALUE FULLY FINISHED]]</f>
        <v>8656525</v>
      </c>
      <c r="AU820" s="233">
        <f>VLOOKUP(I820,'C PHASES'!$I$108:$J$110,2,FALSE)</f>
        <v>46569</v>
      </c>
      <c r="AV820" s="233">
        <f>VLOOKUP(AA820,'C PHASES'!$I$113:$J$125,2,FALSE)</f>
        <v>45170</v>
      </c>
    </row>
    <row r="821" spans="1:48" x14ac:dyDescent="0.25">
      <c r="A821" s="235"/>
      <c r="B821" s="227" t="str">
        <f t="shared" si="122"/>
        <v>E</v>
      </c>
      <c r="C821" s="227" t="s">
        <v>78</v>
      </c>
      <c r="D821" s="227" t="s">
        <v>1147</v>
      </c>
      <c r="E821" s="228">
        <v>4</v>
      </c>
      <c r="F821" s="101">
        <v>1</v>
      </c>
      <c r="G821" s="87" t="str">
        <f t="shared" si="131"/>
        <v>E341</v>
      </c>
      <c r="H821" s="87" t="s">
        <v>1294</v>
      </c>
      <c r="I821" s="89" t="str">
        <f>VLOOKUP(C821,'PREMIUM TABLES'!$G$107:$H$149,2,FALSE)</f>
        <v>C3</v>
      </c>
      <c r="J821" s="87">
        <v>125.13</v>
      </c>
      <c r="K821" s="87">
        <v>135.87658436395225</v>
      </c>
      <c r="L821" s="87">
        <v>153</v>
      </c>
      <c r="O821" s="87" t="s">
        <v>180</v>
      </c>
      <c r="P821" s="87" t="s">
        <v>190</v>
      </c>
      <c r="Q821" s="229" t="s">
        <v>198</v>
      </c>
      <c r="R821" s="87" t="str">
        <f>VLOOKUP(E821,'PREMIUM TABLES'!$F$214:$G$219,2,FALSE)</f>
        <v>FORTH</v>
      </c>
      <c r="S821" s="87" t="str" cm="1">
        <f t="array" ref="S821">IF(AND(L821&gt;0,L821&lt;90),"A",IF(AND(L821&gt;90,L821&lt;123),"B",IF(AND(L821&gt;122,L821&lt;159),"C",IF(AND(L821&gt;159,L821&lt;185),"D",IF(AND(L821&gt;185,L821&lt;230),"E",IF(AND(L821&gt;230,L821&lt;350),"F",NONE))))))</f>
        <v>C</v>
      </c>
      <c r="T821" s="230">
        <f>VLOOKUP(O821,'PREMIUM TABLES'!$G$165:$H$172,2,FALSE)</f>
        <v>0.13</v>
      </c>
      <c r="U821" s="230">
        <f>VLOOKUP(P821,'PREMIUM TABLES'!$G$208:$H$209,2,FALSE)</f>
        <v>2.5000000000000001E-2</v>
      </c>
      <c r="V821" s="230">
        <f>VLOOKUP(Q821,'PREMIUM TABLES'!$G$175:$H$195,2,FALSE)</f>
        <v>0.15</v>
      </c>
      <c r="W821" s="230">
        <f>VLOOKUP(R821,'PREMIUM TABLES'!$G$214:$H$219,2,FALSE)</f>
        <v>0.06</v>
      </c>
      <c r="X821" s="230">
        <f>VLOOKUP(S821,'PREMIUM TABLES'!$F$199:$H$205,3,FALSE)</f>
        <v>3.5000000000000003E-2</v>
      </c>
      <c r="Y821" s="231">
        <f t="shared" si="125"/>
        <v>0.4</v>
      </c>
      <c r="Z821" s="231" t="str" cm="1">
        <f t="array" ref="Z821">IF(AND(Y821&gt;0,Y821&lt;0.5),"C",IF(AND(Y821&gt;=0.5,Y821&lt;0.73),"B",IF(AND(Y821&gt;=0.73,Y821&lt;0.98),"A",NONE)))</f>
        <v>C</v>
      </c>
      <c r="AA821" s="231" t="str">
        <f>VLOOKUP(G821,'ALL (R)'!$N$5:$R$862,5,FALSE)</f>
        <v>R 5</v>
      </c>
      <c r="AB821" s="232">
        <f>VLOOKUP(AA821,FACTS!$B$2:$L$14,10,FALSE)</f>
        <v>46750.000000000007</v>
      </c>
      <c r="AC821" s="232">
        <f>VLOOKUP(AA821,FACTS!$B$2:$L$14,11,FALSE)</f>
        <v>52250.000000000007</v>
      </c>
      <c r="AD821" s="232">
        <f>VLOOKUP(AA821,FACTS!$B$2:$N$14,13,FALSE)</f>
        <v>5500</v>
      </c>
      <c r="AE821" s="232">
        <f t="shared" si="126"/>
        <v>2200</v>
      </c>
      <c r="AF821" s="232">
        <f t="shared" si="127"/>
        <v>48950.000000000007</v>
      </c>
      <c r="AG821" s="232">
        <f>AF821*FACTS!$T$2</f>
        <v>16153.500000000004</v>
      </c>
      <c r="AH821" s="232">
        <f>Table1[[#This Row],[UNIT (BUILDING) RATE (SEMI FINISHED)]]+4500</f>
        <v>53450.000000000007</v>
      </c>
      <c r="AI821" s="232">
        <f>Table1[[#This Row],[UNIT (BUILDING) RATE (SEMI FINISHED)]]+7500</f>
        <v>56450.000000000007</v>
      </c>
      <c r="AJ821" s="232">
        <f t="shared" si="128"/>
        <v>7489350.0000000009</v>
      </c>
      <c r="AK821" s="232">
        <f>Table1[[#This Row],[UNIT (BUILDING) RATE (BASIC FINISH)]]*Table1[[#This Row],[Unit Selling Area]]</f>
        <v>8177850.0000000009</v>
      </c>
      <c r="AL821" s="232">
        <f>Table1[[#This Row],[UNIT (BUILDING) RATE (FULLY FINISH)]]*Table1[[#This Row],[Unit Selling Area]]</f>
        <v>8636850.0000000019</v>
      </c>
      <c r="AM821" s="232">
        <f t="shared" si="129"/>
        <v>0</v>
      </c>
      <c r="AN821" s="232">
        <f>(AM821+AJ821)*FACTS!$S$2</f>
        <v>636594.75000000012</v>
      </c>
      <c r="AO821" s="101">
        <f>VLOOKUP(S821,FACTS!$A$17:$C$23,3,FALSE)</f>
        <v>2</v>
      </c>
      <c r="AP821" s="232">
        <f>VLOOKUP(AA821,FACTS!$B$2:$J$14,9,FALSE)</f>
        <v>220000.00000000003</v>
      </c>
      <c r="AQ821" s="232">
        <f>Table1[[#This Row],[PARKING VALUE]]*1</f>
        <v>220000.00000000003</v>
      </c>
      <c r="AR821" s="232">
        <f t="shared" si="124"/>
        <v>7709350.0000000009</v>
      </c>
      <c r="AS821" s="440">
        <f>Table1[[#This Row],[TOTAL CARS VALUE]]+Table1[[#This Row],[UNIT (BUILDING) VALUE BASIC FINISHED]]+Table1[[#This Row],[UNIT (GARDEN) VALUE]]</f>
        <v>8397850.0000000019</v>
      </c>
      <c r="AT821" s="232">
        <f>Table1[[#This Row],[TOTAL CARS VALUE]]+Table1[[#This Row],[UNIT (GARDEN) VALUE]]+Table1[[#This Row],[UNIT (BUILDING) VALUE FULLY FINISHED]]</f>
        <v>8856850.0000000019</v>
      </c>
      <c r="AU821" s="233">
        <f>VLOOKUP(I821,'C PHASES'!$I$108:$J$110,2,FALSE)</f>
        <v>46569</v>
      </c>
      <c r="AV821" s="233">
        <f>VLOOKUP(AA821,'C PHASES'!$I$113:$J$125,2,FALSE)</f>
        <v>45566</v>
      </c>
    </row>
    <row r="822" spans="1:48" x14ac:dyDescent="0.25">
      <c r="A822" s="235"/>
      <c r="B822" s="227" t="str">
        <f t="shared" ref="B822:B862" si="132">LEFT(C822,1)</f>
        <v>E</v>
      </c>
      <c r="C822" s="227" t="s">
        <v>78</v>
      </c>
      <c r="D822" s="227" t="s">
        <v>1147</v>
      </c>
      <c r="E822" s="228">
        <v>4</v>
      </c>
      <c r="F822" s="101">
        <v>2</v>
      </c>
      <c r="G822" s="87" t="str">
        <f t="shared" si="131"/>
        <v>E342</v>
      </c>
      <c r="H822" s="87" t="s">
        <v>1294</v>
      </c>
      <c r="I822" s="89" t="str">
        <f>VLOOKUP(C822,'PREMIUM TABLES'!$G$107:$H$149,2,FALSE)</f>
        <v>C3</v>
      </c>
      <c r="J822" s="87">
        <v>127.19</v>
      </c>
      <c r="K822" s="87">
        <v>138.11350407776783</v>
      </c>
      <c r="L822" s="87">
        <v>155</v>
      </c>
      <c r="O822" s="87" t="s">
        <v>187</v>
      </c>
      <c r="P822" s="87" t="s">
        <v>190</v>
      </c>
      <c r="Q822" s="229" t="s">
        <v>212</v>
      </c>
      <c r="R822" s="87" t="str">
        <f>VLOOKUP(E822,'PREMIUM TABLES'!$F$214:$G$219,2,FALSE)</f>
        <v>FORTH</v>
      </c>
      <c r="S822" s="87" t="str" cm="1">
        <f t="array" ref="S822">IF(AND(L822&gt;0,L822&lt;90),"A",IF(AND(L822&gt;90,L822&lt;123),"B",IF(AND(L822&gt;122,L822&lt;159),"C",IF(AND(L822&gt;159,L822&lt;185),"D",IF(AND(L822&gt;185,L822&lt;230),"E",IF(AND(L822&gt;230,L822&lt;350),"F",NONE))))))</f>
        <v>C</v>
      </c>
      <c r="T822" s="230">
        <f>VLOOKUP(O822,'PREMIUM TABLES'!$G$165:$H$172,2,FALSE)</f>
        <v>0.08</v>
      </c>
      <c r="U822" s="230">
        <f>VLOOKUP(P822,'PREMIUM TABLES'!$G$208:$H$209,2,FALSE)</f>
        <v>2.5000000000000001E-2</v>
      </c>
      <c r="V822" s="230">
        <f>VLOOKUP(Q822,'PREMIUM TABLES'!$G$175:$H$195,2,FALSE)</f>
        <v>0.43</v>
      </c>
      <c r="W822" s="230">
        <f>VLOOKUP(R822,'PREMIUM TABLES'!$G$214:$H$219,2,FALSE)</f>
        <v>0.06</v>
      </c>
      <c r="X822" s="230">
        <f>VLOOKUP(S822,'PREMIUM TABLES'!$F$199:$H$205,3,FALSE)</f>
        <v>3.5000000000000003E-2</v>
      </c>
      <c r="Y822" s="231">
        <f t="shared" si="125"/>
        <v>0.63</v>
      </c>
      <c r="Z822" s="231" t="str" cm="1">
        <f t="array" ref="Z822">IF(AND(Y822&gt;0,Y822&lt;0.5),"C",IF(AND(Y822&gt;=0.5,Y822&lt;0.73),"B",IF(AND(Y822&gt;=0.73,Y822&lt;0.98),"A",NONE)))</f>
        <v>B</v>
      </c>
      <c r="AA822" s="231" t="str">
        <f>VLOOKUP(G822,'ALL (R)'!$N$5:$R$862,5,FALSE)</f>
        <v>R 3</v>
      </c>
      <c r="AB822" s="232">
        <f>VLOOKUP(AA822,FACTS!$B$2:$L$14,10,FALSE)</f>
        <v>44625</v>
      </c>
      <c r="AC822" s="232">
        <f>VLOOKUP(AA822,FACTS!$B$2:$L$14,11,FALSE)</f>
        <v>49875</v>
      </c>
      <c r="AD822" s="232">
        <f>VLOOKUP(AA822,FACTS!$B$2:$N$14,13,FALSE)</f>
        <v>5250</v>
      </c>
      <c r="AE822" s="232">
        <f t="shared" si="126"/>
        <v>3307.5</v>
      </c>
      <c r="AF822" s="232">
        <f t="shared" si="127"/>
        <v>47932.5</v>
      </c>
      <c r="AG822" s="232">
        <f>AF822*FACTS!$T$2</f>
        <v>15817.725</v>
      </c>
      <c r="AH822" s="232">
        <f>Table1[[#This Row],[UNIT (BUILDING) RATE (SEMI FINISHED)]]+4500</f>
        <v>52432.5</v>
      </c>
      <c r="AI822" s="232">
        <f>Table1[[#This Row],[UNIT (BUILDING) RATE (SEMI FINISHED)]]+7500</f>
        <v>55432.5</v>
      </c>
      <c r="AJ822" s="232">
        <f t="shared" si="128"/>
        <v>7429537.5</v>
      </c>
      <c r="AK822" s="232">
        <f>Table1[[#This Row],[UNIT (BUILDING) RATE (BASIC FINISH)]]*Table1[[#This Row],[Unit Selling Area]]</f>
        <v>8127037.5</v>
      </c>
      <c r="AL822" s="232">
        <f>Table1[[#This Row],[UNIT (BUILDING) RATE (FULLY FINISH)]]*Table1[[#This Row],[Unit Selling Area]]</f>
        <v>8592037.5</v>
      </c>
      <c r="AM822" s="232">
        <f t="shared" si="129"/>
        <v>0</v>
      </c>
      <c r="AN822" s="232">
        <f>(AM822+AJ822)*FACTS!$S$2</f>
        <v>631510.6875</v>
      </c>
      <c r="AO822" s="101">
        <f>VLOOKUP(S822,FACTS!$A$17:$C$23,3,FALSE)</f>
        <v>2</v>
      </c>
      <c r="AP822" s="232">
        <f>VLOOKUP(AA822,FACTS!$B$2:$J$14,9,FALSE)</f>
        <v>210000</v>
      </c>
      <c r="AQ822" s="232">
        <f>Table1[[#This Row],[PARKING VALUE]]*1</f>
        <v>210000</v>
      </c>
      <c r="AR822" s="232">
        <f t="shared" si="124"/>
        <v>7639537.5</v>
      </c>
      <c r="AS822" s="440">
        <f>Table1[[#This Row],[TOTAL CARS VALUE]]+Table1[[#This Row],[UNIT (BUILDING) VALUE BASIC FINISHED]]+Table1[[#This Row],[UNIT (GARDEN) VALUE]]</f>
        <v>8337037.5</v>
      </c>
      <c r="AT822" s="232">
        <f>Table1[[#This Row],[TOTAL CARS VALUE]]+Table1[[#This Row],[UNIT (GARDEN) VALUE]]+Table1[[#This Row],[UNIT (BUILDING) VALUE FULLY FINISHED]]</f>
        <v>8802037.5</v>
      </c>
      <c r="AU822" s="233">
        <f>VLOOKUP(I822,'C PHASES'!$I$108:$J$110,2,FALSE)</f>
        <v>46569</v>
      </c>
      <c r="AV822" s="233">
        <f>VLOOKUP(AA822,'C PHASES'!$I$113:$J$125,2,FALSE)</f>
        <v>45383</v>
      </c>
    </row>
    <row r="823" spans="1:48" x14ac:dyDescent="0.25">
      <c r="A823" s="235"/>
      <c r="B823" s="227" t="str">
        <f t="shared" si="132"/>
        <v>E</v>
      </c>
      <c r="C823" s="227" t="s">
        <v>78</v>
      </c>
      <c r="D823" s="227" t="s">
        <v>1147</v>
      </c>
      <c r="E823" s="228">
        <v>4</v>
      </c>
      <c r="F823" s="101">
        <v>3</v>
      </c>
      <c r="G823" s="87" t="str">
        <f t="shared" si="131"/>
        <v>E343</v>
      </c>
      <c r="H823" s="87" t="s">
        <v>1294</v>
      </c>
      <c r="I823" s="89" t="str">
        <f>VLOOKUP(C823,'PREMIUM TABLES'!$G$107:$H$149,2,FALSE)</f>
        <v>C3</v>
      </c>
      <c r="J823" s="87">
        <v>131.38</v>
      </c>
      <c r="K823" s="87">
        <v>142.66335534033442</v>
      </c>
      <c r="L823" s="87">
        <v>160</v>
      </c>
      <c r="O823" s="87" t="s">
        <v>187</v>
      </c>
      <c r="P823" s="87" t="s">
        <v>226</v>
      </c>
      <c r="Q823" s="229" t="s">
        <v>212</v>
      </c>
      <c r="R823" s="87" t="str">
        <f>VLOOKUP(E823,'PREMIUM TABLES'!$F$214:$G$219,2,FALSE)</f>
        <v>FORTH</v>
      </c>
      <c r="S823" s="87" t="str" cm="1">
        <f t="array" ref="S823">IF(AND(L823&gt;0,L823&lt;90),"A",IF(AND(L823&gt;90,L823&lt;123),"B",IF(AND(L823&gt;122,L823&lt;159),"C",IF(AND(L823&gt;159,L823&lt;185),"D",IF(AND(L823&gt;185,L823&lt;230),"E",IF(AND(L823&gt;230,L823&lt;350),"F",NONE))))))</f>
        <v>D</v>
      </c>
      <c r="T823" s="230">
        <f>VLOOKUP(O823,'PREMIUM TABLES'!$G$165:$H$172,2,FALSE)</f>
        <v>0.08</v>
      </c>
      <c r="U823" s="230">
        <f>VLOOKUP(P823,'PREMIUM TABLES'!$G$208:$H$209,2,FALSE)</f>
        <v>0.05</v>
      </c>
      <c r="V823" s="230">
        <f>VLOOKUP(Q823,'PREMIUM TABLES'!$G$175:$H$195,2,FALSE)</f>
        <v>0.43</v>
      </c>
      <c r="W823" s="230">
        <f>VLOOKUP(R823,'PREMIUM TABLES'!$G$214:$H$219,2,FALSE)</f>
        <v>0.06</v>
      </c>
      <c r="X823" s="230">
        <f>VLOOKUP(S823,'PREMIUM TABLES'!$F$199:$H$205,3,FALSE)</f>
        <v>2.5000000000000001E-2</v>
      </c>
      <c r="Y823" s="231">
        <f t="shared" si="125"/>
        <v>0.64500000000000013</v>
      </c>
      <c r="Z823" s="231" t="str" cm="1">
        <f t="array" ref="Z823">IF(AND(Y823&gt;0,Y823&lt;0.5),"C",IF(AND(Y823&gt;=0.5,Y823&lt;0.73),"B",IF(AND(Y823&gt;=0.73,Y823&lt;0.98),"A",NONE)))</f>
        <v>B</v>
      </c>
      <c r="AA823" s="231" t="str">
        <f>VLOOKUP(G823,'ALL (R)'!$N$5:$R$862,5,FALSE)</f>
        <v>R 4</v>
      </c>
      <c r="AB823" s="232">
        <f>VLOOKUP(AA823,FACTS!$B$2:$L$14,10,FALSE)</f>
        <v>45687.5</v>
      </c>
      <c r="AC823" s="232">
        <f>VLOOKUP(AA823,FACTS!$B$2:$L$14,11,FALSE)</f>
        <v>51062.5</v>
      </c>
      <c r="AD823" s="232">
        <f>VLOOKUP(AA823,FACTS!$B$2:$N$14,13,FALSE)</f>
        <v>5375</v>
      </c>
      <c r="AE823" s="232">
        <f t="shared" si="126"/>
        <v>3466.8750000000009</v>
      </c>
      <c r="AF823" s="232">
        <f t="shared" si="127"/>
        <v>49154.375</v>
      </c>
      <c r="AG823" s="232">
        <f>AF823*FACTS!$T$2</f>
        <v>16220.94375</v>
      </c>
      <c r="AH823" s="232">
        <f>Table1[[#This Row],[UNIT (BUILDING) RATE (SEMI FINISHED)]]+4500</f>
        <v>53654.375</v>
      </c>
      <c r="AI823" s="232">
        <f>Table1[[#This Row],[UNIT (BUILDING) RATE (SEMI FINISHED)]]+7500</f>
        <v>56654.375</v>
      </c>
      <c r="AJ823" s="232">
        <f t="shared" si="128"/>
        <v>7864700</v>
      </c>
      <c r="AK823" s="232">
        <f>Table1[[#This Row],[UNIT (BUILDING) RATE (BASIC FINISH)]]*Table1[[#This Row],[Unit Selling Area]]</f>
        <v>8584700</v>
      </c>
      <c r="AL823" s="232">
        <f>Table1[[#This Row],[UNIT (BUILDING) RATE (FULLY FINISH)]]*Table1[[#This Row],[Unit Selling Area]]</f>
        <v>9064700</v>
      </c>
      <c r="AM823" s="232">
        <f t="shared" si="129"/>
        <v>0</v>
      </c>
      <c r="AN823" s="232">
        <f>(AM823+AJ823)*FACTS!$S$2</f>
        <v>668499.5</v>
      </c>
      <c r="AO823" s="101">
        <f>VLOOKUP(S823,FACTS!$A$17:$C$23,3,FALSE)</f>
        <v>2</v>
      </c>
      <c r="AP823" s="232">
        <f>VLOOKUP(AA823,FACTS!$B$2:$J$14,9,FALSE)</f>
        <v>215000</v>
      </c>
      <c r="AQ823" s="232">
        <f>Table1[[#This Row],[PARKING VALUE]]*1</f>
        <v>215000</v>
      </c>
      <c r="AR823" s="232">
        <f t="shared" si="124"/>
        <v>8079700</v>
      </c>
      <c r="AS823" s="440">
        <f>Table1[[#This Row],[TOTAL CARS VALUE]]+Table1[[#This Row],[UNIT (BUILDING) VALUE BASIC FINISHED]]+Table1[[#This Row],[UNIT (GARDEN) VALUE]]</f>
        <v>8799700</v>
      </c>
      <c r="AT823" s="232">
        <f>Table1[[#This Row],[TOTAL CARS VALUE]]+Table1[[#This Row],[UNIT (GARDEN) VALUE]]+Table1[[#This Row],[UNIT (BUILDING) VALUE FULLY FINISHED]]</f>
        <v>9279700</v>
      </c>
      <c r="AU823" s="233">
        <f>VLOOKUP(I823,'C PHASES'!$I$108:$J$110,2,FALSE)</f>
        <v>46569</v>
      </c>
      <c r="AV823" s="233">
        <f>VLOOKUP(AA823,'C PHASES'!$I$113:$J$125,2,FALSE)</f>
        <v>45474</v>
      </c>
    </row>
    <row r="824" spans="1:48" x14ac:dyDescent="0.25">
      <c r="A824" s="235"/>
      <c r="B824" s="227" t="str">
        <f t="shared" si="132"/>
        <v>E</v>
      </c>
      <c r="C824" s="227" t="s">
        <v>78</v>
      </c>
      <c r="D824" s="227" t="s">
        <v>1147</v>
      </c>
      <c r="E824" s="228">
        <v>4</v>
      </c>
      <c r="F824" s="101">
        <v>4</v>
      </c>
      <c r="G824" s="87" t="str">
        <f t="shared" si="131"/>
        <v>E344</v>
      </c>
      <c r="H824" s="87" t="s">
        <v>1294</v>
      </c>
      <c r="I824" s="89" t="str">
        <f>VLOOKUP(C824,'PREMIUM TABLES'!$G$107:$H$149,2,FALSE)</f>
        <v>C3</v>
      </c>
      <c r="J824" s="87">
        <v>129.58000000000001</v>
      </c>
      <c r="K824" s="87">
        <v>140.70876529913639</v>
      </c>
      <c r="L824" s="87">
        <v>158</v>
      </c>
      <c r="O824" s="87" t="s">
        <v>180</v>
      </c>
      <c r="P824" s="87" t="s">
        <v>226</v>
      </c>
      <c r="Q824" s="229" t="s">
        <v>198</v>
      </c>
      <c r="R824" s="87" t="str">
        <f>VLOOKUP(E824,'PREMIUM TABLES'!$F$214:$G$219,2,FALSE)</f>
        <v>FORTH</v>
      </c>
      <c r="S824" s="87" t="str" cm="1">
        <f t="array" ref="S824">IF(AND(L824&gt;0,L824&lt;90),"A",IF(AND(L824&gt;90,L824&lt;123),"B",IF(AND(L824&gt;122,L824&lt;159),"C",IF(AND(L824&gt;159,L824&lt;185),"D",IF(AND(L824&gt;185,L824&lt;230),"E",IF(AND(L824&gt;230,L824&lt;350),"F",NONE))))))</f>
        <v>C</v>
      </c>
      <c r="T824" s="230">
        <f>VLOOKUP(O824,'PREMIUM TABLES'!$G$165:$H$172,2,FALSE)</f>
        <v>0.13</v>
      </c>
      <c r="U824" s="230">
        <f>VLOOKUP(P824,'PREMIUM TABLES'!$G$208:$H$209,2,FALSE)</f>
        <v>0.05</v>
      </c>
      <c r="V824" s="230">
        <f>VLOOKUP(Q824,'PREMIUM TABLES'!$G$175:$H$195,2,FALSE)</f>
        <v>0.15</v>
      </c>
      <c r="W824" s="230">
        <f>VLOOKUP(R824,'PREMIUM TABLES'!$G$214:$H$219,2,FALSE)</f>
        <v>0.06</v>
      </c>
      <c r="X824" s="230">
        <f>VLOOKUP(S824,'PREMIUM TABLES'!$F$199:$H$205,3,FALSE)</f>
        <v>3.5000000000000003E-2</v>
      </c>
      <c r="Y824" s="231">
        <f t="shared" si="125"/>
        <v>0.42499999999999993</v>
      </c>
      <c r="Z824" s="231" t="str" cm="1">
        <f t="array" ref="Z824">IF(AND(Y824&gt;0,Y824&lt;0.5),"C",IF(AND(Y824&gt;=0.5,Y824&lt;0.73),"B",IF(AND(Y824&gt;=0.73,Y824&lt;0.98),"A",NONE)))</f>
        <v>C</v>
      </c>
      <c r="AA824" s="231" t="str">
        <f>VLOOKUP(G824,'ALL (R)'!$N$5:$R$862,5,FALSE)</f>
        <v>R 7</v>
      </c>
      <c r="AB824" s="232">
        <f>VLOOKUP(AA824,FACTS!$B$2:$L$14,10,FALSE)</f>
        <v>50150</v>
      </c>
      <c r="AC824" s="232">
        <f>VLOOKUP(AA824,FACTS!$B$2:$L$14,11,FALSE)</f>
        <v>56050</v>
      </c>
      <c r="AD824" s="232">
        <f>VLOOKUP(AA824,FACTS!$B$2:$N$14,13,FALSE)</f>
        <v>5900</v>
      </c>
      <c r="AE824" s="232">
        <f t="shared" si="126"/>
        <v>2507.4999999999995</v>
      </c>
      <c r="AF824" s="232">
        <f t="shared" si="127"/>
        <v>52657.5</v>
      </c>
      <c r="AG824" s="232">
        <f>AF824*FACTS!$T$2</f>
        <v>17376.975000000002</v>
      </c>
      <c r="AH824" s="232">
        <f>Table1[[#This Row],[UNIT (BUILDING) RATE (SEMI FINISHED)]]+4500</f>
        <v>57157.5</v>
      </c>
      <c r="AI824" s="232">
        <f>Table1[[#This Row],[UNIT (BUILDING) RATE (SEMI FINISHED)]]+7500</f>
        <v>60157.5</v>
      </c>
      <c r="AJ824" s="232">
        <f t="shared" si="128"/>
        <v>8319885</v>
      </c>
      <c r="AK824" s="232">
        <f>Table1[[#This Row],[UNIT (BUILDING) RATE (BASIC FINISH)]]*Table1[[#This Row],[Unit Selling Area]]</f>
        <v>9030885</v>
      </c>
      <c r="AL824" s="232">
        <f>Table1[[#This Row],[UNIT (BUILDING) RATE (FULLY FINISH)]]*Table1[[#This Row],[Unit Selling Area]]</f>
        <v>9504885</v>
      </c>
      <c r="AM824" s="232">
        <f t="shared" si="129"/>
        <v>0</v>
      </c>
      <c r="AN824" s="232">
        <f>(AM824+AJ824)*FACTS!$S$2</f>
        <v>707190.22500000009</v>
      </c>
      <c r="AO824" s="101">
        <f>VLOOKUP(S824,FACTS!$A$17:$C$23,3,FALSE)</f>
        <v>2</v>
      </c>
      <c r="AP824" s="232">
        <f>VLOOKUP(AA824,FACTS!$B$2:$J$14,9,FALSE)</f>
        <v>236000</v>
      </c>
      <c r="AQ824" s="232">
        <f>Table1[[#This Row],[PARKING VALUE]]*1</f>
        <v>236000</v>
      </c>
      <c r="AR824" s="232">
        <f t="shared" si="124"/>
        <v>8555885</v>
      </c>
      <c r="AS824" s="440">
        <f>Table1[[#This Row],[TOTAL CARS VALUE]]+Table1[[#This Row],[UNIT (BUILDING) VALUE BASIC FINISHED]]+Table1[[#This Row],[UNIT (GARDEN) VALUE]]</f>
        <v>9266885</v>
      </c>
      <c r="AT824" s="232">
        <f>Table1[[#This Row],[TOTAL CARS VALUE]]+Table1[[#This Row],[UNIT (GARDEN) VALUE]]+Table1[[#This Row],[UNIT (BUILDING) VALUE FULLY FINISHED]]</f>
        <v>9740885</v>
      </c>
      <c r="AU824" s="233">
        <f>VLOOKUP(I824,'C PHASES'!$I$108:$J$110,2,FALSE)</f>
        <v>46569</v>
      </c>
      <c r="AV824" s="233">
        <f>VLOOKUP(AA824,'C PHASES'!$I$113:$J$125,2,FALSE)</f>
        <v>45748</v>
      </c>
    </row>
    <row r="825" spans="1:48" ht="21.75" x14ac:dyDescent="0.25">
      <c r="A825" s="235" t="s">
        <v>38</v>
      </c>
      <c r="B825" s="227" t="str">
        <f t="shared" si="132"/>
        <v>E</v>
      </c>
      <c r="C825" s="227" t="s">
        <v>77</v>
      </c>
      <c r="D825" s="227" t="s">
        <v>1147</v>
      </c>
      <c r="E825" s="228">
        <v>0</v>
      </c>
      <c r="F825" s="101">
        <v>1</v>
      </c>
      <c r="G825" s="87" t="str">
        <f>LEFT(C825,2)&amp;E825&amp;F825</f>
        <v>E401</v>
      </c>
      <c r="H825" s="87" t="s">
        <v>1294</v>
      </c>
      <c r="I825" s="89" t="str">
        <f>VLOOKUP(C825,'PREMIUM TABLES'!$G$107:$H$149,2,FALSE)</f>
        <v>C3</v>
      </c>
      <c r="J825" s="87">
        <v>131.32</v>
      </c>
      <c r="K825" s="87">
        <v>142.66718842094684</v>
      </c>
      <c r="L825" s="87">
        <v>160</v>
      </c>
      <c r="M825" s="87">
        <v>89.694999999999993</v>
      </c>
      <c r="O825" s="87" t="s">
        <v>180</v>
      </c>
      <c r="P825" s="87" t="s">
        <v>190</v>
      </c>
      <c r="Q825" s="229" t="s">
        <v>198</v>
      </c>
      <c r="R825" s="87" t="str">
        <f>VLOOKUP(E825,'PREMIUM TABLES'!$F$214:$G$219,2,FALSE)</f>
        <v>GROUND</v>
      </c>
      <c r="S825" s="87" t="str" cm="1">
        <f t="array" ref="S825">IF(AND(L825&gt;0,L825&lt;90),"A",IF(AND(L825&gt;90,L825&lt;123),"B",IF(AND(L825&gt;122,L825&lt;159),"C",IF(AND(L825&gt;159,L825&lt;185),"D",IF(AND(L825&gt;185,L825&lt;230),"E",IF(AND(L825&gt;230,L825&lt;350),"F",NONE))))))</f>
        <v>D</v>
      </c>
      <c r="T825" s="230">
        <f>VLOOKUP(O825,'PREMIUM TABLES'!$G$165:$H$172,2,FALSE)</f>
        <v>0.13</v>
      </c>
      <c r="U825" s="230">
        <f>VLOOKUP(P825,'PREMIUM TABLES'!$G$208:$H$209,2,FALSE)</f>
        <v>2.5000000000000001E-2</v>
      </c>
      <c r="V825" s="230">
        <f>VLOOKUP(Q825,'PREMIUM TABLES'!$G$175:$H$195,2,FALSE)</f>
        <v>0.15</v>
      </c>
      <c r="W825" s="230">
        <f>VLOOKUP(R825,'PREMIUM TABLES'!$G$214:$H$219,2,FALSE)</f>
        <v>0.05</v>
      </c>
      <c r="X825" s="230">
        <f>VLOOKUP(S825,'PREMIUM TABLES'!$F$199:$H$205,3,FALSE)</f>
        <v>2.5000000000000001E-2</v>
      </c>
      <c r="Y825" s="231">
        <f t="shared" si="125"/>
        <v>0.38</v>
      </c>
      <c r="Z825" s="231" t="str" cm="1">
        <f t="array" ref="Z825">IF(AND(Y825&gt;0,Y825&lt;0.5),"C",IF(AND(Y825&gt;=0.5,Y825&lt;0.73),"B",IF(AND(Y825&gt;=0.73,Y825&lt;0.98),"A",NONE)))</f>
        <v>C</v>
      </c>
      <c r="AA825" s="231" t="str">
        <f>VLOOKUP(G825,'ALL (R)'!$N$5:$R$862,5,FALSE)</f>
        <v>R 3</v>
      </c>
      <c r="AB825" s="232">
        <f>VLOOKUP(AA825,FACTS!$B$2:$L$14,10,FALSE)</f>
        <v>44625</v>
      </c>
      <c r="AC825" s="232">
        <f>VLOOKUP(AA825,FACTS!$B$2:$L$14,11,FALSE)</f>
        <v>49875</v>
      </c>
      <c r="AD825" s="232">
        <f>VLOOKUP(AA825,FACTS!$B$2:$N$14,13,FALSE)</f>
        <v>5250</v>
      </c>
      <c r="AE825" s="232">
        <f t="shared" si="126"/>
        <v>1995</v>
      </c>
      <c r="AF825" s="232">
        <f t="shared" si="127"/>
        <v>46620</v>
      </c>
      <c r="AG825" s="232">
        <f>AF825*FACTS!$T$2</f>
        <v>15384.6</v>
      </c>
      <c r="AH825" s="232">
        <f>Table1[[#This Row],[UNIT (BUILDING) RATE (SEMI FINISHED)]]+4500</f>
        <v>51120</v>
      </c>
      <c r="AI825" s="232">
        <f>Table1[[#This Row],[UNIT (BUILDING) RATE (SEMI FINISHED)]]+7500</f>
        <v>54120</v>
      </c>
      <c r="AJ825" s="232">
        <f t="shared" si="128"/>
        <v>7459200</v>
      </c>
      <c r="AK825" s="232">
        <f>Table1[[#This Row],[UNIT (BUILDING) RATE (BASIC FINISH)]]*Table1[[#This Row],[Unit Selling Area]]</f>
        <v>8179200</v>
      </c>
      <c r="AL825" s="232">
        <f>Table1[[#This Row],[UNIT (BUILDING) RATE (FULLY FINISH)]]*Table1[[#This Row],[Unit Selling Area]]</f>
        <v>8659200</v>
      </c>
      <c r="AM825" s="232">
        <f t="shared" si="129"/>
        <v>1379921.6969999999</v>
      </c>
      <c r="AN825" s="232">
        <f>(AM825+AJ825)*FACTS!$S$2</f>
        <v>751325.34424500016</v>
      </c>
      <c r="AO825" s="101">
        <f>VLOOKUP(S825,FACTS!$A$17:$C$23,3,FALSE)</f>
        <v>2</v>
      </c>
      <c r="AP825" s="232">
        <f>VLOOKUP(AA825,FACTS!$B$2:$J$14,9,FALSE)</f>
        <v>210000</v>
      </c>
      <c r="AQ825" s="232">
        <f>Table1[[#This Row],[PARKING VALUE]]*1</f>
        <v>210000</v>
      </c>
      <c r="AR825" s="232">
        <f t="shared" si="124"/>
        <v>9049121.6970000006</v>
      </c>
      <c r="AS825" s="440">
        <f>Table1[[#This Row],[TOTAL CARS VALUE]]+Table1[[#This Row],[UNIT (BUILDING) VALUE BASIC FINISHED]]+Table1[[#This Row],[UNIT (GARDEN) VALUE]]</f>
        <v>9769121.6970000006</v>
      </c>
      <c r="AT825" s="232">
        <f>Table1[[#This Row],[TOTAL CARS VALUE]]+Table1[[#This Row],[UNIT (GARDEN) VALUE]]+Table1[[#This Row],[UNIT (BUILDING) VALUE FULLY FINISHED]]</f>
        <v>10249121.697000001</v>
      </c>
      <c r="AU825" s="233">
        <f>VLOOKUP(I825,'C PHASES'!$I$108:$J$110,2,FALSE)</f>
        <v>46569</v>
      </c>
      <c r="AV825" s="233">
        <f>VLOOKUP(AA825,'C PHASES'!$I$113:$J$125,2,FALSE)</f>
        <v>45383</v>
      </c>
    </row>
    <row r="826" spans="1:48" s="202" customFormat="1" x14ac:dyDescent="0.25">
      <c r="A826" s="235"/>
      <c r="B826" s="227" t="s">
        <v>183</v>
      </c>
      <c r="C826" s="227" t="s">
        <v>77</v>
      </c>
      <c r="D826" s="227" t="s">
        <v>1147</v>
      </c>
      <c r="E826" s="228">
        <v>0</v>
      </c>
      <c r="F826" s="101">
        <v>2</v>
      </c>
      <c r="G826" s="87" t="s">
        <v>685</v>
      </c>
      <c r="H826" s="87" t="s">
        <v>1297</v>
      </c>
      <c r="I826" s="89" t="s">
        <v>38</v>
      </c>
      <c r="J826" s="87">
        <f>'DATA FOR DUPLEX'!H37</f>
        <v>128.28</v>
      </c>
      <c r="K826" s="87">
        <f>'DATA FOR DUPLEX'!I37</f>
        <v>139.36450602070562</v>
      </c>
      <c r="L826" s="87">
        <v>309</v>
      </c>
      <c r="M826" s="87">
        <f>'DATA FOR DUPLEX'!K37</f>
        <v>86.075999999999993</v>
      </c>
      <c r="N826" s="87"/>
      <c r="O826" s="87" t="s">
        <v>187</v>
      </c>
      <c r="P826" s="87" t="s">
        <v>190</v>
      </c>
      <c r="Q826" s="229" t="s">
        <v>212</v>
      </c>
      <c r="R826" s="87" t="str">
        <f>VLOOKUP(E826,'PREMIUM TABLES'!$F$214:$G$219,2,FALSE)</f>
        <v>GROUND</v>
      </c>
      <c r="S826" s="87" t="str" cm="1">
        <f t="array" ref="S826">IF(AND(L826&gt;0,L826&lt;90),"A",IF(AND(L826&gt;90,L826&lt;123),"B",IF(AND(L826&gt;122,L826&lt;159),"C",IF(AND(L826&gt;159,L826&lt;185),"D",IF(AND(L826&gt;185,L826&lt;230),"E",IF(AND(L826&gt;230,L826&lt;350),"F",NONE))))))</f>
        <v>F</v>
      </c>
      <c r="T826" s="230">
        <f>VLOOKUP(O826,'PREMIUM TABLES'!$G$165:$H$172,2,FALSE)</f>
        <v>0.08</v>
      </c>
      <c r="U826" s="230">
        <f>VLOOKUP(P826,'PREMIUM TABLES'!$G$208:$H$209,2,FALSE)</f>
        <v>2.5000000000000001E-2</v>
      </c>
      <c r="V826" s="230">
        <f>VLOOKUP(Q826,'PREMIUM TABLES'!$G$175:$H$195,2,FALSE)</f>
        <v>0.43</v>
      </c>
      <c r="W826" s="230">
        <f>VLOOKUP(R826,'PREMIUM TABLES'!$G$214:$H$219,2,FALSE)</f>
        <v>0.05</v>
      </c>
      <c r="X826" s="230">
        <f>VLOOKUP(S826,'PREMIUM TABLES'!$F$199:$H$205,3,FALSE)</f>
        <v>0</v>
      </c>
      <c r="Y826" s="231">
        <f t="shared" si="125"/>
        <v>0.58500000000000008</v>
      </c>
      <c r="Z826" s="231" t="str" cm="1">
        <f t="array" ref="Z826">IF(AND(Y826&gt;0,Y826&lt;0.5),"C",IF(AND(Y826&gt;=0.5,Y826&lt;0.73),"B",IF(AND(Y826&gt;=0.73,Y826&lt;0.98),"A",NONE)))</f>
        <v>B</v>
      </c>
      <c r="AA826" s="231" t="str">
        <f>VLOOKUP(G826,'ALL (R)'!$N$5:$R$862,5,FALSE)</f>
        <v>R 1</v>
      </c>
      <c r="AB826" s="232">
        <f>VLOOKUP(AA826,FACTS!$B$2:$L$14,10,FALSE)</f>
        <v>42500</v>
      </c>
      <c r="AC826" s="232">
        <f>VLOOKUP(AA826,FACTS!$B$2:$L$14,11,FALSE)</f>
        <v>47500</v>
      </c>
      <c r="AD826" s="232">
        <f>VLOOKUP(AA826,FACTS!$B$2:$N$14,13,FALSE)</f>
        <v>5000</v>
      </c>
      <c r="AE826" s="232">
        <f t="shared" si="126"/>
        <v>2925.0000000000005</v>
      </c>
      <c r="AF826" s="232">
        <f t="shared" si="127"/>
        <v>45425</v>
      </c>
      <c r="AG826" s="232">
        <f>AF826*FACTS!$T$2</f>
        <v>14990.25</v>
      </c>
      <c r="AH826" s="232">
        <f>Table1[[#This Row],[UNIT (BUILDING) RATE (SEMI FINISHED)]]+4500</f>
        <v>49925</v>
      </c>
      <c r="AI826" s="232">
        <f>Table1[[#This Row],[UNIT (BUILDING) RATE (SEMI FINISHED)]]+7500</f>
        <v>52925</v>
      </c>
      <c r="AJ826" s="232">
        <f t="shared" si="128"/>
        <v>14036325</v>
      </c>
      <c r="AK826" s="232">
        <f>Table1[[#This Row],[UNIT (BUILDING) RATE (BASIC FINISH)]]*Table1[[#This Row],[Unit Selling Area]]</f>
        <v>15426825</v>
      </c>
      <c r="AL826" s="232">
        <f>Table1[[#This Row],[UNIT (BUILDING) RATE (FULLY FINISH)]]*Table1[[#This Row],[Unit Selling Area]]</f>
        <v>16353825</v>
      </c>
      <c r="AM826" s="232">
        <f t="shared" si="129"/>
        <v>1290300.7589999998</v>
      </c>
      <c r="AN826" s="232">
        <f>(AM826+AJ826)*FACTS!$S$2</f>
        <v>1302763.189515</v>
      </c>
      <c r="AO826" s="101">
        <f>VLOOKUP(S826,FACTS!$A$17:$C$23,3,FALSE)</f>
        <v>2</v>
      </c>
      <c r="AP826" s="232">
        <f>VLOOKUP(AA826,FACTS!$B$2:$J$14,9,FALSE)</f>
        <v>200000</v>
      </c>
      <c r="AQ826" s="232">
        <f>Table1[[#This Row],[PARKING VALUE]]*1</f>
        <v>200000</v>
      </c>
      <c r="AR826" s="232">
        <f t="shared" si="124"/>
        <v>15526625.759</v>
      </c>
      <c r="AS826" s="440">
        <f>Table1[[#This Row],[TOTAL CARS VALUE]]+Table1[[#This Row],[UNIT (BUILDING) VALUE BASIC FINISHED]]+Table1[[#This Row],[UNIT (GARDEN) VALUE]]</f>
        <v>16917125.759</v>
      </c>
      <c r="AT826" s="232">
        <f>Table1[[#This Row],[TOTAL CARS VALUE]]+Table1[[#This Row],[UNIT (GARDEN) VALUE]]+Table1[[#This Row],[UNIT (BUILDING) VALUE FULLY FINISHED]]</f>
        <v>17844125.759</v>
      </c>
      <c r="AU826" s="233">
        <f>VLOOKUP(I826,'C PHASES'!$I$108:$J$110,2,FALSE)</f>
        <v>46569</v>
      </c>
      <c r="AV826" s="233">
        <f>VLOOKUP(AA826,'C PHASES'!$I$113:$J$125,2,FALSE)</f>
        <v>45170</v>
      </c>
    </row>
    <row r="827" spans="1:48" s="202" customFormat="1" x14ac:dyDescent="0.25">
      <c r="A827" s="235"/>
      <c r="B827" s="227" t="s">
        <v>183</v>
      </c>
      <c r="C827" s="227" t="s">
        <v>77</v>
      </c>
      <c r="D827" s="227" t="s">
        <v>1147</v>
      </c>
      <c r="E827" s="228">
        <v>0</v>
      </c>
      <c r="F827" s="101">
        <v>3</v>
      </c>
      <c r="G827" s="87" t="s">
        <v>686</v>
      </c>
      <c r="H827" s="87" t="s">
        <v>1297</v>
      </c>
      <c r="I827" s="89" t="s">
        <v>38</v>
      </c>
      <c r="J827" s="87">
        <f>'DATA FOR DUPLEX'!H39</f>
        <v>125.03</v>
      </c>
      <c r="K827" s="87">
        <f>'DATA FOR DUPLEX'!I39</f>
        <v>135.83367779676351</v>
      </c>
      <c r="L827" s="87">
        <v>301</v>
      </c>
      <c r="M827" s="87">
        <f>'DATA FOR DUPLEX'!K39</f>
        <v>85.509600000000006</v>
      </c>
      <c r="N827" s="87"/>
      <c r="O827" s="87" t="s">
        <v>187</v>
      </c>
      <c r="P827" s="87" t="s">
        <v>190</v>
      </c>
      <c r="Q827" s="229" t="s">
        <v>212</v>
      </c>
      <c r="R827" s="87" t="str">
        <f>VLOOKUP(E827,'PREMIUM TABLES'!$F$214:$G$219,2,FALSE)</f>
        <v>GROUND</v>
      </c>
      <c r="S827" s="87" t="str" cm="1">
        <f t="array" ref="S827">IF(AND(L827&gt;0,L827&lt;90),"A",IF(AND(L827&gt;90,L827&lt;123),"B",IF(AND(L827&gt;122,L827&lt;159),"C",IF(AND(L827&gt;159,L827&lt;185),"D",IF(AND(L827&gt;185,L827&lt;230),"E",IF(AND(L827&gt;230,L827&lt;350),"F",NONE))))))</f>
        <v>F</v>
      </c>
      <c r="T827" s="230">
        <f>VLOOKUP(O827,'PREMIUM TABLES'!$G$165:$H$172,2,FALSE)</f>
        <v>0.08</v>
      </c>
      <c r="U827" s="230">
        <f>VLOOKUP(P827,'PREMIUM TABLES'!$G$208:$H$209,2,FALSE)</f>
        <v>2.5000000000000001E-2</v>
      </c>
      <c r="V827" s="230">
        <f>VLOOKUP(Q827,'PREMIUM TABLES'!$G$175:$H$195,2,FALSE)</f>
        <v>0.43</v>
      </c>
      <c r="W827" s="230">
        <f>VLOOKUP(R827,'PREMIUM TABLES'!$G$214:$H$219,2,FALSE)</f>
        <v>0.05</v>
      </c>
      <c r="X827" s="230">
        <f>VLOOKUP(S827,'PREMIUM TABLES'!$F$199:$H$205,3,FALSE)</f>
        <v>0</v>
      </c>
      <c r="Y827" s="231">
        <f t="shared" si="125"/>
        <v>0.58500000000000008</v>
      </c>
      <c r="Z827" s="231" t="str" cm="1">
        <f t="array" ref="Z827">IF(AND(Y827&gt;0,Y827&lt;0.5),"C",IF(AND(Y827&gt;=0.5,Y827&lt;0.73),"B",IF(AND(Y827&gt;=0.73,Y827&lt;0.98),"A",NONE)))</f>
        <v>B</v>
      </c>
      <c r="AA827" s="231" t="str">
        <f>VLOOKUP(G827,'ALL (R)'!$N$5:$R$862,5,FALSE)</f>
        <v>R 1</v>
      </c>
      <c r="AB827" s="232">
        <f>VLOOKUP(AA827,FACTS!$B$2:$L$14,10,FALSE)</f>
        <v>42500</v>
      </c>
      <c r="AC827" s="232">
        <f>VLOOKUP(AA827,FACTS!$B$2:$L$14,11,FALSE)</f>
        <v>47500</v>
      </c>
      <c r="AD827" s="232">
        <f>VLOOKUP(AA827,FACTS!$B$2:$N$14,13,FALSE)</f>
        <v>5000</v>
      </c>
      <c r="AE827" s="232">
        <f t="shared" si="126"/>
        <v>2925.0000000000005</v>
      </c>
      <c r="AF827" s="232">
        <f t="shared" si="127"/>
        <v>45425</v>
      </c>
      <c r="AG827" s="232">
        <f>AF827*FACTS!$T$2</f>
        <v>14990.25</v>
      </c>
      <c r="AH827" s="232">
        <f>Table1[[#This Row],[UNIT (BUILDING) RATE (SEMI FINISHED)]]+4500</f>
        <v>49925</v>
      </c>
      <c r="AI827" s="232">
        <f>Table1[[#This Row],[UNIT (BUILDING) RATE (SEMI FINISHED)]]+7500</f>
        <v>52925</v>
      </c>
      <c r="AJ827" s="232">
        <f t="shared" si="128"/>
        <v>13672925</v>
      </c>
      <c r="AK827" s="232">
        <f>Table1[[#This Row],[UNIT (BUILDING) RATE (BASIC FINISH)]]*Table1[[#This Row],[Unit Selling Area]]</f>
        <v>15027425</v>
      </c>
      <c r="AL827" s="232">
        <f>Table1[[#This Row],[UNIT (BUILDING) RATE (FULLY FINISH)]]*Table1[[#This Row],[Unit Selling Area]]</f>
        <v>15930425</v>
      </c>
      <c r="AM827" s="232">
        <f t="shared" si="129"/>
        <v>1281810.2814</v>
      </c>
      <c r="AN827" s="232">
        <f>(AM827+AJ827)*FACTS!$S$2</f>
        <v>1271152.4989190002</v>
      </c>
      <c r="AO827" s="101">
        <f>VLOOKUP(S827,FACTS!$A$17:$C$23,3,FALSE)</f>
        <v>2</v>
      </c>
      <c r="AP827" s="232">
        <f>VLOOKUP(AA827,FACTS!$B$2:$J$14,9,FALSE)</f>
        <v>200000</v>
      </c>
      <c r="AQ827" s="232">
        <f>Table1[[#This Row],[PARKING VALUE]]*1</f>
        <v>200000</v>
      </c>
      <c r="AR827" s="232">
        <f t="shared" si="124"/>
        <v>15154735.281400001</v>
      </c>
      <c r="AS827" s="440">
        <f>Table1[[#This Row],[TOTAL CARS VALUE]]+Table1[[#This Row],[UNIT (BUILDING) VALUE BASIC FINISHED]]+Table1[[#This Row],[UNIT (GARDEN) VALUE]]</f>
        <v>16509235.281400001</v>
      </c>
      <c r="AT827" s="232">
        <f>Table1[[#This Row],[TOTAL CARS VALUE]]+Table1[[#This Row],[UNIT (GARDEN) VALUE]]+Table1[[#This Row],[UNIT (BUILDING) VALUE FULLY FINISHED]]</f>
        <v>17412235.281399999</v>
      </c>
      <c r="AU827" s="233">
        <f>VLOOKUP(I827,'C PHASES'!$I$108:$J$110,2,FALSE)</f>
        <v>46569</v>
      </c>
      <c r="AV827" s="233">
        <f>VLOOKUP(AA827,'C PHASES'!$I$113:$J$125,2,FALSE)</f>
        <v>45170</v>
      </c>
    </row>
    <row r="828" spans="1:48" x14ac:dyDescent="0.25">
      <c r="A828" s="235"/>
      <c r="B828" s="227" t="str">
        <f t="shared" si="132"/>
        <v>E</v>
      </c>
      <c r="C828" s="227" t="s">
        <v>77</v>
      </c>
      <c r="D828" s="227" t="s">
        <v>1147</v>
      </c>
      <c r="E828" s="228">
        <v>0</v>
      </c>
      <c r="F828" s="101">
        <v>4</v>
      </c>
      <c r="G828" s="87" t="str">
        <f t="shared" ref="G828:G842" si="133">LEFT(C828,2)&amp;E828&amp;F828</f>
        <v>E404</v>
      </c>
      <c r="H828" s="87" t="s">
        <v>1293</v>
      </c>
      <c r="I828" s="89" t="str">
        <f>VLOOKUP(C828,'PREMIUM TABLES'!$G$107:$H$149,2,FALSE)</f>
        <v>C3</v>
      </c>
      <c r="J828" s="87">
        <v>87.23</v>
      </c>
      <c r="K828" s="87">
        <v>94.767429530606108</v>
      </c>
      <c r="L828" s="87">
        <v>106</v>
      </c>
      <c r="M828" s="87">
        <v>73.371899999999997</v>
      </c>
      <c r="O828" s="87" t="s">
        <v>180</v>
      </c>
      <c r="P828" s="87" t="s">
        <v>190</v>
      </c>
      <c r="Q828" s="229" t="s">
        <v>198</v>
      </c>
      <c r="R828" s="87" t="str">
        <f>VLOOKUP(E828,'PREMIUM TABLES'!$F$214:$G$219,2,FALSE)</f>
        <v>GROUND</v>
      </c>
      <c r="S828" s="87" t="str" cm="1">
        <f t="array" ref="S828">IF(AND(L828&gt;0,L828&lt;90),"A",IF(AND(L828&gt;90,L828&lt;123),"B",IF(AND(L828&gt;122,L828&lt;159),"C",IF(AND(L828&gt;159,L828&lt;185),"D",IF(AND(L828&gt;185,L828&lt;230),"E",IF(AND(L828&gt;230,L828&lt;350),"F",NONE))))))</f>
        <v>B</v>
      </c>
      <c r="T828" s="230">
        <f>VLOOKUP(O828,'PREMIUM TABLES'!$G$165:$H$172,2,FALSE)</f>
        <v>0.13</v>
      </c>
      <c r="U828" s="230">
        <f>VLOOKUP(P828,'PREMIUM TABLES'!$G$208:$H$209,2,FALSE)</f>
        <v>2.5000000000000001E-2</v>
      </c>
      <c r="V828" s="230">
        <f>VLOOKUP(Q828,'PREMIUM TABLES'!$G$175:$H$195,2,FALSE)</f>
        <v>0.15</v>
      </c>
      <c r="W828" s="230">
        <f>VLOOKUP(R828,'PREMIUM TABLES'!$G$214:$H$219,2,FALSE)</f>
        <v>0.05</v>
      </c>
      <c r="X828" s="230">
        <f>VLOOKUP(S828,'PREMIUM TABLES'!$F$199:$H$205,3,FALSE)</f>
        <v>0.04</v>
      </c>
      <c r="Y828" s="231">
        <f t="shared" si="125"/>
        <v>0.39499999999999996</v>
      </c>
      <c r="Z828" s="231" t="str" cm="1">
        <f t="array" ref="Z828">IF(AND(Y828&gt;0,Y828&lt;0.5),"C",IF(AND(Y828&gt;=0.5,Y828&lt;0.73),"B",IF(AND(Y828&gt;=0.73,Y828&lt;0.98),"A",NONE)))</f>
        <v>C</v>
      </c>
      <c r="AA828" s="231" t="str">
        <f>VLOOKUP(G828,'ALL (R)'!$N$5:$R$862,5,FALSE)</f>
        <v>R 4</v>
      </c>
      <c r="AB828" s="232">
        <f>VLOOKUP(AA828,FACTS!$B$2:$L$14,10,FALSE)</f>
        <v>45687.5</v>
      </c>
      <c r="AC828" s="232">
        <f>VLOOKUP(AA828,FACTS!$B$2:$L$14,11,FALSE)</f>
        <v>51062.5</v>
      </c>
      <c r="AD828" s="232">
        <f>VLOOKUP(AA828,FACTS!$B$2:$N$14,13,FALSE)</f>
        <v>5375</v>
      </c>
      <c r="AE828" s="232">
        <f t="shared" si="126"/>
        <v>2123.125</v>
      </c>
      <c r="AF828" s="232">
        <f t="shared" si="127"/>
        <v>47810.625</v>
      </c>
      <c r="AG828" s="232">
        <f>AF828*FACTS!$T$2</f>
        <v>15777.50625</v>
      </c>
      <c r="AH828" s="232">
        <f>Table1[[#This Row],[UNIT (BUILDING) RATE (SEMI FINISHED)]]+4500</f>
        <v>52310.625</v>
      </c>
      <c r="AI828" s="232">
        <f>Table1[[#This Row],[UNIT (BUILDING) RATE (SEMI FINISHED)]]+7500</f>
        <v>55310.625</v>
      </c>
      <c r="AJ828" s="232">
        <f t="shared" si="128"/>
        <v>5067926.25</v>
      </c>
      <c r="AK828" s="232">
        <f>Table1[[#This Row],[UNIT (BUILDING) RATE (BASIC FINISH)]]*Table1[[#This Row],[Unit Selling Area]]</f>
        <v>5544926.25</v>
      </c>
      <c r="AL828" s="232">
        <f>Table1[[#This Row],[UNIT (BUILDING) RATE (FULLY FINISH)]]*Table1[[#This Row],[Unit Selling Area]]</f>
        <v>5862926.25</v>
      </c>
      <c r="AM828" s="232">
        <f t="shared" si="129"/>
        <v>1157625.6108243749</v>
      </c>
      <c r="AN828" s="232">
        <f>(AM828+AJ828)*FACTS!$S$2</f>
        <v>529171.9081700719</v>
      </c>
      <c r="AO828" s="101">
        <f>VLOOKUP(S828,FACTS!$A$17:$C$23,3,FALSE)</f>
        <v>1</v>
      </c>
      <c r="AP828" s="232">
        <f>VLOOKUP(AA828,FACTS!$B$2:$J$14,9,FALSE)</f>
        <v>215000</v>
      </c>
      <c r="AQ828" s="232">
        <f>Table1[[#This Row],[PARKING VALUE]]*1</f>
        <v>215000</v>
      </c>
      <c r="AR828" s="232">
        <f t="shared" si="124"/>
        <v>6440551.8608243745</v>
      </c>
      <c r="AS828" s="440">
        <f>Table1[[#This Row],[TOTAL CARS VALUE]]+Table1[[#This Row],[UNIT (BUILDING) VALUE BASIC FINISHED]]+Table1[[#This Row],[UNIT (GARDEN) VALUE]]</f>
        <v>6917551.8608243745</v>
      </c>
      <c r="AT828" s="232">
        <f>Table1[[#This Row],[TOTAL CARS VALUE]]+Table1[[#This Row],[UNIT (GARDEN) VALUE]]+Table1[[#This Row],[UNIT (BUILDING) VALUE FULLY FINISHED]]</f>
        <v>7235551.8608243745</v>
      </c>
      <c r="AU828" s="233">
        <f>VLOOKUP(I828,'C PHASES'!$I$108:$J$110,2,FALSE)</f>
        <v>46569</v>
      </c>
      <c r="AV828" s="233">
        <f>VLOOKUP(AA828,'C PHASES'!$I$113:$J$125,2,FALSE)</f>
        <v>45474</v>
      </c>
    </row>
    <row r="829" spans="1:48" x14ac:dyDescent="0.25">
      <c r="A829" s="235"/>
      <c r="B829" s="227" t="str">
        <f t="shared" si="132"/>
        <v>E</v>
      </c>
      <c r="C829" s="227" t="s">
        <v>77</v>
      </c>
      <c r="D829" s="227" t="s">
        <v>1147</v>
      </c>
      <c r="E829" s="228">
        <v>1</v>
      </c>
      <c r="F829" s="101">
        <v>1</v>
      </c>
      <c r="G829" s="87" t="str">
        <f t="shared" si="133"/>
        <v>E411</v>
      </c>
      <c r="H829" s="87" t="s">
        <v>1294</v>
      </c>
      <c r="I829" s="89" t="str">
        <f>VLOOKUP(C829,'PREMIUM TABLES'!$G$107:$H$149,2,FALSE)</f>
        <v>C3</v>
      </c>
      <c r="J829" s="87">
        <v>132.94</v>
      </c>
      <c r="K829" s="87">
        <v>144.42717048949646</v>
      </c>
      <c r="L829" s="87">
        <v>162</v>
      </c>
      <c r="O829" s="87" t="s">
        <v>180</v>
      </c>
      <c r="P829" s="87" t="s">
        <v>190</v>
      </c>
      <c r="Q829" s="229" t="s">
        <v>198</v>
      </c>
      <c r="R829" s="87" t="str">
        <f>VLOOKUP(E829,'PREMIUM TABLES'!$F$214:$G$219,2,FALSE)</f>
        <v>FIRST</v>
      </c>
      <c r="S829" s="87" t="str" cm="1">
        <f t="array" ref="S829">IF(AND(L829&gt;0,L829&lt;90),"A",IF(AND(L829&gt;90,L829&lt;123),"B",IF(AND(L829&gt;122,L829&lt;159),"C",IF(AND(L829&gt;159,L829&lt;185),"D",IF(AND(L829&gt;185,L829&lt;230),"E",IF(AND(L829&gt;230,L829&lt;350),"F",NONE))))))</f>
        <v>D</v>
      </c>
      <c r="T829" s="230">
        <f>VLOOKUP(O829,'PREMIUM TABLES'!$G$165:$H$172,2,FALSE)</f>
        <v>0.13</v>
      </c>
      <c r="U829" s="230">
        <f>VLOOKUP(P829,'PREMIUM TABLES'!$G$208:$H$209,2,FALSE)</f>
        <v>2.5000000000000001E-2</v>
      </c>
      <c r="V829" s="230">
        <f>VLOOKUP(Q829,'PREMIUM TABLES'!$G$175:$H$195,2,FALSE)</f>
        <v>0.15</v>
      </c>
      <c r="W829" s="230">
        <f>VLOOKUP(R829,'PREMIUM TABLES'!$G$214:$H$219,2,FALSE)</f>
        <v>7.0000000000000007E-2</v>
      </c>
      <c r="X829" s="230">
        <f>VLOOKUP(S829,'PREMIUM TABLES'!$F$199:$H$205,3,FALSE)</f>
        <v>2.5000000000000001E-2</v>
      </c>
      <c r="Y829" s="231">
        <f t="shared" si="125"/>
        <v>0.4</v>
      </c>
      <c r="Z829" s="231" t="str" cm="1">
        <f t="array" ref="Z829">IF(AND(Y829&gt;0,Y829&lt;0.5),"C",IF(AND(Y829&gt;=0.5,Y829&lt;0.73),"B",IF(AND(Y829&gt;=0.73,Y829&lt;0.98),"A",NONE)))</f>
        <v>C</v>
      </c>
      <c r="AA829" s="231" t="str">
        <f>VLOOKUP(G829,'ALL (R)'!$N$5:$R$862,5,FALSE)</f>
        <v>R 5</v>
      </c>
      <c r="AB829" s="232">
        <f>VLOOKUP(AA829,FACTS!$B$2:$L$14,10,FALSE)</f>
        <v>46750.000000000007</v>
      </c>
      <c r="AC829" s="232">
        <f>VLOOKUP(AA829,FACTS!$B$2:$L$14,11,FALSE)</f>
        <v>52250.000000000007</v>
      </c>
      <c r="AD829" s="232">
        <f>VLOOKUP(AA829,FACTS!$B$2:$N$14,13,FALSE)</f>
        <v>5500</v>
      </c>
      <c r="AE829" s="232">
        <f t="shared" si="126"/>
        <v>2200</v>
      </c>
      <c r="AF829" s="232">
        <f t="shared" si="127"/>
        <v>48950.000000000007</v>
      </c>
      <c r="AG829" s="232">
        <f>AF829*FACTS!$T$2</f>
        <v>16153.500000000004</v>
      </c>
      <c r="AH829" s="232">
        <f>Table1[[#This Row],[UNIT (BUILDING) RATE (SEMI FINISHED)]]+4500</f>
        <v>53450.000000000007</v>
      </c>
      <c r="AI829" s="232">
        <f>Table1[[#This Row],[UNIT (BUILDING) RATE (SEMI FINISHED)]]+7500</f>
        <v>56450.000000000007</v>
      </c>
      <c r="AJ829" s="232">
        <f t="shared" si="128"/>
        <v>7929900.0000000009</v>
      </c>
      <c r="AK829" s="232">
        <f>Table1[[#This Row],[UNIT (BUILDING) RATE (BASIC FINISH)]]*Table1[[#This Row],[Unit Selling Area]]</f>
        <v>8658900.0000000019</v>
      </c>
      <c r="AL829" s="232">
        <f>Table1[[#This Row],[UNIT (BUILDING) RATE (FULLY FINISH)]]*Table1[[#This Row],[Unit Selling Area]]</f>
        <v>9144900.0000000019</v>
      </c>
      <c r="AM829" s="232">
        <f t="shared" si="129"/>
        <v>0</v>
      </c>
      <c r="AN829" s="232">
        <f>(AM829+AJ829)*FACTS!$S$2</f>
        <v>674041.50000000012</v>
      </c>
      <c r="AO829" s="101">
        <f>VLOOKUP(S829,FACTS!$A$17:$C$23,3,FALSE)</f>
        <v>2</v>
      </c>
      <c r="AP829" s="232">
        <f>VLOOKUP(AA829,FACTS!$B$2:$J$14,9,FALSE)</f>
        <v>220000.00000000003</v>
      </c>
      <c r="AQ829" s="232">
        <f>Table1[[#This Row],[PARKING VALUE]]*1</f>
        <v>220000.00000000003</v>
      </c>
      <c r="AR829" s="232">
        <f t="shared" si="124"/>
        <v>8149900.0000000009</v>
      </c>
      <c r="AS829" s="440">
        <f>Table1[[#This Row],[TOTAL CARS VALUE]]+Table1[[#This Row],[UNIT (BUILDING) VALUE BASIC FINISHED]]+Table1[[#This Row],[UNIT (GARDEN) VALUE]]</f>
        <v>8878900.0000000019</v>
      </c>
      <c r="AT829" s="232">
        <f>Table1[[#This Row],[TOTAL CARS VALUE]]+Table1[[#This Row],[UNIT (GARDEN) VALUE]]+Table1[[#This Row],[UNIT (BUILDING) VALUE FULLY FINISHED]]</f>
        <v>9364900.0000000019</v>
      </c>
      <c r="AU829" s="233">
        <f>VLOOKUP(I829,'C PHASES'!$I$108:$J$110,2,FALSE)</f>
        <v>46569</v>
      </c>
      <c r="AV829" s="233">
        <f>VLOOKUP(AA829,'C PHASES'!$I$113:$J$125,2,FALSE)</f>
        <v>45566</v>
      </c>
    </row>
    <row r="830" spans="1:48" x14ac:dyDescent="0.25">
      <c r="A830" s="235"/>
      <c r="B830" s="227" t="str">
        <f t="shared" si="132"/>
        <v>E</v>
      </c>
      <c r="C830" s="227" t="s">
        <v>77</v>
      </c>
      <c r="D830" s="227" t="s">
        <v>1147</v>
      </c>
      <c r="E830" s="228">
        <v>1</v>
      </c>
      <c r="F830" s="101">
        <v>4</v>
      </c>
      <c r="G830" s="87" t="str">
        <f t="shared" si="133"/>
        <v>E414</v>
      </c>
      <c r="H830" s="87" t="s">
        <v>1293</v>
      </c>
      <c r="I830" s="89" t="str">
        <f>VLOOKUP(C830,'PREMIUM TABLES'!$G$107:$H$149,2,FALSE)</f>
        <v>C3</v>
      </c>
      <c r="J830" s="87">
        <v>88.87</v>
      </c>
      <c r="K830" s="87">
        <v>96.549139772841514</v>
      </c>
      <c r="L830" s="87">
        <v>108</v>
      </c>
      <c r="O830" s="87" t="s">
        <v>180</v>
      </c>
      <c r="P830" s="87" t="s">
        <v>190</v>
      </c>
      <c r="Q830" s="229" t="s">
        <v>198</v>
      </c>
      <c r="R830" s="87" t="str">
        <f>VLOOKUP(E830,'PREMIUM TABLES'!$F$214:$G$219,2,FALSE)</f>
        <v>FIRST</v>
      </c>
      <c r="S830" s="87" t="str" cm="1">
        <f t="array" ref="S830">IF(AND(L830&gt;0,L830&lt;90),"A",IF(AND(L830&gt;90,L830&lt;123),"B",IF(AND(L830&gt;122,L830&lt;159),"C",IF(AND(L830&gt;159,L830&lt;185),"D",IF(AND(L830&gt;185,L830&lt;230),"E",IF(AND(L830&gt;230,L830&lt;350),"F",NONE))))))</f>
        <v>B</v>
      </c>
      <c r="T830" s="230">
        <f>VLOOKUP(O830,'PREMIUM TABLES'!$G$165:$H$172,2,FALSE)</f>
        <v>0.13</v>
      </c>
      <c r="U830" s="230">
        <f>VLOOKUP(P830,'PREMIUM TABLES'!$G$208:$H$209,2,FALSE)</f>
        <v>2.5000000000000001E-2</v>
      </c>
      <c r="V830" s="230">
        <f>VLOOKUP(Q830,'PREMIUM TABLES'!$G$175:$H$195,2,FALSE)</f>
        <v>0.15</v>
      </c>
      <c r="W830" s="230">
        <f>VLOOKUP(R830,'PREMIUM TABLES'!$G$214:$H$219,2,FALSE)</f>
        <v>7.0000000000000007E-2</v>
      </c>
      <c r="X830" s="230">
        <f>VLOOKUP(S830,'PREMIUM TABLES'!$F$199:$H$205,3,FALSE)</f>
        <v>0.04</v>
      </c>
      <c r="Y830" s="231">
        <f t="shared" si="125"/>
        <v>0.41499999999999998</v>
      </c>
      <c r="Z830" s="231" t="str" cm="1">
        <f t="array" ref="Z830">IF(AND(Y830&gt;0,Y830&lt;0.5),"C",IF(AND(Y830&gt;=0.5,Y830&lt;0.73),"B",IF(AND(Y830&gt;=0.73,Y830&lt;0.98),"A",NONE)))</f>
        <v>C</v>
      </c>
      <c r="AA830" s="231" t="str">
        <f>VLOOKUP(G830,'ALL (R)'!$N$5:$R$862,5,FALSE)</f>
        <v>R 7</v>
      </c>
      <c r="AB830" s="232">
        <f>VLOOKUP(AA830,FACTS!$B$2:$L$14,10,FALSE)</f>
        <v>50150</v>
      </c>
      <c r="AC830" s="232">
        <f>VLOOKUP(AA830,FACTS!$B$2:$L$14,11,FALSE)</f>
        <v>56050</v>
      </c>
      <c r="AD830" s="232">
        <f>VLOOKUP(AA830,FACTS!$B$2:$N$14,13,FALSE)</f>
        <v>5900</v>
      </c>
      <c r="AE830" s="232">
        <f t="shared" si="126"/>
        <v>2448.5</v>
      </c>
      <c r="AF830" s="232">
        <f t="shared" si="127"/>
        <v>52598.5</v>
      </c>
      <c r="AG830" s="232">
        <f>AF830*FACTS!$T$2</f>
        <v>17357.505000000001</v>
      </c>
      <c r="AH830" s="232">
        <f>Table1[[#This Row],[UNIT (BUILDING) RATE (SEMI FINISHED)]]+4500</f>
        <v>57098.5</v>
      </c>
      <c r="AI830" s="232">
        <f>Table1[[#This Row],[UNIT (BUILDING) RATE (SEMI FINISHED)]]+7500</f>
        <v>60098.5</v>
      </c>
      <c r="AJ830" s="232">
        <f t="shared" si="128"/>
        <v>5680638</v>
      </c>
      <c r="AK830" s="232">
        <f>Table1[[#This Row],[UNIT (BUILDING) RATE (BASIC FINISH)]]*Table1[[#This Row],[Unit Selling Area]]</f>
        <v>6166638</v>
      </c>
      <c r="AL830" s="232">
        <f>Table1[[#This Row],[UNIT (BUILDING) RATE (FULLY FINISH)]]*Table1[[#This Row],[Unit Selling Area]]</f>
        <v>6490638</v>
      </c>
      <c r="AM830" s="232">
        <f t="shared" si="129"/>
        <v>0</v>
      </c>
      <c r="AN830" s="232">
        <f>(AM830+AJ830)*FACTS!$S$2</f>
        <v>482854.23000000004</v>
      </c>
      <c r="AO830" s="101">
        <f>VLOOKUP(S830,FACTS!$A$17:$C$23,3,FALSE)</f>
        <v>1</v>
      </c>
      <c r="AP830" s="232">
        <f>VLOOKUP(AA830,FACTS!$B$2:$J$14,9,FALSE)</f>
        <v>236000</v>
      </c>
      <c r="AQ830" s="232">
        <f>Table1[[#This Row],[PARKING VALUE]]*1</f>
        <v>236000</v>
      </c>
      <c r="AR830" s="232">
        <f t="shared" si="124"/>
        <v>5916638</v>
      </c>
      <c r="AS830" s="440">
        <f>Table1[[#This Row],[TOTAL CARS VALUE]]+Table1[[#This Row],[UNIT (BUILDING) VALUE BASIC FINISHED]]+Table1[[#This Row],[UNIT (GARDEN) VALUE]]</f>
        <v>6402638</v>
      </c>
      <c r="AT830" s="232">
        <f>Table1[[#This Row],[TOTAL CARS VALUE]]+Table1[[#This Row],[UNIT (GARDEN) VALUE]]+Table1[[#This Row],[UNIT (BUILDING) VALUE FULLY FINISHED]]</f>
        <v>6726638</v>
      </c>
      <c r="AU830" s="233">
        <f>VLOOKUP(I830,'C PHASES'!$I$108:$J$110,2,FALSE)</f>
        <v>46569</v>
      </c>
      <c r="AV830" s="233">
        <f>VLOOKUP(AA830,'C PHASES'!$I$113:$J$125,2,FALSE)</f>
        <v>45748</v>
      </c>
    </row>
    <row r="831" spans="1:48" x14ac:dyDescent="0.25">
      <c r="A831" s="235"/>
      <c r="B831" s="227" t="str">
        <f t="shared" si="132"/>
        <v>E</v>
      </c>
      <c r="C831" s="227" t="s">
        <v>77</v>
      </c>
      <c r="D831" s="227" t="s">
        <v>1147</v>
      </c>
      <c r="E831" s="228">
        <v>2</v>
      </c>
      <c r="F831" s="101">
        <v>1</v>
      </c>
      <c r="G831" s="87" t="str">
        <f t="shared" si="133"/>
        <v>E421</v>
      </c>
      <c r="H831" s="87" t="s">
        <v>1294</v>
      </c>
      <c r="I831" s="89" t="str">
        <f>VLOOKUP(C831,'PREMIUM TABLES'!$G$107:$H$149,2,FALSE)</f>
        <v>C3</v>
      </c>
      <c r="J831" s="87">
        <v>131.41999999999999</v>
      </c>
      <c r="K831" s="87">
        <v>142.77582928937582</v>
      </c>
      <c r="L831" s="87">
        <v>160</v>
      </c>
      <c r="O831" s="87" t="s">
        <v>180</v>
      </c>
      <c r="P831" s="87" t="s">
        <v>190</v>
      </c>
      <c r="Q831" s="229" t="s">
        <v>198</v>
      </c>
      <c r="R831" s="87" t="str">
        <f>VLOOKUP(E831,'PREMIUM TABLES'!$F$214:$G$219,2,FALSE)</f>
        <v>SECOND</v>
      </c>
      <c r="S831" s="87" t="str" cm="1">
        <f t="array" ref="S831">IF(AND(L831&gt;0,L831&lt;90),"A",IF(AND(L831&gt;90,L831&lt;123),"B",IF(AND(L831&gt;122,L831&lt;159),"C",IF(AND(L831&gt;159,L831&lt;185),"D",IF(AND(L831&gt;185,L831&lt;230),"E",IF(AND(L831&gt;230,L831&lt;350),"F",NONE))))))</f>
        <v>D</v>
      </c>
      <c r="T831" s="230">
        <f>VLOOKUP(O831,'PREMIUM TABLES'!$G$165:$H$172,2,FALSE)</f>
        <v>0.13</v>
      </c>
      <c r="U831" s="230">
        <f>VLOOKUP(P831,'PREMIUM TABLES'!$G$208:$H$209,2,FALSE)</f>
        <v>2.5000000000000001E-2</v>
      </c>
      <c r="V831" s="230">
        <f>VLOOKUP(Q831,'PREMIUM TABLES'!$G$175:$H$195,2,FALSE)</f>
        <v>0.15</v>
      </c>
      <c r="W831" s="230">
        <f>VLOOKUP(R831,'PREMIUM TABLES'!$G$214:$H$219,2,FALSE)</f>
        <v>0.11</v>
      </c>
      <c r="X831" s="230">
        <f>VLOOKUP(S831,'PREMIUM TABLES'!$F$199:$H$205,3,FALSE)</f>
        <v>2.5000000000000001E-2</v>
      </c>
      <c r="Y831" s="231">
        <f t="shared" si="125"/>
        <v>0.44</v>
      </c>
      <c r="Z831" s="231" t="str" cm="1">
        <f t="array" ref="Z831">IF(AND(Y831&gt;0,Y831&lt;0.5),"C",IF(AND(Y831&gt;=0.5,Y831&lt;0.73),"B",IF(AND(Y831&gt;=0.73,Y831&lt;0.98),"A",NONE)))</f>
        <v>C</v>
      </c>
      <c r="AA831" s="231" t="str">
        <f>VLOOKUP(G831,'ALL (R)'!$N$5:$R$862,5,FALSE)</f>
        <v>R 8</v>
      </c>
      <c r="AB831" s="232">
        <f>VLOOKUP(AA831,FACTS!$B$2:$L$14,10,FALSE)</f>
        <v>51850</v>
      </c>
      <c r="AC831" s="232">
        <f>VLOOKUP(AA831,FACTS!$B$2:$L$14,11,FALSE)</f>
        <v>57950</v>
      </c>
      <c r="AD831" s="232">
        <f>VLOOKUP(AA831,FACTS!$B$2:$N$14,13,FALSE)</f>
        <v>6100</v>
      </c>
      <c r="AE831" s="232">
        <f t="shared" si="126"/>
        <v>2684</v>
      </c>
      <c r="AF831" s="232">
        <f t="shared" si="127"/>
        <v>54534</v>
      </c>
      <c r="AG831" s="232">
        <f>AF831*FACTS!$T$2</f>
        <v>17996.22</v>
      </c>
      <c r="AH831" s="232">
        <f>Table1[[#This Row],[UNIT (BUILDING) RATE (SEMI FINISHED)]]+4500</f>
        <v>59034</v>
      </c>
      <c r="AI831" s="232">
        <f>Table1[[#This Row],[UNIT (BUILDING) RATE (SEMI FINISHED)]]+7500</f>
        <v>62034</v>
      </c>
      <c r="AJ831" s="232">
        <f t="shared" si="128"/>
        <v>8725440</v>
      </c>
      <c r="AK831" s="232">
        <f>Table1[[#This Row],[UNIT (BUILDING) RATE (BASIC FINISH)]]*Table1[[#This Row],[Unit Selling Area]]</f>
        <v>9445440</v>
      </c>
      <c r="AL831" s="232">
        <f>Table1[[#This Row],[UNIT (BUILDING) RATE (FULLY FINISH)]]*Table1[[#This Row],[Unit Selling Area]]</f>
        <v>9925440</v>
      </c>
      <c r="AM831" s="232">
        <f t="shared" si="129"/>
        <v>0</v>
      </c>
      <c r="AN831" s="232">
        <f>(AM831+AJ831)*FACTS!$S$2</f>
        <v>741662.4</v>
      </c>
      <c r="AO831" s="101">
        <f>VLOOKUP(S831,FACTS!$A$17:$C$23,3,FALSE)</f>
        <v>2</v>
      </c>
      <c r="AP831" s="232">
        <f>VLOOKUP(AA831,FACTS!$B$2:$J$14,9,FALSE)</f>
        <v>244000</v>
      </c>
      <c r="AQ831" s="232">
        <f>Table1[[#This Row],[PARKING VALUE]]*1</f>
        <v>244000</v>
      </c>
      <c r="AR831" s="232">
        <f t="shared" si="124"/>
        <v>8969440</v>
      </c>
      <c r="AS831" s="440">
        <f>Table1[[#This Row],[TOTAL CARS VALUE]]+Table1[[#This Row],[UNIT (BUILDING) VALUE BASIC FINISHED]]+Table1[[#This Row],[UNIT (GARDEN) VALUE]]</f>
        <v>9689440</v>
      </c>
      <c r="AT831" s="232">
        <f>Table1[[#This Row],[TOTAL CARS VALUE]]+Table1[[#This Row],[UNIT (GARDEN) VALUE]]+Table1[[#This Row],[UNIT (BUILDING) VALUE FULLY FINISHED]]</f>
        <v>10169440</v>
      </c>
      <c r="AU831" s="233">
        <f>VLOOKUP(I831,'C PHASES'!$I$108:$J$110,2,FALSE)</f>
        <v>46569</v>
      </c>
      <c r="AV831" s="233">
        <f>VLOOKUP(AA831,'C PHASES'!$I$113:$J$125,2,FALSE)</f>
        <v>45839</v>
      </c>
    </row>
    <row r="832" spans="1:48" x14ac:dyDescent="0.25">
      <c r="A832" s="235"/>
      <c r="B832" s="227" t="str">
        <f t="shared" si="132"/>
        <v>E</v>
      </c>
      <c r="C832" s="227" t="s">
        <v>77</v>
      </c>
      <c r="D832" s="227" t="s">
        <v>1147</v>
      </c>
      <c r="E832" s="228">
        <v>2</v>
      </c>
      <c r="F832" s="101">
        <v>2</v>
      </c>
      <c r="G832" s="87" t="str">
        <f t="shared" si="133"/>
        <v>E422</v>
      </c>
      <c r="H832" s="87" t="s">
        <v>1294</v>
      </c>
      <c r="I832" s="89" t="str">
        <f>VLOOKUP(C832,'PREMIUM TABLES'!$G$107:$H$149,2,FALSE)</f>
        <v>C3</v>
      </c>
      <c r="J832" s="87">
        <v>131.03</v>
      </c>
      <c r="K832" s="87">
        <v>142.35212990250278</v>
      </c>
      <c r="L832" s="87">
        <v>160</v>
      </c>
      <c r="O832" s="87" t="s">
        <v>187</v>
      </c>
      <c r="P832" s="87" t="s">
        <v>190</v>
      </c>
      <c r="Q832" s="229" t="s">
        <v>212</v>
      </c>
      <c r="R832" s="87" t="str">
        <f>VLOOKUP(E832,'PREMIUM TABLES'!$F$214:$G$219,2,FALSE)</f>
        <v>SECOND</v>
      </c>
      <c r="S832" s="87" t="str" cm="1">
        <f t="array" ref="S832">IF(AND(L832&gt;0,L832&lt;90),"A",IF(AND(L832&gt;90,L832&lt;123),"B",IF(AND(L832&gt;122,L832&lt;159),"C",IF(AND(L832&gt;159,L832&lt;185),"D",IF(AND(L832&gt;185,L832&lt;230),"E",IF(AND(L832&gt;230,L832&lt;350),"F",NONE))))))</f>
        <v>D</v>
      </c>
      <c r="T832" s="230">
        <f>VLOOKUP(O832,'PREMIUM TABLES'!$G$165:$H$172,2,FALSE)</f>
        <v>0.08</v>
      </c>
      <c r="U832" s="230">
        <f>VLOOKUP(P832,'PREMIUM TABLES'!$G$208:$H$209,2,FALSE)</f>
        <v>2.5000000000000001E-2</v>
      </c>
      <c r="V832" s="230">
        <f>VLOOKUP(Q832,'PREMIUM TABLES'!$G$175:$H$195,2,FALSE)</f>
        <v>0.43</v>
      </c>
      <c r="W832" s="230">
        <f>VLOOKUP(R832,'PREMIUM TABLES'!$G$214:$H$219,2,FALSE)</f>
        <v>0.11</v>
      </c>
      <c r="X832" s="230">
        <f>VLOOKUP(S832,'PREMIUM TABLES'!$F$199:$H$205,3,FALSE)</f>
        <v>2.5000000000000001E-2</v>
      </c>
      <c r="Y832" s="231">
        <f t="shared" si="125"/>
        <v>0.67</v>
      </c>
      <c r="Z832" s="231" t="str" cm="1">
        <f t="array" ref="Z832">IF(AND(Y832&gt;0,Y832&lt;0.5),"C",IF(AND(Y832&gt;=0.5,Y832&lt;0.73),"B",IF(AND(Y832&gt;=0.73,Y832&lt;0.98),"A",NONE)))</f>
        <v>B</v>
      </c>
      <c r="AA832" s="231" t="str">
        <f>VLOOKUP(G832,'ALL (R)'!$N$5:$R$862,5,FALSE)</f>
        <v>R 7</v>
      </c>
      <c r="AB832" s="232">
        <f>VLOOKUP(AA832,FACTS!$B$2:$L$14,10,FALSE)</f>
        <v>50150</v>
      </c>
      <c r="AC832" s="232">
        <f>VLOOKUP(AA832,FACTS!$B$2:$L$14,11,FALSE)</f>
        <v>56050</v>
      </c>
      <c r="AD832" s="232">
        <f>VLOOKUP(AA832,FACTS!$B$2:$N$14,13,FALSE)</f>
        <v>5900</v>
      </c>
      <c r="AE832" s="232">
        <f t="shared" si="126"/>
        <v>3953.0000000000005</v>
      </c>
      <c r="AF832" s="232">
        <f t="shared" si="127"/>
        <v>54103</v>
      </c>
      <c r="AG832" s="232">
        <f>AF832*FACTS!$T$2</f>
        <v>17853.990000000002</v>
      </c>
      <c r="AH832" s="232">
        <f>Table1[[#This Row],[UNIT (BUILDING) RATE (SEMI FINISHED)]]+4500</f>
        <v>58603</v>
      </c>
      <c r="AI832" s="232">
        <f>Table1[[#This Row],[UNIT (BUILDING) RATE (SEMI FINISHED)]]+7500</f>
        <v>61603</v>
      </c>
      <c r="AJ832" s="232">
        <f t="shared" si="128"/>
        <v>8656480</v>
      </c>
      <c r="AK832" s="232">
        <f>Table1[[#This Row],[UNIT (BUILDING) RATE (BASIC FINISH)]]*Table1[[#This Row],[Unit Selling Area]]</f>
        <v>9376480</v>
      </c>
      <c r="AL832" s="232">
        <f>Table1[[#This Row],[UNIT (BUILDING) RATE (FULLY FINISH)]]*Table1[[#This Row],[Unit Selling Area]]</f>
        <v>9856480</v>
      </c>
      <c r="AM832" s="232">
        <f t="shared" si="129"/>
        <v>0</v>
      </c>
      <c r="AN832" s="232">
        <f>(AM832+AJ832)*FACTS!$S$2</f>
        <v>735800.8</v>
      </c>
      <c r="AO832" s="101">
        <f>VLOOKUP(S832,FACTS!$A$17:$C$23,3,FALSE)</f>
        <v>2</v>
      </c>
      <c r="AP832" s="232">
        <f>VLOOKUP(AA832,FACTS!$B$2:$J$14,9,FALSE)</f>
        <v>236000</v>
      </c>
      <c r="AQ832" s="232">
        <f>Table1[[#This Row],[PARKING VALUE]]*1</f>
        <v>236000</v>
      </c>
      <c r="AR832" s="232">
        <f t="shared" si="124"/>
        <v>8892480</v>
      </c>
      <c r="AS832" s="440">
        <f>Table1[[#This Row],[TOTAL CARS VALUE]]+Table1[[#This Row],[UNIT (BUILDING) VALUE BASIC FINISHED]]+Table1[[#This Row],[UNIT (GARDEN) VALUE]]</f>
        <v>9612480</v>
      </c>
      <c r="AT832" s="232">
        <f>Table1[[#This Row],[TOTAL CARS VALUE]]+Table1[[#This Row],[UNIT (GARDEN) VALUE]]+Table1[[#This Row],[UNIT (BUILDING) VALUE FULLY FINISHED]]</f>
        <v>10092480</v>
      </c>
      <c r="AU832" s="233">
        <f>VLOOKUP(I832,'C PHASES'!$I$108:$J$110,2,FALSE)</f>
        <v>46569</v>
      </c>
      <c r="AV832" s="233">
        <f>VLOOKUP(AA832,'C PHASES'!$I$113:$J$125,2,FALSE)</f>
        <v>45748</v>
      </c>
    </row>
    <row r="833" spans="1:48" x14ac:dyDescent="0.25">
      <c r="A833" s="235"/>
      <c r="B833" s="227" t="str">
        <f t="shared" si="132"/>
        <v>E</v>
      </c>
      <c r="C833" s="227" t="s">
        <v>77</v>
      </c>
      <c r="D833" s="227" t="s">
        <v>1147</v>
      </c>
      <c r="E833" s="228">
        <v>2</v>
      </c>
      <c r="F833" s="101">
        <v>3</v>
      </c>
      <c r="G833" s="87" t="str">
        <f t="shared" si="133"/>
        <v>E423</v>
      </c>
      <c r="H833" s="87" t="s">
        <v>1294</v>
      </c>
      <c r="I833" s="89" t="str">
        <f>VLOOKUP(C833,'PREMIUM TABLES'!$G$107:$H$149,2,FALSE)</f>
        <v>C3</v>
      </c>
      <c r="J833" s="87">
        <v>126.89</v>
      </c>
      <c r="K833" s="87">
        <v>137.85439794954269</v>
      </c>
      <c r="L833" s="87">
        <v>155</v>
      </c>
      <c r="O833" s="87" t="s">
        <v>187</v>
      </c>
      <c r="P833" s="87" t="s">
        <v>190</v>
      </c>
      <c r="Q833" s="229" t="s">
        <v>212</v>
      </c>
      <c r="R833" s="87" t="str">
        <f>VLOOKUP(E833,'PREMIUM TABLES'!$F$214:$G$219,2,FALSE)</f>
        <v>SECOND</v>
      </c>
      <c r="S833" s="87" t="str" cm="1">
        <f t="array" ref="S833">IF(AND(L833&gt;0,L833&lt;90),"A",IF(AND(L833&gt;90,L833&lt;123),"B",IF(AND(L833&gt;122,L833&lt;159),"C",IF(AND(L833&gt;159,L833&lt;185),"D",IF(AND(L833&gt;185,L833&lt;230),"E",IF(AND(L833&gt;230,L833&lt;350),"F",NONE))))))</f>
        <v>C</v>
      </c>
      <c r="T833" s="230">
        <f>VLOOKUP(O833,'PREMIUM TABLES'!$G$165:$H$172,2,FALSE)</f>
        <v>0.08</v>
      </c>
      <c r="U833" s="230">
        <f>VLOOKUP(P833,'PREMIUM TABLES'!$G$208:$H$209,2,FALSE)</f>
        <v>2.5000000000000001E-2</v>
      </c>
      <c r="V833" s="230">
        <f>VLOOKUP(Q833,'PREMIUM TABLES'!$G$175:$H$195,2,FALSE)</f>
        <v>0.43</v>
      </c>
      <c r="W833" s="230">
        <f>VLOOKUP(R833,'PREMIUM TABLES'!$G$214:$H$219,2,FALSE)</f>
        <v>0.11</v>
      </c>
      <c r="X833" s="230">
        <f>VLOOKUP(S833,'PREMIUM TABLES'!$F$199:$H$205,3,FALSE)</f>
        <v>3.5000000000000003E-2</v>
      </c>
      <c r="Y833" s="231">
        <f t="shared" si="125"/>
        <v>0.68</v>
      </c>
      <c r="Z833" s="231" t="str" cm="1">
        <f t="array" ref="Z833">IF(AND(Y833&gt;0,Y833&lt;0.5),"C",IF(AND(Y833&gt;=0.5,Y833&lt;0.73),"B",IF(AND(Y833&gt;=0.73,Y833&lt;0.98),"A",NONE)))</f>
        <v>B</v>
      </c>
      <c r="AA833" s="231" t="str">
        <f>VLOOKUP(G833,'ALL (R)'!$N$5:$R$862,5,FALSE)</f>
        <v>R 7</v>
      </c>
      <c r="AB833" s="232">
        <f>VLOOKUP(AA833,FACTS!$B$2:$L$14,10,FALSE)</f>
        <v>50150</v>
      </c>
      <c r="AC833" s="232">
        <f>VLOOKUP(AA833,FACTS!$B$2:$L$14,11,FALSE)</f>
        <v>56050</v>
      </c>
      <c r="AD833" s="232">
        <f>VLOOKUP(AA833,FACTS!$B$2:$N$14,13,FALSE)</f>
        <v>5900</v>
      </c>
      <c r="AE833" s="232">
        <f t="shared" si="126"/>
        <v>4012.0000000000005</v>
      </c>
      <c r="AF833" s="232">
        <f t="shared" si="127"/>
        <v>54162</v>
      </c>
      <c r="AG833" s="232">
        <f>AF833*FACTS!$T$2</f>
        <v>17873.46</v>
      </c>
      <c r="AH833" s="232">
        <f>Table1[[#This Row],[UNIT (BUILDING) RATE (SEMI FINISHED)]]+4500</f>
        <v>58662</v>
      </c>
      <c r="AI833" s="232">
        <f>Table1[[#This Row],[UNIT (BUILDING) RATE (SEMI FINISHED)]]+7500</f>
        <v>61662</v>
      </c>
      <c r="AJ833" s="232">
        <f t="shared" si="128"/>
        <v>8395110</v>
      </c>
      <c r="AK833" s="232">
        <f>Table1[[#This Row],[UNIT (BUILDING) RATE (BASIC FINISH)]]*Table1[[#This Row],[Unit Selling Area]]</f>
        <v>9092610</v>
      </c>
      <c r="AL833" s="232">
        <f>Table1[[#This Row],[UNIT (BUILDING) RATE (FULLY FINISH)]]*Table1[[#This Row],[Unit Selling Area]]</f>
        <v>9557610</v>
      </c>
      <c r="AM833" s="232">
        <f t="shared" si="129"/>
        <v>0</v>
      </c>
      <c r="AN833" s="232">
        <f>(AM833+AJ833)*FACTS!$S$2</f>
        <v>713584.35000000009</v>
      </c>
      <c r="AO833" s="101">
        <f>VLOOKUP(S833,FACTS!$A$17:$C$23,3,FALSE)</f>
        <v>2</v>
      </c>
      <c r="AP833" s="232">
        <f>VLOOKUP(AA833,FACTS!$B$2:$J$14,9,FALSE)</f>
        <v>236000</v>
      </c>
      <c r="AQ833" s="232">
        <f>Table1[[#This Row],[PARKING VALUE]]*1</f>
        <v>236000</v>
      </c>
      <c r="AR833" s="232">
        <f t="shared" si="124"/>
        <v>8631110</v>
      </c>
      <c r="AS833" s="440">
        <f>Table1[[#This Row],[TOTAL CARS VALUE]]+Table1[[#This Row],[UNIT (BUILDING) VALUE BASIC FINISHED]]+Table1[[#This Row],[UNIT (GARDEN) VALUE]]</f>
        <v>9328610</v>
      </c>
      <c r="AT833" s="232">
        <f>Table1[[#This Row],[TOTAL CARS VALUE]]+Table1[[#This Row],[UNIT (GARDEN) VALUE]]+Table1[[#This Row],[UNIT (BUILDING) VALUE FULLY FINISHED]]</f>
        <v>9793610</v>
      </c>
      <c r="AU833" s="233">
        <f>VLOOKUP(I833,'C PHASES'!$I$108:$J$110,2,FALSE)</f>
        <v>46569</v>
      </c>
      <c r="AV833" s="233">
        <f>VLOOKUP(AA833,'C PHASES'!$I$113:$J$125,2,FALSE)</f>
        <v>45748</v>
      </c>
    </row>
    <row r="834" spans="1:48" x14ac:dyDescent="0.25">
      <c r="A834" s="235"/>
      <c r="B834" s="227" t="str">
        <f t="shared" si="132"/>
        <v>E</v>
      </c>
      <c r="C834" s="227" t="s">
        <v>77</v>
      </c>
      <c r="D834" s="227" t="s">
        <v>1147</v>
      </c>
      <c r="E834" s="228">
        <v>2</v>
      </c>
      <c r="F834" s="101">
        <v>4</v>
      </c>
      <c r="G834" s="87" t="str">
        <f t="shared" si="133"/>
        <v>E424</v>
      </c>
      <c r="H834" s="87" t="s">
        <v>1294</v>
      </c>
      <c r="I834" s="89" t="str">
        <f>VLOOKUP(C834,'PREMIUM TABLES'!$G$107:$H$149,2,FALSE)</f>
        <v>C3</v>
      </c>
      <c r="J834" s="87">
        <v>126.99</v>
      </c>
      <c r="K834" s="87">
        <v>137.96303881797166</v>
      </c>
      <c r="L834" s="87">
        <v>155</v>
      </c>
      <c r="O834" s="87" t="s">
        <v>180</v>
      </c>
      <c r="P834" s="87" t="s">
        <v>190</v>
      </c>
      <c r="Q834" s="229" t="s">
        <v>198</v>
      </c>
      <c r="R834" s="87" t="str">
        <f>VLOOKUP(E834,'PREMIUM TABLES'!$F$214:$G$219,2,FALSE)</f>
        <v>SECOND</v>
      </c>
      <c r="S834" s="87" t="str" cm="1">
        <f t="array" ref="S834">IF(AND(L834&gt;0,L834&lt;90),"A",IF(AND(L834&gt;90,L834&lt;123),"B",IF(AND(L834&gt;122,L834&lt;159),"C",IF(AND(L834&gt;159,L834&lt;185),"D",IF(AND(L834&gt;185,L834&lt;230),"E",IF(AND(L834&gt;230,L834&lt;350),"F",NONE))))))</f>
        <v>C</v>
      </c>
      <c r="T834" s="230">
        <f>VLOOKUP(O834,'PREMIUM TABLES'!$G$165:$H$172,2,FALSE)</f>
        <v>0.13</v>
      </c>
      <c r="U834" s="230">
        <f>VLOOKUP(P834,'PREMIUM TABLES'!$G$208:$H$209,2,FALSE)</f>
        <v>2.5000000000000001E-2</v>
      </c>
      <c r="V834" s="230">
        <f>VLOOKUP(Q834,'PREMIUM TABLES'!$G$175:$H$195,2,FALSE)</f>
        <v>0.15</v>
      </c>
      <c r="W834" s="230">
        <f>VLOOKUP(R834,'PREMIUM TABLES'!$G$214:$H$219,2,FALSE)</f>
        <v>0.11</v>
      </c>
      <c r="X834" s="230">
        <f>VLOOKUP(S834,'PREMIUM TABLES'!$F$199:$H$205,3,FALSE)</f>
        <v>3.5000000000000003E-2</v>
      </c>
      <c r="Y834" s="231">
        <f t="shared" si="125"/>
        <v>0.44999999999999996</v>
      </c>
      <c r="Z834" s="231" t="str" cm="1">
        <f t="array" ref="Z834">IF(AND(Y834&gt;0,Y834&lt;0.5),"C",IF(AND(Y834&gt;=0.5,Y834&lt;0.73),"B",IF(AND(Y834&gt;=0.73,Y834&lt;0.98),"A",NONE)))</f>
        <v>C</v>
      </c>
      <c r="AA834" s="231" t="str">
        <f>VLOOKUP(G834,'ALL (R)'!$N$5:$R$862,5,FALSE)</f>
        <v>R 9</v>
      </c>
      <c r="AB834" s="232">
        <f>VLOOKUP(AA834,FACTS!$B$2:$L$14,10,FALSE)</f>
        <v>53550</v>
      </c>
      <c r="AC834" s="232">
        <f>VLOOKUP(AA834,FACTS!$B$2:$L$14,11,FALSE)</f>
        <v>59850</v>
      </c>
      <c r="AD834" s="232">
        <f>VLOOKUP(AA834,FACTS!$B$2:$N$14,13,FALSE)</f>
        <v>6300</v>
      </c>
      <c r="AE834" s="232">
        <f t="shared" si="126"/>
        <v>2834.9999999999995</v>
      </c>
      <c r="AF834" s="232">
        <f t="shared" si="127"/>
        <v>56385</v>
      </c>
      <c r="AG834" s="232">
        <f>AF834*FACTS!$T$2</f>
        <v>18607.05</v>
      </c>
      <c r="AH834" s="232">
        <f>Table1[[#This Row],[UNIT (BUILDING) RATE (SEMI FINISHED)]]+4500</f>
        <v>60885</v>
      </c>
      <c r="AI834" s="232">
        <f>Table1[[#This Row],[UNIT (BUILDING) RATE (SEMI FINISHED)]]+7500</f>
        <v>63885</v>
      </c>
      <c r="AJ834" s="232">
        <f t="shared" si="128"/>
        <v>8739675</v>
      </c>
      <c r="AK834" s="232">
        <f>Table1[[#This Row],[UNIT (BUILDING) RATE (BASIC FINISH)]]*Table1[[#This Row],[Unit Selling Area]]</f>
        <v>9437175</v>
      </c>
      <c r="AL834" s="232">
        <f>Table1[[#This Row],[UNIT (BUILDING) RATE (FULLY FINISH)]]*Table1[[#This Row],[Unit Selling Area]]</f>
        <v>9902175</v>
      </c>
      <c r="AM834" s="232">
        <f t="shared" si="129"/>
        <v>0</v>
      </c>
      <c r="AN834" s="232">
        <f>(AM834+AJ834)*FACTS!$S$2</f>
        <v>742872.375</v>
      </c>
      <c r="AO834" s="101">
        <f>VLOOKUP(S834,FACTS!$A$17:$C$23,3,FALSE)</f>
        <v>2</v>
      </c>
      <c r="AP834" s="232">
        <f>VLOOKUP(AA834,FACTS!$B$2:$J$14,9,FALSE)</f>
        <v>252000</v>
      </c>
      <c r="AQ834" s="232">
        <f>Table1[[#This Row],[PARKING VALUE]]*1</f>
        <v>252000</v>
      </c>
      <c r="AR834" s="232">
        <f t="shared" si="124"/>
        <v>8991675</v>
      </c>
      <c r="AS834" s="440">
        <f>Table1[[#This Row],[TOTAL CARS VALUE]]+Table1[[#This Row],[UNIT (BUILDING) VALUE BASIC FINISHED]]+Table1[[#This Row],[UNIT (GARDEN) VALUE]]</f>
        <v>9689175</v>
      </c>
      <c r="AT834" s="232">
        <f>Table1[[#This Row],[TOTAL CARS VALUE]]+Table1[[#This Row],[UNIT (GARDEN) VALUE]]+Table1[[#This Row],[UNIT (BUILDING) VALUE FULLY FINISHED]]</f>
        <v>10154175</v>
      </c>
      <c r="AU834" s="233">
        <f>VLOOKUP(I834,'C PHASES'!$I$108:$J$110,2,FALSE)</f>
        <v>46569</v>
      </c>
      <c r="AV834" s="233">
        <f>VLOOKUP(AA834,'C PHASES'!$I$113:$J$125,2,FALSE)</f>
        <v>45931</v>
      </c>
    </row>
    <row r="835" spans="1:48" x14ac:dyDescent="0.25">
      <c r="A835" s="235"/>
      <c r="B835" s="227" t="str">
        <f t="shared" si="132"/>
        <v>E</v>
      </c>
      <c r="C835" s="227" t="s">
        <v>77</v>
      </c>
      <c r="D835" s="227" t="s">
        <v>1147</v>
      </c>
      <c r="E835" s="228">
        <v>3</v>
      </c>
      <c r="F835" s="101">
        <v>1</v>
      </c>
      <c r="G835" s="87" t="str">
        <f t="shared" si="133"/>
        <v>E431</v>
      </c>
      <c r="H835" s="87" t="s">
        <v>1294</v>
      </c>
      <c r="I835" s="89" t="str">
        <f>VLOOKUP(C835,'PREMIUM TABLES'!$G$107:$H$149,2,FALSE)</f>
        <v>C3</v>
      </c>
      <c r="J835" s="87">
        <v>131.88</v>
      </c>
      <c r="K835" s="87">
        <v>143.27557728414919</v>
      </c>
      <c r="L835" s="87">
        <v>161</v>
      </c>
      <c r="O835" s="87" t="s">
        <v>180</v>
      </c>
      <c r="P835" s="87" t="s">
        <v>190</v>
      </c>
      <c r="Q835" s="229" t="s">
        <v>198</v>
      </c>
      <c r="R835" s="87" t="str">
        <f>VLOOKUP(E835,'PREMIUM TABLES'!$F$214:$G$219,2,FALSE)</f>
        <v>THIRD</v>
      </c>
      <c r="S835" s="87" t="str" cm="1">
        <f t="array" ref="S835">IF(AND(L835&gt;0,L835&lt;90),"A",IF(AND(L835&gt;90,L835&lt;123),"B",IF(AND(L835&gt;122,L835&lt;159),"C",IF(AND(L835&gt;159,L835&lt;185),"D",IF(AND(L835&gt;185,L835&lt;230),"E",IF(AND(L835&gt;230,L835&lt;350),"F",NONE))))))</f>
        <v>D</v>
      </c>
      <c r="T835" s="230">
        <f>VLOOKUP(O835,'PREMIUM TABLES'!$G$165:$H$172,2,FALSE)</f>
        <v>0.13</v>
      </c>
      <c r="U835" s="230">
        <f>VLOOKUP(P835,'PREMIUM TABLES'!$G$208:$H$209,2,FALSE)</f>
        <v>2.5000000000000001E-2</v>
      </c>
      <c r="V835" s="230">
        <f>VLOOKUP(Q835,'PREMIUM TABLES'!$G$175:$H$195,2,FALSE)</f>
        <v>0.15</v>
      </c>
      <c r="W835" s="230">
        <f>VLOOKUP(R835,'PREMIUM TABLES'!$G$214:$H$219,2,FALSE)</f>
        <v>0.15</v>
      </c>
      <c r="X835" s="230">
        <f>VLOOKUP(S835,'PREMIUM TABLES'!$F$199:$H$205,3,FALSE)</f>
        <v>2.5000000000000001E-2</v>
      </c>
      <c r="Y835" s="231">
        <f t="shared" si="125"/>
        <v>0.48</v>
      </c>
      <c r="Z835" s="231" t="str" cm="1">
        <f t="array" ref="Z835">IF(AND(Y835&gt;0,Y835&lt;0.5),"C",IF(AND(Y835&gt;=0.5,Y835&lt;0.73),"B",IF(AND(Y835&gt;=0.73,Y835&lt;0.98),"A",NONE)))</f>
        <v>C</v>
      </c>
      <c r="AA835" s="231" t="str">
        <f>VLOOKUP(G835,'ALL (R)'!$N$5:$R$862,5,FALSE)</f>
        <v>R 12</v>
      </c>
      <c r="AB835" s="232">
        <f>VLOOKUP(AA835,FACTS!$B$2:$L$14,10,FALSE)</f>
        <v>61625</v>
      </c>
      <c r="AC835" s="232">
        <f>VLOOKUP(AA835,FACTS!$B$2:$L$14,11,FALSE)</f>
        <v>68875</v>
      </c>
      <c r="AD835" s="232">
        <f>VLOOKUP(AA835,FACTS!$B$2:$N$14,13,FALSE)</f>
        <v>7250</v>
      </c>
      <c r="AE835" s="232">
        <f t="shared" si="126"/>
        <v>3480</v>
      </c>
      <c r="AF835" s="232">
        <f t="shared" si="127"/>
        <v>65105</v>
      </c>
      <c r="AG835" s="232">
        <f>AF835*FACTS!$T$2</f>
        <v>21484.65</v>
      </c>
      <c r="AH835" s="232">
        <f>Table1[[#This Row],[UNIT (BUILDING) RATE (SEMI FINISHED)]]+4500</f>
        <v>69605</v>
      </c>
      <c r="AI835" s="232">
        <f>Table1[[#This Row],[UNIT (BUILDING) RATE (SEMI FINISHED)]]+7500</f>
        <v>72605</v>
      </c>
      <c r="AJ835" s="232">
        <f t="shared" si="128"/>
        <v>10481905</v>
      </c>
      <c r="AK835" s="232">
        <f>Table1[[#This Row],[UNIT (BUILDING) RATE (BASIC FINISH)]]*Table1[[#This Row],[Unit Selling Area]]</f>
        <v>11206405</v>
      </c>
      <c r="AL835" s="232">
        <f>Table1[[#This Row],[UNIT (BUILDING) RATE (FULLY FINISH)]]*Table1[[#This Row],[Unit Selling Area]]</f>
        <v>11689405</v>
      </c>
      <c r="AM835" s="232">
        <f t="shared" si="129"/>
        <v>0</v>
      </c>
      <c r="AN835" s="232">
        <f>(AM835+AJ835)*FACTS!$S$2</f>
        <v>890961.92500000005</v>
      </c>
      <c r="AO835" s="101">
        <f>VLOOKUP(S835,FACTS!$A$17:$C$23,3,FALSE)</f>
        <v>2</v>
      </c>
      <c r="AP835" s="232">
        <f>VLOOKUP(AA835,FACTS!$B$2:$J$14,9,FALSE)</f>
        <v>290000</v>
      </c>
      <c r="AQ835" s="232">
        <f>Table1[[#This Row],[PARKING VALUE]]*1</f>
        <v>290000</v>
      </c>
      <c r="AR835" s="232">
        <f t="shared" si="124"/>
        <v>10771905</v>
      </c>
      <c r="AS835" s="440">
        <f>Table1[[#This Row],[TOTAL CARS VALUE]]+Table1[[#This Row],[UNIT (BUILDING) VALUE BASIC FINISHED]]+Table1[[#This Row],[UNIT (GARDEN) VALUE]]</f>
        <v>11496405</v>
      </c>
      <c r="AT835" s="232">
        <f>Table1[[#This Row],[TOTAL CARS VALUE]]+Table1[[#This Row],[UNIT (GARDEN) VALUE]]+Table1[[#This Row],[UNIT (BUILDING) VALUE FULLY FINISHED]]</f>
        <v>11979405</v>
      </c>
      <c r="AU835" s="233">
        <f>VLOOKUP(I835,'C PHASES'!$I$108:$J$110,2,FALSE)</f>
        <v>46569</v>
      </c>
      <c r="AV835" s="233">
        <f>VLOOKUP(AA835,'C PHASES'!$I$113:$J$125,2,FALSE)</f>
        <v>46204</v>
      </c>
    </row>
    <row r="836" spans="1:48" x14ac:dyDescent="0.25">
      <c r="A836" s="235"/>
      <c r="B836" s="227" t="str">
        <f t="shared" si="132"/>
        <v>E</v>
      </c>
      <c r="C836" s="227" t="s">
        <v>77</v>
      </c>
      <c r="D836" s="227" t="s">
        <v>1147</v>
      </c>
      <c r="E836" s="228">
        <v>3</v>
      </c>
      <c r="F836" s="101">
        <v>2</v>
      </c>
      <c r="G836" s="87" t="str">
        <f t="shared" si="133"/>
        <v>E432</v>
      </c>
      <c r="H836" s="87" t="s">
        <v>1294</v>
      </c>
      <c r="I836" s="89" t="str">
        <f>VLOOKUP(C836,'PREMIUM TABLES'!$G$107:$H$149,2,FALSE)</f>
        <v>C3</v>
      </c>
      <c r="J836" s="87">
        <v>131.02000000000001</v>
      </c>
      <c r="K836" s="87">
        <v>142.34126581565991</v>
      </c>
      <c r="L836" s="87">
        <v>160</v>
      </c>
      <c r="O836" s="87" t="s">
        <v>187</v>
      </c>
      <c r="P836" s="87" t="s">
        <v>190</v>
      </c>
      <c r="Q836" s="229" t="s">
        <v>212</v>
      </c>
      <c r="R836" s="87" t="str">
        <f>VLOOKUP(E836,'PREMIUM TABLES'!$F$214:$G$219,2,FALSE)</f>
        <v>THIRD</v>
      </c>
      <c r="S836" s="87" t="str" cm="1">
        <f t="array" ref="S836">IF(AND(L836&gt;0,L836&lt;90),"A",IF(AND(L836&gt;90,L836&lt;123),"B",IF(AND(L836&gt;122,L836&lt;159),"C",IF(AND(L836&gt;159,L836&lt;185),"D",IF(AND(L836&gt;185,L836&lt;230),"E",IF(AND(L836&gt;230,L836&lt;350),"F",NONE))))))</f>
        <v>D</v>
      </c>
      <c r="T836" s="230">
        <f>VLOOKUP(O836,'PREMIUM TABLES'!$G$165:$H$172,2,FALSE)</f>
        <v>0.08</v>
      </c>
      <c r="U836" s="230">
        <f>VLOOKUP(P836,'PREMIUM TABLES'!$G$208:$H$209,2,FALSE)</f>
        <v>2.5000000000000001E-2</v>
      </c>
      <c r="V836" s="230">
        <f>VLOOKUP(Q836,'PREMIUM TABLES'!$G$175:$H$195,2,FALSE)</f>
        <v>0.43</v>
      </c>
      <c r="W836" s="230">
        <f>VLOOKUP(R836,'PREMIUM TABLES'!$G$214:$H$219,2,FALSE)</f>
        <v>0.15</v>
      </c>
      <c r="X836" s="230">
        <f>VLOOKUP(S836,'PREMIUM TABLES'!$F$199:$H$205,3,FALSE)</f>
        <v>2.5000000000000001E-2</v>
      </c>
      <c r="Y836" s="231">
        <f t="shared" si="125"/>
        <v>0.71000000000000008</v>
      </c>
      <c r="Z836" s="231" t="str" cm="1">
        <f t="array" ref="Z836">IF(AND(Y836&gt;0,Y836&lt;0.5),"C",IF(AND(Y836&gt;=0.5,Y836&lt;0.73),"B",IF(AND(Y836&gt;=0.73,Y836&lt;0.98),"A",NONE)))</f>
        <v>B</v>
      </c>
      <c r="AA836" s="231" t="str">
        <f>VLOOKUP(G836,'ALL (R)'!$N$5:$R$862,5,FALSE)</f>
        <v>R 12</v>
      </c>
      <c r="AB836" s="232">
        <f>VLOOKUP(AA836,FACTS!$B$2:$L$14,10,FALSE)</f>
        <v>61625</v>
      </c>
      <c r="AC836" s="232">
        <f>VLOOKUP(AA836,FACTS!$B$2:$L$14,11,FALSE)</f>
        <v>68875</v>
      </c>
      <c r="AD836" s="232">
        <f>VLOOKUP(AA836,FACTS!$B$2:$N$14,13,FALSE)</f>
        <v>7250</v>
      </c>
      <c r="AE836" s="232">
        <f t="shared" si="126"/>
        <v>5147.5000000000009</v>
      </c>
      <c r="AF836" s="232">
        <f t="shared" si="127"/>
        <v>66772.5</v>
      </c>
      <c r="AG836" s="232">
        <f>AF836*FACTS!$T$2</f>
        <v>22034.924999999999</v>
      </c>
      <c r="AH836" s="232">
        <f>Table1[[#This Row],[UNIT (BUILDING) RATE (SEMI FINISHED)]]+4500</f>
        <v>71272.5</v>
      </c>
      <c r="AI836" s="232">
        <f>Table1[[#This Row],[UNIT (BUILDING) RATE (SEMI FINISHED)]]+7500</f>
        <v>74272.5</v>
      </c>
      <c r="AJ836" s="232">
        <f t="shared" si="128"/>
        <v>10683600</v>
      </c>
      <c r="AK836" s="232">
        <f>Table1[[#This Row],[UNIT (BUILDING) RATE (BASIC FINISH)]]*Table1[[#This Row],[Unit Selling Area]]</f>
        <v>11403600</v>
      </c>
      <c r="AL836" s="232">
        <f>Table1[[#This Row],[UNIT (BUILDING) RATE (FULLY FINISH)]]*Table1[[#This Row],[Unit Selling Area]]</f>
        <v>11883600</v>
      </c>
      <c r="AM836" s="232">
        <f t="shared" si="129"/>
        <v>0</v>
      </c>
      <c r="AN836" s="232">
        <f>(AM836+AJ836)*FACTS!$S$2</f>
        <v>908106.00000000012</v>
      </c>
      <c r="AO836" s="101">
        <f>VLOOKUP(S836,FACTS!$A$17:$C$23,3,FALSE)</f>
        <v>2</v>
      </c>
      <c r="AP836" s="232">
        <f>VLOOKUP(AA836,FACTS!$B$2:$J$14,9,FALSE)</f>
        <v>290000</v>
      </c>
      <c r="AQ836" s="232">
        <f>Table1[[#This Row],[PARKING VALUE]]*1</f>
        <v>290000</v>
      </c>
      <c r="AR836" s="232">
        <f t="shared" si="124"/>
        <v>10973600</v>
      </c>
      <c r="AS836" s="440">
        <f>Table1[[#This Row],[TOTAL CARS VALUE]]+Table1[[#This Row],[UNIT (BUILDING) VALUE BASIC FINISHED]]+Table1[[#This Row],[UNIT (GARDEN) VALUE]]</f>
        <v>11693600</v>
      </c>
      <c r="AT836" s="232">
        <f>Table1[[#This Row],[TOTAL CARS VALUE]]+Table1[[#This Row],[UNIT (GARDEN) VALUE]]+Table1[[#This Row],[UNIT (BUILDING) VALUE FULLY FINISHED]]</f>
        <v>12173600</v>
      </c>
      <c r="AU836" s="233">
        <f>VLOOKUP(I836,'C PHASES'!$I$108:$J$110,2,FALSE)</f>
        <v>46569</v>
      </c>
      <c r="AV836" s="233">
        <f>VLOOKUP(AA836,'C PHASES'!$I$113:$J$125,2,FALSE)</f>
        <v>46204</v>
      </c>
    </row>
    <row r="837" spans="1:48" x14ac:dyDescent="0.25">
      <c r="A837" s="235"/>
      <c r="B837" s="227" t="str">
        <f t="shared" si="132"/>
        <v>E</v>
      </c>
      <c r="C837" s="227" t="s">
        <v>77</v>
      </c>
      <c r="D837" s="227" t="s">
        <v>1147</v>
      </c>
      <c r="E837" s="228">
        <v>3</v>
      </c>
      <c r="F837" s="101">
        <v>3</v>
      </c>
      <c r="G837" s="87" t="str">
        <f t="shared" si="133"/>
        <v>E433</v>
      </c>
      <c r="H837" s="87" t="s">
        <v>1294</v>
      </c>
      <c r="I837" s="89" t="str">
        <f>VLOOKUP(C837,'PREMIUM TABLES'!$G$107:$H$149,2,FALSE)</f>
        <v>C3</v>
      </c>
      <c r="J837" s="87">
        <v>126.87</v>
      </c>
      <c r="K837" s="87">
        <v>137.83266977585691</v>
      </c>
      <c r="L837" s="87">
        <v>155</v>
      </c>
      <c r="O837" s="87" t="s">
        <v>187</v>
      </c>
      <c r="P837" s="87" t="s">
        <v>190</v>
      </c>
      <c r="Q837" s="229" t="s">
        <v>212</v>
      </c>
      <c r="R837" s="87" t="str">
        <f>VLOOKUP(E837,'PREMIUM TABLES'!$F$214:$G$219,2,FALSE)</f>
        <v>THIRD</v>
      </c>
      <c r="S837" s="87" t="str" cm="1">
        <f t="array" ref="S837">IF(AND(L837&gt;0,L837&lt;90),"A",IF(AND(L837&gt;90,L837&lt;123),"B",IF(AND(L837&gt;122,L837&lt;159),"C",IF(AND(L837&gt;159,L837&lt;185),"D",IF(AND(L837&gt;185,L837&lt;230),"E",IF(AND(L837&gt;230,L837&lt;350),"F",NONE))))))</f>
        <v>C</v>
      </c>
      <c r="T837" s="230">
        <f>VLOOKUP(O837,'PREMIUM TABLES'!$G$165:$H$172,2,FALSE)</f>
        <v>0.08</v>
      </c>
      <c r="U837" s="230">
        <f>VLOOKUP(P837,'PREMIUM TABLES'!$G$208:$H$209,2,FALSE)</f>
        <v>2.5000000000000001E-2</v>
      </c>
      <c r="V837" s="230">
        <f>VLOOKUP(Q837,'PREMIUM TABLES'!$G$175:$H$195,2,FALSE)</f>
        <v>0.43</v>
      </c>
      <c r="W837" s="230">
        <f>VLOOKUP(R837,'PREMIUM TABLES'!$G$214:$H$219,2,FALSE)</f>
        <v>0.15</v>
      </c>
      <c r="X837" s="230">
        <f>VLOOKUP(S837,'PREMIUM TABLES'!$F$199:$H$205,3,FALSE)</f>
        <v>3.5000000000000003E-2</v>
      </c>
      <c r="Y837" s="231">
        <f t="shared" si="125"/>
        <v>0.72000000000000008</v>
      </c>
      <c r="Z837" s="231" t="str" cm="1">
        <f t="array" ref="Z837">IF(AND(Y837&gt;0,Y837&lt;0.5),"C",IF(AND(Y837&gt;=0.5,Y837&lt;0.73),"B",IF(AND(Y837&gt;=0.73,Y837&lt;0.98),"A",NONE)))</f>
        <v>B</v>
      </c>
      <c r="AA837" s="231" t="str">
        <f>VLOOKUP(G837,'ALL (R)'!$N$5:$R$862,5,FALSE)</f>
        <v>R 12</v>
      </c>
      <c r="AB837" s="232">
        <f>VLOOKUP(AA837,FACTS!$B$2:$L$14,10,FALSE)</f>
        <v>61625</v>
      </c>
      <c r="AC837" s="232">
        <f>VLOOKUP(AA837,FACTS!$B$2:$L$14,11,FALSE)</f>
        <v>68875</v>
      </c>
      <c r="AD837" s="232">
        <f>VLOOKUP(AA837,FACTS!$B$2:$N$14,13,FALSE)</f>
        <v>7250</v>
      </c>
      <c r="AE837" s="232">
        <f t="shared" si="126"/>
        <v>5220.0000000000009</v>
      </c>
      <c r="AF837" s="232">
        <f t="shared" si="127"/>
        <v>66845</v>
      </c>
      <c r="AG837" s="232">
        <f>AF837*FACTS!$T$2</f>
        <v>22058.850000000002</v>
      </c>
      <c r="AH837" s="232">
        <f>Table1[[#This Row],[UNIT (BUILDING) RATE (SEMI FINISHED)]]+4500</f>
        <v>71345</v>
      </c>
      <c r="AI837" s="232">
        <f>Table1[[#This Row],[UNIT (BUILDING) RATE (SEMI FINISHED)]]+7500</f>
        <v>74345</v>
      </c>
      <c r="AJ837" s="232">
        <f t="shared" si="128"/>
        <v>10360975</v>
      </c>
      <c r="AK837" s="232">
        <f>Table1[[#This Row],[UNIT (BUILDING) RATE (BASIC FINISH)]]*Table1[[#This Row],[Unit Selling Area]]</f>
        <v>11058475</v>
      </c>
      <c r="AL837" s="232">
        <f>Table1[[#This Row],[UNIT (BUILDING) RATE (FULLY FINISH)]]*Table1[[#This Row],[Unit Selling Area]]</f>
        <v>11523475</v>
      </c>
      <c r="AM837" s="232">
        <f t="shared" si="129"/>
        <v>0</v>
      </c>
      <c r="AN837" s="232">
        <f>(AM837+AJ837)*FACTS!$S$2</f>
        <v>880682.87500000012</v>
      </c>
      <c r="AO837" s="101">
        <f>VLOOKUP(S837,FACTS!$A$17:$C$23,3,FALSE)</f>
        <v>2</v>
      </c>
      <c r="AP837" s="232">
        <f>VLOOKUP(AA837,FACTS!$B$2:$J$14,9,FALSE)</f>
        <v>290000</v>
      </c>
      <c r="AQ837" s="232">
        <f>Table1[[#This Row],[PARKING VALUE]]*1</f>
        <v>290000</v>
      </c>
      <c r="AR837" s="232">
        <f t="shared" ref="AR837:AR862" si="134">AQ837+AM837+AJ837</f>
        <v>10650975</v>
      </c>
      <c r="AS837" s="440">
        <f>Table1[[#This Row],[TOTAL CARS VALUE]]+Table1[[#This Row],[UNIT (BUILDING) VALUE BASIC FINISHED]]+Table1[[#This Row],[UNIT (GARDEN) VALUE]]</f>
        <v>11348475</v>
      </c>
      <c r="AT837" s="232">
        <f>Table1[[#This Row],[TOTAL CARS VALUE]]+Table1[[#This Row],[UNIT (GARDEN) VALUE]]+Table1[[#This Row],[UNIT (BUILDING) VALUE FULLY FINISHED]]</f>
        <v>11813475</v>
      </c>
      <c r="AU837" s="233">
        <f>VLOOKUP(I837,'C PHASES'!$I$108:$J$110,2,FALSE)</f>
        <v>46569</v>
      </c>
      <c r="AV837" s="233">
        <f>VLOOKUP(AA837,'C PHASES'!$I$113:$J$125,2,FALSE)</f>
        <v>46204</v>
      </c>
    </row>
    <row r="838" spans="1:48" x14ac:dyDescent="0.25">
      <c r="A838" s="235"/>
      <c r="B838" s="227" t="str">
        <f t="shared" si="132"/>
        <v>E</v>
      </c>
      <c r="C838" s="227" t="s">
        <v>77</v>
      </c>
      <c r="D838" s="227" t="s">
        <v>1147</v>
      </c>
      <c r="E838" s="228">
        <v>3</v>
      </c>
      <c r="F838" s="101">
        <v>4</v>
      </c>
      <c r="G838" s="87" t="str">
        <f t="shared" si="133"/>
        <v>E434</v>
      </c>
      <c r="H838" s="87" t="s">
        <v>1294</v>
      </c>
      <c r="I838" s="89" t="str">
        <f>VLOOKUP(C838,'PREMIUM TABLES'!$G$107:$H$149,2,FALSE)</f>
        <v>C3</v>
      </c>
      <c r="J838" s="87">
        <v>127.41</v>
      </c>
      <c r="K838" s="87">
        <v>138.41933046537343</v>
      </c>
      <c r="L838" s="87">
        <v>155</v>
      </c>
      <c r="O838" s="87" t="s">
        <v>180</v>
      </c>
      <c r="P838" s="87" t="s">
        <v>190</v>
      </c>
      <c r="Q838" s="229" t="s">
        <v>198</v>
      </c>
      <c r="R838" s="87" t="str">
        <f>VLOOKUP(E838,'PREMIUM TABLES'!$F$214:$G$219,2,FALSE)</f>
        <v>THIRD</v>
      </c>
      <c r="S838" s="87" t="str" cm="1">
        <f t="array" ref="S838">IF(AND(L838&gt;0,L838&lt;90),"A",IF(AND(L838&gt;90,L838&lt;123),"B",IF(AND(L838&gt;122,L838&lt;159),"C",IF(AND(L838&gt;159,L838&lt;185),"D",IF(AND(L838&gt;185,L838&lt;230),"E",IF(AND(L838&gt;230,L838&lt;350),"F",NONE))))))</f>
        <v>C</v>
      </c>
      <c r="T838" s="230">
        <f>VLOOKUP(O838,'PREMIUM TABLES'!$G$165:$H$172,2,FALSE)</f>
        <v>0.13</v>
      </c>
      <c r="U838" s="230">
        <f>VLOOKUP(P838,'PREMIUM TABLES'!$G$208:$H$209,2,FALSE)</f>
        <v>2.5000000000000001E-2</v>
      </c>
      <c r="V838" s="230">
        <f>VLOOKUP(Q838,'PREMIUM TABLES'!$G$175:$H$195,2,FALSE)</f>
        <v>0.15</v>
      </c>
      <c r="W838" s="230">
        <f>VLOOKUP(R838,'PREMIUM TABLES'!$G$214:$H$219,2,FALSE)</f>
        <v>0.15</v>
      </c>
      <c r="X838" s="230">
        <f>VLOOKUP(S838,'PREMIUM TABLES'!$F$199:$H$205,3,FALSE)</f>
        <v>3.5000000000000003E-2</v>
      </c>
      <c r="Y838" s="231">
        <f t="shared" ref="Y838:Y862" si="135">SUM(T838:X838)</f>
        <v>0.49</v>
      </c>
      <c r="Z838" s="231" t="str" cm="1">
        <f t="array" ref="Z838">IF(AND(Y838&gt;0,Y838&lt;0.5),"C",IF(AND(Y838&gt;=0.5,Y838&lt;0.73),"B",IF(AND(Y838&gt;=0.73,Y838&lt;0.98),"A",NONE)))</f>
        <v>C</v>
      </c>
      <c r="AA838" s="231" t="str">
        <f>VLOOKUP(G838,'ALL (R)'!$N$5:$R$862,5,FALSE)</f>
        <v>R 12</v>
      </c>
      <c r="AB838" s="232">
        <f>VLOOKUP(AA838,FACTS!$B$2:$L$14,10,FALSE)</f>
        <v>61625</v>
      </c>
      <c r="AC838" s="232">
        <f>VLOOKUP(AA838,FACTS!$B$2:$L$14,11,FALSE)</f>
        <v>68875</v>
      </c>
      <c r="AD838" s="232">
        <f>VLOOKUP(AA838,FACTS!$B$2:$N$14,13,FALSE)</f>
        <v>7250</v>
      </c>
      <c r="AE838" s="232">
        <f t="shared" ref="AE838:AE862" si="136">AD838*Y838</f>
        <v>3552.5</v>
      </c>
      <c r="AF838" s="232">
        <f t="shared" ref="AF838:AF862" si="137">AE838+AB838</f>
        <v>65177.5</v>
      </c>
      <c r="AG838" s="232">
        <f>AF838*FACTS!$T$2</f>
        <v>21508.575000000001</v>
      </c>
      <c r="AH838" s="232">
        <f>Table1[[#This Row],[UNIT (BUILDING) RATE (SEMI FINISHED)]]+4500</f>
        <v>69677.5</v>
      </c>
      <c r="AI838" s="232">
        <f>Table1[[#This Row],[UNIT (BUILDING) RATE (SEMI FINISHED)]]+7500</f>
        <v>72677.5</v>
      </c>
      <c r="AJ838" s="232">
        <f t="shared" ref="AJ838:AJ862" si="138">AF838*L838</f>
        <v>10102512.5</v>
      </c>
      <c r="AK838" s="232">
        <f>Table1[[#This Row],[UNIT (BUILDING) RATE (BASIC FINISH)]]*Table1[[#This Row],[Unit Selling Area]]</f>
        <v>10800012.5</v>
      </c>
      <c r="AL838" s="232">
        <f>Table1[[#This Row],[UNIT (BUILDING) RATE (FULLY FINISH)]]*Table1[[#This Row],[Unit Selling Area]]</f>
        <v>11265012.5</v>
      </c>
      <c r="AM838" s="232">
        <f t="shared" ref="AM838:AM862" si="139">AG838*M838</f>
        <v>0</v>
      </c>
      <c r="AN838" s="232">
        <f>(AM838+AJ838)*FACTS!$S$2</f>
        <v>858713.56250000012</v>
      </c>
      <c r="AO838" s="101">
        <f>VLOOKUP(S838,FACTS!$A$17:$C$23,3,FALSE)</f>
        <v>2</v>
      </c>
      <c r="AP838" s="232">
        <f>VLOOKUP(AA838,FACTS!$B$2:$J$14,9,FALSE)</f>
        <v>290000</v>
      </c>
      <c r="AQ838" s="232">
        <f>Table1[[#This Row],[PARKING VALUE]]*1</f>
        <v>290000</v>
      </c>
      <c r="AR838" s="232">
        <f t="shared" si="134"/>
        <v>10392512.5</v>
      </c>
      <c r="AS838" s="440">
        <f>Table1[[#This Row],[TOTAL CARS VALUE]]+Table1[[#This Row],[UNIT (BUILDING) VALUE BASIC FINISHED]]+Table1[[#This Row],[UNIT (GARDEN) VALUE]]</f>
        <v>11090012.5</v>
      </c>
      <c r="AT838" s="232">
        <f>Table1[[#This Row],[TOTAL CARS VALUE]]+Table1[[#This Row],[UNIT (GARDEN) VALUE]]+Table1[[#This Row],[UNIT (BUILDING) VALUE FULLY FINISHED]]</f>
        <v>11555012.5</v>
      </c>
      <c r="AU838" s="233">
        <f>VLOOKUP(I838,'C PHASES'!$I$108:$J$110,2,FALSE)</f>
        <v>46569</v>
      </c>
      <c r="AV838" s="233">
        <f>VLOOKUP(AA838,'C PHASES'!$I$113:$J$125,2,FALSE)</f>
        <v>46204</v>
      </c>
    </row>
    <row r="839" spans="1:48" x14ac:dyDescent="0.25">
      <c r="A839" s="235"/>
      <c r="B839" s="227" t="str">
        <f t="shared" si="132"/>
        <v>E</v>
      </c>
      <c r="C839" s="227" t="s">
        <v>77</v>
      </c>
      <c r="D839" s="227" t="s">
        <v>1147</v>
      </c>
      <c r="E839" s="228">
        <v>4</v>
      </c>
      <c r="F839" s="101">
        <v>1</v>
      </c>
      <c r="G839" s="87" t="str">
        <f t="shared" si="133"/>
        <v>E441</v>
      </c>
      <c r="H839" s="87" t="s">
        <v>1294</v>
      </c>
      <c r="I839" s="89" t="str">
        <f>VLOOKUP(C839,'PREMIUM TABLES'!$G$107:$H$149,2,FALSE)</f>
        <v>C3</v>
      </c>
      <c r="J839" s="87">
        <v>129.59</v>
      </c>
      <c r="K839" s="87">
        <v>140.78770139712537</v>
      </c>
      <c r="L839" s="87">
        <v>158</v>
      </c>
      <c r="O839" s="87" t="s">
        <v>180</v>
      </c>
      <c r="P839" s="87" t="s">
        <v>190</v>
      </c>
      <c r="Q839" s="229" t="s">
        <v>198</v>
      </c>
      <c r="R839" s="87" t="str">
        <f>VLOOKUP(E839,'PREMIUM TABLES'!$F$214:$G$219,2,FALSE)</f>
        <v>FORTH</v>
      </c>
      <c r="S839" s="87" t="str" cm="1">
        <f t="array" ref="S839">IF(AND(L839&gt;0,L839&lt;90),"A",IF(AND(L839&gt;90,L839&lt;123),"B",IF(AND(L839&gt;122,L839&lt;159),"C",IF(AND(L839&gt;159,L839&lt;185),"D",IF(AND(L839&gt;185,L839&lt;230),"E",IF(AND(L839&gt;230,L839&lt;350),"F",NONE))))))</f>
        <v>C</v>
      </c>
      <c r="T839" s="230">
        <f>VLOOKUP(O839,'PREMIUM TABLES'!$G$165:$H$172,2,FALSE)</f>
        <v>0.13</v>
      </c>
      <c r="U839" s="230">
        <f>VLOOKUP(P839,'PREMIUM TABLES'!$G$208:$H$209,2,FALSE)</f>
        <v>2.5000000000000001E-2</v>
      </c>
      <c r="V839" s="230">
        <f>VLOOKUP(Q839,'PREMIUM TABLES'!$G$175:$H$195,2,FALSE)</f>
        <v>0.15</v>
      </c>
      <c r="W839" s="230">
        <f>VLOOKUP(R839,'PREMIUM TABLES'!$G$214:$H$219,2,FALSE)</f>
        <v>0.06</v>
      </c>
      <c r="X839" s="230">
        <f>VLOOKUP(S839,'PREMIUM TABLES'!$F$199:$H$205,3,FALSE)</f>
        <v>3.5000000000000003E-2</v>
      </c>
      <c r="Y839" s="231">
        <f t="shared" si="135"/>
        <v>0.4</v>
      </c>
      <c r="Z839" s="231" t="str" cm="1">
        <f t="array" ref="Z839">IF(AND(Y839&gt;0,Y839&lt;0.5),"C",IF(AND(Y839&gt;=0.5,Y839&lt;0.73),"B",IF(AND(Y839&gt;=0.73,Y839&lt;0.98),"A",NONE)))</f>
        <v>C</v>
      </c>
      <c r="AA839" s="231" t="str">
        <f>VLOOKUP(G839,'ALL (R)'!$N$5:$R$862,5,FALSE)</f>
        <v>R 5</v>
      </c>
      <c r="AB839" s="232">
        <f>VLOOKUP(AA839,FACTS!$B$2:$L$14,10,FALSE)</f>
        <v>46750.000000000007</v>
      </c>
      <c r="AC839" s="232">
        <f>VLOOKUP(AA839,FACTS!$B$2:$L$14,11,FALSE)</f>
        <v>52250.000000000007</v>
      </c>
      <c r="AD839" s="232">
        <f>VLOOKUP(AA839,FACTS!$B$2:$N$14,13,FALSE)</f>
        <v>5500</v>
      </c>
      <c r="AE839" s="232">
        <f t="shared" si="136"/>
        <v>2200</v>
      </c>
      <c r="AF839" s="232">
        <f t="shared" si="137"/>
        <v>48950.000000000007</v>
      </c>
      <c r="AG839" s="232">
        <f>AF839*FACTS!$T$2</f>
        <v>16153.500000000004</v>
      </c>
      <c r="AH839" s="232">
        <f>Table1[[#This Row],[UNIT (BUILDING) RATE (SEMI FINISHED)]]+4500</f>
        <v>53450.000000000007</v>
      </c>
      <c r="AI839" s="232">
        <f>Table1[[#This Row],[UNIT (BUILDING) RATE (SEMI FINISHED)]]+7500</f>
        <v>56450.000000000007</v>
      </c>
      <c r="AJ839" s="232">
        <f t="shared" si="138"/>
        <v>7734100.0000000009</v>
      </c>
      <c r="AK839" s="232">
        <f>Table1[[#This Row],[UNIT (BUILDING) RATE (BASIC FINISH)]]*Table1[[#This Row],[Unit Selling Area]]</f>
        <v>8445100.0000000019</v>
      </c>
      <c r="AL839" s="232">
        <f>Table1[[#This Row],[UNIT (BUILDING) RATE (FULLY FINISH)]]*Table1[[#This Row],[Unit Selling Area]]</f>
        <v>8919100.0000000019</v>
      </c>
      <c r="AM839" s="232">
        <f t="shared" si="139"/>
        <v>0</v>
      </c>
      <c r="AN839" s="232">
        <f>(AM839+AJ839)*FACTS!$S$2</f>
        <v>657398.50000000012</v>
      </c>
      <c r="AO839" s="101">
        <f>VLOOKUP(S839,FACTS!$A$17:$C$23,3,FALSE)</f>
        <v>2</v>
      </c>
      <c r="AP839" s="232">
        <f>VLOOKUP(AA839,FACTS!$B$2:$J$14,9,FALSE)</f>
        <v>220000.00000000003</v>
      </c>
      <c r="AQ839" s="232">
        <f>Table1[[#This Row],[PARKING VALUE]]*1</f>
        <v>220000.00000000003</v>
      </c>
      <c r="AR839" s="232">
        <f t="shared" si="134"/>
        <v>7954100.0000000009</v>
      </c>
      <c r="AS839" s="440">
        <f>Table1[[#This Row],[TOTAL CARS VALUE]]+Table1[[#This Row],[UNIT (BUILDING) VALUE BASIC FINISHED]]+Table1[[#This Row],[UNIT (GARDEN) VALUE]]</f>
        <v>8665100.0000000019</v>
      </c>
      <c r="AT839" s="232">
        <f>Table1[[#This Row],[TOTAL CARS VALUE]]+Table1[[#This Row],[UNIT (GARDEN) VALUE]]+Table1[[#This Row],[UNIT (BUILDING) VALUE FULLY FINISHED]]</f>
        <v>9139100.0000000019</v>
      </c>
      <c r="AU839" s="233">
        <f>VLOOKUP(I839,'C PHASES'!$I$108:$J$110,2,FALSE)</f>
        <v>46569</v>
      </c>
      <c r="AV839" s="233">
        <f>VLOOKUP(AA839,'C PHASES'!$I$113:$J$125,2,FALSE)</f>
        <v>45566</v>
      </c>
    </row>
    <row r="840" spans="1:48" x14ac:dyDescent="0.25">
      <c r="A840" s="235"/>
      <c r="B840" s="227" t="str">
        <f t="shared" si="132"/>
        <v>E</v>
      </c>
      <c r="C840" s="227" t="s">
        <v>77</v>
      </c>
      <c r="D840" s="227" t="s">
        <v>1147</v>
      </c>
      <c r="E840" s="228">
        <v>4</v>
      </c>
      <c r="F840" s="101">
        <v>2</v>
      </c>
      <c r="G840" s="87" t="str">
        <f t="shared" si="133"/>
        <v>E442</v>
      </c>
      <c r="H840" s="87" t="s">
        <v>1294</v>
      </c>
      <c r="I840" s="89" t="str">
        <f>VLOOKUP(C840,'PREMIUM TABLES'!$G$107:$H$149,2,FALSE)</f>
        <v>C3</v>
      </c>
      <c r="J840" s="87">
        <v>131.72</v>
      </c>
      <c r="K840" s="87">
        <v>143.10175189466281</v>
      </c>
      <c r="L840" s="87">
        <v>161</v>
      </c>
      <c r="O840" s="87" t="s">
        <v>187</v>
      </c>
      <c r="P840" s="87" t="s">
        <v>190</v>
      </c>
      <c r="Q840" s="229" t="s">
        <v>212</v>
      </c>
      <c r="R840" s="87" t="str">
        <f>VLOOKUP(E840,'PREMIUM TABLES'!$F$214:$G$219,2,FALSE)</f>
        <v>FORTH</v>
      </c>
      <c r="S840" s="87" t="str" cm="1">
        <f t="array" ref="S840">IF(AND(L840&gt;0,L840&lt;90),"A",IF(AND(L840&gt;90,L840&lt;123),"B",IF(AND(L840&gt;122,L840&lt;159),"C",IF(AND(L840&gt;159,L840&lt;185),"D",IF(AND(L840&gt;185,L840&lt;230),"E",IF(AND(L840&gt;230,L840&lt;350),"F",NONE))))))</f>
        <v>D</v>
      </c>
      <c r="T840" s="230">
        <f>VLOOKUP(O840,'PREMIUM TABLES'!$G$165:$H$172,2,FALSE)</f>
        <v>0.08</v>
      </c>
      <c r="U840" s="230">
        <f>VLOOKUP(P840,'PREMIUM TABLES'!$G$208:$H$209,2,FALSE)</f>
        <v>2.5000000000000001E-2</v>
      </c>
      <c r="V840" s="230">
        <f>VLOOKUP(Q840,'PREMIUM TABLES'!$G$175:$H$195,2,FALSE)</f>
        <v>0.43</v>
      </c>
      <c r="W840" s="230">
        <f>VLOOKUP(R840,'PREMIUM TABLES'!$G$214:$H$219,2,FALSE)</f>
        <v>0.06</v>
      </c>
      <c r="X840" s="230">
        <f>VLOOKUP(S840,'PREMIUM TABLES'!$F$199:$H$205,3,FALSE)</f>
        <v>2.5000000000000001E-2</v>
      </c>
      <c r="Y840" s="231">
        <f t="shared" si="135"/>
        <v>0.62</v>
      </c>
      <c r="Z840" s="231" t="str" cm="1">
        <f t="array" ref="Z840">IF(AND(Y840&gt;0,Y840&lt;0.5),"C",IF(AND(Y840&gt;=0.5,Y840&lt;0.73),"B",IF(AND(Y840&gt;=0.73,Y840&lt;0.98),"A",NONE)))</f>
        <v>B</v>
      </c>
      <c r="AA840" s="231" t="str">
        <f>VLOOKUP(G840,'ALL (R)'!$N$5:$R$862,5,FALSE)</f>
        <v>R 3</v>
      </c>
      <c r="AB840" s="232">
        <f>VLOOKUP(AA840,FACTS!$B$2:$L$14,10,FALSE)</f>
        <v>44625</v>
      </c>
      <c r="AC840" s="232">
        <f>VLOOKUP(AA840,FACTS!$B$2:$L$14,11,FALSE)</f>
        <v>49875</v>
      </c>
      <c r="AD840" s="232">
        <f>VLOOKUP(AA840,FACTS!$B$2:$N$14,13,FALSE)</f>
        <v>5250</v>
      </c>
      <c r="AE840" s="232">
        <f t="shared" si="136"/>
        <v>3255</v>
      </c>
      <c r="AF840" s="232">
        <f t="shared" si="137"/>
        <v>47880</v>
      </c>
      <c r="AG840" s="232">
        <f>AF840*FACTS!$T$2</f>
        <v>15800.400000000001</v>
      </c>
      <c r="AH840" s="232">
        <f>Table1[[#This Row],[UNIT (BUILDING) RATE (SEMI FINISHED)]]+4500</f>
        <v>52380</v>
      </c>
      <c r="AI840" s="232">
        <f>Table1[[#This Row],[UNIT (BUILDING) RATE (SEMI FINISHED)]]+7500</f>
        <v>55380</v>
      </c>
      <c r="AJ840" s="232">
        <f t="shared" si="138"/>
        <v>7708680</v>
      </c>
      <c r="AK840" s="232">
        <f>Table1[[#This Row],[UNIT (BUILDING) RATE (BASIC FINISH)]]*Table1[[#This Row],[Unit Selling Area]]</f>
        <v>8433180</v>
      </c>
      <c r="AL840" s="232">
        <f>Table1[[#This Row],[UNIT (BUILDING) RATE (FULLY FINISH)]]*Table1[[#This Row],[Unit Selling Area]]</f>
        <v>8916180</v>
      </c>
      <c r="AM840" s="232">
        <f t="shared" si="139"/>
        <v>0</v>
      </c>
      <c r="AN840" s="232">
        <f>(AM840+AJ840)*FACTS!$S$2</f>
        <v>655237.80000000005</v>
      </c>
      <c r="AO840" s="101">
        <f>VLOOKUP(S840,FACTS!$A$17:$C$23,3,FALSE)</f>
        <v>2</v>
      </c>
      <c r="AP840" s="232">
        <f>VLOOKUP(AA840,FACTS!$B$2:$J$14,9,FALSE)</f>
        <v>210000</v>
      </c>
      <c r="AQ840" s="232">
        <f>Table1[[#This Row],[PARKING VALUE]]*1</f>
        <v>210000</v>
      </c>
      <c r="AR840" s="232">
        <f t="shared" si="134"/>
        <v>7918680</v>
      </c>
      <c r="AS840" s="440">
        <f>Table1[[#This Row],[TOTAL CARS VALUE]]+Table1[[#This Row],[UNIT (BUILDING) VALUE BASIC FINISHED]]+Table1[[#This Row],[UNIT (GARDEN) VALUE]]</f>
        <v>8643180</v>
      </c>
      <c r="AT840" s="232">
        <f>Table1[[#This Row],[TOTAL CARS VALUE]]+Table1[[#This Row],[UNIT (GARDEN) VALUE]]+Table1[[#This Row],[UNIT (BUILDING) VALUE FULLY FINISHED]]</f>
        <v>9126180</v>
      </c>
      <c r="AU840" s="233">
        <f>VLOOKUP(I840,'C PHASES'!$I$108:$J$110,2,FALSE)</f>
        <v>46569</v>
      </c>
      <c r="AV840" s="233">
        <f>VLOOKUP(AA840,'C PHASES'!$I$113:$J$125,2,FALSE)</f>
        <v>45383</v>
      </c>
    </row>
    <row r="841" spans="1:48" x14ac:dyDescent="0.25">
      <c r="A841" s="235"/>
      <c r="B841" s="227" t="str">
        <f t="shared" si="132"/>
        <v>E</v>
      </c>
      <c r="C841" s="227" t="s">
        <v>77</v>
      </c>
      <c r="D841" s="227" t="s">
        <v>1147</v>
      </c>
      <c r="E841" s="228">
        <v>4</v>
      </c>
      <c r="F841" s="101">
        <v>3</v>
      </c>
      <c r="G841" s="87" t="str">
        <f t="shared" si="133"/>
        <v>E443</v>
      </c>
      <c r="H841" s="87" t="s">
        <v>1294</v>
      </c>
      <c r="I841" s="89" t="str">
        <f>VLOOKUP(C841,'PREMIUM TABLES'!$G$107:$H$149,2,FALSE)</f>
        <v>C3</v>
      </c>
      <c r="J841" s="87">
        <v>127.12</v>
      </c>
      <c r="K841" s="87">
        <v>138.10427194692937</v>
      </c>
      <c r="L841" s="87">
        <v>155</v>
      </c>
      <c r="O841" s="87" t="s">
        <v>187</v>
      </c>
      <c r="P841" s="87" t="s">
        <v>190</v>
      </c>
      <c r="Q841" s="229" t="s">
        <v>212</v>
      </c>
      <c r="R841" s="87" t="str">
        <f>VLOOKUP(E841,'PREMIUM TABLES'!$F$214:$G$219,2,FALSE)</f>
        <v>FORTH</v>
      </c>
      <c r="S841" s="87" t="str" cm="1">
        <f t="array" ref="S841">IF(AND(L841&gt;0,L841&lt;90),"A",IF(AND(L841&gt;90,L841&lt;123),"B",IF(AND(L841&gt;122,L841&lt;159),"C",IF(AND(L841&gt;159,L841&lt;185),"D",IF(AND(L841&gt;185,L841&lt;230),"E",IF(AND(L841&gt;230,L841&lt;350),"F",NONE))))))</f>
        <v>C</v>
      </c>
      <c r="T841" s="230">
        <f>VLOOKUP(O841,'PREMIUM TABLES'!$G$165:$H$172,2,FALSE)</f>
        <v>0.08</v>
      </c>
      <c r="U841" s="230">
        <f>VLOOKUP(P841,'PREMIUM TABLES'!$G$208:$H$209,2,FALSE)</f>
        <v>2.5000000000000001E-2</v>
      </c>
      <c r="V841" s="230">
        <f>VLOOKUP(Q841,'PREMIUM TABLES'!$G$175:$H$195,2,FALSE)</f>
        <v>0.43</v>
      </c>
      <c r="W841" s="230">
        <f>VLOOKUP(R841,'PREMIUM TABLES'!$G$214:$H$219,2,FALSE)</f>
        <v>0.06</v>
      </c>
      <c r="X841" s="230">
        <f>VLOOKUP(S841,'PREMIUM TABLES'!$F$199:$H$205,3,FALSE)</f>
        <v>3.5000000000000003E-2</v>
      </c>
      <c r="Y841" s="231">
        <f t="shared" si="135"/>
        <v>0.63</v>
      </c>
      <c r="Z841" s="231" t="str" cm="1">
        <f t="array" ref="Z841">IF(AND(Y841&gt;0,Y841&lt;0.5),"C",IF(AND(Y841&gt;=0.5,Y841&lt;0.73),"B",IF(AND(Y841&gt;=0.73,Y841&lt;0.98),"A",NONE)))</f>
        <v>B</v>
      </c>
      <c r="AA841" s="231" t="str">
        <f>VLOOKUP(G841,'ALL (R)'!$N$5:$R$862,5,FALSE)</f>
        <v>R 3</v>
      </c>
      <c r="AB841" s="232">
        <f>VLOOKUP(AA841,FACTS!$B$2:$L$14,10,FALSE)</f>
        <v>44625</v>
      </c>
      <c r="AC841" s="232">
        <f>VLOOKUP(AA841,FACTS!$B$2:$L$14,11,FALSE)</f>
        <v>49875</v>
      </c>
      <c r="AD841" s="232">
        <f>VLOOKUP(AA841,FACTS!$B$2:$N$14,13,FALSE)</f>
        <v>5250</v>
      </c>
      <c r="AE841" s="232">
        <f t="shared" si="136"/>
        <v>3307.5</v>
      </c>
      <c r="AF841" s="232">
        <f t="shared" si="137"/>
        <v>47932.5</v>
      </c>
      <c r="AG841" s="232">
        <f>AF841*FACTS!$T$2</f>
        <v>15817.725</v>
      </c>
      <c r="AH841" s="232">
        <f>Table1[[#This Row],[UNIT (BUILDING) RATE (SEMI FINISHED)]]+4500</f>
        <v>52432.5</v>
      </c>
      <c r="AI841" s="232">
        <f>Table1[[#This Row],[UNIT (BUILDING) RATE (SEMI FINISHED)]]+7500</f>
        <v>55432.5</v>
      </c>
      <c r="AJ841" s="232">
        <f t="shared" si="138"/>
        <v>7429537.5</v>
      </c>
      <c r="AK841" s="232">
        <f>Table1[[#This Row],[UNIT (BUILDING) RATE (BASIC FINISH)]]*Table1[[#This Row],[Unit Selling Area]]</f>
        <v>8127037.5</v>
      </c>
      <c r="AL841" s="232">
        <f>Table1[[#This Row],[UNIT (BUILDING) RATE (FULLY FINISH)]]*Table1[[#This Row],[Unit Selling Area]]</f>
        <v>8592037.5</v>
      </c>
      <c r="AM841" s="232">
        <f t="shared" si="139"/>
        <v>0</v>
      </c>
      <c r="AN841" s="232">
        <f>(AM841+AJ841)*FACTS!$S$2</f>
        <v>631510.6875</v>
      </c>
      <c r="AO841" s="101">
        <f>VLOOKUP(S841,FACTS!$A$17:$C$23,3,FALSE)</f>
        <v>2</v>
      </c>
      <c r="AP841" s="232">
        <f>VLOOKUP(AA841,FACTS!$B$2:$J$14,9,FALSE)</f>
        <v>210000</v>
      </c>
      <c r="AQ841" s="232">
        <f>Table1[[#This Row],[PARKING VALUE]]*1</f>
        <v>210000</v>
      </c>
      <c r="AR841" s="232">
        <f t="shared" si="134"/>
        <v>7639537.5</v>
      </c>
      <c r="AS841" s="440">
        <f>Table1[[#This Row],[TOTAL CARS VALUE]]+Table1[[#This Row],[UNIT (BUILDING) VALUE BASIC FINISHED]]+Table1[[#This Row],[UNIT (GARDEN) VALUE]]</f>
        <v>8337037.5</v>
      </c>
      <c r="AT841" s="232">
        <f>Table1[[#This Row],[TOTAL CARS VALUE]]+Table1[[#This Row],[UNIT (GARDEN) VALUE]]+Table1[[#This Row],[UNIT (BUILDING) VALUE FULLY FINISHED]]</f>
        <v>8802037.5</v>
      </c>
      <c r="AU841" s="233">
        <f>VLOOKUP(I841,'C PHASES'!$I$108:$J$110,2,FALSE)</f>
        <v>46569</v>
      </c>
      <c r="AV841" s="233">
        <f>VLOOKUP(AA841,'C PHASES'!$I$113:$J$125,2,FALSE)</f>
        <v>45383</v>
      </c>
    </row>
    <row r="842" spans="1:48" x14ac:dyDescent="0.25">
      <c r="A842" s="235"/>
      <c r="B842" s="227" t="str">
        <f t="shared" si="132"/>
        <v>E</v>
      </c>
      <c r="C842" s="227" t="s">
        <v>77</v>
      </c>
      <c r="D842" s="227" t="s">
        <v>1147</v>
      </c>
      <c r="E842" s="228">
        <v>4</v>
      </c>
      <c r="F842" s="101">
        <v>4</v>
      </c>
      <c r="G842" s="87" t="str">
        <f t="shared" si="133"/>
        <v>E444</v>
      </c>
      <c r="H842" s="87" t="s">
        <v>1294</v>
      </c>
      <c r="I842" s="89" t="str">
        <f>VLOOKUP(C842,'PREMIUM TABLES'!$G$107:$H$149,2,FALSE)</f>
        <v>C3</v>
      </c>
      <c r="J842" s="87">
        <v>125.12</v>
      </c>
      <c r="K842" s="87">
        <v>135.93145457834962</v>
      </c>
      <c r="L842" s="87">
        <v>153</v>
      </c>
      <c r="O842" s="87" t="s">
        <v>180</v>
      </c>
      <c r="P842" s="87" t="s">
        <v>190</v>
      </c>
      <c r="Q842" s="229" t="s">
        <v>198</v>
      </c>
      <c r="R842" s="87" t="str">
        <f>VLOOKUP(E842,'PREMIUM TABLES'!$F$214:$G$219,2,FALSE)</f>
        <v>FORTH</v>
      </c>
      <c r="S842" s="87" t="str" cm="1">
        <f t="array" ref="S842">IF(AND(L842&gt;0,L842&lt;90),"A",IF(AND(L842&gt;90,L842&lt;123),"B",IF(AND(L842&gt;122,L842&lt;159),"C",IF(AND(L842&gt;159,L842&lt;185),"D",IF(AND(L842&gt;185,L842&lt;230),"E",IF(AND(L842&gt;230,L842&lt;350),"F",NONE))))))</f>
        <v>C</v>
      </c>
      <c r="T842" s="230">
        <f>VLOOKUP(O842,'PREMIUM TABLES'!$G$165:$H$172,2,FALSE)</f>
        <v>0.13</v>
      </c>
      <c r="U842" s="230">
        <f>VLOOKUP(P842,'PREMIUM TABLES'!$G$208:$H$209,2,FALSE)</f>
        <v>2.5000000000000001E-2</v>
      </c>
      <c r="V842" s="230">
        <f>VLOOKUP(Q842,'PREMIUM TABLES'!$G$175:$H$195,2,FALSE)</f>
        <v>0.15</v>
      </c>
      <c r="W842" s="230">
        <f>VLOOKUP(R842,'PREMIUM TABLES'!$G$214:$H$219,2,FALSE)</f>
        <v>0.06</v>
      </c>
      <c r="X842" s="230">
        <f>VLOOKUP(S842,'PREMIUM TABLES'!$F$199:$H$205,3,FALSE)</f>
        <v>3.5000000000000003E-2</v>
      </c>
      <c r="Y842" s="231">
        <f t="shared" si="135"/>
        <v>0.4</v>
      </c>
      <c r="Z842" s="231" t="str" cm="1">
        <f t="array" ref="Z842">IF(AND(Y842&gt;0,Y842&lt;0.5),"C",IF(AND(Y842&gt;=0.5,Y842&lt;0.73),"B",IF(AND(Y842&gt;=0.73,Y842&lt;0.98),"A",NONE)))</f>
        <v>C</v>
      </c>
      <c r="AA842" s="231" t="str">
        <f>VLOOKUP(G842,'ALL (R)'!$N$5:$R$862,5,FALSE)</f>
        <v>R 5</v>
      </c>
      <c r="AB842" s="232">
        <f>VLOOKUP(AA842,FACTS!$B$2:$L$14,10,FALSE)</f>
        <v>46750.000000000007</v>
      </c>
      <c r="AC842" s="232">
        <f>VLOOKUP(AA842,FACTS!$B$2:$L$14,11,FALSE)</f>
        <v>52250.000000000007</v>
      </c>
      <c r="AD842" s="232">
        <f>VLOOKUP(AA842,FACTS!$B$2:$N$14,13,FALSE)</f>
        <v>5500</v>
      </c>
      <c r="AE842" s="232">
        <f t="shared" si="136"/>
        <v>2200</v>
      </c>
      <c r="AF842" s="232">
        <f t="shared" si="137"/>
        <v>48950.000000000007</v>
      </c>
      <c r="AG842" s="232">
        <f>AF842*FACTS!$T$2</f>
        <v>16153.500000000004</v>
      </c>
      <c r="AH842" s="232">
        <f>Table1[[#This Row],[UNIT (BUILDING) RATE (SEMI FINISHED)]]+4500</f>
        <v>53450.000000000007</v>
      </c>
      <c r="AI842" s="232">
        <f>Table1[[#This Row],[UNIT (BUILDING) RATE (SEMI FINISHED)]]+7500</f>
        <v>56450.000000000007</v>
      </c>
      <c r="AJ842" s="232">
        <f t="shared" si="138"/>
        <v>7489350.0000000009</v>
      </c>
      <c r="AK842" s="232">
        <f>Table1[[#This Row],[UNIT (BUILDING) RATE (BASIC FINISH)]]*Table1[[#This Row],[Unit Selling Area]]</f>
        <v>8177850.0000000009</v>
      </c>
      <c r="AL842" s="232">
        <f>Table1[[#This Row],[UNIT (BUILDING) RATE (FULLY FINISH)]]*Table1[[#This Row],[Unit Selling Area]]</f>
        <v>8636850.0000000019</v>
      </c>
      <c r="AM842" s="232">
        <f t="shared" si="139"/>
        <v>0</v>
      </c>
      <c r="AN842" s="232">
        <f>(AM842+AJ842)*FACTS!$S$2</f>
        <v>636594.75000000012</v>
      </c>
      <c r="AO842" s="101">
        <f>VLOOKUP(S842,FACTS!$A$17:$C$23,3,FALSE)</f>
        <v>2</v>
      </c>
      <c r="AP842" s="232">
        <f>VLOOKUP(AA842,FACTS!$B$2:$J$14,9,FALSE)</f>
        <v>220000.00000000003</v>
      </c>
      <c r="AQ842" s="232">
        <f>Table1[[#This Row],[PARKING VALUE]]*1</f>
        <v>220000.00000000003</v>
      </c>
      <c r="AR842" s="232">
        <f t="shared" si="134"/>
        <v>7709350.0000000009</v>
      </c>
      <c r="AS842" s="440">
        <f>Table1[[#This Row],[TOTAL CARS VALUE]]+Table1[[#This Row],[UNIT (BUILDING) VALUE BASIC FINISHED]]+Table1[[#This Row],[UNIT (GARDEN) VALUE]]</f>
        <v>8397850.0000000019</v>
      </c>
      <c r="AT842" s="232">
        <f>Table1[[#This Row],[TOTAL CARS VALUE]]+Table1[[#This Row],[UNIT (GARDEN) VALUE]]+Table1[[#This Row],[UNIT (BUILDING) VALUE FULLY FINISHED]]</f>
        <v>8856850.0000000019</v>
      </c>
      <c r="AU842" s="233">
        <f>VLOOKUP(I842,'C PHASES'!$I$108:$J$110,2,FALSE)</f>
        <v>46569</v>
      </c>
      <c r="AV842" s="233">
        <f>VLOOKUP(AA842,'C PHASES'!$I$113:$J$125,2,FALSE)</f>
        <v>45566</v>
      </c>
    </row>
    <row r="843" spans="1:48" ht="21.75" x14ac:dyDescent="0.25">
      <c r="A843" s="235" t="s">
        <v>38</v>
      </c>
      <c r="B843" s="227" t="str">
        <f t="shared" si="132"/>
        <v>E</v>
      </c>
      <c r="C843" s="227" t="s">
        <v>76</v>
      </c>
      <c r="D843" s="227" t="s">
        <v>1147</v>
      </c>
      <c r="E843" s="228">
        <v>0</v>
      </c>
      <c r="F843" s="101">
        <v>1</v>
      </c>
      <c r="G843" s="87" t="str">
        <f>LEFT(C843,2)&amp;E843&amp;F843</f>
        <v>E501</v>
      </c>
      <c r="H843" s="87" t="s">
        <v>1294</v>
      </c>
      <c r="I843" s="89" t="str">
        <f>VLOOKUP(C843,'PREMIUM TABLES'!$G$107:$H$149,2,FALSE)</f>
        <v>C3</v>
      </c>
      <c r="J843" s="87">
        <v>131.34</v>
      </c>
      <c r="K843" s="87">
        <v>142.61992000608555</v>
      </c>
      <c r="L843" s="87">
        <v>160</v>
      </c>
      <c r="M843" s="87">
        <v>88.345699999999994</v>
      </c>
      <c r="O843" s="87" t="s">
        <v>180</v>
      </c>
      <c r="P843" s="87" t="s">
        <v>226</v>
      </c>
      <c r="Q843" s="229" t="s">
        <v>198</v>
      </c>
      <c r="R843" s="87" t="str">
        <f>VLOOKUP(E843,'PREMIUM TABLES'!$F$214:$G$219,2,FALSE)</f>
        <v>GROUND</v>
      </c>
      <c r="S843" s="87" t="str" cm="1">
        <f t="array" ref="S843">IF(AND(L843&gt;0,L843&lt;90),"A",IF(AND(L843&gt;90,L843&lt;123),"B",IF(AND(L843&gt;122,L843&lt;159),"C",IF(AND(L843&gt;159,L843&lt;185),"D",IF(AND(L843&gt;185,L843&lt;230),"E",IF(AND(L843&gt;230,L843&lt;350),"F",NONE))))))</f>
        <v>D</v>
      </c>
      <c r="T843" s="230">
        <f>VLOOKUP(O843,'PREMIUM TABLES'!$G$165:$H$172,2,FALSE)</f>
        <v>0.13</v>
      </c>
      <c r="U843" s="230">
        <f>VLOOKUP(P843,'PREMIUM TABLES'!$G$208:$H$209,2,FALSE)</f>
        <v>0.05</v>
      </c>
      <c r="V843" s="230">
        <f>VLOOKUP(Q843,'PREMIUM TABLES'!$G$175:$H$195,2,FALSE)</f>
        <v>0.15</v>
      </c>
      <c r="W843" s="230">
        <f>VLOOKUP(R843,'PREMIUM TABLES'!$G$214:$H$219,2,FALSE)</f>
        <v>0.05</v>
      </c>
      <c r="X843" s="230">
        <f>VLOOKUP(S843,'PREMIUM TABLES'!$F$199:$H$205,3,FALSE)</f>
        <v>2.5000000000000001E-2</v>
      </c>
      <c r="Y843" s="231">
        <f t="shared" si="135"/>
        <v>0.40499999999999997</v>
      </c>
      <c r="Z843" s="231" t="str" cm="1">
        <f t="array" ref="Z843">IF(AND(Y843&gt;0,Y843&lt;0.5),"C",IF(AND(Y843&gt;=0.5,Y843&lt;0.73),"B",IF(AND(Y843&gt;=0.73,Y843&lt;0.98),"A",NONE)))</f>
        <v>C</v>
      </c>
      <c r="AA843" s="231" t="str">
        <f>VLOOKUP(G843,'ALL (R)'!$N$5:$R$862,5,FALSE)</f>
        <v>R 6</v>
      </c>
      <c r="AB843" s="232">
        <f>VLOOKUP(AA843,FACTS!$B$2:$L$14,10,FALSE)</f>
        <v>48450.000000000007</v>
      </c>
      <c r="AC843" s="232">
        <f>VLOOKUP(AA843,FACTS!$B$2:$L$14,11,FALSE)</f>
        <v>54150.000000000007</v>
      </c>
      <c r="AD843" s="232">
        <f>VLOOKUP(AA843,FACTS!$B$2:$N$14,13,FALSE)</f>
        <v>5700</v>
      </c>
      <c r="AE843" s="232">
        <f t="shared" si="136"/>
        <v>2308.5</v>
      </c>
      <c r="AF843" s="232">
        <f t="shared" si="137"/>
        <v>50758.500000000007</v>
      </c>
      <c r="AG843" s="232">
        <f>AF843*FACTS!$T$2</f>
        <v>16750.305000000004</v>
      </c>
      <c r="AH843" s="232">
        <f>Table1[[#This Row],[UNIT (BUILDING) RATE (SEMI FINISHED)]]+4500</f>
        <v>55258.500000000007</v>
      </c>
      <c r="AI843" s="232">
        <f>Table1[[#This Row],[UNIT (BUILDING) RATE (SEMI FINISHED)]]+7500</f>
        <v>58258.500000000007</v>
      </c>
      <c r="AJ843" s="232">
        <f t="shared" si="138"/>
        <v>8121360.0000000009</v>
      </c>
      <c r="AK843" s="232">
        <f>Table1[[#This Row],[UNIT (BUILDING) RATE (BASIC FINISH)]]*Table1[[#This Row],[Unit Selling Area]]</f>
        <v>8841360.0000000019</v>
      </c>
      <c r="AL843" s="232">
        <f>Table1[[#This Row],[UNIT (BUILDING) RATE (FULLY FINISH)]]*Table1[[#This Row],[Unit Selling Area]]</f>
        <v>9321360.0000000019</v>
      </c>
      <c r="AM843" s="232">
        <f t="shared" si="139"/>
        <v>1479817.4204385004</v>
      </c>
      <c r="AN843" s="232">
        <f>(AM843+AJ843)*FACTS!$S$2</f>
        <v>816100.08073727274</v>
      </c>
      <c r="AO843" s="101">
        <f>VLOOKUP(S843,FACTS!$A$17:$C$23,3,FALSE)</f>
        <v>2</v>
      </c>
      <c r="AP843" s="232">
        <f>VLOOKUP(AA843,FACTS!$B$2:$J$14,9,FALSE)</f>
        <v>228000.00000000003</v>
      </c>
      <c r="AQ843" s="232">
        <f>Table1[[#This Row],[PARKING VALUE]]*1</f>
        <v>228000.00000000003</v>
      </c>
      <c r="AR843" s="232">
        <f t="shared" si="134"/>
        <v>9829177.420438502</v>
      </c>
      <c r="AS843" s="440">
        <f>Table1[[#This Row],[TOTAL CARS VALUE]]+Table1[[#This Row],[UNIT (BUILDING) VALUE BASIC FINISHED]]+Table1[[#This Row],[UNIT (GARDEN) VALUE]]</f>
        <v>10549177.420438502</v>
      </c>
      <c r="AT843" s="232">
        <f>Table1[[#This Row],[TOTAL CARS VALUE]]+Table1[[#This Row],[UNIT (GARDEN) VALUE]]+Table1[[#This Row],[UNIT (BUILDING) VALUE FULLY FINISHED]]</f>
        <v>11029177.420438502</v>
      </c>
      <c r="AU843" s="233">
        <f>VLOOKUP(I843,'C PHASES'!$I$108:$J$110,2,FALSE)</f>
        <v>46569</v>
      </c>
      <c r="AV843" s="233">
        <f>VLOOKUP(AA843,'C PHASES'!$I$113:$J$125,2,FALSE)</f>
        <v>45658</v>
      </c>
    </row>
    <row r="844" spans="1:48" x14ac:dyDescent="0.25">
      <c r="A844" s="235"/>
      <c r="B844" s="227" t="str">
        <f t="shared" si="132"/>
        <v>E</v>
      </c>
      <c r="C844" s="227" t="s">
        <v>76</v>
      </c>
      <c r="D844" s="227" t="s">
        <v>1147</v>
      </c>
      <c r="E844" s="228">
        <v>0</v>
      </c>
      <c r="F844" s="101">
        <v>2</v>
      </c>
      <c r="G844" s="87" t="str">
        <f t="shared" ref="G844:G862" si="140">LEFT(C844,2)&amp;E844&amp;F844</f>
        <v>E502</v>
      </c>
      <c r="H844" s="87" t="s">
        <v>1294</v>
      </c>
      <c r="I844" s="89" t="str">
        <f>VLOOKUP(C844,'PREMIUM TABLES'!$G$107:$H$149,2,FALSE)</f>
        <v>C3</v>
      </c>
      <c r="J844" s="87">
        <v>129.57</v>
      </c>
      <c r="K844" s="87">
        <v>140.69790646557411</v>
      </c>
      <c r="L844" s="87">
        <v>158</v>
      </c>
      <c r="M844" s="87">
        <v>84.036199999999994</v>
      </c>
      <c r="O844" s="87" t="s">
        <v>187</v>
      </c>
      <c r="P844" s="87" t="s">
        <v>226</v>
      </c>
      <c r="Q844" s="229" t="s">
        <v>212</v>
      </c>
      <c r="R844" s="87" t="str">
        <f>VLOOKUP(E844,'PREMIUM TABLES'!$F$214:$G$219,2,FALSE)</f>
        <v>GROUND</v>
      </c>
      <c r="S844" s="87" t="str" cm="1">
        <f t="array" ref="S844">IF(AND(L844&gt;0,L844&lt;90),"A",IF(AND(L844&gt;90,L844&lt;123),"B",IF(AND(L844&gt;122,L844&lt;159),"C",IF(AND(L844&gt;159,L844&lt;185),"D",IF(AND(L844&gt;185,L844&lt;230),"E",IF(AND(L844&gt;230,L844&lt;350),"F",NONE))))))</f>
        <v>C</v>
      </c>
      <c r="T844" s="230">
        <f>VLOOKUP(O844,'PREMIUM TABLES'!$G$165:$H$172,2,FALSE)</f>
        <v>0.08</v>
      </c>
      <c r="U844" s="230">
        <f>VLOOKUP(P844,'PREMIUM TABLES'!$G$208:$H$209,2,FALSE)</f>
        <v>0.05</v>
      </c>
      <c r="V844" s="230">
        <f>VLOOKUP(Q844,'PREMIUM TABLES'!$G$175:$H$195,2,FALSE)</f>
        <v>0.43</v>
      </c>
      <c r="W844" s="230">
        <f>VLOOKUP(R844,'PREMIUM TABLES'!$G$214:$H$219,2,FALSE)</f>
        <v>0.05</v>
      </c>
      <c r="X844" s="230">
        <f>VLOOKUP(S844,'PREMIUM TABLES'!$F$199:$H$205,3,FALSE)</f>
        <v>3.5000000000000003E-2</v>
      </c>
      <c r="Y844" s="231">
        <f t="shared" si="135"/>
        <v>0.64500000000000013</v>
      </c>
      <c r="Z844" s="231" t="str" cm="1">
        <f t="array" ref="Z844">IF(AND(Y844&gt;0,Y844&lt;0.5),"C",IF(AND(Y844&gt;=0.5,Y844&lt;0.73),"B",IF(AND(Y844&gt;=0.73,Y844&lt;0.98),"A",NONE)))</f>
        <v>B</v>
      </c>
      <c r="AA844" s="231" t="str">
        <f>VLOOKUP(G844,'ALL (R)'!$N$5:$R$862,5,FALSE)</f>
        <v>R 4</v>
      </c>
      <c r="AB844" s="232">
        <f>VLOOKUP(AA844,FACTS!$B$2:$L$14,10,FALSE)</f>
        <v>45687.5</v>
      </c>
      <c r="AC844" s="232">
        <f>VLOOKUP(AA844,FACTS!$B$2:$L$14,11,FALSE)</f>
        <v>51062.5</v>
      </c>
      <c r="AD844" s="232">
        <f>VLOOKUP(AA844,FACTS!$B$2:$N$14,13,FALSE)</f>
        <v>5375</v>
      </c>
      <c r="AE844" s="232">
        <f t="shared" si="136"/>
        <v>3466.8750000000009</v>
      </c>
      <c r="AF844" s="232">
        <f t="shared" si="137"/>
        <v>49154.375</v>
      </c>
      <c r="AG844" s="232">
        <f>AF844*FACTS!$T$2</f>
        <v>16220.94375</v>
      </c>
      <c r="AH844" s="232">
        <f>Table1[[#This Row],[UNIT (BUILDING) RATE (SEMI FINISHED)]]+4500</f>
        <v>53654.375</v>
      </c>
      <c r="AI844" s="232">
        <f>Table1[[#This Row],[UNIT (BUILDING) RATE (SEMI FINISHED)]]+7500</f>
        <v>56654.375</v>
      </c>
      <c r="AJ844" s="232">
        <f t="shared" si="138"/>
        <v>7766391.25</v>
      </c>
      <c r="AK844" s="232">
        <f>Table1[[#This Row],[UNIT (BUILDING) RATE (BASIC FINISH)]]*Table1[[#This Row],[Unit Selling Area]]</f>
        <v>8477391.25</v>
      </c>
      <c r="AL844" s="232">
        <f>Table1[[#This Row],[UNIT (BUILDING) RATE (FULLY FINISH)]]*Table1[[#This Row],[Unit Selling Area]]</f>
        <v>8951391.25</v>
      </c>
      <c r="AM844" s="232">
        <f t="shared" si="139"/>
        <v>1363146.47316375</v>
      </c>
      <c r="AN844" s="232">
        <f>(AM844+AJ844)*FACTS!$S$2</f>
        <v>776010.70646891883</v>
      </c>
      <c r="AO844" s="101">
        <f>VLOOKUP(S844,FACTS!$A$17:$C$23,3,FALSE)</f>
        <v>2</v>
      </c>
      <c r="AP844" s="232">
        <f>VLOOKUP(AA844,FACTS!$B$2:$J$14,9,FALSE)</f>
        <v>215000</v>
      </c>
      <c r="AQ844" s="232">
        <f>Table1[[#This Row],[PARKING VALUE]]*1</f>
        <v>215000</v>
      </c>
      <c r="AR844" s="232">
        <f t="shared" si="134"/>
        <v>9344537.72316375</v>
      </c>
      <c r="AS844" s="440">
        <f>Table1[[#This Row],[TOTAL CARS VALUE]]+Table1[[#This Row],[UNIT (BUILDING) VALUE BASIC FINISHED]]+Table1[[#This Row],[UNIT (GARDEN) VALUE]]</f>
        <v>10055537.72316375</v>
      </c>
      <c r="AT844" s="232">
        <f>Table1[[#This Row],[TOTAL CARS VALUE]]+Table1[[#This Row],[UNIT (GARDEN) VALUE]]+Table1[[#This Row],[UNIT (BUILDING) VALUE FULLY FINISHED]]</f>
        <v>10529537.72316375</v>
      </c>
      <c r="AU844" s="233">
        <f>VLOOKUP(I844,'C PHASES'!$I$108:$J$110,2,FALSE)</f>
        <v>46569</v>
      </c>
      <c r="AV844" s="233">
        <f>VLOOKUP(AA844,'C PHASES'!$I$113:$J$125,2,FALSE)</f>
        <v>45474</v>
      </c>
    </row>
    <row r="845" spans="1:48" x14ac:dyDescent="0.25">
      <c r="A845" s="235"/>
      <c r="B845" s="227" t="str">
        <f t="shared" si="132"/>
        <v>E</v>
      </c>
      <c r="C845" s="227" t="s">
        <v>76</v>
      </c>
      <c r="D845" s="227" t="s">
        <v>1147</v>
      </c>
      <c r="E845" s="228">
        <v>0</v>
      </c>
      <c r="F845" s="101">
        <v>3</v>
      </c>
      <c r="G845" s="87" t="str">
        <f t="shared" si="140"/>
        <v>E503</v>
      </c>
      <c r="H845" s="87" t="s">
        <v>1294</v>
      </c>
      <c r="I845" s="89" t="str">
        <f>VLOOKUP(C845,'PREMIUM TABLES'!$G$107:$H$149,2,FALSE)</f>
        <v>C3</v>
      </c>
      <c r="J845" s="87">
        <v>125.09</v>
      </c>
      <c r="K845" s="87">
        <v>135.83314902970338</v>
      </c>
      <c r="L845" s="87">
        <v>153</v>
      </c>
      <c r="M845" s="87">
        <v>85.562899999999999</v>
      </c>
      <c r="O845" s="87" t="s">
        <v>187</v>
      </c>
      <c r="P845" s="87" t="s">
        <v>190</v>
      </c>
      <c r="Q845" s="229" t="s">
        <v>212</v>
      </c>
      <c r="R845" s="87" t="str">
        <f>VLOOKUP(E845,'PREMIUM TABLES'!$F$214:$G$219,2,FALSE)</f>
        <v>GROUND</v>
      </c>
      <c r="S845" s="87" t="str" cm="1">
        <f t="array" ref="S845">IF(AND(L845&gt;0,L845&lt;90),"A",IF(AND(L845&gt;90,L845&lt;123),"B",IF(AND(L845&gt;122,L845&lt;159),"C",IF(AND(L845&gt;159,L845&lt;185),"D",IF(AND(L845&gt;185,L845&lt;230),"E",IF(AND(L845&gt;230,L845&lt;350),"F",NONE))))))</f>
        <v>C</v>
      </c>
      <c r="T845" s="230">
        <f>VLOOKUP(O845,'PREMIUM TABLES'!$G$165:$H$172,2,FALSE)</f>
        <v>0.08</v>
      </c>
      <c r="U845" s="230">
        <f>VLOOKUP(P845,'PREMIUM TABLES'!$G$208:$H$209,2,FALSE)</f>
        <v>2.5000000000000001E-2</v>
      </c>
      <c r="V845" s="230">
        <f>VLOOKUP(Q845,'PREMIUM TABLES'!$G$175:$H$195,2,FALSE)</f>
        <v>0.43</v>
      </c>
      <c r="W845" s="230">
        <f>VLOOKUP(R845,'PREMIUM TABLES'!$G$214:$H$219,2,FALSE)</f>
        <v>0.05</v>
      </c>
      <c r="X845" s="230">
        <f>VLOOKUP(S845,'PREMIUM TABLES'!$F$199:$H$205,3,FALSE)</f>
        <v>3.5000000000000003E-2</v>
      </c>
      <c r="Y845" s="231">
        <f t="shared" si="135"/>
        <v>0.62000000000000011</v>
      </c>
      <c r="Z845" s="231" t="str" cm="1">
        <f t="array" ref="Z845">IF(AND(Y845&gt;0,Y845&lt;0.5),"C",IF(AND(Y845&gt;=0.5,Y845&lt;0.73),"B",IF(AND(Y845&gt;=0.73,Y845&lt;0.98),"A",NONE)))</f>
        <v>B</v>
      </c>
      <c r="AA845" s="231" t="str">
        <f>VLOOKUP(G845,'ALL (R)'!$N$5:$R$862,5,FALSE)</f>
        <v>R 3</v>
      </c>
      <c r="AB845" s="232">
        <f>VLOOKUP(AA845,FACTS!$B$2:$L$14,10,FALSE)</f>
        <v>44625</v>
      </c>
      <c r="AC845" s="232">
        <f>VLOOKUP(AA845,FACTS!$B$2:$L$14,11,FALSE)</f>
        <v>49875</v>
      </c>
      <c r="AD845" s="232">
        <f>VLOOKUP(AA845,FACTS!$B$2:$N$14,13,FALSE)</f>
        <v>5250</v>
      </c>
      <c r="AE845" s="232">
        <f t="shared" si="136"/>
        <v>3255.0000000000005</v>
      </c>
      <c r="AF845" s="232">
        <f t="shared" si="137"/>
        <v>47880</v>
      </c>
      <c r="AG845" s="232">
        <f>AF845*FACTS!$T$2</f>
        <v>15800.400000000001</v>
      </c>
      <c r="AH845" s="232">
        <f>Table1[[#This Row],[UNIT (BUILDING) RATE (SEMI FINISHED)]]+4500</f>
        <v>52380</v>
      </c>
      <c r="AI845" s="232">
        <f>Table1[[#This Row],[UNIT (BUILDING) RATE (SEMI FINISHED)]]+7500</f>
        <v>55380</v>
      </c>
      <c r="AJ845" s="232">
        <f t="shared" si="138"/>
        <v>7325640</v>
      </c>
      <c r="AK845" s="232">
        <f>Table1[[#This Row],[UNIT (BUILDING) RATE (BASIC FINISH)]]*Table1[[#This Row],[Unit Selling Area]]</f>
        <v>8014140</v>
      </c>
      <c r="AL845" s="232">
        <f>Table1[[#This Row],[UNIT (BUILDING) RATE (FULLY FINISH)]]*Table1[[#This Row],[Unit Selling Area]]</f>
        <v>8473140</v>
      </c>
      <c r="AM845" s="232">
        <f t="shared" si="139"/>
        <v>1351928.0451600002</v>
      </c>
      <c r="AN845" s="232">
        <f>(AM845+AJ845)*FACTS!$S$2</f>
        <v>737593.28383860004</v>
      </c>
      <c r="AO845" s="101">
        <f>VLOOKUP(S845,FACTS!$A$17:$C$23,3,FALSE)</f>
        <v>2</v>
      </c>
      <c r="AP845" s="232">
        <f>VLOOKUP(AA845,FACTS!$B$2:$J$14,9,FALSE)</f>
        <v>210000</v>
      </c>
      <c r="AQ845" s="232">
        <f>Table1[[#This Row],[PARKING VALUE]]*1</f>
        <v>210000</v>
      </c>
      <c r="AR845" s="232">
        <f t="shared" si="134"/>
        <v>8887568.0451599993</v>
      </c>
      <c r="AS845" s="440">
        <f>Table1[[#This Row],[TOTAL CARS VALUE]]+Table1[[#This Row],[UNIT (BUILDING) VALUE BASIC FINISHED]]+Table1[[#This Row],[UNIT (GARDEN) VALUE]]</f>
        <v>9576068.0451599993</v>
      </c>
      <c r="AT845" s="232">
        <f>Table1[[#This Row],[TOTAL CARS VALUE]]+Table1[[#This Row],[UNIT (GARDEN) VALUE]]+Table1[[#This Row],[UNIT (BUILDING) VALUE FULLY FINISHED]]</f>
        <v>10035068.045159999</v>
      </c>
      <c r="AU845" s="233">
        <f>VLOOKUP(I845,'C PHASES'!$I$108:$J$110,2,FALSE)</f>
        <v>46569</v>
      </c>
      <c r="AV845" s="233">
        <f>VLOOKUP(AA845,'C PHASES'!$I$113:$J$125,2,FALSE)</f>
        <v>45383</v>
      </c>
    </row>
    <row r="846" spans="1:48" x14ac:dyDescent="0.25">
      <c r="A846" s="235"/>
      <c r="B846" s="227" t="str">
        <f t="shared" si="132"/>
        <v>E</v>
      </c>
      <c r="C846" s="227" t="s">
        <v>76</v>
      </c>
      <c r="D846" s="227" t="s">
        <v>1147</v>
      </c>
      <c r="E846" s="228">
        <v>0</v>
      </c>
      <c r="F846" s="101">
        <v>4</v>
      </c>
      <c r="G846" s="87" t="str">
        <f t="shared" si="140"/>
        <v>E504</v>
      </c>
      <c r="H846" s="87" t="s">
        <v>1293</v>
      </c>
      <c r="I846" s="89" t="str">
        <f>VLOOKUP(C846,'PREMIUM TABLES'!$G$107:$H$149,2,FALSE)</f>
        <v>C3</v>
      </c>
      <c r="J846" s="87">
        <v>87.23</v>
      </c>
      <c r="K846" s="87">
        <v>94.721605163170736</v>
      </c>
      <c r="L846" s="87">
        <v>106</v>
      </c>
      <c r="M846" s="87">
        <v>72.451099999999997</v>
      </c>
      <c r="O846" s="87" t="s">
        <v>180</v>
      </c>
      <c r="P846" s="87" t="s">
        <v>190</v>
      </c>
      <c r="Q846" s="229" t="s">
        <v>198</v>
      </c>
      <c r="R846" s="87" t="str">
        <f>VLOOKUP(E846,'PREMIUM TABLES'!$F$214:$G$219,2,FALSE)</f>
        <v>GROUND</v>
      </c>
      <c r="S846" s="87" t="str" cm="1">
        <f t="array" ref="S846">IF(AND(L846&gt;0,L846&lt;90),"A",IF(AND(L846&gt;90,L846&lt;123),"B",IF(AND(L846&gt;122,L846&lt;159),"C",IF(AND(L846&gt;159,L846&lt;185),"D",IF(AND(L846&gt;185,L846&lt;230),"E",IF(AND(L846&gt;230,L846&lt;350),"F",NONE))))))</f>
        <v>B</v>
      </c>
      <c r="T846" s="230">
        <f>VLOOKUP(O846,'PREMIUM TABLES'!$G$165:$H$172,2,FALSE)</f>
        <v>0.13</v>
      </c>
      <c r="U846" s="230">
        <f>VLOOKUP(P846,'PREMIUM TABLES'!$G$208:$H$209,2,FALSE)</f>
        <v>2.5000000000000001E-2</v>
      </c>
      <c r="V846" s="230">
        <f>VLOOKUP(Q846,'PREMIUM TABLES'!$G$175:$H$195,2,FALSE)</f>
        <v>0.15</v>
      </c>
      <c r="W846" s="230">
        <f>VLOOKUP(R846,'PREMIUM TABLES'!$G$214:$H$219,2,FALSE)</f>
        <v>0.05</v>
      </c>
      <c r="X846" s="230">
        <f>VLOOKUP(S846,'PREMIUM TABLES'!$F$199:$H$205,3,FALSE)</f>
        <v>0.04</v>
      </c>
      <c r="Y846" s="231">
        <f t="shared" si="135"/>
        <v>0.39499999999999996</v>
      </c>
      <c r="Z846" s="231" t="str" cm="1">
        <f t="array" ref="Z846">IF(AND(Y846&gt;0,Y846&lt;0.5),"C",IF(AND(Y846&gt;=0.5,Y846&lt;0.73),"B",IF(AND(Y846&gt;=0.73,Y846&lt;0.98),"A",NONE)))</f>
        <v>C</v>
      </c>
      <c r="AA846" s="231" t="str">
        <f>VLOOKUP(G846,'ALL (R)'!$N$5:$R$862,5,FALSE)</f>
        <v>R 4</v>
      </c>
      <c r="AB846" s="232">
        <f>VLOOKUP(AA846,FACTS!$B$2:$L$14,10,FALSE)</f>
        <v>45687.5</v>
      </c>
      <c r="AC846" s="232">
        <f>VLOOKUP(AA846,FACTS!$B$2:$L$14,11,FALSE)</f>
        <v>51062.5</v>
      </c>
      <c r="AD846" s="232">
        <f>VLOOKUP(AA846,FACTS!$B$2:$N$14,13,FALSE)</f>
        <v>5375</v>
      </c>
      <c r="AE846" s="232">
        <f t="shared" si="136"/>
        <v>2123.125</v>
      </c>
      <c r="AF846" s="232">
        <f t="shared" si="137"/>
        <v>47810.625</v>
      </c>
      <c r="AG846" s="232">
        <f>AF846*FACTS!$T$2</f>
        <v>15777.50625</v>
      </c>
      <c r="AH846" s="232">
        <f>Table1[[#This Row],[UNIT (BUILDING) RATE (SEMI FINISHED)]]+4500</f>
        <v>52310.625</v>
      </c>
      <c r="AI846" s="232">
        <f>Table1[[#This Row],[UNIT (BUILDING) RATE (SEMI FINISHED)]]+7500</f>
        <v>55310.625</v>
      </c>
      <c r="AJ846" s="232">
        <f t="shared" si="138"/>
        <v>5067926.25</v>
      </c>
      <c r="AK846" s="232">
        <f>Table1[[#This Row],[UNIT (BUILDING) RATE (BASIC FINISH)]]*Table1[[#This Row],[Unit Selling Area]]</f>
        <v>5544926.25</v>
      </c>
      <c r="AL846" s="232">
        <f>Table1[[#This Row],[UNIT (BUILDING) RATE (FULLY FINISH)]]*Table1[[#This Row],[Unit Selling Area]]</f>
        <v>5862926.25</v>
      </c>
      <c r="AM846" s="232">
        <f t="shared" si="139"/>
        <v>1143097.6830693749</v>
      </c>
      <c r="AN846" s="232">
        <f>(AM846+AJ846)*FACTS!$S$2</f>
        <v>527937.03431089688</v>
      </c>
      <c r="AO846" s="101">
        <f>VLOOKUP(S846,FACTS!$A$17:$C$23,3,FALSE)</f>
        <v>1</v>
      </c>
      <c r="AP846" s="232">
        <f>VLOOKUP(AA846,FACTS!$B$2:$J$14,9,FALSE)</f>
        <v>215000</v>
      </c>
      <c r="AQ846" s="232">
        <f>Table1[[#This Row],[PARKING VALUE]]*1</f>
        <v>215000</v>
      </c>
      <c r="AR846" s="232">
        <f t="shared" si="134"/>
        <v>6426023.9330693744</v>
      </c>
      <c r="AS846" s="440">
        <f>Table1[[#This Row],[TOTAL CARS VALUE]]+Table1[[#This Row],[UNIT (BUILDING) VALUE BASIC FINISHED]]+Table1[[#This Row],[UNIT (GARDEN) VALUE]]</f>
        <v>6903023.9330693744</v>
      </c>
      <c r="AT846" s="232">
        <f>Table1[[#This Row],[TOTAL CARS VALUE]]+Table1[[#This Row],[UNIT (GARDEN) VALUE]]+Table1[[#This Row],[UNIT (BUILDING) VALUE FULLY FINISHED]]</f>
        <v>7221023.9330693744</v>
      </c>
      <c r="AU846" s="233">
        <f>VLOOKUP(I846,'C PHASES'!$I$108:$J$110,2,FALSE)</f>
        <v>46569</v>
      </c>
      <c r="AV846" s="233">
        <f>VLOOKUP(AA846,'C PHASES'!$I$113:$J$125,2,FALSE)</f>
        <v>45474</v>
      </c>
    </row>
    <row r="847" spans="1:48" x14ac:dyDescent="0.25">
      <c r="A847" s="235"/>
      <c r="B847" s="227" t="str">
        <f t="shared" si="132"/>
        <v>E</v>
      </c>
      <c r="C847" s="227" t="s">
        <v>76</v>
      </c>
      <c r="D847" s="227" t="s">
        <v>1147</v>
      </c>
      <c r="E847" s="228">
        <v>1</v>
      </c>
      <c r="F847" s="101">
        <v>1</v>
      </c>
      <c r="G847" s="87" t="str">
        <f t="shared" si="140"/>
        <v>E511</v>
      </c>
      <c r="H847" s="87" t="s">
        <v>1294</v>
      </c>
      <c r="I847" s="89" t="str">
        <f>VLOOKUP(C847,'PREMIUM TABLES'!$G$107:$H$149,2,FALSE)</f>
        <v>C3</v>
      </c>
      <c r="J847" s="87">
        <v>129.04</v>
      </c>
      <c r="K847" s="87">
        <v>140.1223882867769</v>
      </c>
      <c r="L847" s="87">
        <v>157</v>
      </c>
      <c r="O847" s="87" t="s">
        <v>180</v>
      </c>
      <c r="P847" s="87" t="s">
        <v>226</v>
      </c>
      <c r="Q847" s="229" t="s">
        <v>198</v>
      </c>
      <c r="R847" s="87" t="str">
        <f>VLOOKUP(E847,'PREMIUM TABLES'!$F$214:$G$219,2,FALSE)</f>
        <v>FIRST</v>
      </c>
      <c r="S847" s="87" t="str" cm="1">
        <f t="array" ref="S847">IF(AND(L847&gt;0,L847&lt;90),"A",IF(AND(L847&gt;90,L847&lt;123),"B",IF(AND(L847&gt;122,L847&lt;159),"C",IF(AND(L847&gt;159,L847&lt;185),"D",IF(AND(L847&gt;185,L847&lt;230),"E",IF(AND(L847&gt;230,L847&lt;350),"F",NONE))))))</f>
        <v>C</v>
      </c>
      <c r="T847" s="230">
        <f>VLOOKUP(O847,'PREMIUM TABLES'!$G$165:$H$172,2,FALSE)</f>
        <v>0.13</v>
      </c>
      <c r="U847" s="230">
        <f>VLOOKUP(P847,'PREMIUM TABLES'!$G$208:$H$209,2,FALSE)</f>
        <v>0.05</v>
      </c>
      <c r="V847" s="230">
        <f>VLOOKUP(Q847,'PREMIUM TABLES'!$G$175:$H$195,2,FALSE)</f>
        <v>0.15</v>
      </c>
      <c r="W847" s="230">
        <f>VLOOKUP(R847,'PREMIUM TABLES'!$G$214:$H$219,2,FALSE)</f>
        <v>7.0000000000000007E-2</v>
      </c>
      <c r="X847" s="230">
        <f>VLOOKUP(S847,'PREMIUM TABLES'!$F$199:$H$205,3,FALSE)</f>
        <v>3.5000000000000003E-2</v>
      </c>
      <c r="Y847" s="231">
        <f t="shared" si="135"/>
        <v>0.43499999999999994</v>
      </c>
      <c r="Z847" s="231" t="str" cm="1">
        <f t="array" ref="Z847">IF(AND(Y847&gt;0,Y847&lt;0.5),"C",IF(AND(Y847&gt;=0.5,Y847&lt;0.73),"B",IF(AND(Y847&gt;=0.73,Y847&lt;0.98),"A",NONE)))</f>
        <v>C</v>
      </c>
      <c r="AA847" s="231" t="str">
        <f>VLOOKUP(G847,'ALL (R)'!$N$5:$R$862,5,FALSE)</f>
        <v>R 8</v>
      </c>
      <c r="AB847" s="232">
        <f>VLOOKUP(AA847,FACTS!$B$2:$L$14,10,FALSE)</f>
        <v>51850</v>
      </c>
      <c r="AC847" s="232">
        <f>VLOOKUP(AA847,FACTS!$B$2:$L$14,11,FALSE)</f>
        <v>57950</v>
      </c>
      <c r="AD847" s="232">
        <f>VLOOKUP(AA847,FACTS!$B$2:$N$14,13,FALSE)</f>
        <v>6100</v>
      </c>
      <c r="AE847" s="232">
        <f t="shared" si="136"/>
        <v>2653.4999999999995</v>
      </c>
      <c r="AF847" s="232">
        <f t="shared" si="137"/>
        <v>54503.5</v>
      </c>
      <c r="AG847" s="232">
        <f>AF847*FACTS!$T$2</f>
        <v>17986.155000000002</v>
      </c>
      <c r="AH847" s="232">
        <f>Table1[[#This Row],[UNIT (BUILDING) RATE (SEMI FINISHED)]]+4500</f>
        <v>59003.5</v>
      </c>
      <c r="AI847" s="232">
        <f>Table1[[#This Row],[UNIT (BUILDING) RATE (SEMI FINISHED)]]+7500</f>
        <v>62003.5</v>
      </c>
      <c r="AJ847" s="232">
        <f t="shared" si="138"/>
        <v>8557049.5</v>
      </c>
      <c r="AK847" s="232">
        <f>Table1[[#This Row],[UNIT (BUILDING) RATE (BASIC FINISH)]]*Table1[[#This Row],[Unit Selling Area]]</f>
        <v>9263549.5</v>
      </c>
      <c r="AL847" s="232">
        <f>Table1[[#This Row],[UNIT (BUILDING) RATE (FULLY FINISH)]]*Table1[[#This Row],[Unit Selling Area]]</f>
        <v>9734549.5</v>
      </c>
      <c r="AM847" s="232">
        <f t="shared" si="139"/>
        <v>0</v>
      </c>
      <c r="AN847" s="232">
        <f>(AM847+AJ847)*FACTS!$S$2</f>
        <v>727349.20750000002</v>
      </c>
      <c r="AO847" s="101">
        <f>VLOOKUP(S847,FACTS!$A$17:$C$23,3,FALSE)</f>
        <v>2</v>
      </c>
      <c r="AP847" s="232">
        <f>VLOOKUP(AA847,FACTS!$B$2:$J$14,9,FALSE)</f>
        <v>244000</v>
      </c>
      <c r="AQ847" s="232">
        <f>Table1[[#This Row],[PARKING VALUE]]*1</f>
        <v>244000</v>
      </c>
      <c r="AR847" s="232">
        <f t="shared" si="134"/>
        <v>8801049.5</v>
      </c>
      <c r="AS847" s="440">
        <f>Table1[[#This Row],[TOTAL CARS VALUE]]+Table1[[#This Row],[UNIT (BUILDING) VALUE BASIC FINISHED]]+Table1[[#This Row],[UNIT (GARDEN) VALUE]]</f>
        <v>9507549.5</v>
      </c>
      <c r="AT847" s="232">
        <f>Table1[[#This Row],[TOTAL CARS VALUE]]+Table1[[#This Row],[UNIT (GARDEN) VALUE]]+Table1[[#This Row],[UNIT (BUILDING) VALUE FULLY FINISHED]]</f>
        <v>9978549.5</v>
      </c>
      <c r="AU847" s="233">
        <f>VLOOKUP(I847,'C PHASES'!$I$108:$J$110,2,FALSE)</f>
        <v>46569</v>
      </c>
      <c r="AV847" s="233">
        <f>VLOOKUP(AA847,'C PHASES'!$I$113:$J$125,2,FALSE)</f>
        <v>45839</v>
      </c>
    </row>
    <row r="848" spans="1:48" x14ac:dyDescent="0.25">
      <c r="A848" s="235"/>
      <c r="B848" s="227" t="str">
        <f t="shared" si="132"/>
        <v>E</v>
      </c>
      <c r="C848" s="227" t="s">
        <v>76</v>
      </c>
      <c r="D848" s="227" t="s">
        <v>1147</v>
      </c>
      <c r="E848" s="228">
        <v>1</v>
      </c>
      <c r="F848" s="101">
        <v>2</v>
      </c>
      <c r="G848" s="87" t="str">
        <f t="shared" si="140"/>
        <v>E512</v>
      </c>
      <c r="H848" s="87" t="s">
        <v>1294</v>
      </c>
      <c r="I848" s="89" t="str">
        <f>VLOOKUP(C848,'PREMIUM TABLES'!$G$107:$H$149,2,FALSE)</f>
        <v>C3</v>
      </c>
      <c r="J848" s="87">
        <v>131.43</v>
      </c>
      <c r="K848" s="87">
        <v>142.71764950814546</v>
      </c>
      <c r="L848" s="87">
        <v>160</v>
      </c>
      <c r="O848" s="87" t="s">
        <v>187</v>
      </c>
      <c r="P848" s="87" t="s">
        <v>226</v>
      </c>
      <c r="Q848" s="229" t="s">
        <v>212</v>
      </c>
      <c r="R848" s="87" t="str">
        <f>VLOOKUP(E848,'PREMIUM TABLES'!$F$214:$G$219,2,FALSE)</f>
        <v>FIRST</v>
      </c>
      <c r="S848" s="87" t="str" cm="1">
        <f t="array" ref="S848">IF(AND(L848&gt;0,L848&lt;90),"A",IF(AND(L848&gt;90,L848&lt;123),"B",IF(AND(L848&gt;122,L848&lt;159),"C",IF(AND(L848&gt;159,L848&lt;185),"D",IF(AND(L848&gt;185,L848&lt;230),"E",IF(AND(L848&gt;230,L848&lt;350),"F",NONE))))))</f>
        <v>D</v>
      </c>
      <c r="T848" s="230">
        <f>VLOOKUP(O848,'PREMIUM TABLES'!$G$165:$H$172,2,FALSE)</f>
        <v>0.08</v>
      </c>
      <c r="U848" s="230">
        <f>VLOOKUP(P848,'PREMIUM TABLES'!$G$208:$H$209,2,FALSE)</f>
        <v>0.05</v>
      </c>
      <c r="V848" s="230">
        <f>VLOOKUP(Q848,'PREMIUM TABLES'!$G$175:$H$195,2,FALSE)</f>
        <v>0.43</v>
      </c>
      <c r="W848" s="230">
        <f>VLOOKUP(R848,'PREMIUM TABLES'!$G$214:$H$219,2,FALSE)</f>
        <v>7.0000000000000007E-2</v>
      </c>
      <c r="X848" s="230">
        <f>VLOOKUP(S848,'PREMIUM TABLES'!$F$199:$H$205,3,FALSE)</f>
        <v>2.5000000000000001E-2</v>
      </c>
      <c r="Y848" s="231">
        <f t="shared" si="135"/>
        <v>0.65500000000000014</v>
      </c>
      <c r="Z848" s="231" t="str" cm="1">
        <f t="array" ref="Z848">IF(AND(Y848&gt;0,Y848&lt;0.5),"C",IF(AND(Y848&gt;=0.5,Y848&lt;0.73),"B",IF(AND(Y848&gt;=0.73,Y848&lt;0.98),"A",NONE)))</f>
        <v>B</v>
      </c>
      <c r="AA848" s="231" t="str">
        <f>VLOOKUP(G848,'ALL (R)'!$N$5:$R$862,5,FALSE)</f>
        <v>R 5</v>
      </c>
      <c r="AB848" s="232">
        <f>VLOOKUP(AA848,FACTS!$B$2:$L$14,10,FALSE)</f>
        <v>46750.000000000007</v>
      </c>
      <c r="AC848" s="232">
        <f>VLOOKUP(AA848,FACTS!$B$2:$L$14,11,FALSE)</f>
        <v>52250.000000000007</v>
      </c>
      <c r="AD848" s="232">
        <f>VLOOKUP(AA848,FACTS!$B$2:$N$14,13,FALSE)</f>
        <v>5500</v>
      </c>
      <c r="AE848" s="232">
        <f t="shared" si="136"/>
        <v>3602.5000000000009</v>
      </c>
      <c r="AF848" s="232">
        <f t="shared" si="137"/>
        <v>50352.500000000007</v>
      </c>
      <c r="AG848" s="232">
        <f>AF848*FACTS!$T$2</f>
        <v>16616.325000000004</v>
      </c>
      <c r="AH848" s="232">
        <f>Table1[[#This Row],[UNIT (BUILDING) RATE (SEMI FINISHED)]]+4500</f>
        <v>54852.500000000007</v>
      </c>
      <c r="AI848" s="232">
        <f>Table1[[#This Row],[UNIT (BUILDING) RATE (SEMI FINISHED)]]+7500</f>
        <v>57852.500000000007</v>
      </c>
      <c r="AJ848" s="232">
        <f t="shared" si="138"/>
        <v>8056400.0000000009</v>
      </c>
      <c r="AK848" s="232">
        <f>Table1[[#This Row],[UNIT (BUILDING) RATE (BASIC FINISH)]]*Table1[[#This Row],[Unit Selling Area]]</f>
        <v>8776400.0000000019</v>
      </c>
      <c r="AL848" s="232">
        <f>Table1[[#This Row],[UNIT (BUILDING) RATE (FULLY FINISH)]]*Table1[[#This Row],[Unit Selling Area]]</f>
        <v>9256400.0000000019</v>
      </c>
      <c r="AM848" s="232">
        <f t="shared" si="139"/>
        <v>0</v>
      </c>
      <c r="AN848" s="232">
        <f>(AM848+AJ848)*FACTS!$S$2</f>
        <v>684794.00000000012</v>
      </c>
      <c r="AO848" s="101">
        <f>VLOOKUP(S848,FACTS!$A$17:$C$23,3,FALSE)</f>
        <v>2</v>
      </c>
      <c r="AP848" s="232">
        <f>VLOOKUP(AA848,FACTS!$B$2:$J$14,9,FALSE)</f>
        <v>220000.00000000003</v>
      </c>
      <c r="AQ848" s="232">
        <f>Table1[[#This Row],[PARKING VALUE]]*1</f>
        <v>220000.00000000003</v>
      </c>
      <c r="AR848" s="232">
        <f t="shared" si="134"/>
        <v>8276400.0000000009</v>
      </c>
      <c r="AS848" s="440">
        <f>Table1[[#This Row],[TOTAL CARS VALUE]]+Table1[[#This Row],[UNIT (BUILDING) VALUE BASIC FINISHED]]+Table1[[#This Row],[UNIT (GARDEN) VALUE]]</f>
        <v>8996400.0000000019</v>
      </c>
      <c r="AT848" s="232">
        <f>Table1[[#This Row],[TOTAL CARS VALUE]]+Table1[[#This Row],[UNIT (GARDEN) VALUE]]+Table1[[#This Row],[UNIT (BUILDING) VALUE FULLY FINISHED]]</f>
        <v>9476400.0000000019</v>
      </c>
      <c r="AU848" s="233">
        <f>VLOOKUP(I848,'C PHASES'!$I$108:$J$110,2,FALSE)</f>
        <v>46569</v>
      </c>
      <c r="AV848" s="233">
        <f>VLOOKUP(AA848,'C PHASES'!$I$113:$J$125,2,FALSE)</f>
        <v>45566</v>
      </c>
    </row>
    <row r="849" spans="1:48" x14ac:dyDescent="0.25">
      <c r="A849" s="235"/>
      <c r="B849" s="227" t="str">
        <f t="shared" si="132"/>
        <v>E</v>
      </c>
      <c r="C849" s="227" t="s">
        <v>76</v>
      </c>
      <c r="D849" s="227" t="s">
        <v>1147</v>
      </c>
      <c r="E849" s="228">
        <v>1</v>
      </c>
      <c r="F849" s="101">
        <v>3</v>
      </c>
      <c r="G849" s="87" t="str">
        <f t="shared" si="140"/>
        <v>E513</v>
      </c>
      <c r="H849" s="87" t="s">
        <v>1294</v>
      </c>
      <c r="I849" s="89" t="str">
        <f>VLOOKUP(C849,'PREMIUM TABLES'!$G$107:$H$149,2,FALSE)</f>
        <v>C3</v>
      </c>
      <c r="J849" s="87">
        <v>127.14</v>
      </c>
      <c r="K849" s="87">
        <v>138.05920990995673</v>
      </c>
      <c r="L849" s="87">
        <v>155</v>
      </c>
      <c r="O849" s="87" t="s">
        <v>187</v>
      </c>
      <c r="P849" s="87" t="s">
        <v>190</v>
      </c>
      <c r="Q849" s="229" t="s">
        <v>212</v>
      </c>
      <c r="R849" s="87" t="str">
        <f>VLOOKUP(E849,'PREMIUM TABLES'!$F$214:$G$219,2,FALSE)</f>
        <v>FIRST</v>
      </c>
      <c r="S849" s="87" t="str" cm="1">
        <f t="array" ref="S849">IF(AND(L849&gt;0,L849&lt;90),"A",IF(AND(L849&gt;90,L849&lt;123),"B",IF(AND(L849&gt;122,L849&lt;159),"C",IF(AND(L849&gt;159,L849&lt;185),"D",IF(AND(L849&gt;185,L849&lt;230),"E",IF(AND(L849&gt;230,L849&lt;350),"F",NONE))))))</f>
        <v>C</v>
      </c>
      <c r="T849" s="230">
        <f>VLOOKUP(O849,'PREMIUM TABLES'!$G$165:$H$172,2,FALSE)</f>
        <v>0.08</v>
      </c>
      <c r="U849" s="230">
        <f>VLOOKUP(P849,'PREMIUM TABLES'!$G$208:$H$209,2,FALSE)</f>
        <v>2.5000000000000001E-2</v>
      </c>
      <c r="V849" s="230">
        <f>VLOOKUP(Q849,'PREMIUM TABLES'!$G$175:$H$195,2,FALSE)</f>
        <v>0.43</v>
      </c>
      <c r="W849" s="230">
        <f>VLOOKUP(R849,'PREMIUM TABLES'!$G$214:$H$219,2,FALSE)</f>
        <v>7.0000000000000007E-2</v>
      </c>
      <c r="X849" s="230">
        <f>VLOOKUP(S849,'PREMIUM TABLES'!$F$199:$H$205,3,FALSE)</f>
        <v>3.5000000000000003E-2</v>
      </c>
      <c r="Y849" s="231">
        <f t="shared" si="135"/>
        <v>0.64</v>
      </c>
      <c r="Z849" s="231" t="str" cm="1">
        <f t="array" ref="Z849">IF(AND(Y849&gt;0,Y849&lt;0.5),"C",IF(AND(Y849&gt;=0.5,Y849&lt;0.73),"B",IF(AND(Y849&gt;=0.73,Y849&lt;0.98),"A",NONE)))</f>
        <v>B</v>
      </c>
      <c r="AA849" s="231" t="str">
        <f>VLOOKUP(G849,'ALL (R)'!$N$5:$R$862,5,FALSE)</f>
        <v>R 4</v>
      </c>
      <c r="AB849" s="232">
        <f>VLOOKUP(AA849,FACTS!$B$2:$L$14,10,FALSE)</f>
        <v>45687.5</v>
      </c>
      <c r="AC849" s="232">
        <f>VLOOKUP(AA849,FACTS!$B$2:$L$14,11,FALSE)</f>
        <v>51062.5</v>
      </c>
      <c r="AD849" s="232">
        <f>VLOOKUP(AA849,FACTS!$B$2:$N$14,13,FALSE)</f>
        <v>5375</v>
      </c>
      <c r="AE849" s="232">
        <f t="shared" si="136"/>
        <v>3440</v>
      </c>
      <c r="AF849" s="232">
        <f t="shared" si="137"/>
        <v>49127.5</v>
      </c>
      <c r="AG849" s="232">
        <f>AF849*FACTS!$T$2</f>
        <v>16212.075000000001</v>
      </c>
      <c r="AH849" s="232">
        <f>Table1[[#This Row],[UNIT (BUILDING) RATE (SEMI FINISHED)]]+4500</f>
        <v>53627.5</v>
      </c>
      <c r="AI849" s="232">
        <f>Table1[[#This Row],[UNIT (BUILDING) RATE (SEMI FINISHED)]]+7500</f>
        <v>56627.5</v>
      </c>
      <c r="AJ849" s="232">
        <f t="shared" si="138"/>
        <v>7614762.5</v>
      </c>
      <c r="AK849" s="232">
        <f>Table1[[#This Row],[UNIT (BUILDING) RATE (BASIC FINISH)]]*Table1[[#This Row],[Unit Selling Area]]</f>
        <v>8312262.5</v>
      </c>
      <c r="AL849" s="232">
        <f>Table1[[#This Row],[UNIT (BUILDING) RATE (FULLY FINISH)]]*Table1[[#This Row],[Unit Selling Area]]</f>
        <v>8777262.5</v>
      </c>
      <c r="AM849" s="232">
        <f t="shared" si="139"/>
        <v>0</v>
      </c>
      <c r="AN849" s="232">
        <f>(AM849+AJ849)*FACTS!$S$2</f>
        <v>647254.8125</v>
      </c>
      <c r="AO849" s="101">
        <f>VLOOKUP(S849,FACTS!$A$17:$C$23,3,FALSE)</f>
        <v>2</v>
      </c>
      <c r="AP849" s="232">
        <f>VLOOKUP(AA849,FACTS!$B$2:$J$14,9,FALSE)</f>
        <v>215000</v>
      </c>
      <c r="AQ849" s="232">
        <f>Table1[[#This Row],[PARKING VALUE]]*1</f>
        <v>215000</v>
      </c>
      <c r="AR849" s="232">
        <f t="shared" si="134"/>
        <v>7829762.5</v>
      </c>
      <c r="AS849" s="440">
        <f>Table1[[#This Row],[TOTAL CARS VALUE]]+Table1[[#This Row],[UNIT (BUILDING) VALUE BASIC FINISHED]]+Table1[[#This Row],[UNIT (GARDEN) VALUE]]</f>
        <v>8527262.5</v>
      </c>
      <c r="AT849" s="232">
        <f>Table1[[#This Row],[TOTAL CARS VALUE]]+Table1[[#This Row],[UNIT (GARDEN) VALUE]]+Table1[[#This Row],[UNIT (BUILDING) VALUE FULLY FINISHED]]</f>
        <v>8992262.5</v>
      </c>
      <c r="AU849" s="233">
        <f>VLOOKUP(I849,'C PHASES'!$I$108:$J$110,2,FALSE)</f>
        <v>46569</v>
      </c>
      <c r="AV849" s="233">
        <f>VLOOKUP(AA849,'C PHASES'!$I$113:$J$125,2,FALSE)</f>
        <v>45474</v>
      </c>
    </row>
    <row r="850" spans="1:48" x14ac:dyDescent="0.25">
      <c r="A850" s="235"/>
      <c r="B850" s="227" t="str">
        <f t="shared" si="132"/>
        <v>E</v>
      </c>
      <c r="C850" s="227" t="s">
        <v>76</v>
      </c>
      <c r="D850" s="227" t="s">
        <v>1147</v>
      </c>
      <c r="E850" s="228">
        <v>1</v>
      </c>
      <c r="F850" s="101">
        <v>4</v>
      </c>
      <c r="G850" s="87" t="str">
        <f t="shared" si="140"/>
        <v>E514</v>
      </c>
      <c r="H850" s="87" t="s">
        <v>1293</v>
      </c>
      <c r="I850" s="89" t="str">
        <f>VLOOKUP(C850,'PREMIUM TABLES'!$G$107:$H$149,2,FALSE)</f>
        <v>C3</v>
      </c>
      <c r="J850" s="87">
        <v>88.87</v>
      </c>
      <c r="K850" s="87">
        <v>96.502453867373418</v>
      </c>
      <c r="L850" s="87">
        <v>108</v>
      </c>
      <c r="O850" s="87" t="s">
        <v>180</v>
      </c>
      <c r="P850" s="87" t="s">
        <v>190</v>
      </c>
      <c r="Q850" s="229" t="s">
        <v>198</v>
      </c>
      <c r="R850" s="87" t="str">
        <f>VLOOKUP(E850,'PREMIUM TABLES'!$F$214:$G$219,2,FALSE)</f>
        <v>FIRST</v>
      </c>
      <c r="S850" s="87" t="str" cm="1">
        <f t="array" ref="S850">IF(AND(L850&gt;0,L850&lt;90),"A",IF(AND(L850&gt;90,L850&lt;123),"B",IF(AND(L850&gt;122,L850&lt;159),"C",IF(AND(L850&gt;159,L850&lt;185),"D",IF(AND(L850&gt;185,L850&lt;230),"E",IF(AND(L850&gt;230,L850&lt;350),"F",NONE))))))</f>
        <v>B</v>
      </c>
      <c r="T850" s="230">
        <f>VLOOKUP(O850,'PREMIUM TABLES'!$G$165:$H$172,2,FALSE)</f>
        <v>0.13</v>
      </c>
      <c r="U850" s="230">
        <f>VLOOKUP(P850,'PREMIUM TABLES'!$G$208:$H$209,2,FALSE)</f>
        <v>2.5000000000000001E-2</v>
      </c>
      <c r="V850" s="230">
        <f>VLOOKUP(Q850,'PREMIUM TABLES'!$G$175:$H$195,2,FALSE)</f>
        <v>0.15</v>
      </c>
      <c r="W850" s="230">
        <f>VLOOKUP(R850,'PREMIUM TABLES'!$G$214:$H$219,2,FALSE)</f>
        <v>7.0000000000000007E-2</v>
      </c>
      <c r="X850" s="230">
        <f>VLOOKUP(S850,'PREMIUM TABLES'!$F$199:$H$205,3,FALSE)</f>
        <v>0.04</v>
      </c>
      <c r="Y850" s="231">
        <f t="shared" si="135"/>
        <v>0.41499999999999998</v>
      </c>
      <c r="Z850" s="231" t="str" cm="1">
        <f t="array" ref="Z850">IF(AND(Y850&gt;0,Y850&lt;0.5),"C",IF(AND(Y850&gt;=0.5,Y850&lt;0.73),"B",IF(AND(Y850&gt;=0.73,Y850&lt;0.98),"A",NONE)))</f>
        <v>C</v>
      </c>
      <c r="AA850" s="231" t="str">
        <f>VLOOKUP(G850,'ALL (R)'!$N$5:$R$862,5,FALSE)</f>
        <v>R 7</v>
      </c>
      <c r="AB850" s="232">
        <f>VLOOKUP(AA850,FACTS!$B$2:$L$14,10,FALSE)</f>
        <v>50150</v>
      </c>
      <c r="AC850" s="232">
        <f>VLOOKUP(AA850,FACTS!$B$2:$L$14,11,FALSE)</f>
        <v>56050</v>
      </c>
      <c r="AD850" s="232">
        <f>VLOOKUP(AA850,FACTS!$B$2:$N$14,13,FALSE)</f>
        <v>5900</v>
      </c>
      <c r="AE850" s="232">
        <f t="shared" si="136"/>
        <v>2448.5</v>
      </c>
      <c r="AF850" s="232">
        <f t="shared" si="137"/>
        <v>52598.5</v>
      </c>
      <c r="AG850" s="232">
        <f>AF850*FACTS!$T$2</f>
        <v>17357.505000000001</v>
      </c>
      <c r="AH850" s="232">
        <f>Table1[[#This Row],[UNIT (BUILDING) RATE (SEMI FINISHED)]]+4500</f>
        <v>57098.5</v>
      </c>
      <c r="AI850" s="232">
        <f>Table1[[#This Row],[UNIT (BUILDING) RATE (SEMI FINISHED)]]+7500</f>
        <v>60098.5</v>
      </c>
      <c r="AJ850" s="232">
        <f t="shared" si="138"/>
        <v>5680638</v>
      </c>
      <c r="AK850" s="232">
        <f>Table1[[#This Row],[UNIT (BUILDING) RATE (BASIC FINISH)]]*Table1[[#This Row],[Unit Selling Area]]</f>
        <v>6166638</v>
      </c>
      <c r="AL850" s="232">
        <f>Table1[[#This Row],[UNIT (BUILDING) RATE (FULLY FINISH)]]*Table1[[#This Row],[Unit Selling Area]]</f>
        <v>6490638</v>
      </c>
      <c r="AM850" s="232">
        <f t="shared" si="139"/>
        <v>0</v>
      </c>
      <c r="AN850" s="232">
        <f>(AM850+AJ850)*FACTS!$S$2</f>
        <v>482854.23000000004</v>
      </c>
      <c r="AO850" s="101">
        <f>VLOOKUP(S850,FACTS!$A$17:$C$23,3,FALSE)</f>
        <v>1</v>
      </c>
      <c r="AP850" s="232">
        <f>VLOOKUP(AA850,FACTS!$B$2:$J$14,9,FALSE)</f>
        <v>236000</v>
      </c>
      <c r="AQ850" s="232">
        <f>Table1[[#This Row],[PARKING VALUE]]*1</f>
        <v>236000</v>
      </c>
      <c r="AR850" s="232">
        <f t="shared" si="134"/>
        <v>5916638</v>
      </c>
      <c r="AS850" s="440">
        <f>Table1[[#This Row],[TOTAL CARS VALUE]]+Table1[[#This Row],[UNIT (BUILDING) VALUE BASIC FINISHED]]+Table1[[#This Row],[UNIT (GARDEN) VALUE]]</f>
        <v>6402638</v>
      </c>
      <c r="AT850" s="232">
        <f>Table1[[#This Row],[TOTAL CARS VALUE]]+Table1[[#This Row],[UNIT (GARDEN) VALUE]]+Table1[[#This Row],[UNIT (BUILDING) VALUE FULLY FINISHED]]</f>
        <v>6726638</v>
      </c>
      <c r="AU850" s="233">
        <f>VLOOKUP(I850,'C PHASES'!$I$108:$J$110,2,FALSE)</f>
        <v>46569</v>
      </c>
      <c r="AV850" s="233">
        <f>VLOOKUP(AA850,'C PHASES'!$I$113:$J$125,2,FALSE)</f>
        <v>45748</v>
      </c>
    </row>
    <row r="851" spans="1:48" x14ac:dyDescent="0.25">
      <c r="A851" s="235"/>
      <c r="B851" s="227" t="str">
        <f t="shared" si="132"/>
        <v>E</v>
      </c>
      <c r="C851" s="227" t="s">
        <v>76</v>
      </c>
      <c r="D851" s="227" t="s">
        <v>1147</v>
      </c>
      <c r="E851" s="228">
        <v>2</v>
      </c>
      <c r="F851" s="101">
        <v>1</v>
      </c>
      <c r="G851" s="87" t="str">
        <f t="shared" si="140"/>
        <v>E521</v>
      </c>
      <c r="H851" s="87" t="s">
        <v>1294</v>
      </c>
      <c r="I851" s="89" t="str">
        <f>VLOOKUP(C851,'PREMIUM TABLES'!$G$107:$H$149,2,FALSE)</f>
        <v>C3</v>
      </c>
      <c r="J851" s="87">
        <v>131.43</v>
      </c>
      <c r="K851" s="87">
        <v>142.71764950814546</v>
      </c>
      <c r="L851" s="87">
        <v>160</v>
      </c>
      <c r="O851" s="87" t="s">
        <v>180</v>
      </c>
      <c r="P851" s="87" t="s">
        <v>226</v>
      </c>
      <c r="Q851" s="229" t="s">
        <v>198</v>
      </c>
      <c r="R851" s="87" t="str">
        <f>VLOOKUP(E851,'PREMIUM TABLES'!$F$214:$G$219,2,FALSE)</f>
        <v>SECOND</v>
      </c>
      <c r="S851" s="87" t="str" cm="1">
        <f t="array" ref="S851">IF(AND(L851&gt;0,L851&lt;90),"A",IF(AND(L851&gt;90,L851&lt;123),"B",IF(AND(L851&gt;122,L851&lt;159),"C",IF(AND(L851&gt;159,L851&lt;185),"D",IF(AND(L851&gt;185,L851&lt;230),"E",IF(AND(L851&gt;230,L851&lt;350),"F",NONE))))))</f>
        <v>D</v>
      </c>
      <c r="T851" s="230">
        <f>VLOOKUP(O851,'PREMIUM TABLES'!$G$165:$H$172,2,FALSE)</f>
        <v>0.13</v>
      </c>
      <c r="U851" s="230">
        <f>VLOOKUP(P851,'PREMIUM TABLES'!$G$208:$H$209,2,FALSE)</f>
        <v>0.05</v>
      </c>
      <c r="V851" s="230">
        <f>VLOOKUP(Q851,'PREMIUM TABLES'!$G$175:$H$195,2,FALSE)</f>
        <v>0.15</v>
      </c>
      <c r="W851" s="230">
        <f>VLOOKUP(R851,'PREMIUM TABLES'!$G$214:$H$219,2,FALSE)</f>
        <v>0.11</v>
      </c>
      <c r="X851" s="230">
        <f>VLOOKUP(S851,'PREMIUM TABLES'!$F$199:$H$205,3,FALSE)</f>
        <v>2.5000000000000001E-2</v>
      </c>
      <c r="Y851" s="231">
        <f t="shared" si="135"/>
        <v>0.46499999999999997</v>
      </c>
      <c r="Z851" s="231" t="str" cm="1">
        <f t="array" ref="Z851">IF(AND(Y851&gt;0,Y851&lt;0.5),"C",IF(AND(Y851&gt;=0.5,Y851&lt;0.73),"B",IF(AND(Y851&gt;=0.73,Y851&lt;0.98),"A",NONE)))</f>
        <v>C</v>
      </c>
      <c r="AA851" s="231" t="str">
        <f>VLOOKUP(G851,'ALL (R)'!$N$5:$R$862,5,FALSE)</f>
        <v>R 10</v>
      </c>
      <c r="AB851" s="232">
        <f>VLOOKUP(AA851,FACTS!$B$2:$L$14,10,FALSE)</f>
        <v>56100</v>
      </c>
      <c r="AC851" s="232">
        <f>VLOOKUP(AA851,FACTS!$B$2:$L$14,11,FALSE)</f>
        <v>62700</v>
      </c>
      <c r="AD851" s="232">
        <f>VLOOKUP(AA851,FACTS!$B$2:$N$14,13,FALSE)</f>
        <v>6600</v>
      </c>
      <c r="AE851" s="232">
        <f t="shared" si="136"/>
        <v>3069</v>
      </c>
      <c r="AF851" s="232">
        <f t="shared" si="137"/>
        <v>59169</v>
      </c>
      <c r="AG851" s="232">
        <f>AF851*FACTS!$T$2</f>
        <v>19525.77</v>
      </c>
      <c r="AH851" s="232">
        <f>Table1[[#This Row],[UNIT (BUILDING) RATE (SEMI FINISHED)]]+4500</f>
        <v>63669</v>
      </c>
      <c r="AI851" s="232">
        <f>Table1[[#This Row],[UNIT (BUILDING) RATE (SEMI FINISHED)]]+7500</f>
        <v>66669</v>
      </c>
      <c r="AJ851" s="232">
        <f t="shared" si="138"/>
        <v>9467040</v>
      </c>
      <c r="AK851" s="232">
        <f>Table1[[#This Row],[UNIT (BUILDING) RATE (BASIC FINISH)]]*Table1[[#This Row],[Unit Selling Area]]</f>
        <v>10187040</v>
      </c>
      <c r="AL851" s="232">
        <f>Table1[[#This Row],[UNIT (BUILDING) RATE (FULLY FINISH)]]*Table1[[#This Row],[Unit Selling Area]]</f>
        <v>10667040</v>
      </c>
      <c r="AM851" s="232">
        <f t="shared" si="139"/>
        <v>0</v>
      </c>
      <c r="AN851" s="232">
        <f>(AM851+AJ851)*FACTS!$S$2</f>
        <v>804698.4</v>
      </c>
      <c r="AO851" s="101">
        <f>VLOOKUP(S851,FACTS!$A$17:$C$23,3,FALSE)</f>
        <v>2</v>
      </c>
      <c r="AP851" s="232">
        <f>VLOOKUP(AA851,FACTS!$B$2:$J$14,9,FALSE)</f>
        <v>264000</v>
      </c>
      <c r="AQ851" s="232">
        <f>Table1[[#This Row],[PARKING VALUE]]*1</f>
        <v>264000</v>
      </c>
      <c r="AR851" s="232">
        <f t="shared" si="134"/>
        <v>9731040</v>
      </c>
      <c r="AS851" s="440">
        <f>Table1[[#This Row],[TOTAL CARS VALUE]]+Table1[[#This Row],[UNIT (BUILDING) VALUE BASIC FINISHED]]+Table1[[#This Row],[UNIT (GARDEN) VALUE]]</f>
        <v>10451040</v>
      </c>
      <c r="AT851" s="232">
        <f>Table1[[#This Row],[TOTAL CARS VALUE]]+Table1[[#This Row],[UNIT (GARDEN) VALUE]]+Table1[[#This Row],[UNIT (BUILDING) VALUE FULLY FINISHED]]</f>
        <v>10931040</v>
      </c>
      <c r="AU851" s="233">
        <f>VLOOKUP(I851,'C PHASES'!$I$108:$J$110,2,FALSE)</f>
        <v>46569</v>
      </c>
      <c r="AV851" s="233">
        <f>VLOOKUP(AA851,'C PHASES'!$I$113:$J$125,2,FALSE)</f>
        <v>46023</v>
      </c>
    </row>
    <row r="852" spans="1:48" x14ac:dyDescent="0.25">
      <c r="A852" s="235"/>
      <c r="B852" s="227" t="str">
        <f t="shared" si="132"/>
        <v>E</v>
      </c>
      <c r="C852" s="227" t="s">
        <v>76</v>
      </c>
      <c r="D852" s="227" t="s">
        <v>1147</v>
      </c>
      <c r="E852" s="228">
        <v>2</v>
      </c>
      <c r="F852" s="101">
        <v>2</v>
      </c>
      <c r="G852" s="87" t="str">
        <f t="shared" si="140"/>
        <v>E522</v>
      </c>
      <c r="H852" s="87" t="s">
        <v>1294</v>
      </c>
      <c r="I852" s="89" t="str">
        <f>VLOOKUP(C852,'PREMIUM TABLES'!$G$107:$H$149,2,FALSE)</f>
        <v>C3</v>
      </c>
      <c r="J852" s="87">
        <v>131.44</v>
      </c>
      <c r="K852" s="87">
        <v>142.72850834170768</v>
      </c>
      <c r="L852" s="87">
        <v>160</v>
      </c>
      <c r="O852" s="87" t="s">
        <v>187</v>
      </c>
      <c r="P852" s="87" t="s">
        <v>226</v>
      </c>
      <c r="Q852" s="229" t="s">
        <v>212</v>
      </c>
      <c r="R852" s="87" t="str">
        <f>VLOOKUP(E852,'PREMIUM TABLES'!$F$214:$G$219,2,FALSE)</f>
        <v>SECOND</v>
      </c>
      <c r="S852" s="87" t="str" cm="1">
        <f t="array" ref="S852">IF(AND(L852&gt;0,L852&lt;90),"A",IF(AND(L852&gt;90,L852&lt;123),"B",IF(AND(L852&gt;122,L852&lt;159),"C",IF(AND(L852&gt;159,L852&lt;185),"D",IF(AND(L852&gt;185,L852&lt;230),"E",IF(AND(L852&gt;230,L852&lt;350),"F",NONE))))))</f>
        <v>D</v>
      </c>
      <c r="T852" s="230">
        <f>VLOOKUP(O852,'PREMIUM TABLES'!$G$165:$H$172,2,FALSE)</f>
        <v>0.08</v>
      </c>
      <c r="U852" s="230">
        <f>VLOOKUP(P852,'PREMIUM TABLES'!$G$208:$H$209,2,FALSE)</f>
        <v>0.05</v>
      </c>
      <c r="V852" s="230">
        <f>VLOOKUP(Q852,'PREMIUM TABLES'!$G$175:$H$195,2,FALSE)</f>
        <v>0.43</v>
      </c>
      <c r="W852" s="230">
        <f>VLOOKUP(R852,'PREMIUM TABLES'!$G$214:$H$219,2,FALSE)</f>
        <v>0.11</v>
      </c>
      <c r="X852" s="230">
        <f>VLOOKUP(S852,'PREMIUM TABLES'!$F$199:$H$205,3,FALSE)</f>
        <v>2.5000000000000001E-2</v>
      </c>
      <c r="Y852" s="231">
        <f t="shared" si="135"/>
        <v>0.69500000000000006</v>
      </c>
      <c r="Z852" s="231" t="str" cm="1">
        <f t="array" ref="Z852">IF(AND(Y852&gt;0,Y852&lt;0.5),"C",IF(AND(Y852&gt;=0.5,Y852&lt;0.73),"B",IF(AND(Y852&gt;=0.73,Y852&lt;0.98),"A",NONE)))</f>
        <v>B</v>
      </c>
      <c r="AA852" s="231" t="str">
        <f>VLOOKUP(G852,'ALL (R)'!$N$5:$R$862,5,FALSE)</f>
        <v>R 8</v>
      </c>
      <c r="AB852" s="232">
        <f>VLOOKUP(AA852,FACTS!$B$2:$L$14,10,FALSE)</f>
        <v>51850</v>
      </c>
      <c r="AC852" s="232">
        <f>VLOOKUP(AA852,FACTS!$B$2:$L$14,11,FALSE)</f>
        <v>57950</v>
      </c>
      <c r="AD852" s="232">
        <f>VLOOKUP(AA852,FACTS!$B$2:$N$14,13,FALSE)</f>
        <v>6100</v>
      </c>
      <c r="AE852" s="232">
        <f t="shared" si="136"/>
        <v>4239.5</v>
      </c>
      <c r="AF852" s="232">
        <f t="shared" si="137"/>
        <v>56089.5</v>
      </c>
      <c r="AG852" s="232">
        <f>AF852*FACTS!$T$2</f>
        <v>18509.535</v>
      </c>
      <c r="AH852" s="232">
        <f>Table1[[#This Row],[UNIT (BUILDING) RATE (SEMI FINISHED)]]+4500</f>
        <v>60589.5</v>
      </c>
      <c r="AI852" s="232">
        <f>Table1[[#This Row],[UNIT (BUILDING) RATE (SEMI FINISHED)]]+7500</f>
        <v>63589.5</v>
      </c>
      <c r="AJ852" s="232">
        <f t="shared" si="138"/>
        <v>8974320</v>
      </c>
      <c r="AK852" s="232">
        <f>Table1[[#This Row],[UNIT (BUILDING) RATE (BASIC FINISH)]]*Table1[[#This Row],[Unit Selling Area]]</f>
        <v>9694320</v>
      </c>
      <c r="AL852" s="232">
        <f>Table1[[#This Row],[UNIT (BUILDING) RATE (FULLY FINISH)]]*Table1[[#This Row],[Unit Selling Area]]</f>
        <v>10174320</v>
      </c>
      <c r="AM852" s="232">
        <f t="shared" si="139"/>
        <v>0</v>
      </c>
      <c r="AN852" s="232">
        <f>(AM852+AJ852)*FACTS!$S$2</f>
        <v>762817.20000000007</v>
      </c>
      <c r="AO852" s="101">
        <f>VLOOKUP(S852,FACTS!$A$17:$C$23,3,FALSE)</f>
        <v>2</v>
      </c>
      <c r="AP852" s="232">
        <f>VLOOKUP(AA852,FACTS!$B$2:$J$14,9,FALSE)</f>
        <v>244000</v>
      </c>
      <c r="AQ852" s="232">
        <f>Table1[[#This Row],[PARKING VALUE]]*1</f>
        <v>244000</v>
      </c>
      <c r="AR852" s="232">
        <f t="shared" si="134"/>
        <v>9218320</v>
      </c>
      <c r="AS852" s="440">
        <f>Table1[[#This Row],[TOTAL CARS VALUE]]+Table1[[#This Row],[UNIT (BUILDING) VALUE BASIC FINISHED]]+Table1[[#This Row],[UNIT (GARDEN) VALUE]]</f>
        <v>9938320</v>
      </c>
      <c r="AT852" s="232">
        <f>Table1[[#This Row],[TOTAL CARS VALUE]]+Table1[[#This Row],[UNIT (GARDEN) VALUE]]+Table1[[#This Row],[UNIT (BUILDING) VALUE FULLY FINISHED]]</f>
        <v>10418320</v>
      </c>
      <c r="AU852" s="233">
        <f>VLOOKUP(I852,'C PHASES'!$I$108:$J$110,2,FALSE)</f>
        <v>46569</v>
      </c>
      <c r="AV852" s="233">
        <f>VLOOKUP(AA852,'C PHASES'!$I$113:$J$125,2,FALSE)</f>
        <v>45839</v>
      </c>
    </row>
    <row r="853" spans="1:48" x14ac:dyDescent="0.25">
      <c r="A853" s="235"/>
      <c r="B853" s="227" t="str">
        <f t="shared" si="132"/>
        <v>E</v>
      </c>
      <c r="C853" s="227" t="s">
        <v>76</v>
      </c>
      <c r="D853" s="227" t="s">
        <v>1147</v>
      </c>
      <c r="E853" s="228">
        <v>2</v>
      </c>
      <c r="F853" s="101">
        <v>3</v>
      </c>
      <c r="G853" s="87" t="str">
        <f t="shared" si="140"/>
        <v>E523</v>
      </c>
      <c r="H853" s="87" t="s">
        <v>1294</v>
      </c>
      <c r="I853" s="89" t="str">
        <f>VLOOKUP(C853,'PREMIUM TABLES'!$G$107:$H$149,2,FALSE)</f>
        <v>C3</v>
      </c>
      <c r="J853" s="87">
        <v>126.95</v>
      </c>
      <c r="K853" s="87">
        <v>137.85289207227473</v>
      </c>
      <c r="L853" s="87">
        <v>155</v>
      </c>
      <c r="O853" s="87" t="s">
        <v>187</v>
      </c>
      <c r="P853" s="87" t="s">
        <v>190</v>
      </c>
      <c r="Q853" s="229" t="s">
        <v>212</v>
      </c>
      <c r="R853" s="87" t="str">
        <f>VLOOKUP(E853,'PREMIUM TABLES'!$F$214:$G$219,2,FALSE)</f>
        <v>SECOND</v>
      </c>
      <c r="S853" s="87" t="str" cm="1">
        <f t="array" ref="S853">IF(AND(L853&gt;0,L853&lt;90),"A",IF(AND(L853&gt;90,L853&lt;123),"B",IF(AND(L853&gt;122,L853&lt;159),"C",IF(AND(L853&gt;159,L853&lt;185),"D",IF(AND(L853&gt;185,L853&lt;230),"E",IF(AND(L853&gt;230,L853&lt;350),"F",NONE))))))</f>
        <v>C</v>
      </c>
      <c r="T853" s="230">
        <f>VLOOKUP(O853,'PREMIUM TABLES'!$G$165:$H$172,2,FALSE)</f>
        <v>0.08</v>
      </c>
      <c r="U853" s="230">
        <f>VLOOKUP(P853,'PREMIUM TABLES'!$G$208:$H$209,2,FALSE)</f>
        <v>2.5000000000000001E-2</v>
      </c>
      <c r="V853" s="230">
        <f>VLOOKUP(Q853,'PREMIUM TABLES'!$G$175:$H$195,2,FALSE)</f>
        <v>0.43</v>
      </c>
      <c r="W853" s="230">
        <f>VLOOKUP(R853,'PREMIUM TABLES'!$G$214:$H$219,2,FALSE)</f>
        <v>0.11</v>
      </c>
      <c r="X853" s="230">
        <f>VLOOKUP(S853,'PREMIUM TABLES'!$F$199:$H$205,3,FALSE)</f>
        <v>3.5000000000000003E-2</v>
      </c>
      <c r="Y853" s="231">
        <f t="shared" si="135"/>
        <v>0.68</v>
      </c>
      <c r="Z853" s="231" t="str" cm="1">
        <f t="array" ref="Z853">IF(AND(Y853&gt;0,Y853&lt;0.5),"C",IF(AND(Y853&gt;=0.5,Y853&lt;0.73),"B",IF(AND(Y853&gt;=0.73,Y853&lt;0.98),"A",NONE)))</f>
        <v>B</v>
      </c>
      <c r="AA853" s="231" t="str">
        <f>VLOOKUP(G853,'ALL (R)'!$N$5:$R$862,5,FALSE)</f>
        <v>R 7</v>
      </c>
      <c r="AB853" s="232">
        <f>VLOOKUP(AA853,FACTS!$B$2:$L$14,10,FALSE)</f>
        <v>50150</v>
      </c>
      <c r="AC853" s="232">
        <f>VLOOKUP(AA853,FACTS!$B$2:$L$14,11,FALSE)</f>
        <v>56050</v>
      </c>
      <c r="AD853" s="232">
        <f>VLOOKUP(AA853,FACTS!$B$2:$N$14,13,FALSE)</f>
        <v>5900</v>
      </c>
      <c r="AE853" s="232">
        <f t="shared" si="136"/>
        <v>4012.0000000000005</v>
      </c>
      <c r="AF853" s="232">
        <f t="shared" si="137"/>
        <v>54162</v>
      </c>
      <c r="AG853" s="232">
        <f>AF853*FACTS!$T$2</f>
        <v>17873.46</v>
      </c>
      <c r="AH853" s="232">
        <f>Table1[[#This Row],[UNIT (BUILDING) RATE (SEMI FINISHED)]]+4500</f>
        <v>58662</v>
      </c>
      <c r="AI853" s="232">
        <f>Table1[[#This Row],[UNIT (BUILDING) RATE (SEMI FINISHED)]]+7500</f>
        <v>61662</v>
      </c>
      <c r="AJ853" s="232">
        <f t="shared" si="138"/>
        <v>8395110</v>
      </c>
      <c r="AK853" s="232">
        <f>Table1[[#This Row],[UNIT (BUILDING) RATE (BASIC FINISH)]]*Table1[[#This Row],[Unit Selling Area]]</f>
        <v>9092610</v>
      </c>
      <c r="AL853" s="232">
        <f>Table1[[#This Row],[UNIT (BUILDING) RATE (FULLY FINISH)]]*Table1[[#This Row],[Unit Selling Area]]</f>
        <v>9557610</v>
      </c>
      <c r="AM853" s="232">
        <f t="shared" si="139"/>
        <v>0</v>
      </c>
      <c r="AN853" s="232">
        <f>(AM853+AJ853)*FACTS!$S$2</f>
        <v>713584.35000000009</v>
      </c>
      <c r="AO853" s="101">
        <f>VLOOKUP(S853,FACTS!$A$17:$C$23,3,FALSE)</f>
        <v>2</v>
      </c>
      <c r="AP853" s="232">
        <f>VLOOKUP(AA853,FACTS!$B$2:$J$14,9,FALSE)</f>
        <v>236000</v>
      </c>
      <c r="AQ853" s="232">
        <f>Table1[[#This Row],[PARKING VALUE]]*1</f>
        <v>236000</v>
      </c>
      <c r="AR853" s="232">
        <f t="shared" si="134"/>
        <v>8631110</v>
      </c>
      <c r="AS853" s="440">
        <f>Table1[[#This Row],[TOTAL CARS VALUE]]+Table1[[#This Row],[UNIT (BUILDING) VALUE BASIC FINISHED]]+Table1[[#This Row],[UNIT (GARDEN) VALUE]]</f>
        <v>9328610</v>
      </c>
      <c r="AT853" s="232">
        <f>Table1[[#This Row],[TOTAL CARS VALUE]]+Table1[[#This Row],[UNIT (GARDEN) VALUE]]+Table1[[#This Row],[UNIT (BUILDING) VALUE FULLY FINISHED]]</f>
        <v>9793610</v>
      </c>
      <c r="AU853" s="233">
        <f>VLOOKUP(I853,'C PHASES'!$I$108:$J$110,2,FALSE)</f>
        <v>46569</v>
      </c>
      <c r="AV853" s="233">
        <f>VLOOKUP(AA853,'C PHASES'!$I$113:$J$125,2,FALSE)</f>
        <v>45748</v>
      </c>
    </row>
    <row r="854" spans="1:48" x14ac:dyDescent="0.25">
      <c r="A854" s="235"/>
      <c r="B854" s="227" t="str">
        <f t="shared" si="132"/>
        <v>E</v>
      </c>
      <c r="C854" s="227" t="s">
        <v>76</v>
      </c>
      <c r="D854" s="227" t="s">
        <v>1147</v>
      </c>
      <c r="E854" s="228">
        <v>2</v>
      </c>
      <c r="F854" s="101">
        <v>4</v>
      </c>
      <c r="G854" s="87" t="str">
        <f t="shared" si="140"/>
        <v>E524</v>
      </c>
      <c r="H854" s="87" t="s">
        <v>1294</v>
      </c>
      <c r="I854" s="89" t="str">
        <f>VLOOKUP(C854,'PREMIUM TABLES'!$G$107:$H$149,2,FALSE)</f>
        <v>C3</v>
      </c>
      <c r="J854" s="87">
        <v>127.15</v>
      </c>
      <c r="K854" s="87">
        <v>138.07006874351896</v>
      </c>
      <c r="L854" s="87">
        <v>155</v>
      </c>
      <c r="O854" s="87" t="s">
        <v>180</v>
      </c>
      <c r="P854" s="87" t="s">
        <v>190</v>
      </c>
      <c r="Q854" s="229" t="s">
        <v>198</v>
      </c>
      <c r="R854" s="87" t="str">
        <f>VLOOKUP(E854,'PREMIUM TABLES'!$F$214:$G$219,2,FALSE)</f>
        <v>SECOND</v>
      </c>
      <c r="S854" s="87" t="str" cm="1">
        <f t="array" ref="S854">IF(AND(L854&gt;0,L854&lt;90),"A",IF(AND(L854&gt;90,L854&lt;123),"B",IF(AND(L854&gt;122,L854&lt;159),"C",IF(AND(L854&gt;159,L854&lt;185),"D",IF(AND(L854&gt;185,L854&lt;230),"E",IF(AND(L854&gt;230,L854&lt;350),"F",NONE))))))</f>
        <v>C</v>
      </c>
      <c r="T854" s="230">
        <f>VLOOKUP(O854,'PREMIUM TABLES'!$G$165:$H$172,2,FALSE)</f>
        <v>0.13</v>
      </c>
      <c r="U854" s="230">
        <f>VLOOKUP(P854,'PREMIUM TABLES'!$G$208:$H$209,2,FALSE)</f>
        <v>2.5000000000000001E-2</v>
      </c>
      <c r="V854" s="230">
        <f>VLOOKUP(Q854,'PREMIUM TABLES'!$G$175:$H$195,2,FALSE)</f>
        <v>0.15</v>
      </c>
      <c r="W854" s="230">
        <f>VLOOKUP(R854,'PREMIUM TABLES'!$G$214:$H$219,2,FALSE)</f>
        <v>0.11</v>
      </c>
      <c r="X854" s="230">
        <f>VLOOKUP(S854,'PREMIUM TABLES'!$F$199:$H$205,3,FALSE)</f>
        <v>3.5000000000000003E-2</v>
      </c>
      <c r="Y854" s="231">
        <f t="shared" si="135"/>
        <v>0.44999999999999996</v>
      </c>
      <c r="Z854" s="231" t="str" cm="1">
        <f t="array" ref="Z854">IF(AND(Y854&gt;0,Y854&lt;0.5),"C",IF(AND(Y854&gt;=0.5,Y854&lt;0.73),"B",IF(AND(Y854&gt;=0.73,Y854&lt;0.98),"A",NONE)))</f>
        <v>C</v>
      </c>
      <c r="AA854" s="231" t="str">
        <f>VLOOKUP(G854,'ALL (R)'!$N$5:$R$862,5,FALSE)</f>
        <v>R 9</v>
      </c>
      <c r="AB854" s="232">
        <f>VLOOKUP(AA854,FACTS!$B$2:$L$14,10,FALSE)</f>
        <v>53550</v>
      </c>
      <c r="AC854" s="232">
        <f>VLOOKUP(AA854,FACTS!$B$2:$L$14,11,FALSE)</f>
        <v>59850</v>
      </c>
      <c r="AD854" s="232">
        <f>VLOOKUP(AA854,FACTS!$B$2:$N$14,13,FALSE)</f>
        <v>6300</v>
      </c>
      <c r="AE854" s="232">
        <f t="shared" si="136"/>
        <v>2834.9999999999995</v>
      </c>
      <c r="AF854" s="232">
        <f t="shared" si="137"/>
        <v>56385</v>
      </c>
      <c r="AG854" s="232">
        <f>AF854*FACTS!$T$2</f>
        <v>18607.05</v>
      </c>
      <c r="AH854" s="232">
        <f>Table1[[#This Row],[UNIT (BUILDING) RATE (SEMI FINISHED)]]+4500</f>
        <v>60885</v>
      </c>
      <c r="AI854" s="232">
        <f>Table1[[#This Row],[UNIT (BUILDING) RATE (SEMI FINISHED)]]+7500</f>
        <v>63885</v>
      </c>
      <c r="AJ854" s="232">
        <f t="shared" si="138"/>
        <v>8739675</v>
      </c>
      <c r="AK854" s="232">
        <f>Table1[[#This Row],[UNIT (BUILDING) RATE (BASIC FINISH)]]*Table1[[#This Row],[Unit Selling Area]]</f>
        <v>9437175</v>
      </c>
      <c r="AL854" s="232">
        <f>Table1[[#This Row],[UNIT (BUILDING) RATE (FULLY FINISH)]]*Table1[[#This Row],[Unit Selling Area]]</f>
        <v>9902175</v>
      </c>
      <c r="AM854" s="232">
        <f t="shared" si="139"/>
        <v>0</v>
      </c>
      <c r="AN854" s="232">
        <f>(AM854+AJ854)*FACTS!$S$2</f>
        <v>742872.375</v>
      </c>
      <c r="AO854" s="101">
        <f>VLOOKUP(S854,FACTS!$A$17:$C$23,3,FALSE)</f>
        <v>2</v>
      </c>
      <c r="AP854" s="232">
        <f>VLOOKUP(AA854,FACTS!$B$2:$J$14,9,FALSE)</f>
        <v>252000</v>
      </c>
      <c r="AQ854" s="232">
        <f>Table1[[#This Row],[PARKING VALUE]]*1</f>
        <v>252000</v>
      </c>
      <c r="AR854" s="232">
        <f t="shared" si="134"/>
        <v>8991675</v>
      </c>
      <c r="AS854" s="440">
        <f>Table1[[#This Row],[TOTAL CARS VALUE]]+Table1[[#This Row],[UNIT (BUILDING) VALUE BASIC FINISHED]]+Table1[[#This Row],[UNIT (GARDEN) VALUE]]</f>
        <v>9689175</v>
      </c>
      <c r="AT854" s="232">
        <f>Table1[[#This Row],[TOTAL CARS VALUE]]+Table1[[#This Row],[UNIT (GARDEN) VALUE]]+Table1[[#This Row],[UNIT (BUILDING) VALUE FULLY FINISHED]]</f>
        <v>10154175</v>
      </c>
      <c r="AU854" s="233">
        <f>VLOOKUP(I854,'C PHASES'!$I$108:$J$110,2,FALSE)</f>
        <v>46569</v>
      </c>
      <c r="AV854" s="233">
        <f>VLOOKUP(AA854,'C PHASES'!$I$113:$J$125,2,FALSE)</f>
        <v>45931</v>
      </c>
    </row>
    <row r="855" spans="1:48" x14ac:dyDescent="0.25">
      <c r="A855" s="235"/>
      <c r="B855" s="227" t="str">
        <f t="shared" si="132"/>
        <v>E</v>
      </c>
      <c r="C855" s="227" t="s">
        <v>76</v>
      </c>
      <c r="D855" s="227" t="s">
        <v>1147</v>
      </c>
      <c r="E855" s="228">
        <v>3</v>
      </c>
      <c r="F855" s="101">
        <v>1</v>
      </c>
      <c r="G855" s="87" t="str">
        <f t="shared" si="140"/>
        <v>E531</v>
      </c>
      <c r="H855" s="87" t="s">
        <v>1294</v>
      </c>
      <c r="I855" s="89" t="str">
        <f>VLOOKUP(C855,'PREMIUM TABLES'!$G$107:$H$149,2,FALSE)</f>
        <v>C3</v>
      </c>
      <c r="J855" s="87">
        <v>131.88</v>
      </c>
      <c r="K855" s="87">
        <v>143.20629701844499</v>
      </c>
      <c r="L855" s="87">
        <v>161</v>
      </c>
      <c r="O855" s="87" t="s">
        <v>180</v>
      </c>
      <c r="P855" s="87" t="s">
        <v>226</v>
      </c>
      <c r="Q855" s="229" t="s">
        <v>198</v>
      </c>
      <c r="R855" s="87" t="str">
        <f>VLOOKUP(E855,'PREMIUM TABLES'!$F$214:$G$219,2,FALSE)</f>
        <v>THIRD</v>
      </c>
      <c r="S855" s="87" t="str" cm="1">
        <f t="array" ref="S855">IF(AND(L855&gt;0,L855&lt;90),"A",IF(AND(L855&gt;90,L855&lt;123),"B",IF(AND(L855&gt;122,L855&lt;159),"C",IF(AND(L855&gt;159,L855&lt;185),"D",IF(AND(L855&gt;185,L855&lt;230),"E",IF(AND(L855&gt;230,L855&lt;350),"F",NONE))))))</f>
        <v>D</v>
      </c>
      <c r="T855" s="230">
        <f>VLOOKUP(O855,'PREMIUM TABLES'!$G$165:$H$172,2,FALSE)</f>
        <v>0.13</v>
      </c>
      <c r="U855" s="230">
        <f>VLOOKUP(P855,'PREMIUM TABLES'!$G$208:$H$209,2,FALSE)</f>
        <v>0.05</v>
      </c>
      <c r="V855" s="230">
        <f>VLOOKUP(Q855,'PREMIUM TABLES'!$G$175:$H$195,2,FALSE)</f>
        <v>0.15</v>
      </c>
      <c r="W855" s="230">
        <f>VLOOKUP(R855,'PREMIUM TABLES'!$G$214:$H$219,2,FALSE)</f>
        <v>0.15</v>
      </c>
      <c r="X855" s="230">
        <f>VLOOKUP(S855,'PREMIUM TABLES'!$F$199:$H$205,3,FALSE)</f>
        <v>2.5000000000000001E-2</v>
      </c>
      <c r="Y855" s="231">
        <f t="shared" si="135"/>
        <v>0.505</v>
      </c>
      <c r="Z855" s="231" t="str" cm="1">
        <f t="array" ref="Z855">IF(AND(Y855&gt;0,Y855&lt;0.5),"C",IF(AND(Y855&gt;=0.5,Y855&lt;0.73),"B",IF(AND(Y855&gt;=0.73,Y855&lt;0.98),"A",NONE)))</f>
        <v>B</v>
      </c>
      <c r="AA855" s="231" t="str">
        <f>VLOOKUP(G855,'ALL (R)'!$N$5:$R$862,5,FALSE)</f>
        <v>R 1</v>
      </c>
      <c r="AB855" s="232">
        <f>VLOOKUP(AA855,FACTS!$B$2:$L$14,10,FALSE)</f>
        <v>42500</v>
      </c>
      <c r="AC855" s="232">
        <f>VLOOKUP(AA855,FACTS!$B$2:$L$14,11,FALSE)</f>
        <v>47500</v>
      </c>
      <c r="AD855" s="232">
        <f>VLOOKUP(AA855,FACTS!$B$2:$N$14,13,FALSE)</f>
        <v>5000</v>
      </c>
      <c r="AE855" s="232">
        <f t="shared" si="136"/>
        <v>2525</v>
      </c>
      <c r="AF855" s="232">
        <f t="shared" si="137"/>
        <v>45025</v>
      </c>
      <c r="AG855" s="232">
        <f>AF855*FACTS!$T$2</f>
        <v>14858.25</v>
      </c>
      <c r="AH855" s="232">
        <f>Table1[[#This Row],[UNIT (BUILDING) RATE (SEMI FINISHED)]]+4500</f>
        <v>49525</v>
      </c>
      <c r="AI855" s="232">
        <f>Table1[[#This Row],[UNIT (BUILDING) RATE (SEMI FINISHED)]]+7500</f>
        <v>52525</v>
      </c>
      <c r="AJ855" s="232">
        <f t="shared" si="138"/>
        <v>7249025</v>
      </c>
      <c r="AK855" s="232">
        <f>Table1[[#This Row],[UNIT (BUILDING) RATE (BASIC FINISH)]]*Table1[[#This Row],[Unit Selling Area]]</f>
        <v>7973525</v>
      </c>
      <c r="AL855" s="232">
        <f>Table1[[#This Row],[UNIT (BUILDING) RATE (FULLY FINISH)]]*Table1[[#This Row],[Unit Selling Area]]</f>
        <v>8456525</v>
      </c>
      <c r="AM855" s="232">
        <f t="shared" si="139"/>
        <v>0</v>
      </c>
      <c r="AN855" s="232">
        <f>(AM855+AJ855)*FACTS!$S$2</f>
        <v>616167.125</v>
      </c>
      <c r="AO855" s="101">
        <f>VLOOKUP(S855,FACTS!$A$17:$C$23,3,FALSE)</f>
        <v>2</v>
      </c>
      <c r="AP855" s="232">
        <f>VLOOKUP(AA855,FACTS!$B$2:$J$14,9,FALSE)</f>
        <v>200000</v>
      </c>
      <c r="AQ855" s="232">
        <f>Table1[[#This Row],[PARKING VALUE]]*1</f>
        <v>200000</v>
      </c>
      <c r="AR855" s="232">
        <f t="shared" si="134"/>
        <v>7449025</v>
      </c>
      <c r="AS855" s="440">
        <f>Table1[[#This Row],[TOTAL CARS VALUE]]+Table1[[#This Row],[UNIT (BUILDING) VALUE BASIC FINISHED]]+Table1[[#This Row],[UNIT (GARDEN) VALUE]]</f>
        <v>8173525</v>
      </c>
      <c r="AT855" s="232">
        <f>Table1[[#This Row],[TOTAL CARS VALUE]]+Table1[[#This Row],[UNIT (GARDEN) VALUE]]+Table1[[#This Row],[UNIT (BUILDING) VALUE FULLY FINISHED]]</f>
        <v>8656525</v>
      </c>
      <c r="AU855" s="233">
        <f>VLOOKUP(I855,'C PHASES'!$I$108:$J$110,2,FALSE)</f>
        <v>46569</v>
      </c>
      <c r="AV855" s="233">
        <f>VLOOKUP(AA855,'C PHASES'!$I$113:$J$125,2,FALSE)</f>
        <v>45170</v>
      </c>
    </row>
    <row r="856" spans="1:48" x14ac:dyDescent="0.25">
      <c r="A856" s="235"/>
      <c r="B856" s="227" t="str">
        <f t="shared" si="132"/>
        <v>E</v>
      </c>
      <c r="C856" s="227" t="s">
        <v>76</v>
      </c>
      <c r="D856" s="227" t="s">
        <v>1147</v>
      </c>
      <c r="E856" s="228">
        <v>3</v>
      </c>
      <c r="F856" s="101">
        <v>2</v>
      </c>
      <c r="G856" s="87" t="str">
        <f t="shared" si="140"/>
        <v>E532</v>
      </c>
      <c r="H856" s="87" t="s">
        <v>1294</v>
      </c>
      <c r="I856" s="89" t="str">
        <f>VLOOKUP(C856,'PREMIUM TABLES'!$G$107:$H$149,2,FALSE)</f>
        <v>C3</v>
      </c>
      <c r="J856" s="87">
        <v>131.43</v>
      </c>
      <c r="K856" s="87">
        <v>142.71764950814546</v>
      </c>
      <c r="L856" s="87">
        <v>160</v>
      </c>
      <c r="O856" s="87" t="s">
        <v>187</v>
      </c>
      <c r="P856" s="87" t="s">
        <v>226</v>
      </c>
      <c r="Q856" s="229" t="s">
        <v>212</v>
      </c>
      <c r="R856" s="87" t="str">
        <f>VLOOKUP(E856,'PREMIUM TABLES'!$F$214:$G$219,2,FALSE)</f>
        <v>THIRD</v>
      </c>
      <c r="S856" s="87" t="str" cm="1">
        <f t="array" ref="S856">IF(AND(L856&gt;0,L856&lt;90),"A",IF(AND(L856&gt;90,L856&lt;123),"B",IF(AND(L856&gt;122,L856&lt;159),"C",IF(AND(L856&gt;159,L856&lt;185),"D",IF(AND(L856&gt;185,L856&lt;230),"E",IF(AND(L856&gt;230,L856&lt;350),"F",NONE))))))</f>
        <v>D</v>
      </c>
      <c r="T856" s="230">
        <f>VLOOKUP(O856,'PREMIUM TABLES'!$G$165:$H$172,2,FALSE)</f>
        <v>0.08</v>
      </c>
      <c r="U856" s="230">
        <f>VLOOKUP(P856,'PREMIUM TABLES'!$G$208:$H$209,2,FALSE)</f>
        <v>0.05</v>
      </c>
      <c r="V856" s="230">
        <f>VLOOKUP(Q856,'PREMIUM TABLES'!$G$175:$H$195,2,FALSE)</f>
        <v>0.43</v>
      </c>
      <c r="W856" s="230">
        <f>VLOOKUP(R856,'PREMIUM TABLES'!$G$214:$H$219,2,FALSE)</f>
        <v>0.15</v>
      </c>
      <c r="X856" s="230">
        <f>VLOOKUP(S856,'PREMIUM TABLES'!$F$199:$H$205,3,FALSE)</f>
        <v>2.5000000000000001E-2</v>
      </c>
      <c r="Y856" s="231">
        <f t="shared" si="135"/>
        <v>0.7350000000000001</v>
      </c>
      <c r="Z856" s="231" t="str" cm="1">
        <f t="array" ref="Z856">IF(AND(Y856&gt;0,Y856&lt;0.5),"C",IF(AND(Y856&gt;=0.5,Y856&lt;0.73),"B",IF(AND(Y856&gt;=0.73,Y856&lt;0.98),"A",NONE)))</f>
        <v>A</v>
      </c>
      <c r="AA856" s="231" t="str">
        <f>VLOOKUP(G856,'ALL (R)'!$N$5:$R$862,5,FALSE)</f>
        <v>R 1</v>
      </c>
      <c r="AB856" s="232">
        <f>VLOOKUP(AA856,FACTS!$B$2:$L$14,10,FALSE)</f>
        <v>42500</v>
      </c>
      <c r="AC856" s="232">
        <f>VLOOKUP(AA856,FACTS!$B$2:$L$14,11,FALSE)</f>
        <v>47500</v>
      </c>
      <c r="AD856" s="232">
        <f>VLOOKUP(AA856,FACTS!$B$2:$N$14,13,FALSE)</f>
        <v>5000</v>
      </c>
      <c r="AE856" s="232">
        <f t="shared" si="136"/>
        <v>3675.0000000000005</v>
      </c>
      <c r="AF856" s="232">
        <f t="shared" si="137"/>
        <v>46175</v>
      </c>
      <c r="AG856" s="232">
        <f>AF856*FACTS!$T$2</f>
        <v>15237.75</v>
      </c>
      <c r="AH856" s="232">
        <f>Table1[[#This Row],[UNIT (BUILDING) RATE (SEMI FINISHED)]]+4500</f>
        <v>50675</v>
      </c>
      <c r="AI856" s="232">
        <f>Table1[[#This Row],[UNIT (BUILDING) RATE (SEMI FINISHED)]]+7500</f>
        <v>53675</v>
      </c>
      <c r="AJ856" s="232">
        <f t="shared" si="138"/>
        <v>7388000</v>
      </c>
      <c r="AK856" s="232">
        <f>Table1[[#This Row],[UNIT (BUILDING) RATE (BASIC FINISH)]]*Table1[[#This Row],[Unit Selling Area]]</f>
        <v>8108000</v>
      </c>
      <c r="AL856" s="232">
        <f>Table1[[#This Row],[UNIT (BUILDING) RATE (FULLY FINISH)]]*Table1[[#This Row],[Unit Selling Area]]</f>
        <v>8588000</v>
      </c>
      <c r="AM856" s="232">
        <f t="shared" si="139"/>
        <v>0</v>
      </c>
      <c r="AN856" s="232">
        <f>(AM856+AJ856)*FACTS!$S$2</f>
        <v>627980</v>
      </c>
      <c r="AO856" s="101">
        <f>VLOOKUP(S856,FACTS!$A$17:$C$23,3,FALSE)</f>
        <v>2</v>
      </c>
      <c r="AP856" s="232">
        <f>VLOOKUP(AA856,FACTS!$B$2:$J$14,9,FALSE)</f>
        <v>200000</v>
      </c>
      <c r="AQ856" s="232">
        <f>Table1[[#This Row],[PARKING VALUE]]*1</f>
        <v>200000</v>
      </c>
      <c r="AR856" s="232">
        <f t="shared" si="134"/>
        <v>7588000</v>
      </c>
      <c r="AS856" s="440">
        <f>Table1[[#This Row],[TOTAL CARS VALUE]]+Table1[[#This Row],[UNIT (BUILDING) VALUE BASIC FINISHED]]+Table1[[#This Row],[UNIT (GARDEN) VALUE]]</f>
        <v>8308000</v>
      </c>
      <c r="AT856" s="232">
        <f>Table1[[#This Row],[TOTAL CARS VALUE]]+Table1[[#This Row],[UNIT (GARDEN) VALUE]]+Table1[[#This Row],[UNIT (BUILDING) VALUE FULLY FINISHED]]</f>
        <v>8788000</v>
      </c>
      <c r="AU856" s="233">
        <f>VLOOKUP(I856,'C PHASES'!$I$108:$J$110,2,FALSE)</f>
        <v>46569</v>
      </c>
      <c r="AV856" s="233">
        <f>VLOOKUP(AA856,'C PHASES'!$I$113:$J$125,2,FALSE)</f>
        <v>45170</v>
      </c>
    </row>
    <row r="857" spans="1:48" x14ac:dyDescent="0.25">
      <c r="A857" s="235"/>
      <c r="B857" s="227" t="str">
        <f t="shared" si="132"/>
        <v>E</v>
      </c>
      <c r="C857" s="227" t="s">
        <v>76</v>
      </c>
      <c r="D857" s="227" t="s">
        <v>1147</v>
      </c>
      <c r="E857" s="228">
        <v>3</v>
      </c>
      <c r="F857" s="101">
        <v>3</v>
      </c>
      <c r="G857" s="87" t="str">
        <f t="shared" si="140"/>
        <v>E533</v>
      </c>
      <c r="H857" s="87" t="s">
        <v>1294</v>
      </c>
      <c r="I857" s="89" t="str">
        <f>VLOOKUP(C857,'PREMIUM TABLES'!$G$107:$H$149,2,FALSE)</f>
        <v>C3</v>
      </c>
      <c r="J857" s="87">
        <v>126.97</v>
      </c>
      <c r="K857" s="87">
        <v>137.87460973939915</v>
      </c>
      <c r="L857" s="87">
        <v>155</v>
      </c>
      <c r="O857" s="87" t="s">
        <v>187</v>
      </c>
      <c r="P857" s="87" t="s">
        <v>190</v>
      </c>
      <c r="Q857" s="229" t="s">
        <v>212</v>
      </c>
      <c r="R857" s="87" t="str">
        <f>VLOOKUP(E857,'PREMIUM TABLES'!$F$214:$G$219,2,FALSE)</f>
        <v>THIRD</v>
      </c>
      <c r="S857" s="87" t="str" cm="1">
        <f t="array" ref="S857">IF(AND(L857&gt;0,L857&lt;90),"A",IF(AND(L857&gt;90,L857&lt;123),"B",IF(AND(L857&gt;122,L857&lt;159),"C",IF(AND(L857&gt;159,L857&lt;185),"D",IF(AND(L857&gt;185,L857&lt;230),"E",IF(AND(L857&gt;230,L857&lt;350),"F",NONE))))))</f>
        <v>C</v>
      </c>
      <c r="T857" s="230">
        <f>VLOOKUP(O857,'PREMIUM TABLES'!$G$165:$H$172,2,FALSE)</f>
        <v>0.08</v>
      </c>
      <c r="U857" s="230">
        <f>VLOOKUP(P857,'PREMIUM TABLES'!$G$208:$H$209,2,FALSE)</f>
        <v>2.5000000000000001E-2</v>
      </c>
      <c r="V857" s="230">
        <f>VLOOKUP(Q857,'PREMIUM TABLES'!$G$175:$H$195,2,FALSE)</f>
        <v>0.43</v>
      </c>
      <c r="W857" s="230">
        <f>VLOOKUP(R857,'PREMIUM TABLES'!$G$214:$H$219,2,FALSE)</f>
        <v>0.15</v>
      </c>
      <c r="X857" s="230">
        <f>VLOOKUP(S857,'PREMIUM TABLES'!$F$199:$H$205,3,FALSE)</f>
        <v>3.5000000000000003E-2</v>
      </c>
      <c r="Y857" s="231">
        <f t="shared" si="135"/>
        <v>0.72000000000000008</v>
      </c>
      <c r="Z857" s="231" t="str" cm="1">
        <f t="array" ref="Z857">IF(AND(Y857&gt;0,Y857&lt;0.5),"C",IF(AND(Y857&gt;=0.5,Y857&lt;0.73),"B",IF(AND(Y857&gt;=0.73,Y857&lt;0.98),"A",NONE)))</f>
        <v>B</v>
      </c>
      <c r="AA857" s="231" t="str">
        <f>VLOOKUP(G857,'ALL (R)'!$N$5:$R$862,5,FALSE)</f>
        <v>R 12</v>
      </c>
      <c r="AB857" s="232">
        <f>VLOOKUP(AA857,FACTS!$B$2:$L$14,10,FALSE)</f>
        <v>61625</v>
      </c>
      <c r="AC857" s="232">
        <f>VLOOKUP(AA857,FACTS!$B$2:$L$14,11,FALSE)</f>
        <v>68875</v>
      </c>
      <c r="AD857" s="232">
        <f>VLOOKUP(AA857,FACTS!$B$2:$N$14,13,FALSE)</f>
        <v>7250</v>
      </c>
      <c r="AE857" s="232">
        <f t="shared" si="136"/>
        <v>5220.0000000000009</v>
      </c>
      <c r="AF857" s="232">
        <f t="shared" si="137"/>
        <v>66845</v>
      </c>
      <c r="AG857" s="232">
        <f>AF857*FACTS!$T$2</f>
        <v>22058.850000000002</v>
      </c>
      <c r="AH857" s="232">
        <f>Table1[[#This Row],[UNIT (BUILDING) RATE (SEMI FINISHED)]]+4500</f>
        <v>71345</v>
      </c>
      <c r="AI857" s="232">
        <f>Table1[[#This Row],[UNIT (BUILDING) RATE (SEMI FINISHED)]]+7500</f>
        <v>74345</v>
      </c>
      <c r="AJ857" s="232">
        <f t="shared" si="138"/>
        <v>10360975</v>
      </c>
      <c r="AK857" s="232">
        <f>Table1[[#This Row],[UNIT (BUILDING) RATE (BASIC FINISH)]]*Table1[[#This Row],[Unit Selling Area]]</f>
        <v>11058475</v>
      </c>
      <c r="AL857" s="232">
        <f>Table1[[#This Row],[UNIT (BUILDING) RATE (FULLY FINISH)]]*Table1[[#This Row],[Unit Selling Area]]</f>
        <v>11523475</v>
      </c>
      <c r="AM857" s="232">
        <f t="shared" si="139"/>
        <v>0</v>
      </c>
      <c r="AN857" s="232">
        <f>(AM857+AJ857)*FACTS!$S$2</f>
        <v>880682.87500000012</v>
      </c>
      <c r="AO857" s="101">
        <f>VLOOKUP(S857,FACTS!$A$17:$C$23,3,FALSE)</f>
        <v>2</v>
      </c>
      <c r="AP857" s="232">
        <f>VLOOKUP(AA857,FACTS!$B$2:$J$14,9,FALSE)</f>
        <v>290000</v>
      </c>
      <c r="AQ857" s="232">
        <f>Table1[[#This Row],[PARKING VALUE]]*1</f>
        <v>290000</v>
      </c>
      <c r="AR857" s="232">
        <f t="shared" si="134"/>
        <v>10650975</v>
      </c>
      <c r="AS857" s="440">
        <f>Table1[[#This Row],[TOTAL CARS VALUE]]+Table1[[#This Row],[UNIT (BUILDING) VALUE BASIC FINISHED]]+Table1[[#This Row],[UNIT (GARDEN) VALUE]]</f>
        <v>11348475</v>
      </c>
      <c r="AT857" s="232">
        <f>Table1[[#This Row],[TOTAL CARS VALUE]]+Table1[[#This Row],[UNIT (GARDEN) VALUE]]+Table1[[#This Row],[UNIT (BUILDING) VALUE FULLY FINISHED]]</f>
        <v>11813475</v>
      </c>
      <c r="AU857" s="233">
        <f>VLOOKUP(I857,'C PHASES'!$I$108:$J$110,2,FALSE)</f>
        <v>46569</v>
      </c>
      <c r="AV857" s="233">
        <f>VLOOKUP(AA857,'C PHASES'!$I$113:$J$125,2,FALSE)</f>
        <v>46204</v>
      </c>
    </row>
    <row r="858" spans="1:48" x14ac:dyDescent="0.25">
      <c r="A858" s="235"/>
      <c r="B858" s="227" t="str">
        <f t="shared" si="132"/>
        <v>E</v>
      </c>
      <c r="C858" s="227" t="s">
        <v>76</v>
      </c>
      <c r="D858" s="227" t="s">
        <v>1147</v>
      </c>
      <c r="E858" s="228">
        <v>3</v>
      </c>
      <c r="F858" s="101">
        <v>4</v>
      </c>
      <c r="G858" s="87" t="str">
        <f t="shared" si="140"/>
        <v>E534</v>
      </c>
      <c r="H858" s="87" t="s">
        <v>1294</v>
      </c>
      <c r="I858" s="89" t="str">
        <f>VLOOKUP(C858,'PREMIUM TABLES'!$G$107:$H$149,2,FALSE)</f>
        <v>C3</v>
      </c>
      <c r="J858" s="87">
        <v>127.45</v>
      </c>
      <c r="K858" s="87">
        <v>138.39583375038529</v>
      </c>
      <c r="L858" s="87">
        <v>155</v>
      </c>
      <c r="O858" s="87" t="s">
        <v>180</v>
      </c>
      <c r="P858" s="87" t="s">
        <v>190</v>
      </c>
      <c r="Q858" s="229" t="s">
        <v>198</v>
      </c>
      <c r="R858" s="87" t="str">
        <f>VLOOKUP(E858,'PREMIUM TABLES'!$F$214:$G$219,2,FALSE)</f>
        <v>THIRD</v>
      </c>
      <c r="S858" s="87" t="str" cm="1">
        <f t="array" ref="S858">IF(AND(L858&gt;0,L858&lt;90),"A",IF(AND(L858&gt;90,L858&lt;123),"B",IF(AND(L858&gt;122,L858&lt;159),"C",IF(AND(L858&gt;159,L858&lt;185),"D",IF(AND(L858&gt;185,L858&lt;230),"E",IF(AND(L858&gt;230,L858&lt;350),"F",NONE))))))</f>
        <v>C</v>
      </c>
      <c r="T858" s="230">
        <f>VLOOKUP(O858,'PREMIUM TABLES'!$G$165:$H$172,2,FALSE)</f>
        <v>0.13</v>
      </c>
      <c r="U858" s="230">
        <f>VLOOKUP(P858,'PREMIUM TABLES'!$G$208:$H$209,2,FALSE)</f>
        <v>2.5000000000000001E-2</v>
      </c>
      <c r="V858" s="230">
        <f>VLOOKUP(Q858,'PREMIUM TABLES'!$G$175:$H$195,2,FALSE)</f>
        <v>0.15</v>
      </c>
      <c r="W858" s="230">
        <f>VLOOKUP(R858,'PREMIUM TABLES'!$G$214:$H$219,2,FALSE)</f>
        <v>0.15</v>
      </c>
      <c r="X858" s="230">
        <f>VLOOKUP(S858,'PREMIUM TABLES'!$F$199:$H$205,3,FALSE)</f>
        <v>3.5000000000000003E-2</v>
      </c>
      <c r="Y858" s="231">
        <f t="shared" si="135"/>
        <v>0.49</v>
      </c>
      <c r="Z858" s="231" t="str" cm="1">
        <f t="array" ref="Z858">IF(AND(Y858&gt;0,Y858&lt;0.5),"C",IF(AND(Y858&gt;=0.5,Y858&lt;0.73),"B",IF(AND(Y858&gt;=0.73,Y858&lt;0.98),"A",NONE)))</f>
        <v>C</v>
      </c>
      <c r="AA858" s="231" t="str">
        <f>VLOOKUP(G858,'ALL (R)'!$N$5:$R$862,5,FALSE)</f>
        <v>R 12</v>
      </c>
      <c r="AB858" s="232">
        <f>VLOOKUP(AA858,FACTS!$B$2:$L$14,10,FALSE)</f>
        <v>61625</v>
      </c>
      <c r="AC858" s="232">
        <f>VLOOKUP(AA858,FACTS!$B$2:$L$14,11,FALSE)</f>
        <v>68875</v>
      </c>
      <c r="AD858" s="232">
        <f>VLOOKUP(AA858,FACTS!$B$2:$N$14,13,FALSE)</f>
        <v>7250</v>
      </c>
      <c r="AE858" s="232">
        <f t="shared" si="136"/>
        <v>3552.5</v>
      </c>
      <c r="AF858" s="232">
        <f t="shared" si="137"/>
        <v>65177.5</v>
      </c>
      <c r="AG858" s="232">
        <f>AF858*FACTS!$T$2</f>
        <v>21508.575000000001</v>
      </c>
      <c r="AH858" s="232">
        <f>Table1[[#This Row],[UNIT (BUILDING) RATE (SEMI FINISHED)]]+4500</f>
        <v>69677.5</v>
      </c>
      <c r="AI858" s="232">
        <f>Table1[[#This Row],[UNIT (BUILDING) RATE (SEMI FINISHED)]]+7500</f>
        <v>72677.5</v>
      </c>
      <c r="AJ858" s="232">
        <f t="shared" si="138"/>
        <v>10102512.5</v>
      </c>
      <c r="AK858" s="232">
        <f>Table1[[#This Row],[UNIT (BUILDING) RATE (BASIC FINISH)]]*Table1[[#This Row],[Unit Selling Area]]</f>
        <v>10800012.5</v>
      </c>
      <c r="AL858" s="232">
        <f>Table1[[#This Row],[UNIT (BUILDING) RATE (FULLY FINISH)]]*Table1[[#This Row],[Unit Selling Area]]</f>
        <v>11265012.5</v>
      </c>
      <c r="AM858" s="232">
        <f t="shared" si="139"/>
        <v>0</v>
      </c>
      <c r="AN858" s="232">
        <f>(AM858+AJ858)*FACTS!$S$2</f>
        <v>858713.56250000012</v>
      </c>
      <c r="AO858" s="101">
        <f>VLOOKUP(S858,FACTS!$A$17:$C$23,3,FALSE)</f>
        <v>2</v>
      </c>
      <c r="AP858" s="232">
        <f>VLOOKUP(AA858,FACTS!$B$2:$J$14,9,FALSE)</f>
        <v>290000</v>
      </c>
      <c r="AQ858" s="232">
        <f>Table1[[#This Row],[PARKING VALUE]]*1</f>
        <v>290000</v>
      </c>
      <c r="AR858" s="232">
        <f t="shared" si="134"/>
        <v>10392512.5</v>
      </c>
      <c r="AS858" s="440">
        <f>Table1[[#This Row],[TOTAL CARS VALUE]]+Table1[[#This Row],[UNIT (BUILDING) VALUE BASIC FINISHED]]+Table1[[#This Row],[UNIT (GARDEN) VALUE]]</f>
        <v>11090012.5</v>
      </c>
      <c r="AT858" s="232">
        <f>Table1[[#This Row],[TOTAL CARS VALUE]]+Table1[[#This Row],[UNIT (GARDEN) VALUE]]+Table1[[#This Row],[UNIT (BUILDING) VALUE FULLY FINISHED]]</f>
        <v>11555012.5</v>
      </c>
      <c r="AU858" s="233">
        <f>VLOOKUP(I858,'C PHASES'!$I$108:$J$110,2,FALSE)</f>
        <v>46569</v>
      </c>
      <c r="AV858" s="233">
        <f>VLOOKUP(AA858,'C PHASES'!$I$113:$J$125,2,FALSE)</f>
        <v>46204</v>
      </c>
    </row>
    <row r="859" spans="1:48" x14ac:dyDescent="0.25">
      <c r="A859" s="235"/>
      <c r="B859" s="227" t="str">
        <f t="shared" si="132"/>
        <v>E</v>
      </c>
      <c r="C859" s="227" t="s">
        <v>76</v>
      </c>
      <c r="D859" s="227" t="s">
        <v>1147</v>
      </c>
      <c r="E859" s="228">
        <v>4</v>
      </c>
      <c r="F859" s="101">
        <v>1</v>
      </c>
      <c r="G859" s="87" t="str">
        <f t="shared" si="140"/>
        <v>E541</v>
      </c>
      <c r="H859" s="87" t="s">
        <v>1294</v>
      </c>
      <c r="I859" s="89" t="str">
        <f>VLOOKUP(C859,'PREMIUM TABLES'!$G$107:$H$149,2,FALSE)</f>
        <v>C3</v>
      </c>
      <c r="J859" s="87">
        <v>129.58000000000001</v>
      </c>
      <c r="K859" s="87">
        <v>140.70876529913636</v>
      </c>
      <c r="L859" s="87">
        <v>158</v>
      </c>
      <c r="O859" s="87" t="s">
        <v>180</v>
      </c>
      <c r="P859" s="87" t="s">
        <v>226</v>
      </c>
      <c r="Q859" s="229" t="s">
        <v>198</v>
      </c>
      <c r="R859" s="87" t="str">
        <f>VLOOKUP(E859,'PREMIUM TABLES'!$F$214:$G$219,2,FALSE)</f>
        <v>FORTH</v>
      </c>
      <c r="S859" s="87" t="str" cm="1">
        <f t="array" ref="S859">IF(AND(L859&gt;0,L859&lt;90),"A",IF(AND(L859&gt;90,L859&lt;123),"B",IF(AND(L859&gt;122,L859&lt;159),"C",IF(AND(L859&gt;159,L859&lt;185),"D",IF(AND(L859&gt;185,L859&lt;230),"E",IF(AND(L859&gt;230,L859&lt;350),"F",NONE))))))</f>
        <v>C</v>
      </c>
      <c r="T859" s="230">
        <f>VLOOKUP(O859,'PREMIUM TABLES'!$G$165:$H$172,2,FALSE)</f>
        <v>0.13</v>
      </c>
      <c r="U859" s="230">
        <f>VLOOKUP(P859,'PREMIUM TABLES'!$G$208:$H$209,2,FALSE)</f>
        <v>0.05</v>
      </c>
      <c r="V859" s="230">
        <f>VLOOKUP(Q859,'PREMIUM TABLES'!$G$175:$H$195,2,FALSE)</f>
        <v>0.15</v>
      </c>
      <c r="W859" s="230">
        <f>VLOOKUP(R859,'PREMIUM TABLES'!$G$214:$H$219,2,FALSE)</f>
        <v>0.06</v>
      </c>
      <c r="X859" s="230">
        <f>VLOOKUP(S859,'PREMIUM TABLES'!$F$199:$H$205,3,FALSE)</f>
        <v>3.5000000000000003E-2</v>
      </c>
      <c r="Y859" s="231">
        <f t="shared" si="135"/>
        <v>0.42499999999999993</v>
      </c>
      <c r="Z859" s="231" t="str" cm="1">
        <f t="array" ref="Z859">IF(AND(Y859&gt;0,Y859&lt;0.5),"C",IF(AND(Y859&gt;=0.5,Y859&lt;0.73),"B",IF(AND(Y859&gt;=0.73,Y859&lt;0.98),"A",NONE)))</f>
        <v>C</v>
      </c>
      <c r="AA859" s="231" t="str">
        <f>VLOOKUP(G859,'ALL (R)'!$N$5:$R$862,5,FALSE)</f>
        <v>R 7</v>
      </c>
      <c r="AB859" s="232">
        <f>VLOOKUP(AA859,FACTS!$B$2:$L$14,10,FALSE)</f>
        <v>50150</v>
      </c>
      <c r="AC859" s="232">
        <f>VLOOKUP(AA859,FACTS!$B$2:$L$14,11,FALSE)</f>
        <v>56050</v>
      </c>
      <c r="AD859" s="232">
        <f>VLOOKUP(AA859,FACTS!$B$2:$N$14,13,FALSE)</f>
        <v>5900</v>
      </c>
      <c r="AE859" s="232">
        <f t="shared" si="136"/>
        <v>2507.4999999999995</v>
      </c>
      <c r="AF859" s="232">
        <f t="shared" si="137"/>
        <v>52657.5</v>
      </c>
      <c r="AG859" s="232">
        <f>AF859*FACTS!$T$2</f>
        <v>17376.975000000002</v>
      </c>
      <c r="AH859" s="232">
        <f>Table1[[#This Row],[UNIT (BUILDING) RATE (SEMI FINISHED)]]+4500</f>
        <v>57157.5</v>
      </c>
      <c r="AI859" s="232">
        <f>Table1[[#This Row],[UNIT (BUILDING) RATE (SEMI FINISHED)]]+7500</f>
        <v>60157.5</v>
      </c>
      <c r="AJ859" s="232">
        <f t="shared" si="138"/>
        <v>8319885</v>
      </c>
      <c r="AK859" s="232">
        <f>Table1[[#This Row],[UNIT (BUILDING) RATE (BASIC FINISH)]]*Table1[[#This Row],[Unit Selling Area]]</f>
        <v>9030885</v>
      </c>
      <c r="AL859" s="232">
        <f>Table1[[#This Row],[UNIT (BUILDING) RATE (FULLY FINISH)]]*Table1[[#This Row],[Unit Selling Area]]</f>
        <v>9504885</v>
      </c>
      <c r="AM859" s="232">
        <f t="shared" si="139"/>
        <v>0</v>
      </c>
      <c r="AN859" s="232">
        <f>(AM859+AJ859)*FACTS!$S$2</f>
        <v>707190.22500000009</v>
      </c>
      <c r="AO859" s="101">
        <f>VLOOKUP(S859,FACTS!$A$17:$C$23,3,FALSE)</f>
        <v>2</v>
      </c>
      <c r="AP859" s="232">
        <f>VLOOKUP(AA859,FACTS!$B$2:$J$14,9,FALSE)</f>
        <v>236000</v>
      </c>
      <c r="AQ859" s="232">
        <f>Table1[[#This Row],[PARKING VALUE]]*1</f>
        <v>236000</v>
      </c>
      <c r="AR859" s="232">
        <f t="shared" si="134"/>
        <v>8555885</v>
      </c>
      <c r="AS859" s="440">
        <f>Table1[[#This Row],[TOTAL CARS VALUE]]+Table1[[#This Row],[UNIT (BUILDING) VALUE BASIC FINISHED]]+Table1[[#This Row],[UNIT (GARDEN) VALUE]]</f>
        <v>9266885</v>
      </c>
      <c r="AT859" s="232">
        <f>Table1[[#This Row],[TOTAL CARS VALUE]]+Table1[[#This Row],[UNIT (GARDEN) VALUE]]+Table1[[#This Row],[UNIT (BUILDING) VALUE FULLY FINISHED]]</f>
        <v>9740885</v>
      </c>
      <c r="AU859" s="233">
        <f>VLOOKUP(I859,'C PHASES'!$I$108:$J$110,2,FALSE)</f>
        <v>46569</v>
      </c>
      <c r="AV859" s="233">
        <f>VLOOKUP(AA859,'C PHASES'!$I$113:$J$125,2,FALSE)</f>
        <v>45748</v>
      </c>
    </row>
    <row r="860" spans="1:48" x14ac:dyDescent="0.25">
      <c r="A860" s="235"/>
      <c r="B860" s="227" t="str">
        <f t="shared" si="132"/>
        <v>E</v>
      </c>
      <c r="C860" s="227" t="s">
        <v>76</v>
      </c>
      <c r="D860" s="227" t="s">
        <v>1147</v>
      </c>
      <c r="E860" s="228">
        <v>4</v>
      </c>
      <c r="F860" s="101">
        <v>2</v>
      </c>
      <c r="G860" s="87" t="str">
        <f t="shared" si="140"/>
        <v>E542</v>
      </c>
      <c r="H860" s="87" t="s">
        <v>1294</v>
      </c>
      <c r="I860" s="89" t="str">
        <f>VLOOKUP(C860,'PREMIUM TABLES'!$G$107:$H$149,2,FALSE)</f>
        <v>C3</v>
      </c>
      <c r="J860" s="87">
        <v>131.38</v>
      </c>
      <c r="K860" s="87">
        <v>142.66335534033439</v>
      </c>
      <c r="L860" s="87">
        <v>160</v>
      </c>
      <c r="O860" s="87" t="s">
        <v>187</v>
      </c>
      <c r="P860" s="87" t="s">
        <v>226</v>
      </c>
      <c r="Q860" s="229" t="s">
        <v>212</v>
      </c>
      <c r="R860" s="87" t="str">
        <f>VLOOKUP(E860,'PREMIUM TABLES'!$F$214:$G$219,2,FALSE)</f>
        <v>FORTH</v>
      </c>
      <c r="S860" s="87" t="str" cm="1">
        <f t="array" ref="S860">IF(AND(L860&gt;0,L860&lt;90),"A",IF(AND(L860&gt;90,L860&lt;123),"B",IF(AND(L860&gt;122,L860&lt;159),"C",IF(AND(L860&gt;159,L860&lt;185),"D",IF(AND(L860&gt;185,L860&lt;230),"E",IF(AND(L860&gt;230,L860&lt;350),"F",NONE))))))</f>
        <v>D</v>
      </c>
      <c r="T860" s="230">
        <f>VLOOKUP(O860,'PREMIUM TABLES'!$G$165:$H$172,2,FALSE)</f>
        <v>0.08</v>
      </c>
      <c r="U860" s="230">
        <f>VLOOKUP(P860,'PREMIUM TABLES'!$G$208:$H$209,2,FALSE)</f>
        <v>0.05</v>
      </c>
      <c r="V860" s="230">
        <f>VLOOKUP(Q860,'PREMIUM TABLES'!$G$175:$H$195,2,FALSE)</f>
        <v>0.43</v>
      </c>
      <c r="W860" s="230">
        <f>VLOOKUP(R860,'PREMIUM TABLES'!$G$214:$H$219,2,FALSE)</f>
        <v>0.06</v>
      </c>
      <c r="X860" s="230">
        <f>VLOOKUP(S860,'PREMIUM TABLES'!$F$199:$H$205,3,FALSE)</f>
        <v>2.5000000000000001E-2</v>
      </c>
      <c r="Y860" s="231">
        <f t="shared" si="135"/>
        <v>0.64500000000000013</v>
      </c>
      <c r="Z860" s="231" t="str" cm="1">
        <f t="array" ref="Z860">IF(AND(Y860&gt;0,Y860&lt;0.5),"C",IF(AND(Y860&gt;=0.5,Y860&lt;0.73),"B",IF(AND(Y860&gt;=0.73,Y860&lt;0.98),"A",NONE)))</f>
        <v>B</v>
      </c>
      <c r="AA860" s="231" t="str">
        <f>VLOOKUP(G860,'ALL (R)'!$N$5:$R$862,5,FALSE)</f>
        <v>R 4</v>
      </c>
      <c r="AB860" s="232">
        <f>VLOOKUP(AA860,FACTS!$B$2:$L$14,10,FALSE)</f>
        <v>45687.5</v>
      </c>
      <c r="AC860" s="232">
        <f>VLOOKUP(AA860,FACTS!$B$2:$L$14,11,FALSE)</f>
        <v>51062.5</v>
      </c>
      <c r="AD860" s="232">
        <f>VLOOKUP(AA860,FACTS!$B$2:$N$14,13,FALSE)</f>
        <v>5375</v>
      </c>
      <c r="AE860" s="232">
        <f t="shared" si="136"/>
        <v>3466.8750000000009</v>
      </c>
      <c r="AF860" s="232">
        <f t="shared" si="137"/>
        <v>49154.375</v>
      </c>
      <c r="AG860" s="232">
        <f>AF860*FACTS!$T$2</f>
        <v>16220.94375</v>
      </c>
      <c r="AH860" s="232">
        <f>Table1[[#This Row],[UNIT (BUILDING) RATE (SEMI FINISHED)]]+4500</f>
        <v>53654.375</v>
      </c>
      <c r="AI860" s="232">
        <f>Table1[[#This Row],[UNIT (BUILDING) RATE (SEMI FINISHED)]]+7500</f>
        <v>56654.375</v>
      </c>
      <c r="AJ860" s="232">
        <f t="shared" si="138"/>
        <v>7864700</v>
      </c>
      <c r="AK860" s="232">
        <f>Table1[[#This Row],[UNIT (BUILDING) RATE (BASIC FINISH)]]*Table1[[#This Row],[Unit Selling Area]]</f>
        <v>8584700</v>
      </c>
      <c r="AL860" s="232">
        <f>Table1[[#This Row],[UNIT (BUILDING) RATE (FULLY FINISH)]]*Table1[[#This Row],[Unit Selling Area]]</f>
        <v>9064700</v>
      </c>
      <c r="AM860" s="232">
        <f t="shared" si="139"/>
        <v>0</v>
      </c>
      <c r="AN860" s="232">
        <f>(AM860+AJ860)*FACTS!$S$2</f>
        <v>668499.5</v>
      </c>
      <c r="AO860" s="101">
        <f>VLOOKUP(S860,FACTS!$A$17:$C$23,3,FALSE)</f>
        <v>2</v>
      </c>
      <c r="AP860" s="232">
        <f>VLOOKUP(AA860,FACTS!$B$2:$J$14,9,FALSE)</f>
        <v>215000</v>
      </c>
      <c r="AQ860" s="232">
        <f>Table1[[#This Row],[PARKING VALUE]]*1</f>
        <v>215000</v>
      </c>
      <c r="AR860" s="232">
        <f t="shared" si="134"/>
        <v>8079700</v>
      </c>
      <c r="AS860" s="440">
        <f>Table1[[#This Row],[TOTAL CARS VALUE]]+Table1[[#This Row],[UNIT (BUILDING) VALUE BASIC FINISHED]]+Table1[[#This Row],[UNIT (GARDEN) VALUE]]</f>
        <v>8799700</v>
      </c>
      <c r="AT860" s="232">
        <f>Table1[[#This Row],[TOTAL CARS VALUE]]+Table1[[#This Row],[UNIT (GARDEN) VALUE]]+Table1[[#This Row],[UNIT (BUILDING) VALUE FULLY FINISHED]]</f>
        <v>9279700</v>
      </c>
      <c r="AU860" s="233">
        <f>VLOOKUP(I860,'C PHASES'!$I$108:$J$110,2,FALSE)</f>
        <v>46569</v>
      </c>
      <c r="AV860" s="233">
        <f>VLOOKUP(AA860,'C PHASES'!$I$113:$J$125,2,FALSE)</f>
        <v>45474</v>
      </c>
    </row>
    <row r="861" spans="1:48" x14ac:dyDescent="0.25">
      <c r="A861" s="235"/>
      <c r="B861" s="227" t="str">
        <f t="shared" si="132"/>
        <v>E</v>
      </c>
      <c r="C861" s="227" t="s">
        <v>76</v>
      </c>
      <c r="D861" s="227" t="s">
        <v>1147</v>
      </c>
      <c r="E861" s="228">
        <v>4</v>
      </c>
      <c r="F861" s="101">
        <v>3</v>
      </c>
      <c r="G861" s="87" t="str">
        <f t="shared" si="140"/>
        <v>E543</v>
      </c>
      <c r="H861" s="87" t="s">
        <v>1294</v>
      </c>
      <c r="I861" s="89" t="str">
        <f>VLOOKUP(C861,'PREMIUM TABLES'!$G$107:$H$149,2,FALSE)</f>
        <v>C3</v>
      </c>
      <c r="J861" s="87">
        <v>127.19</v>
      </c>
      <c r="K861" s="87">
        <v>138.1135040777678</v>
      </c>
      <c r="L861" s="87">
        <v>155</v>
      </c>
      <c r="O861" s="87" t="s">
        <v>187</v>
      </c>
      <c r="P861" s="87" t="s">
        <v>190</v>
      </c>
      <c r="Q861" s="229" t="s">
        <v>212</v>
      </c>
      <c r="R861" s="87" t="str">
        <f>VLOOKUP(E861,'PREMIUM TABLES'!$F$214:$G$219,2,FALSE)</f>
        <v>FORTH</v>
      </c>
      <c r="S861" s="87" t="str" cm="1">
        <f t="array" ref="S861">IF(AND(L861&gt;0,L861&lt;90),"A",IF(AND(L861&gt;90,L861&lt;123),"B",IF(AND(L861&gt;122,L861&lt;159),"C",IF(AND(L861&gt;159,L861&lt;185),"D",IF(AND(L861&gt;185,L861&lt;230),"E",IF(AND(L861&gt;230,L861&lt;350),"F",NONE))))))</f>
        <v>C</v>
      </c>
      <c r="T861" s="230">
        <f>VLOOKUP(O861,'PREMIUM TABLES'!$G$165:$H$172,2,FALSE)</f>
        <v>0.08</v>
      </c>
      <c r="U861" s="230">
        <f>VLOOKUP(P861,'PREMIUM TABLES'!$G$208:$H$209,2,FALSE)</f>
        <v>2.5000000000000001E-2</v>
      </c>
      <c r="V861" s="230">
        <f>VLOOKUP(Q861,'PREMIUM TABLES'!$G$175:$H$195,2,FALSE)</f>
        <v>0.43</v>
      </c>
      <c r="W861" s="230">
        <f>VLOOKUP(R861,'PREMIUM TABLES'!$G$214:$H$219,2,FALSE)</f>
        <v>0.06</v>
      </c>
      <c r="X861" s="230">
        <f>VLOOKUP(S861,'PREMIUM TABLES'!$F$199:$H$205,3,FALSE)</f>
        <v>3.5000000000000003E-2</v>
      </c>
      <c r="Y861" s="231">
        <f t="shared" si="135"/>
        <v>0.63</v>
      </c>
      <c r="Z861" s="231" t="str" cm="1">
        <f t="array" ref="Z861">IF(AND(Y861&gt;0,Y861&lt;0.5),"C",IF(AND(Y861&gt;=0.5,Y861&lt;0.73),"B",IF(AND(Y861&gt;=0.73,Y861&lt;0.98),"A",NONE)))</f>
        <v>B</v>
      </c>
      <c r="AA861" s="231" t="str">
        <f>VLOOKUP(G861,'ALL (R)'!$N$5:$R$862,5,FALSE)</f>
        <v>R 3</v>
      </c>
      <c r="AB861" s="232">
        <f>VLOOKUP(AA861,FACTS!$B$2:$L$14,10,FALSE)</f>
        <v>44625</v>
      </c>
      <c r="AC861" s="232">
        <f>VLOOKUP(AA861,FACTS!$B$2:$L$14,11,FALSE)</f>
        <v>49875</v>
      </c>
      <c r="AD861" s="232">
        <f>VLOOKUP(AA861,FACTS!$B$2:$N$14,13,FALSE)</f>
        <v>5250</v>
      </c>
      <c r="AE861" s="232">
        <f t="shared" si="136"/>
        <v>3307.5</v>
      </c>
      <c r="AF861" s="232">
        <f t="shared" si="137"/>
        <v>47932.5</v>
      </c>
      <c r="AG861" s="232">
        <f>AF861*FACTS!$T$2</f>
        <v>15817.725</v>
      </c>
      <c r="AH861" s="232">
        <f>Table1[[#This Row],[UNIT (BUILDING) RATE (SEMI FINISHED)]]+4500</f>
        <v>52432.5</v>
      </c>
      <c r="AI861" s="232">
        <f>Table1[[#This Row],[UNIT (BUILDING) RATE (SEMI FINISHED)]]+7500</f>
        <v>55432.5</v>
      </c>
      <c r="AJ861" s="232">
        <f t="shared" si="138"/>
        <v>7429537.5</v>
      </c>
      <c r="AK861" s="232">
        <f>Table1[[#This Row],[UNIT (BUILDING) RATE (BASIC FINISH)]]*Table1[[#This Row],[Unit Selling Area]]</f>
        <v>8127037.5</v>
      </c>
      <c r="AL861" s="232">
        <f>Table1[[#This Row],[UNIT (BUILDING) RATE (FULLY FINISH)]]*Table1[[#This Row],[Unit Selling Area]]</f>
        <v>8592037.5</v>
      </c>
      <c r="AM861" s="232">
        <f t="shared" si="139"/>
        <v>0</v>
      </c>
      <c r="AN861" s="232">
        <f>(AM861+AJ861)*FACTS!$S$2</f>
        <v>631510.6875</v>
      </c>
      <c r="AO861" s="101">
        <f>VLOOKUP(S861,FACTS!$A$17:$C$23,3,FALSE)</f>
        <v>2</v>
      </c>
      <c r="AP861" s="232">
        <f>VLOOKUP(AA861,FACTS!$B$2:$J$14,9,FALSE)</f>
        <v>210000</v>
      </c>
      <c r="AQ861" s="232">
        <f>Table1[[#This Row],[PARKING VALUE]]*1</f>
        <v>210000</v>
      </c>
      <c r="AR861" s="232">
        <f t="shared" si="134"/>
        <v>7639537.5</v>
      </c>
      <c r="AS861" s="440">
        <f>Table1[[#This Row],[TOTAL CARS VALUE]]+Table1[[#This Row],[UNIT (BUILDING) VALUE BASIC FINISHED]]+Table1[[#This Row],[UNIT (GARDEN) VALUE]]</f>
        <v>8337037.5</v>
      </c>
      <c r="AT861" s="232">
        <f>Table1[[#This Row],[TOTAL CARS VALUE]]+Table1[[#This Row],[UNIT (GARDEN) VALUE]]+Table1[[#This Row],[UNIT (BUILDING) VALUE FULLY FINISHED]]</f>
        <v>8802037.5</v>
      </c>
      <c r="AU861" s="233">
        <f>VLOOKUP(I861,'C PHASES'!$I$108:$J$110,2,FALSE)</f>
        <v>46569</v>
      </c>
      <c r="AV861" s="233">
        <f>VLOOKUP(AA861,'C PHASES'!$I$113:$J$125,2,FALSE)</f>
        <v>45383</v>
      </c>
    </row>
    <row r="862" spans="1:48" x14ac:dyDescent="0.25">
      <c r="A862" s="235"/>
      <c r="B862" s="227" t="str">
        <f t="shared" si="132"/>
        <v>E</v>
      </c>
      <c r="C862" s="227" t="s">
        <v>76</v>
      </c>
      <c r="D862" s="227" t="s">
        <v>1147</v>
      </c>
      <c r="E862" s="228">
        <v>4</v>
      </c>
      <c r="F862" s="101">
        <v>4</v>
      </c>
      <c r="G862" s="87" t="str">
        <f t="shared" si="140"/>
        <v>E544</v>
      </c>
      <c r="H862" s="87" t="s">
        <v>1294</v>
      </c>
      <c r="I862" s="89" t="str">
        <f>VLOOKUP(C862,'PREMIUM TABLES'!$G$107:$H$149,2,FALSE)</f>
        <v>C3</v>
      </c>
      <c r="J862" s="87">
        <v>125.13</v>
      </c>
      <c r="K862" s="87">
        <v>135.87658436395222</v>
      </c>
      <c r="L862" s="87">
        <v>153</v>
      </c>
      <c r="O862" s="87" t="s">
        <v>180</v>
      </c>
      <c r="P862" s="87" t="s">
        <v>190</v>
      </c>
      <c r="Q862" s="229" t="s">
        <v>198</v>
      </c>
      <c r="R862" s="87" t="str">
        <f>VLOOKUP(E862,'PREMIUM TABLES'!$F$214:$G$219,2,FALSE)</f>
        <v>FORTH</v>
      </c>
      <c r="S862" s="87" t="str" cm="1">
        <f t="array" ref="S862">IF(AND(L862&gt;0,L862&lt;90),"A",IF(AND(L862&gt;90,L862&lt;123),"B",IF(AND(L862&gt;122,L862&lt;159),"C",IF(AND(L862&gt;159,L862&lt;185),"D",IF(AND(L862&gt;185,L862&lt;230),"E",IF(AND(L862&gt;230,L862&lt;350),"F",NONE))))))</f>
        <v>C</v>
      </c>
      <c r="T862" s="230">
        <f>VLOOKUP(O862,'PREMIUM TABLES'!$G$165:$H$172,2,FALSE)</f>
        <v>0.13</v>
      </c>
      <c r="U862" s="230">
        <f>VLOOKUP(P862,'PREMIUM TABLES'!$G$208:$H$209,2,FALSE)</f>
        <v>2.5000000000000001E-2</v>
      </c>
      <c r="V862" s="230">
        <f>VLOOKUP(Q862,'PREMIUM TABLES'!$G$175:$H$195,2,FALSE)</f>
        <v>0.15</v>
      </c>
      <c r="W862" s="230">
        <f>VLOOKUP(R862,'PREMIUM TABLES'!$G$214:$H$219,2,FALSE)</f>
        <v>0.06</v>
      </c>
      <c r="X862" s="230">
        <f>VLOOKUP(S862,'PREMIUM TABLES'!$F$199:$H$205,3,FALSE)</f>
        <v>3.5000000000000003E-2</v>
      </c>
      <c r="Y862" s="231">
        <f t="shared" si="135"/>
        <v>0.4</v>
      </c>
      <c r="Z862" s="231" t="str" cm="1">
        <f t="array" ref="Z862">IF(AND(Y862&gt;0,Y862&lt;0.5),"C",IF(AND(Y862&gt;=0.5,Y862&lt;0.73),"B",IF(AND(Y862&gt;=0.73,Y862&lt;0.98),"A",NONE)))</f>
        <v>C</v>
      </c>
      <c r="AA862" s="231" t="str">
        <f>VLOOKUP(G862,'ALL (R)'!$N$5:$R$862,5,FALSE)</f>
        <v>R 5</v>
      </c>
      <c r="AB862" s="232">
        <f>VLOOKUP(AA862,FACTS!$B$2:$L$14,10,FALSE)</f>
        <v>46750.000000000007</v>
      </c>
      <c r="AC862" s="232">
        <f>VLOOKUP(AA862,FACTS!$B$2:$L$14,11,FALSE)</f>
        <v>52250.000000000007</v>
      </c>
      <c r="AD862" s="232">
        <f>VLOOKUP(AA862,FACTS!$B$2:$N$14,13,FALSE)</f>
        <v>5500</v>
      </c>
      <c r="AE862" s="232">
        <f t="shared" si="136"/>
        <v>2200</v>
      </c>
      <c r="AF862" s="232">
        <f t="shared" si="137"/>
        <v>48950.000000000007</v>
      </c>
      <c r="AG862" s="232">
        <f>AF862*FACTS!$T$2</f>
        <v>16153.500000000004</v>
      </c>
      <c r="AH862" s="232">
        <f>Table1[[#This Row],[UNIT (BUILDING) RATE (SEMI FINISHED)]]+4500</f>
        <v>53450.000000000007</v>
      </c>
      <c r="AI862" s="232">
        <f>Table1[[#This Row],[UNIT (BUILDING) RATE (SEMI FINISHED)]]+7500</f>
        <v>56450.000000000007</v>
      </c>
      <c r="AJ862" s="232">
        <f t="shared" si="138"/>
        <v>7489350.0000000009</v>
      </c>
      <c r="AK862" s="232">
        <f>Table1[[#This Row],[UNIT (BUILDING) RATE (BASIC FINISH)]]*Table1[[#This Row],[Unit Selling Area]]</f>
        <v>8177850.0000000009</v>
      </c>
      <c r="AL862" s="232">
        <f>Table1[[#This Row],[UNIT (BUILDING) RATE (FULLY FINISH)]]*Table1[[#This Row],[Unit Selling Area]]</f>
        <v>8636850.0000000019</v>
      </c>
      <c r="AM862" s="232">
        <f t="shared" si="139"/>
        <v>0</v>
      </c>
      <c r="AN862" s="232">
        <f>(AM862+AJ862)*FACTS!$S$2</f>
        <v>636594.75000000012</v>
      </c>
      <c r="AO862" s="101">
        <f>VLOOKUP(S862,FACTS!$A$17:$C$23,3,FALSE)</f>
        <v>2</v>
      </c>
      <c r="AP862" s="232">
        <f>VLOOKUP(AA862,FACTS!$B$2:$J$14,9,FALSE)</f>
        <v>220000.00000000003</v>
      </c>
      <c r="AQ862" s="232">
        <f>Table1[[#This Row],[PARKING VALUE]]*1</f>
        <v>220000.00000000003</v>
      </c>
      <c r="AR862" s="232">
        <f t="shared" si="134"/>
        <v>7709350.0000000009</v>
      </c>
      <c r="AS862" s="440">
        <f>Table1[[#This Row],[TOTAL CARS VALUE]]+Table1[[#This Row],[UNIT (BUILDING) VALUE BASIC FINISHED]]+Table1[[#This Row],[UNIT (GARDEN) VALUE]]</f>
        <v>8397850.0000000019</v>
      </c>
      <c r="AT862" s="232">
        <f>Table1[[#This Row],[TOTAL CARS VALUE]]+Table1[[#This Row],[UNIT (GARDEN) VALUE]]+Table1[[#This Row],[UNIT (BUILDING) VALUE FULLY FINISHED]]</f>
        <v>8856850.0000000019</v>
      </c>
      <c r="AU862" s="233">
        <f>VLOOKUP(I862,'C PHASES'!$I$108:$J$110,2,FALSE)</f>
        <v>46569</v>
      </c>
      <c r="AV862" s="233">
        <f>VLOOKUP(AA862,'C PHASES'!$I$113:$J$125,2,FALSE)</f>
        <v>45566</v>
      </c>
    </row>
  </sheetData>
  <phoneticPr fontId="13" type="noConversion"/>
  <printOptions horizontalCentered="1"/>
  <pageMargins left="0" right="0" top="0.25" bottom="0.25" header="0.05" footer="0.05"/>
  <pageSetup paperSize="9" fitToWidth="10" fitToHeight="100" orientation="landscape" r:id="rId1"/>
  <rowBreaks count="1" manualBreakCount="1">
    <brk id="842" max="47" man="1"/>
  </rowBreaks>
  <colBreaks count="1" manualBreakCount="1">
    <brk id="48" max="861" man="1"/>
  </colBreaks>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816F3E54-715A-4C23-8C4D-E498566C6862}">
          <x14:formula1>
            <xm:f>'PREMIUM TABLES'!$G$175:$G$195</xm:f>
          </x14:formula1>
          <xm:sqref>Q5:Q862</xm:sqref>
        </x14:dataValidation>
        <x14:dataValidation type="list" allowBlank="1" showInputMessage="1" showErrorMessage="1" xr:uid="{73099402-774E-48C6-84A6-AAC31579D51E}">
          <x14:formula1>
            <xm:f>'PREMIUM TABLES'!$G$165:$G$172</xm:f>
          </x14:formula1>
          <xm:sqref>O5:O862</xm:sqref>
        </x14:dataValidation>
        <x14:dataValidation type="list" allowBlank="1" showInputMessage="1" showErrorMessage="1" xr:uid="{0F235CCB-F26F-480C-A3EC-DC7B47DF5B42}">
          <x14:formula1>
            <xm:f>'PREMIUM TABLES'!#REF!</xm:f>
          </x14:formula1>
          <xm:sqref>Q45:Q64 P5:P862</xm:sqref>
        </x14:dataValidation>
        <x14:dataValidation type="list" allowBlank="1" showInputMessage="1" showErrorMessage="1" xr:uid="{DDE78185-B507-44C6-B6BF-8F277D814C0B}">
          <x14:formula1>
            <xm:f>'PREMIUM TABLES'!$G$223:$G$227</xm:f>
          </x14:formula1>
          <xm:sqref>H5:H862</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AC4A5-A523-4E02-91F4-6842D979C9DF}">
  <dimension ref="A1:AO40"/>
  <sheetViews>
    <sheetView zoomScale="85" zoomScaleNormal="85" workbookViewId="0">
      <selection activeCell="K41" sqref="K41"/>
    </sheetView>
  </sheetViews>
  <sheetFormatPr defaultRowHeight="18.75" x14ac:dyDescent="0.25"/>
  <cols>
    <col min="1" max="1" width="8.7109375" style="87" customWidth="1"/>
    <col min="2" max="2" width="5.7109375" style="87" customWidth="1"/>
    <col min="3" max="3" width="16" style="87" bestFit="1" customWidth="1"/>
    <col min="4" max="4" width="7.140625" style="101" bestFit="1" customWidth="1"/>
    <col min="5" max="5" width="7.42578125" style="101" bestFit="1" customWidth="1"/>
    <col min="6" max="6" width="10.5703125" style="87" bestFit="1" customWidth="1"/>
    <col min="7" max="7" width="19.85546875" style="87" customWidth="1"/>
    <col min="8" max="8" width="11.5703125" style="87" bestFit="1" customWidth="1"/>
    <col min="9" max="9" width="13.85546875" style="87" bestFit="1" customWidth="1"/>
    <col min="10" max="10" width="15" style="87" bestFit="1" customWidth="1"/>
    <col min="11" max="11" width="15.7109375" style="87" bestFit="1" customWidth="1"/>
    <col min="12" max="12" width="15.7109375" style="87" customWidth="1"/>
    <col min="13" max="13" width="17" style="87" customWidth="1"/>
    <col min="14" max="14" width="13.42578125" style="87" bestFit="1" customWidth="1"/>
    <col min="15" max="15" width="36.42578125" style="87" customWidth="1"/>
    <col min="16" max="16" width="11.42578125" style="87" bestFit="1" customWidth="1"/>
    <col min="17" max="17" width="13.7109375" style="87" bestFit="1" customWidth="1"/>
    <col min="18" max="18" width="8.28515625" style="117" bestFit="1" customWidth="1"/>
    <col min="19" max="19" width="6.85546875" style="117" bestFit="1" customWidth="1"/>
    <col min="20" max="21" width="8.28515625" style="117" bestFit="1" customWidth="1"/>
    <col min="22" max="22" width="6.85546875" style="117" bestFit="1" customWidth="1"/>
    <col min="23" max="23" width="15.5703125" style="91" bestFit="1" customWidth="1"/>
    <col min="24" max="24" width="15.5703125" style="91" customWidth="1"/>
    <col min="25" max="25" width="16.7109375" style="91" bestFit="1" customWidth="1"/>
    <col min="26" max="27" width="23.7109375" style="87" bestFit="1" customWidth="1"/>
    <col min="28" max="28" width="22" style="87" bestFit="1" customWidth="1"/>
    <col min="29" max="29" width="19.85546875" style="189" bestFit="1" customWidth="1"/>
    <col min="30" max="30" width="20.85546875" style="189" bestFit="1" customWidth="1"/>
    <col min="31" max="31" width="19.5703125" style="189" bestFit="1" customWidth="1"/>
    <col min="32" max="32" width="21.140625" style="87" bestFit="1" customWidth="1"/>
    <col min="33" max="33" width="19.85546875" style="189" bestFit="1" customWidth="1"/>
    <col min="34" max="34" width="18.42578125" style="87" customWidth="1"/>
    <col min="35" max="35" width="15.42578125" style="87" bestFit="1" customWidth="1"/>
    <col min="36" max="36" width="13" style="87" customWidth="1"/>
    <col min="37" max="37" width="16" style="87" bestFit="1" customWidth="1"/>
    <col min="38" max="38" width="18.28515625" style="87" bestFit="1" customWidth="1"/>
    <col min="39" max="40" width="18.28515625" style="195" bestFit="1" customWidth="1"/>
    <col min="41" max="41" width="18.28515625" style="87" bestFit="1" customWidth="1"/>
    <col min="42" max="16384" width="9.140625" style="87"/>
  </cols>
  <sheetData>
    <row r="1" spans="1:41" ht="15" customHeight="1" x14ac:dyDescent="0.25"/>
    <row r="2" spans="1:41" ht="15" customHeight="1" x14ac:dyDescent="0.25"/>
    <row r="3" spans="1:41" ht="15" customHeight="1" x14ac:dyDescent="0.25"/>
    <row r="4" spans="1:41" ht="52.5" customHeight="1" x14ac:dyDescent="0.25">
      <c r="A4" s="82" t="s">
        <v>714</v>
      </c>
      <c r="B4" s="82" t="s">
        <v>8</v>
      </c>
      <c r="C4" s="82" t="s">
        <v>1146</v>
      </c>
      <c r="D4" s="102" t="s">
        <v>10</v>
      </c>
      <c r="E4" s="103" t="s">
        <v>2</v>
      </c>
      <c r="F4" s="82" t="s">
        <v>104</v>
      </c>
      <c r="G4" s="82" t="s">
        <v>217</v>
      </c>
      <c r="H4" s="82" t="s">
        <v>3</v>
      </c>
      <c r="I4" s="82" t="s">
        <v>102</v>
      </c>
      <c r="J4" s="82" t="s">
        <v>101</v>
      </c>
      <c r="K4" s="82" t="s">
        <v>103</v>
      </c>
      <c r="L4" s="82" t="s">
        <v>208</v>
      </c>
      <c r="M4" s="110" t="s">
        <v>120</v>
      </c>
      <c r="N4" s="110" t="s">
        <v>121</v>
      </c>
      <c r="O4" s="110" t="s">
        <v>122</v>
      </c>
      <c r="P4" s="110" t="s">
        <v>123</v>
      </c>
      <c r="Q4" s="110" t="s">
        <v>124</v>
      </c>
      <c r="R4" s="118" t="s">
        <v>125</v>
      </c>
      <c r="S4" s="118" t="s">
        <v>126</v>
      </c>
      <c r="T4" s="118" t="s">
        <v>127</v>
      </c>
      <c r="U4" s="118" t="s">
        <v>128</v>
      </c>
      <c r="V4" s="118" t="s">
        <v>129</v>
      </c>
      <c r="W4" s="111" t="s">
        <v>130</v>
      </c>
      <c r="X4" s="111" t="s">
        <v>712</v>
      </c>
      <c r="Y4" s="111" t="s">
        <v>231</v>
      </c>
      <c r="Z4" s="112" t="s">
        <v>131</v>
      </c>
      <c r="AA4" s="112" t="s">
        <v>132</v>
      </c>
      <c r="AB4" s="112" t="s">
        <v>133</v>
      </c>
      <c r="AC4" s="112" t="s">
        <v>134</v>
      </c>
      <c r="AD4" s="112" t="s">
        <v>135</v>
      </c>
      <c r="AE4" s="112" t="s">
        <v>136</v>
      </c>
      <c r="AF4" s="110" t="s">
        <v>137</v>
      </c>
      <c r="AG4" s="112" t="s">
        <v>138</v>
      </c>
      <c r="AH4" s="110" t="s">
        <v>139</v>
      </c>
      <c r="AI4" s="110" t="s">
        <v>140</v>
      </c>
      <c r="AJ4" s="110" t="s">
        <v>141</v>
      </c>
      <c r="AK4" s="110" t="s">
        <v>142</v>
      </c>
      <c r="AL4" s="110" t="s">
        <v>143</v>
      </c>
      <c r="AM4" s="196" t="s">
        <v>1156</v>
      </c>
      <c r="AN4" s="196" t="s">
        <v>1159</v>
      </c>
      <c r="AO4" s="110" t="s">
        <v>1157</v>
      </c>
    </row>
    <row r="5" spans="1:41" s="215" customFormat="1" ht="15" customHeight="1" x14ac:dyDescent="0.25">
      <c r="A5" s="210" t="str">
        <f t="shared" ref="A5:A24" si="0">LEFT(B5,1)</f>
        <v>B</v>
      </c>
      <c r="B5" s="210" t="s">
        <v>46</v>
      </c>
      <c r="C5" s="210" t="s">
        <v>1147</v>
      </c>
      <c r="D5" s="211">
        <v>0</v>
      </c>
      <c r="E5" s="212">
        <v>2</v>
      </c>
      <c r="F5" s="213" t="str">
        <f t="shared" ref="F5:F12" si="1">LEFT(B5,2)&amp;D5&amp;E5</f>
        <v>B402</v>
      </c>
      <c r="G5" s="214" t="str">
        <f>VLOOKUP(B5,'PREMIUM TABLES'!$G$107:$H$149,2,FALSE)</f>
        <v>C1</v>
      </c>
      <c r="H5" s="213">
        <v>128.28</v>
      </c>
      <c r="I5" s="213">
        <v>139.36450602070562</v>
      </c>
      <c r="J5" s="213">
        <f>(1.22*H5)+J6</f>
        <v>308.83079999999995</v>
      </c>
      <c r="K5" s="213">
        <v>86.075999999999993</v>
      </c>
      <c r="M5" s="215" t="s">
        <v>180</v>
      </c>
      <c r="N5" s="215" t="s">
        <v>190</v>
      </c>
      <c r="O5" s="216" t="s">
        <v>209</v>
      </c>
      <c r="P5" s="215" t="str">
        <f>VLOOKUP(D5,'PREMIUM TABLES'!$F$214:$G$219,2,FALSE)</f>
        <v>GROUND</v>
      </c>
      <c r="Q5" s="215" t="str" cm="1">
        <f t="array" ref="Q5">IF(AND(J5&gt;0,J5&lt;89),"A",IF(AND(J5&gt;89,J5&lt;122),"B",IF(AND(J5&gt;122,J5&lt;160),"C",IF(AND(J5&gt;160,J5&lt;185),"D",IF(AND(J5&gt;185,J5&lt;230),"E",IF(AND(J5&gt;230,J5&lt;350),"F",NONE))))))</f>
        <v>F</v>
      </c>
      <c r="R5" s="217">
        <f>VLOOKUP(M5,'PREMIUM TABLES'!$G$165:$H$172,2,FALSE)</f>
        <v>0.13</v>
      </c>
      <c r="S5" s="217" t="e">
        <f>VLOOKUP(N5,'PREMIUM TABLES'!#REF!,2,FALSE)</f>
        <v>#REF!</v>
      </c>
      <c r="T5" s="217">
        <f>VLOOKUP(O5,'PREMIUM TABLES'!$G$175:$H$195,2,FALSE)</f>
        <v>0.6</v>
      </c>
      <c r="U5" s="217">
        <f>VLOOKUP(P5,'PREMIUM TABLES'!$G$214:$H$219,2,FALSE)</f>
        <v>0.05</v>
      </c>
      <c r="V5" s="217">
        <f>VLOOKUP(Q5,'PREMIUM TABLES'!$F$199:$H$205,3,FALSE)</f>
        <v>0</v>
      </c>
      <c r="W5" s="218" t="e">
        <f t="shared" ref="W5:W24" si="2">SUM(R5:V5)</f>
        <v>#REF!</v>
      </c>
      <c r="X5" s="218" t="e" cm="1">
        <f t="array" ref="X5">IF(AND(W5&gt;0,W5&lt;0.5),"C",IF(AND(W5&gt;=0.5,W5&lt;0.73),"B",IF(AND(W5&gt;=0.73,W5&lt;0.98),"A",NONE)))</f>
        <v>#REF!</v>
      </c>
      <c r="Y5" s="218" t="str">
        <f>VLOOKUP(F5,'ALL (R)'!$H$5:$L$880,5,FALSE)</f>
        <v>R8</v>
      </c>
      <c r="Z5" s="219" t="e">
        <f>VLOOKUP(Y5,FACTS!$B$2:$L$13,10,FALSE)</f>
        <v>#N/A</v>
      </c>
      <c r="AA5" s="219" t="e">
        <f>VLOOKUP(Y5,FACTS!$B$2:$L$13,11,FALSE)</f>
        <v>#N/A</v>
      </c>
      <c r="AB5" s="219" t="e">
        <f>VLOOKUP(Y5,FACTS!$B$2:$N$13,13,FALSE)</f>
        <v>#N/A</v>
      </c>
      <c r="AC5" s="219" t="e">
        <f t="shared" ref="AC5:AC24" si="3">AB5*W5</f>
        <v>#N/A</v>
      </c>
      <c r="AD5" s="219" t="e">
        <f t="shared" ref="AD5:AD24" si="4">AC5+Z5</f>
        <v>#N/A</v>
      </c>
      <c r="AE5" s="219" t="e">
        <f>AD5*FACTS!$T$2</f>
        <v>#N/A</v>
      </c>
      <c r="AF5" s="219" t="e">
        <f t="shared" ref="AF5:AG8" si="5">AD5*J5</f>
        <v>#N/A</v>
      </c>
      <c r="AG5" s="219" t="e">
        <f t="shared" si="5"/>
        <v>#N/A</v>
      </c>
      <c r="AH5" s="219" t="e">
        <f>(AG5+AF5)*FACTS!$S$2</f>
        <v>#N/A</v>
      </c>
      <c r="AI5" s="220">
        <f>VLOOKUP(Q5,FACTS!$A$17:$C$23,3,FALSE)</f>
        <v>2</v>
      </c>
      <c r="AJ5" s="219" t="e">
        <f>VLOOKUP(Y5,FACTS!$B$2:$J$13,9,FALSE)</f>
        <v>#N/A</v>
      </c>
      <c r="AK5" s="219" t="e">
        <f t="shared" ref="AK5:AK24" si="6">AJ5*AI5</f>
        <v>#N/A</v>
      </c>
      <c r="AL5" s="219" t="e">
        <f t="shared" ref="AL5:AL24" si="7">AK5+AH5+AG5+AF5</f>
        <v>#N/A</v>
      </c>
      <c r="AM5" s="221">
        <f>VLOOKUP(G5,'C PHASES'!$I$108:$J$110,2,FALSE)</f>
        <v>45839</v>
      </c>
      <c r="AN5" s="221" t="e">
        <f>VLOOKUP(Y5,'C PHASES'!$I$113:$J$125,2,FALSE)</f>
        <v>#N/A</v>
      </c>
      <c r="AO5" s="222" t="e">
        <f t="shared" ref="AO5:AO24" si="8">(AM5-AN5)/365</f>
        <v>#N/A</v>
      </c>
    </row>
    <row r="6" spans="1:41" s="202" customFormat="1" ht="15" customHeight="1" x14ac:dyDescent="0.25">
      <c r="A6" s="197" t="str">
        <f t="shared" si="0"/>
        <v>B</v>
      </c>
      <c r="B6" s="197" t="s">
        <v>46</v>
      </c>
      <c r="C6" s="197" t="s">
        <v>1147</v>
      </c>
      <c r="D6" s="198">
        <v>1</v>
      </c>
      <c r="E6" s="199">
        <v>2</v>
      </c>
      <c r="F6" s="200" t="str">
        <f t="shared" si="1"/>
        <v>B412</v>
      </c>
      <c r="G6" s="201" t="str">
        <f>VLOOKUP(B6,'PREMIUM TABLES'!$G$107:$H$149,2,FALSE)</f>
        <v>C1</v>
      </c>
      <c r="H6" s="200">
        <v>124.86</v>
      </c>
      <c r="I6" s="200">
        <v>135.64898832043423</v>
      </c>
      <c r="J6" s="200">
        <f>1.22*H6</f>
        <v>152.32919999999999</v>
      </c>
      <c r="K6" s="200"/>
      <c r="M6" s="202" t="s">
        <v>180</v>
      </c>
      <c r="N6" s="202" t="s">
        <v>190</v>
      </c>
      <c r="O6" s="203" t="s">
        <v>209</v>
      </c>
      <c r="P6" s="202" t="str">
        <f>VLOOKUP(D6,'PREMIUM TABLES'!$F$214:$G$219,2,FALSE)</f>
        <v>FIRST</v>
      </c>
      <c r="Q6" s="215" t="str" cm="1">
        <f t="array" ref="Q6">IF(AND(J6&gt;0,J6&lt;89),"A",IF(AND(J6&gt;89,J6&lt;122),"B",IF(AND(J6&gt;122,J6&lt;160),"C",IF(AND(J6&gt;160,J6&lt;185),"D",IF(AND(J6&gt;185,J6&lt;230),"E",IF(AND(J6&gt;230,J6&lt;350),"F",NONE))))))</f>
        <v>C</v>
      </c>
      <c r="R6" s="204">
        <f>VLOOKUP(M6,'PREMIUM TABLES'!$G$165:$H$172,2,FALSE)</f>
        <v>0.13</v>
      </c>
      <c r="S6" s="204" t="e">
        <f>VLOOKUP(N6,'PREMIUM TABLES'!#REF!,2,FALSE)</f>
        <v>#REF!</v>
      </c>
      <c r="T6" s="204">
        <f>VLOOKUP(O6,'PREMIUM TABLES'!$G$175:$H$195,2,FALSE)</f>
        <v>0.6</v>
      </c>
      <c r="U6" s="204">
        <f>VLOOKUP(P6,'PREMIUM TABLES'!$G$214:$H$219,2,FALSE)</f>
        <v>7.0000000000000007E-2</v>
      </c>
      <c r="V6" s="217">
        <f>VLOOKUP(Q6,'PREMIUM TABLES'!$F$199:$H$205,3,FALSE)</f>
        <v>3.5000000000000003E-2</v>
      </c>
      <c r="W6" s="205" t="e">
        <f t="shared" si="2"/>
        <v>#REF!</v>
      </c>
      <c r="X6" s="205" t="e" cm="1">
        <f t="array" ref="X6">IF(AND(W6&gt;0,W6&lt;0.5),"C",IF(AND(W6&gt;=0.5,W6&lt;0.73),"B",IF(AND(W6&gt;=0.73,W6&lt;0.98),"A",NONE)))</f>
        <v>#REF!</v>
      </c>
      <c r="Y6" s="205" t="str">
        <f>VLOOKUP(F6,'ALL (R)'!$H$5:$L$880,5,FALSE)</f>
        <v>R9</v>
      </c>
      <c r="Z6" s="206" t="e">
        <f>VLOOKUP(Y6,FACTS!$B$2:$L$13,10,FALSE)</f>
        <v>#N/A</v>
      </c>
      <c r="AA6" s="206" t="e">
        <f>VLOOKUP(Y6,FACTS!$B$2:$L$13,11,FALSE)</f>
        <v>#N/A</v>
      </c>
      <c r="AB6" s="206" t="e">
        <f>VLOOKUP(Y6,FACTS!$B$2:$N$13,13,FALSE)</f>
        <v>#N/A</v>
      </c>
      <c r="AC6" s="206" t="e">
        <f t="shared" si="3"/>
        <v>#N/A</v>
      </c>
      <c r="AD6" s="206" t="e">
        <f t="shared" si="4"/>
        <v>#N/A</v>
      </c>
      <c r="AE6" s="206" t="e">
        <f>AD6*FACTS!$T$2</f>
        <v>#N/A</v>
      </c>
      <c r="AF6" s="206" t="e">
        <f>AD6*J6</f>
        <v>#N/A</v>
      </c>
      <c r="AG6" s="206" t="e">
        <f>AE6*K6</f>
        <v>#N/A</v>
      </c>
      <c r="AH6" s="206" t="e">
        <f>(AG6+AF6)*FACTS!$S$2</f>
        <v>#N/A</v>
      </c>
      <c r="AI6" s="220">
        <f>VLOOKUP(Q6,FACTS!$A$17:$C$23,3,FALSE)</f>
        <v>2</v>
      </c>
      <c r="AJ6" s="206" t="e">
        <f>VLOOKUP(Y6,FACTS!$B$2:$J$13,9,FALSE)</f>
        <v>#N/A</v>
      </c>
      <c r="AK6" s="206" t="e">
        <f t="shared" si="6"/>
        <v>#N/A</v>
      </c>
      <c r="AL6" s="206" t="e">
        <f t="shared" si="7"/>
        <v>#N/A</v>
      </c>
      <c r="AM6" s="207">
        <f>VLOOKUP(G6,'C PHASES'!$I$108:$J$110,2,FALSE)</f>
        <v>45839</v>
      </c>
      <c r="AN6" s="207" t="e">
        <f>VLOOKUP(Y6,'C PHASES'!$I$113:$J$125,2,FALSE)</f>
        <v>#N/A</v>
      </c>
      <c r="AO6" s="208" t="e">
        <f t="shared" si="8"/>
        <v>#N/A</v>
      </c>
    </row>
    <row r="7" spans="1:41" s="215" customFormat="1" ht="15" customHeight="1" x14ac:dyDescent="0.25">
      <c r="A7" s="210" t="str">
        <f t="shared" si="0"/>
        <v>B</v>
      </c>
      <c r="B7" s="210" t="s">
        <v>46</v>
      </c>
      <c r="C7" s="210" t="s">
        <v>1147</v>
      </c>
      <c r="D7" s="211">
        <v>0</v>
      </c>
      <c r="E7" s="212">
        <v>3</v>
      </c>
      <c r="F7" s="213" t="str">
        <f t="shared" si="1"/>
        <v>B403</v>
      </c>
      <c r="G7" s="214" t="str">
        <f>VLOOKUP(B7,'PREMIUM TABLES'!$G$107:$H$149,2,FALSE)</f>
        <v>C1</v>
      </c>
      <c r="H7" s="213">
        <v>125.03</v>
      </c>
      <c r="I7" s="213">
        <v>135.83367779676351</v>
      </c>
      <c r="J7" s="213">
        <f>(1.22*H7)+J8</f>
        <v>300.96179999999998</v>
      </c>
      <c r="K7" s="213">
        <v>85.509600000000006</v>
      </c>
      <c r="M7" s="215" t="s">
        <v>180</v>
      </c>
      <c r="N7" s="215" t="s">
        <v>190</v>
      </c>
      <c r="O7" s="216" t="s">
        <v>209</v>
      </c>
      <c r="P7" s="215" t="str">
        <f>VLOOKUP(D7,'PREMIUM TABLES'!$F$214:$G$219,2,FALSE)</f>
        <v>GROUND</v>
      </c>
      <c r="Q7" s="215" t="str" cm="1">
        <f t="array" ref="Q7">IF(AND(J7&gt;0,J7&lt;89),"A",IF(AND(J7&gt;89,J7&lt;122),"B",IF(AND(J7&gt;122,J7&lt;160),"C",IF(AND(J7&gt;160,J7&lt;185),"D",IF(AND(J7&gt;185,J7&lt;230),"E",IF(AND(J7&gt;230,J7&lt;350),"F",NONE))))))</f>
        <v>F</v>
      </c>
      <c r="R7" s="217">
        <f>VLOOKUP(M7,'PREMIUM TABLES'!$G$165:$H$172,2,FALSE)</f>
        <v>0.13</v>
      </c>
      <c r="S7" s="217" t="e">
        <f>VLOOKUP(N7,'PREMIUM TABLES'!#REF!,2,FALSE)</f>
        <v>#REF!</v>
      </c>
      <c r="T7" s="217">
        <f>VLOOKUP(O7,'PREMIUM TABLES'!$G$175:$H$195,2,FALSE)</f>
        <v>0.6</v>
      </c>
      <c r="U7" s="217">
        <f>VLOOKUP(P7,'PREMIUM TABLES'!$G$214:$H$219,2,FALSE)</f>
        <v>0.05</v>
      </c>
      <c r="V7" s="217">
        <f>VLOOKUP(Q7,'PREMIUM TABLES'!$F$199:$H$205,3,FALSE)</f>
        <v>0</v>
      </c>
      <c r="W7" s="218" t="e">
        <f t="shared" si="2"/>
        <v>#REF!</v>
      </c>
      <c r="X7" s="218" t="e" cm="1">
        <f t="array" ref="X7">IF(AND(W7&gt;0,W7&lt;0.5),"C",IF(AND(W7&gt;=0.5,W7&lt;0.73),"B",IF(AND(W7&gt;=0.73,W7&lt;0.98),"A",NONE)))</f>
        <v>#REF!</v>
      </c>
      <c r="Y7" s="218" t="str">
        <f>VLOOKUP(F7,'ALL (R)'!$H$5:$L$880,5,FALSE)</f>
        <v>R8</v>
      </c>
      <c r="Z7" s="219" t="e">
        <f>VLOOKUP(Y7,FACTS!$B$2:$L$13,10,FALSE)</f>
        <v>#N/A</v>
      </c>
      <c r="AA7" s="219" t="e">
        <f>VLOOKUP(Y7,FACTS!$B$2:$L$13,11,FALSE)</f>
        <v>#N/A</v>
      </c>
      <c r="AB7" s="219" t="e">
        <f>VLOOKUP(Y7,FACTS!$B$2:$N$13,13,FALSE)</f>
        <v>#N/A</v>
      </c>
      <c r="AC7" s="219" t="e">
        <f t="shared" si="3"/>
        <v>#N/A</v>
      </c>
      <c r="AD7" s="219" t="e">
        <f t="shared" si="4"/>
        <v>#N/A</v>
      </c>
      <c r="AE7" s="219" t="e">
        <f>AD7*FACTS!$T$2</f>
        <v>#N/A</v>
      </c>
      <c r="AF7" s="219" t="e">
        <f t="shared" si="5"/>
        <v>#N/A</v>
      </c>
      <c r="AG7" s="219" t="e">
        <f t="shared" si="5"/>
        <v>#N/A</v>
      </c>
      <c r="AH7" s="219" t="e">
        <f>(AG7+AF7)*FACTS!$S$2</f>
        <v>#N/A</v>
      </c>
      <c r="AI7" s="220">
        <f>VLOOKUP(Q7,FACTS!$A$17:$C$23,3,FALSE)</f>
        <v>2</v>
      </c>
      <c r="AJ7" s="219" t="e">
        <f>VLOOKUP(Y7,FACTS!$B$2:$J$13,9,FALSE)</f>
        <v>#N/A</v>
      </c>
      <c r="AK7" s="219" t="e">
        <f t="shared" si="6"/>
        <v>#N/A</v>
      </c>
      <c r="AL7" s="219" t="e">
        <f t="shared" si="7"/>
        <v>#N/A</v>
      </c>
      <c r="AM7" s="221">
        <f>VLOOKUP(G7,'C PHASES'!$I$108:$J$110,2,FALSE)</f>
        <v>45839</v>
      </c>
      <c r="AN7" s="221" t="e">
        <f>VLOOKUP(Y7,'C PHASES'!$I$113:$J$125,2,FALSE)</f>
        <v>#N/A</v>
      </c>
      <c r="AO7" s="222" t="e">
        <f t="shared" si="8"/>
        <v>#N/A</v>
      </c>
    </row>
    <row r="8" spans="1:41" s="202" customFormat="1" ht="15" customHeight="1" x14ac:dyDescent="0.25">
      <c r="A8" s="197" t="str">
        <f t="shared" si="0"/>
        <v>B</v>
      </c>
      <c r="B8" s="197" t="s">
        <v>46</v>
      </c>
      <c r="C8" s="197" t="s">
        <v>1147</v>
      </c>
      <c r="D8" s="198">
        <v>1</v>
      </c>
      <c r="E8" s="199">
        <v>3</v>
      </c>
      <c r="F8" s="200" t="str">
        <f t="shared" si="1"/>
        <v>B413</v>
      </c>
      <c r="G8" s="201" t="str">
        <f>VLOOKUP(B8,'PREMIUM TABLES'!$G$107:$H$149,2,FALSE)</f>
        <v>C1</v>
      </c>
      <c r="H8" s="200">
        <v>121.66</v>
      </c>
      <c r="I8" s="200">
        <v>132.17248053070662</v>
      </c>
      <c r="J8" s="200">
        <f>1.22*H8</f>
        <v>148.42519999999999</v>
      </c>
      <c r="K8" s="200"/>
      <c r="M8" s="202" t="s">
        <v>180</v>
      </c>
      <c r="N8" s="202" t="s">
        <v>190</v>
      </c>
      <c r="O8" s="203" t="s">
        <v>209</v>
      </c>
      <c r="P8" s="202" t="str">
        <f>VLOOKUP(D8,'PREMIUM TABLES'!$F$214:$G$219,2,FALSE)</f>
        <v>FIRST</v>
      </c>
      <c r="Q8" s="215" t="str" cm="1">
        <f t="array" ref="Q8">IF(AND(J8&gt;0,J8&lt;89),"A",IF(AND(J8&gt;89,J8&lt;122),"B",IF(AND(J8&gt;122,J8&lt;160),"C",IF(AND(J8&gt;160,J8&lt;185),"D",IF(AND(J8&gt;185,J8&lt;230),"E",IF(AND(J8&gt;230,J8&lt;350),"F",NONE))))))</f>
        <v>C</v>
      </c>
      <c r="R8" s="204">
        <f>VLOOKUP(M8,'PREMIUM TABLES'!$G$165:$H$172,2,FALSE)</f>
        <v>0.13</v>
      </c>
      <c r="S8" s="204" t="e">
        <f>VLOOKUP(N8,'PREMIUM TABLES'!#REF!,2,FALSE)</f>
        <v>#REF!</v>
      </c>
      <c r="T8" s="204">
        <f>VLOOKUP(O8,'PREMIUM TABLES'!$G$175:$H$195,2,FALSE)</f>
        <v>0.6</v>
      </c>
      <c r="U8" s="204">
        <f>VLOOKUP(P8,'PREMIUM TABLES'!$G$214:$H$219,2,FALSE)</f>
        <v>7.0000000000000007E-2</v>
      </c>
      <c r="V8" s="217">
        <f>VLOOKUP(Q8,'PREMIUM TABLES'!$F$199:$H$205,3,FALSE)</f>
        <v>3.5000000000000003E-2</v>
      </c>
      <c r="W8" s="205" t="e">
        <f t="shared" si="2"/>
        <v>#REF!</v>
      </c>
      <c r="X8" s="205" t="e" cm="1">
        <f t="array" ref="X8">IF(AND(W8&gt;0,W8&lt;0.5),"C",IF(AND(W8&gt;=0.5,W8&lt;0.73),"B",IF(AND(W8&gt;=0.73,W8&lt;0.98),"A",NONE)))</f>
        <v>#REF!</v>
      </c>
      <c r="Y8" s="205" t="str">
        <f>VLOOKUP(F8,'ALL (R)'!$H$5:$L$880,5,FALSE)</f>
        <v>R8</v>
      </c>
      <c r="Z8" s="206" t="e">
        <f>VLOOKUP(Y8,FACTS!$B$2:$L$13,10,FALSE)</f>
        <v>#N/A</v>
      </c>
      <c r="AA8" s="206" t="e">
        <f>VLOOKUP(Y8,FACTS!$B$2:$L$13,11,FALSE)</f>
        <v>#N/A</v>
      </c>
      <c r="AB8" s="206" t="e">
        <f>VLOOKUP(Y8,FACTS!$B$2:$N$13,13,FALSE)</f>
        <v>#N/A</v>
      </c>
      <c r="AC8" s="206" t="e">
        <f t="shared" si="3"/>
        <v>#N/A</v>
      </c>
      <c r="AD8" s="206" t="e">
        <f t="shared" si="4"/>
        <v>#N/A</v>
      </c>
      <c r="AE8" s="206" t="e">
        <f>AD8*FACTS!$T$2</f>
        <v>#N/A</v>
      </c>
      <c r="AF8" s="206" t="e">
        <f t="shared" si="5"/>
        <v>#N/A</v>
      </c>
      <c r="AG8" s="206" t="e">
        <f t="shared" si="5"/>
        <v>#N/A</v>
      </c>
      <c r="AH8" s="206" t="e">
        <f>(AG8+AF8)*FACTS!$S$2</f>
        <v>#N/A</v>
      </c>
      <c r="AI8" s="220">
        <f>VLOOKUP(Q8,FACTS!$A$17:$C$23,3,FALSE)</f>
        <v>2</v>
      </c>
      <c r="AJ8" s="206" t="e">
        <f>VLOOKUP(Y8,FACTS!$B$2:$J$13,9,FALSE)</f>
        <v>#N/A</v>
      </c>
      <c r="AK8" s="206" t="e">
        <f t="shared" si="6"/>
        <v>#N/A</v>
      </c>
      <c r="AL8" s="206" t="e">
        <f t="shared" si="7"/>
        <v>#N/A</v>
      </c>
      <c r="AM8" s="207">
        <f>VLOOKUP(G8,'C PHASES'!$I$108:$J$110,2,FALSE)</f>
        <v>45839</v>
      </c>
      <c r="AN8" s="207" t="e">
        <f>VLOOKUP(Y8,'C PHASES'!$I$113:$J$125,2,FALSE)</f>
        <v>#N/A</v>
      </c>
      <c r="AO8" s="208" t="e">
        <f t="shared" si="8"/>
        <v>#N/A</v>
      </c>
    </row>
    <row r="9" spans="1:41" s="215" customFormat="1" x14ac:dyDescent="0.25">
      <c r="A9" s="210" t="str">
        <f t="shared" si="0"/>
        <v>B</v>
      </c>
      <c r="B9" s="210" t="s">
        <v>53</v>
      </c>
      <c r="C9" s="210" t="s">
        <v>1147</v>
      </c>
      <c r="D9" s="211">
        <v>0</v>
      </c>
      <c r="E9" s="212">
        <v>2</v>
      </c>
      <c r="F9" s="213" t="str">
        <f t="shared" si="1"/>
        <v>B702</v>
      </c>
      <c r="G9" s="214" t="str">
        <f>VLOOKUP(B9,'PREMIUM TABLES'!$G$107:$H$149,2,FALSE)</f>
        <v>C2</v>
      </c>
      <c r="H9" s="214">
        <v>142.05600000000001</v>
      </c>
      <c r="I9" s="213">
        <v>159.30097066468673</v>
      </c>
      <c r="J9" s="213">
        <f>(1.22*H9)+J10</f>
        <v>343.58616000000001</v>
      </c>
      <c r="K9" s="213">
        <v>97.868200000000002</v>
      </c>
      <c r="M9" s="215" t="s">
        <v>180</v>
      </c>
      <c r="N9" s="215" t="s">
        <v>190</v>
      </c>
      <c r="O9" s="216" t="s">
        <v>210</v>
      </c>
      <c r="P9" s="215" t="str">
        <f>VLOOKUP(D9,'PREMIUM TABLES'!$F$214:$G$219,2,FALSE)</f>
        <v>GROUND</v>
      </c>
      <c r="Q9" s="215" t="str" cm="1">
        <f t="array" ref="Q9">IF(AND(J9&gt;0,J9&lt;89),"A",IF(AND(J9&gt;89,J9&lt;122),"B",IF(AND(J9&gt;122,J9&lt;160),"C",IF(AND(J9&gt;160,J9&lt;185),"D",IF(AND(J9&gt;185,J9&lt;230),"E",IF(AND(J9&gt;230,J9&lt;350),"F",NONE))))))</f>
        <v>F</v>
      </c>
      <c r="R9" s="217">
        <f>VLOOKUP(M9,'PREMIUM TABLES'!$G$165:$H$172,2,FALSE)</f>
        <v>0.13</v>
      </c>
      <c r="S9" s="217" t="e">
        <f>VLOOKUP(N9,'PREMIUM TABLES'!#REF!,2,FALSE)</f>
        <v>#REF!</v>
      </c>
      <c r="T9" s="217">
        <f>VLOOKUP(O9,'PREMIUM TABLES'!$G$175:$H$195,2,FALSE)</f>
        <v>0.53</v>
      </c>
      <c r="U9" s="217">
        <f>VLOOKUP(P9,'PREMIUM TABLES'!$G$214:$H$219,2,FALSE)</f>
        <v>0.05</v>
      </c>
      <c r="V9" s="217">
        <f>VLOOKUP(Q9,'PREMIUM TABLES'!$F$199:$H$205,3,FALSE)</f>
        <v>0</v>
      </c>
      <c r="W9" s="218" t="e">
        <f t="shared" si="2"/>
        <v>#REF!</v>
      </c>
      <c r="X9" s="218" t="e" cm="1">
        <f t="array" ref="X9">IF(AND(W9&gt;0,W9&lt;0.5),"C",IF(AND(W9&gt;=0.5,W9&lt;0.73),"B",IF(AND(W9&gt;=0.73,W9&lt;0.98),"A",NONE)))</f>
        <v>#REF!</v>
      </c>
      <c r="Y9" s="218" t="str">
        <f>VLOOKUP(F9,'ALL (R)'!$H$5:$L$880,5,FALSE)</f>
        <v>R2</v>
      </c>
      <c r="Z9" s="219" t="e">
        <f>VLOOKUP(Y9,FACTS!$B$2:$L$13,10,FALSE)</f>
        <v>#N/A</v>
      </c>
      <c r="AA9" s="219" t="e">
        <f>VLOOKUP(Y9,FACTS!$B$2:$L$13,11,FALSE)</f>
        <v>#N/A</v>
      </c>
      <c r="AB9" s="219" t="e">
        <f>VLOOKUP(Y9,FACTS!$B$2:$N$13,13,FALSE)</f>
        <v>#N/A</v>
      </c>
      <c r="AC9" s="219" t="e">
        <f t="shared" si="3"/>
        <v>#N/A</v>
      </c>
      <c r="AD9" s="219" t="e">
        <f t="shared" si="4"/>
        <v>#N/A</v>
      </c>
      <c r="AE9" s="219" t="e">
        <f>AD9*FACTS!$T$2</f>
        <v>#N/A</v>
      </c>
      <c r="AF9" s="219" t="e">
        <f t="shared" ref="AF9:AG12" si="9">AD9*J9</f>
        <v>#N/A</v>
      </c>
      <c r="AG9" s="219" t="e">
        <f t="shared" si="9"/>
        <v>#N/A</v>
      </c>
      <c r="AH9" s="219" t="e">
        <f>(AG9+AF9)*FACTS!$S$2</f>
        <v>#N/A</v>
      </c>
      <c r="AI9" s="220">
        <f>VLOOKUP(Q9,FACTS!$A$17:$C$23,3,FALSE)</f>
        <v>2</v>
      </c>
      <c r="AJ9" s="219" t="e">
        <f>VLOOKUP(Y9,FACTS!$B$2:$J$13,9,FALSE)</f>
        <v>#N/A</v>
      </c>
      <c r="AK9" s="219" t="e">
        <f t="shared" si="6"/>
        <v>#N/A</v>
      </c>
      <c r="AL9" s="219" t="e">
        <f t="shared" si="7"/>
        <v>#N/A</v>
      </c>
      <c r="AM9" s="221">
        <f>VLOOKUP(G9,'C PHASES'!$I$108:$J$110,2,FALSE)</f>
        <v>46204</v>
      </c>
      <c r="AN9" s="221" t="e">
        <f>VLOOKUP(Y9,'C PHASES'!$I$113:$J$125,2,FALSE)</f>
        <v>#N/A</v>
      </c>
      <c r="AO9" s="222" t="e">
        <f t="shared" si="8"/>
        <v>#N/A</v>
      </c>
    </row>
    <row r="10" spans="1:41" s="202" customFormat="1" ht="26.25" customHeight="1" x14ac:dyDescent="0.25">
      <c r="A10" s="197" t="str">
        <f t="shared" si="0"/>
        <v>B</v>
      </c>
      <c r="B10" s="197" t="s">
        <v>53</v>
      </c>
      <c r="C10" s="197" t="s">
        <v>1147</v>
      </c>
      <c r="D10" s="198">
        <v>1</v>
      </c>
      <c r="E10" s="199">
        <v>2</v>
      </c>
      <c r="F10" s="200" t="str">
        <f t="shared" si="1"/>
        <v>B712</v>
      </c>
      <c r="G10" s="201" t="str">
        <f>VLOOKUP(B10,'PREMIUM TABLES'!$G$107:$H$149,2,FALSE)</f>
        <v>C2</v>
      </c>
      <c r="H10" s="201">
        <v>139.572</v>
      </c>
      <c r="I10" s="200">
        <v>156.51542404130524</v>
      </c>
      <c r="J10" s="200">
        <f>1.22*H10</f>
        <v>170.27784</v>
      </c>
      <c r="K10" s="201"/>
      <c r="L10" s="209"/>
      <c r="M10" s="202" t="s">
        <v>180</v>
      </c>
      <c r="N10" s="202" t="s">
        <v>190</v>
      </c>
      <c r="O10" s="203" t="s">
        <v>210</v>
      </c>
      <c r="P10" s="202" t="str">
        <f>VLOOKUP(D10,'PREMIUM TABLES'!$F$214:$G$219,2,FALSE)</f>
        <v>FIRST</v>
      </c>
      <c r="Q10" s="215" t="str" cm="1">
        <f t="array" ref="Q10">IF(AND(J10&gt;0,J10&lt;89),"A",IF(AND(J10&gt;89,J10&lt;122),"B",IF(AND(J10&gt;122,J10&lt;160),"C",IF(AND(J10&gt;160,J10&lt;185),"D",IF(AND(J10&gt;185,J10&lt;230),"E",IF(AND(J10&gt;230,J10&lt;350),"F",NONE))))))</f>
        <v>D</v>
      </c>
      <c r="R10" s="204">
        <f>VLOOKUP(M10,'PREMIUM TABLES'!$G$165:$H$172,2,FALSE)</f>
        <v>0.13</v>
      </c>
      <c r="S10" s="204" t="e">
        <f>VLOOKUP(N10,'PREMIUM TABLES'!#REF!,2,FALSE)</f>
        <v>#REF!</v>
      </c>
      <c r="T10" s="204">
        <f>VLOOKUP(O10,'PREMIUM TABLES'!$G$175:$H$195,2,FALSE)</f>
        <v>0.53</v>
      </c>
      <c r="U10" s="204">
        <f>VLOOKUP(P10,'PREMIUM TABLES'!$G$214:$H$219,2,FALSE)</f>
        <v>7.0000000000000007E-2</v>
      </c>
      <c r="V10" s="217">
        <f>VLOOKUP(Q10,'PREMIUM TABLES'!$F$199:$H$205,3,FALSE)</f>
        <v>2.5000000000000001E-2</v>
      </c>
      <c r="W10" s="205" t="e">
        <f t="shared" si="2"/>
        <v>#REF!</v>
      </c>
      <c r="X10" s="205" t="e" cm="1">
        <f t="array" ref="X10">IF(AND(W10&gt;0,W10&lt;0.5),"C",IF(AND(W10&gt;=0.5,W10&lt;0.73),"B",IF(AND(W10&gt;=0.73,W10&lt;0.98),"A",NONE)))</f>
        <v>#REF!</v>
      </c>
      <c r="Y10" s="205" t="str">
        <f>VLOOKUP(F10,'ALL (R)'!$H$5:$L$880,5,FALSE)</f>
        <v>R4</v>
      </c>
      <c r="Z10" s="206" t="e">
        <f>VLOOKUP(Y10,FACTS!$B$2:$L$13,10,FALSE)</f>
        <v>#N/A</v>
      </c>
      <c r="AA10" s="206" t="e">
        <f>VLOOKUP(Y10,FACTS!$B$2:$L$13,11,FALSE)</f>
        <v>#N/A</v>
      </c>
      <c r="AB10" s="206" t="e">
        <f>VLOOKUP(Y10,FACTS!$B$2:$N$13,13,FALSE)</f>
        <v>#N/A</v>
      </c>
      <c r="AC10" s="206" t="e">
        <f t="shared" si="3"/>
        <v>#N/A</v>
      </c>
      <c r="AD10" s="206" t="e">
        <f t="shared" si="4"/>
        <v>#N/A</v>
      </c>
      <c r="AE10" s="206" t="e">
        <f>AD10*FACTS!$T$2</f>
        <v>#N/A</v>
      </c>
      <c r="AF10" s="206" t="e">
        <f>AD10*J10</f>
        <v>#N/A</v>
      </c>
      <c r="AG10" s="206" t="e">
        <f>AE10*K10</f>
        <v>#N/A</v>
      </c>
      <c r="AH10" s="206" t="e">
        <f>(AG10+AF10)*FACTS!$S$2</f>
        <v>#N/A</v>
      </c>
      <c r="AI10" s="220">
        <f>VLOOKUP(Q10,FACTS!$A$17:$C$23,3,FALSE)</f>
        <v>2</v>
      </c>
      <c r="AJ10" s="206" t="e">
        <f>VLOOKUP(Y10,FACTS!$B$2:$J$13,9,FALSE)</f>
        <v>#N/A</v>
      </c>
      <c r="AK10" s="206" t="e">
        <f t="shared" si="6"/>
        <v>#N/A</v>
      </c>
      <c r="AL10" s="206" t="e">
        <f t="shared" si="7"/>
        <v>#N/A</v>
      </c>
      <c r="AM10" s="207">
        <f>VLOOKUP(G10,'C PHASES'!$I$108:$J$110,2,FALSE)</f>
        <v>46204</v>
      </c>
      <c r="AN10" s="207" t="e">
        <f>VLOOKUP(Y10,'C PHASES'!$I$113:$J$125,2,FALSE)</f>
        <v>#N/A</v>
      </c>
      <c r="AO10" s="208" t="e">
        <f t="shared" si="8"/>
        <v>#N/A</v>
      </c>
    </row>
    <row r="11" spans="1:41" s="215" customFormat="1" x14ac:dyDescent="0.25">
      <c r="A11" s="210" t="str">
        <f t="shared" si="0"/>
        <v>B</v>
      </c>
      <c r="B11" s="210" t="s">
        <v>53</v>
      </c>
      <c r="C11" s="210" t="s">
        <v>1147</v>
      </c>
      <c r="D11" s="211">
        <v>0</v>
      </c>
      <c r="E11" s="212">
        <v>3</v>
      </c>
      <c r="F11" s="213" t="str">
        <f t="shared" si="1"/>
        <v>B703</v>
      </c>
      <c r="G11" s="214" t="str">
        <f>VLOOKUP(B11,'PREMIUM TABLES'!$G$107:$H$149,2,FALSE)</f>
        <v>C2</v>
      </c>
      <c r="H11" s="214">
        <v>142.197</v>
      </c>
      <c r="I11" s="213">
        <v>159.45908744161781</v>
      </c>
      <c r="J11" s="213">
        <f>(1.22*H11)+J12</f>
        <v>343.92898000000002</v>
      </c>
      <c r="K11" s="213">
        <v>97.259299999999996</v>
      </c>
      <c r="M11" s="215" t="s">
        <v>180</v>
      </c>
      <c r="N11" s="215" t="s">
        <v>190</v>
      </c>
      <c r="O11" s="216" t="s">
        <v>210</v>
      </c>
      <c r="P11" s="215" t="str">
        <f>VLOOKUP(D11,'PREMIUM TABLES'!$F$214:$G$219,2,FALSE)</f>
        <v>GROUND</v>
      </c>
      <c r="Q11" s="215" t="str" cm="1">
        <f t="array" ref="Q11">IF(AND(J11&gt;0,J11&lt;89),"A",IF(AND(J11&gt;89,J11&lt;122),"B",IF(AND(J11&gt;122,J11&lt;160),"C",IF(AND(J11&gt;160,J11&lt;185),"D",IF(AND(J11&gt;185,J11&lt;230),"E",IF(AND(J11&gt;230,J11&lt;350),"F",NONE))))))</f>
        <v>F</v>
      </c>
      <c r="R11" s="217">
        <f>VLOOKUP(M11,'PREMIUM TABLES'!$G$165:$H$172,2,FALSE)</f>
        <v>0.13</v>
      </c>
      <c r="S11" s="217" t="e">
        <f>VLOOKUP(N11,'PREMIUM TABLES'!#REF!,2,FALSE)</f>
        <v>#REF!</v>
      </c>
      <c r="T11" s="217">
        <f>VLOOKUP(O11,'PREMIUM TABLES'!$G$175:$H$195,2,FALSE)</f>
        <v>0.53</v>
      </c>
      <c r="U11" s="217">
        <f>VLOOKUP(P11,'PREMIUM TABLES'!$G$214:$H$219,2,FALSE)</f>
        <v>0.05</v>
      </c>
      <c r="V11" s="217">
        <f>VLOOKUP(Q11,'PREMIUM TABLES'!$F$199:$H$205,3,FALSE)</f>
        <v>0</v>
      </c>
      <c r="W11" s="218" t="e">
        <f t="shared" si="2"/>
        <v>#REF!</v>
      </c>
      <c r="X11" s="218" t="e" cm="1">
        <f t="array" ref="X11">IF(AND(W11&gt;0,W11&lt;0.5),"C",IF(AND(W11&gt;=0.5,W11&lt;0.73),"B",IF(AND(W11&gt;=0.73,W11&lt;0.98),"A",NONE)))</f>
        <v>#REF!</v>
      </c>
      <c r="Y11" s="218" t="str">
        <f>VLOOKUP(F11,'ALL (R)'!$H$5:$L$880,5,FALSE)</f>
        <v>R2</v>
      </c>
      <c r="Z11" s="219" t="e">
        <f>VLOOKUP(Y11,FACTS!$B$2:$L$13,10,FALSE)</f>
        <v>#N/A</v>
      </c>
      <c r="AA11" s="219" t="e">
        <f>VLOOKUP(Y11,FACTS!$B$2:$L$13,11,FALSE)</f>
        <v>#N/A</v>
      </c>
      <c r="AB11" s="219" t="e">
        <f>VLOOKUP(Y11,FACTS!$B$2:$N$13,13,FALSE)</f>
        <v>#N/A</v>
      </c>
      <c r="AC11" s="219" t="e">
        <f t="shared" si="3"/>
        <v>#N/A</v>
      </c>
      <c r="AD11" s="219" t="e">
        <f t="shared" si="4"/>
        <v>#N/A</v>
      </c>
      <c r="AE11" s="219" t="e">
        <f>AD11*FACTS!$T$2</f>
        <v>#N/A</v>
      </c>
      <c r="AF11" s="219" t="e">
        <f t="shared" si="9"/>
        <v>#N/A</v>
      </c>
      <c r="AG11" s="219" t="e">
        <f t="shared" si="9"/>
        <v>#N/A</v>
      </c>
      <c r="AH11" s="219" t="e">
        <f>(AG11+AF11)*FACTS!$S$2</f>
        <v>#N/A</v>
      </c>
      <c r="AI11" s="220">
        <f>VLOOKUP(Q11,FACTS!$A$17:$C$23,3,FALSE)</f>
        <v>2</v>
      </c>
      <c r="AJ11" s="219" t="e">
        <f>VLOOKUP(Y11,FACTS!$B$2:$J$13,9,FALSE)</f>
        <v>#N/A</v>
      </c>
      <c r="AK11" s="219" t="e">
        <f t="shared" si="6"/>
        <v>#N/A</v>
      </c>
      <c r="AL11" s="219" t="e">
        <f t="shared" si="7"/>
        <v>#N/A</v>
      </c>
      <c r="AM11" s="221">
        <f>VLOOKUP(G11,'C PHASES'!$I$108:$J$110,2,FALSE)</f>
        <v>46204</v>
      </c>
      <c r="AN11" s="221" t="e">
        <f>VLOOKUP(Y11,'C PHASES'!$I$113:$J$125,2,FALSE)</f>
        <v>#N/A</v>
      </c>
      <c r="AO11" s="222" t="e">
        <f t="shared" si="8"/>
        <v>#N/A</v>
      </c>
    </row>
    <row r="12" spans="1:41" s="202" customFormat="1" ht="26.25" customHeight="1" x14ac:dyDescent="0.25">
      <c r="A12" s="197" t="str">
        <f t="shared" si="0"/>
        <v>B</v>
      </c>
      <c r="B12" s="197" t="s">
        <v>53</v>
      </c>
      <c r="C12" s="197" t="s">
        <v>1147</v>
      </c>
      <c r="D12" s="198">
        <v>1</v>
      </c>
      <c r="E12" s="199">
        <v>3</v>
      </c>
      <c r="F12" s="200" t="str">
        <f t="shared" si="1"/>
        <v>B713</v>
      </c>
      <c r="G12" s="201" t="str">
        <f>VLOOKUP(B12,'PREMIUM TABLES'!$G$107:$H$149,2,FALSE)</f>
        <v>C2</v>
      </c>
      <c r="H12" s="201">
        <v>139.71199999999999</v>
      </c>
      <c r="I12" s="200">
        <v>156.67241942265522</v>
      </c>
      <c r="J12" s="200">
        <f>1.22*H12</f>
        <v>170.44863999999998</v>
      </c>
      <c r="K12" s="201"/>
      <c r="L12" s="209"/>
      <c r="M12" s="202" t="s">
        <v>180</v>
      </c>
      <c r="N12" s="202" t="s">
        <v>190</v>
      </c>
      <c r="O12" s="203" t="s">
        <v>210</v>
      </c>
      <c r="P12" s="202" t="str">
        <f>VLOOKUP(D12,'PREMIUM TABLES'!$F$214:$G$219,2,FALSE)</f>
        <v>FIRST</v>
      </c>
      <c r="Q12" s="215" t="str" cm="1">
        <f t="array" ref="Q12">IF(AND(J12&gt;0,J12&lt;89),"A",IF(AND(J12&gt;89,J12&lt;122),"B",IF(AND(J12&gt;122,J12&lt;160),"C",IF(AND(J12&gt;160,J12&lt;185),"D",IF(AND(J12&gt;185,J12&lt;230),"E",IF(AND(J12&gt;230,J12&lt;350),"F",NONE))))))</f>
        <v>D</v>
      </c>
      <c r="R12" s="204">
        <f>VLOOKUP(M12,'PREMIUM TABLES'!$G$165:$H$172,2,FALSE)</f>
        <v>0.13</v>
      </c>
      <c r="S12" s="204" t="e">
        <f>VLOOKUP(N12,'PREMIUM TABLES'!#REF!,2,FALSE)</f>
        <v>#REF!</v>
      </c>
      <c r="T12" s="204">
        <f>VLOOKUP(O12,'PREMIUM TABLES'!$G$175:$H$195,2,FALSE)</f>
        <v>0.53</v>
      </c>
      <c r="U12" s="204">
        <f>VLOOKUP(P12,'PREMIUM TABLES'!$G$214:$H$219,2,FALSE)</f>
        <v>7.0000000000000007E-2</v>
      </c>
      <c r="V12" s="217">
        <f>VLOOKUP(Q12,'PREMIUM TABLES'!$F$199:$H$205,3,FALSE)</f>
        <v>2.5000000000000001E-2</v>
      </c>
      <c r="W12" s="205" t="e">
        <f t="shared" si="2"/>
        <v>#REF!</v>
      </c>
      <c r="X12" s="205" t="e" cm="1">
        <f t="array" ref="X12">IF(AND(W12&gt;0,W12&lt;0.5),"C",IF(AND(W12&gt;=0.5,W12&lt;0.73),"B",IF(AND(W12&gt;=0.73,W12&lt;0.98),"A",NONE)))</f>
        <v>#REF!</v>
      </c>
      <c r="Y12" s="205" t="str">
        <f>VLOOKUP(F12,'ALL (R)'!$H$5:$L$880,5,FALSE)</f>
        <v>R4</v>
      </c>
      <c r="Z12" s="206" t="e">
        <f>VLOOKUP(Y12,FACTS!$B$2:$L$13,10,FALSE)</f>
        <v>#N/A</v>
      </c>
      <c r="AA12" s="206" t="e">
        <f>VLOOKUP(Y12,FACTS!$B$2:$L$13,11,FALSE)</f>
        <v>#N/A</v>
      </c>
      <c r="AB12" s="206" t="e">
        <f>VLOOKUP(Y12,FACTS!$B$2:$N$13,13,FALSE)</f>
        <v>#N/A</v>
      </c>
      <c r="AC12" s="206" t="e">
        <f t="shared" si="3"/>
        <v>#N/A</v>
      </c>
      <c r="AD12" s="206" t="e">
        <f t="shared" si="4"/>
        <v>#N/A</v>
      </c>
      <c r="AE12" s="206" t="e">
        <f>AD12*FACTS!$T$2</f>
        <v>#N/A</v>
      </c>
      <c r="AF12" s="206" t="e">
        <f t="shared" si="9"/>
        <v>#N/A</v>
      </c>
      <c r="AG12" s="206" t="e">
        <f t="shared" si="9"/>
        <v>#N/A</v>
      </c>
      <c r="AH12" s="206" t="e">
        <f>(AG12+AF12)*FACTS!$S$2</f>
        <v>#N/A</v>
      </c>
      <c r="AI12" s="220">
        <f>VLOOKUP(Q12,FACTS!$A$17:$C$23,3,FALSE)</f>
        <v>2</v>
      </c>
      <c r="AJ12" s="206" t="e">
        <f>VLOOKUP(Y12,FACTS!$B$2:$J$13,9,FALSE)</f>
        <v>#N/A</v>
      </c>
      <c r="AK12" s="206" t="e">
        <f t="shared" si="6"/>
        <v>#N/A</v>
      </c>
      <c r="AL12" s="206" t="e">
        <f t="shared" si="7"/>
        <v>#N/A</v>
      </c>
      <c r="AM12" s="207">
        <f>VLOOKUP(G12,'C PHASES'!$I$108:$J$110,2,FALSE)</f>
        <v>46204</v>
      </c>
      <c r="AN12" s="207" t="e">
        <f>VLOOKUP(Y12,'C PHASES'!$I$113:$J$125,2,FALSE)</f>
        <v>#N/A</v>
      </c>
      <c r="AO12" s="208" t="e">
        <f t="shared" si="8"/>
        <v>#N/A</v>
      </c>
    </row>
    <row r="13" spans="1:41" s="215" customFormat="1" x14ac:dyDescent="0.25">
      <c r="A13" s="210" t="str">
        <f t="shared" si="0"/>
        <v>B</v>
      </c>
      <c r="B13" s="210" t="s">
        <v>105</v>
      </c>
      <c r="C13" s="210" t="s">
        <v>1147</v>
      </c>
      <c r="D13" s="211">
        <v>0</v>
      </c>
      <c r="E13" s="212">
        <v>2</v>
      </c>
      <c r="F13" s="213" t="str">
        <f t="shared" ref="F13:F24" si="10">LEFT(B13,3)&amp;D13&amp;E13</f>
        <v>B1002</v>
      </c>
      <c r="G13" s="214" t="str">
        <f>VLOOKUP(B13,'PREMIUM TABLES'!$G$107:$H$149,2,FALSE)</f>
        <v>C2</v>
      </c>
      <c r="H13" s="214">
        <v>142.05600000000001</v>
      </c>
      <c r="I13" s="213">
        <v>159.30097066468673</v>
      </c>
      <c r="J13" s="213">
        <f>(1.22*H13)+J14</f>
        <v>343.58616000000001</v>
      </c>
      <c r="K13" s="213">
        <v>97.868200000000002</v>
      </c>
      <c r="M13" s="215" t="s">
        <v>185</v>
      </c>
      <c r="N13" s="215" t="s">
        <v>190</v>
      </c>
      <c r="O13" s="216" t="s">
        <v>210</v>
      </c>
      <c r="P13" s="215" t="str">
        <f>VLOOKUP(D13,'PREMIUM TABLES'!$F$214:$G$219,2,FALSE)</f>
        <v>GROUND</v>
      </c>
      <c r="Q13" s="215" t="str" cm="1">
        <f t="array" ref="Q13">IF(AND(J13&gt;0,J13&lt;89),"A",IF(AND(J13&gt;89,J13&lt;122),"B",IF(AND(J13&gt;122,J13&lt;160),"C",IF(AND(J13&gt;160,J13&lt;185),"D",IF(AND(J13&gt;185,J13&lt;230),"E",IF(AND(J13&gt;230,J13&lt;350),"F",NONE))))))</f>
        <v>F</v>
      </c>
      <c r="R13" s="217">
        <f>VLOOKUP(M13,'PREMIUM TABLES'!$G$165:$H$172,2,FALSE)</f>
        <v>0.06</v>
      </c>
      <c r="S13" s="217" t="e">
        <f>VLOOKUP(N13,'PREMIUM TABLES'!#REF!,2,FALSE)</f>
        <v>#REF!</v>
      </c>
      <c r="T13" s="217">
        <f>VLOOKUP(O13,'PREMIUM TABLES'!$G$175:$H$195,2,FALSE)</f>
        <v>0.53</v>
      </c>
      <c r="U13" s="217">
        <f>VLOOKUP(P13,'PREMIUM TABLES'!$G$214:$H$219,2,FALSE)</f>
        <v>0.05</v>
      </c>
      <c r="V13" s="217">
        <f>VLOOKUP(Q13,'PREMIUM TABLES'!$F$199:$H$205,3,FALSE)</f>
        <v>0</v>
      </c>
      <c r="W13" s="218" t="e">
        <f t="shared" si="2"/>
        <v>#REF!</v>
      </c>
      <c r="X13" s="218" t="e" cm="1">
        <f t="array" ref="X13">IF(AND(W13&gt;0,W13&lt;0.5),"C",IF(AND(W13&gt;=0.5,W13&lt;0.73),"B",IF(AND(W13&gt;=0.73,W13&lt;0.98),"A",NONE)))</f>
        <v>#REF!</v>
      </c>
      <c r="Y13" s="218" t="str">
        <f>VLOOKUP(F13,'ALL (R)'!$H$5:$L$880,5,FALSE)</f>
        <v>R8</v>
      </c>
      <c r="Z13" s="219" t="e">
        <f>VLOOKUP(Y13,FACTS!$B$2:$L$13,10,FALSE)</f>
        <v>#N/A</v>
      </c>
      <c r="AA13" s="219" t="e">
        <f>VLOOKUP(Y13,FACTS!$B$2:$L$13,11,FALSE)</f>
        <v>#N/A</v>
      </c>
      <c r="AB13" s="219" t="e">
        <f>VLOOKUP(Y13,FACTS!$B$2:$N$13,13,FALSE)</f>
        <v>#N/A</v>
      </c>
      <c r="AC13" s="219" t="e">
        <f t="shared" si="3"/>
        <v>#N/A</v>
      </c>
      <c r="AD13" s="219" t="e">
        <f t="shared" si="4"/>
        <v>#N/A</v>
      </c>
      <c r="AE13" s="219" t="e">
        <f>AD13*FACTS!$T$2</f>
        <v>#N/A</v>
      </c>
      <c r="AF13" s="219" t="e">
        <f t="shared" ref="AF13:AG16" si="11">AD13*J13</f>
        <v>#N/A</v>
      </c>
      <c r="AG13" s="219" t="e">
        <f t="shared" si="11"/>
        <v>#N/A</v>
      </c>
      <c r="AH13" s="219" t="e">
        <f>(AG13+AF13)*FACTS!$S$2</f>
        <v>#N/A</v>
      </c>
      <c r="AI13" s="220">
        <f>VLOOKUP(Q13,FACTS!$A$17:$C$23,3,FALSE)</f>
        <v>2</v>
      </c>
      <c r="AJ13" s="219" t="e">
        <f>VLOOKUP(Y13,FACTS!$B$2:$J$13,9,FALSE)</f>
        <v>#N/A</v>
      </c>
      <c r="AK13" s="219" t="e">
        <f t="shared" si="6"/>
        <v>#N/A</v>
      </c>
      <c r="AL13" s="219" t="e">
        <f t="shared" si="7"/>
        <v>#N/A</v>
      </c>
      <c r="AM13" s="221">
        <f>VLOOKUP(G13,'C PHASES'!$I$108:$J$110,2,FALSE)</f>
        <v>46204</v>
      </c>
      <c r="AN13" s="221" t="e">
        <f>VLOOKUP(Y13,'C PHASES'!$I$113:$J$125,2,FALSE)</f>
        <v>#N/A</v>
      </c>
      <c r="AO13" s="222" t="e">
        <f t="shared" si="8"/>
        <v>#N/A</v>
      </c>
    </row>
    <row r="14" spans="1:41" s="202" customFormat="1" x14ac:dyDescent="0.25">
      <c r="A14" s="197" t="str">
        <f t="shared" si="0"/>
        <v>B</v>
      </c>
      <c r="B14" s="197" t="s">
        <v>105</v>
      </c>
      <c r="C14" s="197" t="s">
        <v>1147</v>
      </c>
      <c r="D14" s="198">
        <v>1</v>
      </c>
      <c r="E14" s="199">
        <v>2</v>
      </c>
      <c r="F14" s="200" t="str">
        <f t="shared" si="10"/>
        <v>B1012</v>
      </c>
      <c r="G14" s="201" t="str">
        <f>VLOOKUP(B14,'PREMIUM TABLES'!$G$107:$H$149,2,FALSE)</f>
        <v>C2</v>
      </c>
      <c r="H14" s="201">
        <v>139.572</v>
      </c>
      <c r="I14" s="200">
        <v>156.51542404130524</v>
      </c>
      <c r="J14" s="200">
        <f>1.22*H14</f>
        <v>170.27784</v>
      </c>
      <c r="K14" s="201"/>
      <c r="L14" s="209"/>
      <c r="M14" s="202" t="s">
        <v>185</v>
      </c>
      <c r="N14" s="202" t="s">
        <v>190</v>
      </c>
      <c r="O14" s="203" t="s">
        <v>210</v>
      </c>
      <c r="P14" s="202" t="str">
        <f>VLOOKUP(D14,'PREMIUM TABLES'!$F$214:$G$219,2,FALSE)</f>
        <v>FIRST</v>
      </c>
      <c r="Q14" s="215" t="str" cm="1">
        <f t="array" ref="Q14">IF(AND(J14&gt;0,J14&lt;89),"A",IF(AND(J14&gt;89,J14&lt;122),"B",IF(AND(J14&gt;122,J14&lt;160),"C",IF(AND(J14&gt;160,J14&lt;185),"D",IF(AND(J14&gt;185,J14&lt;230),"E",IF(AND(J14&gt;230,J14&lt;350),"F",NONE))))))</f>
        <v>D</v>
      </c>
      <c r="R14" s="204">
        <f>VLOOKUP(M14,'PREMIUM TABLES'!$G$165:$H$172,2,FALSE)</f>
        <v>0.06</v>
      </c>
      <c r="S14" s="204" t="e">
        <f>VLOOKUP(N14,'PREMIUM TABLES'!#REF!,2,FALSE)</f>
        <v>#REF!</v>
      </c>
      <c r="T14" s="204">
        <f>VLOOKUP(O14,'PREMIUM TABLES'!$G$175:$H$195,2,FALSE)</f>
        <v>0.53</v>
      </c>
      <c r="U14" s="204">
        <f>VLOOKUP(P14,'PREMIUM TABLES'!$G$214:$H$219,2,FALSE)</f>
        <v>7.0000000000000007E-2</v>
      </c>
      <c r="V14" s="217">
        <f>VLOOKUP(Q14,'PREMIUM TABLES'!$F$199:$H$205,3,FALSE)</f>
        <v>2.5000000000000001E-2</v>
      </c>
      <c r="W14" s="205" t="e">
        <f t="shared" si="2"/>
        <v>#REF!</v>
      </c>
      <c r="X14" s="205" t="e" cm="1">
        <f t="array" ref="X14">IF(AND(W14&gt;0,W14&lt;0.5),"C",IF(AND(W14&gt;=0.5,W14&lt;0.73),"B",IF(AND(W14&gt;=0.73,W14&lt;0.98),"A",NONE)))</f>
        <v>#REF!</v>
      </c>
      <c r="Y14" s="205" t="str">
        <f>VLOOKUP(F14,'ALL (R)'!$H$5:$L$880,5,FALSE)</f>
        <v>R10</v>
      </c>
      <c r="Z14" s="206" t="e">
        <f>VLOOKUP(Y14,FACTS!$B$2:$L$13,10,FALSE)</f>
        <v>#N/A</v>
      </c>
      <c r="AA14" s="206" t="e">
        <f>VLOOKUP(Y14,FACTS!$B$2:$L$13,11,FALSE)</f>
        <v>#N/A</v>
      </c>
      <c r="AB14" s="206" t="e">
        <f>VLOOKUP(Y14,FACTS!$B$2:$N$13,13,FALSE)</f>
        <v>#N/A</v>
      </c>
      <c r="AC14" s="206" t="e">
        <f t="shared" si="3"/>
        <v>#N/A</v>
      </c>
      <c r="AD14" s="206" t="e">
        <f t="shared" si="4"/>
        <v>#N/A</v>
      </c>
      <c r="AE14" s="206" t="e">
        <f>AD14*FACTS!$T$2</f>
        <v>#N/A</v>
      </c>
      <c r="AF14" s="206" t="e">
        <f>AD14*J14</f>
        <v>#N/A</v>
      </c>
      <c r="AG14" s="206" t="e">
        <f>AE14*K14</f>
        <v>#N/A</v>
      </c>
      <c r="AH14" s="206" t="e">
        <f>(AG14+AF14)*FACTS!$S$2</f>
        <v>#N/A</v>
      </c>
      <c r="AI14" s="220">
        <f>VLOOKUP(Q14,FACTS!$A$17:$C$23,3,FALSE)</f>
        <v>2</v>
      </c>
      <c r="AJ14" s="206" t="e">
        <f>VLOOKUP(Y14,FACTS!$B$2:$J$13,9,FALSE)</f>
        <v>#N/A</v>
      </c>
      <c r="AK14" s="206" t="e">
        <f t="shared" si="6"/>
        <v>#N/A</v>
      </c>
      <c r="AL14" s="206" t="e">
        <f t="shared" si="7"/>
        <v>#N/A</v>
      </c>
      <c r="AM14" s="207">
        <f>VLOOKUP(G14,'C PHASES'!$I$108:$J$110,2,FALSE)</f>
        <v>46204</v>
      </c>
      <c r="AN14" s="207" t="e">
        <f>VLOOKUP(Y14,'C PHASES'!$I$113:$J$125,2,FALSE)</f>
        <v>#N/A</v>
      </c>
      <c r="AO14" s="208" t="e">
        <f t="shared" si="8"/>
        <v>#N/A</v>
      </c>
    </row>
    <row r="15" spans="1:41" s="215" customFormat="1" x14ac:dyDescent="0.25">
      <c r="A15" s="210" t="str">
        <f t="shared" si="0"/>
        <v>B</v>
      </c>
      <c r="B15" s="210" t="s">
        <v>105</v>
      </c>
      <c r="C15" s="210" t="s">
        <v>1147</v>
      </c>
      <c r="D15" s="211">
        <v>0</v>
      </c>
      <c r="E15" s="212">
        <v>3</v>
      </c>
      <c r="F15" s="213" t="str">
        <f t="shared" si="10"/>
        <v>B1003</v>
      </c>
      <c r="G15" s="214" t="str">
        <f>VLOOKUP(B15,'PREMIUM TABLES'!$G$107:$H$149,2,FALSE)</f>
        <v>C2</v>
      </c>
      <c r="H15" s="214">
        <v>142.197</v>
      </c>
      <c r="I15" s="213">
        <v>159.45908744161781</v>
      </c>
      <c r="J15" s="213">
        <f>(1.22*H15)+J16</f>
        <v>343.92898000000002</v>
      </c>
      <c r="K15" s="213">
        <v>97.259299999999996</v>
      </c>
      <c r="M15" s="215" t="s">
        <v>185</v>
      </c>
      <c r="N15" s="215" t="s">
        <v>190</v>
      </c>
      <c r="O15" s="216" t="s">
        <v>210</v>
      </c>
      <c r="P15" s="215" t="str">
        <f>VLOOKUP(D15,'PREMIUM TABLES'!$F$214:$G$219,2,FALSE)</f>
        <v>GROUND</v>
      </c>
      <c r="Q15" s="215" t="str" cm="1">
        <f t="array" ref="Q15">IF(AND(J15&gt;0,J15&lt;89),"A",IF(AND(J15&gt;89,J15&lt;122),"B",IF(AND(J15&gt;122,J15&lt;160),"C",IF(AND(J15&gt;160,J15&lt;185),"D",IF(AND(J15&gt;185,J15&lt;230),"E",IF(AND(J15&gt;230,J15&lt;350),"F",NONE))))))</f>
        <v>F</v>
      </c>
      <c r="R15" s="217">
        <f>VLOOKUP(M15,'PREMIUM TABLES'!$G$165:$H$172,2,FALSE)</f>
        <v>0.06</v>
      </c>
      <c r="S15" s="217" t="e">
        <f>VLOOKUP(N15,'PREMIUM TABLES'!#REF!,2,FALSE)</f>
        <v>#REF!</v>
      </c>
      <c r="T15" s="217">
        <f>VLOOKUP(O15,'PREMIUM TABLES'!$G$175:$H$195,2,FALSE)</f>
        <v>0.53</v>
      </c>
      <c r="U15" s="217">
        <f>VLOOKUP(P15,'PREMIUM TABLES'!$G$214:$H$219,2,FALSE)</f>
        <v>0.05</v>
      </c>
      <c r="V15" s="217">
        <f>VLOOKUP(Q15,'PREMIUM TABLES'!$F$199:$H$205,3,FALSE)</f>
        <v>0</v>
      </c>
      <c r="W15" s="218" t="e">
        <f t="shared" si="2"/>
        <v>#REF!</v>
      </c>
      <c r="X15" s="218" t="e" cm="1">
        <f t="array" ref="X15">IF(AND(W15&gt;0,W15&lt;0.5),"C",IF(AND(W15&gt;=0.5,W15&lt;0.73),"B",IF(AND(W15&gt;=0.73,W15&lt;0.98),"A",NONE)))</f>
        <v>#REF!</v>
      </c>
      <c r="Y15" s="218" t="str">
        <f>VLOOKUP(F15,'ALL (R)'!$H$5:$L$880,5,FALSE)</f>
        <v>R8</v>
      </c>
      <c r="Z15" s="219" t="e">
        <f>VLOOKUP(Y15,FACTS!$B$2:$L$13,10,FALSE)</f>
        <v>#N/A</v>
      </c>
      <c r="AA15" s="219" t="e">
        <f>VLOOKUP(Y15,FACTS!$B$2:$L$13,11,FALSE)</f>
        <v>#N/A</v>
      </c>
      <c r="AB15" s="219" t="e">
        <f>VLOOKUP(Y15,FACTS!$B$2:$N$13,13,FALSE)</f>
        <v>#N/A</v>
      </c>
      <c r="AC15" s="219" t="e">
        <f t="shared" si="3"/>
        <v>#N/A</v>
      </c>
      <c r="AD15" s="219" t="e">
        <f t="shared" si="4"/>
        <v>#N/A</v>
      </c>
      <c r="AE15" s="219" t="e">
        <f>AD15*FACTS!$T$2</f>
        <v>#N/A</v>
      </c>
      <c r="AF15" s="219" t="e">
        <f t="shared" si="11"/>
        <v>#N/A</v>
      </c>
      <c r="AG15" s="219" t="e">
        <f t="shared" si="11"/>
        <v>#N/A</v>
      </c>
      <c r="AH15" s="219" t="e">
        <f>(AG15+AF15)*FACTS!$S$2</f>
        <v>#N/A</v>
      </c>
      <c r="AI15" s="220">
        <f>VLOOKUP(Q15,FACTS!$A$17:$C$23,3,FALSE)</f>
        <v>2</v>
      </c>
      <c r="AJ15" s="219" t="e">
        <f>VLOOKUP(Y15,FACTS!$B$2:$J$13,9,FALSE)</f>
        <v>#N/A</v>
      </c>
      <c r="AK15" s="219" t="e">
        <f t="shared" si="6"/>
        <v>#N/A</v>
      </c>
      <c r="AL15" s="219" t="e">
        <f t="shared" si="7"/>
        <v>#N/A</v>
      </c>
      <c r="AM15" s="221">
        <f>VLOOKUP(G15,'C PHASES'!$I$108:$J$110,2,FALSE)</f>
        <v>46204</v>
      </c>
      <c r="AN15" s="221" t="e">
        <f>VLOOKUP(Y15,'C PHASES'!$I$113:$J$125,2,FALSE)</f>
        <v>#N/A</v>
      </c>
      <c r="AO15" s="222" t="e">
        <f t="shared" si="8"/>
        <v>#N/A</v>
      </c>
    </row>
    <row r="16" spans="1:41" s="202" customFormat="1" x14ac:dyDescent="0.25">
      <c r="A16" s="197" t="str">
        <f t="shared" si="0"/>
        <v>B</v>
      </c>
      <c r="B16" s="197" t="s">
        <v>105</v>
      </c>
      <c r="C16" s="197" t="s">
        <v>1147</v>
      </c>
      <c r="D16" s="198">
        <v>1</v>
      </c>
      <c r="E16" s="199">
        <v>3</v>
      </c>
      <c r="F16" s="200" t="str">
        <f t="shared" si="10"/>
        <v>B1013</v>
      </c>
      <c r="G16" s="201" t="str">
        <f>VLOOKUP(B16,'PREMIUM TABLES'!$G$107:$H$149,2,FALSE)</f>
        <v>C2</v>
      </c>
      <c r="H16" s="201">
        <v>139.71199999999999</v>
      </c>
      <c r="I16" s="200">
        <v>156.67241942265522</v>
      </c>
      <c r="J16" s="200">
        <f>1.22*H16</f>
        <v>170.44863999999998</v>
      </c>
      <c r="K16" s="201"/>
      <c r="L16" s="209"/>
      <c r="M16" s="202" t="s">
        <v>185</v>
      </c>
      <c r="N16" s="202" t="s">
        <v>190</v>
      </c>
      <c r="O16" s="203" t="s">
        <v>210</v>
      </c>
      <c r="P16" s="202" t="str">
        <f>VLOOKUP(D16,'PREMIUM TABLES'!$F$214:$G$219,2,FALSE)</f>
        <v>FIRST</v>
      </c>
      <c r="Q16" s="215" t="str" cm="1">
        <f t="array" ref="Q16">IF(AND(J16&gt;0,J16&lt;89),"A",IF(AND(J16&gt;89,J16&lt;122),"B",IF(AND(J16&gt;122,J16&lt;160),"C",IF(AND(J16&gt;160,J16&lt;185),"D",IF(AND(J16&gt;185,J16&lt;230),"E",IF(AND(J16&gt;230,J16&lt;350),"F",NONE))))))</f>
        <v>D</v>
      </c>
      <c r="R16" s="204">
        <f>VLOOKUP(M16,'PREMIUM TABLES'!$G$165:$H$172,2,FALSE)</f>
        <v>0.06</v>
      </c>
      <c r="S16" s="204" t="e">
        <f>VLOOKUP(N16,'PREMIUM TABLES'!#REF!,2,FALSE)</f>
        <v>#REF!</v>
      </c>
      <c r="T16" s="204">
        <f>VLOOKUP(O16,'PREMIUM TABLES'!$G$175:$H$195,2,FALSE)</f>
        <v>0.53</v>
      </c>
      <c r="U16" s="204">
        <f>VLOOKUP(P16,'PREMIUM TABLES'!$G$214:$H$219,2,FALSE)</f>
        <v>7.0000000000000007E-2</v>
      </c>
      <c r="V16" s="217">
        <f>VLOOKUP(Q16,'PREMIUM TABLES'!$F$199:$H$205,3,FALSE)</f>
        <v>2.5000000000000001E-2</v>
      </c>
      <c r="W16" s="205" t="e">
        <f t="shared" si="2"/>
        <v>#REF!</v>
      </c>
      <c r="X16" s="205" t="e" cm="1">
        <f t="array" ref="X16">IF(AND(W16&gt;0,W16&lt;0.5),"C",IF(AND(W16&gt;=0.5,W16&lt;0.73),"B",IF(AND(W16&gt;=0.73,W16&lt;0.98),"A",NONE)))</f>
        <v>#REF!</v>
      </c>
      <c r="Y16" s="205" t="str">
        <f>VLOOKUP(F16,'ALL (R)'!$H$5:$L$880,5,FALSE)</f>
        <v>R10</v>
      </c>
      <c r="Z16" s="206" t="e">
        <f>VLOOKUP(Y16,FACTS!$B$2:$L$13,10,FALSE)</f>
        <v>#N/A</v>
      </c>
      <c r="AA16" s="206" t="e">
        <f>VLOOKUP(Y16,FACTS!$B$2:$L$13,11,FALSE)</f>
        <v>#N/A</v>
      </c>
      <c r="AB16" s="206" t="e">
        <f>VLOOKUP(Y16,FACTS!$B$2:$N$13,13,FALSE)</f>
        <v>#N/A</v>
      </c>
      <c r="AC16" s="206" t="e">
        <f t="shared" si="3"/>
        <v>#N/A</v>
      </c>
      <c r="AD16" s="206" t="e">
        <f t="shared" si="4"/>
        <v>#N/A</v>
      </c>
      <c r="AE16" s="206" t="e">
        <f>AD16*FACTS!$T$2</f>
        <v>#N/A</v>
      </c>
      <c r="AF16" s="206" t="e">
        <f t="shared" si="11"/>
        <v>#N/A</v>
      </c>
      <c r="AG16" s="206" t="e">
        <f t="shared" si="11"/>
        <v>#N/A</v>
      </c>
      <c r="AH16" s="206" t="e">
        <f>(AG16+AF16)*FACTS!$S$2</f>
        <v>#N/A</v>
      </c>
      <c r="AI16" s="220">
        <f>VLOOKUP(Q16,FACTS!$A$17:$C$23,3,FALSE)</f>
        <v>2</v>
      </c>
      <c r="AJ16" s="206" t="e">
        <f>VLOOKUP(Y16,FACTS!$B$2:$J$13,9,FALSE)</f>
        <v>#N/A</v>
      </c>
      <c r="AK16" s="206" t="e">
        <f t="shared" si="6"/>
        <v>#N/A</v>
      </c>
      <c r="AL16" s="206" t="e">
        <f t="shared" si="7"/>
        <v>#N/A</v>
      </c>
      <c r="AM16" s="207">
        <f>VLOOKUP(G16,'C PHASES'!$I$108:$J$110,2,FALSE)</f>
        <v>46204</v>
      </c>
      <c r="AN16" s="207" t="e">
        <f>VLOOKUP(Y16,'C PHASES'!$I$113:$J$125,2,FALSE)</f>
        <v>#N/A</v>
      </c>
      <c r="AO16" s="208" t="e">
        <f t="shared" si="8"/>
        <v>#N/A</v>
      </c>
    </row>
    <row r="17" spans="1:41" s="215" customFormat="1" x14ac:dyDescent="0.25">
      <c r="A17" s="210" t="str">
        <f t="shared" si="0"/>
        <v>B</v>
      </c>
      <c r="B17" s="210" t="s">
        <v>82</v>
      </c>
      <c r="C17" s="210" t="s">
        <v>1147</v>
      </c>
      <c r="D17" s="211">
        <v>0</v>
      </c>
      <c r="E17" s="212">
        <v>2</v>
      </c>
      <c r="F17" s="213" t="str">
        <f t="shared" si="10"/>
        <v>B1302</v>
      </c>
      <c r="G17" s="214" t="str">
        <f>VLOOKUP(B17,'PREMIUM TABLES'!$G$107:$H$149,2,FALSE)</f>
        <v>C2</v>
      </c>
      <c r="H17" s="214">
        <v>142.05600000000001</v>
      </c>
      <c r="I17" s="213">
        <v>159.30097066468673</v>
      </c>
      <c r="J17" s="213">
        <f>(1.22*H17)+J18</f>
        <v>343.58616000000001</v>
      </c>
      <c r="K17" s="213">
        <v>97.868200000000002</v>
      </c>
      <c r="M17" s="215" t="s">
        <v>187</v>
      </c>
      <c r="N17" s="215" t="s">
        <v>190</v>
      </c>
      <c r="O17" s="216" t="s">
        <v>210</v>
      </c>
      <c r="P17" s="215" t="str">
        <f>VLOOKUP(D17,'PREMIUM TABLES'!$F$214:$G$219,2,FALSE)</f>
        <v>GROUND</v>
      </c>
      <c r="Q17" s="215" t="str" cm="1">
        <f t="array" ref="Q17">IF(AND(J17&gt;0,J17&lt;89),"A",IF(AND(J17&gt;89,J17&lt;122),"B",IF(AND(J17&gt;122,J17&lt;160),"C",IF(AND(J17&gt;160,J17&lt;185),"D",IF(AND(J17&gt;185,J17&lt;230),"E",IF(AND(J17&gt;230,J17&lt;350),"F",NONE))))))</f>
        <v>F</v>
      </c>
      <c r="R17" s="217">
        <f>VLOOKUP(M17,'PREMIUM TABLES'!$G$165:$H$172,2,FALSE)</f>
        <v>0.08</v>
      </c>
      <c r="S17" s="217" t="e">
        <f>VLOOKUP(N17,'PREMIUM TABLES'!#REF!,2,FALSE)</f>
        <v>#REF!</v>
      </c>
      <c r="T17" s="217">
        <f>VLOOKUP(O17,'PREMIUM TABLES'!$G$175:$H$195,2,FALSE)</f>
        <v>0.53</v>
      </c>
      <c r="U17" s="217">
        <f>VLOOKUP(P17,'PREMIUM TABLES'!$G$214:$H$219,2,FALSE)</f>
        <v>0.05</v>
      </c>
      <c r="V17" s="217">
        <f>VLOOKUP(Q17,'PREMIUM TABLES'!$F$199:$H$205,3,FALSE)</f>
        <v>0</v>
      </c>
      <c r="W17" s="218" t="e">
        <f t="shared" si="2"/>
        <v>#REF!</v>
      </c>
      <c r="X17" s="218" t="e" cm="1">
        <f t="array" ref="X17">IF(AND(W17&gt;0,W17&lt;0.5),"C",IF(AND(W17&gt;=0.5,W17&lt;0.73),"B",IF(AND(W17&gt;=0.73,W17&lt;0.98),"A",NONE)))</f>
        <v>#REF!</v>
      </c>
      <c r="Y17" s="218" t="str">
        <f>VLOOKUP(F17,'ALL (R)'!$H$5:$L$880,5,FALSE)</f>
        <v>R10</v>
      </c>
      <c r="Z17" s="219" t="e">
        <f>VLOOKUP(Y17,FACTS!$B$2:$L$13,10,FALSE)</f>
        <v>#N/A</v>
      </c>
      <c r="AA17" s="219" t="e">
        <f>VLOOKUP(Y17,FACTS!$B$2:$L$13,11,FALSE)</f>
        <v>#N/A</v>
      </c>
      <c r="AB17" s="219" t="e">
        <f>VLOOKUP(Y17,FACTS!$B$2:$N$13,13,FALSE)</f>
        <v>#N/A</v>
      </c>
      <c r="AC17" s="219" t="e">
        <f t="shared" si="3"/>
        <v>#N/A</v>
      </c>
      <c r="AD17" s="219" t="e">
        <f t="shared" si="4"/>
        <v>#N/A</v>
      </c>
      <c r="AE17" s="219" t="e">
        <f>AD17*FACTS!$T$2</f>
        <v>#N/A</v>
      </c>
      <c r="AF17" s="219" t="e">
        <f t="shared" ref="AF17:AG20" si="12">AD17*J17</f>
        <v>#N/A</v>
      </c>
      <c r="AG17" s="219" t="e">
        <f t="shared" si="12"/>
        <v>#N/A</v>
      </c>
      <c r="AH17" s="219" t="e">
        <f>(AG17+AF17)*FACTS!$S$2</f>
        <v>#N/A</v>
      </c>
      <c r="AI17" s="220">
        <f>VLOOKUP(Q17,FACTS!$A$17:$C$23,3,FALSE)</f>
        <v>2</v>
      </c>
      <c r="AJ17" s="219" t="e">
        <f>VLOOKUP(Y17,FACTS!$B$2:$J$13,9,FALSE)</f>
        <v>#N/A</v>
      </c>
      <c r="AK17" s="219" t="e">
        <f t="shared" si="6"/>
        <v>#N/A</v>
      </c>
      <c r="AL17" s="219" t="e">
        <f t="shared" si="7"/>
        <v>#N/A</v>
      </c>
      <c r="AM17" s="221">
        <f>VLOOKUP(G17,'C PHASES'!$I$108:$J$110,2,FALSE)</f>
        <v>46204</v>
      </c>
      <c r="AN17" s="221" t="e">
        <f>VLOOKUP(Y17,'C PHASES'!$I$113:$J$125,2,FALSE)</f>
        <v>#N/A</v>
      </c>
      <c r="AO17" s="222" t="e">
        <f t="shared" si="8"/>
        <v>#N/A</v>
      </c>
    </row>
    <row r="18" spans="1:41" s="202" customFormat="1" x14ac:dyDescent="0.25">
      <c r="A18" s="197" t="str">
        <f t="shared" si="0"/>
        <v>B</v>
      </c>
      <c r="B18" s="197" t="s">
        <v>82</v>
      </c>
      <c r="C18" s="197" t="s">
        <v>1147</v>
      </c>
      <c r="D18" s="198">
        <v>1</v>
      </c>
      <c r="E18" s="199">
        <v>2</v>
      </c>
      <c r="F18" s="200" t="str">
        <f t="shared" si="10"/>
        <v>B1312</v>
      </c>
      <c r="G18" s="201" t="str">
        <f>VLOOKUP(B18,'PREMIUM TABLES'!$G$107:$H$149,2,FALSE)</f>
        <v>C2</v>
      </c>
      <c r="H18" s="201">
        <v>139.572</v>
      </c>
      <c r="I18" s="200">
        <v>156.51542404130524</v>
      </c>
      <c r="J18" s="200">
        <f>1.22*H18</f>
        <v>170.27784</v>
      </c>
      <c r="K18" s="201"/>
      <c r="L18" s="209"/>
      <c r="M18" s="202" t="s">
        <v>187</v>
      </c>
      <c r="N18" s="202" t="s">
        <v>190</v>
      </c>
      <c r="O18" s="203" t="s">
        <v>210</v>
      </c>
      <c r="P18" s="202" t="str">
        <f>VLOOKUP(D18,'PREMIUM TABLES'!$F$214:$G$219,2,FALSE)</f>
        <v>FIRST</v>
      </c>
      <c r="Q18" s="215" t="str" cm="1">
        <f t="array" ref="Q18">IF(AND(J18&gt;0,J18&lt;89),"A",IF(AND(J18&gt;89,J18&lt;122),"B",IF(AND(J18&gt;122,J18&lt;160),"C",IF(AND(J18&gt;160,J18&lt;185),"D",IF(AND(J18&gt;185,J18&lt;230),"E",IF(AND(J18&gt;230,J18&lt;350),"F",NONE))))))</f>
        <v>D</v>
      </c>
      <c r="R18" s="204">
        <f>VLOOKUP(M18,'PREMIUM TABLES'!$G$165:$H$172,2,FALSE)</f>
        <v>0.08</v>
      </c>
      <c r="S18" s="204" t="e">
        <f>VLOOKUP(N18,'PREMIUM TABLES'!#REF!,2,FALSE)</f>
        <v>#REF!</v>
      </c>
      <c r="T18" s="204">
        <f>VLOOKUP(O18,'PREMIUM TABLES'!$G$175:$H$195,2,FALSE)</f>
        <v>0.53</v>
      </c>
      <c r="U18" s="204">
        <f>VLOOKUP(P18,'PREMIUM TABLES'!$G$214:$H$219,2,FALSE)</f>
        <v>7.0000000000000007E-2</v>
      </c>
      <c r="V18" s="217">
        <f>VLOOKUP(Q18,'PREMIUM TABLES'!$F$199:$H$205,3,FALSE)</f>
        <v>2.5000000000000001E-2</v>
      </c>
      <c r="W18" s="205" t="e">
        <f t="shared" si="2"/>
        <v>#REF!</v>
      </c>
      <c r="X18" s="205" t="e" cm="1">
        <f t="array" ref="X18">IF(AND(W18&gt;0,W18&lt;0.5),"C",IF(AND(W18&gt;=0.5,W18&lt;0.73),"B",IF(AND(W18&gt;=0.73,W18&lt;0.98),"A",NONE)))</f>
        <v>#REF!</v>
      </c>
      <c r="Y18" s="205" t="str">
        <f>VLOOKUP(F18,'ALL (R)'!$H$5:$L$880,5,FALSE)</f>
        <v>R1</v>
      </c>
      <c r="Z18" s="206" t="e">
        <f>VLOOKUP(Y18,FACTS!$B$2:$L$13,10,FALSE)</f>
        <v>#N/A</v>
      </c>
      <c r="AA18" s="206" t="e">
        <f>VLOOKUP(Y18,FACTS!$B$2:$L$13,11,FALSE)</f>
        <v>#N/A</v>
      </c>
      <c r="AB18" s="206" t="e">
        <f>VLOOKUP(Y18,FACTS!$B$2:$N$13,13,FALSE)</f>
        <v>#N/A</v>
      </c>
      <c r="AC18" s="206" t="e">
        <f t="shared" si="3"/>
        <v>#N/A</v>
      </c>
      <c r="AD18" s="206" t="e">
        <f t="shared" si="4"/>
        <v>#N/A</v>
      </c>
      <c r="AE18" s="206" t="e">
        <f>AD18*FACTS!$T$2</f>
        <v>#N/A</v>
      </c>
      <c r="AF18" s="206" t="e">
        <f>AD18*J18</f>
        <v>#N/A</v>
      </c>
      <c r="AG18" s="206" t="e">
        <f>AE18*K18</f>
        <v>#N/A</v>
      </c>
      <c r="AH18" s="206" t="e">
        <f>(AG18+AF18)*FACTS!$S$2</f>
        <v>#N/A</v>
      </c>
      <c r="AI18" s="220">
        <f>VLOOKUP(Q18,FACTS!$A$17:$C$23,3,FALSE)</f>
        <v>2</v>
      </c>
      <c r="AJ18" s="206" t="e">
        <f>VLOOKUP(Y18,FACTS!$B$2:$J$13,9,FALSE)</f>
        <v>#N/A</v>
      </c>
      <c r="AK18" s="206" t="e">
        <f t="shared" si="6"/>
        <v>#N/A</v>
      </c>
      <c r="AL18" s="206" t="e">
        <f t="shared" si="7"/>
        <v>#N/A</v>
      </c>
      <c r="AM18" s="207">
        <f>VLOOKUP(G18,'C PHASES'!$I$108:$J$110,2,FALSE)</f>
        <v>46204</v>
      </c>
      <c r="AN18" s="207" t="e">
        <f>VLOOKUP(Y18,'C PHASES'!$I$113:$J$125,2,FALSE)</f>
        <v>#N/A</v>
      </c>
      <c r="AO18" s="208" t="e">
        <f t="shared" si="8"/>
        <v>#N/A</v>
      </c>
    </row>
    <row r="19" spans="1:41" s="215" customFormat="1" x14ac:dyDescent="0.25">
      <c r="A19" s="210" t="str">
        <f t="shared" si="0"/>
        <v>B</v>
      </c>
      <c r="B19" s="210" t="s">
        <v>82</v>
      </c>
      <c r="C19" s="210" t="s">
        <v>1147</v>
      </c>
      <c r="D19" s="211">
        <v>0</v>
      </c>
      <c r="E19" s="212">
        <v>3</v>
      </c>
      <c r="F19" s="213" t="str">
        <f t="shared" si="10"/>
        <v>B1303</v>
      </c>
      <c r="G19" s="214" t="str">
        <f>VLOOKUP(B19,'PREMIUM TABLES'!$G$107:$H$149,2,FALSE)</f>
        <v>C2</v>
      </c>
      <c r="H19" s="214">
        <v>142.197</v>
      </c>
      <c r="I19" s="213">
        <v>159.45908744161781</v>
      </c>
      <c r="J19" s="213">
        <f>(1.22*H19)+J20</f>
        <v>343.92898000000002</v>
      </c>
      <c r="K19" s="213">
        <v>97.259299999999996</v>
      </c>
      <c r="M19" s="215" t="s">
        <v>187</v>
      </c>
      <c r="N19" s="215" t="s">
        <v>190</v>
      </c>
      <c r="O19" s="216" t="s">
        <v>210</v>
      </c>
      <c r="P19" s="215" t="str">
        <f>VLOOKUP(D19,'PREMIUM TABLES'!$F$214:$G$219,2,FALSE)</f>
        <v>GROUND</v>
      </c>
      <c r="Q19" s="215" t="str" cm="1">
        <f t="array" ref="Q19">IF(AND(J19&gt;0,J19&lt;89),"A",IF(AND(J19&gt;89,J19&lt;122),"B",IF(AND(J19&gt;122,J19&lt;160),"C",IF(AND(J19&gt;160,J19&lt;185),"D",IF(AND(J19&gt;185,J19&lt;230),"E",IF(AND(J19&gt;230,J19&lt;350),"F",NONE))))))</f>
        <v>F</v>
      </c>
      <c r="R19" s="217">
        <f>VLOOKUP(M19,'PREMIUM TABLES'!$G$165:$H$172,2,FALSE)</f>
        <v>0.08</v>
      </c>
      <c r="S19" s="217" t="e">
        <f>VLOOKUP(N19,'PREMIUM TABLES'!#REF!,2,FALSE)</f>
        <v>#REF!</v>
      </c>
      <c r="T19" s="217">
        <f>VLOOKUP(O19,'PREMIUM TABLES'!$G$175:$H$195,2,FALSE)</f>
        <v>0.53</v>
      </c>
      <c r="U19" s="217">
        <f>VLOOKUP(P19,'PREMIUM TABLES'!$G$214:$H$219,2,FALSE)</f>
        <v>0.05</v>
      </c>
      <c r="V19" s="217">
        <f>VLOOKUP(Q19,'PREMIUM TABLES'!$F$199:$H$205,3,FALSE)</f>
        <v>0</v>
      </c>
      <c r="W19" s="218" t="e">
        <f t="shared" si="2"/>
        <v>#REF!</v>
      </c>
      <c r="X19" s="218" t="e" cm="1">
        <f t="array" ref="X19">IF(AND(W19&gt;0,W19&lt;0.5),"C",IF(AND(W19&gt;=0.5,W19&lt;0.73),"B",IF(AND(W19&gt;=0.73,W19&lt;0.98),"A",NONE)))</f>
        <v>#REF!</v>
      </c>
      <c r="Y19" s="218" t="str">
        <f>VLOOKUP(F19,'ALL (R)'!$H$5:$L$880,5,FALSE)</f>
        <v>R11</v>
      </c>
      <c r="Z19" s="219" t="e">
        <f>VLOOKUP(Y19,FACTS!$B$2:$L$13,10,FALSE)</f>
        <v>#N/A</v>
      </c>
      <c r="AA19" s="219" t="e">
        <f>VLOOKUP(Y19,FACTS!$B$2:$L$13,11,FALSE)</f>
        <v>#N/A</v>
      </c>
      <c r="AB19" s="219" t="e">
        <f>VLOOKUP(Y19,FACTS!$B$2:$N$13,13,FALSE)</f>
        <v>#N/A</v>
      </c>
      <c r="AC19" s="219" t="e">
        <f t="shared" si="3"/>
        <v>#N/A</v>
      </c>
      <c r="AD19" s="219" t="e">
        <f t="shared" si="4"/>
        <v>#N/A</v>
      </c>
      <c r="AE19" s="219" t="e">
        <f>AD19*FACTS!$T$2</f>
        <v>#N/A</v>
      </c>
      <c r="AF19" s="219" t="e">
        <f t="shared" si="12"/>
        <v>#N/A</v>
      </c>
      <c r="AG19" s="219" t="e">
        <f t="shared" si="12"/>
        <v>#N/A</v>
      </c>
      <c r="AH19" s="219" t="e">
        <f>(AG19+AF19)*FACTS!$S$2</f>
        <v>#N/A</v>
      </c>
      <c r="AI19" s="220">
        <f>VLOOKUP(Q19,FACTS!$A$17:$C$23,3,FALSE)</f>
        <v>2</v>
      </c>
      <c r="AJ19" s="219" t="e">
        <f>VLOOKUP(Y19,FACTS!$B$2:$J$13,9,FALSE)</f>
        <v>#N/A</v>
      </c>
      <c r="AK19" s="219" t="e">
        <f t="shared" si="6"/>
        <v>#N/A</v>
      </c>
      <c r="AL19" s="219" t="e">
        <f t="shared" si="7"/>
        <v>#N/A</v>
      </c>
      <c r="AM19" s="221">
        <f>VLOOKUP(G19,'C PHASES'!$I$108:$J$110,2,FALSE)</f>
        <v>46204</v>
      </c>
      <c r="AN19" s="221" t="e">
        <f>VLOOKUP(Y19,'C PHASES'!$I$113:$J$125,2,FALSE)</f>
        <v>#N/A</v>
      </c>
      <c r="AO19" s="222" t="e">
        <f t="shared" si="8"/>
        <v>#N/A</v>
      </c>
    </row>
    <row r="20" spans="1:41" s="202" customFormat="1" x14ac:dyDescent="0.25">
      <c r="A20" s="197" t="str">
        <f t="shared" si="0"/>
        <v>B</v>
      </c>
      <c r="B20" s="197" t="s">
        <v>82</v>
      </c>
      <c r="C20" s="197" t="s">
        <v>1147</v>
      </c>
      <c r="D20" s="198">
        <v>1</v>
      </c>
      <c r="E20" s="199">
        <v>3</v>
      </c>
      <c r="F20" s="200" t="str">
        <f t="shared" si="10"/>
        <v>B1313</v>
      </c>
      <c r="G20" s="201" t="str">
        <f>VLOOKUP(B20,'PREMIUM TABLES'!$G$107:$H$149,2,FALSE)</f>
        <v>C2</v>
      </c>
      <c r="H20" s="201">
        <v>139.71199999999999</v>
      </c>
      <c r="I20" s="200">
        <v>156.67241942265522</v>
      </c>
      <c r="J20" s="200">
        <f>1.22*H20</f>
        <v>170.44863999999998</v>
      </c>
      <c r="K20" s="201"/>
      <c r="L20" s="209"/>
      <c r="M20" s="202" t="s">
        <v>187</v>
      </c>
      <c r="N20" s="202" t="s">
        <v>190</v>
      </c>
      <c r="O20" s="203" t="s">
        <v>210</v>
      </c>
      <c r="P20" s="202" t="str">
        <f>VLOOKUP(D20,'PREMIUM TABLES'!$F$214:$G$219,2,FALSE)</f>
        <v>FIRST</v>
      </c>
      <c r="Q20" s="215" t="str" cm="1">
        <f t="array" ref="Q20">IF(AND(J20&gt;0,J20&lt;89),"A",IF(AND(J20&gt;89,J20&lt;122),"B",IF(AND(J20&gt;122,J20&lt;160),"C",IF(AND(J20&gt;160,J20&lt;185),"D",IF(AND(J20&gt;185,J20&lt;230),"E",IF(AND(J20&gt;230,J20&lt;350),"F",NONE))))))</f>
        <v>D</v>
      </c>
      <c r="R20" s="204">
        <f>VLOOKUP(M20,'PREMIUM TABLES'!$G$165:$H$172,2,FALSE)</f>
        <v>0.08</v>
      </c>
      <c r="S20" s="204" t="e">
        <f>VLOOKUP(N20,'PREMIUM TABLES'!#REF!,2,FALSE)</f>
        <v>#REF!</v>
      </c>
      <c r="T20" s="204">
        <f>VLOOKUP(O20,'PREMIUM TABLES'!$G$175:$H$195,2,FALSE)</f>
        <v>0.53</v>
      </c>
      <c r="U20" s="204">
        <f>VLOOKUP(P20,'PREMIUM TABLES'!$G$214:$H$219,2,FALSE)</f>
        <v>7.0000000000000007E-2</v>
      </c>
      <c r="V20" s="217">
        <f>VLOOKUP(Q20,'PREMIUM TABLES'!$F$199:$H$205,3,FALSE)</f>
        <v>2.5000000000000001E-2</v>
      </c>
      <c r="W20" s="205" t="e">
        <f t="shared" si="2"/>
        <v>#REF!</v>
      </c>
      <c r="X20" s="205" t="e" cm="1">
        <f t="array" ref="X20">IF(AND(W20&gt;0,W20&lt;0.5),"C",IF(AND(W20&gt;=0.5,W20&lt;0.73),"B",IF(AND(W20&gt;=0.73,W20&lt;0.98),"A",NONE)))</f>
        <v>#REF!</v>
      </c>
      <c r="Y20" s="205" t="str">
        <f>VLOOKUP(F20,'ALL (R)'!$H$5:$L$880,5,FALSE)</f>
        <v>R1</v>
      </c>
      <c r="Z20" s="206" t="e">
        <f>VLOOKUP(Y20,FACTS!$B$2:$L$13,10,FALSE)</f>
        <v>#N/A</v>
      </c>
      <c r="AA20" s="206" t="e">
        <f>VLOOKUP(Y20,FACTS!$B$2:$L$13,11,FALSE)</f>
        <v>#N/A</v>
      </c>
      <c r="AB20" s="206" t="e">
        <f>VLOOKUP(Y20,FACTS!$B$2:$N$13,13,FALSE)</f>
        <v>#N/A</v>
      </c>
      <c r="AC20" s="206" t="e">
        <f t="shared" si="3"/>
        <v>#N/A</v>
      </c>
      <c r="AD20" s="206" t="e">
        <f t="shared" si="4"/>
        <v>#N/A</v>
      </c>
      <c r="AE20" s="206" t="e">
        <f>AD20*FACTS!$T$2</f>
        <v>#N/A</v>
      </c>
      <c r="AF20" s="206" t="e">
        <f t="shared" si="12"/>
        <v>#N/A</v>
      </c>
      <c r="AG20" s="206" t="e">
        <f t="shared" si="12"/>
        <v>#N/A</v>
      </c>
      <c r="AH20" s="206" t="e">
        <f>(AG20+AF20)*FACTS!$S$2</f>
        <v>#N/A</v>
      </c>
      <c r="AI20" s="220">
        <f>VLOOKUP(Q20,FACTS!$A$17:$C$23,3,FALSE)</f>
        <v>2</v>
      </c>
      <c r="AJ20" s="206" t="e">
        <f>VLOOKUP(Y20,FACTS!$B$2:$J$13,9,FALSE)</f>
        <v>#N/A</v>
      </c>
      <c r="AK20" s="206" t="e">
        <f t="shared" si="6"/>
        <v>#N/A</v>
      </c>
      <c r="AL20" s="206" t="e">
        <f t="shared" si="7"/>
        <v>#N/A</v>
      </c>
      <c r="AM20" s="207">
        <f>VLOOKUP(G20,'C PHASES'!$I$108:$J$110,2,FALSE)</f>
        <v>46204</v>
      </c>
      <c r="AN20" s="207" t="e">
        <f>VLOOKUP(Y20,'C PHASES'!$I$113:$J$125,2,FALSE)</f>
        <v>#N/A</v>
      </c>
      <c r="AO20" s="208" t="e">
        <f t="shared" si="8"/>
        <v>#N/A</v>
      </c>
    </row>
    <row r="21" spans="1:41" s="215" customFormat="1" x14ac:dyDescent="0.25">
      <c r="A21" s="210" t="str">
        <f t="shared" si="0"/>
        <v>B</v>
      </c>
      <c r="B21" s="210" t="s">
        <v>92</v>
      </c>
      <c r="C21" s="210" t="s">
        <v>1147</v>
      </c>
      <c r="D21" s="211">
        <v>0</v>
      </c>
      <c r="E21" s="212">
        <v>2</v>
      </c>
      <c r="F21" s="213" t="str">
        <f t="shared" si="10"/>
        <v>B1602</v>
      </c>
      <c r="G21" s="214" t="str">
        <f>VLOOKUP(B21,'PREMIUM TABLES'!$G$107:$H$149,2,FALSE)</f>
        <v>C1</v>
      </c>
      <c r="H21" s="213">
        <v>128.28</v>
      </c>
      <c r="I21" s="213">
        <v>139.36450602070562</v>
      </c>
      <c r="J21" s="213">
        <f>(1.22*H21)+J22</f>
        <v>308.83079999999995</v>
      </c>
      <c r="K21" s="213">
        <v>86.075999999999993</v>
      </c>
      <c r="M21" s="215" t="s">
        <v>187</v>
      </c>
      <c r="N21" s="215" t="s">
        <v>190</v>
      </c>
      <c r="O21" s="216" t="s">
        <v>209</v>
      </c>
      <c r="P21" s="215" t="str">
        <f>VLOOKUP(D21,'PREMIUM TABLES'!$F$214:$G$219,2,FALSE)</f>
        <v>GROUND</v>
      </c>
      <c r="Q21" s="215" t="str" cm="1">
        <f t="array" ref="Q21">IF(AND(J21&gt;0,J21&lt;89),"A",IF(AND(J21&gt;89,J21&lt;122),"B",IF(AND(J21&gt;122,J21&lt;160),"C",IF(AND(J21&gt;160,J21&lt;185),"D",IF(AND(J21&gt;185,J21&lt;230),"E",IF(AND(J21&gt;230,J21&lt;350),"F",NONE))))))</f>
        <v>F</v>
      </c>
      <c r="R21" s="217">
        <f>VLOOKUP(M21,'PREMIUM TABLES'!$G$165:$H$172,2,FALSE)</f>
        <v>0.08</v>
      </c>
      <c r="S21" s="217" t="e">
        <f>VLOOKUP(N21,'PREMIUM TABLES'!#REF!,2,FALSE)</f>
        <v>#REF!</v>
      </c>
      <c r="T21" s="217">
        <f>VLOOKUP(O21,'PREMIUM TABLES'!$G$175:$H$195,2,FALSE)</f>
        <v>0.6</v>
      </c>
      <c r="U21" s="217">
        <f>VLOOKUP(P21,'PREMIUM TABLES'!$G$214:$H$219,2,FALSE)</f>
        <v>0.05</v>
      </c>
      <c r="V21" s="217">
        <f>VLOOKUP(Q21,'PREMIUM TABLES'!$F$199:$H$205,3,FALSE)</f>
        <v>0</v>
      </c>
      <c r="W21" s="218" t="e">
        <f t="shared" si="2"/>
        <v>#REF!</v>
      </c>
      <c r="X21" s="218" t="e" cm="1">
        <f t="array" ref="X21">IF(AND(W21&gt;0,W21&lt;0.5),"C",IF(AND(W21&gt;=0.5,W21&lt;0.73),"B",IF(AND(W21&gt;=0.73,W21&lt;0.98),"A",NONE)))</f>
        <v>#REF!</v>
      </c>
      <c r="Y21" s="218" t="str">
        <f>VLOOKUP(F21,'ALL (R)'!$H$5:$L$880,5,FALSE)</f>
        <v>R5</v>
      </c>
      <c r="Z21" s="219" t="e">
        <f>VLOOKUP(Y21,FACTS!$B$2:$L$13,10,FALSE)</f>
        <v>#N/A</v>
      </c>
      <c r="AA21" s="219" t="e">
        <f>VLOOKUP(Y21,FACTS!$B$2:$L$13,11,FALSE)</f>
        <v>#N/A</v>
      </c>
      <c r="AB21" s="219" t="e">
        <f>VLOOKUP(Y21,FACTS!$B$2:$N$13,13,FALSE)</f>
        <v>#N/A</v>
      </c>
      <c r="AC21" s="219" t="e">
        <f t="shared" si="3"/>
        <v>#N/A</v>
      </c>
      <c r="AD21" s="219" t="e">
        <f t="shared" si="4"/>
        <v>#N/A</v>
      </c>
      <c r="AE21" s="219" t="e">
        <f>AD21*FACTS!$T$2</f>
        <v>#N/A</v>
      </c>
      <c r="AF21" s="219" t="e">
        <f t="shared" ref="AF21:AG24" si="13">AD21*J21</f>
        <v>#N/A</v>
      </c>
      <c r="AG21" s="219" t="e">
        <f t="shared" si="13"/>
        <v>#N/A</v>
      </c>
      <c r="AH21" s="219" t="e">
        <f>(AG21+AF21)*FACTS!$S$2</f>
        <v>#N/A</v>
      </c>
      <c r="AI21" s="220">
        <f>VLOOKUP(Q21,FACTS!$A$17:$C$23,3,FALSE)</f>
        <v>2</v>
      </c>
      <c r="AJ21" s="219" t="e">
        <f>VLOOKUP(Y21,FACTS!$B$2:$J$13,9,FALSE)</f>
        <v>#N/A</v>
      </c>
      <c r="AK21" s="219" t="e">
        <f t="shared" si="6"/>
        <v>#N/A</v>
      </c>
      <c r="AL21" s="219" t="e">
        <f t="shared" si="7"/>
        <v>#N/A</v>
      </c>
      <c r="AM21" s="221">
        <f>VLOOKUP(G21,'C PHASES'!$I$108:$J$110,2,FALSE)</f>
        <v>45839</v>
      </c>
      <c r="AN21" s="221" t="e">
        <f>VLOOKUP(Y21,'C PHASES'!$I$113:$J$125,2,FALSE)</f>
        <v>#N/A</v>
      </c>
      <c r="AO21" s="222" t="e">
        <f t="shared" si="8"/>
        <v>#N/A</v>
      </c>
    </row>
    <row r="22" spans="1:41" s="202" customFormat="1" x14ac:dyDescent="0.25">
      <c r="A22" s="197" t="str">
        <f t="shared" si="0"/>
        <v>B</v>
      </c>
      <c r="B22" s="197" t="s">
        <v>92</v>
      </c>
      <c r="C22" s="197" t="s">
        <v>1147</v>
      </c>
      <c r="D22" s="198">
        <v>1</v>
      </c>
      <c r="E22" s="199">
        <v>2</v>
      </c>
      <c r="F22" s="200" t="str">
        <f t="shared" si="10"/>
        <v>B1612</v>
      </c>
      <c r="G22" s="201" t="str">
        <f>VLOOKUP(B22,'PREMIUM TABLES'!$G$107:$H$149,2,FALSE)</f>
        <v>C1</v>
      </c>
      <c r="H22" s="200">
        <v>124.86</v>
      </c>
      <c r="I22" s="200">
        <v>135.64898832043423</v>
      </c>
      <c r="J22" s="200">
        <f>1.22*H22</f>
        <v>152.32919999999999</v>
      </c>
      <c r="K22" s="200"/>
      <c r="M22" s="202" t="s">
        <v>187</v>
      </c>
      <c r="N22" s="202" t="s">
        <v>190</v>
      </c>
      <c r="O22" s="203" t="s">
        <v>209</v>
      </c>
      <c r="P22" s="202" t="str">
        <f>VLOOKUP(D22,'PREMIUM TABLES'!$F$214:$G$219,2,FALSE)</f>
        <v>FIRST</v>
      </c>
      <c r="Q22" s="215" t="str" cm="1">
        <f t="array" ref="Q22">IF(AND(J22&gt;0,J22&lt;89),"A",IF(AND(J22&gt;89,J22&lt;122),"B",IF(AND(J22&gt;122,J22&lt;160),"C",IF(AND(J22&gt;160,J22&lt;185),"D",IF(AND(J22&gt;185,J22&lt;230),"E",IF(AND(J22&gt;230,J22&lt;350),"F",NONE))))))</f>
        <v>C</v>
      </c>
      <c r="R22" s="204">
        <f>VLOOKUP(M22,'PREMIUM TABLES'!$G$165:$H$172,2,FALSE)</f>
        <v>0.08</v>
      </c>
      <c r="S22" s="204" t="e">
        <f>VLOOKUP(N22,'PREMIUM TABLES'!#REF!,2,FALSE)</f>
        <v>#REF!</v>
      </c>
      <c r="T22" s="204">
        <f>VLOOKUP(O22,'PREMIUM TABLES'!$G$175:$H$195,2,FALSE)</f>
        <v>0.6</v>
      </c>
      <c r="U22" s="204">
        <f>VLOOKUP(P22,'PREMIUM TABLES'!$G$214:$H$219,2,FALSE)</f>
        <v>7.0000000000000007E-2</v>
      </c>
      <c r="V22" s="217">
        <f>VLOOKUP(Q22,'PREMIUM TABLES'!$F$199:$H$205,3,FALSE)</f>
        <v>3.5000000000000003E-2</v>
      </c>
      <c r="W22" s="205" t="e">
        <f t="shared" si="2"/>
        <v>#REF!</v>
      </c>
      <c r="X22" s="205" t="e" cm="1">
        <f t="array" ref="X22">IF(AND(W22&gt;0,W22&lt;0.5),"C",IF(AND(W22&gt;=0.5,W22&lt;0.73),"B",IF(AND(W22&gt;=0.73,W22&lt;0.98),"A",NONE)))</f>
        <v>#REF!</v>
      </c>
      <c r="Y22" s="205" t="str">
        <f>VLOOKUP(F22,'ALL (R)'!$H$5:$L$880,5,FALSE)</f>
        <v>R6</v>
      </c>
      <c r="Z22" s="206" t="e">
        <f>VLOOKUP(Y22,FACTS!$B$2:$L$13,10,FALSE)</f>
        <v>#N/A</v>
      </c>
      <c r="AA22" s="206" t="e">
        <f>VLOOKUP(Y22,FACTS!$B$2:$L$13,11,FALSE)</f>
        <v>#N/A</v>
      </c>
      <c r="AB22" s="206" t="e">
        <f>VLOOKUP(Y22,FACTS!$B$2:$N$13,13,FALSE)</f>
        <v>#N/A</v>
      </c>
      <c r="AC22" s="206" t="e">
        <f t="shared" si="3"/>
        <v>#N/A</v>
      </c>
      <c r="AD22" s="206" t="e">
        <f t="shared" si="4"/>
        <v>#N/A</v>
      </c>
      <c r="AE22" s="206" t="e">
        <f>AD22*FACTS!$T$2</f>
        <v>#N/A</v>
      </c>
      <c r="AF22" s="206" t="e">
        <f>AD22*J22</f>
        <v>#N/A</v>
      </c>
      <c r="AG22" s="206" t="e">
        <f>AE22*K22</f>
        <v>#N/A</v>
      </c>
      <c r="AH22" s="206" t="e">
        <f>(AG22+AF22)*FACTS!$S$2</f>
        <v>#N/A</v>
      </c>
      <c r="AI22" s="220">
        <f>VLOOKUP(Q22,FACTS!$A$17:$C$23,3,FALSE)</f>
        <v>2</v>
      </c>
      <c r="AJ22" s="206" t="e">
        <f>VLOOKUP(Y22,FACTS!$B$2:$J$13,9,FALSE)</f>
        <v>#N/A</v>
      </c>
      <c r="AK22" s="206" t="e">
        <f t="shared" si="6"/>
        <v>#N/A</v>
      </c>
      <c r="AL22" s="206" t="e">
        <f t="shared" si="7"/>
        <v>#N/A</v>
      </c>
      <c r="AM22" s="207">
        <f>VLOOKUP(G22,'C PHASES'!$I$108:$J$110,2,FALSE)</f>
        <v>45839</v>
      </c>
      <c r="AN22" s="207" t="e">
        <f>VLOOKUP(Y22,'C PHASES'!$I$113:$J$125,2,FALSE)</f>
        <v>#N/A</v>
      </c>
      <c r="AO22" s="208" t="e">
        <f t="shared" si="8"/>
        <v>#N/A</v>
      </c>
    </row>
    <row r="23" spans="1:41" s="215" customFormat="1" x14ac:dyDescent="0.25">
      <c r="A23" s="210" t="str">
        <f t="shared" si="0"/>
        <v>B</v>
      </c>
      <c r="B23" s="210" t="s">
        <v>92</v>
      </c>
      <c r="C23" s="210" t="s">
        <v>1147</v>
      </c>
      <c r="D23" s="211">
        <v>0</v>
      </c>
      <c r="E23" s="212">
        <v>3</v>
      </c>
      <c r="F23" s="213" t="str">
        <f t="shared" si="10"/>
        <v>B1603</v>
      </c>
      <c r="G23" s="214" t="str">
        <f>VLOOKUP(B23,'PREMIUM TABLES'!$G$107:$H$149,2,FALSE)</f>
        <v>C1</v>
      </c>
      <c r="H23" s="213">
        <v>125.03</v>
      </c>
      <c r="I23" s="213">
        <v>135.83367779676351</v>
      </c>
      <c r="J23" s="213">
        <f>(1.22*H23)+J24</f>
        <v>300.96179999999998</v>
      </c>
      <c r="K23" s="213">
        <v>85.509600000000006</v>
      </c>
      <c r="M23" s="215" t="s">
        <v>187</v>
      </c>
      <c r="N23" s="215" t="s">
        <v>190</v>
      </c>
      <c r="O23" s="216" t="s">
        <v>209</v>
      </c>
      <c r="P23" s="215" t="str">
        <f>VLOOKUP(D23,'PREMIUM TABLES'!$F$214:$G$219,2,FALSE)</f>
        <v>GROUND</v>
      </c>
      <c r="Q23" s="215" t="str" cm="1">
        <f t="array" ref="Q23">IF(AND(J23&gt;0,J23&lt;89),"A",IF(AND(J23&gt;89,J23&lt;122),"B",IF(AND(J23&gt;122,J23&lt;160),"C",IF(AND(J23&gt;160,J23&lt;185),"D",IF(AND(J23&gt;185,J23&lt;230),"E",IF(AND(J23&gt;230,J23&lt;350),"F",NONE))))))</f>
        <v>F</v>
      </c>
      <c r="R23" s="217">
        <f>VLOOKUP(M23,'PREMIUM TABLES'!$G$165:$H$172,2,FALSE)</f>
        <v>0.08</v>
      </c>
      <c r="S23" s="217" t="e">
        <f>VLOOKUP(N23,'PREMIUM TABLES'!#REF!,2,FALSE)</f>
        <v>#REF!</v>
      </c>
      <c r="T23" s="217">
        <f>VLOOKUP(O23,'PREMIUM TABLES'!$G$175:$H$195,2,FALSE)</f>
        <v>0.6</v>
      </c>
      <c r="U23" s="217">
        <f>VLOOKUP(P23,'PREMIUM TABLES'!$G$214:$H$219,2,FALSE)</f>
        <v>0.05</v>
      </c>
      <c r="V23" s="217">
        <f>VLOOKUP(Q23,'PREMIUM TABLES'!$F$199:$H$205,3,FALSE)</f>
        <v>0</v>
      </c>
      <c r="W23" s="218" t="e">
        <f t="shared" si="2"/>
        <v>#REF!</v>
      </c>
      <c r="X23" s="218" t="e" cm="1">
        <f t="array" ref="X23">IF(AND(W23&gt;0,W23&lt;0.5),"C",IF(AND(W23&gt;=0.5,W23&lt;0.73),"B",IF(AND(W23&gt;=0.73,W23&lt;0.98),"A",NONE)))</f>
        <v>#REF!</v>
      </c>
      <c r="Y23" s="218" t="str">
        <f>VLOOKUP(F23,'ALL (R)'!$H$5:$L$880,5,FALSE)</f>
        <v>R5</v>
      </c>
      <c r="Z23" s="219" t="e">
        <f>VLOOKUP(Y23,FACTS!$B$2:$L$13,10,FALSE)</f>
        <v>#N/A</v>
      </c>
      <c r="AA23" s="219" t="e">
        <f>VLOOKUP(Y23,FACTS!$B$2:$L$13,11,FALSE)</f>
        <v>#N/A</v>
      </c>
      <c r="AB23" s="219" t="e">
        <f>VLOOKUP(Y23,FACTS!$B$2:$N$13,13,FALSE)</f>
        <v>#N/A</v>
      </c>
      <c r="AC23" s="219" t="e">
        <f t="shared" si="3"/>
        <v>#N/A</v>
      </c>
      <c r="AD23" s="219" t="e">
        <f t="shared" si="4"/>
        <v>#N/A</v>
      </c>
      <c r="AE23" s="219" t="e">
        <f>AD23*FACTS!$T$2</f>
        <v>#N/A</v>
      </c>
      <c r="AF23" s="219" t="e">
        <f t="shared" si="13"/>
        <v>#N/A</v>
      </c>
      <c r="AG23" s="219" t="e">
        <f t="shared" si="13"/>
        <v>#N/A</v>
      </c>
      <c r="AH23" s="219" t="e">
        <f>(AG23+AF23)*FACTS!$S$2</f>
        <v>#N/A</v>
      </c>
      <c r="AI23" s="220">
        <f>VLOOKUP(Q23,FACTS!$A$17:$C$23,3,FALSE)</f>
        <v>2</v>
      </c>
      <c r="AJ23" s="219" t="e">
        <f>VLOOKUP(Y23,FACTS!$B$2:$J$13,9,FALSE)</f>
        <v>#N/A</v>
      </c>
      <c r="AK23" s="219" t="e">
        <f t="shared" si="6"/>
        <v>#N/A</v>
      </c>
      <c r="AL23" s="219" t="e">
        <f t="shared" si="7"/>
        <v>#N/A</v>
      </c>
      <c r="AM23" s="221">
        <f>VLOOKUP(G23,'C PHASES'!$I$108:$J$110,2,FALSE)</f>
        <v>45839</v>
      </c>
      <c r="AN23" s="221" t="e">
        <f>VLOOKUP(Y23,'C PHASES'!$I$113:$J$125,2,FALSE)</f>
        <v>#N/A</v>
      </c>
      <c r="AO23" s="222" t="e">
        <f t="shared" si="8"/>
        <v>#N/A</v>
      </c>
    </row>
    <row r="24" spans="1:41" s="202" customFormat="1" x14ac:dyDescent="0.25">
      <c r="A24" s="197" t="str">
        <f t="shared" si="0"/>
        <v>B</v>
      </c>
      <c r="B24" s="197" t="s">
        <v>92</v>
      </c>
      <c r="C24" s="197" t="s">
        <v>1147</v>
      </c>
      <c r="D24" s="198">
        <v>1</v>
      </c>
      <c r="E24" s="199">
        <v>3</v>
      </c>
      <c r="F24" s="200" t="str">
        <f t="shared" si="10"/>
        <v>B1613</v>
      </c>
      <c r="G24" s="201" t="str">
        <f>VLOOKUP(B24,'PREMIUM TABLES'!$G$107:$H$149,2,FALSE)</f>
        <v>C1</v>
      </c>
      <c r="H24" s="200">
        <v>121.66</v>
      </c>
      <c r="I24" s="200">
        <v>132.17248053070662</v>
      </c>
      <c r="J24" s="200">
        <f>1.22*H24</f>
        <v>148.42519999999999</v>
      </c>
      <c r="K24" s="200"/>
      <c r="M24" s="202" t="s">
        <v>187</v>
      </c>
      <c r="N24" s="202" t="s">
        <v>190</v>
      </c>
      <c r="O24" s="203" t="s">
        <v>209</v>
      </c>
      <c r="P24" s="202" t="str">
        <f>VLOOKUP(D24,'PREMIUM TABLES'!$F$214:$G$219,2,FALSE)</f>
        <v>FIRST</v>
      </c>
      <c r="Q24" s="215" t="str" cm="1">
        <f t="array" ref="Q24">IF(AND(J24&gt;0,J24&lt;89),"A",IF(AND(J24&gt;89,J24&lt;122),"B",IF(AND(J24&gt;122,J24&lt;160),"C",IF(AND(J24&gt;160,J24&lt;185),"D",IF(AND(J24&gt;185,J24&lt;230),"E",IF(AND(J24&gt;230,J24&lt;350),"F",NONE))))))</f>
        <v>C</v>
      </c>
      <c r="R24" s="204">
        <f>VLOOKUP(M24,'PREMIUM TABLES'!$G$165:$H$172,2,FALSE)</f>
        <v>0.08</v>
      </c>
      <c r="S24" s="204" t="e">
        <f>VLOOKUP(N24,'PREMIUM TABLES'!#REF!,2,FALSE)</f>
        <v>#REF!</v>
      </c>
      <c r="T24" s="204">
        <f>VLOOKUP(O24,'PREMIUM TABLES'!$G$175:$H$195,2,FALSE)</f>
        <v>0.6</v>
      </c>
      <c r="U24" s="204">
        <f>VLOOKUP(P24,'PREMIUM TABLES'!$G$214:$H$219,2,FALSE)</f>
        <v>7.0000000000000007E-2</v>
      </c>
      <c r="V24" s="217">
        <f>VLOOKUP(Q24,'PREMIUM TABLES'!$F$199:$H$205,3,FALSE)</f>
        <v>3.5000000000000003E-2</v>
      </c>
      <c r="W24" s="205" t="e">
        <f t="shared" si="2"/>
        <v>#REF!</v>
      </c>
      <c r="X24" s="205" t="e" cm="1">
        <f t="array" ref="X24">IF(AND(W24&gt;0,W24&lt;0.5),"C",IF(AND(W24&gt;=0.5,W24&lt;0.73),"B",IF(AND(W24&gt;=0.73,W24&lt;0.98),"A",NONE)))</f>
        <v>#REF!</v>
      </c>
      <c r="Y24" s="205" t="str">
        <f>VLOOKUP(F24,'ALL (R)'!$H$5:$L$880,5,FALSE)</f>
        <v>R6</v>
      </c>
      <c r="Z24" s="206" t="e">
        <f>VLOOKUP(Y24,FACTS!$B$2:$L$13,10,FALSE)</f>
        <v>#N/A</v>
      </c>
      <c r="AA24" s="206" t="e">
        <f>VLOOKUP(Y24,FACTS!$B$2:$L$13,11,FALSE)</f>
        <v>#N/A</v>
      </c>
      <c r="AB24" s="206" t="e">
        <f>VLOOKUP(Y24,FACTS!$B$2:$N$13,13,FALSE)</f>
        <v>#N/A</v>
      </c>
      <c r="AC24" s="206" t="e">
        <f t="shared" si="3"/>
        <v>#N/A</v>
      </c>
      <c r="AD24" s="206" t="e">
        <f t="shared" si="4"/>
        <v>#N/A</v>
      </c>
      <c r="AE24" s="206" t="e">
        <f>AD24*FACTS!$T$2</f>
        <v>#N/A</v>
      </c>
      <c r="AF24" s="206" t="e">
        <f t="shared" si="13"/>
        <v>#N/A</v>
      </c>
      <c r="AG24" s="206" t="e">
        <f t="shared" si="13"/>
        <v>#N/A</v>
      </c>
      <c r="AH24" s="206" t="e">
        <f>(AG24+AF24)*FACTS!$S$2</f>
        <v>#N/A</v>
      </c>
      <c r="AI24" s="220">
        <f>VLOOKUP(Q24,FACTS!$A$17:$C$23,3,FALSE)</f>
        <v>2</v>
      </c>
      <c r="AJ24" s="206" t="e">
        <f>VLOOKUP(Y24,FACTS!$B$2:$J$13,9,FALSE)</f>
        <v>#N/A</v>
      </c>
      <c r="AK24" s="206" t="e">
        <f t="shared" si="6"/>
        <v>#N/A</v>
      </c>
      <c r="AL24" s="206" t="e">
        <f t="shared" si="7"/>
        <v>#N/A</v>
      </c>
      <c r="AM24" s="207">
        <f>VLOOKUP(G24,'C PHASES'!$I$108:$J$110,2,FALSE)</f>
        <v>45839</v>
      </c>
      <c r="AN24" s="207" t="e">
        <f>VLOOKUP(Y24,'C PHASES'!$I$113:$J$125,2,FALSE)</f>
        <v>#N/A</v>
      </c>
      <c r="AO24" s="208" t="e">
        <f t="shared" si="8"/>
        <v>#N/A</v>
      </c>
    </row>
    <row r="25" spans="1:41" s="215" customFormat="1" x14ac:dyDescent="0.25">
      <c r="A25" s="210" t="str">
        <f t="shared" ref="A25:A31" si="14">LEFT(B25,1)</f>
        <v>C</v>
      </c>
      <c r="B25" s="210" t="s">
        <v>37</v>
      </c>
      <c r="C25" s="210" t="s">
        <v>1147</v>
      </c>
      <c r="D25" s="211">
        <v>0</v>
      </c>
      <c r="E25" s="212">
        <v>2</v>
      </c>
      <c r="F25" s="213" t="str">
        <f t="shared" ref="F25:F40" si="15">LEFT(B25,2)&amp;D25&amp;E25</f>
        <v>C202</v>
      </c>
      <c r="G25" s="214" t="str">
        <f>VLOOKUP(B25,'PREMIUM TABLES'!$G$107:$H$149,2,FALSE)</f>
        <v>C2</v>
      </c>
      <c r="H25" s="214">
        <v>142.05600000000001</v>
      </c>
      <c r="I25" s="213">
        <v>159.30097066468673</v>
      </c>
      <c r="J25" s="213">
        <f>(1.22*H25)+J26</f>
        <v>343.58616000000001</v>
      </c>
      <c r="K25" s="213">
        <v>97.868200000000002</v>
      </c>
      <c r="M25" s="215" t="s">
        <v>180</v>
      </c>
      <c r="N25" s="215" t="s">
        <v>190</v>
      </c>
      <c r="O25" s="216" t="s">
        <v>192</v>
      </c>
      <c r="P25" s="215" t="str">
        <f>VLOOKUP(D25,'PREMIUM TABLES'!$F$214:$G$219,2,FALSE)</f>
        <v>GROUND</v>
      </c>
      <c r="Q25" s="215" t="str" cm="1">
        <f t="array" ref="Q25">IF(AND(J25&gt;0,J25&lt;89),"A",IF(AND(J25&gt;89,J25&lt;122),"B",IF(AND(J25&gt;122,J25&lt;160),"C",IF(AND(J25&gt;160,J25&lt;185),"D",IF(AND(J25&gt;185,J25&lt;230),"E",IF(AND(J25&gt;230,J25&lt;350),"F",NONE))))))</f>
        <v>F</v>
      </c>
      <c r="R25" s="217">
        <f>VLOOKUP(M25,'PREMIUM TABLES'!$G$165:$H$172,2,FALSE)</f>
        <v>0.13</v>
      </c>
      <c r="S25" s="217" t="e">
        <f>VLOOKUP(N25,'PREMIUM TABLES'!#REF!,2,FALSE)</f>
        <v>#REF!</v>
      </c>
      <c r="T25" s="217">
        <f>VLOOKUP(O25,'PREMIUM TABLES'!$G$175:$H$195,2,FALSE)</f>
        <v>0.46</v>
      </c>
      <c r="U25" s="217">
        <f>VLOOKUP(P25,'PREMIUM TABLES'!$G$214:$H$219,2,FALSE)</f>
        <v>0.05</v>
      </c>
      <c r="V25" s="217">
        <f>VLOOKUP(Q25,'PREMIUM TABLES'!$F$199:$H$205,3,FALSE)</f>
        <v>0</v>
      </c>
      <c r="W25" s="218" t="e">
        <f t="shared" ref="W25:W31" si="16">SUM(R25:V25)</f>
        <v>#REF!</v>
      </c>
      <c r="X25" s="218" t="e" cm="1">
        <f t="array" ref="X25">IF(AND(W25&gt;0,W25&lt;0.5),"C",IF(AND(W25&gt;=0.5,W25&lt;0.73),"B",IF(AND(W25&gt;=0.73,W25&lt;0.98),"A",NONE)))</f>
        <v>#REF!</v>
      </c>
      <c r="Y25" s="218" t="str">
        <f>VLOOKUP(F25,'ALL (R)'!$H$5:$L$880,5,FALSE)</f>
        <v>R8</v>
      </c>
      <c r="Z25" s="219" t="e">
        <f>VLOOKUP(Y25,FACTS!$B$2:$L$13,10,FALSE)</f>
        <v>#N/A</v>
      </c>
      <c r="AA25" s="219" t="e">
        <f>VLOOKUP(Y25,FACTS!$B$2:$L$13,11,FALSE)</f>
        <v>#N/A</v>
      </c>
      <c r="AB25" s="219" t="e">
        <f>VLOOKUP(Y25,FACTS!$B$2:$N$13,13,FALSE)</f>
        <v>#N/A</v>
      </c>
      <c r="AC25" s="219" t="e">
        <f t="shared" ref="AC25:AC31" si="17">AB25*W25</f>
        <v>#N/A</v>
      </c>
      <c r="AD25" s="219" t="e">
        <f t="shared" ref="AD25:AD31" si="18">AC25+Z25</f>
        <v>#N/A</v>
      </c>
      <c r="AE25" s="219" t="e">
        <f>AD25*FACTS!$T$2</f>
        <v>#N/A</v>
      </c>
      <c r="AF25" s="219" t="e">
        <f t="shared" ref="AF25:AG31" si="19">AD25*J25</f>
        <v>#N/A</v>
      </c>
      <c r="AG25" s="219" t="e">
        <f t="shared" si="19"/>
        <v>#N/A</v>
      </c>
      <c r="AH25" s="219" t="e">
        <f>(AG25+AF25)*FACTS!$S$2</f>
        <v>#N/A</v>
      </c>
      <c r="AI25" s="220">
        <f>VLOOKUP(Q25,FACTS!$A$17:$C$23,3,FALSE)</f>
        <v>2</v>
      </c>
      <c r="AJ25" s="219" t="e">
        <f>VLOOKUP(Y25,FACTS!$B$2:$J$13,9,FALSE)</f>
        <v>#N/A</v>
      </c>
      <c r="AK25" s="219" t="e">
        <f t="shared" ref="AK25:AK31" si="20">AJ25*AI25</f>
        <v>#N/A</v>
      </c>
      <c r="AL25" s="219" t="e">
        <f t="shared" ref="AL25:AL31" si="21">AK25+AH25+AG25+AF25</f>
        <v>#N/A</v>
      </c>
      <c r="AM25" s="221">
        <f>VLOOKUP(G25,'C PHASES'!$I$108:$J$110,2,FALSE)</f>
        <v>46204</v>
      </c>
      <c r="AN25" s="221" t="e">
        <f>VLOOKUP(Y25,'C PHASES'!$I$113:$J$125,2,FALSE)</f>
        <v>#N/A</v>
      </c>
      <c r="AO25" s="222" t="e">
        <f t="shared" ref="AO25:AO31" si="22">(AM25-AN25)/365</f>
        <v>#N/A</v>
      </c>
    </row>
    <row r="26" spans="1:41" s="202" customFormat="1" x14ac:dyDescent="0.25">
      <c r="A26" s="197" t="str">
        <f>LEFT(B26,1)</f>
        <v>C</v>
      </c>
      <c r="B26" s="197" t="s">
        <v>37</v>
      </c>
      <c r="C26" s="197" t="s">
        <v>1147</v>
      </c>
      <c r="D26" s="198">
        <v>1</v>
      </c>
      <c r="E26" s="199">
        <v>2</v>
      </c>
      <c r="F26" s="200" t="str">
        <f t="shared" si="15"/>
        <v>C212</v>
      </c>
      <c r="G26" s="201" t="str">
        <f>VLOOKUP(B26,'PREMIUM TABLES'!$G$107:$H$149,2,FALSE)</f>
        <v>C2</v>
      </c>
      <c r="H26" s="201">
        <v>139.572</v>
      </c>
      <c r="I26" s="200">
        <v>156.51542404130524</v>
      </c>
      <c r="J26" s="200">
        <f>1.22*H26</f>
        <v>170.27784</v>
      </c>
      <c r="K26" s="201"/>
      <c r="L26" s="209"/>
      <c r="M26" s="202" t="s">
        <v>180</v>
      </c>
      <c r="N26" s="202" t="s">
        <v>190</v>
      </c>
      <c r="O26" s="203" t="s">
        <v>192</v>
      </c>
      <c r="P26" s="202" t="str">
        <f>VLOOKUP(D26,'PREMIUM TABLES'!$F$214:$G$219,2,FALSE)</f>
        <v>FIRST</v>
      </c>
      <c r="Q26" s="215" t="str" cm="1">
        <f t="array" ref="Q26">IF(AND(J26&gt;0,J26&lt;89),"A",IF(AND(J26&gt;89,J26&lt;122),"B",IF(AND(J26&gt;122,J26&lt;160),"C",IF(AND(J26&gt;160,J26&lt;185),"D",IF(AND(J26&gt;185,J26&lt;230),"E",IF(AND(J26&gt;230,J26&lt;350),"F",NONE))))))</f>
        <v>D</v>
      </c>
      <c r="R26" s="204">
        <f>VLOOKUP(M26,'PREMIUM TABLES'!$G$165:$H$172,2,FALSE)</f>
        <v>0.13</v>
      </c>
      <c r="S26" s="204" t="e">
        <f>VLOOKUP(N26,'PREMIUM TABLES'!#REF!,2,FALSE)</f>
        <v>#REF!</v>
      </c>
      <c r="T26" s="204">
        <f>VLOOKUP(O26,'PREMIUM TABLES'!$G$175:$H$195,2,FALSE)</f>
        <v>0.46</v>
      </c>
      <c r="U26" s="204">
        <f>VLOOKUP(P26,'PREMIUM TABLES'!$G$214:$H$219,2,FALSE)</f>
        <v>7.0000000000000007E-2</v>
      </c>
      <c r="V26" s="217">
        <f>VLOOKUP(Q26,'PREMIUM TABLES'!$F$199:$H$205,3,FALSE)</f>
        <v>2.5000000000000001E-2</v>
      </c>
      <c r="W26" s="205" t="e">
        <f>SUM(R26:V26)</f>
        <v>#REF!</v>
      </c>
      <c r="X26" s="205" t="e" cm="1">
        <f t="array" ref="X26">IF(AND(W26&gt;0,W26&lt;0.5),"C",IF(AND(W26&gt;=0.5,W26&lt;0.73),"B",IF(AND(W26&gt;=0.73,W26&lt;0.98),"A",NONE)))</f>
        <v>#REF!</v>
      </c>
      <c r="Y26" s="205" t="str">
        <f>VLOOKUP(F26,'ALL (R)'!$H$5:$L$880,5,FALSE)</f>
        <v>R11</v>
      </c>
      <c r="Z26" s="206" t="e">
        <f>VLOOKUP(Y26,FACTS!$B$2:$L$13,10,FALSE)</f>
        <v>#N/A</v>
      </c>
      <c r="AA26" s="206" t="e">
        <f>VLOOKUP(Y26,FACTS!$B$2:$L$13,11,FALSE)</f>
        <v>#N/A</v>
      </c>
      <c r="AB26" s="206" t="e">
        <f>VLOOKUP(Y26,FACTS!$B$2:$N$13,13,FALSE)</f>
        <v>#N/A</v>
      </c>
      <c r="AC26" s="206" t="e">
        <f>AB26*W26</f>
        <v>#N/A</v>
      </c>
      <c r="AD26" s="206" t="e">
        <f>AC26+Z26</f>
        <v>#N/A</v>
      </c>
      <c r="AE26" s="206" t="e">
        <f>AD26*FACTS!$T$2</f>
        <v>#N/A</v>
      </c>
      <c r="AF26" s="206" t="e">
        <f>AD26*J26</f>
        <v>#N/A</v>
      </c>
      <c r="AG26" s="206" t="e">
        <f>AE26*K26</f>
        <v>#N/A</v>
      </c>
      <c r="AH26" s="206" t="e">
        <f>(AG26+AF26)*FACTS!$S$2</f>
        <v>#N/A</v>
      </c>
      <c r="AI26" s="220">
        <f>VLOOKUP(Q26,FACTS!$A$17:$C$23,3,FALSE)</f>
        <v>2</v>
      </c>
      <c r="AJ26" s="206" t="e">
        <f>VLOOKUP(Y26,FACTS!$B$2:$J$13,9,FALSE)</f>
        <v>#N/A</v>
      </c>
      <c r="AK26" s="206" t="e">
        <f>AJ26*AI26</f>
        <v>#N/A</v>
      </c>
      <c r="AL26" s="206" t="e">
        <f>AK26+AH26+AG26+AF26</f>
        <v>#N/A</v>
      </c>
      <c r="AM26" s="207">
        <f>VLOOKUP(G26,'C PHASES'!$I$108:$J$110,2,FALSE)</f>
        <v>46204</v>
      </c>
      <c r="AN26" s="207" t="e">
        <f>VLOOKUP(Y26,'C PHASES'!$I$113:$J$125,2,FALSE)</f>
        <v>#N/A</v>
      </c>
      <c r="AO26" s="208" t="e">
        <f>(AM26-AN26)/365</f>
        <v>#N/A</v>
      </c>
    </row>
    <row r="27" spans="1:41" s="215" customFormat="1" x14ac:dyDescent="0.25">
      <c r="A27" s="210" t="str">
        <f t="shared" si="14"/>
        <v>C</v>
      </c>
      <c r="B27" s="210" t="s">
        <v>37</v>
      </c>
      <c r="C27" s="210" t="s">
        <v>1147</v>
      </c>
      <c r="D27" s="211">
        <v>0</v>
      </c>
      <c r="E27" s="212">
        <v>3</v>
      </c>
      <c r="F27" s="213" t="str">
        <f t="shared" si="15"/>
        <v>C203</v>
      </c>
      <c r="G27" s="214" t="str">
        <f>VLOOKUP(B27,'PREMIUM TABLES'!$G$107:$H$149,2,FALSE)</f>
        <v>C2</v>
      </c>
      <c r="H27" s="214">
        <v>142.197</v>
      </c>
      <c r="I27" s="213">
        <v>159.45908744161781</v>
      </c>
      <c r="J27" s="213">
        <f>(1.22*H27)+J28</f>
        <v>343.92898000000002</v>
      </c>
      <c r="K27" s="213">
        <v>97.259299999999996</v>
      </c>
      <c r="M27" s="215" t="s">
        <v>180</v>
      </c>
      <c r="N27" s="215" t="s">
        <v>190</v>
      </c>
      <c r="O27" s="216" t="s">
        <v>192</v>
      </c>
      <c r="P27" s="215" t="str">
        <f>VLOOKUP(D27,'PREMIUM TABLES'!$F$214:$G$219,2,FALSE)</f>
        <v>GROUND</v>
      </c>
      <c r="Q27" s="215" t="str" cm="1">
        <f t="array" ref="Q27">IF(AND(J27&gt;0,J27&lt;89),"A",IF(AND(J27&gt;89,J27&lt;122),"B",IF(AND(J27&gt;122,J27&lt;160),"C",IF(AND(J27&gt;160,J27&lt;185),"D",IF(AND(J27&gt;185,J27&lt;230),"E",IF(AND(J27&gt;230,J27&lt;350),"F",NONE))))))</f>
        <v>F</v>
      </c>
      <c r="R27" s="217">
        <f>VLOOKUP(M27,'PREMIUM TABLES'!$G$165:$H$172,2,FALSE)</f>
        <v>0.13</v>
      </c>
      <c r="S27" s="217" t="e">
        <f>VLOOKUP(N27,'PREMIUM TABLES'!#REF!,2,FALSE)</f>
        <v>#REF!</v>
      </c>
      <c r="T27" s="217">
        <f>VLOOKUP(O27,'PREMIUM TABLES'!$G$175:$H$195,2,FALSE)</f>
        <v>0.46</v>
      </c>
      <c r="U27" s="217">
        <f>VLOOKUP(P27,'PREMIUM TABLES'!$G$214:$H$219,2,FALSE)</f>
        <v>0.05</v>
      </c>
      <c r="V27" s="217">
        <f>VLOOKUP(Q27,'PREMIUM TABLES'!$F$199:$H$205,3,FALSE)</f>
        <v>0</v>
      </c>
      <c r="W27" s="218" t="e">
        <f t="shared" si="16"/>
        <v>#REF!</v>
      </c>
      <c r="X27" s="218" t="e" cm="1">
        <f t="array" ref="X27">IF(AND(W27&gt;0,W27&lt;0.5),"C",IF(AND(W27&gt;=0.5,W27&lt;0.73),"B",IF(AND(W27&gt;=0.73,W27&lt;0.98),"A",NONE)))</f>
        <v>#REF!</v>
      </c>
      <c r="Y27" s="218" t="str">
        <f>VLOOKUP(F27,'ALL (R)'!$H$5:$L$880,5,FALSE)</f>
        <v>R8</v>
      </c>
      <c r="Z27" s="219" t="e">
        <f>VLOOKUP(Y27,FACTS!$B$2:$L$13,10,FALSE)</f>
        <v>#N/A</v>
      </c>
      <c r="AA27" s="219" t="e">
        <f>VLOOKUP(Y27,FACTS!$B$2:$L$13,11,FALSE)</f>
        <v>#N/A</v>
      </c>
      <c r="AB27" s="219" t="e">
        <f>VLOOKUP(Y27,FACTS!$B$2:$N$13,13,FALSE)</f>
        <v>#N/A</v>
      </c>
      <c r="AC27" s="219" t="e">
        <f t="shared" si="17"/>
        <v>#N/A</v>
      </c>
      <c r="AD27" s="219" t="e">
        <f t="shared" si="18"/>
        <v>#N/A</v>
      </c>
      <c r="AE27" s="219" t="e">
        <f>AD27*FACTS!$T$2</f>
        <v>#N/A</v>
      </c>
      <c r="AF27" s="219" t="e">
        <f t="shared" si="19"/>
        <v>#N/A</v>
      </c>
      <c r="AG27" s="219" t="e">
        <f t="shared" si="19"/>
        <v>#N/A</v>
      </c>
      <c r="AH27" s="219" t="e">
        <f>(AG27+AF27)*FACTS!$S$2</f>
        <v>#N/A</v>
      </c>
      <c r="AI27" s="220">
        <f>VLOOKUP(Q27,FACTS!$A$17:$C$23,3,FALSE)</f>
        <v>2</v>
      </c>
      <c r="AJ27" s="219" t="e">
        <f>VLOOKUP(Y27,FACTS!$B$2:$J$13,9,FALSE)</f>
        <v>#N/A</v>
      </c>
      <c r="AK27" s="219" t="e">
        <f t="shared" si="20"/>
        <v>#N/A</v>
      </c>
      <c r="AL27" s="219" t="e">
        <f t="shared" si="21"/>
        <v>#N/A</v>
      </c>
      <c r="AM27" s="221">
        <f>VLOOKUP(G27,'C PHASES'!$I$108:$J$110,2,FALSE)</f>
        <v>46204</v>
      </c>
      <c r="AN27" s="221" t="e">
        <f>VLOOKUP(Y27,'C PHASES'!$I$113:$J$125,2,FALSE)</f>
        <v>#N/A</v>
      </c>
      <c r="AO27" s="222" t="e">
        <f t="shared" si="22"/>
        <v>#N/A</v>
      </c>
    </row>
    <row r="28" spans="1:41" s="202" customFormat="1" x14ac:dyDescent="0.25">
      <c r="A28" s="197" t="str">
        <f t="shared" si="14"/>
        <v>C</v>
      </c>
      <c r="B28" s="197" t="s">
        <v>37</v>
      </c>
      <c r="C28" s="197" t="s">
        <v>1147</v>
      </c>
      <c r="D28" s="198">
        <v>1</v>
      </c>
      <c r="E28" s="199">
        <v>3</v>
      </c>
      <c r="F28" s="200" t="str">
        <f t="shared" si="15"/>
        <v>C213</v>
      </c>
      <c r="G28" s="201" t="str">
        <f>VLOOKUP(B28,'PREMIUM TABLES'!$G$107:$H$149,2,FALSE)</f>
        <v>C2</v>
      </c>
      <c r="H28" s="201">
        <v>139.71199999999999</v>
      </c>
      <c r="I28" s="200">
        <v>156.67241942265522</v>
      </c>
      <c r="J28" s="200">
        <f>1.22*H28</f>
        <v>170.44863999999998</v>
      </c>
      <c r="K28" s="201"/>
      <c r="L28" s="209"/>
      <c r="M28" s="202" t="s">
        <v>180</v>
      </c>
      <c r="N28" s="202" t="s">
        <v>190</v>
      </c>
      <c r="O28" s="203" t="s">
        <v>192</v>
      </c>
      <c r="P28" s="202" t="str">
        <f>VLOOKUP(D28,'PREMIUM TABLES'!$F$214:$G$219,2,FALSE)</f>
        <v>FIRST</v>
      </c>
      <c r="Q28" s="215" t="str" cm="1">
        <f t="array" ref="Q28">IF(AND(J28&gt;0,J28&lt;89),"A",IF(AND(J28&gt;89,J28&lt;122),"B",IF(AND(J28&gt;122,J28&lt;160),"C",IF(AND(J28&gt;160,J28&lt;185),"D",IF(AND(J28&gt;185,J28&lt;230),"E",IF(AND(J28&gt;230,J28&lt;350),"F",NONE))))))</f>
        <v>D</v>
      </c>
      <c r="R28" s="204">
        <f>VLOOKUP(M28,'PREMIUM TABLES'!$G$165:$H$172,2,FALSE)</f>
        <v>0.13</v>
      </c>
      <c r="S28" s="204" t="e">
        <f>VLOOKUP(N28,'PREMIUM TABLES'!#REF!,2,FALSE)</f>
        <v>#REF!</v>
      </c>
      <c r="T28" s="204">
        <f>VLOOKUP(O28,'PREMIUM TABLES'!$G$175:$H$195,2,FALSE)</f>
        <v>0.46</v>
      </c>
      <c r="U28" s="204">
        <f>VLOOKUP(P28,'PREMIUM TABLES'!$G$214:$H$219,2,FALSE)</f>
        <v>7.0000000000000007E-2</v>
      </c>
      <c r="V28" s="217">
        <f>VLOOKUP(Q28,'PREMIUM TABLES'!$F$199:$H$205,3,FALSE)</f>
        <v>2.5000000000000001E-2</v>
      </c>
      <c r="W28" s="205" t="e">
        <f t="shared" si="16"/>
        <v>#REF!</v>
      </c>
      <c r="X28" s="205" t="e" cm="1">
        <f t="array" ref="X28">IF(AND(W28&gt;0,W28&lt;0.5),"C",IF(AND(W28&gt;=0.5,W28&lt;0.73),"B",IF(AND(W28&gt;=0.73,W28&lt;0.98),"A",NONE)))</f>
        <v>#REF!</v>
      </c>
      <c r="Y28" s="205" t="str">
        <f>VLOOKUP(F28,'ALL (R)'!$H$5:$L$880,5,FALSE)</f>
        <v>R10</v>
      </c>
      <c r="Z28" s="206" t="e">
        <f>VLOOKUP(Y28,FACTS!$B$2:$L$13,10,FALSE)</f>
        <v>#N/A</v>
      </c>
      <c r="AA28" s="206" t="e">
        <f>VLOOKUP(Y28,FACTS!$B$2:$L$13,11,FALSE)</f>
        <v>#N/A</v>
      </c>
      <c r="AB28" s="206" t="e">
        <f>VLOOKUP(Y28,FACTS!$B$2:$N$13,13,FALSE)</f>
        <v>#N/A</v>
      </c>
      <c r="AC28" s="206" t="e">
        <f t="shared" si="17"/>
        <v>#N/A</v>
      </c>
      <c r="AD28" s="206" t="e">
        <f t="shared" si="18"/>
        <v>#N/A</v>
      </c>
      <c r="AE28" s="206" t="e">
        <f>AD28*FACTS!$T$2</f>
        <v>#N/A</v>
      </c>
      <c r="AF28" s="206" t="e">
        <f t="shared" si="19"/>
        <v>#N/A</v>
      </c>
      <c r="AG28" s="206" t="e">
        <f t="shared" si="19"/>
        <v>#N/A</v>
      </c>
      <c r="AH28" s="206" t="e">
        <f>(AG28+AF28)*FACTS!$S$2</f>
        <v>#N/A</v>
      </c>
      <c r="AI28" s="220">
        <f>VLOOKUP(Q28,FACTS!$A$17:$C$23,3,FALSE)</f>
        <v>2</v>
      </c>
      <c r="AJ28" s="206" t="e">
        <f>VLOOKUP(Y28,FACTS!$B$2:$J$13,9,FALSE)</f>
        <v>#N/A</v>
      </c>
      <c r="AK28" s="206" t="e">
        <f t="shared" si="20"/>
        <v>#N/A</v>
      </c>
      <c r="AL28" s="206" t="e">
        <f t="shared" si="21"/>
        <v>#N/A</v>
      </c>
      <c r="AM28" s="207">
        <f>VLOOKUP(G28,'C PHASES'!$I$108:$J$110,2,FALSE)</f>
        <v>46204</v>
      </c>
      <c r="AN28" s="207" t="e">
        <f>VLOOKUP(Y28,'C PHASES'!$I$113:$J$125,2,FALSE)</f>
        <v>#N/A</v>
      </c>
      <c r="AO28" s="208" t="e">
        <f t="shared" si="22"/>
        <v>#N/A</v>
      </c>
    </row>
    <row r="29" spans="1:41" s="215" customFormat="1" x14ac:dyDescent="0.25">
      <c r="A29" s="210" t="str">
        <f t="shared" si="14"/>
        <v>C</v>
      </c>
      <c r="B29" s="210" t="s">
        <v>87</v>
      </c>
      <c r="C29" s="210" t="s">
        <v>1147</v>
      </c>
      <c r="D29" s="211">
        <v>0</v>
      </c>
      <c r="E29" s="212">
        <v>2</v>
      </c>
      <c r="F29" s="213" t="str">
        <f t="shared" si="15"/>
        <v>C502</v>
      </c>
      <c r="G29" s="214" t="str">
        <f>VLOOKUP(B29,'PREMIUM TABLES'!$G$107:$H$149,2,FALSE)</f>
        <v>C2</v>
      </c>
      <c r="H29" s="214">
        <v>142.05600000000001</v>
      </c>
      <c r="I29" s="213">
        <v>159.30097066468673</v>
      </c>
      <c r="J29" s="213">
        <f>(1.22*H29)+J30</f>
        <v>343.58616000000001</v>
      </c>
      <c r="K29" s="213">
        <v>97.868200000000002</v>
      </c>
      <c r="M29" s="215" t="s">
        <v>187</v>
      </c>
      <c r="N29" s="215" t="s">
        <v>190</v>
      </c>
      <c r="O29" s="216" t="s">
        <v>192</v>
      </c>
      <c r="P29" s="215" t="str">
        <f>VLOOKUP(D29,'PREMIUM TABLES'!$F$214:$G$219,2,FALSE)</f>
        <v>GROUND</v>
      </c>
      <c r="Q29" s="215" t="str" cm="1">
        <f t="array" ref="Q29">IF(AND(J29&gt;0,J29&lt;89),"A",IF(AND(J29&gt;89,J29&lt;122),"B",IF(AND(J29&gt;122,J29&lt;160),"C",IF(AND(J29&gt;160,J29&lt;185),"D",IF(AND(J29&gt;185,J29&lt;230),"E",IF(AND(J29&gt;230,J29&lt;350),"F",NONE))))))</f>
        <v>F</v>
      </c>
      <c r="R29" s="217">
        <f>VLOOKUP(M29,'PREMIUM TABLES'!$G$165:$H$172,2,FALSE)</f>
        <v>0.08</v>
      </c>
      <c r="S29" s="217" t="e">
        <f>VLOOKUP(N29,'PREMIUM TABLES'!#REF!,2,FALSE)</f>
        <v>#REF!</v>
      </c>
      <c r="T29" s="217">
        <f>VLOOKUP(O29,'PREMIUM TABLES'!$G$175:$H$195,2,FALSE)</f>
        <v>0.46</v>
      </c>
      <c r="U29" s="217">
        <f>VLOOKUP(P29,'PREMIUM TABLES'!$G$214:$H$219,2,FALSE)</f>
        <v>0.05</v>
      </c>
      <c r="V29" s="217">
        <f>VLOOKUP(Q29,'PREMIUM TABLES'!$F$199:$H$205,3,FALSE)</f>
        <v>0</v>
      </c>
      <c r="W29" s="218" t="e">
        <f t="shared" si="16"/>
        <v>#REF!</v>
      </c>
      <c r="X29" s="218" t="e" cm="1">
        <f t="array" ref="X29">IF(AND(W29&gt;0,W29&lt;0.5),"C",IF(AND(W29&gt;=0.5,W29&lt;0.73),"B",IF(AND(W29&gt;=0.73,W29&lt;0.98),"A",NONE)))</f>
        <v>#REF!</v>
      </c>
      <c r="Y29" s="218" t="str">
        <f>VLOOKUP(F29,'ALL (R)'!$H$5:$L$880,5,FALSE)</f>
        <v>R4</v>
      </c>
      <c r="Z29" s="219" t="e">
        <f>VLOOKUP(Y29,FACTS!$B$2:$L$13,10,FALSE)</f>
        <v>#N/A</v>
      </c>
      <c r="AA29" s="219" t="e">
        <f>VLOOKUP(Y29,FACTS!$B$2:$L$13,11,FALSE)</f>
        <v>#N/A</v>
      </c>
      <c r="AB29" s="219" t="e">
        <f>VLOOKUP(Y29,FACTS!$B$2:$N$13,13,FALSE)</f>
        <v>#N/A</v>
      </c>
      <c r="AC29" s="219" t="e">
        <f t="shared" si="17"/>
        <v>#N/A</v>
      </c>
      <c r="AD29" s="219" t="e">
        <f t="shared" si="18"/>
        <v>#N/A</v>
      </c>
      <c r="AE29" s="219" t="e">
        <f>AD29*FACTS!$T$2</f>
        <v>#N/A</v>
      </c>
      <c r="AF29" s="219" t="e">
        <f t="shared" si="19"/>
        <v>#N/A</v>
      </c>
      <c r="AG29" s="219" t="e">
        <f t="shared" si="19"/>
        <v>#N/A</v>
      </c>
      <c r="AH29" s="219" t="e">
        <f>(AG29+AF29)*FACTS!$S$2</f>
        <v>#N/A</v>
      </c>
      <c r="AI29" s="220">
        <f>VLOOKUP(Q29,FACTS!$A$17:$C$23,3,FALSE)</f>
        <v>2</v>
      </c>
      <c r="AJ29" s="219" t="e">
        <f>VLOOKUP(Y29,FACTS!$B$2:$J$13,9,FALSE)</f>
        <v>#N/A</v>
      </c>
      <c r="AK29" s="219" t="e">
        <f t="shared" si="20"/>
        <v>#N/A</v>
      </c>
      <c r="AL29" s="219" t="e">
        <f t="shared" si="21"/>
        <v>#N/A</v>
      </c>
      <c r="AM29" s="221">
        <f>VLOOKUP(G29,'C PHASES'!$I$108:$J$110,2,FALSE)</f>
        <v>46204</v>
      </c>
      <c r="AN29" s="221" t="e">
        <f>VLOOKUP(Y29,'C PHASES'!$I$113:$J$125,2,FALSE)</f>
        <v>#N/A</v>
      </c>
      <c r="AO29" s="222" t="e">
        <f t="shared" si="22"/>
        <v>#N/A</v>
      </c>
    </row>
    <row r="30" spans="1:41" s="202" customFormat="1" x14ac:dyDescent="0.25">
      <c r="A30" s="197" t="str">
        <f>LEFT(B30,1)</f>
        <v>C</v>
      </c>
      <c r="B30" s="197" t="s">
        <v>87</v>
      </c>
      <c r="C30" s="197" t="s">
        <v>1147</v>
      </c>
      <c r="D30" s="198">
        <v>1</v>
      </c>
      <c r="E30" s="199">
        <v>2</v>
      </c>
      <c r="F30" s="200" t="str">
        <f t="shared" si="15"/>
        <v>C512</v>
      </c>
      <c r="G30" s="201" t="str">
        <f>VLOOKUP(B30,'PREMIUM TABLES'!$G$107:$H$149,2,FALSE)</f>
        <v>C2</v>
      </c>
      <c r="H30" s="201">
        <v>139.572</v>
      </c>
      <c r="I30" s="200">
        <v>156.51542404130524</v>
      </c>
      <c r="J30" s="200">
        <f>1.22*H30</f>
        <v>170.27784</v>
      </c>
      <c r="K30" s="201"/>
      <c r="L30" s="209"/>
      <c r="M30" s="202" t="s">
        <v>187</v>
      </c>
      <c r="N30" s="202" t="s">
        <v>190</v>
      </c>
      <c r="O30" s="203" t="s">
        <v>192</v>
      </c>
      <c r="P30" s="202" t="str">
        <f>VLOOKUP(D30,'PREMIUM TABLES'!$F$214:$G$219,2,FALSE)</f>
        <v>FIRST</v>
      </c>
      <c r="Q30" s="215" t="str" cm="1">
        <f t="array" ref="Q30">IF(AND(J30&gt;0,J30&lt;89),"A",IF(AND(J30&gt;89,J30&lt;122),"B",IF(AND(J30&gt;122,J30&lt;160),"C",IF(AND(J30&gt;160,J30&lt;185),"D",IF(AND(J30&gt;185,J30&lt;230),"E",IF(AND(J30&gt;230,J30&lt;350),"F",NONE))))))</f>
        <v>D</v>
      </c>
      <c r="R30" s="204">
        <f>VLOOKUP(M30,'PREMIUM TABLES'!$G$165:$H$172,2,FALSE)</f>
        <v>0.08</v>
      </c>
      <c r="S30" s="204" t="e">
        <f>VLOOKUP(N30,'PREMIUM TABLES'!#REF!,2,FALSE)</f>
        <v>#REF!</v>
      </c>
      <c r="T30" s="204">
        <f>VLOOKUP(O30,'PREMIUM TABLES'!$G$175:$H$195,2,FALSE)</f>
        <v>0.46</v>
      </c>
      <c r="U30" s="204">
        <f>VLOOKUP(P30,'PREMIUM TABLES'!$G$214:$H$219,2,FALSE)</f>
        <v>7.0000000000000007E-2</v>
      </c>
      <c r="V30" s="217">
        <f>VLOOKUP(Q30,'PREMIUM TABLES'!$F$199:$H$205,3,FALSE)</f>
        <v>2.5000000000000001E-2</v>
      </c>
      <c r="W30" s="205" t="e">
        <f>SUM(R30:V30)</f>
        <v>#REF!</v>
      </c>
      <c r="X30" s="205" t="e" cm="1">
        <f t="array" ref="X30">IF(AND(W30&gt;0,W30&lt;0.5),"C",IF(AND(W30&gt;=0.5,W30&lt;0.73),"B",IF(AND(W30&gt;=0.73,W30&lt;0.98),"A",NONE)))</f>
        <v>#REF!</v>
      </c>
      <c r="Y30" s="205" t="str">
        <f>VLOOKUP(F30,'ALL (R)'!$H$5:$L$880,5,FALSE)</f>
        <v>R5</v>
      </c>
      <c r="Z30" s="206" t="e">
        <f>VLOOKUP(Y30,FACTS!$B$2:$L$13,10,FALSE)</f>
        <v>#N/A</v>
      </c>
      <c r="AA30" s="206" t="e">
        <f>VLOOKUP(Y30,FACTS!$B$2:$L$13,11,FALSE)</f>
        <v>#N/A</v>
      </c>
      <c r="AB30" s="206" t="e">
        <f>VLOOKUP(Y30,FACTS!$B$2:$N$13,13,FALSE)</f>
        <v>#N/A</v>
      </c>
      <c r="AC30" s="206" t="e">
        <f>AB30*W30</f>
        <v>#N/A</v>
      </c>
      <c r="AD30" s="206" t="e">
        <f>AC30+Z30</f>
        <v>#N/A</v>
      </c>
      <c r="AE30" s="206" t="e">
        <f>AD30*FACTS!$T$2</f>
        <v>#N/A</v>
      </c>
      <c r="AF30" s="206" t="e">
        <f>AD30*J30</f>
        <v>#N/A</v>
      </c>
      <c r="AG30" s="206" t="e">
        <f>AE30*K30</f>
        <v>#N/A</v>
      </c>
      <c r="AH30" s="206" t="e">
        <f>(AG30+AF30)*FACTS!$S$2</f>
        <v>#N/A</v>
      </c>
      <c r="AI30" s="220">
        <f>VLOOKUP(Q30,FACTS!$A$17:$C$23,3,FALSE)</f>
        <v>2</v>
      </c>
      <c r="AJ30" s="206" t="e">
        <f>VLOOKUP(Y30,FACTS!$B$2:$J$13,9,FALSE)</f>
        <v>#N/A</v>
      </c>
      <c r="AK30" s="206" t="e">
        <f>AJ30*AI30</f>
        <v>#N/A</v>
      </c>
      <c r="AL30" s="206" t="e">
        <f>AK30+AH30+AG30+AF30</f>
        <v>#N/A</v>
      </c>
      <c r="AM30" s="207">
        <f>VLOOKUP(G30,'C PHASES'!$I$108:$J$110,2,FALSE)</f>
        <v>46204</v>
      </c>
      <c r="AN30" s="207" t="e">
        <f>VLOOKUP(Y30,'C PHASES'!$I$113:$J$125,2,FALSE)</f>
        <v>#N/A</v>
      </c>
      <c r="AO30" s="208" t="e">
        <f>(AM30-AN30)/365</f>
        <v>#N/A</v>
      </c>
    </row>
    <row r="31" spans="1:41" s="215" customFormat="1" x14ac:dyDescent="0.25">
      <c r="A31" s="210" t="str">
        <f t="shared" si="14"/>
        <v>C</v>
      </c>
      <c r="B31" s="210" t="s">
        <v>87</v>
      </c>
      <c r="C31" s="210" t="s">
        <v>1147</v>
      </c>
      <c r="D31" s="211">
        <v>0</v>
      </c>
      <c r="E31" s="212">
        <v>3</v>
      </c>
      <c r="F31" s="213" t="str">
        <f t="shared" si="15"/>
        <v>C503</v>
      </c>
      <c r="G31" s="214" t="str">
        <f>VLOOKUP(B31,'PREMIUM TABLES'!$G$107:$H$149,2,FALSE)</f>
        <v>C2</v>
      </c>
      <c r="H31" s="214">
        <v>142.197</v>
      </c>
      <c r="I31" s="213">
        <v>159.45908744161781</v>
      </c>
      <c r="J31" s="213">
        <f>(1.22*H31)+J32</f>
        <v>343.92898000000002</v>
      </c>
      <c r="K31" s="213">
        <v>97.259299999999996</v>
      </c>
      <c r="M31" s="215" t="s">
        <v>187</v>
      </c>
      <c r="N31" s="215" t="s">
        <v>190</v>
      </c>
      <c r="O31" s="216" t="s">
        <v>192</v>
      </c>
      <c r="P31" s="215" t="str">
        <f>VLOOKUP(D31,'PREMIUM TABLES'!$F$214:$G$219,2,FALSE)</f>
        <v>GROUND</v>
      </c>
      <c r="Q31" s="215" t="str" cm="1">
        <f t="array" ref="Q31">IF(AND(J31&gt;0,J31&lt;89),"A",IF(AND(J31&gt;89,J31&lt;122),"B",IF(AND(J31&gt;122,J31&lt;160),"C",IF(AND(J31&gt;160,J31&lt;185),"D",IF(AND(J31&gt;185,J31&lt;230),"E",IF(AND(J31&gt;230,J31&lt;350),"F",NONE))))))</f>
        <v>F</v>
      </c>
      <c r="R31" s="217">
        <f>VLOOKUP(M31,'PREMIUM TABLES'!$G$165:$H$172,2,FALSE)</f>
        <v>0.08</v>
      </c>
      <c r="S31" s="217" t="e">
        <f>VLOOKUP(N31,'PREMIUM TABLES'!#REF!,2,FALSE)</f>
        <v>#REF!</v>
      </c>
      <c r="T31" s="217">
        <f>VLOOKUP(O31,'PREMIUM TABLES'!$G$175:$H$195,2,FALSE)</f>
        <v>0.46</v>
      </c>
      <c r="U31" s="217">
        <f>VLOOKUP(P31,'PREMIUM TABLES'!$G$214:$H$219,2,FALSE)</f>
        <v>0.05</v>
      </c>
      <c r="V31" s="217">
        <f>VLOOKUP(Q31,'PREMIUM TABLES'!$F$199:$H$205,3,FALSE)</f>
        <v>0</v>
      </c>
      <c r="W31" s="218" t="e">
        <f t="shared" si="16"/>
        <v>#REF!</v>
      </c>
      <c r="X31" s="218" t="e" cm="1">
        <f t="array" ref="X31">IF(AND(W31&gt;0,W31&lt;0.5),"C",IF(AND(W31&gt;=0.5,W31&lt;0.73),"B",IF(AND(W31&gt;=0.73,W31&lt;0.98),"A",NONE)))</f>
        <v>#REF!</v>
      </c>
      <c r="Y31" s="218" t="str">
        <f>VLOOKUP(F31,'ALL (R)'!$H$5:$L$880,5,FALSE)</f>
        <v>R4</v>
      </c>
      <c r="Z31" s="219" t="e">
        <f>VLOOKUP(Y31,FACTS!$B$2:$L$13,10,FALSE)</f>
        <v>#N/A</v>
      </c>
      <c r="AA31" s="219" t="e">
        <f>VLOOKUP(Y31,FACTS!$B$2:$L$13,11,FALSE)</f>
        <v>#N/A</v>
      </c>
      <c r="AB31" s="219" t="e">
        <f>VLOOKUP(Y31,FACTS!$B$2:$N$13,13,FALSE)</f>
        <v>#N/A</v>
      </c>
      <c r="AC31" s="219" t="e">
        <f t="shared" si="17"/>
        <v>#N/A</v>
      </c>
      <c r="AD31" s="219" t="e">
        <f t="shared" si="18"/>
        <v>#N/A</v>
      </c>
      <c r="AE31" s="219" t="e">
        <f>AD31*FACTS!$T$2</f>
        <v>#N/A</v>
      </c>
      <c r="AF31" s="219" t="e">
        <f t="shared" si="19"/>
        <v>#N/A</v>
      </c>
      <c r="AG31" s="219" t="e">
        <f t="shared" si="19"/>
        <v>#N/A</v>
      </c>
      <c r="AH31" s="219" t="e">
        <f>(AG31+AF31)*FACTS!$S$2</f>
        <v>#N/A</v>
      </c>
      <c r="AI31" s="220">
        <f>VLOOKUP(Q31,FACTS!$A$17:$C$23,3,FALSE)</f>
        <v>2</v>
      </c>
      <c r="AJ31" s="219" t="e">
        <f>VLOOKUP(Y31,FACTS!$B$2:$J$13,9,FALSE)</f>
        <v>#N/A</v>
      </c>
      <c r="AK31" s="219" t="e">
        <f t="shared" si="20"/>
        <v>#N/A</v>
      </c>
      <c r="AL31" s="219" t="e">
        <f t="shared" si="21"/>
        <v>#N/A</v>
      </c>
      <c r="AM31" s="221">
        <f>VLOOKUP(G31,'C PHASES'!$I$108:$J$110,2,FALSE)</f>
        <v>46204</v>
      </c>
      <c r="AN31" s="221" t="e">
        <f>VLOOKUP(Y31,'C PHASES'!$I$113:$J$125,2,FALSE)</f>
        <v>#N/A</v>
      </c>
      <c r="AO31" s="222" t="e">
        <f t="shared" si="22"/>
        <v>#N/A</v>
      </c>
    </row>
    <row r="32" spans="1:41" s="202" customFormat="1" x14ac:dyDescent="0.25">
      <c r="A32" s="197" t="str">
        <f t="shared" ref="A32:A40" si="23">LEFT(B32,1)</f>
        <v>C</v>
      </c>
      <c r="B32" s="197" t="s">
        <v>87</v>
      </c>
      <c r="C32" s="197" t="s">
        <v>1147</v>
      </c>
      <c r="D32" s="198">
        <v>1</v>
      </c>
      <c r="E32" s="199">
        <v>3</v>
      </c>
      <c r="F32" s="200" t="str">
        <f t="shared" si="15"/>
        <v>C513</v>
      </c>
      <c r="G32" s="201" t="str">
        <f>VLOOKUP(B32,'PREMIUM TABLES'!$G$107:$H$149,2,FALSE)</f>
        <v>C2</v>
      </c>
      <c r="H32" s="201">
        <v>139.71199999999999</v>
      </c>
      <c r="I32" s="200">
        <v>156.67241942265522</v>
      </c>
      <c r="J32" s="200">
        <f>1.22*H32</f>
        <v>170.44863999999998</v>
      </c>
      <c r="K32" s="201"/>
      <c r="L32" s="209"/>
      <c r="M32" s="202" t="s">
        <v>187</v>
      </c>
      <c r="N32" s="202" t="s">
        <v>190</v>
      </c>
      <c r="O32" s="203" t="s">
        <v>192</v>
      </c>
      <c r="P32" s="202" t="str">
        <f>VLOOKUP(D32,'PREMIUM TABLES'!$F$214:$G$219,2,FALSE)</f>
        <v>FIRST</v>
      </c>
      <c r="Q32" s="215" t="str" cm="1">
        <f t="array" ref="Q32">IF(AND(J32&gt;0,J32&lt;89),"A",IF(AND(J32&gt;89,J32&lt;122),"B",IF(AND(J32&gt;122,J32&lt;160),"C",IF(AND(J32&gt;160,J32&lt;185),"D",IF(AND(J32&gt;185,J32&lt;230),"E",IF(AND(J32&gt;230,J32&lt;350),"F",NONE))))))</f>
        <v>D</v>
      </c>
      <c r="R32" s="204">
        <f>VLOOKUP(M32,'PREMIUM TABLES'!$G$165:$H$172,2,FALSE)</f>
        <v>0.08</v>
      </c>
      <c r="S32" s="204" t="e">
        <f>VLOOKUP(N32,'PREMIUM TABLES'!#REF!,2,FALSE)</f>
        <v>#REF!</v>
      </c>
      <c r="T32" s="204">
        <f>VLOOKUP(O32,'PREMIUM TABLES'!$G$175:$H$195,2,FALSE)</f>
        <v>0.46</v>
      </c>
      <c r="U32" s="204">
        <f>VLOOKUP(P32,'PREMIUM TABLES'!$G$214:$H$219,2,FALSE)</f>
        <v>7.0000000000000007E-2</v>
      </c>
      <c r="V32" s="217">
        <f>VLOOKUP(Q32,'PREMIUM TABLES'!$F$199:$H$205,3,FALSE)</f>
        <v>2.5000000000000001E-2</v>
      </c>
      <c r="W32" s="205" t="e">
        <f t="shared" ref="W32:W40" si="24">SUM(R32:V32)</f>
        <v>#REF!</v>
      </c>
      <c r="X32" s="205" t="e" cm="1">
        <f t="array" ref="X32">IF(AND(W32&gt;0,W32&lt;0.5),"C",IF(AND(W32&gt;=0.5,W32&lt;0.73),"B",IF(AND(W32&gt;=0.73,W32&lt;0.98),"A",NONE)))</f>
        <v>#REF!</v>
      </c>
      <c r="Y32" s="205" t="str">
        <f>VLOOKUP(F32,'ALL (R)'!$H$5:$L$880,5,FALSE)</f>
        <v>R5</v>
      </c>
      <c r="Z32" s="206" t="e">
        <f>VLOOKUP(Y32,FACTS!$B$2:$L$13,10,FALSE)</f>
        <v>#N/A</v>
      </c>
      <c r="AA32" s="206" t="e">
        <f>VLOOKUP(Y32,FACTS!$B$2:$L$13,11,FALSE)</f>
        <v>#N/A</v>
      </c>
      <c r="AB32" s="206" t="e">
        <f>VLOOKUP(Y32,FACTS!$B$2:$N$13,13,FALSE)</f>
        <v>#N/A</v>
      </c>
      <c r="AC32" s="206" t="e">
        <f t="shared" ref="AC32:AC40" si="25">AB32*W32</f>
        <v>#N/A</v>
      </c>
      <c r="AD32" s="206" t="e">
        <f t="shared" ref="AD32:AD40" si="26">AC32+Z32</f>
        <v>#N/A</v>
      </c>
      <c r="AE32" s="206" t="e">
        <f>AD32*FACTS!$T$2</f>
        <v>#N/A</v>
      </c>
      <c r="AF32" s="206" t="e">
        <f t="shared" ref="AF32:AG36" si="27">AD32*J32</f>
        <v>#N/A</v>
      </c>
      <c r="AG32" s="206" t="e">
        <f t="shared" si="27"/>
        <v>#N/A</v>
      </c>
      <c r="AH32" s="206" t="e">
        <f>(AG32+AF32)*FACTS!$S$2</f>
        <v>#N/A</v>
      </c>
      <c r="AI32" s="220">
        <f>VLOOKUP(Q32,FACTS!$A$17:$C$23,3,FALSE)</f>
        <v>2</v>
      </c>
      <c r="AJ32" s="206" t="e">
        <f>VLOOKUP(Y32,FACTS!$B$2:$J$13,9,FALSE)</f>
        <v>#N/A</v>
      </c>
      <c r="AK32" s="206" t="e">
        <f t="shared" ref="AK32:AK40" si="28">AJ32*AI32</f>
        <v>#N/A</v>
      </c>
      <c r="AL32" s="206" t="e">
        <f t="shared" ref="AL32:AL40" si="29">AK32+AH32+AG32+AF32</f>
        <v>#N/A</v>
      </c>
      <c r="AM32" s="207">
        <f>VLOOKUP(G32,'C PHASES'!$I$108:$J$110,2,FALSE)</f>
        <v>46204</v>
      </c>
      <c r="AN32" s="207" t="e">
        <f>VLOOKUP(Y32,'C PHASES'!$I$113:$J$125,2,FALSE)</f>
        <v>#N/A</v>
      </c>
      <c r="AO32" s="208" t="e">
        <f t="shared" ref="AO32:AO40" si="30">(AM32-AN32)/365</f>
        <v>#N/A</v>
      </c>
    </row>
    <row r="33" spans="1:41" s="215" customFormat="1" x14ac:dyDescent="0.25">
      <c r="A33" s="210" t="str">
        <f t="shared" si="23"/>
        <v>D</v>
      </c>
      <c r="B33" s="210" t="s">
        <v>58</v>
      </c>
      <c r="C33" s="210" t="s">
        <v>1147</v>
      </c>
      <c r="D33" s="211">
        <v>0</v>
      </c>
      <c r="E33" s="212">
        <v>2</v>
      </c>
      <c r="F33" s="213" t="str">
        <f t="shared" si="15"/>
        <v>D202</v>
      </c>
      <c r="G33" s="214" t="str">
        <f>VLOOKUP(B33,'PREMIUM TABLES'!$G$107:$H$149,2,FALSE)</f>
        <v>C3</v>
      </c>
      <c r="H33" s="213">
        <v>128.28</v>
      </c>
      <c r="I33" s="213">
        <v>139.36450602070562</v>
      </c>
      <c r="J33" s="213">
        <f>(1.22*H33)+J34</f>
        <v>308.83079999999995</v>
      </c>
      <c r="K33" s="213">
        <v>86.075999999999993</v>
      </c>
      <c r="M33" s="215" t="s">
        <v>180</v>
      </c>
      <c r="N33" s="215" t="s">
        <v>190</v>
      </c>
      <c r="O33" s="216" t="s">
        <v>211</v>
      </c>
      <c r="P33" s="215" t="str">
        <f>VLOOKUP(D33,'PREMIUM TABLES'!$F$214:$G$219,2,FALSE)</f>
        <v>GROUND</v>
      </c>
      <c r="Q33" s="215" t="str" cm="1">
        <f t="array" ref="Q33">IF(AND(J33&gt;0,J33&lt;89),"A",IF(AND(J33&gt;89,J33&lt;122),"B",IF(AND(J33&gt;122,J33&lt;160),"C",IF(AND(J33&gt;160,J33&lt;185),"D",IF(AND(J33&gt;185,J33&lt;230),"E",IF(AND(J33&gt;230,J33&lt;350),"F",NONE))))))</f>
        <v>F</v>
      </c>
      <c r="R33" s="217">
        <f>VLOOKUP(M33,'PREMIUM TABLES'!$G$165:$H$172,2,FALSE)</f>
        <v>0.13</v>
      </c>
      <c r="S33" s="217" t="e">
        <f>VLOOKUP(N33,'PREMIUM TABLES'!#REF!,2,FALSE)</f>
        <v>#REF!</v>
      </c>
      <c r="T33" s="217">
        <f>VLOOKUP(O33,'PREMIUM TABLES'!$G$175:$H$195,2,FALSE)</f>
        <v>0.43</v>
      </c>
      <c r="U33" s="217">
        <f>VLOOKUP(P33,'PREMIUM TABLES'!$G$214:$H$219,2,FALSE)</f>
        <v>0.05</v>
      </c>
      <c r="V33" s="217">
        <f>VLOOKUP(Q33,'PREMIUM TABLES'!$F$199:$H$205,3,FALSE)</f>
        <v>0</v>
      </c>
      <c r="W33" s="218" t="e">
        <f t="shared" si="24"/>
        <v>#REF!</v>
      </c>
      <c r="X33" s="218" t="e" cm="1">
        <f t="array" ref="X33">IF(AND(W33&gt;0,W33&lt;0.5),"C",IF(AND(W33&gt;=0.5,W33&lt;0.73),"B",IF(AND(W33&gt;=0.73,W33&lt;0.98),"A",NONE)))</f>
        <v>#REF!</v>
      </c>
      <c r="Y33" s="218" t="str">
        <f>VLOOKUP(F33,'ALL (R)'!$H$5:$L$880,5,FALSE)</f>
        <v>R5</v>
      </c>
      <c r="Z33" s="219" t="e">
        <f>VLOOKUP(Y33,FACTS!$B$2:$L$13,10,FALSE)</f>
        <v>#N/A</v>
      </c>
      <c r="AA33" s="219" t="e">
        <f>VLOOKUP(Y33,FACTS!$B$2:$L$13,11,FALSE)</f>
        <v>#N/A</v>
      </c>
      <c r="AB33" s="219" t="e">
        <f>VLOOKUP(Y33,FACTS!$B$2:$N$13,13,FALSE)</f>
        <v>#N/A</v>
      </c>
      <c r="AC33" s="219" t="e">
        <f t="shared" si="25"/>
        <v>#N/A</v>
      </c>
      <c r="AD33" s="219" t="e">
        <f t="shared" si="26"/>
        <v>#N/A</v>
      </c>
      <c r="AE33" s="219" t="e">
        <f>AD33*FACTS!$T$2</f>
        <v>#N/A</v>
      </c>
      <c r="AF33" s="219" t="e">
        <f t="shared" si="27"/>
        <v>#N/A</v>
      </c>
      <c r="AG33" s="219" t="e">
        <f t="shared" si="27"/>
        <v>#N/A</v>
      </c>
      <c r="AH33" s="219" t="e">
        <f>(AG33+AF33)*FACTS!$S$2</f>
        <v>#N/A</v>
      </c>
      <c r="AI33" s="220">
        <f>VLOOKUP(Q33,FACTS!$A$17:$C$23,3,FALSE)</f>
        <v>2</v>
      </c>
      <c r="AJ33" s="219" t="e">
        <f>VLOOKUP(Y33,FACTS!$B$2:$J$13,9,FALSE)</f>
        <v>#N/A</v>
      </c>
      <c r="AK33" s="219" t="e">
        <f t="shared" si="28"/>
        <v>#N/A</v>
      </c>
      <c r="AL33" s="219" t="e">
        <f t="shared" si="29"/>
        <v>#N/A</v>
      </c>
      <c r="AM33" s="221">
        <f>VLOOKUP(G33,'C PHASES'!$I$108:$J$110,2,FALSE)</f>
        <v>46569</v>
      </c>
      <c r="AN33" s="221" t="e">
        <f>VLOOKUP(Y33,'C PHASES'!$I$113:$J$125,2,FALSE)</f>
        <v>#N/A</v>
      </c>
      <c r="AO33" s="222" t="e">
        <f t="shared" si="30"/>
        <v>#N/A</v>
      </c>
    </row>
    <row r="34" spans="1:41" s="202" customFormat="1" x14ac:dyDescent="0.25">
      <c r="A34" s="197" t="str">
        <f t="shared" si="23"/>
        <v>D</v>
      </c>
      <c r="B34" s="197" t="s">
        <v>58</v>
      </c>
      <c r="C34" s="197" t="s">
        <v>1147</v>
      </c>
      <c r="D34" s="198">
        <v>1</v>
      </c>
      <c r="E34" s="199">
        <v>2</v>
      </c>
      <c r="F34" s="200" t="str">
        <f t="shared" si="15"/>
        <v>D212</v>
      </c>
      <c r="G34" s="201" t="str">
        <f>VLOOKUP(B34,'PREMIUM TABLES'!$G$107:$H$149,2,FALSE)</f>
        <v>C3</v>
      </c>
      <c r="H34" s="200">
        <v>124.86</v>
      </c>
      <c r="I34" s="200">
        <v>135.64898832043423</v>
      </c>
      <c r="J34" s="200">
        <f>1.22*H34</f>
        <v>152.32919999999999</v>
      </c>
      <c r="K34" s="200"/>
      <c r="M34" s="202" t="s">
        <v>180</v>
      </c>
      <c r="N34" s="202" t="s">
        <v>190</v>
      </c>
      <c r="O34" s="203" t="s">
        <v>211</v>
      </c>
      <c r="P34" s="202" t="str">
        <f>VLOOKUP(D34,'PREMIUM TABLES'!$F$214:$G$219,2,FALSE)</f>
        <v>FIRST</v>
      </c>
      <c r="Q34" s="215" t="str" cm="1">
        <f t="array" ref="Q34">IF(AND(J34&gt;0,J34&lt;89),"A",IF(AND(J34&gt;89,J34&lt;122),"B",IF(AND(J34&gt;122,J34&lt;160),"C",IF(AND(J34&gt;160,J34&lt;185),"D",IF(AND(J34&gt;185,J34&lt;230),"E",IF(AND(J34&gt;230,J34&lt;350),"F",NONE))))))</f>
        <v>C</v>
      </c>
      <c r="R34" s="204">
        <f>VLOOKUP(M34,'PREMIUM TABLES'!$G$165:$H$172,2,FALSE)</f>
        <v>0.13</v>
      </c>
      <c r="S34" s="204" t="e">
        <f>VLOOKUP(N34,'PREMIUM TABLES'!#REF!,2,FALSE)</f>
        <v>#REF!</v>
      </c>
      <c r="T34" s="204">
        <f>VLOOKUP(O34,'PREMIUM TABLES'!$G$175:$H$195,2,FALSE)</f>
        <v>0.43</v>
      </c>
      <c r="U34" s="204">
        <f>VLOOKUP(P34,'PREMIUM TABLES'!$G$214:$H$219,2,FALSE)</f>
        <v>7.0000000000000007E-2</v>
      </c>
      <c r="V34" s="217">
        <f>VLOOKUP(Q34,'PREMIUM TABLES'!$F$199:$H$205,3,FALSE)</f>
        <v>3.5000000000000003E-2</v>
      </c>
      <c r="W34" s="205" t="e">
        <f t="shared" si="24"/>
        <v>#REF!</v>
      </c>
      <c r="X34" s="205" t="e" cm="1">
        <f t="array" ref="X34">IF(AND(W34&gt;0,W34&lt;0.5),"C",IF(AND(W34&gt;=0.5,W34&lt;0.73),"B",IF(AND(W34&gt;=0.73,W34&lt;0.98),"A",NONE)))</f>
        <v>#REF!</v>
      </c>
      <c r="Y34" s="205" t="str">
        <f>VLOOKUP(F34,'ALL (R)'!$H$5:$L$880,5,FALSE)</f>
        <v>R7</v>
      </c>
      <c r="Z34" s="206" t="e">
        <f>VLOOKUP(Y34,FACTS!$B$2:$L$13,10,FALSE)</f>
        <v>#N/A</v>
      </c>
      <c r="AA34" s="206" t="e">
        <f>VLOOKUP(Y34,FACTS!$B$2:$L$13,11,FALSE)</f>
        <v>#N/A</v>
      </c>
      <c r="AB34" s="206" t="e">
        <f>VLOOKUP(Y34,FACTS!$B$2:$N$13,13,FALSE)</f>
        <v>#N/A</v>
      </c>
      <c r="AC34" s="206" t="e">
        <f t="shared" si="25"/>
        <v>#N/A</v>
      </c>
      <c r="AD34" s="206" t="e">
        <f t="shared" si="26"/>
        <v>#N/A</v>
      </c>
      <c r="AE34" s="206" t="e">
        <f>AD34*FACTS!$T$2</f>
        <v>#N/A</v>
      </c>
      <c r="AF34" s="206" t="e">
        <f>AD34*J34</f>
        <v>#N/A</v>
      </c>
      <c r="AG34" s="206" t="e">
        <f>AE34*K34</f>
        <v>#N/A</v>
      </c>
      <c r="AH34" s="206" t="e">
        <f>(AG34+AF34)*FACTS!$S$2</f>
        <v>#N/A</v>
      </c>
      <c r="AI34" s="220">
        <f>VLOOKUP(Q34,FACTS!$A$17:$C$23,3,FALSE)</f>
        <v>2</v>
      </c>
      <c r="AJ34" s="206" t="e">
        <f>VLOOKUP(Y34,FACTS!$B$2:$J$13,9,FALSE)</f>
        <v>#N/A</v>
      </c>
      <c r="AK34" s="206" t="e">
        <f t="shared" si="28"/>
        <v>#N/A</v>
      </c>
      <c r="AL34" s="206" t="e">
        <f t="shared" si="29"/>
        <v>#N/A</v>
      </c>
      <c r="AM34" s="207">
        <f>VLOOKUP(G34,'C PHASES'!$I$108:$J$110,2,FALSE)</f>
        <v>46569</v>
      </c>
      <c r="AN34" s="207" t="e">
        <f>VLOOKUP(Y34,'C PHASES'!$I$113:$J$125,2,FALSE)</f>
        <v>#N/A</v>
      </c>
      <c r="AO34" s="208" t="e">
        <f t="shared" si="30"/>
        <v>#N/A</v>
      </c>
    </row>
    <row r="35" spans="1:41" s="215" customFormat="1" x14ac:dyDescent="0.25">
      <c r="A35" s="210" t="str">
        <f t="shared" si="23"/>
        <v>D</v>
      </c>
      <c r="B35" s="210" t="s">
        <v>58</v>
      </c>
      <c r="C35" s="210" t="s">
        <v>1147</v>
      </c>
      <c r="D35" s="211">
        <v>0</v>
      </c>
      <c r="E35" s="212">
        <v>3</v>
      </c>
      <c r="F35" s="213" t="str">
        <f t="shared" si="15"/>
        <v>D203</v>
      </c>
      <c r="G35" s="214" t="str">
        <f>VLOOKUP(B35,'PREMIUM TABLES'!$G$107:$H$149,2,FALSE)</f>
        <v>C3</v>
      </c>
      <c r="H35" s="213">
        <v>125.03</v>
      </c>
      <c r="I35" s="213">
        <v>135.83367779676351</v>
      </c>
      <c r="J35" s="213">
        <f>(1.22*H35)+J36</f>
        <v>300.96179999999998</v>
      </c>
      <c r="K35" s="213">
        <v>85.509600000000006</v>
      </c>
      <c r="M35" s="215" t="s">
        <v>180</v>
      </c>
      <c r="N35" s="215" t="s">
        <v>190</v>
      </c>
      <c r="O35" s="216" t="s">
        <v>211</v>
      </c>
      <c r="P35" s="215" t="str">
        <f>VLOOKUP(D35,'PREMIUM TABLES'!$F$214:$G$219,2,FALSE)</f>
        <v>GROUND</v>
      </c>
      <c r="Q35" s="215" t="str" cm="1">
        <f t="array" ref="Q35">IF(AND(J35&gt;0,J35&lt;89),"A",IF(AND(J35&gt;89,J35&lt;122),"B",IF(AND(J35&gt;122,J35&lt;160),"C",IF(AND(J35&gt;160,J35&lt;185),"D",IF(AND(J35&gt;185,J35&lt;230),"E",IF(AND(J35&gt;230,J35&lt;350),"F",NONE))))))</f>
        <v>F</v>
      </c>
      <c r="R35" s="217">
        <f>VLOOKUP(M35,'PREMIUM TABLES'!$G$165:$H$172,2,FALSE)</f>
        <v>0.13</v>
      </c>
      <c r="S35" s="217" t="e">
        <f>VLOOKUP(N35,'PREMIUM TABLES'!#REF!,2,FALSE)</f>
        <v>#REF!</v>
      </c>
      <c r="T35" s="217">
        <f>VLOOKUP(O35,'PREMIUM TABLES'!$G$175:$H$195,2,FALSE)</f>
        <v>0.43</v>
      </c>
      <c r="U35" s="217">
        <f>VLOOKUP(P35,'PREMIUM TABLES'!$G$214:$H$219,2,FALSE)</f>
        <v>0.05</v>
      </c>
      <c r="V35" s="217">
        <f>VLOOKUP(Q35,'PREMIUM TABLES'!$F$199:$H$205,3,FALSE)</f>
        <v>0</v>
      </c>
      <c r="W35" s="218" t="e">
        <f t="shared" si="24"/>
        <v>#REF!</v>
      </c>
      <c r="X35" s="218" t="e" cm="1">
        <f t="array" ref="X35">IF(AND(W35&gt;0,W35&lt;0.5),"C",IF(AND(W35&gt;=0.5,W35&lt;0.73),"B",IF(AND(W35&gt;=0.73,W35&lt;0.98),"A",NONE)))</f>
        <v>#REF!</v>
      </c>
      <c r="Y35" s="218" t="str">
        <f>VLOOKUP(F35,'ALL (R)'!$H$5:$L$880,5,FALSE)</f>
        <v>R5</v>
      </c>
      <c r="Z35" s="219" t="e">
        <f>VLOOKUP(Y35,FACTS!$B$2:$L$13,10,FALSE)</f>
        <v>#N/A</v>
      </c>
      <c r="AA35" s="219" t="e">
        <f>VLOOKUP(Y35,FACTS!$B$2:$L$13,11,FALSE)</f>
        <v>#N/A</v>
      </c>
      <c r="AB35" s="219" t="e">
        <f>VLOOKUP(Y35,FACTS!$B$2:$N$13,13,FALSE)</f>
        <v>#N/A</v>
      </c>
      <c r="AC35" s="219" t="e">
        <f t="shared" si="25"/>
        <v>#N/A</v>
      </c>
      <c r="AD35" s="219" t="e">
        <f t="shared" si="26"/>
        <v>#N/A</v>
      </c>
      <c r="AE35" s="219" t="e">
        <f>AD35*FACTS!$T$2</f>
        <v>#N/A</v>
      </c>
      <c r="AF35" s="219" t="e">
        <f t="shared" si="27"/>
        <v>#N/A</v>
      </c>
      <c r="AG35" s="219" t="e">
        <f t="shared" si="27"/>
        <v>#N/A</v>
      </c>
      <c r="AH35" s="219" t="e">
        <f>(AG35+AF35)*FACTS!$S$2</f>
        <v>#N/A</v>
      </c>
      <c r="AI35" s="220">
        <f>VLOOKUP(Q35,FACTS!$A$17:$C$23,3,FALSE)</f>
        <v>2</v>
      </c>
      <c r="AJ35" s="219" t="e">
        <f>VLOOKUP(Y35,FACTS!$B$2:$J$13,9,FALSE)</f>
        <v>#N/A</v>
      </c>
      <c r="AK35" s="219" t="e">
        <f t="shared" si="28"/>
        <v>#N/A</v>
      </c>
      <c r="AL35" s="219" t="e">
        <f t="shared" si="29"/>
        <v>#N/A</v>
      </c>
      <c r="AM35" s="221">
        <f>VLOOKUP(G35,'C PHASES'!$I$108:$J$110,2,FALSE)</f>
        <v>46569</v>
      </c>
      <c r="AN35" s="221" t="e">
        <f>VLOOKUP(Y35,'C PHASES'!$I$113:$J$125,2,FALSE)</f>
        <v>#N/A</v>
      </c>
      <c r="AO35" s="222" t="e">
        <f t="shared" si="30"/>
        <v>#N/A</v>
      </c>
    </row>
    <row r="36" spans="1:41" s="202" customFormat="1" x14ac:dyDescent="0.25">
      <c r="A36" s="197" t="str">
        <f t="shared" si="23"/>
        <v>D</v>
      </c>
      <c r="B36" s="197" t="s">
        <v>58</v>
      </c>
      <c r="C36" s="197" t="s">
        <v>1147</v>
      </c>
      <c r="D36" s="198">
        <v>1</v>
      </c>
      <c r="E36" s="199">
        <v>3</v>
      </c>
      <c r="F36" s="200" t="str">
        <f t="shared" si="15"/>
        <v>D213</v>
      </c>
      <c r="G36" s="201" t="str">
        <f>VLOOKUP(B36,'PREMIUM TABLES'!$G$107:$H$149,2,FALSE)</f>
        <v>C3</v>
      </c>
      <c r="H36" s="200">
        <v>121.66</v>
      </c>
      <c r="I36" s="200">
        <v>132.17248053070662</v>
      </c>
      <c r="J36" s="200">
        <f>1.22*H36</f>
        <v>148.42519999999999</v>
      </c>
      <c r="K36" s="200"/>
      <c r="M36" s="202" t="s">
        <v>180</v>
      </c>
      <c r="N36" s="202" t="s">
        <v>190</v>
      </c>
      <c r="O36" s="203" t="s">
        <v>211</v>
      </c>
      <c r="P36" s="202" t="str">
        <f>VLOOKUP(D36,'PREMIUM TABLES'!$F$214:$G$219,2,FALSE)</f>
        <v>FIRST</v>
      </c>
      <c r="Q36" s="215" t="str" cm="1">
        <f t="array" ref="Q36">IF(AND(J36&gt;0,J36&lt;89),"A",IF(AND(J36&gt;89,J36&lt;122),"B",IF(AND(J36&gt;122,J36&lt;160),"C",IF(AND(J36&gt;160,J36&lt;185),"D",IF(AND(J36&gt;185,J36&lt;230),"E",IF(AND(J36&gt;230,J36&lt;350),"F",NONE))))))</f>
        <v>C</v>
      </c>
      <c r="R36" s="204">
        <f>VLOOKUP(M36,'PREMIUM TABLES'!$G$165:$H$172,2,FALSE)</f>
        <v>0.13</v>
      </c>
      <c r="S36" s="204" t="e">
        <f>VLOOKUP(N36,'PREMIUM TABLES'!#REF!,2,FALSE)</f>
        <v>#REF!</v>
      </c>
      <c r="T36" s="204">
        <f>VLOOKUP(O36,'PREMIUM TABLES'!$G$175:$H$195,2,FALSE)</f>
        <v>0.43</v>
      </c>
      <c r="U36" s="204">
        <f>VLOOKUP(P36,'PREMIUM TABLES'!$G$214:$H$219,2,FALSE)</f>
        <v>7.0000000000000007E-2</v>
      </c>
      <c r="V36" s="217">
        <f>VLOOKUP(Q36,'PREMIUM TABLES'!$F$199:$H$205,3,FALSE)</f>
        <v>3.5000000000000003E-2</v>
      </c>
      <c r="W36" s="205" t="e">
        <f t="shared" si="24"/>
        <v>#REF!</v>
      </c>
      <c r="X36" s="205" t="e" cm="1">
        <f t="array" ref="X36">IF(AND(W36&gt;0,W36&lt;0.5),"C",IF(AND(W36&gt;=0.5,W36&lt;0.73),"B",IF(AND(W36&gt;=0.73,W36&lt;0.98),"A",NONE)))</f>
        <v>#REF!</v>
      </c>
      <c r="Y36" s="205" t="str">
        <f>VLOOKUP(F36,'ALL (R)'!$H$5:$L$880,5,FALSE)</f>
        <v>R8</v>
      </c>
      <c r="Z36" s="206" t="e">
        <f>VLOOKUP(Y36,FACTS!$B$2:$L$13,10,FALSE)</f>
        <v>#N/A</v>
      </c>
      <c r="AA36" s="206" t="e">
        <f>VLOOKUP(Y36,FACTS!$B$2:$L$13,11,FALSE)</f>
        <v>#N/A</v>
      </c>
      <c r="AB36" s="206" t="e">
        <f>VLOOKUP(Y36,FACTS!$B$2:$N$13,13,FALSE)</f>
        <v>#N/A</v>
      </c>
      <c r="AC36" s="206" t="e">
        <f t="shared" si="25"/>
        <v>#N/A</v>
      </c>
      <c r="AD36" s="206" t="e">
        <f t="shared" si="26"/>
        <v>#N/A</v>
      </c>
      <c r="AE36" s="206" t="e">
        <f>AD36*FACTS!$T$2</f>
        <v>#N/A</v>
      </c>
      <c r="AF36" s="206" t="e">
        <f t="shared" si="27"/>
        <v>#N/A</v>
      </c>
      <c r="AG36" s="206" t="e">
        <f t="shared" si="27"/>
        <v>#N/A</v>
      </c>
      <c r="AH36" s="206" t="e">
        <f>(AG36+AF36)*FACTS!$S$2</f>
        <v>#N/A</v>
      </c>
      <c r="AI36" s="220">
        <f>VLOOKUP(Q36,FACTS!$A$17:$C$23,3,FALSE)</f>
        <v>2</v>
      </c>
      <c r="AJ36" s="206" t="e">
        <f>VLOOKUP(Y36,FACTS!$B$2:$J$13,9,FALSE)</f>
        <v>#N/A</v>
      </c>
      <c r="AK36" s="206" t="e">
        <f t="shared" si="28"/>
        <v>#N/A</v>
      </c>
      <c r="AL36" s="206" t="e">
        <f t="shared" si="29"/>
        <v>#N/A</v>
      </c>
      <c r="AM36" s="207">
        <f>VLOOKUP(G36,'C PHASES'!$I$108:$J$110,2,FALSE)</f>
        <v>46569</v>
      </c>
      <c r="AN36" s="207" t="e">
        <f>VLOOKUP(Y36,'C PHASES'!$I$113:$J$125,2,FALSE)</f>
        <v>#N/A</v>
      </c>
      <c r="AO36" s="208" t="e">
        <f t="shared" si="30"/>
        <v>#N/A</v>
      </c>
    </row>
    <row r="37" spans="1:41" s="215" customFormat="1" x14ac:dyDescent="0.25">
      <c r="A37" s="210" t="str">
        <f t="shared" si="23"/>
        <v>E</v>
      </c>
      <c r="B37" s="210" t="s">
        <v>77</v>
      </c>
      <c r="C37" s="210" t="s">
        <v>1147</v>
      </c>
      <c r="D37" s="211">
        <v>0</v>
      </c>
      <c r="E37" s="212">
        <v>2</v>
      </c>
      <c r="F37" s="213" t="str">
        <f t="shared" si="15"/>
        <v>E402</v>
      </c>
      <c r="G37" s="214" t="str">
        <f>VLOOKUP(B37,'PREMIUM TABLES'!$G$107:$H$149,2,FALSE)</f>
        <v>C3</v>
      </c>
      <c r="H37" s="213">
        <v>128.28</v>
      </c>
      <c r="I37" s="213">
        <v>139.36450602070562</v>
      </c>
      <c r="J37" s="213">
        <f>(1.22*H37)+J38</f>
        <v>308.83079999999995</v>
      </c>
      <c r="K37" s="213">
        <v>86.075999999999993</v>
      </c>
      <c r="M37" s="215" t="s">
        <v>187</v>
      </c>
      <c r="N37" s="215" t="s">
        <v>190</v>
      </c>
      <c r="O37" s="216" t="s">
        <v>212</v>
      </c>
      <c r="P37" s="215" t="str">
        <f>VLOOKUP(D37,'PREMIUM TABLES'!$F$214:$G$219,2,FALSE)</f>
        <v>GROUND</v>
      </c>
      <c r="Q37" s="215" t="str" cm="1">
        <f t="array" ref="Q37">IF(AND(J37&gt;0,J37&lt;89),"A",IF(AND(J37&gt;89,J37&lt;122),"B",IF(AND(J37&gt;122,J37&lt;160),"C",IF(AND(J37&gt;160,J37&lt;185),"D",IF(AND(J37&gt;185,J37&lt;230),"E",IF(AND(J37&gt;230,J37&lt;350),"F",NONE))))))</f>
        <v>F</v>
      </c>
      <c r="R37" s="217">
        <f>VLOOKUP(M37,'PREMIUM TABLES'!$G$165:$H$172,2,FALSE)</f>
        <v>0.08</v>
      </c>
      <c r="S37" s="217" t="e">
        <f>VLOOKUP(N37,'PREMIUM TABLES'!#REF!,2,FALSE)</f>
        <v>#REF!</v>
      </c>
      <c r="T37" s="217">
        <f>VLOOKUP(O37,'PREMIUM TABLES'!$G$175:$H$195,2,FALSE)</f>
        <v>0.43</v>
      </c>
      <c r="U37" s="217">
        <f>VLOOKUP(P37,'PREMIUM TABLES'!$G$214:$H$219,2,FALSE)</f>
        <v>0.05</v>
      </c>
      <c r="V37" s="217">
        <f>VLOOKUP(Q37,'PREMIUM TABLES'!$F$199:$H$205,3,FALSE)</f>
        <v>0</v>
      </c>
      <c r="W37" s="218" t="e">
        <f t="shared" si="24"/>
        <v>#REF!</v>
      </c>
      <c r="X37" s="218" t="e" cm="1">
        <f t="array" ref="X37">IF(AND(W37&gt;0,W37&lt;0.5),"C",IF(AND(W37&gt;=0.5,W37&lt;0.73),"B",IF(AND(W37&gt;=0.73,W37&lt;0.98),"A",NONE)))</f>
        <v>#REF!</v>
      </c>
      <c r="Y37" s="218" t="str">
        <f>VLOOKUP(F37,'ALL (R)'!$H$5:$L$880,5,FALSE)</f>
        <v>R2</v>
      </c>
      <c r="Z37" s="219" t="e">
        <f>VLOOKUP(Y37,FACTS!$B$2:$L$13,10,FALSE)</f>
        <v>#N/A</v>
      </c>
      <c r="AA37" s="219" t="e">
        <f>VLOOKUP(Y37,FACTS!$B$2:$L$13,11,FALSE)</f>
        <v>#N/A</v>
      </c>
      <c r="AB37" s="219" t="e">
        <f>VLOOKUP(Y37,FACTS!$B$2:$N$13,13,FALSE)</f>
        <v>#N/A</v>
      </c>
      <c r="AC37" s="219" t="e">
        <f t="shared" si="25"/>
        <v>#N/A</v>
      </c>
      <c r="AD37" s="219" t="e">
        <f t="shared" si="26"/>
        <v>#N/A</v>
      </c>
      <c r="AE37" s="219" t="e">
        <f>AD37*FACTS!$T$2</f>
        <v>#N/A</v>
      </c>
      <c r="AF37" s="219" t="e">
        <f t="shared" ref="AF37:AG40" si="31">AD37*J37</f>
        <v>#N/A</v>
      </c>
      <c r="AG37" s="219" t="e">
        <f t="shared" si="31"/>
        <v>#N/A</v>
      </c>
      <c r="AH37" s="219" t="e">
        <f>(AG37+AF37)*FACTS!$S$2</f>
        <v>#N/A</v>
      </c>
      <c r="AI37" s="220">
        <f>VLOOKUP(Q37,FACTS!$A$17:$C$23,3,FALSE)</f>
        <v>2</v>
      </c>
      <c r="AJ37" s="219" t="e">
        <f>VLOOKUP(Y37,FACTS!$B$2:$J$13,9,FALSE)</f>
        <v>#N/A</v>
      </c>
      <c r="AK37" s="219" t="e">
        <f t="shared" si="28"/>
        <v>#N/A</v>
      </c>
      <c r="AL37" s="219" t="e">
        <f t="shared" si="29"/>
        <v>#N/A</v>
      </c>
      <c r="AM37" s="221">
        <f>VLOOKUP(G37,'C PHASES'!$I$108:$J$110,2,FALSE)</f>
        <v>46569</v>
      </c>
      <c r="AN37" s="221" t="e">
        <f>VLOOKUP(Y37,'C PHASES'!$I$113:$J$125,2,FALSE)</f>
        <v>#N/A</v>
      </c>
      <c r="AO37" s="222" t="e">
        <f t="shared" si="30"/>
        <v>#N/A</v>
      </c>
    </row>
    <row r="38" spans="1:41" s="202" customFormat="1" x14ac:dyDescent="0.25">
      <c r="A38" s="197" t="str">
        <f t="shared" si="23"/>
        <v>E</v>
      </c>
      <c r="B38" s="197" t="s">
        <v>77</v>
      </c>
      <c r="C38" s="197" t="s">
        <v>1147</v>
      </c>
      <c r="D38" s="198">
        <v>1</v>
      </c>
      <c r="E38" s="199">
        <v>2</v>
      </c>
      <c r="F38" s="200" t="str">
        <f t="shared" si="15"/>
        <v>E412</v>
      </c>
      <c r="G38" s="201" t="str">
        <f>VLOOKUP(B38,'PREMIUM TABLES'!$G$107:$H$149,2,FALSE)</f>
        <v>C3</v>
      </c>
      <c r="H38" s="200">
        <v>124.86</v>
      </c>
      <c r="I38" s="200">
        <v>135.64898832043423</v>
      </c>
      <c r="J38" s="200">
        <f>1.22*H38</f>
        <v>152.32919999999999</v>
      </c>
      <c r="K38" s="200"/>
      <c r="M38" s="202" t="s">
        <v>187</v>
      </c>
      <c r="N38" s="202" t="s">
        <v>190</v>
      </c>
      <c r="O38" s="203" t="s">
        <v>212</v>
      </c>
      <c r="P38" s="202" t="str">
        <f>VLOOKUP(D38,'PREMIUM TABLES'!$F$214:$G$219,2,FALSE)</f>
        <v>FIRST</v>
      </c>
      <c r="Q38" s="215" t="str" cm="1">
        <f t="array" ref="Q38">IF(AND(J38&gt;0,J38&lt;89),"A",IF(AND(J38&gt;89,J38&lt;122),"B",IF(AND(J38&gt;122,J38&lt;160),"C",IF(AND(J38&gt;160,J38&lt;185),"D",IF(AND(J38&gt;185,J38&lt;230),"E",IF(AND(J38&gt;230,J38&lt;350),"F",NONE))))))</f>
        <v>C</v>
      </c>
      <c r="R38" s="204">
        <f>VLOOKUP(M38,'PREMIUM TABLES'!$G$165:$H$172,2,FALSE)</f>
        <v>0.08</v>
      </c>
      <c r="S38" s="204" t="e">
        <f>VLOOKUP(N38,'PREMIUM TABLES'!#REF!,2,FALSE)</f>
        <v>#REF!</v>
      </c>
      <c r="T38" s="204">
        <f>VLOOKUP(O38,'PREMIUM TABLES'!$G$175:$H$195,2,FALSE)</f>
        <v>0.43</v>
      </c>
      <c r="U38" s="204">
        <f>VLOOKUP(P38,'PREMIUM TABLES'!$G$214:$H$219,2,FALSE)</f>
        <v>7.0000000000000007E-2</v>
      </c>
      <c r="V38" s="217">
        <f>VLOOKUP(Q38,'PREMIUM TABLES'!$F$199:$H$205,3,FALSE)</f>
        <v>3.5000000000000003E-2</v>
      </c>
      <c r="W38" s="205" t="e">
        <f t="shared" si="24"/>
        <v>#REF!</v>
      </c>
      <c r="X38" s="205" t="e" cm="1">
        <f t="array" ref="X38">IF(AND(W38&gt;0,W38&lt;0.5),"C",IF(AND(W38&gt;=0.5,W38&lt;0.73),"B",IF(AND(W38&gt;=0.73,W38&lt;0.98),"A",NONE)))</f>
        <v>#REF!</v>
      </c>
      <c r="Y38" s="205" t="str">
        <f>VLOOKUP(F38,'ALL (R)'!$H$5:$L$880,5,FALSE)</f>
        <v>R4</v>
      </c>
      <c r="Z38" s="206" t="e">
        <f>VLOOKUP(Y38,FACTS!$B$2:$L$13,10,FALSE)</f>
        <v>#N/A</v>
      </c>
      <c r="AA38" s="206" t="e">
        <f>VLOOKUP(Y38,FACTS!$B$2:$L$13,11,FALSE)</f>
        <v>#N/A</v>
      </c>
      <c r="AB38" s="206" t="e">
        <f>VLOOKUP(Y38,FACTS!$B$2:$N$13,13,FALSE)</f>
        <v>#N/A</v>
      </c>
      <c r="AC38" s="206" t="e">
        <f t="shared" si="25"/>
        <v>#N/A</v>
      </c>
      <c r="AD38" s="206" t="e">
        <f t="shared" si="26"/>
        <v>#N/A</v>
      </c>
      <c r="AE38" s="206" t="e">
        <f>AD38*FACTS!$T$2</f>
        <v>#N/A</v>
      </c>
      <c r="AF38" s="206" t="e">
        <f>AD38*J38</f>
        <v>#N/A</v>
      </c>
      <c r="AG38" s="206" t="e">
        <f>AE38*K38</f>
        <v>#N/A</v>
      </c>
      <c r="AH38" s="206" t="e">
        <f>(AG38+AF38)*FACTS!$S$2</f>
        <v>#N/A</v>
      </c>
      <c r="AI38" s="220">
        <f>VLOOKUP(Q38,FACTS!$A$17:$C$23,3,FALSE)</f>
        <v>2</v>
      </c>
      <c r="AJ38" s="206" t="e">
        <f>VLOOKUP(Y38,FACTS!$B$2:$J$13,9,FALSE)</f>
        <v>#N/A</v>
      </c>
      <c r="AK38" s="206" t="e">
        <f t="shared" si="28"/>
        <v>#N/A</v>
      </c>
      <c r="AL38" s="206" t="e">
        <f t="shared" si="29"/>
        <v>#N/A</v>
      </c>
      <c r="AM38" s="207">
        <f>VLOOKUP(G38,'C PHASES'!$I$108:$J$110,2,FALSE)</f>
        <v>46569</v>
      </c>
      <c r="AN38" s="207" t="e">
        <f>VLOOKUP(Y38,'C PHASES'!$I$113:$J$125,2,FALSE)</f>
        <v>#N/A</v>
      </c>
      <c r="AO38" s="208" t="e">
        <f t="shared" si="30"/>
        <v>#N/A</v>
      </c>
    </row>
    <row r="39" spans="1:41" s="215" customFormat="1" x14ac:dyDescent="0.25">
      <c r="A39" s="210" t="str">
        <f t="shared" si="23"/>
        <v>E</v>
      </c>
      <c r="B39" s="210" t="s">
        <v>77</v>
      </c>
      <c r="C39" s="210" t="s">
        <v>1147</v>
      </c>
      <c r="D39" s="211">
        <v>0</v>
      </c>
      <c r="E39" s="212">
        <v>3</v>
      </c>
      <c r="F39" s="213" t="str">
        <f t="shared" si="15"/>
        <v>E403</v>
      </c>
      <c r="G39" s="214" t="str">
        <f>VLOOKUP(B39,'PREMIUM TABLES'!$G$107:$H$149,2,FALSE)</f>
        <v>C3</v>
      </c>
      <c r="H39" s="213">
        <v>125.03</v>
      </c>
      <c r="I39" s="213">
        <v>135.83367779676351</v>
      </c>
      <c r="J39" s="213">
        <f>(1.22*H39)+J40</f>
        <v>300.96179999999998</v>
      </c>
      <c r="K39" s="213">
        <v>85.509600000000006</v>
      </c>
      <c r="M39" s="215" t="s">
        <v>187</v>
      </c>
      <c r="N39" s="215" t="s">
        <v>190</v>
      </c>
      <c r="O39" s="216" t="s">
        <v>212</v>
      </c>
      <c r="P39" s="215" t="str">
        <f>VLOOKUP(D39,'PREMIUM TABLES'!$F$214:$G$219,2,FALSE)</f>
        <v>GROUND</v>
      </c>
      <c r="Q39" s="215" t="str" cm="1">
        <f t="array" ref="Q39">IF(AND(J39&gt;0,J39&lt;89),"A",IF(AND(J39&gt;89,J39&lt;122),"B",IF(AND(J39&gt;122,J39&lt;160),"C",IF(AND(J39&gt;160,J39&lt;185),"D",IF(AND(J39&gt;185,J39&lt;230),"E",IF(AND(J39&gt;230,J39&lt;350),"F",NONE))))))</f>
        <v>F</v>
      </c>
      <c r="R39" s="217">
        <f>VLOOKUP(M39,'PREMIUM TABLES'!$G$165:$H$172,2,FALSE)</f>
        <v>0.08</v>
      </c>
      <c r="S39" s="217" t="e">
        <f>VLOOKUP(N39,'PREMIUM TABLES'!#REF!,2,FALSE)</f>
        <v>#REF!</v>
      </c>
      <c r="T39" s="217">
        <f>VLOOKUP(O39,'PREMIUM TABLES'!$G$175:$H$195,2,FALSE)</f>
        <v>0.43</v>
      </c>
      <c r="U39" s="217">
        <f>VLOOKUP(P39,'PREMIUM TABLES'!$G$214:$H$219,2,FALSE)</f>
        <v>0.05</v>
      </c>
      <c r="V39" s="217">
        <f>VLOOKUP(Q39,'PREMIUM TABLES'!$F$199:$H$205,3,FALSE)</f>
        <v>0</v>
      </c>
      <c r="W39" s="218" t="e">
        <f t="shared" si="24"/>
        <v>#REF!</v>
      </c>
      <c r="X39" s="218" t="e" cm="1">
        <f t="array" ref="X39">IF(AND(W39&gt;0,W39&lt;0.5),"C",IF(AND(W39&gt;=0.5,W39&lt;0.73),"B",IF(AND(W39&gt;=0.73,W39&lt;0.98),"A",NONE)))</f>
        <v>#REF!</v>
      </c>
      <c r="Y39" s="218" t="str">
        <f>VLOOKUP(F39,'ALL (R)'!$H$5:$L$880,5,FALSE)</f>
        <v>R2</v>
      </c>
      <c r="Z39" s="219" t="e">
        <f>VLOOKUP(Y39,FACTS!$B$2:$L$13,10,FALSE)</f>
        <v>#N/A</v>
      </c>
      <c r="AA39" s="219" t="e">
        <f>VLOOKUP(Y39,FACTS!$B$2:$L$13,11,FALSE)</f>
        <v>#N/A</v>
      </c>
      <c r="AB39" s="219" t="e">
        <f>VLOOKUP(Y39,FACTS!$B$2:$N$13,13,FALSE)</f>
        <v>#N/A</v>
      </c>
      <c r="AC39" s="219" t="e">
        <f t="shared" si="25"/>
        <v>#N/A</v>
      </c>
      <c r="AD39" s="219" t="e">
        <f t="shared" si="26"/>
        <v>#N/A</v>
      </c>
      <c r="AE39" s="219" t="e">
        <f>AD39*FACTS!$T$2</f>
        <v>#N/A</v>
      </c>
      <c r="AF39" s="219" t="e">
        <f t="shared" si="31"/>
        <v>#N/A</v>
      </c>
      <c r="AG39" s="219" t="e">
        <f t="shared" si="31"/>
        <v>#N/A</v>
      </c>
      <c r="AH39" s="219" t="e">
        <f>(AG39+AF39)*FACTS!$S$2</f>
        <v>#N/A</v>
      </c>
      <c r="AI39" s="220">
        <f>VLOOKUP(Q39,FACTS!$A$17:$C$23,3,FALSE)</f>
        <v>2</v>
      </c>
      <c r="AJ39" s="219" t="e">
        <f>VLOOKUP(Y39,FACTS!$B$2:$J$13,9,FALSE)</f>
        <v>#N/A</v>
      </c>
      <c r="AK39" s="219" t="e">
        <f t="shared" si="28"/>
        <v>#N/A</v>
      </c>
      <c r="AL39" s="219" t="e">
        <f t="shared" si="29"/>
        <v>#N/A</v>
      </c>
      <c r="AM39" s="221">
        <f>VLOOKUP(G39,'C PHASES'!$I$108:$J$110,2,FALSE)</f>
        <v>46569</v>
      </c>
      <c r="AN39" s="221" t="e">
        <f>VLOOKUP(Y39,'C PHASES'!$I$113:$J$125,2,FALSE)</f>
        <v>#N/A</v>
      </c>
      <c r="AO39" s="222" t="e">
        <f t="shared" si="30"/>
        <v>#N/A</v>
      </c>
    </row>
    <row r="40" spans="1:41" s="202" customFormat="1" x14ac:dyDescent="0.25">
      <c r="A40" s="197" t="str">
        <f t="shared" si="23"/>
        <v>E</v>
      </c>
      <c r="B40" s="197" t="s">
        <v>77</v>
      </c>
      <c r="C40" s="197" t="s">
        <v>1147</v>
      </c>
      <c r="D40" s="198">
        <v>1</v>
      </c>
      <c r="E40" s="199">
        <v>3</v>
      </c>
      <c r="F40" s="200" t="str">
        <f t="shared" si="15"/>
        <v>E413</v>
      </c>
      <c r="G40" s="201" t="str">
        <f>VLOOKUP(B40,'PREMIUM TABLES'!$G$107:$H$149,2,FALSE)</f>
        <v>C3</v>
      </c>
      <c r="H40" s="200">
        <v>121.66</v>
      </c>
      <c r="I40" s="200">
        <v>132.17248053070662</v>
      </c>
      <c r="J40" s="200">
        <f>1.22*H40</f>
        <v>148.42519999999999</v>
      </c>
      <c r="K40" s="200"/>
      <c r="M40" s="202" t="s">
        <v>187</v>
      </c>
      <c r="N40" s="202" t="s">
        <v>190</v>
      </c>
      <c r="O40" s="203" t="s">
        <v>212</v>
      </c>
      <c r="P40" s="202" t="str">
        <f>VLOOKUP(D40,'PREMIUM TABLES'!$F$214:$G$219,2,FALSE)</f>
        <v>FIRST</v>
      </c>
      <c r="Q40" s="215" t="str" cm="1">
        <f t="array" ref="Q40">IF(AND(J40&gt;0,J40&lt;89),"A",IF(AND(J40&gt;89,J40&lt;122),"B",IF(AND(J40&gt;122,J40&lt;160),"C",IF(AND(J40&gt;160,J40&lt;185),"D",IF(AND(J40&gt;185,J40&lt;230),"E",IF(AND(J40&gt;230,J40&lt;350),"F",NONE))))))</f>
        <v>C</v>
      </c>
      <c r="R40" s="204">
        <f>VLOOKUP(M40,'PREMIUM TABLES'!$G$165:$H$172,2,FALSE)</f>
        <v>0.08</v>
      </c>
      <c r="S40" s="204" t="e">
        <f>VLOOKUP(N40,'PREMIUM TABLES'!#REF!,2,FALSE)</f>
        <v>#REF!</v>
      </c>
      <c r="T40" s="204">
        <f>VLOOKUP(O40,'PREMIUM TABLES'!$G$175:$H$195,2,FALSE)</f>
        <v>0.43</v>
      </c>
      <c r="U40" s="204">
        <f>VLOOKUP(P40,'PREMIUM TABLES'!$G$214:$H$219,2,FALSE)</f>
        <v>7.0000000000000007E-2</v>
      </c>
      <c r="V40" s="217">
        <f>VLOOKUP(Q40,'PREMIUM TABLES'!$F$199:$H$205,3,FALSE)</f>
        <v>3.5000000000000003E-2</v>
      </c>
      <c r="W40" s="205" t="e">
        <f t="shared" si="24"/>
        <v>#REF!</v>
      </c>
      <c r="X40" s="205" t="e" cm="1">
        <f t="array" ref="X40">IF(AND(W40&gt;0,W40&lt;0.5),"C",IF(AND(W40&gt;=0.5,W40&lt;0.73),"B",IF(AND(W40&gt;=0.73,W40&lt;0.98),"A",NONE)))</f>
        <v>#REF!</v>
      </c>
      <c r="Y40" s="205" t="str">
        <f>VLOOKUP(F40,'ALL (R)'!$H$5:$L$880,5,FALSE)</f>
        <v>R4</v>
      </c>
      <c r="Z40" s="206" t="e">
        <f>VLOOKUP(Y40,FACTS!$B$2:$L$13,10,FALSE)</f>
        <v>#N/A</v>
      </c>
      <c r="AA40" s="206" t="e">
        <f>VLOOKUP(Y40,FACTS!$B$2:$L$13,11,FALSE)</f>
        <v>#N/A</v>
      </c>
      <c r="AB40" s="206" t="e">
        <f>VLOOKUP(Y40,FACTS!$B$2:$N$13,13,FALSE)</f>
        <v>#N/A</v>
      </c>
      <c r="AC40" s="206" t="e">
        <f t="shared" si="25"/>
        <v>#N/A</v>
      </c>
      <c r="AD40" s="206" t="e">
        <f t="shared" si="26"/>
        <v>#N/A</v>
      </c>
      <c r="AE40" s="206" t="e">
        <f>AD40*FACTS!$T$2</f>
        <v>#N/A</v>
      </c>
      <c r="AF40" s="206" t="e">
        <f t="shared" si="31"/>
        <v>#N/A</v>
      </c>
      <c r="AG40" s="206" t="e">
        <f t="shared" si="31"/>
        <v>#N/A</v>
      </c>
      <c r="AH40" s="206" t="e">
        <f>(AG40+AF40)*FACTS!$S$2</f>
        <v>#N/A</v>
      </c>
      <c r="AI40" s="220">
        <f>VLOOKUP(Q40,FACTS!$A$17:$C$23,3,FALSE)</f>
        <v>2</v>
      </c>
      <c r="AJ40" s="206" t="e">
        <f>VLOOKUP(Y40,FACTS!$B$2:$J$13,9,FALSE)</f>
        <v>#N/A</v>
      </c>
      <c r="AK40" s="206" t="e">
        <f t="shared" si="28"/>
        <v>#N/A</v>
      </c>
      <c r="AL40" s="206" t="e">
        <f t="shared" si="29"/>
        <v>#N/A</v>
      </c>
      <c r="AM40" s="207">
        <f>VLOOKUP(G40,'C PHASES'!$I$108:$J$110,2,FALSE)</f>
        <v>46569</v>
      </c>
      <c r="AN40" s="207" t="e">
        <f>VLOOKUP(Y40,'C PHASES'!$I$113:$J$125,2,FALSE)</f>
        <v>#N/A</v>
      </c>
      <c r="AO40" s="208" t="e">
        <f t="shared" si="30"/>
        <v>#N/A</v>
      </c>
    </row>
  </sheetData>
  <pageMargins left="0.7" right="0.7" top="0.75" bottom="0.75" header="0.3" footer="0.3"/>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F43E5978-D9CF-4790-8EE2-6BB60EBD5935}">
          <x14:formula1>
            <xm:f>'PREMIUM TABLES'!$G$165:$G$172</xm:f>
          </x14:formula1>
          <xm:sqref>M5:M40</xm:sqref>
        </x14:dataValidation>
        <x14:dataValidation type="list" allowBlank="1" showInputMessage="1" showErrorMessage="1" xr:uid="{CFC30B21-48F2-4519-BFB4-B701C22DFFE9}">
          <x14:formula1>
            <xm:f>'PREMIUM TABLES'!$G$175:$G$195</xm:f>
          </x14:formula1>
          <xm:sqref>O5:O40</xm:sqref>
        </x14:dataValidation>
        <x14:dataValidation type="list" allowBlank="1" showInputMessage="1" showErrorMessage="1" xr:uid="{ECECE0DA-0FA7-42DF-A4AB-03FDCA6D5D91}">
          <x14:formula1>
            <xm:f>'PREMIUM TABLES'!#REF!</xm:f>
          </x14:formula1>
          <xm:sqref>N5:N40</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22976-2C1C-4FC6-A63F-E6D098DA69E5}">
  <dimension ref="H7:L699"/>
  <sheetViews>
    <sheetView topLeftCell="A28" workbookViewId="0">
      <selection activeCell="H356" sqref="H356:L699"/>
    </sheetView>
  </sheetViews>
  <sheetFormatPr defaultRowHeight="15" x14ac:dyDescent="0.25"/>
  <cols>
    <col min="8" max="8" width="13.140625" bestFit="1" customWidth="1"/>
    <col min="9" max="9" width="22.85546875" bestFit="1" customWidth="1"/>
    <col min="10" max="10" width="25" bestFit="1" customWidth="1"/>
    <col min="11" max="11" width="9" bestFit="1" customWidth="1"/>
    <col min="12" max="13" width="8" bestFit="1" customWidth="1"/>
    <col min="14" max="15" width="9" bestFit="1" customWidth="1"/>
    <col min="16" max="16" width="8" bestFit="1" customWidth="1"/>
    <col min="17" max="18" width="9" bestFit="1" customWidth="1"/>
    <col min="19" max="19" width="8" bestFit="1" customWidth="1"/>
    <col min="20" max="20" width="9" bestFit="1" customWidth="1"/>
    <col min="21" max="21" width="8" bestFit="1" customWidth="1"/>
    <col min="22" max="23" width="9" bestFit="1" customWidth="1"/>
    <col min="24" max="25" width="8" bestFit="1" customWidth="1"/>
    <col min="26" max="31" width="9" bestFit="1" customWidth="1"/>
    <col min="32" max="32" width="8" bestFit="1" customWidth="1"/>
    <col min="33" max="33" width="9" bestFit="1" customWidth="1"/>
    <col min="34" max="36" width="8" bestFit="1" customWidth="1"/>
    <col min="37" max="38" width="9" bestFit="1" customWidth="1"/>
    <col min="39" max="39" width="8" bestFit="1" customWidth="1"/>
    <col min="40" max="42" width="9" bestFit="1" customWidth="1"/>
    <col min="43" max="43" width="8" bestFit="1" customWidth="1"/>
    <col min="44" max="46" width="9" bestFit="1" customWidth="1"/>
    <col min="47" max="48" width="8" bestFit="1" customWidth="1"/>
    <col min="49" max="50" width="9" bestFit="1" customWidth="1"/>
    <col min="51" max="51" width="8" bestFit="1" customWidth="1"/>
    <col min="52" max="53" width="9" bestFit="1" customWidth="1"/>
    <col min="54" max="55" width="8" bestFit="1" customWidth="1"/>
    <col min="56" max="60" width="9" bestFit="1" customWidth="1"/>
    <col min="61" max="61" width="8" bestFit="1" customWidth="1"/>
    <col min="62" max="62" width="9" bestFit="1" customWidth="1"/>
    <col min="63" max="64" width="8" bestFit="1" customWidth="1"/>
    <col min="65" max="67" width="9" bestFit="1" customWidth="1"/>
    <col min="68" max="68" width="8" bestFit="1" customWidth="1"/>
    <col min="69" max="69" width="9" bestFit="1" customWidth="1"/>
    <col min="70" max="70" width="8" bestFit="1" customWidth="1"/>
    <col min="71" max="72" width="9" bestFit="1" customWidth="1"/>
    <col min="73" max="73" width="8" bestFit="1" customWidth="1"/>
    <col min="74" max="76" width="9" bestFit="1" customWidth="1"/>
    <col min="77" max="77" width="10" bestFit="1" customWidth="1"/>
    <col min="78" max="81" width="9" bestFit="1" customWidth="1"/>
    <col min="82" max="82" width="10" bestFit="1" customWidth="1"/>
    <col min="83" max="83" width="9" bestFit="1" customWidth="1"/>
    <col min="84" max="84" width="8" bestFit="1" customWidth="1"/>
    <col min="85" max="86" width="10" bestFit="1" customWidth="1"/>
    <col min="87" max="87" width="9" bestFit="1" customWidth="1"/>
    <col min="88" max="89" width="10" bestFit="1" customWidth="1"/>
    <col min="90" max="91" width="9" bestFit="1" customWidth="1"/>
    <col min="92" max="92" width="10" bestFit="1" customWidth="1"/>
    <col min="93" max="93" width="9" bestFit="1" customWidth="1"/>
    <col min="94" max="94" width="10" bestFit="1" customWidth="1"/>
    <col min="95" max="95" width="9" bestFit="1" customWidth="1"/>
    <col min="96" max="101" width="10" bestFit="1" customWidth="1"/>
    <col min="102" max="103" width="9" bestFit="1" customWidth="1"/>
    <col min="104" max="104" width="11" bestFit="1" customWidth="1"/>
    <col min="105" max="106" width="10" bestFit="1" customWidth="1"/>
    <col min="107" max="107" width="9" bestFit="1" customWidth="1"/>
    <col min="108" max="112" width="10" bestFit="1" customWidth="1"/>
    <col min="113" max="113" width="9" bestFit="1" customWidth="1"/>
    <col min="114" max="115" width="10" bestFit="1" customWidth="1"/>
    <col min="116" max="119" width="9" bestFit="1" customWidth="1"/>
    <col min="120" max="120" width="8" bestFit="1" customWidth="1"/>
    <col min="121" max="121" width="9" bestFit="1" customWidth="1"/>
    <col min="122" max="122" width="8" bestFit="1" customWidth="1"/>
    <col min="123" max="139" width="9" bestFit="1" customWidth="1"/>
    <col min="140" max="141" width="8" bestFit="1" customWidth="1"/>
    <col min="142" max="147" width="9" bestFit="1" customWidth="1"/>
    <col min="148" max="148" width="8" bestFit="1" customWidth="1"/>
    <col min="149" max="159" width="9" bestFit="1" customWidth="1"/>
    <col min="160" max="160" width="8" bestFit="1" customWidth="1"/>
    <col min="161" max="168" width="9" bestFit="1" customWidth="1"/>
    <col min="169" max="169" width="8" bestFit="1" customWidth="1"/>
    <col min="170" max="170" width="9" bestFit="1" customWidth="1"/>
    <col min="171" max="171" width="8" bestFit="1" customWidth="1"/>
    <col min="172" max="189" width="9" bestFit="1" customWidth="1"/>
    <col min="190" max="190" width="8" bestFit="1" customWidth="1"/>
    <col min="191" max="191" width="9" bestFit="1" customWidth="1"/>
    <col min="192" max="192" width="8" bestFit="1" customWidth="1"/>
    <col min="193" max="194" width="9" bestFit="1" customWidth="1"/>
    <col min="195" max="195" width="10" bestFit="1" customWidth="1"/>
    <col min="196" max="196" width="9" bestFit="1" customWidth="1"/>
    <col min="197" max="198" width="10" bestFit="1" customWidth="1"/>
    <col min="199" max="199" width="9" bestFit="1" customWidth="1"/>
    <col min="200" max="202" width="10" bestFit="1" customWidth="1"/>
    <col min="203" max="203" width="9" bestFit="1" customWidth="1"/>
    <col min="204" max="204" width="10" bestFit="1" customWidth="1"/>
    <col min="205" max="205" width="9" bestFit="1" customWidth="1"/>
    <col min="206" max="212" width="10" bestFit="1" customWidth="1"/>
    <col min="213" max="213" width="9" bestFit="1" customWidth="1"/>
    <col min="214" max="214" width="11" bestFit="1" customWidth="1"/>
    <col min="215" max="226" width="10" bestFit="1" customWidth="1"/>
    <col min="227" max="227" width="9" bestFit="1" customWidth="1"/>
    <col min="228" max="228" width="10" bestFit="1" customWidth="1"/>
    <col min="229" max="230" width="9" bestFit="1" customWidth="1"/>
    <col min="231" max="237" width="10" bestFit="1" customWidth="1"/>
    <col min="238" max="238" width="9" bestFit="1" customWidth="1"/>
    <col min="239" max="239" width="11" bestFit="1" customWidth="1"/>
    <col min="240" max="246" width="10" bestFit="1" customWidth="1"/>
    <col min="247" max="247" width="9" bestFit="1" customWidth="1"/>
    <col min="248" max="248" width="10" bestFit="1" customWidth="1"/>
    <col min="249" max="250" width="9" bestFit="1" customWidth="1"/>
    <col min="251" max="257" width="10" bestFit="1" customWidth="1"/>
    <col min="258" max="258" width="9" bestFit="1" customWidth="1"/>
    <col min="259" max="259" width="11" bestFit="1" customWidth="1"/>
    <col min="260" max="264" width="10" bestFit="1" customWidth="1"/>
    <col min="265" max="268" width="9" bestFit="1" customWidth="1"/>
    <col min="269" max="269" width="8" bestFit="1" customWidth="1"/>
    <col min="270" max="270" width="9" bestFit="1" customWidth="1"/>
    <col min="271" max="271" width="8" bestFit="1" customWidth="1"/>
    <col min="272" max="289" width="9" bestFit="1" customWidth="1"/>
    <col min="290" max="290" width="8" bestFit="1" customWidth="1"/>
    <col min="291" max="291" width="9" bestFit="1" customWidth="1"/>
    <col min="292" max="292" width="8" bestFit="1" customWidth="1"/>
    <col min="293" max="296" width="9" bestFit="1" customWidth="1"/>
    <col min="297" max="298" width="8" bestFit="1" customWidth="1"/>
    <col min="299" max="304" width="9" bestFit="1" customWidth="1"/>
    <col min="305" max="305" width="8" bestFit="1" customWidth="1"/>
    <col min="306" max="306" width="9" bestFit="1" customWidth="1"/>
    <col min="307" max="307" width="8" bestFit="1" customWidth="1"/>
    <col min="308" max="308" width="7" bestFit="1" customWidth="1"/>
    <col min="309" max="313" width="9" bestFit="1" customWidth="1"/>
    <col min="314" max="314" width="8" bestFit="1" customWidth="1"/>
    <col min="315" max="315" width="9" bestFit="1" customWidth="1"/>
    <col min="316" max="316" width="8" bestFit="1" customWidth="1"/>
    <col min="317" max="318" width="9" bestFit="1" customWidth="1"/>
    <col min="319" max="320" width="7" bestFit="1" customWidth="1"/>
    <col min="321" max="328" width="9" bestFit="1" customWidth="1"/>
    <col min="329" max="329" width="8" bestFit="1" customWidth="1"/>
    <col min="330" max="330" width="9" bestFit="1" customWidth="1"/>
    <col min="331" max="331" width="8" bestFit="1" customWidth="1"/>
    <col min="332" max="348" width="9" bestFit="1" customWidth="1"/>
    <col min="349" max="350" width="8" bestFit="1" customWidth="1"/>
    <col min="351" max="352" width="9" bestFit="1" customWidth="1"/>
    <col min="353" max="353" width="12" bestFit="1" customWidth="1"/>
  </cols>
  <sheetData>
    <row r="7" spans="8:12" x14ac:dyDescent="0.25">
      <c r="H7" s="188" t="s">
        <v>733</v>
      </c>
      <c r="I7" t="s">
        <v>713</v>
      </c>
      <c r="J7" t="s">
        <v>1145</v>
      </c>
    </row>
    <row r="8" spans="8:12" x14ac:dyDescent="0.25">
      <c r="H8" s="119" t="s">
        <v>320</v>
      </c>
      <c r="I8">
        <v>111</v>
      </c>
      <c r="J8">
        <v>0.27499999999999997</v>
      </c>
      <c r="K8">
        <f>GETPIVOTDATA("Sum of Unit Selling Area",$H$7,"Unit Number","A602")</f>
        <v>111</v>
      </c>
      <c r="L8" t="str">
        <f>IF(AND(K8&gt;=0,K8&lt;=8453),"R1",IF(AND(K8&gt;=8453,K8&lt;=11934),"R2",IF(AND(K8&gt;=11934,K8&lt;=15415),"R3",IF(AND(K8&gt;=15415,K8&lt;=20885),"R4",IF(AND(K8&gt;=20885,K8&lt;=24863),"R5",IF(AND(K8&gt;=24863,K8&lt;=28334),"R6",IF(AND(K8&gt;=28334,K8&lt;=32322),"R7",IF(AND(K8&gt;=32322,K8&lt;=38289),"R8",IF(AND(K8&gt;=38289,K8&lt;=42267),"R9",IF(AND(K8&gt;=42267,K8&lt;=43759),"R10",IF(AND(K8&gt;=43759,K8&lt;=45251),"R11",IF(AND(K8&gt;=45251,K8&lt;=49726),"R12"))))))))))))</f>
        <v>R1</v>
      </c>
    </row>
    <row r="9" spans="8:12" x14ac:dyDescent="0.25">
      <c r="H9" s="119" t="s">
        <v>479</v>
      </c>
      <c r="I9">
        <v>170</v>
      </c>
      <c r="J9">
        <v>0.32</v>
      </c>
      <c r="K9">
        <f>K8+GETPIVOTDATA("Sum of Unit Selling Area",$H$7,"Unit Number","B244")</f>
        <v>281</v>
      </c>
      <c r="L9" t="str">
        <f t="shared" ref="L9:L72" si="0">IF(AND(K9&gt;=0,K9&lt;=8453),"R1",IF(AND(K9&gt;=8453,K9&lt;=11934),"R2",IF(AND(K9&gt;=11934,K9&lt;=15415),"R3",IF(AND(K9&gt;=15415,K9&lt;=20885),"R4",IF(AND(K9&gt;=20885,K9&lt;=24863),"R5",IF(AND(K9&gt;=24863,K9&lt;=28334),"R6",IF(AND(K9&gt;=28334,K9&lt;=32322),"R7",IF(AND(K9&gt;=32322,K9&lt;=38289),"R8",IF(AND(K9&gt;=38289,K9&lt;=42267),"R9",IF(AND(K9&gt;=42267,K9&lt;=43759),"R10",IF(AND(K9&gt;=43759,K9&lt;=45251),"R11",IF(AND(K9&gt;=45251,K9&lt;=49726),"R12"))))))))))))</f>
        <v>R1</v>
      </c>
    </row>
    <row r="10" spans="8:12" x14ac:dyDescent="0.25">
      <c r="H10" s="119" t="s">
        <v>411</v>
      </c>
      <c r="I10">
        <v>170</v>
      </c>
      <c r="J10">
        <v>0.32</v>
      </c>
      <c r="K10">
        <f t="shared" ref="K10:K73" si="1">K9+GETPIVOTDATA("Sum of Unit Selling Area",$H$7,"Unit Number","B244")</f>
        <v>451</v>
      </c>
      <c r="L10" t="str">
        <f t="shared" si="0"/>
        <v>R1</v>
      </c>
    </row>
    <row r="11" spans="8:12" x14ac:dyDescent="0.25">
      <c r="H11" s="119" t="s">
        <v>554</v>
      </c>
      <c r="I11">
        <v>170</v>
      </c>
      <c r="J11">
        <v>0.32000000000000006</v>
      </c>
      <c r="K11">
        <f t="shared" si="1"/>
        <v>621</v>
      </c>
      <c r="L11" t="str">
        <f t="shared" si="0"/>
        <v>R1</v>
      </c>
    </row>
    <row r="12" spans="8:12" x14ac:dyDescent="0.25">
      <c r="H12" s="119" t="s">
        <v>572</v>
      </c>
      <c r="I12">
        <v>170</v>
      </c>
      <c r="J12">
        <v>0.32000000000000006</v>
      </c>
      <c r="K12">
        <f t="shared" si="1"/>
        <v>791</v>
      </c>
      <c r="L12" t="str">
        <f t="shared" si="0"/>
        <v>R1</v>
      </c>
    </row>
    <row r="13" spans="8:12" x14ac:dyDescent="0.25">
      <c r="H13" s="119" t="s">
        <v>471</v>
      </c>
      <c r="I13">
        <v>116</v>
      </c>
      <c r="J13">
        <v>0.32499999999999996</v>
      </c>
      <c r="K13">
        <f t="shared" si="1"/>
        <v>961</v>
      </c>
      <c r="L13" t="str">
        <f t="shared" si="0"/>
        <v>R1</v>
      </c>
    </row>
    <row r="14" spans="8:12" x14ac:dyDescent="0.25">
      <c r="H14" s="119" t="s">
        <v>369</v>
      </c>
      <c r="I14">
        <v>116</v>
      </c>
      <c r="J14">
        <v>0.32499999999999996</v>
      </c>
      <c r="K14">
        <f t="shared" si="1"/>
        <v>1131</v>
      </c>
      <c r="L14" t="str">
        <f t="shared" si="0"/>
        <v>R1</v>
      </c>
    </row>
    <row r="15" spans="8:12" x14ac:dyDescent="0.25">
      <c r="H15" s="119" t="s">
        <v>548</v>
      </c>
      <c r="I15">
        <v>116</v>
      </c>
      <c r="J15">
        <v>0.32500000000000001</v>
      </c>
      <c r="K15">
        <f t="shared" si="1"/>
        <v>1301</v>
      </c>
      <c r="L15" t="str">
        <f t="shared" si="0"/>
        <v>R1</v>
      </c>
    </row>
    <row r="16" spans="8:12" x14ac:dyDescent="0.25">
      <c r="H16" s="119" t="s">
        <v>566</v>
      </c>
      <c r="I16">
        <v>116</v>
      </c>
      <c r="J16">
        <v>0.32500000000000001</v>
      </c>
      <c r="K16">
        <f t="shared" si="1"/>
        <v>1471</v>
      </c>
      <c r="L16" t="str">
        <f t="shared" si="0"/>
        <v>R1</v>
      </c>
    </row>
    <row r="17" spans="8:12" x14ac:dyDescent="0.25">
      <c r="H17" s="119" t="s">
        <v>666</v>
      </c>
      <c r="I17">
        <v>108</v>
      </c>
      <c r="J17">
        <v>0.32500000000000001</v>
      </c>
      <c r="K17">
        <f t="shared" si="1"/>
        <v>1641</v>
      </c>
      <c r="L17" t="str">
        <f t="shared" si="0"/>
        <v>R1</v>
      </c>
    </row>
    <row r="18" spans="8:12" x14ac:dyDescent="0.25">
      <c r="H18" s="119" t="s">
        <v>654</v>
      </c>
      <c r="I18">
        <v>108</v>
      </c>
      <c r="J18">
        <v>0.32500000000000001</v>
      </c>
      <c r="K18">
        <f t="shared" si="1"/>
        <v>1811</v>
      </c>
      <c r="L18" t="str">
        <f t="shared" si="0"/>
        <v>R1</v>
      </c>
    </row>
    <row r="19" spans="8:12" x14ac:dyDescent="0.25">
      <c r="H19" s="119" t="s">
        <v>555</v>
      </c>
      <c r="I19">
        <v>173</v>
      </c>
      <c r="J19">
        <v>0.33</v>
      </c>
      <c r="K19">
        <f t="shared" si="1"/>
        <v>1981</v>
      </c>
      <c r="L19" t="str">
        <f t="shared" si="0"/>
        <v>R1</v>
      </c>
    </row>
    <row r="20" spans="8:12" x14ac:dyDescent="0.25">
      <c r="H20" s="119" t="s">
        <v>672</v>
      </c>
      <c r="I20">
        <v>153</v>
      </c>
      <c r="J20">
        <v>0.33000000000000007</v>
      </c>
      <c r="K20">
        <f t="shared" si="1"/>
        <v>2151</v>
      </c>
      <c r="L20" t="str">
        <f t="shared" si="0"/>
        <v>R1</v>
      </c>
    </row>
    <row r="21" spans="8:12" x14ac:dyDescent="0.25">
      <c r="H21" s="119" t="s">
        <v>663</v>
      </c>
      <c r="I21">
        <v>153</v>
      </c>
      <c r="J21">
        <v>0.33000000000000007</v>
      </c>
      <c r="K21">
        <f t="shared" si="1"/>
        <v>2321</v>
      </c>
      <c r="L21" t="str">
        <f t="shared" si="0"/>
        <v>R1</v>
      </c>
    </row>
    <row r="22" spans="8:12" x14ac:dyDescent="0.25">
      <c r="H22" s="119" t="s">
        <v>376</v>
      </c>
      <c r="I22">
        <v>176</v>
      </c>
      <c r="J22">
        <v>0.33500000000000002</v>
      </c>
      <c r="K22">
        <f t="shared" si="1"/>
        <v>2491</v>
      </c>
      <c r="L22" t="str">
        <f t="shared" si="0"/>
        <v>R1</v>
      </c>
    </row>
    <row r="23" spans="8:12" x14ac:dyDescent="0.25">
      <c r="H23" s="119" t="s">
        <v>470</v>
      </c>
      <c r="I23">
        <v>176</v>
      </c>
      <c r="J23">
        <v>0.33500000000000002</v>
      </c>
      <c r="K23">
        <f t="shared" si="1"/>
        <v>2661</v>
      </c>
      <c r="L23" t="str">
        <f t="shared" si="0"/>
        <v>R1</v>
      </c>
    </row>
    <row r="24" spans="8:12" x14ac:dyDescent="0.25">
      <c r="H24" s="119" t="s">
        <v>655</v>
      </c>
      <c r="I24">
        <v>161</v>
      </c>
      <c r="J24">
        <v>0.33500000000000002</v>
      </c>
      <c r="K24">
        <f t="shared" si="1"/>
        <v>2831</v>
      </c>
      <c r="L24" t="str">
        <f t="shared" si="0"/>
        <v>R1</v>
      </c>
    </row>
    <row r="25" spans="8:12" x14ac:dyDescent="0.25">
      <c r="H25" s="119" t="s">
        <v>563</v>
      </c>
      <c r="I25">
        <v>170</v>
      </c>
      <c r="J25">
        <v>0.34</v>
      </c>
      <c r="K25">
        <f t="shared" si="1"/>
        <v>3001</v>
      </c>
      <c r="L25" t="str">
        <f t="shared" si="0"/>
        <v>R1</v>
      </c>
    </row>
    <row r="26" spans="8:12" x14ac:dyDescent="0.25">
      <c r="H26" s="119" t="s">
        <v>564</v>
      </c>
      <c r="I26">
        <v>170</v>
      </c>
      <c r="J26">
        <v>0.34</v>
      </c>
      <c r="K26">
        <f t="shared" si="1"/>
        <v>3171</v>
      </c>
      <c r="L26" t="str">
        <f t="shared" si="0"/>
        <v>R1</v>
      </c>
    </row>
    <row r="27" spans="8:12" x14ac:dyDescent="0.25">
      <c r="H27" s="119" t="s">
        <v>490</v>
      </c>
      <c r="I27">
        <v>160</v>
      </c>
      <c r="J27">
        <v>0.34</v>
      </c>
      <c r="K27">
        <f t="shared" si="1"/>
        <v>3341</v>
      </c>
      <c r="L27" t="str">
        <f t="shared" si="0"/>
        <v>R1</v>
      </c>
    </row>
    <row r="28" spans="8:12" x14ac:dyDescent="0.25">
      <c r="H28" s="119" t="s">
        <v>520</v>
      </c>
      <c r="I28">
        <v>173</v>
      </c>
      <c r="J28">
        <v>0.34</v>
      </c>
      <c r="K28">
        <f t="shared" si="1"/>
        <v>3511</v>
      </c>
      <c r="L28" t="str">
        <f t="shared" si="0"/>
        <v>R1</v>
      </c>
    </row>
    <row r="29" spans="8:12" x14ac:dyDescent="0.25">
      <c r="H29" s="119" t="s">
        <v>611</v>
      </c>
      <c r="I29">
        <v>160</v>
      </c>
      <c r="J29">
        <v>0.34</v>
      </c>
      <c r="K29">
        <f t="shared" si="1"/>
        <v>3681</v>
      </c>
      <c r="L29" t="str">
        <f t="shared" si="0"/>
        <v>R1</v>
      </c>
    </row>
    <row r="30" spans="8:12" x14ac:dyDescent="0.25">
      <c r="H30" s="119" t="s">
        <v>264</v>
      </c>
      <c r="I30">
        <v>121</v>
      </c>
      <c r="J30">
        <v>0.34499999999999997</v>
      </c>
      <c r="K30">
        <f t="shared" si="1"/>
        <v>3851</v>
      </c>
      <c r="L30" t="str">
        <f t="shared" si="0"/>
        <v>R1</v>
      </c>
    </row>
    <row r="31" spans="8:12" x14ac:dyDescent="0.25">
      <c r="H31" s="119" t="s">
        <v>556</v>
      </c>
      <c r="I31">
        <v>116</v>
      </c>
      <c r="J31">
        <v>0.34499999999999997</v>
      </c>
      <c r="K31">
        <f t="shared" si="1"/>
        <v>4021</v>
      </c>
      <c r="L31" t="str">
        <f t="shared" si="0"/>
        <v>R1</v>
      </c>
    </row>
    <row r="32" spans="8:12" x14ac:dyDescent="0.25">
      <c r="H32" s="119" t="s">
        <v>378</v>
      </c>
      <c r="I32">
        <v>117</v>
      </c>
      <c r="J32">
        <v>0.34499999999999997</v>
      </c>
      <c r="K32">
        <f t="shared" si="1"/>
        <v>4191</v>
      </c>
      <c r="L32" t="str">
        <f t="shared" si="0"/>
        <v>R1</v>
      </c>
    </row>
    <row r="33" spans="8:12" x14ac:dyDescent="0.25">
      <c r="H33" s="119" t="s">
        <v>255</v>
      </c>
      <c r="I33">
        <v>121</v>
      </c>
      <c r="J33">
        <v>0.34499999999999997</v>
      </c>
      <c r="K33">
        <f t="shared" si="1"/>
        <v>4361</v>
      </c>
      <c r="L33" t="str">
        <f t="shared" si="0"/>
        <v>R1</v>
      </c>
    </row>
    <row r="34" spans="8:12" x14ac:dyDescent="0.25">
      <c r="H34" s="119" t="s">
        <v>266</v>
      </c>
      <c r="I34">
        <v>111</v>
      </c>
      <c r="J34">
        <v>0.34499999999999997</v>
      </c>
      <c r="K34">
        <f t="shared" si="1"/>
        <v>4531</v>
      </c>
      <c r="L34" t="str">
        <f t="shared" si="0"/>
        <v>R1</v>
      </c>
    </row>
    <row r="35" spans="8:12" x14ac:dyDescent="0.25">
      <c r="H35" s="119" t="s">
        <v>473</v>
      </c>
      <c r="I35">
        <v>117</v>
      </c>
      <c r="J35">
        <v>0.34499999999999997</v>
      </c>
      <c r="K35">
        <f t="shared" si="1"/>
        <v>4701</v>
      </c>
      <c r="L35" t="str">
        <f t="shared" si="0"/>
        <v>R1</v>
      </c>
    </row>
    <row r="36" spans="8:12" x14ac:dyDescent="0.25">
      <c r="H36" s="119" t="s">
        <v>417</v>
      </c>
      <c r="I36">
        <v>173</v>
      </c>
      <c r="J36">
        <v>0.34500000000000003</v>
      </c>
      <c r="K36">
        <f t="shared" si="1"/>
        <v>4871</v>
      </c>
      <c r="L36" t="str">
        <f t="shared" si="0"/>
        <v>R1</v>
      </c>
    </row>
    <row r="37" spans="8:12" x14ac:dyDescent="0.25">
      <c r="H37" s="119" t="s">
        <v>656</v>
      </c>
      <c r="I37">
        <v>108</v>
      </c>
      <c r="J37">
        <v>0.34500000000000003</v>
      </c>
      <c r="K37">
        <f t="shared" si="1"/>
        <v>5041</v>
      </c>
      <c r="L37" t="str">
        <f t="shared" si="0"/>
        <v>R1</v>
      </c>
    </row>
    <row r="38" spans="8:12" x14ac:dyDescent="0.25">
      <c r="H38" s="119" t="s">
        <v>567</v>
      </c>
      <c r="I38">
        <v>117</v>
      </c>
      <c r="J38">
        <v>0.34500000000000003</v>
      </c>
      <c r="K38">
        <f t="shared" si="1"/>
        <v>5211</v>
      </c>
      <c r="L38" t="str">
        <f t="shared" si="0"/>
        <v>R1</v>
      </c>
    </row>
    <row r="39" spans="8:12" x14ac:dyDescent="0.25">
      <c r="H39" s="119" t="s">
        <v>549</v>
      </c>
      <c r="I39">
        <v>117</v>
      </c>
      <c r="J39">
        <v>0.34500000000000003</v>
      </c>
      <c r="K39">
        <f t="shared" si="1"/>
        <v>5381</v>
      </c>
      <c r="L39" t="str">
        <f t="shared" si="0"/>
        <v>R1</v>
      </c>
    </row>
    <row r="40" spans="8:12" x14ac:dyDescent="0.25">
      <c r="H40" s="119" t="s">
        <v>1113</v>
      </c>
      <c r="I40">
        <v>108</v>
      </c>
      <c r="J40">
        <v>0.34500000000000003</v>
      </c>
      <c r="K40">
        <f t="shared" si="1"/>
        <v>5551</v>
      </c>
      <c r="L40" t="str">
        <f t="shared" si="0"/>
        <v>R1</v>
      </c>
    </row>
    <row r="41" spans="8:12" x14ac:dyDescent="0.25">
      <c r="H41" s="119" t="s">
        <v>478</v>
      </c>
      <c r="I41">
        <v>173</v>
      </c>
      <c r="J41">
        <v>0.34500000000000003</v>
      </c>
      <c r="K41">
        <f t="shared" si="1"/>
        <v>5721</v>
      </c>
      <c r="L41" t="str">
        <f t="shared" si="0"/>
        <v>R1</v>
      </c>
    </row>
    <row r="42" spans="8:12" x14ac:dyDescent="0.25">
      <c r="H42" s="119" t="s">
        <v>518</v>
      </c>
      <c r="I42">
        <v>170</v>
      </c>
      <c r="J42">
        <v>0.35000000000000003</v>
      </c>
      <c r="K42">
        <f t="shared" si="1"/>
        <v>5891</v>
      </c>
      <c r="L42" t="str">
        <f t="shared" si="0"/>
        <v>R1</v>
      </c>
    </row>
    <row r="43" spans="8:12" x14ac:dyDescent="0.25">
      <c r="H43" s="119" t="s">
        <v>530</v>
      </c>
      <c r="I43">
        <v>170</v>
      </c>
      <c r="J43">
        <v>0.35000000000000003</v>
      </c>
      <c r="K43">
        <f t="shared" si="1"/>
        <v>6061</v>
      </c>
      <c r="L43" t="str">
        <f t="shared" si="0"/>
        <v>R1</v>
      </c>
    </row>
    <row r="44" spans="8:12" x14ac:dyDescent="0.25">
      <c r="H44" s="119" t="s">
        <v>531</v>
      </c>
      <c r="I44">
        <v>170</v>
      </c>
      <c r="J44">
        <v>0.35000000000000003</v>
      </c>
      <c r="K44">
        <f t="shared" si="1"/>
        <v>6231</v>
      </c>
      <c r="L44" t="str">
        <f t="shared" si="0"/>
        <v>R1</v>
      </c>
    </row>
    <row r="45" spans="8:12" x14ac:dyDescent="0.25">
      <c r="H45" s="119" t="s">
        <v>557</v>
      </c>
      <c r="I45">
        <v>174</v>
      </c>
      <c r="J45">
        <v>0.35000000000000003</v>
      </c>
      <c r="K45">
        <f t="shared" si="1"/>
        <v>6401</v>
      </c>
      <c r="L45" t="str">
        <f t="shared" si="0"/>
        <v>R1</v>
      </c>
    </row>
    <row r="46" spans="8:12" x14ac:dyDescent="0.25">
      <c r="H46" s="119" t="s">
        <v>542</v>
      </c>
      <c r="I46">
        <v>170</v>
      </c>
      <c r="J46">
        <v>0.35000000000000003</v>
      </c>
      <c r="K46">
        <f t="shared" si="1"/>
        <v>6571</v>
      </c>
      <c r="L46" t="str">
        <f t="shared" si="0"/>
        <v>R1</v>
      </c>
    </row>
    <row r="47" spans="8:12" x14ac:dyDescent="0.25">
      <c r="H47" s="119" t="s">
        <v>253</v>
      </c>
      <c r="I47">
        <v>110</v>
      </c>
      <c r="J47">
        <v>0.35499999999999998</v>
      </c>
      <c r="K47">
        <f t="shared" si="1"/>
        <v>6741</v>
      </c>
      <c r="L47" t="str">
        <f t="shared" si="0"/>
        <v>R1</v>
      </c>
    </row>
    <row r="48" spans="8:12" x14ac:dyDescent="0.25">
      <c r="H48" s="119" t="s">
        <v>245</v>
      </c>
      <c r="I48">
        <v>75</v>
      </c>
      <c r="J48">
        <v>0.35499999999999998</v>
      </c>
      <c r="K48">
        <f t="shared" si="1"/>
        <v>6911</v>
      </c>
      <c r="L48" t="str">
        <f t="shared" si="0"/>
        <v>R1</v>
      </c>
    </row>
    <row r="49" spans="8:12" x14ac:dyDescent="0.25">
      <c r="H49" s="119" t="s">
        <v>480</v>
      </c>
      <c r="I49">
        <v>106</v>
      </c>
      <c r="J49">
        <v>0.35499999999999998</v>
      </c>
      <c r="K49">
        <f t="shared" si="1"/>
        <v>7081</v>
      </c>
      <c r="L49" t="str">
        <f t="shared" si="0"/>
        <v>R1</v>
      </c>
    </row>
    <row r="50" spans="8:12" x14ac:dyDescent="0.25">
      <c r="H50" s="119" t="s">
        <v>254</v>
      </c>
      <c r="I50">
        <v>75</v>
      </c>
      <c r="J50">
        <v>0.35499999999999998</v>
      </c>
      <c r="K50">
        <f t="shared" si="1"/>
        <v>7251</v>
      </c>
      <c r="L50" t="str">
        <f t="shared" si="0"/>
        <v>R1</v>
      </c>
    </row>
    <row r="51" spans="8:12" x14ac:dyDescent="0.25">
      <c r="H51" s="119" t="s">
        <v>510</v>
      </c>
      <c r="I51">
        <v>116</v>
      </c>
      <c r="J51">
        <v>0.35499999999999998</v>
      </c>
      <c r="K51">
        <f t="shared" si="1"/>
        <v>7421</v>
      </c>
      <c r="L51" t="str">
        <f t="shared" si="0"/>
        <v>R1</v>
      </c>
    </row>
    <row r="52" spans="8:12" x14ac:dyDescent="0.25">
      <c r="H52" s="119" t="s">
        <v>501</v>
      </c>
      <c r="I52">
        <v>106</v>
      </c>
      <c r="J52">
        <v>0.35499999999999998</v>
      </c>
      <c r="K52">
        <f t="shared" si="1"/>
        <v>7591</v>
      </c>
      <c r="L52" t="str">
        <f t="shared" si="0"/>
        <v>R1</v>
      </c>
    </row>
    <row r="53" spans="8:12" x14ac:dyDescent="0.25">
      <c r="H53" s="119" t="s">
        <v>278</v>
      </c>
      <c r="I53">
        <v>110</v>
      </c>
      <c r="J53">
        <v>0.35499999999999998</v>
      </c>
      <c r="K53">
        <f t="shared" si="1"/>
        <v>7761</v>
      </c>
      <c r="L53" t="str">
        <f t="shared" si="0"/>
        <v>R1</v>
      </c>
    </row>
    <row r="54" spans="8:12" x14ac:dyDescent="0.25">
      <c r="H54" s="119" t="s">
        <v>262</v>
      </c>
      <c r="I54">
        <v>110</v>
      </c>
      <c r="J54">
        <v>0.35499999999999998</v>
      </c>
      <c r="K54">
        <f t="shared" si="1"/>
        <v>7931</v>
      </c>
      <c r="L54" t="str">
        <f t="shared" si="0"/>
        <v>R1</v>
      </c>
    </row>
    <row r="55" spans="8:12" x14ac:dyDescent="0.25">
      <c r="H55" s="119" t="s">
        <v>491</v>
      </c>
      <c r="I55">
        <v>106</v>
      </c>
      <c r="J55">
        <v>0.35499999999999998</v>
      </c>
      <c r="K55">
        <f t="shared" si="1"/>
        <v>8101</v>
      </c>
      <c r="L55" t="str">
        <f t="shared" si="0"/>
        <v>R1</v>
      </c>
    </row>
    <row r="56" spans="8:12" x14ac:dyDescent="0.25">
      <c r="H56" s="119" t="s">
        <v>263</v>
      </c>
      <c r="I56">
        <v>120</v>
      </c>
      <c r="J56">
        <v>0.35499999999999998</v>
      </c>
      <c r="K56">
        <f t="shared" si="1"/>
        <v>8271</v>
      </c>
      <c r="L56" t="str">
        <f t="shared" si="0"/>
        <v>R1</v>
      </c>
    </row>
    <row r="57" spans="8:12" x14ac:dyDescent="0.25">
      <c r="H57" s="119" t="s">
        <v>664</v>
      </c>
      <c r="I57">
        <v>158</v>
      </c>
      <c r="J57">
        <v>0.35499999999999998</v>
      </c>
      <c r="K57">
        <f t="shared" si="1"/>
        <v>8441</v>
      </c>
      <c r="L57" t="str">
        <f t="shared" si="0"/>
        <v>R1</v>
      </c>
    </row>
    <row r="58" spans="8:12" x14ac:dyDescent="0.25">
      <c r="H58" s="119" t="s">
        <v>600</v>
      </c>
      <c r="I58">
        <v>106</v>
      </c>
      <c r="J58">
        <v>0.35499999999999998</v>
      </c>
      <c r="K58">
        <f t="shared" si="1"/>
        <v>8611</v>
      </c>
      <c r="L58" t="str">
        <f t="shared" si="0"/>
        <v>R2</v>
      </c>
    </row>
    <row r="59" spans="8:12" x14ac:dyDescent="0.25">
      <c r="H59" s="119" t="s">
        <v>521</v>
      </c>
      <c r="I59">
        <v>116</v>
      </c>
      <c r="J59">
        <v>0.35499999999999998</v>
      </c>
      <c r="K59">
        <f t="shared" si="1"/>
        <v>8781</v>
      </c>
      <c r="L59" t="str">
        <f t="shared" si="0"/>
        <v>R2</v>
      </c>
    </row>
    <row r="60" spans="8:12" x14ac:dyDescent="0.25">
      <c r="H60" s="119" t="s">
        <v>612</v>
      </c>
      <c r="I60">
        <v>106</v>
      </c>
      <c r="J60">
        <v>0.35499999999999998</v>
      </c>
      <c r="K60">
        <f t="shared" si="1"/>
        <v>8951</v>
      </c>
      <c r="L60" t="str">
        <f t="shared" si="0"/>
        <v>R2</v>
      </c>
    </row>
    <row r="61" spans="8:12" x14ac:dyDescent="0.25">
      <c r="H61" s="119" t="s">
        <v>276</v>
      </c>
      <c r="I61">
        <v>120</v>
      </c>
      <c r="J61">
        <v>0.35499999999999998</v>
      </c>
      <c r="K61">
        <f t="shared" si="1"/>
        <v>9121</v>
      </c>
      <c r="L61" t="str">
        <f t="shared" si="0"/>
        <v>R2</v>
      </c>
    </row>
    <row r="62" spans="8:12" x14ac:dyDescent="0.25">
      <c r="H62" s="119" t="s">
        <v>622</v>
      </c>
      <c r="I62">
        <v>106</v>
      </c>
      <c r="J62">
        <v>0.35499999999999998</v>
      </c>
      <c r="K62">
        <f t="shared" si="1"/>
        <v>9291</v>
      </c>
      <c r="L62" t="str">
        <f t="shared" si="0"/>
        <v>R2</v>
      </c>
    </row>
    <row r="63" spans="8:12" x14ac:dyDescent="0.25">
      <c r="H63" s="119" t="s">
        <v>533</v>
      </c>
      <c r="I63">
        <v>116</v>
      </c>
      <c r="J63">
        <v>0.35499999999999998</v>
      </c>
      <c r="K63">
        <f t="shared" si="1"/>
        <v>9461</v>
      </c>
      <c r="L63" t="str">
        <f t="shared" si="0"/>
        <v>R2</v>
      </c>
    </row>
    <row r="64" spans="8:12" x14ac:dyDescent="0.25">
      <c r="H64" s="119" t="s">
        <v>267</v>
      </c>
      <c r="I64">
        <v>75</v>
      </c>
      <c r="J64">
        <v>0.35499999999999998</v>
      </c>
      <c r="K64">
        <f t="shared" si="1"/>
        <v>9631</v>
      </c>
      <c r="L64" t="str">
        <f t="shared" si="0"/>
        <v>R2</v>
      </c>
    </row>
    <row r="65" spans="8:12" x14ac:dyDescent="0.25">
      <c r="H65" s="119" t="s">
        <v>382</v>
      </c>
      <c r="I65">
        <v>173</v>
      </c>
      <c r="J65">
        <v>0.35500000000000004</v>
      </c>
      <c r="K65">
        <f t="shared" si="1"/>
        <v>9801</v>
      </c>
      <c r="L65" t="str">
        <f t="shared" si="0"/>
        <v>R2</v>
      </c>
    </row>
    <row r="66" spans="8:12" x14ac:dyDescent="0.25">
      <c r="H66" s="119" t="s">
        <v>472</v>
      </c>
      <c r="I66">
        <v>173</v>
      </c>
      <c r="J66">
        <v>0.35500000000000004</v>
      </c>
      <c r="K66">
        <f t="shared" si="1"/>
        <v>9971</v>
      </c>
      <c r="L66" t="str">
        <f t="shared" si="0"/>
        <v>R2</v>
      </c>
    </row>
    <row r="67" spans="8:12" x14ac:dyDescent="0.25">
      <c r="H67" s="119" t="s">
        <v>499</v>
      </c>
      <c r="I67">
        <v>153</v>
      </c>
      <c r="J67">
        <v>0.36</v>
      </c>
      <c r="K67">
        <f t="shared" si="1"/>
        <v>10141</v>
      </c>
      <c r="L67" t="str">
        <f t="shared" si="0"/>
        <v>R2</v>
      </c>
    </row>
    <row r="68" spans="8:12" x14ac:dyDescent="0.25">
      <c r="H68" s="119" t="s">
        <v>488</v>
      </c>
      <c r="I68">
        <v>153</v>
      </c>
      <c r="J68">
        <v>0.36</v>
      </c>
      <c r="K68">
        <f t="shared" si="1"/>
        <v>10311</v>
      </c>
      <c r="L68" t="str">
        <f t="shared" si="0"/>
        <v>R2</v>
      </c>
    </row>
    <row r="69" spans="8:12" x14ac:dyDescent="0.25">
      <c r="H69" s="119" t="s">
        <v>609</v>
      </c>
      <c r="I69">
        <v>153</v>
      </c>
      <c r="J69">
        <v>0.36</v>
      </c>
      <c r="K69">
        <f t="shared" si="1"/>
        <v>10481</v>
      </c>
      <c r="L69" t="str">
        <f t="shared" si="0"/>
        <v>R2</v>
      </c>
    </row>
    <row r="70" spans="8:12" x14ac:dyDescent="0.25">
      <c r="H70" s="119" t="s">
        <v>619</v>
      </c>
      <c r="I70">
        <v>158</v>
      </c>
      <c r="J70">
        <v>0.36</v>
      </c>
      <c r="K70">
        <f t="shared" si="1"/>
        <v>10651</v>
      </c>
      <c r="L70" t="str">
        <f t="shared" si="0"/>
        <v>R2</v>
      </c>
    </row>
    <row r="71" spans="8:12" x14ac:dyDescent="0.25">
      <c r="H71" s="119" t="s">
        <v>498</v>
      </c>
      <c r="I71">
        <v>158</v>
      </c>
      <c r="J71">
        <v>0.36</v>
      </c>
      <c r="K71">
        <f t="shared" si="1"/>
        <v>10821</v>
      </c>
      <c r="L71" t="str">
        <f t="shared" si="0"/>
        <v>R2</v>
      </c>
    </row>
    <row r="72" spans="8:12" x14ac:dyDescent="0.25">
      <c r="H72" s="119" t="s">
        <v>620</v>
      </c>
      <c r="I72">
        <v>153</v>
      </c>
      <c r="J72">
        <v>0.36</v>
      </c>
      <c r="K72">
        <f t="shared" si="1"/>
        <v>10991</v>
      </c>
      <c r="L72" t="str">
        <f t="shared" si="0"/>
        <v>R2</v>
      </c>
    </row>
    <row r="73" spans="8:12" x14ac:dyDescent="0.25">
      <c r="H73" s="119" t="s">
        <v>509</v>
      </c>
      <c r="I73">
        <v>153</v>
      </c>
      <c r="J73">
        <v>0.36</v>
      </c>
      <c r="K73">
        <f t="shared" si="1"/>
        <v>11161</v>
      </c>
      <c r="L73" t="str">
        <f t="shared" ref="L73:L136" si="2">IF(AND(K73&gt;=0,K73&lt;=8453),"R1",IF(AND(K73&gt;=8453,K73&lt;=11934),"R2",IF(AND(K73&gt;=11934,K73&lt;=15415),"R3",IF(AND(K73&gt;=15415,K73&lt;=20885),"R4",IF(AND(K73&gt;=20885,K73&lt;=24863),"R5",IF(AND(K73&gt;=24863,K73&lt;=28334),"R6",IF(AND(K73&gt;=28334,K73&lt;=32322),"R7",IF(AND(K73&gt;=32322,K73&lt;=38289),"R8",IF(AND(K73&gt;=38289,K73&lt;=42267),"R9",IF(AND(K73&gt;=42267,K73&lt;=43759),"R10",IF(AND(K73&gt;=43759,K73&lt;=45251),"R11",IF(AND(K73&gt;=45251,K73&lt;=49726),"R12"))))))))))))</f>
        <v>R2</v>
      </c>
    </row>
    <row r="74" spans="8:12" x14ac:dyDescent="0.25">
      <c r="H74" s="119" t="s">
        <v>631</v>
      </c>
      <c r="I74">
        <v>153</v>
      </c>
      <c r="J74">
        <v>0.36</v>
      </c>
      <c r="K74">
        <f t="shared" ref="K74:K137" si="3">K73+GETPIVOTDATA("Sum of Unit Selling Area",$H$7,"Unit Number","B244")</f>
        <v>11331</v>
      </c>
      <c r="L74" t="str">
        <f t="shared" si="2"/>
        <v>R2</v>
      </c>
    </row>
    <row r="75" spans="8:12" x14ac:dyDescent="0.25">
      <c r="H75" s="119" t="s">
        <v>613</v>
      </c>
      <c r="I75">
        <v>162</v>
      </c>
      <c r="J75">
        <v>0.36000000000000004</v>
      </c>
      <c r="K75">
        <f t="shared" si="3"/>
        <v>11501</v>
      </c>
      <c r="L75" t="str">
        <f t="shared" si="2"/>
        <v>R2</v>
      </c>
    </row>
    <row r="76" spans="8:12" x14ac:dyDescent="0.25">
      <c r="H76" s="119" t="s">
        <v>522</v>
      </c>
      <c r="I76">
        <v>174</v>
      </c>
      <c r="J76">
        <v>0.36000000000000004</v>
      </c>
      <c r="K76">
        <f t="shared" si="3"/>
        <v>11671</v>
      </c>
      <c r="L76" t="str">
        <f t="shared" si="2"/>
        <v>R2</v>
      </c>
    </row>
    <row r="77" spans="8:12" x14ac:dyDescent="0.25">
      <c r="H77" s="119" t="s">
        <v>492</v>
      </c>
      <c r="I77">
        <v>162</v>
      </c>
      <c r="J77">
        <v>0.36000000000000004</v>
      </c>
      <c r="K77">
        <f t="shared" si="3"/>
        <v>11841</v>
      </c>
      <c r="L77" t="str">
        <f t="shared" si="2"/>
        <v>R2</v>
      </c>
    </row>
    <row r="78" spans="8:12" x14ac:dyDescent="0.25">
      <c r="H78" s="119" t="s">
        <v>558</v>
      </c>
      <c r="I78">
        <v>117</v>
      </c>
      <c r="J78">
        <v>0.36499999999999999</v>
      </c>
      <c r="K78">
        <f t="shared" si="3"/>
        <v>12011</v>
      </c>
      <c r="L78" t="str">
        <f t="shared" si="2"/>
        <v>R3</v>
      </c>
    </row>
    <row r="79" spans="8:12" x14ac:dyDescent="0.25">
      <c r="H79" s="119" t="s">
        <v>244</v>
      </c>
      <c r="I79">
        <v>136</v>
      </c>
      <c r="J79">
        <v>0.36499999999999999</v>
      </c>
      <c r="K79">
        <f t="shared" si="3"/>
        <v>12181</v>
      </c>
      <c r="L79" t="str">
        <f t="shared" si="2"/>
        <v>R3</v>
      </c>
    </row>
    <row r="80" spans="8:12" x14ac:dyDescent="0.25">
      <c r="H80" s="119" t="s">
        <v>257</v>
      </c>
      <c r="I80">
        <v>119</v>
      </c>
      <c r="J80">
        <v>0.36499999999999999</v>
      </c>
      <c r="K80">
        <f t="shared" si="3"/>
        <v>12351</v>
      </c>
      <c r="L80" t="str">
        <f t="shared" si="2"/>
        <v>R3</v>
      </c>
    </row>
    <row r="81" spans="8:12" x14ac:dyDescent="0.25">
      <c r="H81" s="119" t="s">
        <v>268</v>
      </c>
      <c r="I81">
        <v>119</v>
      </c>
      <c r="J81">
        <v>0.36499999999999999</v>
      </c>
      <c r="K81">
        <f t="shared" si="3"/>
        <v>12521</v>
      </c>
      <c r="L81" t="str">
        <f t="shared" si="2"/>
        <v>R3</v>
      </c>
    </row>
    <row r="82" spans="8:12" x14ac:dyDescent="0.25">
      <c r="H82" s="119" t="s">
        <v>657</v>
      </c>
      <c r="I82">
        <v>157</v>
      </c>
      <c r="J82">
        <v>0.36499999999999999</v>
      </c>
      <c r="K82">
        <f t="shared" si="3"/>
        <v>12691</v>
      </c>
      <c r="L82" t="str">
        <f t="shared" si="2"/>
        <v>R3</v>
      </c>
    </row>
    <row r="83" spans="8:12" x14ac:dyDescent="0.25">
      <c r="H83" s="119" t="s">
        <v>481</v>
      </c>
      <c r="I83">
        <v>160</v>
      </c>
      <c r="J83">
        <v>0.36500000000000005</v>
      </c>
      <c r="K83">
        <f t="shared" si="3"/>
        <v>12861</v>
      </c>
      <c r="L83" t="str">
        <f t="shared" si="2"/>
        <v>R3</v>
      </c>
    </row>
    <row r="84" spans="8:12" x14ac:dyDescent="0.25">
      <c r="H84" s="119" t="s">
        <v>511</v>
      </c>
      <c r="I84">
        <v>180</v>
      </c>
      <c r="J84">
        <v>0.36500000000000005</v>
      </c>
      <c r="K84">
        <f t="shared" si="3"/>
        <v>13031</v>
      </c>
      <c r="L84" t="str">
        <f t="shared" si="2"/>
        <v>R3</v>
      </c>
    </row>
    <row r="85" spans="8:12" x14ac:dyDescent="0.25">
      <c r="H85" s="119" t="s">
        <v>532</v>
      </c>
      <c r="I85">
        <v>176</v>
      </c>
      <c r="J85">
        <v>0.36500000000000005</v>
      </c>
      <c r="K85">
        <f t="shared" si="3"/>
        <v>13201</v>
      </c>
      <c r="L85" t="str">
        <f t="shared" si="2"/>
        <v>R3</v>
      </c>
    </row>
    <row r="86" spans="8:12" x14ac:dyDescent="0.25">
      <c r="H86" s="119" t="s">
        <v>601</v>
      </c>
      <c r="I86">
        <v>160</v>
      </c>
      <c r="J86">
        <v>0.36500000000000005</v>
      </c>
      <c r="K86">
        <f t="shared" si="3"/>
        <v>13371</v>
      </c>
      <c r="L86" t="str">
        <f t="shared" si="2"/>
        <v>R3</v>
      </c>
    </row>
    <row r="87" spans="8:12" x14ac:dyDescent="0.25">
      <c r="H87" s="119" t="s">
        <v>621</v>
      </c>
      <c r="I87">
        <v>160</v>
      </c>
      <c r="J87">
        <v>0.36500000000000005</v>
      </c>
      <c r="K87">
        <f t="shared" si="3"/>
        <v>13541</v>
      </c>
      <c r="L87" t="str">
        <f t="shared" si="2"/>
        <v>R3</v>
      </c>
    </row>
    <row r="88" spans="8:12" x14ac:dyDescent="0.25">
      <c r="H88" s="119" t="s">
        <v>1109</v>
      </c>
      <c r="I88">
        <v>161</v>
      </c>
      <c r="J88">
        <v>0.36500000000000005</v>
      </c>
      <c r="K88">
        <f t="shared" si="3"/>
        <v>13711</v>
      </c>
      <c r="L88" t="str">
        <f t="shared" si="2"/>
        <v>R3</v>
      </c>
    </row>
    <row r="89" spans="8:12" x14ac:dyDescent="0.25">
      <c r="H89" s="119" t="s">
        <v>500</v>
      </c>
      <c r="I89">
        <v>160</v>
      </c>
      <c r="J89">
        <v>0.36500000000000005</v>
      </c>
      <c r="K89">
        <f t="shared" si="3"/>
        <v>13881</v>
      </c>
      <c r="L89" t="str">
        <f t="shared" si="2"/>
        <v>R3</v>
      </c>
    </row>
    <row r="90" spans="8:12" x14ac:dyDescent="0.25">
      <c r="H90" s="119" t="s">
        <v>386</v>
      </c>
      <c r="I90">
        <v>172</v>
      </c>
      <c r="J90">
        <v>0.37</v>
      </c>
      <c r="K90">
        <f t="shared" si="3"/>
        <v>14051</v>
      </c>
      <c r="L90" t="str">
        <f t="shared" si="2"/>
        <v>R3</v>
      </c>
    </row>
    <row r="91" spans="8:12" x14ac:dyDescent="0.25">
      <c r="H91" s="119" t="s">
        <v>475</v>
      </c>
      <c r="I91">
        <v>172</v>
      </c>
      <c r="J91">
        <v>0.37</v>
      </c>
      <c r="K91">
        <f t="shared" si="3"/>
        <v>14221</v>
      </c>
      <c r="L91" t="str">
        <f t="shared" si="2"/>
        <v>R3</v>
      </c>
    </row>
    <row r="92" spans="8:12" x14ac:dyDescent="0.25">
      <c r="H92" s="119" t="s">
        <v>550</v>
      </c>
      <c r="I92">
        <v>172</v>
      </c>
      <c r="J92">
        <v>0.37000000000000005</v>
      </c>
      <c r="K92">
        <f t="shared" si="3"/>
        <v>14391</v>
      </c>
      <c r="L92" t="str">
        <f t="shared" si="2"/>
        <v>R3</v>
      </c>
    </row>
    <row r="93" spans="8:12" x14ac:dyDescent="0.25">
      <c r="H93" s="119" t="s">
        <v>599</v>
      </c>
      <c r="I93">
        <v>170</v>
      </c>
      <c r="J93">
        <v>0.37000000000000005</v>
      </c>
      <c r="K93">
        <f t="shared" si="3"/>
        <v>14561</v>
      </c>
      <c r="L93" t="str">
        <f t="shared" si="2"/>
        <v>R3</v>
      </c>
    </row>
    <row r="94" spans="8:12" x14ac:dyDescent="0.25">
      <c r="H94" s="119" t="s">
        <v>579</v>
      </c>
      <c r="I94">
        <v>170</v>
      </c>
      <c r="J94">
        <v>0.37000000000000005</v>
      </c>
      <c r="K94">
        <f t="shared" si="3"/>
        <v>14731</v>
      </c>
      <c r="L94" t="str">
        <f t="shared" si="2"/>
        <v>R3</v>
      </c>
    </row>
    <row r="95" spans="8:12" x14ac:dyDescent="0.25">
      <c r="H95" s="119" t="s">
        <v>568</v>
      </c>
      <c r="I95">
        <v>172</v>
      </c>
      <c r="J95">
        <v>0.37000000000000005</v>
      </c>
      <c r="K95">
        <f t="shared" si="3"/>
        <v>14901</v>
      </c>
      <c r="L95" t="str">
        <f t="shared" si="2"/>
        <v>R3</v>
      </c>
    </row>
    <row r="96" spans="8:12" x14ac:dyDescent="0.25">
      <c r="H96" s="119" t="s">
        <v>614</v>
      </c>
      <c r="I96">
        <v>108</v>
      </c>
      <c r="J96">
        <v>0.375</v>
      </c>
      <c r="K96">
        <f t="shared" si="3"/>
        <v>15071</v>
      </c>
      <c r="L96" t="str">
        <f t="shared" si="2"/>
        <v>R3</v>
      </c>
    </row>
    <row r="97" spans="8:12" x14ac:dyDescent="0.25">
      <c r="H97" s="119" t="s">
        <v>535</v>
      </c>
      <c r="I97">
        <v>117</v>
      </c>
      <c r="J97">
        <v>0.375</v>
      </c>
      <c r="K97">
        <f t="shared" si="3"/>
        <v>15241</v>
      </c>
      <c r="L97" t="str">
        <f t="shared" si="2"/>
        <v>R3</v>
      </c>
    </row>
    <row r="98" spans="8:12" x14ac:dyDescent="0.25">
      <c r="H98" s="119" t="s">
        <v>270</v>
      </c>
      <c r="I98">
        <v>76</v>
      </c>
      <c r="J98">
        <v>0.375</v>
      </c>
      <c r="K98">
        <f t="shared" si="3"/>
        <v>15411</v>
      </c>
      <c r="L98" t="str">
        <f t="shared" si="2"/>
        <v>R3</v>
      </c>
    </row>
    <row r="99" spans="8:12" x14ac:dyDescent="0.25">
      <c r="H99" s="119" t="s">
        <v>493</v>
      </c>
      <c r="I99">
        <v>108</v>
      </c>
      <c r="J99">
        <v>0.375</v>
      </c>
      <c r="K99">
        <f t="shared" si="3"/>
        <v>15581</v>
      </c>
      <c r="L99" t="str">
        <f t="shared" si="2"/>
        <v>R4</v>
      </c>
    </row>
    <row r="100" spans="8:12" x14ac:dyDescent="0.25">
      <c r="H100" s="119" t="s">
        <v>256</v>
      </c>
      <c r="I100">
        <v>76</v>
      </c>
      <c r="J100">
        <v>0.375</v>
      </c>
      <c r="K100">
        <f t="shared" si="3"/>
        <v>15751</v>
      </c>
      <c r="L100" t="str">
        <f t="shared" si="2"/>
        <v>R4</v>
      </c>
    </row>
    <row r="101" spans="8:12" x14ac:dyDescent="0.25">
      <c r="H101" s="119" t="s">
        <v>592</v>
      </c>
      <c r="I101">
        <v>116</v>
      </c>
      <c r="J101">
        <v>0.375</v>
      </c>
      <c r="K101">
        <f t="shared" si="3"/>
        <v>15921</v>
      </c>
      <c r="L101" t="str">
        <f t="shared" si="2"/>
        <v>R4</v>
      </c>
    </row>
    <row r="102" spans="8:12" x14ac:dyDescent="0.25">
      <c r="H102" s="119" t="s">
        <v>525</v>
      </c>
      <c r="I102">
        <v>117</v>
      </c>
      <c r="J102">
        <v>0.375</v>
      </c>
      <c r="K102">
        <f t="shared" si="3"/>
        <v>16091</v>
      </c>
      <c r="L102" t="str">
        <f t="shared" si="2"/>
        <v>R4</v>
      </c>
    </row>
    <row r="103" spans="8:12" x14ac:dyDescent="0.25">
      <c r="H103" s="119" t="s">
        <v>573</v>
      </c>
      <c r="I103">
        <v>116</v>
      </c>
      <c r="J103">
        <v>0.375</v>
      </c>
      <c r="K103">
        <f t="shared" si="3"/>
        <v>16261</v>
      </c>
      <c r="L103" t="str">
        <f t="shared" si="2"/>
        <v>R4</v>
      </c>
    </row>
    <row r="104" spans="8:12" x14ac:dyDescent="0.25">
      <c r="H104" s="119" t="s">
        <v>252</v>
      </c>
      <c r="I104">
        <v>136</v>
      </c>
      <c r="J104">
        <v>0.375</v>
      </c>
      <c r="K104">
        <f t="shared" si="3"/>
        <v>16431</v>
      </c>
      <c r="L104" t="str">
        <f t="shared" si="2"/>
        <v>R4</v>
      </c>
    </row>
    <row r="105" spans="8:12" x14ac:dyDescent="0.25">
      <c r="H105" s="119" t="s">
        <v>482</v>
      </c>
      <c r="I105">
        <v>108</v>
      </c>
      <c r="J105">
        <v>0.375</v>
      </c>
      <c r="K105">
        <f t="shared" si="3"/>
        <v>16601</v>
      </c>
      <c r="L105" t="str">
        <f t="shared" si="2"/>
        <v>R4</v>
      </c>
    </row>
    <row r="106" spans="8:12" x14ac:dyDescent="0.25">
      <c r="H106" s="119" t="s">
        <v>624</v>
      </c>
      <c r="I106">
        <v>108</v>
      </c>
      <c r="J106">
        <v>0.375</v>
      </c>
      <c r="K106">
        <f t="shared" si="3"/>
        <v>16771</v>
      </c>
      <c r="L106" t="str">
        <f t="shared" si="2"/>
        <v>R4</v>
      </c>
    </row>
    <row r="107" spans="8:12" x14ac:dyDescent="0.25">
      <c r="H107" s="119" t="s">
        <v>503</v>
      </c>
      <c r="I107">
        <v>108</v>
      </c>
      <c r="J107">
        <v>0.375</v>
      </c>
      <c r="K107">
        <f t="shared" si="3"/>
        <v>16941</v>
      </c>
      <c r="L107" t="str">
        <f t="shared" si="2"/>
        <v>R4</v>
      </c>
    </row>
    <row r="108" spans="8:12" x14ac:dyDescent="0.25">
      <c r="H108" s="119" t="s">
        <v>602</v>
      </c>
      <c r="I108">
        <v>108</v>
      </c>
      <c r="J108">
        <v>0.375</v>
      </c>
      <c r="K108">
        <f t="shared" si="3"/>
        <v>17111</v>
      </c>
      <c r="L108" t="str">
        <f t="shared" si="2"/>
        <v>R4</v>
      </c>
    </row>
    <row r="109" spans="8:12" x14ac:dyDescent="0.25">
      <c r="H109" s="119" t="s">
        <v>512</v>
      </c>
      <c r="I109">
        <v>117</v>
      </c>
      <c r="J109">
        <v>0.375</v>
      </c>
      <c r="K109">
        <f t="shared" si="3"/>
        <v>17281</v>
      </c>
      <c r="L109" t="str">
        <f t="shared" si="2"/>
        <v>R4</v>
      </c>
    </row>
    <row r="110" spans="8:12" x14ac:dyDescent="0.25">
      <c r="H110" s="119" t="s">
        <v>644</v>
      </c>
      <c r="I110">
        <v>108</v>
      </c>
      <c r="J110">
        <v>0.375</v>
      </c>
      <c r="K110">
        <f t="shared" si="3"/>
        <v>17451</v>
      </c>
      <c r="L110" t="str">
        <f t="shared" si="2"/>
        <v>R4</v>
      </c>
    </row>
    <row r="111" spans="8:12" x14ac:dyDescent="0.25">
      <c r="H111" s="119" t="s">
        <v>247</v>
      </c>
      <c r="I111">
        <v>76</v>
      </c>
      <c r="J111">
        <v>0.375</v>
      </c>
      <c r="K111">
        <f t="shared" si="3"/>
        <v>17621</v>
      </c>
      <c r="L111" t="str">
        <f t="shared" si="2"/>
        <v>R4</v>
      </c>
    </row>
    <row r="112" spans="8:12" x14ac:dyDescent="0.25">
      <c r="H112" s="119" t="s">
        <v>519</v>
      </c>
      <c r="I112">
        <v>173</v>
      </c>
      <c r="J112">
        <v>0.37500000000000006</v>
      </c>
      <c r="K112">
        <f t="shared" si="3"/>
        <v>17791</v>
      </c>
      <c r="L112" t="str">
        <f t="shared" si="2"/>
        <v>R4</v>
      </c>
    </row>
    <row r="113" spans="8:12" x14ac:dyDescent="0.25">
      <c r="H113" s="119" t="s">
        <v>540</v>
      </c>
      <c r="I113">
        <v>173</v>
      </c>
      <c r="J113">
        <v>0.37500000000000006</v>
      </c>
      <c r="K113">
        <f t="shared" si="3"/>
        <v>17961</v>
      </c>
      <c r="L113" t="str">
        <f t="shared" si="2"/>
        <v>R4</v>
      </c>
    </row>
    <row r="114" spans="8:12" x14ac:dyDescent="0.25">
      <c r="H114" s="119" t="s">
        <v>684</v>
      </c>
      <c r="I114">
        <v>160</v>
      </c>
      <c r="J114">
        <v>0.38</v>
      </c>
      <c r="K114">
        <f t="shared" si="3"/>
        <v>18131</v>
      </c>
      <c r="L114" t="str">
        <f t="shared" si="2"/>
        <v>R4</v>
      </c>
    </row>
    <row r="115" spans="8:12" x14ac:dyDescent="0.25">
      <c r="H115" s="119" t="s">
        <v>1116</v>
      </c>
      <c r="I115">
        <v>155</v>
      </c>
      <c r="J115">
        <v>0.38</v>
      </c>
      <c r="K115">
        <f t="shared" si="3"/>
        <v>18301</v>
      </c>
      <c r="L115" t="str">
        <f t="shared" si="2"/>
        <v>R4</v>
      </c>
    </row>
    <row r="116" spans="8:12" x14ac:dyDescent="0.25">
      <c r="H116" s="119" t="s">
        <v>653</v>
      </c>
      <c r="I116">
        <v>153</v>
      </c>
      <c r="J116">
        <v>0.38</v>
      </c>
      <c r="K116">
        <f t="shared" si="3"/>
        <v>18471</v>
      </c>
      <c r="L116" t="str">
        <f t="shared" si="2"/>
        <v>R4</v>
      </c>
    </row>
    <row r="117" spans="8:12" x14ac:dyDescent="0.25">
      <c r="H117" s="119" t="s">
        <v>396</v>
      </c>
      <c r="I117">
        <v>173</v>
      </c>
      <c r="J117">
        <v>0.38</v>
      </c>
      <c r="K117">
        <f t="shared" si="3"/>
        <v>18641</v>
      </c>
      <c r="L117" t="str">
        <f t="shared" si="2"/>
        <v>R4</v>
      </c>
    </row>
    <row r="118" spans="8:12" x14ac:dyDescent="0.25">
      <c r="H118" s="119" t="s">
        <v>432</v>
      </c>
      <c r="I118">
        <v>160</v>
      </c>
      <c r="J118">
        <v>0.38</v>
      </c>
      <c r="K118">
        <f t="shared" si="3"/>
        <v>18811</v>
      </c>
      <c r="L118" t="str">
        <f t="shared" si="2"/>
        <v>R4</v>
      </c>
    </row>
    <row r="119" spans="8:12" x14ac:dyDescent="0.25">
      <c r="H119" s="119" t="s">
        <v>580</v>
      </c>
      <c r="I119">
        <v>173</v>
      </c>
      <c r="J119">
        <v>0.38</v>
      </c>
      <c r="K119">
        <f t="shared" si="3"/>
        <v>18981</v>
      </c>
      <c r="L119" t="str">
        <f t="shared" si="2"/>
        <v>R4</v>
      </c>
    </row>
    <row r="120" spans="8:12" x14ac:dyDescent="0.25">
      <c r="H120" s="119" t="s">
        <v>658</v>
      </c>
      <c r="I120">
        <v>155</v>
      </c>
      <c r="J120">
        <v>0.38</v>
      </c>
      <c r="K120">
        <f t="shared" si="3"/>
        <v>19151</v>
      </c>
      <c r="L120" t="str">
        <f t="shared" si="2"/>
        <v>R4</v>
      </c>
    </row>
    <row r="121" spans="8:12" x14ac:dyDescent="0.25">
      <c r="H121" s="119" t="s">
        <v>630</v>
      </c>
      <c r="I121">
        <v>158</v>
      </c>
      <c r="J121">
        <v>0.38500000000000001</v>
      </c>
      <c r="K121">
        <f t="shared" si="3"/>
        <v>19321</v>
      </c>
      <c r="L121" t="str">
        <f t="shared" si="2"/>
        <v>R4</v>
      </c>
    </row>
    <row r="122" spans="8:12" x14ac:dyDescent="0.25">
      <c r="H122" s="119" t="s">
        <v>489</v>
      </c>
      <c r="I122">
        <v>158</v>
      </c>
      <c r="J122">
        <v>0.38500000000000001</v>
      </c>
      <c r="K122">
        <f t="shared" si="3"/>
        <v>19491</v>
      </c>
      <c r="L122" t="str">
        <f t="shared" si="2"/>
        <v>R4</v>
      </c>
    </row>
    <row r="123" spans="8:12" x14ac:dyDescent="0.25">
      <c r="H123" s="119" t="s">
        <v>333</v>
      </c>
      <c r="I123">
        <v>111</v>
      </c>
      <c r="J123">
        <v>0.38500000000000001</v>
      </c>
      <c r="K123">
        <f t="shared" si="3"/>
        <v>19661</v>
      </c>
      <c r="L123" t="str">
        <f t="shared" si="2"/>
        <v>R4</v>
      </c>
    </row>
    <row r="124" spans="8:12" x14ac:dyDescent="0.25">
      <c r="H124" s="119" t="s">
        <v>508</v>
      </c>
      <c r="I124">
        <v>158</v>
      </c>
      <c r="J124">
        <v>0.38500000000000001</v>
      </c>
      <c r="K124">
        <f t="shared" si="3"/>
        <v>19831</v>
      </c>
      <c r="L124" t="str">
        <f t="shared" si="2"/>
        <v>R4</v>
      </c>
    </row>
    <row r="125" spans="8:12" x14ac:dyDescent="0.25">
      <c r="H125" s="119" t="s">
        <v>610</v>
      </c>
      <c r="I125">
        <v>158</v>
      </c>
      <c r="J125">
        <v>0.38500000000000001</v>
      </c>
      <c r="K125">
        <f t="shared" si="3"/>
        <v>20001</v>
      </c>
      <c r="L125" t="str">
        <f t="shared" si="2"/>
        <v>R4</v>
      </c>
    </row>
    <row r="126" spans="8:12" x14ac:dyDescent="0.25">
      <c r="H126" s="119" t="s">
        <v>642</v>
      </c>
      <c r="I126">
        <v>161</v>
      </c>
      <c r="J126">
        <v>0.38500000000000001</v>
      </c>
      <c r="K126">
        <f t="shared" si="3"/>
        <v>20171</v>
      </c>
      <c r="L126" t="str">
        <f t="shared" si="2"/>
        <v>R4</v>
      </c>
    </row>
    <row r="127" spans="8:12" x14ac:dyDescent="0.25">
      <c r="H127" s="119" t="s">
        <v>246</v>
      </c>
      <c r="I127">
        <v>136</v>
      </c>
      <c r="J127">
        <v>0.38500000000000001</v>
      </c>
      <c r="K127">
        <f t="shared" si="3"/>
        <v>20341</v>
      </c>
      <c r="L127" t="str">
        <f t="shared" si="2"/>
        <v>R4</v>
      </c>
    </row>
    <row r="128" spans="8:12" x14ac:dyDescent="0.25">
      <c r="H128" s="119" t="s">
        <v>513</v>
      </c>
      <c r="I128">
        <v>173</v>
      </c>
      <c r="J128">
        <v>0.38500000000000006</v>
      </c>
      <c r="K128">
        <f t="shared" si="3"/>
        <v>20511</v>
      </c>
      <c r="L128" t="str">
        <f t="shared" si="2"/>
        <v>R4</v>
      </c>
    </row>
    <row r="129" spans="8:12" x14ac:dyDescent="0.25">
      <c r="H129" s="119" t="s">
        <v>534</v>
      </c>
      <c r="I129">
        <v>173</v>
      </c>
      <c r="J129">
        <v>0.38500000000000006</v>
      </c>
      <c r="K129">
        <f t="shared" si="3"/>
        <v>20681</v>
      </c>
      <c r="L129" t="str">
        <f t="shared" si="2"/>
        <v>R4</v>
      </c>
    </row>
    <row r="130" spans="8:12" x14ac:dyDescent="0.25">
      <c r="H130" s="119" t="s">
        <v>560</v>
      </c>
      <c r="I130">
        <v>172</v>
      </c>
      <c r="J130">
        <v>0.39</v>
      </c>
      <c r="K130">
        <f t="shared" si="3"/>
        <v>20851</v>
      </c>
      <c r="L130" t="str">
        <f t="shared" si="2"/>
        <v>R4</v>
      </c>
    </row>
    <row r="131" spans="8:12" x14ac:dyDescent="0.25">
      <c r="H131" s="119" t="s">
        <v>407</v>
      </c>
      <c r="I131">
        <v>170</v>
      </c>
      <c r="J131">
        <v>0.39</v>
      </c>
      <c r="K131">
        <f t="shared" si="3"/>
        <v>21021</v>
      </c>
      <c r="L131" t="str">
        <f t="shared" si="2"/>
        <v>R5</v>
      </c>
    </row>
    <row r="132" spans="8:12" x14ac:dyDescent="0.25">
      <c r="H132" s="119" t="s">
        <v>461</v>
      </c>
      <c r="I132">
        <v>170</v>
      </c>
      <c r="J132">
        <v>0.39</v>
      </c>
      <c r="K132">
        <f t="shared" si="3"/>
        <v>21191</v>
      </c>
      <c r="L132" t="str">
        <f t="shared" si="2"/>
        <v>R5</v>
      </c>
    </row>
    <row r="133" spans="8:12" x14ac:dyDescent="0.25">
      <c r="H133" s="119" t="s">
        <v>394</v>
      </c>
      <c r="I133">
        <v>170</v>
      </c>
      <c r="J133">
        <v>0.39</v>
      </c>
      <c r="K133">
        <f t="shared" si="3"/>
        <v>21361</v>
      </c>
      <c r="L133" t="str">
        <f t="shared" si="2"/>
        <v>R5</v>
      </c>
    </row>
    <row r="134" spans="8:12" x14ac:dyDescent="0.25">
      <c r="H134" s="119" t="s">
        <v>589</v>
      </c>
      <c r="I134">
        <v>170</v>
      </c>
      <c r="J134">
        <v>0.39</v>
      </c>
      <c r="K134">
        <f t="shared" si="3"/>
        <v>21531</v>
      </c>
      <c r="L134" t="str">
        <f t="shared" si="2"/>
        <v>R5</v>
      </c>
    </row>
    <row r="135" spans="8:12" x14ac:dyDescent="0.25">
      <c r="H135" s="119" t="s">
        <v>406</v>
      </c>
      <c r="I135">
        <v>170</v>
      </c>
      <c r="J135">
        <v>0.39</v>
      </c>
      <c r="K135">
        <f t="shared" si="3"/>
        <v>21701</v>
      </c>
      <c r="L135" t="str">
        <f t="shared" si="2"/>
        <v>R5</v>
      </c>
    </row>
    <row r="136" spans="8:12" x14ac:dyDescent="0.25">
      <c r="H136" s="119" t="s">
        <v>559</v>
      </c>
      <c r="I136">
        <v>172</v>
      </c>
      <c r="J136">
        <v>0.39</v>
      </c>
      <c r="K136">
        <f t="shared" si="3"/>
        <v>21871</v>
      </c>
      <c r="L136" t="str">
        <f t="shared" si="2"/>
        <v>R5</v>
      </c>
    </row>
    <row r="137" spans="8:12" x14ac:dyDescent="0.25">
      <c r="H137" s="119" t="s">
        <v>420</v>
      </c>
      <c r="I137">
        <v>170</v>
      </c>
      <c r="J137">
        <v>0.39</v>
      </c>
      <c r="K137">
        <f t="shared" si="3"/>
        <v>22041</v>
      </c>
      <c r="L137" t="str">
        <f t="shared" ref="L137:L200" si="4">IF(AND(K137&gt;=0,K137&lt;=8453),"R1",IF(AND(K137&gt;=8453,K137&lt;=11934),"R2",IF(AND(K137&gt;=11934,K137&lt;=15415),"R3",IF(AND(K137&gt;=15415,K137&lt;=20885),"R4",IF(AND(K137&gt;=20885,K137&lt;=24863),"R5",IF(AND(K137&gt;=24863,K137&lt;=28334),"R6",IF(AND(K137&gt;=28334,K137&lt;=32322),"R7",IF(AND(K137&gt;=32322,K137&lt;=38289),"R8",IF(AND(K137&gt;=38289,K137&lt;=42267),"R9",IF(AND(K137&gt;=42267,K137&lt;=43759),"R10",IF(AND(K137&gt;=43759,K137&lt;=45251),"R11",IF(AND(K137&gt;=45251,K137&lt;=49726),"R12"))))))))))))</f>
        <v>R5</v>
      </c>
    </row>
    <row r="138" spans="8:12" x14ac:dyDescent="0.25">
      <c r="H138" s="119" t="s">
        <v>588</v>
      </c>
      <c r="I138">
        <v>170</v>
      </c>
      <c r="J138">
        <v>0.39</v>
      </c>
      <c r="K138">
        <f t="shared" ref="K138:K201" si="5">K137+GETPIVOTDATA("Sum of Unit Selling Area",$H$7,"Unit Number","B244")</f>
        <v>22211</v>
      </c>
      <c r="L138" t="str">
        <f t="shared" si="4"/>
        <v>R5</v>
      </c>
    </row>
    <row r="139" spans="8:12" x14ac:dyDescent="0.25">
      <c r="H139" s="119" t="s">
        <v>384</v>
      </c>
      <c r="I139">
        <v>116</v>
      </c>
      <c r="J139">
        <v>0.39499999999999996</v>
      </c>
      <c r="K139">
        <f t="shared" si="5"/>
        <v>22381</v>
      </c>
      <c r="L139" t="str">
        <f t="shared" si="4"/>
        <v>R5</v>
      </c>
    </row>
    <row r="140" spans="8:12" x14ac:dyDescent="0.25">
      <c r="H140" s="119" t="s">
        <v>581</v>
      </c>
      <c r="I140">
        <v>116</v>
      </c>
      <c r="J140">
        <v>0.39499999999999996</v>
      </c>
      <c r="K140">
        <f t="shared" si="5"/>
        <v>22551</v>
      </c>
      <c r="L140" t="str">
        <f t="shared" si="4"/>
        <v>R5</v>
      </c>
    </row>
    <row r="141" spans="8:12" x14ac:dyDescent="0.25">
      <c r="H141" s="119" t="s">
        <v>700</v>
      </c>
      <c r="I141">
        <v>106</v>
      </c>
      <c r="J141">
        <v>0.39499999999999996</v>
      </c>
      <c r="K141">
        <f t="shared" si="5"/>
        <v>22721</v>
      </c>
      <c r="L141" t="str">
        <f t="shared" si="4"/>
        <v>R5</v>
      </c>
    </row>
    <row r="142" spans="8:12" x14ac:dyDescent="0.25">
      <c r="H142" s="119" t="s">
        <v>421</v>
      </c>
      <c r="I142">
        <v>106</v>
      </c>
      <c r="J142">
        <v>0.39499999999999996</v>
      </c>
      <c r="K142">
        <f t="shared" si="5"/>
        <v>22891</v>
      </c>
      <c r="L142" t="str">
        <f t="shared" si="4"/>
        <v>R5</v>
      </c>
    </row>
    <row r="143" spans="8:12" x14ac:dyDescent="0.25">
      <c r="H143" s="119" t="s">
        <v>445</v>
      </c>
      <c r="I143">
        <v>106</v>
      </c>
      <c r="J143">
        <v>0.39499999999999996</v>
      </c>
      <c r="K143">
        <f t="shared" si="5"/>
        <v>23061</v>
      </c>
      <c r="L143" t="str">
        <f t="shared" si="4"/>
        <v>R5</v>
      </c>
    </row>
    <row r="144" spans="8:12" x14ac:dyDescent="0.25">
      <c r="H144" s="119" t="s">
        <v>410</v>
      </c>
      <c r="I144">
        <v>116</v>
      </c>
      <c r="J144">
        <v>0.39499999999999996</v>
      </c>
      <c r="K144">
        <f t="shared" si="5"/>
        <v>23231</v>
      </c>
      <c r="L144" t="str">
        <f t="shared" si="4"/>
        <v>R5</v>
      </c>
    </row>
    <row r="145" spans="8:12" x14ac:dyDescent="0.25">
      <c r="H145" s="119" t="s">
        <v>397</v>
      </c>
      <c r="I145">
        <v>116</v>
      </c>
      <c r="J145">
        <v>0.39499999999999996</v>
      </c>
      <c r="K145">
        <f t="shared" si="5"/>
        <v>23401</v>
      </c>
      <c r="L145" t="str">
        <f t="shared" si="4"/>
        <v>R5</v>
      </c>
    </row>
    <row r="146" spans="8:12" x14ac:dyDescent="0.25">
      <c r="H146" s="119" t="s">
        <v>673</v>
      </c>
      <c r="I146">
        <v>106</v>
      </c>
      <c r="J146">
        <v>0.39499999999999996</v>
      </c>
      <c r="K146">
        <f t="shared" si="5"/>
        <v>23571</v>
      </c>
      <c r="L146" t="str">
        <f t="shared" si="4"/>
        <v>R5</v>
      </c>
    </row>
    <row r="147" spans="8:12" x14ac:dyDescent="0.25">
      <c r="H147" s="119" t="s">
        <v>453</v>
      </c>
      <c r="I147">
        <v>116</v>
      </c>
      <c r="J147">
        <v>0.39499999999999996</v>
      </c>
      <c r="K147">
        <f t="shared" si="5"/>
        <v>23741</v>
      </c>
      <c r="L147" t="str">
        <f t="shared" si="4"/>
        <v>R5</v>
      </c>
    </row>
    <row r="148" spans="8:12" x14ac:dyDescent="0.25">
      <c r="H148" s="119" t="s">
        <v>632</v>
      </c>
      <c r="I148">
        <v>108</v>
      </c>
      <c r="J148">
        <v>0.39499999999999996</v>
      </c>
      <c r="K148">
        <f t="shared" si="5"/>
        <v>23911</v>
      </c>
      <c r="L148" t="str">
        <f t="shared" si="4"/>
        <v>R5</v>
      </c>
    </row>
    <row r="149" spans="8:12" x14ac:dyDescent="0.25">
      <c r="H149" s="119" t="s">
        <v>434</v>
      </c>
      <c r="I149">
        <v>106</v>
      </c>
      <c r="J149">
        <v>0.39499999999999996</v>
      </c>
      <c r="K149">
        <f t="shared" si="5"/>
        <v>24081</v>
      </c>
      <c r="L149" t="str">
        <f t="shared" si="4"/>
        <v>R5</v>
      </c>
    </row>
    <row r="150" spans="8:12" x14ac:dyDescent="0.25">
      <c r="H150" s="119" t="s">
        <v>687</v>
      </c>
      <c r="I150">
        <v>106</v>
      </c>
      <c r="J150">
        <v>0.39499999999999996</v>
      </c>
      <c r="K150">
        <f t="shared" si="5"/>
        <v>24251</v>
      </c>
      <c r="L150" t="str">
        <f t="shared" si="4"/>
        <v>R5</v>
      </c>
    </row>
    <row r="151" spans="8:12" x14ac:dyDescent="0.25">
      <c r="H151" s="119" t="s">
        <v>502</v>
      </c>
      <c r="I151">
        <v>157</v>
      </c>
      <c r="J151">
        <v>0.39500000000000002</v>
      </c>
      <c r="K151">
        <f t="shared" si="5"/>
        <v>24421</v>
      </c>
      <c r="L151" t="str">
        <f t="shared" si="4"/>
        <v>R5</v>
      </c>
    </row>
    <row r="152" spans="8:12" x14ac:dyDescent="0.25">
      <c r="H152" s="119" t="s">
        <v>603</v>
      </c>
      <c r="I152">
        <v>157</v>
      </c>
      <c r="J152">
        <v>0.39500000000000002</v>
      </c>
      <c r="K152">
        <f t="shared" si="5"/>
        <v>24591</v>
      </c>
      <c r="L152" t="str">
        <f t="shared" si="4"/>
        <v>R5</v>
      </c>
    </row>
    <row r="153" spans="8:12" x14ac:dyDescent="0.25">
      <c r="H153" s="119" t="s">
        <v>474</v>
      </c>
      <c r="I153">
        <v>176</v>
      </c>
      <c r="J153">
        <v>0.39500000000000002</v>
      </c>
      <c r="K153">
        <f t="shared" si="5"/>
        <v>24761</v>
      </c>
      <c r="L153" t="str">
        <f t="shared" si="4"/>
        <v>R5</v>
      </c>
    </row>
    <row r="154" spans="8:12" x14ac:dyDescent="0.25">
      <c r="H154" s="119" t="s">
        <v>483</v>
      </c>
      <c r="I154">
        <v>157</v>
      </c>
      <c r="J154">
        <v>0.39500000000000002</v>
      </c>
      <c r="K154">
        <f t="shared" si="5"/>
        <v>24931</v>
      </c>
      <c r="L154" t="str">
        <f t="shared" si="4"/>
        <v>R6</v>
      </c>
    </row>
    <row r="155" spans="8:12" x14ac:dyDescent="0.25">
      <c r="H155" s="119" t="s">
        <v>575</v>
      </c>
      <c r="I155">
        <v>117</v>
      </c>
      <c r="J155">
        <v>0.39500000000000002</v>
      </c>
      <c r="K155">
        <f t="shared" si="5"/>
        <v>25101</v>
      </c>
      <c r="L155" t="str">
        <f t="shared" si="4"/>
        <v>R6</v>
      </c>
    </row>
    <row r="156" spans="8:12" x14ac:dyDescent="0.25">
      <c r="H156" s="119" t="s">
        <v>623</v>
      </c>
      <c r="I156">
        <v>157</v>
      </c>
      <c r="J156">
        <v>0.39500000000000002</v>
      </c>
      <c r="K156">
        <f t="shared" si="5"/>
        <v>25271</v>
      </c>
      <c r="L156" t="str">
        <f t="shared" si="4"/>
        <v>R6</v>
      </c>
    </row>
    <row r="157" spans="8:12" x14ac:dyDescent="0.25">
      <c r="H157" s="119" t="s">
        <v>594</v>
      </c>
      <c r="I157">
        <v>117</v>
      </c>
      <c r="J157">
        <v>0.39500000000000002</v>
      </c>
      <c r="K157">
        <f t="shared" si="5"/>
        <v>25441</v>
      </c>
      <c r="L157" t="str">
        <f t="shared" si="4"/>
        <v>R6</v>
      </c>
    </row>
    <row r="158" spans="8:12" x14ac:dyDescent="0.25">
      <c r="H158" s="119" t="s">
        <v>393</v>
      </c>
      <c r="I158">
        <v>176</v>
      </c>
      <c r="J158">
        <v>0.39500000000000002</v>
      </c>
      <c r="K158">
        <f t="shared" si="5"/>
        <v>25611</v>
      </c>
      <c r="L158" t="str">
        <f t="shared" si="4"/>
        <v>R6</v>
      </c>
    </row>
    <row r="159" spans="8:12" x14ac:dyDescent="0.25">
      <c r="H159" s="119" t="s">
        <v>659</v>
      </c>
      <c r="I159">
        <v>161</v>
      </c>
      <c r="J159">
        <v>0.39500000000000002</v>
      </c>
      <c r="K159">
        <f t="shared" si="5"/>
        <v>25781</v>
      </c>
      <c r="L159" t="str">
        <f t="shared" si="4"/>
        <v>R6</v>
      </c>
    </row>
    <row r="160" spans="8:12" x14ac:dyDescent="0.25">
      <c r="H160" s="119" t="s">
        <v>324</v>
      </c>
      <c r="I160">
        <v>110</v>
      </c>
      <c r="J160">
        <v>0.39500000000000002</v>
      </c>
      <c r="K160">
        <f t="shared" si="5"/>
        <v>25951</v>
      </c>
      <c r="L160" t="str">
        <f t="shared" si="4"/>
        <v>R6</v>
      </c>
    </row>
    <row r="161" spans="8:12" x14ac:dyDescent="0.25">
      <c r="H161" s="119" t="s">
        <v>646</v>
      </c>
      <c r="I161">
        <v>108</v>
      </c>
      <c r="J161">
        <v>0.39500000000000002</v>
      </c>
      <c r="K161">
        <f t="shared" si="5"/>
        <v>26121</v>
      </c>
      <c r="L161" t="str">
        <f t="shared" si="4"/>
        <v>R6</v>
      </c>
    </row>
    <row r="162" spans="8:12" x14ac:dyDescent="0.25">
      <c r="H162" s="119" t="s">
        <v>367</v>
      </c>
      <c r="I162">
        <v>173</v>
      </c>
      <c r="J162">
        <v>0.39999999999999997</v>
      </c>
      <c r="K162">
        <f t="shared" si="5"/>
        <v>26291</v>
      </c>
      <c r="L162" t="str">
        <f t="shared" si="4"/>
        <v>R6</v>
      </c>
    </row>
    <row r="163" spans="8:12" x14ac:dyDescent="0.25">
      <c r="H163" s="119" t="s">
        <v>514</v>
      </c>
      <c r="I163">
        <v>172</v>
      </c>
      <c r="J163">
        <v>0.4</v>
      </c>
      <c r="K163">
        <f t="shared" si="5"/>
        <v>26461</v>
      </c>
      <c r="L163" t="str">
        <f t="shared" si="4"/>
        <v>R6</v>
      </c>
    </row>
    <row r="164" spans="8:12" x14ac:dyDescent="0.25">
      <c r="H164" s="119" t="s">
        <v>639</v>
      </c>
      <c r="I164">
        <v>153</v>
      </c>
      <c r="J164">
        <v>0.4</v>
      </c>
      <c r="K164">
        <f t="shared" si="5"/>
        <v>26631</v>
      </c>
      <c r="L164" t="str">
        <f t="shared" si="4"/>
        <v>R6</v>
      </c>
    </row>
    <row r="165" spans="8:12" x14ac:dyDescent="0.25">
      <c r="H165" s="119" t="s">
        <v>494</v>
      </c>
      <c r="I165">
        <v>160</v>
      </c>
      <c r="J165">
        <v>0.4</v>
      </c>
      <c r="K165">
        <f t="shared" si="5"/>
        <v>26801</v>
      </c>
      <c r="L165" t="str">
        <f t="shared" si="4"/>
        <v>R6</v>
      </c>
    </row>
    <row r="166" spans="8:12" x14ac:dyDescent="0.25">
      <c r="H166" s="119" t="s">
        <v>435</v>
      </c>
      <c r="I166">
        <v>162</v>
      </c>
      <c r="J166">
        <v>0.4</v>
      </c>
      <c r="K166">
        <f t="shared" si="5"/>
        <v>26971</v>
      </c>
      <c r="L166" t="str">
        <f t="shared" si="4"/>
        <v>R6</v>
      </c>
    </row>
    <row r="167" spans="8:12" x14ac:dyDescent="0.25">
      <c r="H167" s="119" t="s">
        <v>527</v>
      </c>
      <c r="I167">
        <v>172</v>
      </c>
      <c r="J167">
        <v>0.4</v>
      </c>
      <c r="K167">
        <f t="shared" si="5"/>
        <v>27141</v>
      </c>
      <c r="L167" t="str">
        <f t="shared" si="4"/>
        <v>R6</v>
      </c>
    </row>
    <row r="168" spans="8:12" x14ac:dyDescent="0.25">
      <c r="H168" s="119" t="s">
        <v>526</v>
      </c>
      <c r="I168">
        <v>172</v>
      </c>
      <c r="J168">
        <v>0.4</v>
      </c>
      <c r="K168">
        <f t="shared" si="5"/>
        <v>27311</v>
      </c>
      <c r="L168" t="str">
        <f t="shared" si="4"/>
        <v>R6</v>
      </c>
    </row>
    <row r="169" spans="8:12" x14ac:dyDescent="0.25">
      <c r="H169" s="119" t="s">
        <v>582</v>
      </c>
      <c r="I169">
        <v>174</v>
      </c>
      <c r="J169">
        <v>0.4</v>
      </c>
      <c r="K169">
        <f t="shared" si="5"/>
        <v>27481</v>
      </c>
      <c r="L169" t="str">
        <f t="shared" si="4"/>
        <v>R6</v>
      </c>
    </row>
    <row r="170" spans="8:12" x14ac:dyDescent="0.25">
      <c r="H170" s="119" t="s">
        <v>441</v>
      </c>
      <c r="I170">
        <v>158</v>
      </c>
      <c r="J170">
        <v>0.4</v>
      </c>
      <c r="K170">
        <f t="shared" si="5"/>
        <v>27651</v>
      </c>
      <c r="L170" t="str">
        <f t="shared" si="4"/>
        <v>R6</v>
      </c>
    </row>
    <row r="171" spans="8:12" x14ac:dyDescent="0.25">
      <c r="H171" s="119" t="s">
        <v>399</v>
      </c>
      <c r="I171">
        <v>174</v>
      </c>
      <c r="J171">
        <v>0.4</v>
      </c>
      <c r="K171">
        <f t="shared" si="5"/>
        <v>27821</v>
      </c>
      <c r="L171" t="str">
        <f t="shared" si="4"/>
        <v>R6</v>
      </c>
    </row>
    <row r="172" spans="8:12" x14ac:dyDescent="0.25">
      <c r="H172" s="119" t="s">
        <v>452</v>
      </c>
      <c r="I172">
        <v>153</v>
      </c>
      <c r="J172">
        <v>0.4</v>
      </c>
      <c r="K172">
        <f t="shared" si="5"/>
        <v>27991</v>
      </c>
      <c r="L172" t="str">
        <f t="shared" si="4"/>
        <v>R6</v>
      </c>
    </row>
    <row r="173" spans="8:12" x14ac:dyDescent="0.25">
      <c r="H173" s="119" t="s">
        <v>537</v>
      </c>
      <c r="I173">
        <v>172</v>
      </c>
      <c r="J173">
        <v>0.4</v>
      </c>
      <c r="K173">
        <f t="shared" si="5"/>
        <v>28161</v>
      </c>
      <c r="L173" t="str">
        <f t="shared" si="4"/>
        <v>R6</v>
      </c>
    </row>
    <row r="174" spans="8:12" x14ac:dyDescent="0.25">
      <c r="H174" s="119" t="s">
        <v>697</v>
      </c>
      <c r="I174">
        <v>153</v>
      </c>
      <c r="J174">
        <v>0.4</v>
      </c>
      <c r="K174">
        <f t="shared" si="5"/>
        <v>28331</v>
      </c>
      <c r="L174" t="str">
        <f t="shared" si="4"/>
        <v>R6</v>
      </c>
    </row>
    <row r="175" spans="8:12" x14ac:dyDescent="0.25">
      <c r="H175" s="119" t="s">
        <v>708</v>
      </c>
      <c r="I175">
        <v>153</v>
      </c>
      <c r="J175">
        <v>0.4</v>
      </c>
      <c r="K175">
        <f t="shared" si="5"/>
        <v>28501</v>
      </c>
      <c r="L175" t="str">
        <f t="shared" si="4"/>
        <v>R7</v>
      </c>
    </row>
    <row r="176" spans="8:12" x14ac:dyDescent="0.25">
      <c r="H176" s="119" t="s">
        <v>443</v>
      </c>
      <c r="I176">
        <v>153</v>
      </c>
      <c r="J176">
        <v>0.4</v>
      </c>
      <c r="K176">
        <f t="shared" si="5"/>
        <v>28671</v>
      </c>
      <c r="L176" t="str">
        <f t="shared" si="4"/>
        <v>R7</v>
      </c>
    </row>
    <row r="177" spans="8:12" x14ac:dyDescent="0.25">
      <c r="H177" s="119" t="s">
        <v>681</v>
      </c>
      <c r="I177">
        <v>153</v>
      </c>
      <c r="J177">
        <v>0.4</v>
      </c>
      <c r="K177">
        <f t="shared" si="5"/>
        <v>28841</v>
      </c>
      <c r="L177" t="str">
        <f t="shared" si="4"/>
        <v>R7</v>
      </c>
    </row>
    <row r="178" spans="8:12" x14ac:dyDescent="0.25">
      <c r="H178" s="119" t="s">
        <v>615</v>
      </c>
      <c r="I178">
        <v>160</v>
      </c>
      <c r="J178">
        <v>0.4</v>
      </c>
      <c r="K178">
        <f t="shared" si="5"/>
        <v>29011</v>
      </c>
      <c r="L178" t="str">
        <f t="shared" si="4"/>
        <v>R7</v>
      </c>
    </row>
    <row r="179" spans="8:12" x14ac:dyDescent="0.25">
      <c r="H179" s="119" t="s">
        <v>688</v>
      </c>
      <c r="I179">
        <v>162</v>
      </c>
      <c r="J179">
        <v>0.4</v>
      </c>
      <c r="K179">
        <f t="shared" si="5"/>
        <v>29181</v>
      </c>
      <c r="L179" t="str">
        <f t="shared" si="4"/>
        <v>R7</v>
      </c>
    </row>
    <row r="180" spans="8:12" x14ac:dyDescent="0.25">
      <c r="H180" s="119" t="s">
        <v>430</v>
      </c>
      <c r="I180">
        <v>153</v>
      </c>
      <c r="J180">
        <v>0.4</v>
      </c>
      <c r="K180">
        <f t="shared" si="5"/>
        <v>29351</v>
      </c>
      <c r="L180" t="str">
        <f t="shared" si="4"/>
        <v>R7</v>
      </c>
    </row>
    <row r="181" spans="8:12" x14ac:dyDescent="0.25">
      <c r="H181" s="119" t="s">
        <v>694</v>
      </c>
      <c r="I181">
        <v>158</v>
      </c>
      <c r="J181">
        <v>0.4</v>
      </c>
      <c r="K181">
        <f t="shared" si="5"/>
        <v>29521</v>
      </c>
      <c r="L181" t="str">
        <f t="shared" si="4"/>
        <v>R7</v>
      </c>
    </row>
    <row r="182" spans="8:12" x14ac:dyDescent="0.25">
      <c r="H182" s="119" t="s">
        <v>259</v>
      </c>
      <c r="I182">
        <v>122</v>
      </c>
      <c r="J182">
        <v>0.40499999999999997</v>
      </c>
      <c r="K182">
        <f t="shared" si="5"/>
        <v>29691</v>
      </c>
      <c r="L182" t="str">
        <f t="shared" si="4"/>
        <v>R7</v>
      </c>
    </row>
    <row r="183" spans="8:12" x14ac:dyDescent="0.25">
      <c r="H183" s="119" t="s">
        <v>675</v>
      </c>
      <c r="I183">
        <v>160</v>
      </c>
      <c r="J183">
        <v>0.40499999999999997</v>
      </c>
      <c r="K183">
        <f t="shared" si="5"/>
        <v>29861</v>
      </c>
      <c r="L183" t="str">
        <f t="shared" si="4"/>
        <v>R7</v>
      </c>
    </row>
    <row r="184" spans="8:12" x14ac:dyDescent="0.25">
      <c r="H184" s="119" t="s">
        <v>444</v>
      </c>
      <c r="I184">
        <v>160</v>
      </c>
      <c r="J184">
        <v>0.40499999999999997</v>
      </c>
      <c r="K184">
        <f t="shared" si="5"/>
        <v>30031</v>
      </c>
      <c r="L184" t="str">
        <f t="shared" si="4"/>
        <v>R7</v>
      </c>
    </row>
    <row r="185" spans="8:12" x14ac:dyDescent="0.25">
      <c r="H185" s="119" t="s">
        <v>454</v>
      </c>
      <c r="I185">
        <v>176</v>
      </c>
      <c r="J185">
        <v>0.40499999999999997</v>
      </c>
      <c r="K185">
        <f t="shared" si="5"/>
        <v>30201</v>
      </c>
      <c r="L185" t="str">
        <f t="shared" si="4"/>
        <v>R7</v>
      </c>
    </row>
    <row r="186" spans="8:12" x14ac:dyDescent="0.25">
      <c r="H186" s="119" t="s">
        <v>408</v>
      </c>
      <c r="I186">
        <v>176</v>
      </c>
      <c r="J186">
        <v>0.40499999999999997</v>
      </c>
      <c r="K186">
        <f t="shared" si="5"/>
        <v>30371</v>
      </c>
      <c r="L186" t="str">
        <f t="shared" si="4"/>
        <v>R7</v>
      </c>
    </row>
    <row r="187" spans="8:12" x14ac:dyDescent="0.25">
      <c r="H187" s="119" t="s">
        <v>249</v>
      </c>
      <c r="I187">
        <v>112</v>
      </c>
      <c r="J187">
        <v>0.40499999999999997</v>
      </c>
      <c r="K187">
        <f t="shared" si="5"/>
        <v>30541</v>
      </c>
      <c r="L187" t="str">
        <f t="shared" si="4"/>
        <v>R7</v>
      </c>
    </row>
    <row r="188" spans="8:12" x14ac:dyDescent="0.25">
      <c r="H188" s="119" t="s">
        <v>272</v>
      </c>
      <c r="I188">
        <v>112</v>
      </c>
      <c r="J188">
        <v>0.40499999999999997</v>
      </c>
      <c r="K188">
        <f t="shared" si="5"/>
        <v>30711</v>
      </c>
      <c r="L188" t="str">
        <f t="shared" si="4"/>
        <v>R7</v>
      </c>
    </row>
    <row r="189" spans="8:12" x14ac:dyDescent="0.25">
      <c r="H189" s="119" t="s">
        <v>258</v>
      </c>
      <c r="I189">
        <v>112</v>
      </c>
      <c r="J189">
        <v>0.40499999999999997</v>
      </c>
      <c r="K189">
        <f t="shared" si="5"/>
        <v>30881</v>
      </c>
      <c r="L189" t="str">
        <f t="shared" si="4"/>
        <v>R7</v>
      </c>
    </row>
    <row r="190" spans="8:12" x14ac:dyDescent="0.25">
      <c r="H190" s="119" t="s">
        <v>698</v>
      </c>
      <c r="I190">
        <v>160</v>
      </c>
      <c r="J190">
        <v>0.40499999999999997</v>
      </c>
      <c r="K190">
        <f t="shared" si="5"/>
        <v>31051</v>
      </c>
      <c r="L190" t="str">
        <f t="shared" si="4"/>
        <v>R7</v>
      </c>
    </row>
    <row r="191" spans="8:12" x14ac:dyDescent="0.25">
      <c r="H191" s="119" t="s">
        <v>423</v>
      </c>
      <c r="I191">
        <v>160</v>
      </c>
      <c r="J191">
        <v>0.40499999999999997</v>
      </c>
      <c r="K191">
        <f t="shared" si="5"/>
        <v>31221</v>
      </c>
      <c r="L191" t="str">
        <f t="shared" si="4"/>
        <v>R7</v>
      </c>
    </row>
    <row r="192" spans="8:12" x14ac:dyDescent="0.25">
      <c r="H192" s="119" t="s">
        <v>271</v>
      </c>
      <c r="I192">
        <v>122</v>
      </c>
      <c r="J192">
        <v>0.40499999999999997</v>
      </c>
      <c r="K192">
        <f t="shared" si="5"/>
        <v>31391</v>
      </c>
      <c r="L192" t="str">
        <f t="shared" si="4"/>
        <v>R7</v>
      </c>
    </row>
    <row r="193" spans="8:12" x14ac:dyDescent="0.25">
      <c r="H193" s="119" t="s">
        <v>385</v>
      </c>
      <c r="I193">
        <v>180</v>
      </c>
      <c r="J193">
        <v>0.40499999999999997</v>
      </c>
      <c r="K193">
        <f t="shared" si="5"/>
        <v>31561</v>
      </c>
      <c r="L193" t="str">
        <f t="shared" si="4"/>
        <v>R7</v>
      </c>
    </row>
    <row r="194" spans="8:12" x14ac:dyDescent="0.25">
      <c r="H194" s="119" t="s">
        <v>651</v>
      </c>
      <c r="I194">
        <v>158</v>
      </c>
      <c r="J194">
        <v>0.40500000000000003</v>
      </c>
      <c r="K194">
        <f t="shared" si="5"/>
        <v>31731</v>
      </c>
      <c r="L194" t="str">
        <f t="shared" si="4"/>
        <v>R7</v>
      </c>
    </row>
    <row r="195" spans="8:12" x14ac:dyDescent="0.25">
      <c r="H195" s="119" t="s">
        <v>477</v>
      </c>
      <c r="I195">
        <v>172</v>
      </c>
      <c r="J195">
        <v>0.41000000000000003</v>
      </c>
      <c r="K195">
        <f t="shared" si="5"/>
        <v>31901</v>
      </c>
      <c r="L195" t="str">
        <f t="shared" si="4"/>
        <v>R7</v>
      </c>
    </row>
    <row r="196" spans="8:12" x14ac:dyDescent="0.25">
      <c r="H196" s="119" t="s">
        <v>495</v>
      </c>
      <c r="I196">
        <v>155</v>
      </c>
      <c r="J196">
        <v>0.41000000000000003</v>
      </c>
      <c r="K196">
        <f t="shared" si="5"/>
        <v>32071</v>
      </c>
      <c r="L196" t="str">
        <f t="shared" si="4"/>
        <v>R7</v>
      </c>
    </row>
    <row r="197" spans="8:12" x14ac:dyDescent="0.25">
      <c r="H197" s="119" t="s">
        <v>484</v>
      </c>
      <c r="I197">
        <v>155</v>
      </c>
      <c r="J197">
        <v>0.41000000000000003</v>
      </c>
      <c r="K197">
        <f t="shared" si="5"/>
        <v>32241</v>
      </c>
      <c r="L197" t="str">
        <f t="shared" si="4"/>
        <v>R7</v>
      </c>
    </row>
    <row r="198" spans="8:12" x14ac:dyDescent="0.25">
      <c r="H198" s="119" t="s">
        <v>570</v>
      </c>
      <c r="I198">
        <v>172</v>
      </c>
      <c r="J198">
        <v>0.41000000000000003</v>
      </c>
      <c r="K198">
        <f t="shared" si="5"/>
        <v>32411</v>
      </c>
      <c r="L198" t="str">
        <f t="shared" si="4"/>
        <v>R8</v>
      </c>
    </row>
    <row r="199" spans="8:12" x14ac:dyDescent="0.25">
      <c r="H199" s="119" t="s">
        <v>626</v>
      </c>
      <c r="I199">
        <v>155</v>
      </c>
      <c r="J199">
        <v>0.41000000000000003</v>
      </c>
      <c r="K199">
        <f t="shared" si="5"/>
        <v>32581</v>
      </c>
      <c r="L199" t="str">
        <f t="shared" si="4"/>
        <v>R8</v>
      </c>
    </row>
    <row r="200" spans="8:12" x14ac:dyDescent="0.25">
      <c r="H200" s="119" t="s">
        <v>604</v>
      </c>
      <c r="I200">
        <v>155</v>
      </c>
      <c r="J200">
        <v>0.41000000000000003</v>
      </c>
      <c r="K200">
        <f t="shared" si="5"/>
        <v>32751</v>
      </c>
      <c r="L200" t="str">
        <f t="shared" si="4"/>
        <v>R8</v>
      </c>
    </row>
    <row r="201" spans="8:12" x14ac:dyDescent="0.25">
      <c r="H201" s="119" t="s">
        <v>551</v>
      </c>
      <c r="I201">
        <v>172</v>
      </c>
      <c r="J201">
        <v>0.41000000000000003</v>
      </c>
      <c r="K201">
        <f t="shared" si="5"/>
        <v>32921</v>
      </c>
      <c r="L201" t="str">
        <f t="shared" ref="L201:L264" si="6">IF(AND(K201&gt;=0,K201&lt;=8453),"R1",IF(AND(K201&gt;=8453,K201&lt;=11934),"R2",IF(AND(K201&gt;=11934,K201&lt;=15415),"R3",IF(AND(K201&gt;=15415,K201&lt;=20885),"R4",IF(AND(K201&gt;=20885,K201&lt;=24863),"R5",IF(AND(K201&gt;=24863,K201&lt;=28334),"R6",IF(AND(K201&gt;=28334,K201&lt;=32322),"R7",IF(AND(K201&gt;=32322,K201&lt;=38289),"R8",IF(AND(K201&gt;=38289,K201&lt;=42267),"R9",IF(AND(K201&gt;=42267,K201&lt;=43759),"R10",IF(AND(K201&gt;=43759,K201&lt;=45251),"R11",IF(AND(K201&gt;=45251,K201&lt;=49726),"R12"))))))))))))</f>
        <v>R8</v>
      </c>
    </row>
    <row r="202" spans="8:12" x14ac:dyDescent="0.25">
      <c r="H202" s="119" t="s">
        <v>616</v>
      </c>
      <c r="I202">
        <v>155</v>
      </c>
      <c r="J202">
        <v>0.41000000000000003</v>
      </c>
      <c r="K202">
        <f t="shared" ref="K202:K265" si="7">K201+GETPIVOTDATA("Sum of Unit Selling Area",$H$7,"Unit Number","B244")</f>
        <v>33091</v>
      </c>
      <c r="L202" t="str">
        <f t="shared" si="6"/>
        <v>R8</v>
      </c>
    </row>
    <row r="203" spans="8:12" x14ac:dyDescent="0.25">
      <c r="H203" s="119" t="s">
        <v>505</v>
      </c>
      <c r="I203">
        <v>155</v>
      </c>
      <c r="J203">
        <v>0.41000000000000003</v>
      </c>
      <c r="K203">
        <f t="shared" si="7"/>
        <v>33261</v>
      </c>
      <c r="L203" t="str">
        <f t="shared" si="6"/>
        <v>R8</v>
      </c>
    </row>
    <row r="204" spans="8:12" x14ac:dyDescent="0.25">
      <c r="H204" s="119" t="s">
        <v>398</v>
      </c>
      <c r="I204">
        <v>172</v>
      </c>
      <c r="J204">
        <v>0.41000000000000003</v>
      </c>
      <c r="K204">
        <f t="shared" si="7"/>
        <v>33431</v>
      </c>
      <c r="L204" t="str">
        <f t="shared" si="6"/>
        <v>R8</v>
      </c>
    </row>
    <row r="205" spans="8:12" x14ac:dyDescent="0.25">
      <c r="H205" s="119" t="s">
        <v>322</v>
      </c>
      <c r="I205">
        <v>121</v>
      </c>
      <c r="J205">
        <v>0.41499999999999992</v>
      </c>
      <c r="K205">
        <f t="shared" si="7"/>
        <v>33601</v>
      </c>
      <c r="L205" t="str">
        <f t="shared" si="6"/>
        <v>R8</v>
      </c>
    </row>
    <row r="206" spans="8:12" x14ac:dyDescent="0.25">
      <c r="H206" s="119" t="s">
        <v>336</v>
      </c>
      <c r="I206">
        <v>121</v>
      </c>
      <c r="J206">
        <v>0.41499999999999992</v>
      </c>
      <c r="K206">
        <f t="shared" si="7"/>
        <v>33771</v>
      </c>
      <c r="L206" t="str">
        <f t="shared" si="6"/>
        <v>R8</v>
      </c>
    </row>
    <row r="207" spans="8:12" x14ac:dyDescent="0.25">
      <c r="H207" s="119" t="s">
        <v>368</v>
      </c>
      <c r="I207">
        <v>116</v>
      </c>
      <c r="J207">
        <v>0.41499999999999992</v>
      </c>
      <c r="K207">
        <f t="shared" si="7"/>
        <v>33941</v>
      </c>
      <c r="L207" t="str">
        <f t="shared" si="6"/>
        <v>R8</v>
      </c>
    </row>
    <row r="208" spans="8:12" x14ac:dyDescent="0.25">
      <c r="H208" s="119" t="s">
        <v>395</v>
      </c>
      <c r="I208">
        <v>173</v>
      </c>
      <c r="J208">
        <v>0.41499999999999998</v>
      </c>
      <c r="K208">
        <f t="shared" si="7"/>
        <v>34111</v>
      </c>
      <c r="L208" t="str">
        <f t="shared" si="6"/>
        <v>R8</v>
      </c>
    </row>
    <row r="209" spans="8:12" x14ac:dyDescent="0.25">
      <c r="H209" s="119" t="s">
        <v>400</v>
      </c>
      <c r="I209">
        <v>117</v>
      </c>
      <c r="J209">
        <v>0.41499999999999998</v>
      </c>
      <c r="K209">
        <f t="shared" si="7"/>
        <v>34281</v>
      </c>
      <c r="L209" t="str">
        <f t="shared" si="6"/>
        <v>R8</v>
      </c>
    </row>
    <row r="210" spans="8:12" x14ac:dyDescent="0.25">
      <c r="H210" s="119" t="s">
        <v>463</v>
      </c>
      <c r="I210">
        <v>173</v>
      </c>
      <c r="J210">
        <v>0.41499999999999998</v>
      </c>
      <c r="K210">
        <f t="shared" si="7"/>
        <v>34451</v>
      </c>
      <c r="L210" t="str">
        <f t="shared" si="6"/>
        <v>R8</v>
      </c>
    </row>
    <row r="211" spans="8:12" x14ac:dyDescent="0.25">
      <c r="H211" s="119" t="s">
        <v>387</v>
      </c>
      <c r="I211">
        <v>117</v>
      </c>
      <c r="J211">
        <v>0.41499999999999998</v>
      </c>
      <c r="K211">
        <f t="shared" si="7"/>
        <v>34621</v>
      </c>
      <c r="L211" t="str">
        <f t="shared" si="6"/>
        <v>R8</v>
      </c>
    </row>
    <row r="212" spans="8:12" x14ac:dyDescent="0.25">
      <c r="H212" s="119" t="s">
        <v>424</v>
      </c>
      <c r="I212">
        <v>108</v>
      </c>
      <c r="J212">
        <v>0.41499999999999998</v>
      </c>
      <c r="K212">
        <f t="shared" si="7"/>
        <v>34791</v>
      </c>
      <c r="L212" t="str">
        <f t="shared" si="6"/>
        <v>R8</v>
      </c>
    </row>
    <row r="213" spans="8:12" x14ac:dyDescent="0.25">
      <c r="H213" s="119" t="s">
        <v>583</v>
      </c>
      <c r="I213">
        <v>117</v>
      </c>
      <c r="J213">
        <v>0.41499999999999998</v>
      </c>
      <c r="K213">
        <f t="shared" si="7"/>
        <v>34961</v>
      </c>
      <c r="L213" t="str">
        <f t="shared" si="6"/>
        <v>R8</v>
      </c>
    </row>
    <row r="214" spans="8:12" x14ac:dyDescent="0.25">
      <c r="H214" s="119" t="s">
        <v>702</v>
      </c>
      <c r="I214">
        <v>108</v>
      </c>
      <c r="J214">
        <v>0.41499999999999998</v>
      </c>
      <c r="K214">
        <f t="shared" si="7"/>
        <v>35131</v>
      </c>
      <c r="L214" t="str">
        <f t="shared" si="6"/>
        <v>R8</v>
      </c>
    </row>
    <row r="215" spans="8:12" x14ac:dyDescent="0.25">
      <c r="H215" s="119" t="s">
        <v>447</v>
      </c>
      <c r="I215">
        <v>108</v>
      </c>
      <c r="J215">
        <v>0.41499999999999998</v>
      </c>
      <c r="K215">
        <f t="shared" si="7"/>
        <v>35301</v>
      </c>
      <c r="L215" t="str">
        <f t="shared" si="6"/>
        <v>R8</v>
      </c>
    </row>
    <row r="216" spans="8:12" x14ac:dyDescent="0.25">
      <c r="H216" s="119" t="s">
        <v>413</v>
      </c>
      <c r="I216">
        <v>117</v>
      </c>
      <c r="J216">
        <v>0.41499999999999998</v>
      </c>
      <c r="K216">
        <f t="shared" si="7"/>
        <v>35471</v>
      </c>
      <c r="L216" t="str">
        <f t="shared" si="6"/>
        <v>R8</v>
      </c>
    </row>
    <row r="217" spans="8:12" x14ac:dyDescent="0.25">
      <c r="H217" s="119" t="s">
        <v>689</v>
      </c>
      <c r="I217">
        <v>108</v>
      </c>
      <c r="J217">
        <v>0.41499999999999998</v>
      </c>
      <c r="K217">
        <f t="shared" si="7"/>
        <v>35641</v>
      </c>
      <c r="L217" t="str">
        <f t="shared" si="6"/>
        <v>R8</v>
      </c>
    </row>
    <row r="218" spans="8:12" x14ac:dyDescent="0.25">
      <c r="H218" s="119" t="s">
        <v>676</v>
      </c>
      <c r="I218">
        <v>108</v>
      </c>
      <c r="J218">
        <v>0.41499999999999998</v>
      </c>
      <c r="K218">
        <f t="shared" si="7"/>
        <v>35811</v>
      </c>
      <c r="L218" t="str">
        <f t="shared" si="6"/>
        <v>R8</v>
      </c>
    </row>
    <row r="219" spans="8:12" x14ac:dyDescent="0.25">
      <c r="H219" s="119" t="s">
        <v>418</v>
      </c>
      <c r="I219">
        <v>173</v>
      </c>
      <c r="J219">
        <v>0.41499999999999998</v>
      </c>
      <c r="K219">
        <f t="shared" si="7"/>
        <v>35981</v>
      </c>
      <c r="L219" t="str">
        <f t="shared" si="6"/>
        <v>R8</v>
      </c>
    </row>
    <row r="220" spans="8:12" x14ac:dyDescent="0.25">
      <c r="H220" s="119" t="s">
        <v>634</v>
      </c>
      <c r="I220">
        <v>108</v>
      </c>
      <c r="J220">
        <v>0.41499999999999998</v>
      </c>
      <c r="K220">
        <f t="shared" si="7"/>
        <v>36151</v>
      </c>
      <c r="L220" t="str">
        <f t="shared" si="6"/>
        <v>R8</v>
      </c>
    </row>
    <row r="221" spans="8:12" x14ac:dyDescent="0.25">
      <c r="H221" s="119" t="s">
        <v>436</v>
      </c>
      <c r="I221">
        <v>108</v>
      </c>
      <c r="J221">
        <v>0.41499999999999998</v>
      </c>
      <c r="K221">
        <f t="shared" si="7"/>
        <v>36321</v>
      </c>
      <c r="L221" t="str">
        <f t="shared" si="6"/>
        <v>R8</v>
      </c>
    </row>
    <row r="222" spans="8:12" x14ac:dyDescent="0.25">
      <c r="H222" s="119" t="s">
        <v>455</v>
      </c>
      <c r="I222">
        <v>117</v>
      </c>
      <c r="J222">
        <v>0.41499999999999998</v>
      </c>
      <c r="K222">
        <f t="shared" si="7"/>
        <v>36491</v>
      </c>
      <c r="L222" t="str">
        <f t="shared" si="6"/>
        <v>R8</v>
      </c>
    </row>
    <row r="223" spans="8:12" x14ac:dyDescent="0.25">
      <c r="H223" s="119" t="s">
        <v>645</v>
      </c>
      <c r="I223">
        <v>157</v>
      </c>
      <c r="J223">
        <v>0.41500000000000004</v>
      </c>
      <c r="K223">
        <f t="shared" si="7"/>
        <v>36661</v>
      </c>
      <c r="L223" t="str">
        <f t="shared" si="6"/>
        <v>R8</v>
      </c>
    </row>
    <row r="224" spans="8:12" x14ac:dyDescent="0.25">
      <c r="H224" s="119" t="s">
        <v>596</v>
      </c>
      <c r="I224">
        <v>172</v>
      </c>
      <c r="J224">
        <v>0.42000000000000004</v>
      </c>
      <c r="K224">
        <f t="shared" si="7"/>
        <v>36831</v>
      </c>
      <c r="L224" t="str">
        <f t="shared" si="6"/>
        <v>R8</v>
      </c>
    </row>
    <row r="225" spans="8:12" x14ac:dyDescent="0.25">
      <c r="H225" s="119" t="s">
        <v>1118</v>
      </c>
      <c r="I225">
        <v>155</v>
      </c>
      <c r="J225">
        <v>0.42000000000000004</v>
      </c>
      <c r="K225">
        <f t="shared" si="7"/>
        <v>37001</v>
      </c>
      <c r="L225" t="str">
        <f t="shared" si="6"/>
        <v>R8</v>
      </c>
    </row>
    <row r="226" spans="8:12" x14ac:dyDescent="0.25">
      <c r="H226" s="119" t="s">
        <v>660</v>
      </c>
      <c r="I226">
        <v>155</v>
      </c>
      <c r="J226">
        <v>0.42000000000000004</v>
      </c>
      <c r="K226">
        <f t="shared" si="7"/>
        <v>37171</v>
      </c>
      <c r="L226" t="str">
        <f t="shared" si="6"/>
        <v>R8</v>
      </c>
    </row>
    <row r="227" spans="8:12" x14ac:dyDescent="0.25">
      <c r="H227" s="119" t="s">
        <v>576</v>
      </c>
      <c r="I227">
        <v>172</v>
      </c>
      <c r="J227">
        <v>0.42000000000000004</v>
      </c>
      <c r="K227">
        <f t="shared" si="7"/>
        <v>37341</v>
      </c>
      <c r="L227" t="str">
        <f t="shared" si="6"/>
        <v>R8</v>
      </c>
    </row>
    <row r="228" spans="8:12" x14ac:dyDescent="0.25">
      <c r="H228" s="119" t="s">
        <v>321</v>
      </c>
      <c r="I228">
        <v>121</v>
      </c>
      <c r="J228">
        <v>0.42499999999999993</v>
      </c>
      <c r="K228">
        <f t="shared" si="7"/>
        <v>37511</v>
      </c>
      <c r="L228" t="str">
        <f t="shared" si="6"/>
        <v>R8</v>
      </c>
    </row>
    <row r="229" spans="8:12" x14ac:dyDescent="0.25">
      <c r="H229" s="119" t="s">
        <v>332</v>
      </c>
      <c r="I229">
        <v>110</v>
      </c>
      <c r="J229">
        <v>0.42499999999999993</v>
      </c>
      <c r="K229">
        <f t="shared" si="7"/>
        <v>37681</v>
      </c>
      <c r="L229" t="str">
        <f t="shared" si="6"/>
        <v>R8</v>
      </c>
    </row>
    <row r="230" spans="8:12" x14ac:dyDescent="0.25">
      <c r="H230" s="119" t="s">
        <v>352</v>
      </c>
      <c r="I230">
        <v>75</v>
      </c>
      <c r="J230">
        <v>0.42499999999999993</v>
      </c>
      <c r="K230">
        <f t="shared" si="7"/>
        <v>37851</v>
      </c>
      <c r="L230" t="str">
        <f t="shared" si="6"/>
        <v>R8</v>
      </c>
    </row>
    <row r="231" spans="8:12" x14ac:dyDescent="0.25">
      <c r="H231" s="119" t="s">
        <v>431</v>
      </c>
      <c r="I231">
        <v>158</v>
      </c>
      <c r="J231">
        <v>0.42499999999999993</v>
      </c>
      <c r="K231">
        <f t="shared" si="7"/>
        <v>38021</v>
      </c>
      <c r="L231" t="str">
        <f t="shared" si="6"/>
        <v>R8</v>
      </c>
    </row>
    <row r="232" spans="8:12" x14ac:dyDescent="0.25">
      <c r="H232" s="119" t="s">
        <v>339</v>
      </c>
      <c r="I232">
        <v>75</v>
      </c>
      <c r="J232">
        <v>0.42499999999999993</v>
      </c>
      <c r="K232">
        <f t="shared" si="7"/>
        <v>38191</v>
      </c>
      <c r="L232" t="str">
        <f t="shared" si="6"/>
        <v>R8</v>
      </c>
    </row>
    <row r="233" spans="8:12" x14ac:dyDescent="0.25">
      <c r="H233" s="119" t="s">
        <v>319</v>
      </c>
      <c r="I233">
        <v>75</v>
      </c>
      <c r="J233">
        <v>0.42499999999999993</v>
      </c>
      <c r="K233">
        <f t="shared" si="7"/>
        <v>38361</v>
      </c>
      <c r="L233" t="str">
        <f t="shared" si="6"/>
        <v>R9</v>
      </c>
    </row>
    <row r="234" spans="8:12" x14ac:dyDescent="0.25">
      <c r="H234" s="119" t="s">
        <v>363</v>
      </c>
      <c r="I234">
        <v>110</v>
      </c>
      <c r="J234">
        <v>0.42499999999999993</v>
      </c>
      <c r="K234">
        <f t="shared" si="7"/>
        <v>38531</v>
      </c>
      <c r="L234" t="str">
        <f t="shared" si="6"/>
        <v>R9</v>
      </c>
    </row>
    <row r="235" spans="8:12" x14ac:dyDescent="0.25">
      <c r="H235" s="119" t="s">
        <v>451</v>
      </c>
      <c r="I235">
        <v>158</v>
      </c>
      <c r="J235">
        <v>0.42499999999999993</v>
      </c>
      <c r="K235">
        <f t="shared" si="7"/>
        <v>38701</v>
      </c>
      <c r="L235" t="str">
        <f t="shared" si="6"/>
        <v>R9</v>
      </c>
    </row>
    <row r="236" spans="8:12" x14ac:dyDescent="0.25">
      <c r="H236" s="119" t="s">
        <v>335</v>
      </c>
      <c r="I236">
        <v>120</v>
      </c>
      <c r="J236">
        <v>0.42499999999999993</v>
      </c>
      <c r="K236">
        <f t="shared" si="7"/>
        <v>38871</v>
      </c>
      <c r="L236" t="str">
        <f t="shared" si="6"/>
        <v>R9</v>
      </c>
    </row>
    <row r="237" spans="8:12" x14ac:dyDescent="0.25">
      <c r="H237" s="119" t="s">
        <v>706</v>
      </c>
      <c r="I237">
        <v>158</v>
      </c>
      <c r="J237">
        <v>0.42499999999999993</v>
      </c>
      <c r="K237">
        <f t="shared" si="7"/>
        <v>39041</v>
      </c>
      <c r="L237" t="str">
        <f t="shared" si="6"/>
        <v>R9</v>
      </c>
    </row>
    <row r="238" spans="8:12" x14ac:dyDescent="0.25">
      <c r="H238" s="119" t="s">
        <v>348</v>
      </c>
      <c r="I238">
        <v>120</v>
      </c>
      <c r="J238">
        <v>0.42499999999999993</v>
      </c>
      <c r="K238">
        <f t="shared" si="7"/>
        <v>39211</v>
      </c>
      <c r="L238" t="str">
        <f t="shared" si="6"/>
        <v>R9</v>
      </c>
    </row>
    <row r="239" spans="8:12" x14ac:dyDescent="0.25">
      <c r="H239" s="119" t="s">
        <v>351</v>
      </c>
      <c r="I239">
        <v>110</v>
      </c>
      <c r="J239">
        <v>0.42499999999999993</v>
      </c>
      <c r="K239">
        <f t="shared" si="7"/>
        <v>39381</v>
      </c>
      <c r="L239" t="str">
        <f t="shared" si="6"/>
        <v>R9</v>
      </c>
    </row>
    <row r="240" spans="8:12" x14ac:dyDescent="0.25">
      <c r="H240" s="119" t="s">
        <v>683</v>
      </c>
      <c r="I240">
        <v>158</v>
      </c>
      <c r="J240">
        <v>0.42499999999999993</v>
      </c>
      <c r="K240">
        <f t="shared" si="7"/>
        <v>39551</v>
      </c>
      <c r="L240" t="str">
        <f t="shared" si="6"/>
        <v>R9</v>
      </c>
    </row>
    <row r="241" spans="8:12" x14ac:dyDescent="0.25">
      <c r="H241" s="119" t="s">
        <v>388</v>
      </c>
      <c r="I241">
        <v>173</v>
      </c>
      <c r="J241">
        <v>0.42499999999999999</v>
      </c>
      <c r="K241">
        <f t="shared" si="7"/>
        <v>39721</v>
      </c>
      <c r="L241" t="str">
        <f t="shared" si="6"/>
        <v>R9</v>
      </c>
    </row>
    <row r="242" spans="8:12" x14ac:dyDescent="0.25">
      <c r="H242" s="119" t="s">
        <v>412</v>
      </c>
      <c r="I242">
        <v>173</v>
      </c>
      <c r="J242">
        <v>0.42499999999999999</v>
      </c>
      <c r="K242">
        <f t="shared" si="7"/>
        <v>39891</v>
      </c>
      <c r="L242" t="str">
        <f t="shared" si="6"/>
        <v>R9</v>
      </c>
    </row>
    <row r="243" spans="8:12" x14ac:dyDescent="0.25">
      <c r="H243" s="119" t="s">
        <v>457</v>
      </c>
      <c r="I243">
        <v>173</v>
      </c>
      <c r="J243">
        <v>0.42499999999999999</v>
      </c>
      <c r="K243">
        <f t="shared" si="7"/>
        <v>40061</v>
      </c>
      <c r="L243" t="str">
        <f t="shared" si="6"/>
        <v>R9</v>
      </c>
    </row>
    <row r="244" spans="8:12" x14ac:dyDescent="0.25">
      <c r="H244" s="119" t="s">
        <v>504</v>
      </c>
      <c r="I244">
        <v>160</v>
      </c>
      <c r="J244">
        <v>0.42500000000000004</v>
      </c>
      <c r="K244">
        <f t="shared" si="7"/>
        <v>40231</v>
      </c>
      <c r="L244" t="str">
        <f t="shared" si="6"/>
        <v>R9</v>
      </c>
    </row>
    <row r="245" spans="8:12" x14ac:dyDescent="0.25">
      <c r="H245" s="119" t="s">
        <v>485</v>
      </c>
      <c r="I245">
        <v>160</v>
      </c>
      <c r="J245">
        <v>0.42500000000000004</v>
      </c>
      <c r="K245">
        <f t="shared" si="7"/>
        <v>40401</v>
      </c>
      <c r="L245" t="str">
        <f t="shared" si="6"/>
        <v>R9</v>
      </c>
    </row>
    <row r="246" spans="8:12" x14ac:dyDescent="0.25">
      <c r="H246" s="119" t="s">
        <v>625</v>
      </c>
      <c r="I246">
        <v>160</v>
      </c>
      <c r="J246">
        <v>0.42500000000000004</v>
      </c>
      <c r="K246">
        <f t="shared" si="7"/>
        <v>40571</v>
      </c>
      <c r="L246" t="str">
        <f t="shared" si="6"/>
        <v>R9</v>
      </c>
    </row>
    <row r="247" spans="8:12" x14ac:dyDescent="0.25">
      <c r="H247" s="119" t="s">
        <v>515</v>
      </c>
      <c r="I247">
        <v>176</v>
      </c>
      <c r="J247">
        <v>0.42500000000000004</v>
      </c>
      <c r="K247">
        <f t="shared" si="7"/>
        <v>40741</v>
      </c>
      <c r="L247" t="str">
        <f t="shared" si="6"/>
        <v>R9</v>
      </c>
    </row>
    <row r="248" spans="8:12" x14ac:dyDescent="0.25">
      <c r="H248" s="119" t="s">
        <v>248</v>
      </c>
      <c r="I248">
        <v>138</v>
      </c>
      <c r="J248">
        <v>0.42500000000000004</v>
      </c>
      <c r="K248">
        <f t="shared" si="7"/>
        <v>40911</v>
      </c>
      <c r="L248" t="str">
        <f t="shared" si="6"/>
        <v>R9</v>
      </c>
    </row>
    <row r="249" spans="8:12" x14ac:dyDescent="0.25">
      <c r="H249" s="119" t="s">
        <v>605</v>
      </c>
      <c r="I249">
        <v>160</v>
      </c>
      <c r="J249">
        <v>0.42500000000000004</v>
      </c>
      <c r="K249">
        <f t="shared" si="7"/>
        <v>41081</v>
      </c>
      <c r="L249" t="str">
        <f t="shared" si="6"/>
        <v>R9</v>
      </c>
    </row>
    <row r="250" spans="8:12" x14ac:dyDescent="0.25">
      <c r="H250" s="119" t="s">
        <v>536</v>
      </c>
      <c r="I250">
        <v>176</v>
      </c>
      <c r="J250">
        <v>0.42500000000000004</v>
      </c>
      <c r="K250">
        <f t="shared" si="7"/>
        <v>41251</v>
      </c>
      <c r="L250" t="str">
        <f t="shared" si="6"/>
        <v>R9</v>
      </c>
    </row>
    <row r="251" spans="8:12" x14ac:dyDescent="0.25">
      <c r="H251" s="119" t="s">
        <v>562</v>
      </c>
      <c r="I251">
        <v>173</v>
      </c>
      <c r="J251">
        <v>0.43000000000000005</v>
      </c>
      <c r="K251">
        <f t="shared" si="7"/>
        <v>41421</v>
      </c>
      <c r="L251" t="str">
        <f t="shared" si="6"/>
        <v>R9</v>
      </c>
    </row>
    <row r="252" spans="8:12" x14ac:dyDescent="0.25">
      <c r="H252" s="119" t="s">
        <v>561</v>
      </c>
      <c r="I252">
        <v>173</v>
      </c>
      <c r="J252">
        <v>0.43000000000000005</v>
      </c>
      <c r="K252">
        <f t="shared" si="7"/>
        <v>41591</v>
      </c>
      <c r="L252" t="str">
        <f t="shared" si="6"/>
        <v>R9</v>
      </c>
    </row>
    <row r="253" spans="8:12" x14ac:dyDescent="0.25">
      <c r="H253" s="119" t="s">
        <v>648</v>
      </c>
      <c r="I253">
        <v>155</v>
      </c>
      <c r="J253">
        <v>0.43000000000000005</v>
      </c>
      <c r="K253">
        <f t="shared" si="7"/>
        <v>41761</v>
      </c>
      <c r="L253" t="str">
        <f t="shared" si="6"/>
        <v>R9</v>
      </c>
    </row>
    <row r="254" spans="8:12" x14ac:dyDescent="0.25">
      <c r="H254" s="119" t="s">
        <v>446</v>
      </c>
      <c r="I254">
        <v>157</v>
      </c>
      <c r="J254">
        <v>0.43499999999999994</v>
      </c>
      <c r="K254">
        <f t="shared" si="7"/>
        <v>41931</v>
      </c>
      <c r="L254" t="str">
        <f t="shared" si="6"/>
        <v>R9</v>
      </c>
    </row>
    <row r="255" spans="8:12" x14ac:dyDescent="0.25">
      <c r="H255" s="119" t="s">
        <v>677</v>
      </c>
      <c r="I255">
        <v>157</v>
      </c>
      <c r="J255">
        <v>0.43499999999999994</v>
      </c>
      <c r="K255">
        <f t="shared" si="7"/>
        <v>42101</v>
      </c>
      <c r="L255" t="str">
        <f t="shared" si="6"/>
        <v>R9</v>
      </c>
    </row>
    <row r="256" spans="8:12" x14ac:dyDescent="0.25">
      <c r="H256" s="119" t="s">
        <v>701</v>
      </c>
      <c r="I256">
        <v>157</v>
      </c>
      <c r="J256">
        <v>0.43499999999999994</v>
      </c>
      <c r="K256">
        <f t="shared" si="7"/>
        <v>42271</v>
      </c>
      <c r="L256" t="str">
        <f t="shared" si="6"/>
        <v>R10</v>
      </c>
    </row>
    <row r="257" spans="8:12" x14ac:dyDescent="0.25">
      <c r="H257" s="119" t="s">
        <v>425</v>
      </c>
      <c r="I257">
        <v>157</v>
      </c>
      <c r="J257">
        <v>0.43499999999999994</v>
      </c>
      <c r="K257">
        <f t="shared" si="7"/>
        <v>42441</v>
      </c>
      <c r="L257" t="str">
        <f t="shared" si="6"/>
        <v>R10</v>
      </c>
    </row>
    <row r="258" spans="8:12" x14ac:dyDescent="0.25">
      <c r="H258" s="119" t="s">
        <v>326</v>
      </c>
      <c r="I258">
        <v>119</v>
      </c>
      <c r="J258">
        <v>0.43499999999999994</v>
      </c>
      <c r="K258">
        <f t="shared" si="7"/>
        <v>42611</v>
      </c>
      <c r="L258" t="str">
        <f t="shared" si="6"/>
        <v>R10</v>
      </c>
    </row>
    <row r="259" spans="8:12" x14ac:dyDescent="0.25">
      <c r="H259" s="119" t="s">
        <v>340</v>
      </c>
      <c r="I259">
        <v>119</v>
      </c>
      <c r="J259">
        <v>0.43499999999999994</v>
      </c>
      <c r="K259">
        <f t="shared" si="7"/>
        <v>42781</v>
      </c>
      <c r="L259" t="str">
        <f t="shared" si="6"/>
        <v>R10</v>
      </c>
    </row>
    <row r="260" spans="8:12" x14ac:dyDescent="0.25">
      <c r="H260" s="119" t="s">
        <v>334</v>
      </c>
      <c r="I260">
        <v>121</v>
      </c>
      <c r="J260">
        <v>0.43499999999999994</v>
      </c>
      <c r="K260">
        <f t="shared" si="7"/>
        <v>42951</v>
      </c>
      <c r="L260" t="str">
        <f t="shared" si="6"/>
        <v>R10</v>
      </c>
    </row>
    <row r="261" spans="8:12" x14ac:dyDescent="0.25">
      <c r="H261" s="119" t="s">
        <v>355</v>
      </c>
      <c r="I261">
        <v>136</v>
      </c>
      <c r="J261">
        <v>0.43499999999999994</v>
      </c>
      <c r="K261">
        <f t="shared" si="7"/>
        <v>43121</v>
      </c>
      <c r="L261" t="str">
        <f t="shared" si="6"/>
        <v>R10</v>
      </c>
    </row>
    <row r="262" spans="8:12" x14ac:dyDescent="0.25">
      <c r="H262" s="119" t="s">
        <v>328</v>
      </c>
      <c r="I262">
        <v>112</v>
      </c>
      <c r="J262">
        <v>0.435</v>
      </c>
      <c r="K262">
        <f t="shared" si="7"/>
        <v>43291</v>
      </c>
      <c r="L262" t="str">
        <f t="shared" si="6"/>
        <v>R10</v>
      </c>
    </row>
    <row r="263" spans="8:12" x14ac:dyDescent="0.25">
      <c r="H263" s="119" t="s">
        <v>476</v>
      </c>
      <c r="I263">
        <v>176</v>
      </c>
      <c r="J263">
        <v>0.43500000000000005</v>
      </c>
      <c r="K263">
        <f t="shared" si="7"/>
        <v>43461</v>
      </c>
      <c r="L263" t="str">
        <f t="shared" si="6"/>
        <v>R10</v>
      </c>
    </row>
    <row r="264" spans="8:12" x14ac:dyDescent="0.25">
      <c r="H264" s="119" t="s">
        <v>405</v>
      </c>
      <c r="I264">
        <v>176</v>
      </c>
      <c r="J264">
        <v>0.43500000000000005</v>
      </c>
      <c r="K264">
        <f t="shared" si="7"/>
        <v>43631</v>
      </c>
      <c r="L264" t="str">
        <f t="shared" si="6"/>
        <v>R10</v>
      </c>
    </row>
    <row r="265" spans="8:12" x14ac:dyDescent="0.25">
      <c r="H265" s="119" t="s">
        <v>662</v>
      </c>
      <c r="I265">
        <v>161</v>
      </c>
      <c r="J265">
        <v>0.43500000000000005</v>
      </c>
      <c r="K265">
        <f t="shared" si="7"/>
        <v>43801</v>
      </c>
      <c r="L265" t="str">
        <f t="shared" ref="L265:L328" si="8">IF(AND(K265&gt;=0,K265&lt;=8453),"R1",IF(AND(K265&gt;=8453,K265&lt;=11934),"R2",IF(AND(K265&gt;=11934,K265&lt;=15415),"R3",IF(AND(K265&gt;=15415,K265&lt;=20885),"R4",IF(AND(K265&gt;=20885,K265&lt;=24863),"R5",IF(AND(K265&gt;=24863,K265&lt;=28334),"R6",IF(AND(K265&gt;=28334,K265&lt;=32322),"R7",IF(AND(K265&gt;=32322,K265&lt;=38289),"R8",IF(AND(K265&gt;=38289,K265&lt;=42267),"R9",IF(AND(K265&gt;=42267,K265&lt;=43759),"R10",IF(AND(K265&gt;=43759,K265&lt;=45251),"R11",IF(AND(K265&gt;=45251,K265&lt;=49726),"R12"))))))))))))</f>
        <v>R11</v>
      </c>
    </row>
    <row r="266" spans="8:12" x14ac:dyDescent="0.25">
      <c r="H266" s="119" t="s">
        <v>584</v>
      </c>
      <c r="I266">
        <v>172</v>
      </c>
      <c r="J266">
        <v>0.44</v>
      </c>
      <c r="K266">
        <f t="shared" ref="K266:K329" si="9">K265+GETPIVOTDATA("Sum of Unit Selling Area",$H$7,"Unit Number","B244")</f>
        <v>43971</v>
      </c>
      <c r="L266" t="str">
        <f t="shared" si="8"/>
        <v>R11</v>
      </c>
    </row>
    <row r="267" spans="8:12" x14ac:dyDescent="0.25">
      <c r="H267" s="119" t="s">
        <v>458</v>
      </c>
      <c r="I267">
        <v>172</v>
      </c>
      <c r="J267">
        <v>0.44</v>
      </c>
      <c r="K267">
        <f t="shared" si="9"/>
        <v>44141</v>
      </c>
      <c r="L267" t="str">
        <f t="shared" si="8"/>
        <v>R11</v>
      </c>
    </row>
    <row r="268" spans="8:12" x14ac:dyDescent="0.25">
      <c r="H268" s="119" t="s">
        <v>437</v>
      </c>
      <c r="I268">
        <v>160</v>
      </c>
      <c r="J268">
        <v>0.44</v>
      </c>
      <c r="K268">
        <f t="shared" si="9"/>
        <v>44311</v>
      </c>
      <c r="L268" t="str">
        <f t="shared" si="8"/>
        <v>R11</v>
      </c>
    </row>
    <row r="269" spans="8:12" x14ac:dyDescent="0.25">
      <c r="H269" s="119" t="s">
        <v>585</v>
      </c>
      <c r="I269">
        <v>172</v>
      </c>
      <c r="J269">
        <v>0.44</v>
      </c>
      <c r="K269">
        <f t="shared" si="9"/>
        <v>44481</v>
      </c>
      <c r="L269" t="str">
        <f t="shared" si="8"/>
        <v>R11</v>
      </c>
    </row>
    <row r="270" spans="8:12" x14ac:dyDescent="0.25">
      <c r="H270" s="119" t="s">
        <v>415</v>
      </c>
      <c r="I270">
        <v>172</v>
      </c>
      <c r="J270">
        <v>0.44</v>
      </c>
      <c r="K270">
        <f t="shared" si="9"/>
        <v>44651</v>
      </c>
      <c r="L270" t="str">
        <f t="shared" si="8"/>
        <v>R11</v>
      </c>
    </row>
    <row r="271" spans="8:12" x14ac:dyDescent="0.25">
      <c r="H271" s="119" t="s">
        <v>690</v>
      </c>
      <c r="I271">
        <v>160</v>
      </c>
      <c r="J271">
        <v>0.44</v>
      </c>
      <c r="K271">
        <f t="shared" si="9"/>
        <v>44821</v>
      </c>
      <c r="L271" t="str">
        <f t="shared" si="8"/>
        <v>R11</v>
      </c>
    </row>
    <row r="272" spans="8:12" x14ac:dyDescent="0.25">
      <c r="H272" s="119" t="s">
        <v>401</v>
      </c>
      <c r="I272">
        <v>172</v>
      </c>
      <c r="J272">
        <v>0.44</v>
      </c>
      <c r="K272">
        <f t="shared" si="9"/>
        <v>44991</v>
      </c>
      <c r="L272" t="str">
        <f t="shared" si="8"/>
        <v>R11</v>
      </c>
    </row>
    <row r="273" spans="8:12" x14ac:dyDescent="0.25">
      <c r="H273" s="119" t="s">
        <v>389</v>
      </c>
      <c r="I273">
        <v>172</v>
      </c>
      <c r="J273">
        <v>0.44</v>
      </c>
      <c r="K273">
        <f t="shared" si="9"/>
        <v>45161</v>
      </c>
      <c r="L273" t="str">
        <f t="shared" si="8"/>
        <v>R11</v>
      </c>
    </row>
    <row r="274" spans="8:12" x14ac:dyDescent="0.25">
      <c r="H274" s="119" t="s">
        <v>402</v>
      </c>
      <c r="I274">
        <v>172</v>
      </c>
      <c r="J274">
        <v>0.44</v>
      </c>
      <c r="K274">
        <f t="shared" si="9"/>
        <v>45331</v>
      </c>
      <c r="L274" t="str">
        <f t="shared" si="8"/>
        <v>R12</v>
      </c>
    </row>
    <row r="275" spans="8:12" x14ac:dyDescent="0.25">
      <c r="H275" s="119" t="s">
        <v>496</v>
      </c>
      <c r="I275">
        <v>161</v>
      </c>
      <c r="J275">
        <v>0.44000000000000006</v>
      </c>
      <c r="K275">
        <f t="shared" si="9"/>
        <v>45501</v>
      </c>
      <c r="L275" t="str">
        <f t="shared" si="8"/>
        <v>R12</v>
      </c>
    </row>
    <row r="276" spans="8:12" x14ac:dyDescent="0.25">
      <c r="H276" s="119" t="s">
        <v>539</v>
      </c>
      <c r="I276">
        <v>172</v>
      </c>
      <c r="J276">
        <v>0.44000000000000006</v>
      </c>
      <c r="K276">
        <f t="shared" si="9"/>
        <v>45671</v>
      </c>
      <c r="L276" t="str">
        <f t="shared" si="8"/>
        <v>R12</v>
      </c>
    </row>
    <row r="277" spans="8:12" x14ac:dyDescent="0.25">
      <c r="H277" s="119" t="s">
        <v>529</v>
      </c>
      <c r="I277">
        <v>173</v>
      </c>
      <c r="J277">
        <v>0.44000000000000006</v>
      </c>
      <c r="K277">
        <f t="shared" si="9"/>
        <v>45841</v>
      </c>
      <c r="L277" t="str">
        <f t="shared" si="8"/>
        <v>R12</v>
      </c>
    </row>
    <row r="278" spans="8:12" x14ac:dyDescent="0.25">
      <c r="H278" s="119" t="s">
        <v>516</v>
      </c>
      <c r="I278">
        <v>172</v>
      </c>
      <c r="J278">
        <v>0.44000000000000006</v>
      </c>
      <c r="K278">
        <f t="shared" si="9"/>
        <v>46011</v>
      </c>
      <c r="L278" t="str">
        <f t="shared" si="8"/>
        <v>R12</v>
      </c>
    </row>
    <row r="279" spans="8:12" x14ac:dyDescent="0.25">
      <c r="H279" s="119" t="s">
        <v>617</v>
      </c>
      <c r="I279">
        <v>161</v>
      </c>
      <c r="J279">
        <v>0.44000000000000006</v>
      </c>
      <c r="K279">
        <f t="shared" si="9"/>
        <v>46181</v>
      </c>
      <c r="L279" t="str">
        <f t="shared" si="8"/>
        <v>R12</v>
      </c>
    </row>
    <row r="280" spans="8:12" x14ac:dyDescent="0.25">
      <c r="H280" s="119" t="s">
        <v>528</v>
      </c>
      <c r="I280">
        <v>173</v>
      </c>
      <c r="J280">
        <v>0.44000000000000006</v>
      </c>
      <c r="K280">
        <f t="shared" si="9"/>
        <v>46351</v>
      </c>
      <c r="L280" t="str">
        <f t="shared" si="8"/>
        <v>R12</v>
      </c>
    </row>
    <row r="281" spans="8:12" x14ac:dyDescent="0.25">
      <c r="H281" s="119" t="s">
        <v>366</v>
      </c>
      <c r="I281">
        <v>136</v>
      </c>
      <c r="J281">
        <v>0.44499999999999995</v>
      </c>
      <c r="K281">
        <f t="shared" si="9"/>
        <v>46521</v>
      </c>
      <c r="L281" t="str">
        <f t="shared" si="8"/>
        <v>R12</v>
      </c>
    </row>
    <row r="282" spans="8:12" x14ac:dyDescent="0.25">
      <c r="H282" s="119" t="s">
        <v>343</v>
      </c>
      <c r="I282">
        <v>76</v>
      </c>
      <c r="J282">
        <v>0.44499999999999995</v>
      </c>
      <c r="K282">
        <f t="shared" si="9"/>
        <v>46691</v>
      </c>
      <c r="L282" t="str">
        <f t="shared" si="8"/>
        <v>R12</v>
      </c>
    </row>
    <row r="283" spans="8:12" x14ac:dyDescent="0.25">
      <c r="H283" s="119" t="s">
        <v>325</v>
      </c>
      <c r="I283">
        <v>119</v>
      </c>
      <c r="J283">
        <v>0.44499999999999995</v>
      </c>
      <c r="K283">
        <f t="shared" si="9"/>
        <v>46861</v>
      </c>
      <c r="L283" t="str">
        <f t="shared" si="8"/>
        <v>R12</v>
      </c>
    </row>
    <row r="284" spans="8:12" x14ac:dyDescent="0.25">
      <c r="H284" s="119" t="s">
        <v>323</v>
      </c>
      <c r="I284">
        <v>76</v>
      </c>
      <c r="J284">
        <v>0.44499999999999995</v>
      </c>
      <c r="K284">
        <f t="shared" si="9"/>
        <v>47031</v>
      </c>
      <c r="L284" t="str">
        <f t="shared" si="8"/>
        <v>R12</v>
      </c>
    </row>
    <row r="285" spans="8:12" x14ac:dyDescent="0.25">
      <c r="H285" s="119" t="s">
        <v>356</v>
      </c>
      <c r="I285">
        <v>76</v>
      </c>
      <c r="J285">
        <v>0.44499999999999995</v>
      </c>
      <c r="K285">
        <f t="shared" si="9"/>
        <v>47201</v>
      </c>
      <c r="L285" t="str">
        <f t="shared" si="8"/>
        <v>R12</v>
      </c>
    </row>
    <row r="286" spans="8:12" x14ac:dyDescent="0.25">
      <c r="H286" s="119" t="s">
        <v>260</v>
      </c>
      <c r="I286">
        <v>110</v>
      </c>
      <c r="J286">
        <v>0.44500000000000001</v>
      </c>
      <c r="K286">
        <f t="shared" si="9"/>
        <v>47371</v>
      </c>
      <c r="L286" t="str">
        <f t="shared" si="8"/>
        <v>R12</v>
      </c>
    </row>
    <row r="287" spans="8:12" x14ac:dyDescent="0.25">
      <c r="H287" s="119" t="s">
        <v>251</v>
      </c>
      <c r="I287">
        <v>110</v>
      </c>
      <c r="J287">
        <v>0.44500000000000001</v>
      </c>
      <c r="K287">
        <f t="shared" si="9"/>
        <v>47541</v>
      </c>
      <c r="L287" t="str">
        <f t="shared" si="8"/>
        <v>R12</v>
      </c>
    </row>
    <row r="288" spans="8:12" x14ac:dyDescent="0.25">
      <c r="H288" s="119" t="s">
        <v>273</v>
      </c>
      <c r="I288">
        <v>119</v>
      </c>
      <c r="J288">
        <v>0.44500000000000001</v>
      </c>
      <c r="K288">
        <f t="shared" si="9"/>
        <v>47711</v>
      </c>
      <c r="L288" t="str">
        <f t="shared" si="8"/>
        <v>R12</v>
      </c>
    </row>
    <row r="289" spans="8:12" x14ac:dyDescent="0.25">
      <c r="H289" s="119" t="s">
        <v>275</v>
      </c>
      <c r="I289">
        <v>110</v>
      </c>
      <c r="J289">
        <v>0.44500000000000001</v>
      </c>
      <c r="K289">
        <f t="shared" si="9"/>
        <v>47881</v>
      </c>
      <c r="L289" t="str">
        <f t="shared" si="8"/>
        <v>R12</v>
      </c>
    </row>
    <row r="290" spans="8:12" x14ac:dyDescent="0.25">
      <c r="H290" s="119" t="s">
        <v>647</v>
      </c>
      <c r="I290">
        <v>161</v>
      </c>
      <c r="J290">
        <v>0.44500000000000001</v>
      </c>
      <c r="K290">
        <f t="shared" si="9"/>
        <v>48051</v>
      </c>
      <c r="L290" t="str">
        <f t="shared" si="8"/>
        <v>R12</v>
      </c>
    </row>
    <row r="291" spans="8:12" x14ac:dyDescent="0.25">
      <c r="H291" s="119" t="s">
        <v>261</v>
      </c>
      <c r="I291">
        <v>119</v>
      </c>
      <c r="J291">
        <v>0.44500000000000001</v>
      </c>
      <c r="K291">
        <f t="shared" si="9"/>
        <v>48221</v>
      </c>
      <c r="L291" t="str">
        <f t="shared" si="8"/>
        <v>R12</v>
      </c>
    </row>
    <row r="292" spans="8:12" x14ac:dyDescent="0.25">
      <c r="H292" s="119" t="s">
        <v>438</v>
      </c>
      <c r="I292">
        <v>155</v>
      </c>
      <c r="J292">
        <v>0.44999999999999996</v>
      </c>
      <c r="K292">
        <f t="shared" si="9"/>
        <v>48391</v>
      </c>
      <c r="L292" t="str">
        <f t="shared" si="8"/>
        <v>R12</v>
      </c>
    </row>
    <row r="293" spans="8:12" x14ac:dyDescent="0.25">
      <c r="H293" s="119" t="s">
        <v>449</v>
      </c>
      <c r="I293">
        <v>155</v>
      </c>
      <c r="J293">
        <v>0.44999999999999996</v>
      </c>
      <c r="K293">
        <f t="shared" si="9"/>
        <v>48561</v>
      </c>
      <c r="L293" t="str">
        <f t="shared" si="8"/>
        <v>R12</v>
      </c>
    </row>
    <row r="294" spans="8:12" x14ac:dyDescent="0.25">
      <c r="H294" s="119" t="s">
        <v>678</v>
      </c>
      <c r="I294">
        <v>155</v>
      </c>
      <c r="J294">
        <v>0.44999999999999996</v>
      </c>
      <c r="K294">
        <f t="shared" si="9"/>
        <v>48731</v>
      </c>
      <c r="L294" t="str">
        <f t="shared" si="8"/>
        <v>R12</v>
      </c>
    </row>
    <row r="295" spans="8:12" x14ac:dyDescent="0.25">
      <c r="H295" s="119" t="s">
        <v>636</v>
      </c>
      <c r="I295">
        <v>155</v>
      </c>
      <c r="J295">
        <v>0.44999999999999996</v>
      </c>
      <c r="K295">
        <f t="shared" si="9"/>
        <v>48901</v>
      </c>
      <c r="L295" t="str">
        <f t="shared" si="8"/>
        <v>R12</v>
      </c>
    </row>
    <row r="296" spans="8:12" x14ac:dyDescent="0.25">
      <c r="H296" s="119" t="s">
        <v>691</v>
      </c>
      <c r="I296">
        <v>155</v>
      </c>
      <c r="J296">
        <v>0.44999999999999996</v>
      </c>
      <c r="K296">
        <f t="shared" si="9"/>
        <v>49071</v>
      </c>
      <c r="L296" t="str">
        <f t="shared" si="8"/>
        <v>R12</v>
      </c>
    </row>
    <row r="297" spans="8:12" x14ac:dyDescent="0.25">
      <c r="H297" s="119" t="s">
        <v>704</v>
      </c>
      <c r="I297">
        <v>155</v>
      </c>
      <c r="J297">
        <v>0.44999999999999996</v>
      </c>
      <c r="K297">
        <f t="shared" si="9"/>
        <v>49241</v>
      </c>
      <c r="L297" t="str">
        <f t="shared" si="8"/>
        <v>R12</v>
      </c>
    </row>
    <row r="298" spans="8:12" x14ac:dyDescent="0.25">
      <c r="H298" s="119" t="s">
        <v>426</v>
      </c>
      <c r="I298">
        <v>155</v>
      </c>
      <c r="J298">
        <v>0.44999999999999996</v>
      </c>
      <c r="K298">
        <f t="shared" si="9"/>
        <v>49411</v>
      </c>
      <c r="L298" t="str">
        <f t="shared" si="8"/>
        <v>R12</v>
      </c>
    </row>
    <row r="299" spans="8:12" x14ac:dyDescent="0.25">
      <c r="H299" s="119" t="s">
        <v>618</v>
      </c>
      <c r="I299">
        <v>155</v>
      </c>
      <c r="J299">
        <v>0.45000000000000007</v>
      </c>
      <c r="K299">
        <f t="shared" si="9"/>
        <v>49581</v>
      </c>
      <c r="L299" t="str">
        <f t="shared" si="8"/>
        <v>R12</v>
      </c>
    </row>
    <row r="300" spans="8:12" x14ac:dyDescent="0.25">
      <c r="H300" s="119" t="s">
        <v>497</v>
      </c>
      <c r="I300">
        <v>155</v>
      </c>
      <c r="J300">
        <v>0.45000000000000007</v>
      </c>
      <c r="K300">
        <f t="shared" si="9"/>
        <v>49751</v>
      </c>
      <c r="L300" t="b">
        <f t="shared" si="8"/>
        <v>0</v>
      </c>
    </row>
    <row r="301" spans="8:12" x14ac:dyDescent="0.25">
      <c r="H301" s="119" t="s">
        <v>629</v>
      </c>
      <c r="I301">
        <v>155</v>
      </c>
      <c r="J301">
        <v>0.45000000000000007</v>
      </c>
      <c r="K301">
        <f t="shared" si="9"/>
        <v>49921</v>
      </c>
      <c r="L301" t="b">
        <f t="shared" si="8"/>
        <v>0</v>
      </c>
    </row>
    <row r="302" spans="8:12" x14ac:dyDescent="0.25">
      <c r="H302" s="119" t="s">
        <v>507</v>
      </c>
      <c r="I302">
        <v>155</v>
      </c>
      <c r="J302">
        <v>0.45000000000000007</v>
      </c>
      <c r="K302">
        <f t="shared" si="9"/>
        <v>50091</v>
      </c>
      <c r="L302" t="b">
        <f t="shared" si="8"/>
        <v>0</v>
      </c>
    </row>
    <row r="303" spans="8:12" x14ac:dyDescent="0.25">
      <c r="H303" s="119" t="s">
        <v>486</v>
      </c>
      <c r="I303">
        <v>155</v>
      </c>
      <c r="J303">
        <v>0.45000000000000007</v>
      </c>
      <c r="K303">
        <f t="shared" si="9"/>
        <v>50261</v>
      </c>
      <c r="L303" t="b">
        <f t="shared" si="8"/>
        <v>0</v>
      </c>
    </row>
    <row r="304" spans="8:12" x14ac:dyDescent="0.25">
      <c r="H304" s="119" t="s">
        <v>606</v>
      </c>
      <c r="I304">
        <v>155</v>
      </c>
      <c r="J304">
        <v>0.45000000000000007</v>
      </c>
      <c r="K304">
        <f t="shared" si="9"/>
        <v>50431</v>
      </c>
      <c r="L304" t="b">
        <f t="shared" si="8"/>
        <v>0</v>
      </c>
    </row>
    <row r="305" spans="8:12" x14ac:dyDescent="0.25">
      <c r="H305" s="119" t="s">
        <v>277</v>
      </c>
      <c r="I305">
        <v>111</v>
      </c>
      <c r="J305">
        <v>0.45499999999999996</v>
      </c>
      <c r="K305">
        <f t="shared" si="9"/>
        <v>50601</v>
      </c>
      <c r="L305" t="b">
        <f t="shared" si="8"/>
        <v>0</v>
      </c>
    </row>
    <row r="306" spans="8:12" x14ac:dyDescent="0.25">
      <c r="H306" s="119" t="s">
        <v>359</v>
      </c>
      <c r="I306">
        <v>136</v>
      </c>
      <c r="J306">
        <v>0.45499999999999996</v>
      </c>
      <c r="K306">
        <f t="shared" si="9"/>
        <v>50771</v>
      </c>
      <c r="L306" t="b">
        <f t="shared" si="8"/>
        <v>0</v>
      </c>
    </row>
    <row r="307" spans="8:12" x14ac:dyDescent="0.25">
      <c r="H307" s="119" t="s">
        <v>597</v>
      </c>
      <c r="I307">
        <v>172</v>
      </c>
      <c r="J307">
        <v>0.46000000000000008</v>
      </c>
      <c r="K307">
        <f t="shared" si="9"/>
        <v>50941</v>
      </c>
      <c r="L307" t="b">
        <f t="shared" si="8"/>
        <v>0</v>
      </c>
    </row>
    <row r="308" spans="8:12" x14ac:dyDescent="0.25">
      <c r="H308" s="119" t="s">
        <v>578</v>
      </c>
      <c r="I308">
        <v>172</v>
      </c>
      <c r="J308">
        <v>0.46000000000000008</v>
      </c>
      <c r="K308">
        <f t="shared" si="9"/>
        <v>51111</v>
      </c>
      <c r="L308" t="b">
        <f t="shared" si="8"/>
        <v>0</v>
      </c>
    </row>
    <row r="309" spans="8:12" x14ac:dyDescent="0.25">
      <c r="H309" s="119" t="s">
        <v>679</v>
      </c>
      <c r="I309">
        <v>160</v>
      </c>
      <c r="J309">
        <v>0.46499999999999997</v>
      </c>
      <c r="K309">
        <f t="shared" si="9"/>
        <v>51281</v>
      </c>
      <c r="L309" t="b">
        <f t="shared" si="8"/>
        <v>0</v>
      </c>
    </row>
    <row r="310" spans="8:12" x14ac:dyDescent="0.25">
      <c r="H310" s="119" t="s">
        <v>269</v>
      </c>
      <c r="I310">
        <v>110</v>
      </c>
      <c r="J310">
        <v>0.46499999999999997</v>
      </c>
      <c r="K310">
        <f t="shared" si="9"/>
        <v>51451</v>
      </c>
      <c r="L310" t="b">
        <f t="shared" si="8"/>
        <v>0</v>
      </c>
    </row>
    <row r="311" spans="8:12" x14ac:dyDescent="0.25">
      <c r="H311" s="119" t="s">
        <v>414</v>
      </c>
      <c r="I311">
        <v>176</v>
      </c>
      <c r="J311">
        <v>0.46499999999999997</v>
      </c>
      <c r="K311">
        <f t="shared" si="9"/>
        <v>51621</v>
      </c>
      <c r="L311" t="b">
        <f t="shared" si="8"/>
        <v>0</v>
      </c>
    </row>
    <row r="312" spans="8:12" x14ac:dyDescent="0.25">
      <c r="H312" s="119" t="s">
        <v>448</v>
      </c>
      <c r="I312">
        <v>160</v>
      </c>
      <c r="J312">
        <v>0.46499999999999997</v>
      </c>
      <c r="K312">
        <f t="shared" si="9"/>
        <v>51791</v>
      </c>
      <c r="L312" t="b">
        <f t="shared" si="8"/>
        <v>0</v>
      </c>
    </row>
    <row r="313" spans="8:12" x14ac:dyDescent="0.25">
      <c r="H313" s="119" t="s">
        <v>391</v>
      </c>
      <c r="I313">
        <v>176</v>
      </c>
      <c r="J313">
        <v>0.46499999999999997</v>
      </c>
      <c r="K313">
        <f t="shared" si="9"/>
        <v>51961</v>
      </c>
      <c r="L313" t="b">
        <f t="shared" si="8"/>
        <v>0</v>
      </c>
    </row>
    <row r="314" spans="8:12" x14ac:dyDescent="0.25">
      <c r="H314" s="119" t="s">
        <v>703</v>
      </c>
      <c r="I314">
        <v>160</v>
      </c>
      <c r="J314">
        <v>0.46499999999999997</v>
      </c>
      <c r="K314">
        <f t="shared" si="9"/>
        <v>52131</v>
      </c>
      <c r="L314" t="b">
        <f t="shared" si="8"/>
        <v>0</v>
      </c>
    </row>
    <row r="315" spans="8:12" x14ac:dyDescent="0.25">
      <c r="H315" s="119" t="s">
        <v>459</v>
      </c>
      <c r="I315">
        <v>176</v>
      </c>
      <c r="J315">
        <v>0.46499999999999997</v>
      </c>
      <c r="K315">
        <f t="shared" si="9"/>
        <v>52301</v>
      </c>
      <c r="L315" t="b">
        <f t="shared" si="8"/>
        <v>0</v>
      </c>
    </row>
    <row r="316" spans="8:12" x14ac:dyDescent="0.25">
      <c r="H316" s="119" t="s">
        <v>427</v>
      </c>
      <c r="I316">
        <v>160</v>
      </c>
      <c r="J316">
        <v>0.46499999999999997</v>
      </c>
      <c r="K316">
        <f t="shared" si="9"/>
        <v>52471</v>
      </c>
      <c r="L316" t="b">
        <f t="shared" si="8"/>
        <v>0</v>
      </c>
    </row>
    <row r="317" spans="8:12" x14ac:dyDescent="0.25">
      <c r="H317" s="119" t="s">
        <v>538</v>
      </c>
      <c r="I317">
        <v>176</v>
      </c>
      <c r="J317">
        <v>0.46500000000000008</v>
      </c>
      <c r="K317">
        <f t="shared" si="9"/>
        <v>52641</v>
      </c>
      <c r="L317" t="b">
        <f t="shared" si="8"/>
        <v>0</v>
      </c>
    </row>
    <row r="318" spans="8:12" x14ac:dyDescent="0.25">
      <c r="H318" s="119" t="s">
        <v>250</v>
      </c>
      <c r="I318">
        <v>135</v>
      </c>
      <c r="J318">
        <v>0.46500000000000008</v>
      </c>
      <c r="K318">
        <f t="shared" si="9"/>
        <v>52811</v>
      </c>
      <c r="L318" t="b">
        <f t="shared" si="8"/>
        <v>0</v>
      </c>
    </row>
    <row r="319" spans="8:12" x14ac:dyDescent="0.25">
      <c r="H319" s="119" t="s">
        <v>627</v>
      </c>
      <c r="I319">
        <v>161</v>
      </c>
      <c r="J319">
        <v>0.46500000000000008</v>
      </c>
      <c r="K319">
        <f t="shared" si="9"/>
        <v>52981</v>
      </c>
      <c r="L319" t="b">
        <f t="shared" si="8"/>
        <v>0</v>
      </c>
    </row>
    <row r="320" spans="8:12" x14ac:dyDescent="0.25">
      <c r="H320" s="119" t="s">
        <v>608</v>
      </c>
      <c r="I320">
        <v>161</v>
      </c>
      <c r="J320">
        <v>0.46500000000000008</v>
      </c>
      <c r="K320">
        <f t="shared" si="9"/>
        <v>53151</v>
      </c>
      <c r="L320" t="b">
        <f t="shared" si="8"/>
        <v>0</v>
      </c>
    </row>
    <row r="321" spans="8:12" x14ac:dyDescent="0.25">
      <c r="H321" s="119" t="s">
        <v>487</v>
      </c>
      <c r="I321">
        <v>161</v>
      </c>
      <c r="J321">
        <v>0.46500000000000008</v>
      </c>
      <c r="K321">
        <f t="shared" si="9"/>
        <v>53321</v>
      </c>
      <c r="L321" t="b">
        <f t="shared" si="8"/>
        <v>0</v>
      </c>
    </row>
    <row r="322" spans="8:12" x14ac:dyDescent="0.25">
      <c r="H322" s="119" t="s">
        <v>517</v>
      </c>
      <c r="I322">
        <v>176</v>
      </c>
      <c r="J322">
        <v>0.46500000000000008</v>
      </c>
      <c r="K322">
        <f t="shared" si="9"/>
        <v>53491</v>
      </c>
      <c r="L322" t="b">
        <f t="shared" si="8"/>
        <v>0</v>
      </c>
    </row>
    <row r="323" spans="8:12" x14ac:dyDescent="0.25">
      <c r="H323" s="119" t="s">
        <v>506</v>
      </c>
      <c r="I323">
        <v>161</v>
      </c>
      <c r="J323">
        <v>0.46500000000000008</v>
      </c>
      <c r="K323">
        <f t="shared" si="9"/>
        <v>53661</v>
      </c>
      <c r="L323" t="b">
        <f t="shared" si="8"/>
        <v>0</v>
      </c>
    </row>
    <row r="324" spans="8:12" x14ac:dyDescent="0.25">
      <c r="H324" s="119" t="s">
        <v>650</v>
      </c>
      <c r="I324">
        <v>155</v>
      </c>
      <c r="J324">
        <v>0.47000000000000008</v>
      </c>
      <c r="K324">
        <f t="shared" si="9"/>
        <v>53831</v>
      </c>
      <c r="L324" t="b">
        <f t="shared" si="8"/>
        <v>0</v>
      </c>
    </row>
    <row r="325" spans="8:12" x14ac:dyDescent="0.25">
      <c r="H325" s="119" t="s">
        <v>330</v>
      </c>
      <c r="I325">
        <v>122</v>
      </c>
      <c r="J325">
        <v>0.47499999999999992</v>
      </c>
      <c r="K325">
        <f t="shared" si="9"/>
        <v>54001</v>
      </c>
      <c r="L325" t="b">
        <f t="shared" si="8"/>
        <v>0</v>
      </c>
    </row>
    <row r="326" spans="8:12" x14ac:dyDescent="0.25">
      <c r="H326" s="119" t="s">
        <v>344</v>
      </c>
      <c r="I326">
        <v>122</v>
      </c>
      <c r="J326">
        <v>0.47499999999999992</v>
      </c>
      <c r="K326">
        <f t="shared" si="9"/>
        <v>54171</v>
      </c>
      <c r="L326" t="b">
        <f t="shared" si="8"/>
        <v>0</v>
      </c>
    </row>
    <row r="327" spans="8:12" x14ac:dyDescent="0.25">
      <c r="H327" s="119" t="s">
        <v>347</v>
      </c>
      <c r="I327">
        <v>112</v>
      </c>
      <c r="J327">
        <v>0.47499999999999992</v>
      </c>
      <c r="K327">
        <f t="shared" si="9"/>
        <v>54341</v>
      </c>
      <c r="L327" t="b">
        <f t="shared" si="8"/>
        <v>0</v>
      </c>
    </row>
    <row r="328" spans="8:12" x14ac:dyDescent="0.25">
      <c r="H328" s="119" t="s">
        <v>327</v>
      </c>
      <c r="I328">
        <v>112</v>
      </c>
      <c r="J328">
        <v>0.47499999999999992</v>
      </c>
      <c r="K328">
        <f t="shared" si="9"/>
        <v>54511</v>
      </c>
      <c r="L328" t="b">
        <f t="shared" si="8"/>
        <v>0</v>
      </c>
    </row>
    <row r="329" spans="8:12" x14ac:dyDescent="0.25">
      <c r="H329" s="119" t="s">
        <v>360</v>
      </c>
      <c r="I329">
        <v>112</v>
      </c>
      <c r="J329">
        <v>0.47499999999999992</v>
      </c>
      <c r="K329">
        <f t="shared" si="9"/>
        <v>54681</v>
      </c>
      <c r="L329" t="b">
        <f t="shared" ref="L329:L355" si="10">IF(AND(K329&gt;=0,K329&lt;=8453),"R1",IF(AND(K329&gt;=8453,K329&lt;=11934),"R2",IF(AND(K329&gt;=11934,K329&lt;=15415),"R3",IF(AND(K329&gt;=15415,K329&lt;=20885),"R4",IF(AND(K329&gt;=20885,K329&lt;=24863),"R5",IF(AND(K329&gt;=24863,K329&lt;=28334),"R6",IF(AND(K329&gt;=28334,K329&lt;=32322),"R7",IF(AND(K329&gt;=32322,K329&lt;=38289),"R8",IF(AND(K329&gt;=38289,K329&lt;=42267),"R9",IF(AND(K329&gt;=42267,K329&lt;=43759),"R10",IF(AND(K329&gt;=43759,K329&lt;=45251),"R11",IF(AND(K329&gt;=45251,K329&lt;=49726),"R12"))))))))))))</f>
        <v>0</v>
      </c>
    </row>
    <row r="330" spans="8:12" x14ac:dyDescent="0.25">
      <c r="H330" s="119" t="s">
        <v>331</v>
      </c>
      <c r="I330">
        <v>110</v>
      </c>
      <c r="J330">
        <v>0.47500000000000003</v>
      </c>
      <c r="K330">
        <f t="shared" ref="K330:K352" si="11">K329+GETPIVOTDATA("Sum of Unit Selling Area",$H$7,"Unit Number","B244")</f>
        <v>54851</v>
      </c>
      <c r="L330" t="b">
        <f t="shared" si="10"/>
        <v>0</v>
      </c>
    </row>
    <row r="331" spans="8:12" x14ac:dyDescent="0.25">
      <c r="H331" s="119" t="s">
        <v>586</v>
      </c>
      <c r="I331">
        <v>173</v>
      </c>
      <c r="J331">
        <v>0.48</v>
      </c>
      <c r="K331">
        <f t="shared" si="11"/>
        <v>55021</v>
      </c>
      <c r="L331" t="b">
        <f t="shared" si="10"/>
        <v>0</v>
      </c>
    </row>
    <row r="332" spans="8:12" x14ac:dyDescent="0.25">
      <c r="H332" s="119" t="s">
        <v>416</v>
      </c>
      <c r="I332">
        <v>172</v>
      </c>
      <c r="J332">
        <v>0.48</v>
      </c>
      <c r="K332">
        <f t="shared" si="11"/>
        <v>55191</v>
      </c>
      <c r="L332" t="b">
        <f t="shared" si="10"/>
        <v>0</v>
      </c>
    </row>
    <row r="333" spans="8:12" x14ac:dyDescent="0.25">
      <c r="H333" s="119" t="s">
        <v>587</v>
      </c>
      <c r="I333">
        <v>173</v>
      </c>
      <c r="J333">
        <v>0.48</v>
      </c>
      <c r="K333">
        <f t="shared" si="11"/>
        <v>55361</v>
      </c>
      <c r="L333" t="b">
        <f t="shared" si="10"/>
        <v>0</v>
      </c>
    </row>
    <row r="334" spans="8:12" x14ac:dyDescent="0.25">
      <c r="H334" s="119" t="s">
        <v>439</v>
      </c>
      <c r="I334">
        <v>161</v>
      </c>
      <c r="J334">
        <v>0.48</v>
      </c>
      <c r="K334">
        <f t="shared" si="11"/>
        <v>55531</v>
      </c>
      <c r="L334" t="b">
        <f t="shared" si="10"/>
        <v>0</v>
      </c>
    </row>
    <row r="335" spans="8:12" x14ac:dyDescent="0.25">
      <c r="H335" s="119" t="s">
        <v>460</v>
      </c>
      <c r="I335">
        <v>172</v>
      </c>
      <c r="J335">
        <v>0.48</v>
      </c>
      <c r="K335">
        <f t="shared" si="11"/>
        <v>55701</v>
      </c>
      <c r="L335" t="b">
        <f t="shared" si="10"/>
        <v>0</v>
      </c>
    </row>
    <row r="336" spans="8:12" x14ac:dyDescent="0.25">
      <c r="H336" s="119" t="s">
        <v>403</v>
      </c>
      <c r="I336">
        <v>173</v>
      </c>
      <c r="J336">
        <v>0.48</v>
      </c>
      <c r="K336">
        <f t="shared" si="11"/>
        <v>55871</v>
      </c>
      <c r="L336" t="b">
        <f t="shared" si="10"/>
        <v>0</v>
      </c>
    </row>
    <row r="337" spans="8:12" x14ac:dyDescent="0.25">
      <c r="H337" s="119" t="s">
        <v>692</v>
      </c>
      <c r="I337">
        <v>161</v>
      </c>
      <c r="J337">
        <v>0.48</v>
      </c>
      <c r="K337">
        <f t="shared" si="11"/>
        <v>56041</v>
      </c>
      <c r="L337" t="b">
        <f t="shared" si="10"/>
        <v>0</v>
      </c>
    </row>
    <row r="338" spans="8:12" x14ac:dyDescent="0.25">
      <c r="H338" s="119" t="s">
        <v>392</v>
      </c>
      <c r="I338">
        <v>172</v>
      </c>
      <c r="J338">
        <v>0.48</v>
      </c>
      <c r="K338">
        <f t="shared" si="11"/>
        <v>56211</v>
      </c>
      <c r="L338" t="b">
        <f t="shared" si="10"/>
        <v>0</v>
      </c>
    </row>
    <row r="339" spans="8:12" x14ac:dyDescent="0.25">
      <c r="H339" s="119" t="s">
        <v>404</v>
      </c>
      <c r="I339">
        <v>173</v>
      </c>
      <c r="J339">
        <v>0.48</v>
      </c>
      <c r="K339">
        <f t="shared" si="11"/>
        <v>56381</v>
      </c>
      <c r="L339" t="b">
        <f t="shared" si="10"/>
        <v>0</v>
      </c>
    </row>
    <row r="340" spans="8:12" x14ac:dyDescent="0.25">
      <c r="H340" s="119" t="s">
        <v>329</v>
      </c>
      <c r="I340">
        <v>122</v>
      </c>
      <c r="J340">
        <v>0.48499999999999993</v>
      </c>
      <c r="K340">
        <f t="shared" si="11"/>
        <v>56551</v>
      </c>
      <c r="L340" t="b">
        <f t="shared" si="10"/>
        <v>0</v>
      </c>
    </row>
    <row r="341" spans="8:12" x14ac:dyDescent="0.25">
      <c r="H341" s="119" t="s">
        <v>649</v>
      </c>
      <c r="I341">
        <v>161</v>
      </c>
      <c r="J341">
        <v>0.48499999999999999</v>
      </c>
      <c r="K341">
        <f t="shared" si="11"/>
        <v>56721</v>
      </c>
      <c r="L341" t="b">
        <f t="shared" si="10"/>
        <v>0</v>
      </c>
    </row>
    <row r="342" spans="8:12" x14ac:dyDescent="0.25">
      <c r="H342" s="119" t="s">
        <v>450</v>
      </c>
      <c r="I342">
        <v>155</v>
      </c>
      <c r="J342">
        <v>0.49</v>
      </c>
      <c r="K342">
        <f t="shared" si="11"/>
        <v>56891</v>
      </c>
      <c r="L342" t="b">
        <f t="shared" si="10"/>
        <v>0</v>
      </c>
    </row>
    <row r="343" spans="8:12" x14ac:dyDescent="0.25">
      <c r="H343" s="119" t="s">
        <v>428</v>
      </c>
      <c r="I343">
        <v>155</v>
      </c>
      <c r="J343">
        <v>0.49</v>
      </c>
      <c r="K343">
        <f t="shared" si="11"/>
        <v>57061</v>
      </c>
      <c r="L343" t="b">
        <f t="shared" si="10"/>
        <v>0</v>
      </c>
    </row>
    <row r="344" spans="8:12" x14ac:dyDescent="0.25">
      <c r="H344" s="119" t="s">
        <v>680</v>
      </c>
      <c r="I344">
        <v>155</v>
      </c>
      <c r="J344">
        <v>0.49</v>
      </c>
      <c r="K344">
        <f t="shared" si="11"/>
        <v>57231</v>
      </c>
      <c r="L344" t="b">
        <f t="shared" si="10"/>
        <v>0</v>
      </c>
    </row>
    <row r="345" spans="8:12" x14ac:dyDescent="0.25">
      <c r="H345" s="119" t="s">
        <v>440</v>
      </c>
      <c r="I345">
        <v>155</v>
      </c>
      <c r="J345">
        <v>0.49</v>
      </c>
      <c r="K345">
        <f t="shared" si="11"/>
        <v>57401</v>
      </c>
      <c r="L345" t="b">
        <f t="shared" si="10"/>
        <v>0</v>
      </c>
    </row>
    <row r="346" spans="8:12" x14ac:dyDescent="0.25">
      <c r="H346" s="119" t="s">
        <v>638</v>
      </c>
      <c r="I346">
        <v>155</v>
      </c>
      <c r="J346">
        <v>0.49</v>
      </c>
      <c r="K346">
        <f t="shared" si="11"/>
        <v>57571</v>
      </c>
      <c r="L346" t="b">
        <f t="shared" si="10"/>
        <v>0</v>
      </c>
    </row>
    <row r="347" spans="8:12" x14ac:dyDescent="0.25">
      <c r="H347" s="119" t="s">
        <v>693</v>
      </c>
      <c r="I347">
        <v>155</v>
      </c>
      <c r="J347">
        <v>0.49</v>
      </c>
      <c r="K347">
        <f t="shared" si="11"/>
        <v>57741</v>
      </c>
      <c r="L347" t="b">
        <f t="shared" si="10"/>
        <v>0</v>
      </c>
    </row>
    <row r="348" spans="8:12" x14ac:dyDescent="0.25">
      <c r="H348" s="119" t="s">
        <v>705</v>
      </c>
      <c r="I348">
        <v>155</v>
      </c>
      <c r="J348">
        <v>0.49</v>
      </c>
      <c r="K348">
        <f t="shared" si="11"/>
        <v>57911</v>
      </c>
      <c r="L348" t="b">
        <f t="shared" si="10"/>
        <v>0</v>
      </c>
    </row>
    <row r="349" spans="8:12" x14ac:dyDescent="0.25">
      <c r="H349" s="119" t="s">
        <v>469</v>
      </c>
      <c r="I349">
        <v>170</v>
      </c>
      <c r="J349">
        <v>0.49000000000000005</v>
      </c>
      <c r="K349">
        <f t="shared" si="11"/>
        <v>58081</v>
      </c>
      <c r="L349" t="b">
        <f t="shared" si="10"/>
        <v>0</v>
      </c>
    </row>
    <row r="350" spans="8:12" x14ac:dyDescent="0.25">
      <c r="H350" s="119" t="s">
        <v>265</v>
      </c>
      <c r="I350">
        <v>121</v>
      </c>
      <c r="J350">
        <v>0.495</v>
      </c>
      <c r="K350">
        <f t="shared" si="11"/>
        <v>58251</v>
      </c>
      <c r="L350" t="b">
        <f t="shared" si="10"/>
        <v>0</v>
      </c>
    </row>
    <row r="351" spans="8:12" x14ac:dyDescent="0.25">
      <c r="H351" s="119" t="s">
        <v>464</v>
      </c>
      <c r="I351">
        <v>116</v>
      </c>
      <c r="J351">
        <v>0.495</v>
      </c>
      <c r="K351">
        <f t="shared" si="11"/>
        <v>58421</v>
      </c>
      <c r="L351" t="b">
        <f t="shared" si="10"/>
        <v>0</v>
      </c>
    </row>
    <row r="352" spans="8:12" x14ac:dyDescent="0.25">
      <c r="H352" s="119" t="s">
        <v>362</v>
      </c>
      <c r="I352">
        <v>138</v>
      </c>
      <c r="J352">
        <v>0.495</v>
      </c>
      <c r="K352">
        <f t="shared" si="11"/>
        <v>58591</v>
      </c>
      <c r="L352" t="b">
        <f t="shared" si="10"/>
        <v>0</v>
      </c>
    </row>
    <row r="353" spans="8:12" x14ac:dyDescent="0.25">
      <c r="H353" s="119" t="s">
        <v>709</v>
      </c>
      <c r="I353">
        <v>49806</v>
      </c>
      <c r="J353">
        <v>139.60000000000005</v>
      </c>
      <c r="L353" t="str">
        <f t="shared" si="10"/>
        <v>R1</v>
      </c>
    </row>
    <row r="354" spans="8:12" x14ac:dyDescent="0.25">
      <c r="L354" t="str">
        <f t="shared" si="10"/>
        <v>R1</v>
      </c>
    </row>
    <row r="355" spans="8:12" x14ac:dyDescent="0.25">
      <c r="L355" t="str">
        <f t="shared" si="10"/>
        <v>R1</v>
      </c>
    </row>
    <row r="356" spans="8:12" x14ac:dyDescent="0.25">
      <c r="H356" t="s">
        <v>320</v>
      </c>
      <c r="I356">
        <v>109.75119999999998</v>
      </c>
      <c r="J356">
        <v>0.27499999999999997</v>
      </c>
      <c r="K356">
        <f>I356</f>
        <v>109.75119999999998</v>
      </c>
      <c r="L356" t="str">
        <f>IF(AND(K356&gt;=0,K356&lt;=8453),"R 1",IF(AND(K356&gt;=8453,K356&lt;=11934),"R 2",IF(AND(K356&gt;=11934,K356&lt;=15415),"R 3",IF(AND(K356&gt;=15415,K356&lt;=20885),"R 4",IF(AND(K356&gt;=20885,K356&lt;=24863),"R 5",IF(AND(K356&gt;=24863,K356&lt;=28334),"R 6",IF(AND(K356&gt;=28334,K356&lt;=32322),"R 7",IF(AND(K356&gt;=32322,K356&lt;=38289),"R 8",IF(AND(K356&gt;=38289,K356&lt;=42267),"R 9",IF(AND(K356&gt;=42267,K356&lt;=43759),"R 10",IF(AND(K356&gt;=43759,K356&lt;=45251),"R 11",IF(AND(K356&gt;=45251,K356&lt;=49727),"R 12"))))))))))))</f>
        <v>R 1</v>
      </c>
    </row>
    <row r="357" spans="8:12" x14ac:dyDescent="0.25">
      <c r="H357" t="s">
        <v>479</v>
      </c>
      <c r="I357">
        <v>169.68979999999999</v>
      </c>
      <c r="J357">
        <v>0.32</v>
      </c>
      <c r="K357">
        <f>K356+I357</f>
        <v>279.44099999999997</v>
      </c>
      <c r="L357" t="str">
        <f t="shared" ref="L357:L420" si="12">IF(AND(K357&gt;=0,K357&lt;=8453),"R 1",IF(AND(K357&gt;=8453,K357&lt;=11934),"R 2",IF(AND(K357&gt;=11934,K357&lt;=15415),"R 3",IF(AND(K357&gt;=15415,K357&lt;=20885),"R 4",IF(AND(K357&gt;=20885,K357&lt;=24863),"R 5",IF(AND(K357&gt;=24863,K357&lt;=28334),"R 6",IF(AND(K357&gt;=28334,K357&lt;=32322),"R 7",IF(AND(K357&gt;=32322,K357&lt;=38289),"R 8",IF(AND(K357&gt;=38289,K357&lt;=42267),"R 9",IF(AND(K357&gt;=42267,K357&lt;=43759),"R 10",IF(AND(K357&gt;=43759,K357&lt;=45251),"R 11",IF(AND(K357&gt;=45251,K357&lt;=49727),"R 12"))))))))))))</f>
        <v>R 1</v>
      </c>
    </row>
    <row r="358" spans="8:12" x14ac:dyDescent="0.25">
      <c r="H358" t="s">
        <v>411</v>
      </c>
      <c r="I358">
        <v>169.68979999999999</v>
      </c>
      <c r="J358">
        <v>0.32</v>
      </c>
      <c r="K358">
        <f t="shared" ref="K358:K421" si="13">K357+I358</f>
        <v>449.13079999999997</v>
      </c>
      <c r="L358" t="str">
        <f t="shared" si="12"/>
        <v>R 1</v>
      </c>
    </row>
    <row r="359" spans="8:12" x14ac:dyDescent="0.25">
      <c r="H359" t="s">
        <v>554</v>
      </c>
      <c r="I359">
        <v>169.78129999999999</v>
      </c>
      <c r="J359">
        <v>0.32000000000000006</v>
      </c>
      <c r="K359">
        <f t="shared" si="13"/>
        <v>618.91210000000001</v>
      </c>
      <c r="L359" t="str">
        <f t="shared" si="12"/>
        <v>R 1</v>
      </c>
    </row>
    <row r="360" spans="8:12" x14ac:dyDescent="0.25">
      <c r="H360" t="s">
        <v>572</v>
      </c>
      <c r="I360">
        <v>169.73493999999999</v>
      </c>
      <c r="J360">
        <v>0.32000000000000006</v>
      </c>
      <c r="K360">
        <f t="shared" si="13"/>
        <v>788.64704000000006</v>
      </c>
      <c r="L360" t="str">
        <f t="shared" si="12"/>
        <v>R 1</v>
      </c>
    </row>
    <row r="361" spans="8:12" x14ac:dyDescent="0.25">
      <c r="H361" t="s">
        <v>471</v>
      </c>
      <c r="I361">
        <v>115.80240000000001</v>
      </c>
      <c r="J361">
        <v>0.32499999999999996</v>
      </c>
      <c r="K361">
        <f t="shared" si="13"/>
        <v>904.4494400000001</v>
      </c>
      <c r="L361" t="str">
        <f t="shared" si="12"/>
        <v>R 1</v>
      </c>
    </row>
    <row r="362" spans="8:12" x14ac:dyDescent="0.25">
      <c r="H362" t="s">
        <v>369</v>
      </c>
      <c r="I362">
        <v>115.80240000000001</v>
      </c>
      <c r="J362">
        <v>0.32499999999999996</v>
      </c>
      <c r="K362">
        <f t="shared" si="13"/>
        <v>1020.2518400000001</v>
      </c>
      <c r="L362" t="str">
        <f t="shared" si="12"/>
        <v>R 1</v>
      </c>
    </row>
    <row r="363" spans="8:12" x14ac:dyDescent="0.25">
      <c r="H363" t="s">
        <v>548</v>
      </c>
      <c r="I363">
        <v>116.20988</v>
      </c>
      <c r="J363">
        <v>0.32500000000000001</v>
      </c>
      <c r="K363">
        <f t="shared" si="13"/>
        <v>1136.4617200000002</v>
      </c>
      <c r="L363" t="str">
        <f t="shared" si="12"/>
        <v>R 1</v>
      </c>
    </row>
    <row r="364" spans="8:12" x14ac:dyDescent="0.25">
      <c r="H364" t="s">
        <v>566</v>
      </c>
      <c r="I364">
        <v>116.16108</v>
      </c>
      <c r="J364">
        <v>0.32500000000000001</v>
      </c>
      <c r="K364">
        <f t="shared" si="13"/>
        <v>1252.6228000000003</v>
      </c>
      <c r="L364" t="str">
        <f t="shared" si="12"/>
        <v>R 1</v>
      </c>
    </row>
    <row r="365" spans="8:12" x14ac:dyDescent="0.25">
      <c r="H365" t="s">
        <v>654</v>
      </c>
      <c r="I365">
        <v>107.95779999999999</v>
      </c>
      <c r="J365">
        <v>0.32500000000000001</v>
      </c>
      <c r="K365">
        <f t="shared" si="13"/>
        <v>1360.5806000000002</v>
      </c>
      <c r="L365" t="str">
        <f t="shared" si="12"/>
        <v>R 1</v>
      </c>
    </row>
    <row r="366" spans="8:12" x14ac:dyDescent="0.25">
      <c r="H366" t="s">
        <v>555</v>
      </c>
      <c r="I366">
        <v>173.02649999999997</v>
      </c>
      <c r="J366">
        <v>0.33</v>
      </c>
      <c r="K366">
        <f t="shared" si="13"/>
        <v>1533.6071000000002</v>
      </c>
      <c r="L366" t="str">
        <f t="shared" si="12"/>
        <v>R 1</v>
      </c>
    </row>
    <row r="367" spans="8:12" x14ac:dyDescent="0.25">
      <c r="H367" t="s">
        <v>663</v>
      </c>
      <c r="I367">
        <v>152.60980000000001</v>
      </c>
      <c r="J367">
        <v>0.33000000000000007</v>
      </c>
      <c r="K367">
        <f t="shared" si="13"/>
        <v>1686.2169000000001</v>
      </c>
      <c r="L367" t="str">
        <f t="shared" si="12"/>
        <v>R 1</v>
      </c>
    </row>
    <row r="368" spans="8:12" x14ac:dyDescent="0.25">
      <c r="H368" t="s">
        <v>655</v>
      </c>
      <c r="I368">
        <v>160.64959999999999</v>
      </c>
      <c r="J368">
        <v>0.33500000000000002</v>
      </c>
      <c r="K368">
        <f t="shared" si="13"/>
        <v>1846.8665000000001</v>
      </c>
      <c r="L368" t="str">
        <f t="shared" si="12"/>
        <v>R 1</v>
      </c>
    </row>
    <row r="369" spans="8:12" x14ac:dyDescent="0.25">
      <c r="H369" t="s">
        <v>376</v>
      </c>
      <c r="I369">
        <v>175.93620000000001</v>
      </c>
      <c r="J369">
        <v>0.33500000000000002</v>
      </c>
      <c r="K369">
        <f t="shared" si="13"/>
        <v>2022.8027000000002</v>
      </c>
      <c r="L369" t="str">
        <f t="shared" si="12"/>
        <v>R 1</v>
      </c>
    </row>
    <row r="370" spans="8:12" x14ac:dyDescent="0.25">
      <c r="H370" t="s">
        <v>470</v>
      </c>
      <c r="I370">
        <v>175.93620000000001</v>
      </c>
      <c r="J370">
        <v>0.33500000000000002</v>
      </c>
      <c r="K370">
        <f t="shared" si="13"/>
        <v>2198.7389000000003</v>
      </c>
      <c r="L370" t="str">
        <f t="shared" si="12"/>
        <v>R 1</v>
      </c>
    </row>
    <row r="371" spans="8:12" x14ac:dyDescent="0.25">
      <c r="H371" t="s">
        <v>520</v>
      </c>
      <c r="I371">
        <v>173.02649999999997</v>
      </c>
      <c r="J371">
        <v>0.34</v>
      </c>
      <c r="K371">
        <f t="shared" si="13"/>
        <v>2371.7654000000002</v>
      </c>
      <c r="L371" t="str">
        <f t="shared" si="12"/>
        <v>R 1</v>
      </c>
    </row>
    <row r="372" spans="8:12" x14ac:dyDescent="0.25">
      <c r="H372" t="s">
        <v>563</v>
      </c>
      <c r="I372">
        <v>169.72640000000001</v>
      </c>
      <c r="J372">
        <v>0.34</v>
      </c>
      <c r="K372">
        <f t="shared" si="13"/>
        <v>2541.4918000000002</v>
      </c>
      <c r="L372" t="str">
        <f t="shared" si="12"/>
        <v>R 1</v>
      </c>
    </row>
    <row r="373" spans="8:12" x14ac:dyDescent="0.25">
      <c r="H373" t="s">
        <v>564</v>
      </c>
      <c r="I373">
        <v>169.966252</v>
      </c>
      <c r="J373">
        <v>0.34</v>
      </c>
      <c r="K373">
        <f t="shared" si="13"/>
        <v>2711.4580520000004</v>
      </c>
      <c r="L373" t="str">
        <f t="shared" si="12"/>
        <v>R 1</v>
      </c>
    </row>
    <row r="374" spans="8:12" x14ac:dyDescent="0.25">
      <c r="H374" t="s">
        <v>490</v>
      </c>
      <c r="I374">
        <v>160.21039999999999</v>
      </c>
      <c r="J374">
        <v>0.34</v>
      </c>
      <c r="K374">
        <f t="shared" si="13"/>
        <v>2871.6684520000003</v>
      </c>
      <c r="L374" t="str">
        <f t="shared" si="12"/>
        <v>R 1</v>
      </c>
    </row>
    <row r="375" spans="8:12" x14ac:dyDescent="0.25">
      <c r="H375" t="s">
        <v>611</v>
      </c>
      <c r="I375">
        <v>160.21039999999999</v>
      </c>
      <c r="J375">
        <v>0.34</v>
      </c>
      <c r="K375">
        <f t="shared" si="13"/>
        <v>3031.8788520000003</v>
      </c>
      <c r="L375" t="str">
        <f t="shared" si="12"/>
        <v>R 1</v>
      </c>
    </row>
    <row r="376" spans="8:12" x14ac:dyDescent="0.25">
      <c r="H376" t="s">
        <v>556</v>
      </c>
      <c r="I376">
        <v>116.20988</v>
      </c>
      <c r="J376">
        <v>0.34499999999999997</v>
      </c>
      <c r="K376">
        <f t="shared" si="13"/>
        <v>3148.0887320000002</v>
      </c>
      <c r="L376" t="str">
        <f t="shared" si="12"/>
        <v>R 1</v>
      </c>
    </row>
    <row r="377" spans="8:12" x14ac:dyDescent="0.25">
      <c r="H377" t="s">
        <v>255</v>
      </c>
      <c r="I377">
        <v>119.76739999999999</v>
      </c>
      <c r="J377">
        <v>0.34499999999999997</v>
      </c>
      <c r="K377">
        <f t="shared" si="13"/>
        <v>3267.8561320000003</v>
      </c>
      <c r="L377" t="str">
        <f t="shared" si="12"/>
        <v>R 1</v>
      </c>
    </row>
    <row r="378" spans="8:12" x14ac:dyDescent="0.25">
      <c r="H378" t="s">
        <v>264</v>
      </c>
      <c r="I378">
        <v>119.76739999999999</v>
      </c>
      <c r="J378">
        <v>0.34499999999999997</v>
      </c>
      <c r="K378">
        <f t="shared" si="13"/>
        <v>3387.6235320000005</v>
      </c>
      <c r="L378" t="str">
        <f t="shared" si="12"/>
        <v>R 1</v>
      </c>
    </row>
    <row r="379" spans="8:12" x14ac:dyDescent="0.25">
      <c r="H379" t="s">
        <v>266</v>
      </c>
      <c r="I379">
        <v>109.75119999999998</v>
      </c>
      <c r="J379">
        <v>0.34499999999999997</v>
      </c>
      <c r="K379">
        <f t="shared" si="13"/>
        <v>3497.3747320000007</v>
      </c>
      <c r="L379" t="str">
        <f t="shared" si="12"/>
        <v>R 1</v>
      </c>
    </row>
    <row r="380" spans="8:12" x14ac:dyDescent="0.25">
      <c r="H380" t="s">
        <v>378</v>
      </c>
      <c r="I380">
        <v>117.47380000000001</v>
      </c>
      <c r="J380">
        <v>0.34499999999999997</v>
      </c>
      <c r="K380">
        <f t="shared" si="13"/>
        <v>3614.8485320000009</v>
      </c>
      <c r="L380" t="str">
        <f t="shared" si="12"/>
        <v>R 1</v>
      </c>
    </row>
    <row r="381" spans="8:12" x14ac:dyDescent="0.25">
      <c r="H381" t="s">
        <v>473</v>
      </c>
      <c r="I381">
        <v>117.47380000000001</v>
      </c>
      <c r="J381">
        <v>0.34499999999999997</v>
      </c>
      <c r="K381">
        <f t="shared" si="13"/>
        <v>3732.3223320000011</v>
      </c>
      <c r="L381" t="str">
        <f t="shared" si="12"/>
        <v>R 1</v>
      </c>
    </row>
    <row r="382" spans="8:12" x14ac:dyDescent="0.25">
      <c r="H382" t="s">
        <v>417</v>
      </c>
      <c r="I382">
        <v>173.1302</v>
      </c>
      <c r="J382">
        <v>0.34500000000000003</v>
      </c>
      <c r="K382">
        <f t="shared" si="13"/>
        <v>3905.4525320000012</v>
      </c>
      <c r="L382" t="str">
        <f t="shared" si="12"/>
        <v>R 1</v>
      </c>
    </row>
    <row r="383" spans="8:12" x14ac:dyDescent="0.25">
      <c r="H383" t="s">
        <v>567</v>
      </c>
      <c r="I383">
        <v>117.45062</v>
      </c>
      <c r="J383">
        <v>0.34500000000000003</v>
      </c>
      <c r="K383">
        <f t="shared" si="13"/>
        <v>4022.9031520000012</v>
      </c>
      <c r="L383" t="str">
        <f t="shared" si="12"/>
        <v>R 1</v>
      </c>
    </row>
    <row r="384" spans="8:12" x14ac:dyDescent="0.25">
      <c r="H384" t="s">
        <v>478</v>
      </c>
      <c r="I384">
        <v>173.1302</v>
      </c>
      <c r="J384">
        <v>0.34500000000000003</v>
      </c>
      <c r="K384">
        <f t="shared" si="13"/>
        <v>4196.0333520000013</v>
      </c>
      <c r="L384" t="str">
        <f t="shared" si="12"/>
        <v>R 1</v>
      </c>
    </row>
    <row r="385" spans="8:12" x14ac:dyDescent="0.25">
      <c r="H385" t="s">
        <v>656</v>
      </c>
      <c r="I385">
        <v>108.32380000000001</v>
      </c>
      <c r="J385">
        <v>0.34500000000000003</v>
      </c>
      <c r="K385">
        <f t="shared" si="13"/>
        <v>4304.3571520000014</v>
      </c>
      <c r="L385" t="str">
        <f t="shared" si="12"/>
        <v>R 1</v>
      </c>
    </row>
    <row r="386" spans="8:12" x14ac:dyDescent="0.25">
      <c r="H386" t="s">
        <v>549</v>
      </c>
      <c r="I386">
        <v>117.49942</v>
      </c>
      <c r="J386">
        <v>0.34500000000000003</v>
      </c>
      <c r="K386">
        <f t="shared" si="13"/>
        <v>4421.8565720000015</v>
      </c>
      <c r="L386" t="str">
        <f t="shared" si="12"/>
        <v>R 1</v>
      </c>
    </row>
    <row r="387" spans="8:12" x14ac:dyDescent="0.25">
      <c r="H387" t="s">
        <v>530</v>
      </c>
      <c r="I387">
        <v>169.72640000000001</v>
      </c>
      <c r="J387">
        <v>0.35000000000000003</v>
      </c>
      <c r="K387">
        <f t="shared" si="13"/>
        <v>4591.582972000002</v>
      </c>
      <c r="L387" t="str">
        <f t="shared" si="12"/>
        <v>R 1</v>
      </c>
    </row>
    <row r="388" spans="8:12" x14ac:dyDescent="0.25">
      <c r="H388" t="s">
        <v>557</v>
      </c>
      <c r="I388">
        <v>174.43194</v>
      </c>
      <c r="J388">
        <v>0.35000000000000003</v>
      </c>
      <c r="K388">
        <f t="shared" si="13"/>
        <v>4766.0149120000024</v>
      </c>
      <c r="L388" t="str">
        <f t="shared" si="12"/>
        <v>R 1</v>
      </c>
    </row>
    <row r="389" spans="8:12" x14ac:dyDescent="0.25">
      <c r="H389" t="s">
        <v>542</v>
      </c>
      <c r="I389">
        <v>169.73493999999999</v>
      </c>
      <c r="J389">
        <v>0.35000000000000003</v>
      </c>
      <c r="K389">
        <f t="shared" si="13"/>
        <v>4935.7498520000026</v>
      </c>
      <c r="L389" t="str">
        <f t="shared" si="12"/>
        <v>R 1</v>
      </c>
    </row>
    <row r="390" spans="8:12" x14ac:dyDescent="0.25">
      <c r="H390" t="s">
        <v>531</v>
      </c>
      <c r="I390">
        <v>169.966252</v>
      </c>
      <c r="J390">
        <v>0.35000000000000003</v>
      </c>
      <c r="K390">
        <f t="shared" si="13"/>
        <v>5105.7161040000028</v>
      </c>
      <c r="L390" t="str">
        <f t="shared" si="12"/>
        <v>R 1</v>
      </c>
    </row>
    <row r="391" spans="8:12" x14ac:dyDescent="0.25">
      <c r="H391" t="s">
        <v>518</v>
      </c>
      <c r="I391">
        <v>169.78129999999999</v>
      </c>
      <c r="J391">
        <v>0.35000000000000003</v>
      </c>
      <c r="K391">
        <f t="shared" si="13"/>
        <v>5275.4974040000025</v>
      </c>
      <c r="L391" t="str">
        <f t="shared" si="12"/>
        <v>R 1</v>
      </c>
    </row>
    <row r="392" spans="8:12" x14ac:dyDescent="0.25">
      <c r="H392" t="s">
        <v>510</v>
      </c>
      <c r="I392">
        <v>116.20988</v>
      </c>
      <c r="J392">
        <v>0.35499999999999998</v>
      </c>
      <c r="K392">
        <f t="shared" si="13"/>
        <v>5391.7072840000028</v>
      </c>
      <c r="L392" t="str">
        <f t="shared" si="12"/>
        <v>R 1</v>
      </c>
    </row>
    <row r="393" spans="8:12" x14ac:dyDescent="0.25">
      <c r="H393" t="s">
        <v>278</v>
      </c>
      <c r="I393">
        <v>108.7264</v>
      </c>
      <c r="J393">
        <v>0.35499999999999998</v>
      </c>
      <c r="K393">
        <f t="shared" si="13"/>
        <v>5500.4336840000024</v>
      </c>
      <c r="L393" t="str">
        <f t="shared" si="12"/>
        <v>R 1</v>
      </c>
    </row>
    <row r="394" spans="8:12" x14ac:dyDescent="0.25">
      <c r="H394" t="s">
        <v>253</v>
      </c>
      <c r="I394">
        <v>108.7264</v>
      </c>
      <c r="J394">
        <v>0.35499999999999998</v>
      </c>
      <c r="K394">
        <f t="shared" si="13"/>
        <v>5609.1600840000019</v>
      </c>
      <c r="L394" t="str">
        <f t="shared" si="12"/>
        <v>R 1</v>
      </c>
    </row>
    <row r="395" spans="8:12" x14ac:dyDescent="0.25">
      <c r="H395" t="s">
        <v>254</v>
      </c>
      <c r="I395">
        <v>74.395599999999988</v>
      </c>
      <c r="J395">
        <v>0.35499999999999998</v>
      </c>
      <c r="K395">
        <f t="shared" si="13"/>
        <v>5683.5556840000017</v>
      </c>
      <c r="L395" t="str">
        <f t="shared" si="12"/>
        <v>R 1</v>
      </c>
    </row>
    <row r="396" spans="8:12" x14ac:dyDescent="0.25">
      <c r="H396" t="s">
        <v>501</v>
      </c>
      <c r="I396">
        <v>106.42060000000001</v>
      </c>
      <c r="J396">
        <v>0.35499999999999998</v>
      </c>
      <c r="K396">
        <f t="shared" si="13"/>
        <v>5789.9762840000021</v>
      </c>
      <c r="L396" t="str">
        <f t="shared" si="12"/>
        <v>R 1</v>
      </c>
    </row>
    <row r="397" spans="8:12" x14ac:dyDescent="0.25">
      <c r="H397" t="s">
        <v>267</v>
      </c>
      <c r="I397">
        <v>74.395599999999988</v>
      </c>
      <c r="J397">
        <v>0.35499999999999998</v>
      </c>
      <c r="K397">
        <f t="shared" si="13"/>
        <v>5864.371884000002</v>
      </c>
      <c r="L397" t="str">
        <f t="shared" si="12"/>
        <v>R 1</v>
      </c>
    </row>
    <row r="398" spans="8:12" x14ac:dyDescent="0.25">
      <c r="H398" t="s">
        <v>262</v>
      </c>
      <c r="I398">
        <v>108.7264</v>
      </c>
      <c r="J398">
        <v>0.35499999999999998</v>
      </c>
      <c r="K398">
        <f t="shared" si="13"/>
        <v>5973.0982840000015</v>
      </c>
      <c r="L398" t="str">
        <f t="shared" si="12"/>
        <v>R 1</v>
      </c>
    </row>
    <row r="399" spans="8:12" x14ac:dyDescent="0.25">
      <c r="H399" t="s">
        <v>521</v>
      </c>
      <c r="I399">
        <v>116.20988</v>
      </c>
      <c r="J399">
        <v>0.35499999999999998</v>
      </c>
      <c r="K399">
        <f t="shared" si="13"/>
        <v>6089.3081640000019</v>
      </c>
      <c r="L399" t="str">
        <f t="shared" si="12"/>
        <v>R 1</v>
      </c>
    </row>
    <row r="400" spans="8:12" x14ac:dyDescent="0.25">
      <c r="H400" t="s">
        <v>622</v>
      </c>
      <c r="I400">
        <v>106.42060000000001</v>
      </c>
      <c r="J400">
        <v>0.35499999999999998</v>
      </c>
      <c r="K400">
        <f t="shared" si="13"/>
        <v>6195.7287640000022</v>
      </c>
      <c r="L400" t="str">
        <f t="shared" si="12"/>
        <v>R 1</v>
      </c>
    </row>
    <row r="401" spans="8:12" x14ac:dyDescent="0.25">
      <c r="H401" t="s">
        <v>276</v>
      </c>
      <c r="I401">
        <v>118.5474</v>
      </c>
      <c r="J401">
        <v>0.35499999999999998</v>
      </c>
      <c r="K401">
        <f t="shared" si="13"/>
        <v>6314.2761640000026</v>
      </c>
      <c r="L401" t="str">
        <f t="shared" si="12"/>
        <v>R 1</v>
      </c>
    </row>
    <row r="402" spans="8:12" x14ac:dyDescent="0.25">
      <c r="H402" t="s">
        <v>491</v>
      </c>
      <c r="I402">
        <v>106.42060000000001</v>
      </c>
      <c r="J402">
        <v>0.35499999999999998</v>
      </c>
      <c r="K402">
        <f t="shared" si="13"/>
        <v>6420.696764000003</v>
      </c>
      <c r="L402" t="str">
        <f t="shared" si="12"/>
        <v>R 1</v>
      </c>
    </row>
    <row r="403" spans="8:12" x14ac:dyDescent="0.25">
      <c r="H403" t="s">
        <v>245</v>
      </c>
      <c r="I403">
        <v>74.395599999999988</v>
      </c>
      <c r="J403">
        <v>0.35499999999999998</v>
      </c>
      <c r="K403">
        <f t="shared" si="13"/>
        <v>6495.0923640000028</v>
      </c>
      <c r="L403" t="str">
        <f t="shared" si="12"/>
        <v>R 1</v>
      </c>
    </row>
    <row r="404" spans="8:12" x14ac:dyDescent="0.25">
      <c r="H404" t="s">
        <v>263</v>
      </c>
      <c r="I404">
        <v>118.5474</v>
      </c>
      <c r="J404">
        <v>0.35499999999999998</v>
      </c>
      <c r="K404">
        <f t="shared" si="13"/>
        <v>6613.6397640000032</v>
      </c>
      <c r="L404" t="str">
        <f t="shared" si="12"/>
        <v>R 1</v>
      </c>
    </row>
    <row r="405" spans="8:12" x14ac:dyDescent="0.25">
      <c r="H405" t="s">
        <v>480</v>
      </c>
      <c r="I405">
        <v>106.42060000000001</v>
      </c>
      <c r="J405">
        <v>0.35499999999999998</v>
      </c>
      <c r="K405">
        <f t="shared" si="13"/>
        <v>6720.0603640000036</v>
      </c>
      <c r="L405" t="str">
        <f t="shared" si="12"/>
        <v>R 1</v>
      </c>
    </row>
    <row r="406" spans="8:12" x14ac:dyDescent="0.25">
      <c r="H406" t="s">
        <v>664</v>
      </c>
      <c r="I406">
        <v>157.99</v>
      </c>
      <c r="J406">
        <v>0.35499999999999998</v>
      </c>
      <c r="K406">
        <f t="shared" si="13"/>
        <v>6878.0503640000034</v>
      </c>
      <c r="L406" t="str">
        <f t="shared" si="12"/>
        <v>R 1</v>
      </c>
    </row>
    <row r="407" spans="8:12" x14ac:dyDescent="0.25">
      <c r="H407" t="s">
        <v>600</v>
      </c>
      <c r="I407">
        <v>106.42060000000001</v>
      </c>
      <c r="J407">
        <v>0.35499999999999998</v>
      </c>
      <c r="K407">
        <f t="shared" si="13"/>
        <v>6984.4709640000037</v>
      </c>
      <c r="L407" t="str">
        <f t="shared" si="12"/>
        <v>R 1</v>
      </c>
    </row>
    <row r="408" spans="8:12" x14ac:dyDescent="0.25">
      <c r="H408" t="s">
        <v>533</v>
      </c>
      <c r="I408">
        <v>116.16108</v>
      </c>
      <c r="J408">
        <v>0.35499999999999998</v>
      </c>
      <c r="K408">
        <f t="shared" si="13"/>
        <v>7100.6320440000036</v>
      </c>
      <c r="L408" t="str">
        <f t="shared" si="12"/>
        <v>R 1</v>
      </c>
    </row>
    <row r="409" spans="8:12" x14ac:dyDescent="0.25">
      <c r="H409" t="s">
        <v>612</v>
      </c>
      <c r="I409">
        <v>106.42060000000001</v>
      </c>
      <c r="J409">
        <v>0.35499999999999998</v>
      </c>
      <c r="K409">
        <f t="shared" si="13"/>
        <v>7207.052644000004</v>
      </c>
      <c r="L409" t="str">
        <f t="shared" si="12"/>
        <v>R 1</v>
      </c>
    </row>
    <row r="410" spans="8:12" x14ac:dyDescent="0.25">
      <c r="H410" t="s">
        <v>472</v>
      </c>
      <c r="I410">
        <v>172.7398</v>
      </c>
      <c r="J410">
        <v>0.35500000000000004</v>
      </c>
      <c r="K410">
        <f t="shared" si="13"/>
        <v>7379.7924440000043</v>
      </c>
      <c r="L410" t="str">
        <f t="shared" si="12"/>
        <v>R 1</v>
      </c>
    </row>
    <row r="411" spans="8:12" x14ac:dyDescent="0.25">
      <c r="H411" t="s">
        <v>382</v>
      </c>
      <c r="I411">
        <v>172.7398</v>
      </c>
      <c r="J411">
        <v>0.35500000000000004</v>
      </c>
      <c r="K411">
        <f t="shared" si="13"/>
        <v>7552.5322440000045</v>
      </c>
      <c r="L411" t="str">
        <f t="shared" si="12"/>
        <v>R 1</v>
      </c>
    </row>
    <row r="412" spans="8:12" x14ac:dyDescent="0.25">
      <c r="H412" t="s">
        <v>499</v>
      </c>
      <c r="I412">
        <v>152.6464</v>
      </c>
      <c r="J412">
        <v>0.36</v>
      </c>
      <c r="K412">
        <f t="shared" si="13"/>
        <v>7705.1786440000042</v>
      </c>
      <c r="L412" t="str">
        <f t="shared" si="12"/>
        <v>R 1</v>
      </c>
    </row>
    <row r="413" spans="8:12" x14ac:dyDescent="0.25">
      <c r="H413" t="s">
        <v>609</v>
      </c>
      <c r="I413">
        <v>152.65859999999998</v>
      </c>
      <c r="J413">
        <v>0.36</v>
      </c>
      <c r="K413">
        <f t="shared" si="13"/>
        <v>7857.8372440000039</v>
      </c>
      <c r="L413" t="str">
        <f t="shared" si="12"/>
        <v>R 1</v>
      </c>
    </row>
    <row r="414" spans="8:12" x14ac:dyDescent="0.25">
      <c r="H414" t="s">
        <v>509</v>
      </c>
      <c r="I414">
        <v>152.65859999999998</v>
      </c>
      <c r="J414">
        <v>0.36</v>
      </c>
      <c r="K414">
        <f t="shared" si="13"/>
        <v>8010.4958440000037</v>
      </c>
      <c r="L414" t="str">
        <f t="shared" si="12"/>
        <v>R 1</v>
      </c>
    </row>
    <row r="415" spans="8:12" x14ac:dyDescent="0.25">
      <c r="H415" t="s">
        <v>498</v>
      </c>
      <c r="I415">
        <v>158.09979999999999</v>
      </c>
      <c r="J415">
        <v>0.36</v>
      </c>
      <c r="K415">
        <f t="shared" si="13"/>
        <v>8168.5956440000036</v>
      </c>
      <c r="L415" t="str">
        <f t="shared" si="12"/>
        <v>R 1</v>
      </c>
    </row>
    <row r="416" spans="8:12" x14ac:dyDescent="0.25">
      <c r="H416" t="s">
        <v>631</v>
      </c>
      <c r="I416">
        <v>152.65859999999998</v>
      </c>
      <c r="J416">
        <v>0.36</v>
      </c>
      <c r="K416">
        <f t="shared" si="13"/>
        <v>8321.2542440000034</v>
      </c>
      <c r="L416" t="str">
        <f t="shared" si="12"/>
        <v>R 1</v>
      </c>
    </row>
    <row r="417" spans="8:12" x14ac:dyDescent="0.25">
      <c r="H417" t="s">
        <v>619</v>
      </c>
      <c r="I417">
        <v>158.09979999999999</v>
      </c>
      <c r="J417">
        <v>0.36</v>
      </c>
      <c r="K417">
        <f t="shared" si="13"/>
        <v>8479.3540440000033</v>
      </c>
      <c r="L417" t="str">
        <f t="shared" si="12"/>
        <v>R 2</v>
      </c>
    </row>
    <row r="418" spans="8:12" x14ac:dyDescent="0.25">
      <c r="H418" t="s">
        <v>488</v>
      </c>
      <c r="I418">
        <v>152.65859999999998</v>
      </c>
      <c r="J418">
        <v>0.36</v>
      </c>
      <c r="K418">
        <f t="shared" si="13"/>
        <v>8632.012644000004</v>
      </c>
      <c r="L418" t="str">
        <f t="shared" si="12"/>
        <v>R 2</v>
      </c>
    </row>
    <row r="419" spans="8:12" x14ac:dyDescent="0.25">
      <c r="H419" t="s">
        <v>620</v>
      </c>
      <c r="I419">
        <v>152.6464</v>
      </c>
      <c r="J419">
        <v>0.36</v>
      </c>
      <c r="K419">
        <f t="shared" si="13"/>
        <v>8784.6590440000036</v>
      </c>
      <c r="L419" t="str">
        <f t="shared" si="12"/>
        <v>R 2</v>
      </c>
    </row>
    <row r="420" spans="8:12" x14ac:dyDescent="0.25">
      <c r="H420" t="s">
        <v>613</v>
      </c>
      <c r="I420">
        <v>162.18680000000001</v>
      </c>
      <c r="J420">
        <v>0.36000000000000004</v>
      </c>
      <c r="K420">
        <f t="shared" si="13"/>
        <v>8946.8458440000031</v>
      </c>
      <c r="L420" t="str">
        <f t="shared" si="12"/>
        <v>R 2</v>
      </c>
    </row>
    <row r="421" spans="8:12" x14ac:dyDescent="0.25">
      <c r="H421" t="s">
        <v>522</v>
      </c>
      <c r="I421">
        <v>174.43194</v>
      </c>
      <c r="J421">
        <v>0.36000000000000004</v>
      </c>
      <c r="K421">
        <f t="shared" si="13"/>
        <v>9121.2777840000035</v>
      </c>
      <c r="L421" t="str">
        <f t="shared" ref="L421:L484" si="14">IF(AND(K421&gt;=0,K421&lt;=8453),"R 1",IF(AND(K421&gt;=8453,K421&lt;=11934),"R 2",IF(AND(K421&gt;=11934,K421&lt;=15415),"R 3",IF(AND(K421&gt;=15415,K421&lt;=20885),"R 4",IF(AND(K421&gt;=20885,K421&lt;=24863),"R 5",IF(AND(K421&gt;=24863,K421&lt;=28334),"R 6",IF(AND(K421&gt;=28334,K421&lt;=32322),"R 7",IF(AND(K421&gt;=32322,K421&lt;=38289),"R 8",IF(AND(K421&gt;=38289,K421&lt;=42267),"R 9",IF(AND(K421&gt;=42267,K421&lt;=43759),"R 10",IF(AND(K421&gt;=43759,K421&lt;=45251),"R 11",IF(AND(K421&gt;=45251,K421&lt;=49727),"R 12"))))))))))))</f>
        <v>R 2</v>
      </c>
    </row>
    <row r="422" spans="8:12" x14ac:dyDescent="0.25">
      <c r="H422" t="s">
        <v>492</v>
      </c>
      <c r="I422">
        <v>162.18680000000001</v>
      </c>
      <c r="J422">
        <v>0.36000000000000004</v>
      </c>
      <c r="K422">
        <f t="shared" ref="K422:K485" si="15">K421+I422</f>
        <v>9283.464584000003</v>
      </c>
      <c r="L422" t="str">
        <f t="shared" si="14"/>
        <v>R 2</v>
      </c>
    </row>
    <row r="423" spans="8:12" x14ac:dyDescent="0.25">
      <c r="H423" t="s">
        <v>257</v>
      </c>
      <c r="I423">
        <v>118.4498</v>
      </c>
      <c r="J423">
        <v>0.36499999999999999</v>
      </c>
      <c r="K423">
        <f t="shared" si="15"/>
        <v>9401.9143840000033</v>
      </c>
      <c r="L423" t="str">
        <f t="shared" si="14"/>
        <v>R 2</v>
      </c>
    </row>
    <row r="424" spans="8:12" x14ac:dyDescent="0.25">
      <c r="H424" t="s">
        <v>558</v>
      </c>
      <c r="I424">
        <v>117.49942</v>
      </c>
      <c r="J424">
        <v>0.36499999999999999</v>
      </c>
      <c r="K424">
        <f t="shared" si="15"/>
        <v>9519.4138040000034</v>
      </c>
      <c r="L424" t="str">
        <f t="shared" si="14"/>
        <v>R 2</v>
      </c>
    </row>
    <row r="425" spans="8:12" x14ac:dyDescent="0.25">
      <c r="H425" t="s">
        <v>657</v>
      </c>
      <c r="I425">
        <v>156.8432</v>
      </c>
      <c r="J425">
        <v>0.36499999999999999</v>
      </c>
      <c r="K425">
        <f t="shared" si="15"/>
        <v>9676.2570040000028</v>
      </c>
      <c r="L425" t="str">
        <f t="shared" si="14"/>
        <v>R 2</v>
      </c>
    </row>
    <row r="426" spans="8:12" x14ac:dyDescent="0.25">
      <c r="H426" t="s">
        <v>244</v>
      </c>
      <c r="I426">
        <v>134.59039999999999</v>
      </c>
      <c r="J426">
        <v>0.36499999999999999</v>
      </c>
      <c r="K426">
        <f t="shared" si="15"/>
        <v>9810.8474040000019</v>
      </c>
      <c r="L426" t="str">
        <f t="shared" si="14"/>
        <v>R 2</v>
      </c>
    </row>
    <row r="427" spans="8:12" x14ac:dyDescent="0.25">
      <c r="H427" t="s">
        <v>268</v>
      </c>
      <c r="I427">
        <v>118.4498</v>
      </c>
      <c r="J427">
        <v>0.36499999999999999</v>
      </c>
      <c r="K427">
        <f t="shared" si="15"/>
        <v>9929.2972040000022</v>
      </c>
      <c r="L427" t="str">
        <f t="shared" si="14"/>
        <v>R 2</v>
      </c>
    </row>
    <row r="428" spans="8:12" x14ac:dyDescent="0.25">
      <c r="H428" t="s">
        <v>481</v>
      </c>
      <c r="I428">
        <v>160.23480000000001</v>
      </c>
      <c r="J428">
        <v>0.36500000000000005</v>
      </c>
      <c r="K428">
        <f t="shared" si="15"/>
        <v>10089.532004000002</v>
      </c>
      <c r="L428" t="str">
        <f t="shared" si="14"/>
        <v>R 2</v>
      </c>
    </row>
    <row r="429" spans="8:12" x14ac:dyDescent="0.25">
      <c r="H429" t="s">
        <v>601</v>
      </c>
      <c r="I429">
        <v>160.23480000000001</v>
      </c>
      <c r="J429">
        <v>0.36500000000000005</v>
      </c>
      <c r="K429">
        <f t="shared" si="15"/>
        <v>10249.766804000003</v>
      </c>
      <c r="L429" t="str">
        <f t="shared" si="14"/>
        <v>R 2</v>
      </c>
    </row>
    <row r="430" spans="8:12" x14ac:dyDescent="0.25">
      <c r="H430" t="s">
        <v>621</v>
      </c>
      <c r="I430">
        <v>160.23480000000001</v>
      </c>
      <c r="J430">
        <v>0.36500000000000005</v>
      </c>
      <c r="K430">
        <f t="shared" si="15"/>
        <v>10410.001604000003</v>
      </c>
      <c r="L430" t="str">
        <f t="shared" si="14"/>
        <v>R 2</v>
      </c>
    </row>
    <row r="431" spans="8:12" x14ac:dyDescent="0.25">
      <c r="H431" t="s">
        <v>500</v>
      </c>
      <c r="I431">
        <v>160.23480000000001</v>
      </c>
      <c r="J431">
        <v>0.36500000000000005</v>
      </c>
      <c r="K431">
        <f t="shared" si="15"/>
        <v>10570.236404000003</v>
      </c>
      <c r="L431" t="str">
        <f t="shared" si="14"/>
        <v>R 2</v>
      </c>
    </row>
    <row r="432" spans="8:12" x14ac:dyDescent="0.25">
      <c r="H432" t="s">
        <v>511</v>
      </c>
      <c r="I432">
        <v>180.00489999999999</v>
      </c>
      <c r="J432">
        <v>0.36500000000000005</v>
      </c>
      <c r="K432">
        <f t="shared" si="15"/>
        <v>10750.241304000003</v>
      </c>
      <c r="L432" t="str">
        <f t="shared" si="14"/>
        <v>R 2</v>
      </c>
    </row>
    <row r="433" spans="8:12" x14ac:dyDescent="0.25">
      <c r="H433" t="s">
        <v>532</v>
      </c>
      <c r="I433">
        <v>176.48886000000002</v>
      </c>
      <c r="J433">
        <v>0.36500000000000005</v>
      </c>
      <c r="K433">
        <f t="shared" si="15"/>
        <v>10926.730164000002</v>
      </c>
      <c r="L433" t="str">
        <f t="shared" si="14"/>
        <v>R 2</v>
      </c>
    </row>
    <row r="434" spans="8:12" x14ac:dyDescent="0.25">
      <c r="H434" t="s">
        <v>475</v>
      </c>
      <c r="I434">
        <v>172.203</v>
      </c>
      <c r="J434">
        <v>0.37</v>
      </c>
      <c r="K434">
        <f t="shared" si="15"/>
        <v>11098.933164000002</v>
      </c>
      <c r="L434" t="str">
        <f t="shared" si="14"/>
        <v>R 2</v>
      </c>
    </row>
    <row r="435" spans="8:12" x14ac:dyDescent="0.25">
      <c r="H435" t="s">
        <v>386</v>
      </c>
      <c r="I435">
        <v>172.203</v>
      </c>
      <c r="J435">
        <v>0.37</v>
      </c>
      <c r="K435">
        <f t="shared" si="15"/>
        <v>11271.136164000001</v>
      </c>
      <c r="L435" t="str">
        <f t="shared" si="14"/>
        <v>R 2</v>
      </c>
    </row>
    <row r="436" spans="8:12" x14ac:dyDescent="0.25">
      <c r="H436" t="s">
        <v>568</v>
      </c>
      <c r="I436">
        <v>172.24814000000001</v>
      </c>
      <c r="J436">
        <v>0.37000000000000005</v>
      </c>
      <c r="K436">
        <f t="shared" si="15"/>
        <v>11443.384304000001</v>
      </c>
      <c r="L436" t="str">
        <f t="shared" si="14"/>
        <v>R 2</v>
      </c>
    </row>
    <row r="437" spans="8:12" x14ac:dyDescent="0.25">
      <c r="H437" t="s">
        <v>579</v>
      </c>
      <c r="I437">
        <v>169.78129999999999</v>
      </c>
      <c r="J437">
        <v>0.37000000000000005</v>
      </c>
      <c r="K437">
        <f t="shared" si="15"/>
        <v>11613.165604000002</v>
      </c>
      <c r="L437" t="str">
        <f t="shared" si="14"/>
        <v>R 2</v>
      </c>
    </row>
    <row r="438" spans="8:12" x14ac:dyDescent="0.25">
      <c r="H438" t="s">
        <v>550</v>
      </c>
      <c r="I438">
        <v>172.2945</v>
      </c>
      <c r="J438">
        <v>0.37000000000000005</v>
      </c>
      <c r="K438">
        <f t="shared" si="15"/>
        <v>11785.460104000002</v>
      </c>
      <c r="L438" t="str">
        <f t="shared" si="14"/>
        <v>R 2</v>
      </c>
    </row>
    <row r="439" spans="8:12" x14ac:dyDescent="0.25">
      <c r="H439" t="s">
        <v>599</v>
      </c>
      <c r="I439">
        <v>169.73493999999999</v>
      </c>
      <c r="J439">
        <v>0.37000000000000005</v>
      </c>
      <c r="K439">
        <f t="shared" si="15"/>
        <v>11955.195044000002</v>
      </c>
      <c r="L439" t="str">
        <f t="shared" si="14"/>
        <v>R 3</v>
      </c>
    </row>
    <row r="440" spans="8:12" x14ac:dyDescent="0.25">
      <c r="H440" t="s">
        <v>512</v>
      </c>
      <c r="I440">
        <v>117.49942</v>
      </c>
      <c r="J440">
        <v>0.375</v>
      </c>
      <c r="K440">
        <f t="shared" si="15"/>
        <v>12072.694464000002</v>
      </c>
      <c r="L440" t="str">
        <f t="shared" si="14"/>
        <v>R 3</v>
      </c>
    </row>
    <row r="441" spans="8:12" x14ac:dyDescent="0.25">
      <c r="H441" t="s">
        <v>592</v>
      </c>
      <c r="I441">
        <v>116.16108</v>
      </c>
      <c r="J441">
        <v>0.375</v>
      </c>
      <c r="K441">
        <f t="shared" si="15"/>
        <v>12188.855544000002</v>
      </c>
      <c r="L441" t="str">
        <f t="shared" si="14"/>
        <v>R 3</v>
      </c>
    </row>
    <row r="442" spans="8:12" x14ac:dyDescent="0.25">
      <c r="H442" t="s">
        <v>256</v>
      </c>
      <c r="I442">
        <v>75.420400000000001</v>
      </c>
      <c r="J442">
        <v>0.375</v>
      </c>
      <c r="K442">
        <f t="shared" si="15"/>
        <v>12264.275944000003</v>
      </c>
      <c r="L442" t="str">
        <f t="shared" si="14"/>
        <v>R 3</v>
      </c>
    </row>
    <row r="443" spans="8:12" x14ac:dyDescent="0.25">
      <c r="H443" t="s">
        <v>503</v>
      </c>
      <c r="I443">
        <v>108.42140000000001</v>
      </c>
      <c r="J443">
        <v>0.375</v>
      </c>
      <c r="K443">
        <f t="shared" si="15"/>
        <v>12372.697344000002</v>
      </c>
      <c r="L443" t="str">
        <f t="shared" si="14"/>
        <v>R 3</v>
      </c>
    </row>
    <row r="444" spans="8:12" x14ac:dyDescent="0.25">
      <c r="H444" t="s">
        <v>602</v>
      </c>
      <c r="I444">
        <v>108.42140000000001</v>
      </c>
      <c r="J444">
        <v>0.375</v>
      </c>
      <c r="K444">
        <f t="shared" si="15"/>
        <v>12481.118744000001</v>
      </c>
      <c r="L444" t="str">
        <f t="shared" si="14"/>
        <v>R 3</v>
      </c>
    </row>
    <row r="445" spans="8:12" x14ac:dyDescent="0.25">
      <c r="H445" t="s">
        <v>252</v>
      </c>
      <c r="I445">
        <v>134.4196</v>
      </c>
      <c r="J445">
        <v>0.375</v>
      </c>
      <c r="K445">
        <f t="shared" si="15"/>
        <v>12615.538344000001</v>
      </c>
      <c r="L445" t="str">
        <f t="shared" si="14"/>
        <v>R 3</v>
      </c>
    </row>
    <row r="446" spans="8:12" x14ac:dyDescent="0.25">
      <c r="H446" t="s">
        <v>644</v>
      </c>
      <c r="I446">
        <v>107.95779999999999</v>
      </c>
      <c r="J446">
        <v>0.375</v>
      </c>
      <c r="K446">
        <f t="shared" si="15"/>
        <v>12723.496144000001</v>
      </c>
      <c r="L446" t="str">
        <f t="shared" si="14"/>
        <v>R 3</v>
      </c>
    </row>
    <row r="447" spans="8:12" x14ac:dyDescent="0.25">
      <c r="H447" t="s">
        <v>482</v>
      </c>
      <c r="I447">
        <v>108.42140000000001</v>
      </c>
      <c r="J447">
        <v>0.375</v>
      </c>
      <c r="K447">
        <f t="shared" si="15"/>
        <v>12831.917544</v>
      </c>
      <c r="L447" t="str">
        <f t="shared" si="14"/>
        <v>R 3</v>
      </c>
    </row>
    <row r="448" spans="8:12" x14ac:dyDescent="0.25">
      <c r="H448" t="s">
        <v>535</v>
      </c>
      <c r="I448">
        <v>117.45062</v>
      </c>
      <c r="J448">
        <v>0.375</v>
      </c>
      <c r="K448">
        <f t="shared" si="15"/>
        <v>12949.368164</v>
      </c>
      <c r="L448" t="str">
        <f t="shared" si="14"/>
        <v>R 3</v>
      </c>
    </row>
    <row r="449" spans="8:12" x14ac:dyDescent="0.25">
      <c r="H449" t="s">
        <v>614</v>
      </c>
      <c r="I449">
        <v>108.42140000000001</v>
      </c>
      <c r="J449">
        <v>0.375</v>
      </c>
      <c r="K449">
        <f t="shared" si="15"/>
        <v>13057.789563999999</v>
      </c>
      <c r="L449" t="str">
        <f t="shared" si="14"/>
        <v>R 3</v>
      </c>
    </row>
    <row r="450" spans="8:12" x14ac:dyDescent="0.25">
      <c r="H450" t="s">
        <v>573</v>
      </c>
      <c r="I450">
        <v>116.20988</v>
      </c>
      <c r="J450">
        <v>0.375</v>
      </c>
      <c r="K450">
        <f t="shared" si="15"/>
        <v>13173.999443999999</v>
      </c>
      <c r="L450" t="str">
        <f t="shared" si="14"/>
        <v>R 3</v>
      </c>
    </row>
    <row r="451" spans="8:12" x14ac:dyDescent="0.25">
      <c r="H451" t="s">
        <v>270</v>
      </c>
      <c r="I451">
        <v>75.420400000000001</v>
      </c>
      <c r="J451">
        <v>0.375</v>
      </c>
      <c r="K451">
        <f t="shared" si="15"/>
        <v>13249.419844</v>
      </c>
      <c r="L451" t="str">
        <f t="shared" si="14"/>
        <v>R 3</v>
      </c>
    </row>
    <row r="452" spans="8:12" x14ac:dyDescent="0.25">
      <c r="H452" t="s">
        <v>247</v>
      </c>
      <c r="I452">
        <v>75.420400000000001</v>
      </c>
      <c r="J452">
        <v>0.375</v>
      </c>
      <c r="K452">
        <f t="shared" si="15"/>
        <v>13324.840244000001</v>
      </c>
      <c r="L452" t="str">
        <f t="shared" si="14"/>
        <v>R 3</v>
      </c>
    </row>
    <row r="453" spans="8:12" x14ac:dyDescent="0.25">
      <c r="H453" t="s">
        <v>624</v>
      </c>
      <c r="I453">
        <v>108.42140000000001</v>
      </c>
      <c r="J453">
        <v>0.375</v>
      </c>
      <c r="K453">
        <f t="shared" si="15"/>
        <v>13433.261644</v>
      </c>
      <c r="L453" t="str">
        <f t="shared" si="14"/>
        <v>R 3</v>
      </c>
    </row>
    <row r="454" spans="8:12" x14ac:dyDescent="0.25">
      <c r="H454" t="s">
        <v>525</v>
      </c>
      <c r="I454">
        <v>117.49942</v>
      </c>
      <c r="J454">
        <v>0.375</v>
      </c>
      <c r="K454">
        <f t="shared" si="15"/>
        <v>13550.761064</v>
      </c>
      <c r="L454" t="str">
        <f t="shared" si="14"/>
        <v>R 3</v>
      </c>
    </row>
    <row r="455" spans="8:12" x14ac:dyDescent="0.25">
      <c r="H455" t="s">
        <v>493</v>
      </c>
      <c r="I455">
        <v>108.42140000000001</v>
      </c>
      <c r="J455">
        <v>0.375</v>
      </c>
      <c r="K455">
        <f t="shared" si="15"/>
        <v>13659.182464</v>
      </c>
      <c r="L455" t="str">
        <f t="shared" si="14"/>
        <v>R 3</v>
      </c>
    </row>
    <row r="456" spans="8:12" x14ac:dyDescent="0.25">
      <c r="H456" t="s">
        <v>519</v>
      </c>
      <c r="I456">
        <v>173.15338</v>
      </c>
      <c r="J456">
        <v>0.37500000000000006</v>
      </c>
      <c r="K456">
        <f t="shared" si="15"/>
        <v>13832.335843999999</v>
      </c>
      <c r="L456" t="str">
        <f t="shared" si="14"/>
        <v>R 3</v>
      </c>
    </row>
    <row r="457" spans="8:12" x14ac:dyDescent="0.25">
      <c r="H457" t="s">
        <v>540</v>
      </c>
      <c r="I457">
        <v>173.15338</v>
      </c>
      <c r="J457">
        <v>0.37500000000000006</v>
      </c>
      <c r="K457">
        <f t="shared" si="15"/>
        <v>14005.489223999999</v>
      </c>
      <c r="L457" t="str">
        <f t="shared" si="14"/>
        <v>R 3</v>
      </c>
    </row>
    <row r="458" spans="8:12" x14ac:dyDescent="0.25">
      <c r="H458" t="s">
        <v>658</v>
      </c>
      <c r="I458">
        <v>155.12299999999999</v>
      </c>
      <c r="J458">
        <v>0.38</v>
      </c>
      <c r="K458">
        <f t="shared" si="15"/>
        <v>14160.612223999999</v>
      </c>
      <c r="L458" t="str">
        <f t="shared" si="14"/>
        <v>R 3</v>
      </c>
    </row>
    <row r="459" spans="8:12" x14ac:dyDescent="0.25">
      <c r="H459" t="s">
        <v>580</v>
      </c>
      <c r="I459">
        <v>173.02649999999997</v>
      </c>
      <c r="J459">
        <v>0.38</v>
      </c>
      <c r="K459">
        <f t="shared" si="15"/>
        <v>14333.638723999999</v>
      </c>
      <c r="L459" t="str">
        <f t="shared" si="14"/>
        <v>R 3</v>
      </c>
    </row>
    <row r="460" spans="8:12" x14ac:dyDescent="0.25">
      <c r="H460" t="s">
        <v>432</v>
      </c>
      <c r="I460">
        <v>160.21039999999999</v>
      </c>
      <c r="J460">
        <v>0.38</v>
      </c>
      <c r="K460">
        <f t="shared" si="15"/>
        <v>14493.849123999998</v>
      </c>
      <c r="L460" t="str">
        <f t="shared" si="14"/>
        <v>R 3</v>
      </c>
    </row>
    <row r="461" spans="8:12" x14ac:dyDescent="0.25">
      <c r="H461" t="s">
        <v>684</v>
      </c>
      <c r="I461">
        <v>160.21039999999999</v>
      </c>
      <c r="J461">
        <v>0.38</v>
      </c>
      <c r="K461">
        <f t="shared" si="15"/>
        <v>14654.059523999998</v>
      </c>
      <c r="L461" t="str">
        <f t="shared" si="14"/>
        <v>R 3</v>
      </c>
    </row>
    <row r="462" spans="8:12" x14ac:dyDescent="0.25">
      <c r="H462" t="s">
        <v>396</v>
      </c>
      <c r="I462">
        <v>173.02649999999997</v>
      </c>
      <c r="J462">
        <v>0.38</v>
      </c>
      <c r="K462">
        <f t="shared" si="15"/>
        <v>14827.086023999998</v>
      </c>
      <c r="L462" t="str">
        <f t="shared" si="14"/>
        <v>R 3</v>
      </c>
    </row>
    <row r="463" spans="8:12" x14ac:dyDescent="0.25">
      <c r="H463" t="s">
        <v>653</v>
      </c>
      <c r="I463">
        <v>152.60980000000001</v>
      </c>
      <c r="J463">
        <v>0.38</v>
      </c>
      <c r="K463">
        <f t="shared" si="15"/>
        <v>14979.695823999999</v>
      </c>
      <c r="L463" t="str">
        <f t="shared" si="14"/>
        <v>R 3</v>
      </c>
    </row>
    <row r="464" spans="8:12" x14ac:dyDescent="0.25">
      <c r="H464" t="s">
        <v>333</v>
      </c>
      <c r="I464">
        <v>110.4344</v>
      </c>
      <c r="J464">
        <v>0.38500000000000001</v>
      </c>
      <c r="K464">
        <f t="shared" si="15"/>
        <v>15090.130223999999</v>
      </c>
      <c r="L464" t="str">
        <f t="shared" si="14"/>
        <v>R 3</v>
      </c>
    </row>
    <row r="465" spans="8:12" x14ac:dyDescent="0.25">
      <c r="H465" t="s">
        <v>642</v>
      </c>
      <c r="I465">
        <v>160.64959999999999</v>
      </c>
      <c r="J465">
        <v>0.38500000000000001</v>
      </c>
      <c r="K465">
        <f t="shared" si="15"/>
        <v>15250.779823999999</v>
      </c>
      <c r="L465" t="str">
        <f t="shared" si="14"/>
        <v>R 3</v>
      </c>
    </row>
    <row r="466" spans="8:12" x14ac:dyDescent="0.25">
      <c r="H466" t="s">
        <v>508</v>
      </c>
      <c r="I466">
        <v>158.08760000000001</v>
      </c>
      <c r="J466">
        <v>0.38500000000000001</v>
      </c>
      <c r="K466">
        <f t="shared" si="15"/>
        <v>15408.867424</v>
      </c>
      <c r="L466" t="str">
        <f t="shared" si="14"/>
        <v>R 3</v>
      </c>
    </row>
    <row r="467" spans="8:12" x14ac:dyDescent="0.25">
      <c r="H467" t="s">
        <v>489</v>
      </c>
      <c r="I467">
        <v>158.08760000000001</v>
      </c>
      <c r="J467">
        <v>0.38500000000000001</v>
      </c>
      <c r="K467">
        <f t="shared" si="15"/>
        <v>15566.955024000001</v>
      </c>
      <c r="L467" t="str">
        <f t="shared" si="14"/>
        <v>R 4</v>
      </c>
    </row>
    <row r="468" spans="8:12" x14ac:dyDescent="0.25">
      <c r="H468" t="s">
        <v>246</v>
      </c>
      <c r="I468">
        <v>134.9442</v>
      </c>
      <c r="J468">
        <v>0.38500000000000001</v>
      </c>
      <c r="K468">
        <f t="shared" si="15"/>
        <v>15701.899224000001</v>
      </c>
      <c r="L468" t="str">
        <f t="shared" si="14"/>
        <v>R 4</v>
      </c>
    </row>
    <row r="469" spans="8:12" x14ac:dyDescent="0.25">
      <c r="H469" t="s">
        <v>630</v>
      </c>
      <c r="I469">
        <v>158.08760000000001</v>
      </c>
      <c r="J469">
        <v>0.38500000000000001</v>
      </c>
      <c r="K469">
        <f t="shared" si="15"/>
        <v>15859.986824000001</v>
      </c>
      <c r="L469" t="str">
        <f t="shared" si="14"/>
        <v>R 4</v>
      </c>
    </row>
    <row r="470" spans="8:12" x14ac:dyDescent="0.25">
      <c r="H470" t="s">
        <v>610</v>
      </c>
      <c r="I470">
        <v>158.08760000000001</v>
      </c>
      <c r="J470">
        <v>0.38500000000000001</v>
      </c>
      <c r="K470">
        <f t="shared" si="15"/>
        <v>16018.074424000002</v>
      </c>
      <c r="L470" t="str">
        <f t="shared" si="14"/>
        <v>R 4</v>
      </c>
    </row>
    <row r="471" spans="8:12" x14ac:dyDescent="0.25">
      <c r="H471" t="s">
        <v>513</v>
      </c>
      <c r="I471">
        <v>172.82886000000002</v>
      </c>
      <c r="J471">
        <v>0.38500000000000006</v>
      </c>
      <c r="K471">
        <f t="shared" si="15"/>
        <v>16190.903284000002</v>
      </c>
      <c r="L471" t="str">
        <f t="shared" si="14"/>
        <v>R 4</v>
      </c>
    </row>
    <row r="472" spans="8:12" x14ac:dyDescent="0.25">
      <c r="H472" t="s">
        <v>534</v>
      </c>
      <c r="I472">
        <v>172.82886000000002</v>
      </c>
      <c r="J472">
        <v>0.38500000000000006</v>
      </c>
      <c r="K472">
        <f t="shared" si="15"/>
        <v>16363.732144000001</v>
      </c>
      <c r="L472" t="str">
        <f t="shared" si="14"/>
        <v>R 4</v>
      </c>
    </row>
    <row r="473" spans="8:12" x14ac:dyDescent="0.25">
      <c r="H473" t="s">
        <v>589</v>
      </c>
      <c r="I473">
        <v>169.966252</v>
      </c>
      <c r="J473">
        <v>0.39</v>
      </c>
      <c r="K473">
        <f t="shared" si="15"/>
        <v>16533.698396</v>
      </c>
      <c r="L473" t="str">
        <f t="shared" si="14"/>
        <v>R 4</v>
      </c>
    </row>
    <row r="474" spans="8:12" x14ac:dyDescent="0.25">
      <c r="H474" t="s">
        <v>461</v>
      </c>
      <c r="I474">
        <v>169.68979999999999</v>
      </c>
      <c r="J474">
        <v>0.39</v>
      </c>
      <c r="K474">
        <f t="shared" si="15"/>
        <v>16703.388196</v>
      </c>
      <c r="L474" t="str">
        <f t="shared" si="14"/>
        <v>R 4</v>
      </c>
    </row>
    <row r="475" spans="8:12" x14ac:dyDescent="0.25">
      <c r="H475" t="s">
        <v>407</v>
      </c>
      <c r="I475">
        <v>169.966252</v>
      </c>
      <c r="J475">
        <v>0.39</v>
      </c>
      <c r="K475">
        <f t="shared" si="15"/>
        <v>16873.354447999998</v>
      </c>
      <c r="L475" t="str">
        <f t="shared" si="14"/>
        <v>R 4</v>
      </c>
    </row>
    <row r="476" spans="8:12" x14ac:dyDescent="0.25">
      <c r="H476" t="s">
        <v>559</v>
      </c>
      <c r="I476">
        <v>172.24814000000001</v>
      </c>
      <c r="J476">
        <v>0.39</v>
      </c>
      <c r="K476">
        <f t="shared" si="15"/>
        <v>17045.602587999998</v>
      </c>
      <c r="L476" t="str">
        <f t="shared" si="14"/>
        <v>R 4</v>
      </c>
    </row>
    <row r="477" spans="8:12" x14ac:dyDescent="0.25">
      <c r="H477" t="s">
        <v>420</v>
      </c>
      <c r="I477">
        <v>169.73493999999999</v>
      </c>
      <c r="J477">
        <v>0.39</v>
      </c>
      <c r="K477">
        <f t="shared" si="15"/>
        <v>17215.337527999996</v>
      </c>
      <c r="L477" t="str">
        <f t="shared" si="14"/>
        <v>R 4</v>
      </c>
    </row>
    <row r="478" spans="8:12" x14ac:dyDescent="0.25">
      <c r="H478" t="s">
        <v>394</v>
      </c>
      <c r="I478">
        <v>169.78129999999999</v>
      </c>
      <c r="J478">
        <v>0.39</v>
      </c>
      <c r="K478">
        <f t="shared" si="15"/>
        <v>17385.118827999995</v>
      </c>
      <c r="L478" t="str">
        <f t="shared" si="14"/>
        <v>R 4</v>
      </c>
    </row>
    <row r="479" spans="8:12" x14ac:dyDescent="0.25">
      <c r="H479" t="s">
        <v>588</v>
      </c>
      <c r="I479">
        <v>169.72640000000001</v>
      </c>
      <c r="J479">
        <v>0.39</v>
      </c>
      <c r="K479">
        <f t="shared" si="15"/>
        <v>17554.845227999995</v>
      </c>
      <c r="L479" t="str">
        <f t="shared" si="14"/>
        <v>R 4</v>
      </c>
    </row>
    <row r="480" spans="8:12" x14ac:dyDescent="0.25">
      <c r="H480" t="s">
        <v>560</v>
      </c>
      <c r="I480">
        <v>172.29571999999999</v>
      </c>
      <c r="J480">
        <v>0.39</v>
      </c>
      <c r="K480">
        <f t="shared" si="15"/>
        <v>17727.140947999993</v>
      </c>
      <c r="L480" t="str">
        <f t="shared" si="14"/>
        <v>R 4</v>
      </c>
    </row>
    <row r="481" spans="8:12" x14ac:dyDescent="0.25">
      <c r="H481" t="s">
        <v>406</v>
      </c>
      <c r="I481">
        <v>169.72640000000001</v>
      </c>
      <c r="J481">
        <v>0.39</v>
      </c>
      <c r="K481">
        <f t="shared" si="15"/>
        <v>17896.867347999992</v>
      </c>
      <c r="L481" t="str">
        <f t="shared" si="14"/>
        <v>R 4</v>
      </c>
    </row>
    <row r="482" spans="8:12" x14ac:dyDescent="0.25">
      <c r="H482" t="s">
        <v>384</v>
      </c>
      <c r="I482">
        <v>116.20988</v>
      </c>
      <c r="J482">
        <v>0.39499999999999996</v>
      </c>
      <c r="K482">
        <f t="shared" si="15"/>
        <v>18013.077227999991</v>
      </c>
      <c r="L482" t="str">
        <f t="shared" si="14"/>
        <v>R 4</v>
      </c>
    </row>
    <row r="483" spans="8:12" x14ac:dyDescent="0.25">
      <c r="H483" t="s">
        <v>434</v>
      </c>
      <c r="I483">
        <v>106.42060000000001</v>
      </c>
      <c r="J483">
        <v>0.39499999999999996</v>
      </c>
      <c r="K483">
        <f t="shared" si="15"/>
        <v>18119.497827999992</v>
      </c>
      <c r="L483" t="str">
        <f t="shared" si="14"/>
        <v>R 4</v>
      </c>
    </row>
    <row r="484" spans="8:12" x14ac:dyDescent="0.25">
      <c r="H484" t="s">
        <v>632</v>
      </c>
      <c r="I484">
        <v>107.95779999999999</v>
      </c>
      <c r="J484">
        <v>0.39499999999999996</v>
      </c>
      <c r="K484">
        <f t="shared" si="15"/>
        <v>18227.455627999992</v>
      </c>
      <c r="L484" t="str">
        <f t="shared" si="14"/>
        <v>R 4</v>
      </c>
    </row>
    <row r="485" spans="8:12" x14ac:dyDescent="0.25">
      <c r="H485" t="s">
        <v>700</v>
      </c>
      <c r="I485">
        <v>106.42060000000001</v>
      </c>
      <c r="J485">
        <v>0.39499999999999996</v>
      </c>
      <c r="K485">
        <f t="shared" si="15"/>
        <v>18333.876227999994</v>
      </c>
      <c r="L485" t="str">
        <f t="shared" ref="L485:L548" si="16">IF(AND(K485&gt;=0,K485&lt;=8453),"R 1",IF(AND(K485&gt;=8453,K485&lt;=11934),"R 2",IF(AND(K485&gt;=11934,K485&lt;=15415),"R 3",IF(AND(K485&gt;=15415,K485&lt;=20885),"R 4",IF(AND(K485&gt;=20885,K485&lt;=24863),"R 5",IF(AND(K485&gt;=24863,K485&lt;=28334),"R 6",IF(AND(K485&gt;=28334,K485&lt;=32322),"R 7",IF(AND(K485&gt;=32322,K485&lt;=38289),"R 8",IF(AND(K485&gt;=38289,K485&lt;=42267),"R 9",IF(AND(K485&gt;=42267,K485&lt;=43759),"R 10",IF(AND(K485&gt;=43759,K485&lt;=45251),"R 11",IF(AND(K485&gt;=45251,K485&lt;=49727),"R 12"))))))))))))</f>
        <v>R 4</v>
      </c>
    </row>
    <row r="486" spans="8:12" x14ac:dyDescent="0.25">
      <c r="H486" t="s">
        <v>687</v>
      </c>
      <c r="I486">
        <v>106.42060000000001</v>
      </c>
      <c r="J486">
        <v>0.39499999999999996</v>
      </c>
      <c r="K486">
        <f t="shared" ref="K486:K549" si="17">K485+I486</f>
        <v>18440.296827999995</v>
      </c>
      <c r="L486" t="str">
        <f t="shared" si="16"/>
        <v>R 4</v>
      </c>
    </row>
    <row r="487" spans="8:12" x14ac:dyDescent="0.25">
      <c r="H487" t="s">
        <v>581</v>
      </c>
      <c r="I487">
        <v>116.20988</v>
      </c>
      <c r="J487">
        <v>0.39499999999999996</v>
      </c>
      <c r="K487">
        <f t="shared" si="17"/>
        <v>18556.506707999994</v>
      </c>
      <c r="L487" t="str">
        <f t="shared" si="16"/>
        <v>R 4</v>
      </c>
    </row>
    <row r="488" spans="8:12" x14ac:dyDescent="0.25">
      <c r="H488" t="s">
        <v>421</v>
      </c>
      <c r="I488">
        <v>106.42060000000001</v>
      </c>
      <c r="J488">
        <v>0.39499999999999996</v>
      </c>
      <c r="K488">
        <f t="shared" si="17"/>
        <v>18662.927307999995</v>
      </c>
      <c r="L488" t="str">
        <f t="shared" si="16"/>
        <v>R 4</v>
      </c>
    </row>
    <row r="489" spans="8:12" x14ac:dyDescent="0.25">
      <c r="H489" t="s">
        <v>445</v>
      </c>
      <c r="I489">
        <v>106.42060000000001</v>
      </c>
      <c r="J489">
        <v>0.39499999999999996</v>
      </c>
      <c r="K489">
        <f t="shared" si="17"/>
        <v>18769.347907999996</v>
      </c>
      <c r="L489" t="str">
        <f t="shared" si="16"/>
        <v>R 4</v>
      </c>
    </row>
    <row r="490" spans="8:12" x14ac:dyDescent="0.25">
      <c r="H490" t="s">
        <v>453</v>
      </c>
      <c r="I490">
        <v>115.80240000000001</v>
      </c>
      <c r="J490">
        <v>0.39499999999999996</v>
      </c>
      <c r="K490">
        <f t="shared" si="17"/>
        <v>18885.150307999997</v>
      </c>
      <c r="L490" t="str">
        <f t="shared" si="16"/>
        <v>R 4</v>
      </c>
    </row>
    <row r="491" spans="8:12" x14ac:dyDescent="0.25">
      <c r="H491" t="s">
        <v>397</v>
      </c>
      <c r="I491">
        <v>116.20988</v>
      </c>
      <c r="J491">
        <v>0.39499999999999996</v>
      </c>
      <c r="K491">
        <f t="shared" si="17"/>
        <v>19001.360187999995</v>
      </c>
      <c r="L491" t="str">
        <f t="shared" si="16"/>
        <v>R 4</v>
      </c>
    </row>
    <row r="492" spans="8:12" x14ac:dyDescent="0.25">
      <c r="H492" t="s">
        <v>410</v>
      </c>
      <c r="I492">
        <v>116.16108</v>
      </c>
      <c r="J492">
        <v>0.39499999999999996</v>
      </c>
      <c r="K492">
        <f t="shared" si="17"/>
        <v>19117.521267999997</v>
      </c>
      <c r="L492" t="str">
        <f t="shared" si="16"/>
        <v>R 4</v>
      </c>
    </row>
    <row r="493" spans="8:12" x14ac:dyDescent="0.25">
      <c r="H493" t="s">
        <v>673</v>
      </c>
      <c r="I493">
        <v>106.42060000000001</v>
      </c>
      <c r="J493">
        <v>0.39499999999999996</v>
      </c>
      <c r="K493">
        <f t="shared" si="17"/>
        <v>19223.941867999998</v>
      </c>
      <c r="L493" t="str">
        <f t="shared" si="16"/>
        <v>R 4</v>
      </c>
    </row>
    <row r="494" spans="8:12" x14ac:dyDescent="0.25">
      <c r="H494" t="s">
        <v>575</v>
      </c>
      <c r="I494">
        <v>117.49942</v>
      </c>
      <c r="J494">
        <v>0.39500000000000002</v>
      </c>
      <c r="K494">
        <f t="shared" si="17"/>
        <v>19341.441287999998</v>
      </c>
      <c r="L494" t="str">
        <f t="shared" si="16"/>
        <v>R 4</v>
      </c>
    </row>
    <row r="495" spans="8:12" x14ac:dyDescent="0.25">
      <c r="H495" t="s">
        <v>603</v>
      </c>
      <c r="I495">
        <v>157.4288</v>
      </c>
      <c r="J495">
        <v>0.39500000000000002</v>
      </c>
      <c r="K495">
        <f t="shared" si="17"/>
        <v>19498.870088</v>
      </c>
      <c r="L495" t="str">
        <f t="shared" si="16"/>
        <v>R 4</v>
      </c>
    </row>
    <row r="496" spans="8:12" x14ac:dyDescent="0.25">
      <c r="H496" t="s">
        <v>594</v>
      </c>
      <c r="I496">
        <v>117.45062</v>
      </c>
      <c r="J496">
        <v>0.39500000000000002</v>
      </c>
      <c r="K496">
        <f t="shared" si="17"/>
        <v>19616.320707999999</v>
      </c>
      <c r="L496" t="str">
        <f t="shared" si="16"/>
        <v>R 4</v>
      </c>
    </row>
    <row r="497" spans="8:12" x14ac:dyDescent="0.25">
      <c r="H497" t="s">
        <v>659</v>
      </c>
      <c r="I497">
        <v>160.50319999999999</v>
      </c>
      <c r="J497">
        <v>0.39500000000000002</v>
      </c>
      <c r="K497">
        <f t="shared" si="17"/>
        <v>19776.823907999998</v>
      </c>
      <c r="L497" t="str">
        <f t="shared" si="16"/>
        <v>R 4</v>
      </c>
    </row>
    <row r="498" spans="8:12" x14ac:dyDescent="0.25">
      <c r="H498" t="s">
        <v>502</v>
      </c>
      <c r="I498">
        <v>157.4288</v>
      </c>
      <c r="J498">
        <v>0.39500000000000002</v>
      </c>
      <c r="K498">
        <f t="shared" si="17"/>
        <v>19934.252708</v>
      </c>
      <c r="L498" t="str">
        <f t="shared" si="16"/>
        <v>R 4</v>
      </c>
    </row>
    <row r="499" spans="8:12" x14ac:dyDescent="0.25">
      <c r="H499" t="s">
        <v>483</v>
      </c>
      <c r="I499">
        <v>157.4288</v>
      </c>
      <c r="J499">
        <v>0.39500000000000002</v>
      </c>
      <c r="K499">
        <f t="shared" si="17"/>
        <v>20091.681508000001</v>
      </c>
      <c r="L499" t="str">
        <f t="shared" si="16"/>
        <v>R 4</v>
      </c>
    </row>
    <row r="500" spans="8:12" x14ac:dyDescent="0.25">
      <c r="H500" t="s">
        <v>393</v>
      </c>
      <c r="I500">
        <v>175.64339999999999</v>
      </c>
      <c r="J500">
        <v>0.39500000000000002</v>
      </c>
      <c r="K500">
        <f t="shared" si="17"/>
        <v>20267.324908000002</v>
      </c>
      <c r="L500" t="str">
        <f t="shared" si="16"/>
        <v>R 4</v>
      </c>
    </row>
    <row r="501" spans="8:12" x14ac:dyDescent="0.25">
      <c r="H501" t="s">
        <v>665</v>
      </c>
      <c r="I501">
        <v>157.99</v>
      </c>
      <c r="J501">
        <v>0.39500000000000002</v>
      </c>
      <c r="K501">
        <f t="shared" si="17"/>
        <v>20425.314908000004</v>
      </c>
      <c r="L501" t="str">
        <f t="shared" si="16"/>
        <v>R 4</v>
      </c>
    </row>
    <row r="502" spans="8:12" x14ac:dyDescent="0.25">
      <c r="H502" t="s">
        <v>646</v>
      </c>
      <c r="I502">
        <v>108.32380000000001</v>
      </c>
      <c r="J502">
        <v>0.39500000000000002</v>
      </c>
      <c r="K502">
        <f t="shared" si="17"/>
        <v>20533.638708000002</v>
      </c>
      <c r="L502" t="str">
        <f t="shared" si="16"/>
        <v>R 4</v>
      </c>
    </row>
    <row r="503" spans="8:12" x14ac:dyDescent="0.25">
      <c r="H503" t="s">
        <v>623</v>
      </c>
      <c r="I503">
        <v>157.4288</v>
      </c>
      <c r="J503">
        <v>0.39500000000000002</v>
      </c>
      <c r="K503">
        <f t="shared" si="17"/>
        <v>20691.067508000004</v>
      </c>
      <c r="L503" t="str">
        <f t="shared" si="16"/>
        <v>R 4</v>
      </c>
    </row>
    <row r="504" spans="8:12" x14ac:dyDescent="0.25">
      <c r="H504" t="s">
        <v>671</v>
      </c>
      <c r="I504">
        <v>160.62519999999998</v>
      </c>
      <c r="J504">
        <v>0.39500000000000002</v>
      </c>
      <c r="K504">
        <f t="shared" si="17"/>
        <v>20851.692708000002</v>
      </c>
      <c r="L504" t="str">
        <f t="shared" si="16"/>
        <v>R 4</v>
      </c>
    </row>
    <row r="505" spans="8:12" x14ac:dyDescent="0.25">
      <c r="H505" t="s">
        <v>474</v>
      </c>
      <c r="I505">
        <v>175.64339999999999</v>
      </c>
      <c r="J505">
        <v>0.39500000000000002</v>
      </c>
      <c r="K505">
        <f t="shared" si="17"/>
        <v>21027.336108000003</v>
      </c>
      <c r="L505" t="str">
        <f t="shared" si="16"/>
        <v>R 5</v>
      </c>
    </row>
    <row r="506" spans="8:12" x14ac:dyDescent="0.25">
      <c r="H506" t="s">
        <v>324</v>
      </c>
      <c r="I506">
        <v>108.64099999999999</v>
      </c>
      <c r="J506">
        <v>0.39500000000000002</v>
      </c>
      <c r="K506">
        <f t="shared" si="17"/>
        <v>21135.977108000003</v>
      </c>
      <c r="L506" t="str">
        <f t="shared" si="16"/>
        <v>R 5</v>
      </c>
    </row>
    <row r="507" spans="8:12" x14ac:dyDescent="0.25">
      <c r="H507" t="s">
        <v>367</v>
      </c>
      <c r="I507">
        <v>173.02649999999997</v>
      </c>
      <c r="J507">
        <v>0.39999999999999997</v>
      </c>
      <c r="K507">
        <f t="shared" si="17"/>
        <v>21309.003608000003</v>
      </c>
      <c r="L507" t="str">
        <f t="shared" si="16"/>
        <v>R 5</v>
      </c>
    </row>
    <row r="508" spans="8:12" x14ac:dyDescent="0.25">
      <c r="H508" t="s">
        <v>639</v>
      </c>
      <c r="I508">
        <v>152.60980000000001</v>
      </c>
      <c r="J508">
        <v>0.4</v>
      </c>
      <c r="K508">
        <f t="shared" si="17"/>
        <v>21461.613408000001</v>
      </c>
      <c r="L508" t="str">
        <f t="shared" si="16"/>
        <v>R 5</v>
      </c>
    </row>
    <row r="509" spans="8:12" x14ac:dyDescent="0.25">
      <c r="H509" t="s">
        <v>399</v>
      </c>
      <c r="I509">
        <v>174.43194</v>
      </c>
      <c r="J509">
        <v>0.4</v>
      </c>
      <c r="K509">
        <f t="shared" si="17"/>
        <v>21636.045348</v>
      </c>
      <c r="L509" t="str">
        <f t="shared" si="16"/>
        <v>R 5</v>
      </c>
    </row>
    <row r="510" spans="8:12" x14ac:dyDescent="0.25">
      <c r="H510" t="s">
        <v>435</v>
      </c>
      <c r="I510">
        <v>162.18680000000001</v>
      </c>
      <c r="J510">
        <v>0.4</v>
      </c>
      <c r="K510">
        <f t="shared" si="17"/>
        <v>21798.232147999999</v>
      </c>
      <c r="L510" t="str">
        <f t="shared" si="16"/>
        <v>R 5</v>
      </c>
    </row>
    <row r="511" spans="8:12" x14ac:dyDescent="0.25">
      <c r="H511" t="s">
        <v>494</v>
      </c>
      <c r="I511">
        <v>160.33239999999998</v>
      </c>
      <c r="J511">
        <v>0.4</v>
      </c>
      <c r="K511">
        <f t="shared" si="17"/>
        <v>21958.564547999998</v>
      </c>
      <c r="L511" t="str">
        <f t="shared" si="16"/>
        <v>R 5</v>
      </c>
    </row>
    <row r="512" spans="8:12" x14ac:dyDescent="0.25">
      <c r="H512" t="s">
        <v>527</v>
      </c>
      <c r="I512">
        <v>172.29571999999999</v>
      </c>
      <c r="J512">
        <v>0.4</v>
      </c>
      <c r="K512">
        <f t="shared" si="17"/>
        <v>22130.860267999997</v>
      </c>
      <c r="L512" t="str">
        <f t="shared" si="16"/>
        <v>R 5</v>
      </c>
    </row>
    <row r="513" spans="8:12" x14ac:dyDescent="0.25">
      <c r="H513" t="s">
        <v>537</v>
      </c>
      <c r="I513">
        <v>172.24814000000001</v>
      </c>
      <c r="J513">
        <v>0.4</v>
      </c>
      <c r="K513">
        <f t="shared" si="17"/>
        <v>22303.108407999996</v>
      </c>
      <c r="L513" t="str">
        <f t="shared" si="16"/>
        <v>R 5</v>
      </c>
    </row>
    <row r="514" spans="8:12" x14ac:dyDescent="0.25">
      <c r="H514" t="s">
        <v>582</v>
      </c>
      <c r="I514">
        <v>174.43194</v>
      </c>
      <c r="J514">
        <v>0.4</v>
      </c>
      <c r="K514">
        <f t="shared" si="17"/>
        <v>22477.540347999995</v>
      </c>
      <c r="L514" t="str">
        <f t="shared" si="16"/>
        <v>R 5</v>
      </c>
    </row>
    <row r="515" spans="8:12" x14ac:dyDescent="0.25">
      <c r="H515" t="s">
        <v>452</v>
      </c>
      <c r="I515">
        <v>152.65859999999998</v>
      </c>
      <c r="J515">
        <v>0.4</v>
      </c>
      <c r="K515">
        <f t="shared" si="17"/>
        <v>22630.198947999994</v>
      </c>
      <c r="L515" t="str">
        <f t="shared" si="16"/>
        <v>R 5</v>
      </c>
    </row>
    <row r="516" spans="8:12" x14ac:dyDescent="0.25">
      <c r="H516" t="s">
        <v>681</v>
      </c>
      <c r="I516">
        <v>152.65859999999998</v>
      </c>
      <c r="J516">
        <v>0.4</v>
      </c>
      <c r="K516">
        <f t="shared" si="17"/>
        <v>22782.857547999993</v>
      </c>
      <c r="L516" t="str">
        <f t="shared" si="16"/>
        <v>R 5</v>
      </c>
    </row>
    <row r="517" spans="8:12" x14ac:dyDescent="0.25">
      <c r="H517" t="s">
        <v>526</v>
      </c>
      <c r="I517">
        <v>172.24814000000001</v>
      </c>
      <c r="J517">
        <v>0.4</v>
      </c>
      <c r="K517">
        <f t="shared" si="17"/>
        <v>22955.105687999992</v>
      </c>
      <c r="L517" t="str">
        <f t="shared" si="16"/>
        <v>R 5</v>
      </c>
    </row>
    <row r="518" spans="8:12" x14ac:dyDescent="0.25">
      <c r="H518" t="s">
        <v>441</v>
      </c>
      <c r="I518">
        <v>158.09979999999999</v>
      </c>
      <c r="J518">
        <v>0.4</v>
      </c>
      <c r="K518">
        <f t="shared" si="17"/>
        <v>23113.205487999992</v>
      </c>
      <c r="L518" t="str">
        <f t="shared" si="16"/>
        <v>R 5</v>
      </c>
    </row>
    <row r="519" spans="8:12" x14ac:dyDescent="0.25">
      <c r="H519" t="s">
        <v>514</v>
      </c>
      <c r="I519">
        <v>172.2945</v>
      </c>
      <c r="J519">
        <v>0.4</v>
      </c>
      <c r="K519">
        <f t="shared" si="17"/>
        <v>23285.499987999992</v>
      </c>
      <c r="L519" t="str">
        <f t="shared" si="16"/>
        <v>R 5</v>
      </c>
    </row>
    <row r="520" spans="8:12" x14ac:dyDescent="0.25">
      <c r="H520" t="s">
        <v>443</v>
      </c>
      <c r="I520">
        <v>152.6464</v>
      </c>
      <c r="J520">
        <v>0.4</v>
      </c>
      <c r="K520">
        <f t="shared" si="17"/>
        <v>23438.146387999994</v>
      </c>
      <c r="L520" t="str">
        <f t="shared" si="16"/>
        <v>R 5</v>
      </c>
    </row>
    <row r="521" spans="8:12" x14ac:dyDescent="0.25">
      <c r="H521" t="s">
        <v>708</v>
      </c>
      <c r="I521">
        <v>152.65859999999998</v>
      </c>
      <c r="J521">
        <v>0.4</v>
      </c>
      <c r="K521">
        <f t="shared" si="17"/>
        <v>23590.804987999993</v>
      </c>
      <c r="L521" t="str">
        <f t="shared" si="16"/>
        <v>R 5</v>
      </c>
    </row>
    <row r="522" spans="8:12" x14ac:dyDescent="0.25">
      <c r="H522" t="s">
        <v>688</v>
      </c>
      <c r="I522">
        <v>162.18680000000001</v>
      </c>
      <c r="J522">
        <v>0.4</v>
      </c>
      <c r="K522">
        <f t="shared" si="17"/>
        <v>23752.991787999992</v>
      </c>
      <c r="L522" t="str">
        <f t="shared" si="16"/>
        <v>R 5</v>
      </c>
    </row>
    <row r="523" spans="8:12" x14ac:dyDescent="0.25">
      <c r="H523" t="s">
        <v>430</v>
      </c>
      <c r="I523">
        <v>152.65859999999998</v>
      </c>
      <c r="J523">
        <v>0.4</v>
      </c>
      <c r="K523">
        <f t="shared" si="17"/>
        <v>23905.650387999991</v>
      </c>
      <c r="L523" t="str">
        <f t="shared" si="16"/>
        <v>R 5</v>
      </c>
    </row>
    <row r="524" spans="8:12" x14ac:dyDescent="0.25">
      <c r="H524" t="s">
        <v>694</v>
      </c>
      <c r="I524">
        <v>158.09979999999999</v>
      </c>
      <c r="J524">
        <v>0.4</v>
      </c>
      <c r="K524">
        <f t="shared" si="17"/>
        <v>24063.750187999991</v>
      </c>
      <c r="L524" t="str">
        <f t="shared" si="16"/>
        <v>R 5</v>
      </c>
    </row>
    <row r="525" spans="8:12" x14ac:dyDescent="0.25">
      <c r="H525" t="s">
        <v>615</v>
      </c>
      <c r="I525">
        <v>160.33239999999998</v>
      </c>
      <c r="J525">
        <v>0.4</v>
      </c>
      <c r="K525">
        <f t="shared" si="17"/>
        <v>24224.08258799999</v>
      </c>
      <c r="L525" t="str">
        <f t="shared" si="16"/>
        <v>R 5</v>
      </c>
    </row>
    <row r="526" spans="8:12" x14ac:dyDescent="0.25">
      <c r="H526" t="s">
        <v>697</v>
      </c>
      <c r="I526">
        <v>152.6464</v>
      </c>
      <c r="J526">
        <v>0.4</v>
      </c>
      <c r="K526">
        <f t="shared" si="17"/>
        <v>24376.728987999992</v>
      </c>
      <c r="L526" t="str">
        <f t="shared" si="16"/>
        <v>R 5</v>
      </c>
    </row>
    <row r="527" spans="8:12" x14ac:dyDescent="0.25">
      <c r="H527" t="s">
        <v>272</v>
      </c>
      <c r="I527">
        <v>110.91019999999999</v>
      </c>
      <c r="J527">
        <v>0.40499999999999997</v>
      </c>
      <c r="K527">
        <f t="shared" si="17"/>
        <v>24487.63918799999</v>
      </c>
      <c r="L527" t="str">
        <f t="shared" si="16"/>
        <v>R 5</v>
      </c>
    </row>
    <row r="528" spans="8:12" x14ac:dyDescent="0.25">
      <c r="H528" t="s">
        <v>423</v>
      </c>
      <c r="I528">
        <v>160.23480000000001</v>
      </c>
      <c r="J528">
        <v>0.40499999999999997</v>
      </c>
      <c r="K528">
        <f t="shared" si="17"/>
        <v>24647.873987999988</v>
      </c>
      <c r="L528" t="str">
        <f t="shared" si="16"/>
        <v>R 5</v>
      </c>
    </row>
    <row r="529" spans="8:12" x14ac:dyDescent="0.25">
      <c r="H529" t="s">
        <v>249</v>
      </c>
      <c r="I529">
        <v>110.91019999999999</v>
      </c>
      <c r="J529">
        <v>0.40499999999999997</v>
      </c>
      <c r="K529">
        <f t="shared" si="17"/>
        <v>24758.784187999987</v>
      </c>
      <c r="L529" t="str">
        <f t="shared" si="16"/>
        <v>R 5</v>
      </c>
    </row>
    <row r="530" spans="8:12" x14ac:dyDescent="0.25">
      <c r="H530" t="s">
        <v>444</v>
      </c>
      <c r="I530">
        <v>160.23480000000001</v>
      </c>
      <c r="J530">
        <v>0.40499999999999997</v>
      </c>
      <c r="K530">
        <f t="shared" si="17"/>
        <v>24919.018987999985</v>
      </c>
      <c r="L530" t="str">
        <f t="shared" si="16"/>
        <v>R 6</v>
      </c>
    </row>
    <row r="531" spans="8:12" x14ac:dyDescent="0.25">
      <c r="H531" t="s">
        <v>454</v>
      </c>
      <c r="I531">
        <v>175.93620000000001</v>
      </c>
      <c r="J531">
        <v>0.40499999999999997</v>
      </c>
      <c r="K531">
        <f t="shared" si="17"/>
        <v>25094.955187999985</v>
      </c>
      <c r="L531" t="str">
        <f t="shared" si="16"/>
        <v>R 6</v>
      </c>
    </row>
    <row r="532" spans="8:12" x14ac:dyDescent="0.25">
      <c r="H532" t="s">
        <v>675</v>
      </c>
      <c r="I532">
        <v>160.23480000000001</v>
      </c>
      <c r="J532">
        <v>0.40499999999999997</v>
      </c>
      <c r="K532">
        <f t="shared" si="17"/>
        <v>25255.189987999984</v>
      </c>
      <c r="L532" t="str">
        <f t="shared" si="16"/>
        <v>R 6</v>
      </c>
    </row>
    <row r="533" spans="8:12" x14ac:dyDescent="0.25">
      <c r="H533" t="s">
        <v>385</v>
      </c>
      <c r="I533">
        <v>180.00489999999999</v>
      </c>
      <c r="J533">
        <v>0.40499999999999997</v>
      </c>
      <c r="K533">
        <f t="shared" si="17"/>
        <v>25435.194887999984</v>
      </c>
      <c r="L533" t="str">
        <f t="shared" si="16"/>
        <v>R 6</v>
      </c>
    </row>
    <row r="534" spans="8:12" x14ac:dyDescent="0.25">
      <c r="H534" t="s">
        <v>258</v>
      </c>
      <c r="I534">
        <v>110.91019999999999</v>
      </c>
      <c r="J534">
        <v>0.40499999999999997</v>
      </c>
      <c r="K534">
        <f t="shared" si="17"/>
        <v>25546.105087999982</v>
      </c>
      <c r="L534" t="str">
        <f t="shared" si="16"/>
        <v>R 6</v>
      </c>
    </row>
    <row r="535" spans="8:12" x14ac:dyDescent="0.25">
      <c r="H535" t="s">
        <v>271</v>
      </c>
      <c r="I535">
        <v>120.71899999999999</v>
      </c>
      <c r="J535">
        <v>0.40499999999999997</v>
      </c>
      <c r="K535">
        <f t="shared" si="17"/>
        <v>25666.824087999983</v>
      </c>
      <c r="L535" t="str">
        <f t="shared" si="16"/>
        <v>R 6</v>
      </c>
    </row>
    <row r="536" spans="8:12" x14ac:dyDescent="0.25">
      <c r="H536" t="s">
        <v>408</v>
      </c>
      <c r="I536">
        <v>176.48886000000002</v>
      </c>
      <c r="J536">
        <v>0.40499999999999997</v>
      </c>
      <c r="K536">
        <f t="shared" si="17"/>
        <v>25843.312947999984</v>
      </c>
      <c r="L536" t="str">
        <f t="shared" si="16"/>
        <v>R 6</v>
      </c>
    </row>
    <row r="537" spans="8:12" x14ac:dyDescent="0.25">
      <c r="H537" t="s">
        <v>259</v>
      </c>
      <c r="I537">
        <v>120.71899999999999</v>
      </c>
      <c r="J537">
        <v>0.40499999999999997</v>
      </c>
      <c r="K537">
        <f t="shared" si="17"/>
        <v>25964.031947999985</v>
      </c>
      <c r="L537" t="str">
        <f t="shared" si="16"/>
        <v>R 6</v>
      </c>
    </row>
    <row r="538" spans="8:12" x14ac:dyDescent="0.25">
      <c r="H538" t="s">
        <v>698</v>
      </c>
      <c r="I538">
        <v>160.23480000000001</v>
      </c>
      <c r="J538">
        <v>0.40499999999999997</v>
      </c>
      <c r="K538">
        <f t="shared" si="17"/>
        <v>26124.266747999984</v>
      </c>
      <c r="L538" t="str">
        <f t="shared" si="16"/>
        <v>R 6</v>
      </c>
    </row>
    <row r="539" spans="8:12" x14ac:dyDescent="0.25">
      <c r="H539" t="s">
        <v>651</v>
      </c>
      <c r="I539">
        <v>157.99</v>
      </c>
      <c r="J539">
        <v>0.40500000000000003</v>
      </c>
      <c r="K539">
        <f t="shared" si="17"/>
        <v>26282.256747999985</v>
      </c>
      <c r="L539" t="str">
        <f t="shared" si="16"/>
        <v>R 6</v>
      </c>
    </row>
    <row r="540" spans="8:12" x14ac:dyDescent="0.25">
      <c r="H540" t="s">
        <v>495</v>
      </c>
      <c r="I540">
        <v>154.92779999999999</v>
      </c>
      <c r="J540">
        <v>0.41000000000000003</v>
      </c>
      <c r="K540">
        <f t="shared" si="17"/>
        <v>26437.184547999987</v>
      </c>
      <c r="L540" t="str">
        <f t="shared" si="16"/>
        <v>R 6</v>
      </c>
    </row>
    <row r="541" spans="8:12" x14ac:dyDescent="0.25">
      <c r="H541" t="s">
        <v>604</v>
      </c>
      <c r="I541">
        <v>155.12299999999999</v>
      </c>
      <c r="J541">
        <v>0.41000000000000003</v>
      </c>
      <c r="K541">
        <f t="shared" si="17"/>
        <v>26592.307547999986</v>
      </c>
      <c r="L541" t="str">
        <f t="shared" si="16"/>
        <v>R 6</v>
      </c>
    </row>
    <row r="542" spans="8:12" x14ac:dyDescent="0.25">
      <c r="H542" t="s">
        <v>616</v>
      </c>
      <c r="I542">
        <v>154.92779999999999</v>
      </c>
      <c r="J542">
        <v>0.41000000000000003</v>
      </c>
      <c r="K542">
        <f t="shared" si="17"/>
        <v>26747.235347999987</v>
      </c>
      <c r="L542" t="str">
        <f t="shared" si="16"/>
        <v>R 6</v>
      </c>
    </row>
    <row r="543" spans="8:12" x14ac:dyDescent="0.25">
      <c r="H543" t="s">
        <v>398</v>
      </c>
      <c r="I543">
        <v>172.49579999999997</v>
      </c>
      <c r="J543">
        <v>0.41000000000000003</v>
      </c>
      <c r="K543">
        <f t="shared" si="17"/>
        <v>26919.731147999988</v>
      </c>
      <c r="L543" t="str">
        <f t="shared" si="16"/>
        <v>R 6</v>
      </c>
    </row>
    <row r="544" spans="8:12" x14ac:dyDescent="0.25">
      <c r="H544" t="s">
        <v>477</v>
      </c>
      <c r="I544">
        <v>172.49579999999997</v>
      </c>
      <c r="J544">
        <v>0.41000000000000003</v>
      </c>
      <c r="K544">
        <f t="shared" si="17"/>
        <v>27092.226947999989</v>
      </c>
      <c r="L544" t="str">
        <f t="shared" si="16"/>
        <v>R 6</v>
      </c>
    </row>
    <row r="545" spans="8:12" x14ac:dyDescent="0.25">
      <c r="H545" t="s">
        <v>551</v>
      </c>
      <c r="I545">
        <v>172.17982000000001</v>
      </c>
      <c r="J545">
        <v>0.41000000000000003</v>
      </c>
      <c r="K545">
        <f t="shared" si="17"/>
        <v>27264.40676799999</v>
      </c>
      <c r="L545" t="str">
        <f t="shared" si="16"/>
        <v>R 6</v>
      </c>
    </row>
    <row r="546" spans="8:12" x14ac:dyDescent="0.25">
      <c r="H546" t="s">
        <v>484</v>
      </c>
      <c r="I546">
        <v>155.12299999999999</v>
      </c>
      <c r="J546">
        <v>0.41000000000000003</v>
      </c>
      <c r="K546">
        <f t="shared" si="17"/>
        <v>27419.529767999989</v>
      </c>
      <c r="L546" t="str">
        <f t="shared" si="16"/>
        <v>R 6</v>
      </c>
    </row>
    <row r="547" spans="8:12" x14ac:dyDescent="0.25">
      <c r="H547" t="s">
        <v>570</v>
      </c>
      <c r="I547">
        <v>172.10906</v>
      </c>
      <c r="J547">
        <v>0.41000000000000003</v>
      </c>
      <c r="K547">
        <f t="shared" si="17"/>
        <v>27591.638827999988</v>
      </c>
      <c r="L547" t="str">
        <f t="shared" si="16"/>
        <v>R 6</v>
      </c>
    </row>
    <row r="548" spans="8:12" x14ac:dyDescent="0.25">
      <c r="H548" t="s">
        <v>505</v>
      </c>
      <c r="I548">
        <v>155.12299999999999</v>
      </c>
      <c r="J548">
        <v>0.41000000000000003</v>
      </c>
      <c r="K548">
        <f t="shared" si="17"/>
        <v>27746.761827999988</v>
      </c>
      <c r="L548" t="str">
        <f t="shared" si="16"/>
        <v>R 6</v>
      </c>
    </row>
    <row r="549" spans="8:12" x14ac:dyDescent="0.25">
      <c r="H549" t="s">
        <v>626</v>
      </c>
      <c r="I549">
        <v>155.12299999999999</v>
      </c>
      <c r="J549">
        <v>0.41000000000000003</v>
      </c>
      <c r="K549">
        <f t="shared" si="17"/>
        <v>27901.884827999987</v>
      </c>
      <c r="L549" t="str">
        <f t="shared" ref="L549:L612" si="18">IF(AND(K549&gt;=0,K549&lt;=8453),"R 1",IF(AND(K549&gt;=8453,K549&lt;=11934),"R 2",IF(AND(K549&gt;=11934,K549&lt;=15415),"R 3",IF(AND(K549&gt;=15415,K549&lt;=20885),"R 4",IF(AND(K549&gt;=20885,K549&lt;=24863),"R 5",IF(AND(K549&gt;=24863,K549&lt;=28334),"R 6",IF(AND(K549&gt;=28334,K549&lt;=32322),"R 7",IF(AND(K549&gt;=32322,K549&lt;=38289),"R 8",IF(AND(K549&gt;=38289,K549&lt;=42267),"R 9",IF(AND(K549&gt;=42267,K549&lt;=43759),"R 10",IF(AND(K549&gt;=43759,K549&lt;=45251),"R 11",IF(AND(K549&gt;=45251,K549&lt;=49727),"R 12"))))))))))))</f>
        <v>R 6</v>
      </c>
    </row>
    <row r="550" spans="8:12" x14ac:dyDescent="0.25">
      <c r="H550" t="s">
        <v>336</v>
      </c>
      <c r="I550">
        <v>119.76739999999999</v>
      </c>
      <c r="J550">
        <v>0.41499999999999992</v>
      </c>
      <c r="K550">
        <f t="shared" ref="K550:K613" si="19">K549+I550</f>
        <v>28021.652227999988</v>
      </c>
      <c r="L550" t="str">
        <f t="shared" si="18"/>
        <v>R 6</v>
      </c>
    </row>
    <row r="551" spans="8:12" x14ac:dyDescent="0.25">
      <c r="H551" t="s">
        <v>368</v>
      </c>
      <c r="I551">
        <v>116.20988</v>
      </c>
      <c r="J551">
        <v>0.41499999999999992</v>
      </c>
      <c r="K551">
        <f t="shared" si="19"/>
        <v>28137.862107999987</v>
      </c>
      <c r="L551" t="str">
        <f t="shared" si="18"/>
        <v>R 6</v>
      </c>
    </row>
    <row r="552" spans="8:12" x14ac:dyDescent="0.25">
      <c r="H552" t="s">
        <v>322</v>
      </c>
      <c r="I552">
        <v>119.76739999999999</v>
      </c>
      <c r="J552">
        <v>0.41499999999999992</v>
      </c>
      <c r="K552">
        <f t="shared" si="19"/>
        <v>28257.629507999987</v>
      </c>
      <c r="L552" t="str">
        <f t="shared" si="18"/>
        <v>R 6</v>
      </c>
    </row>
    <row r="553" spans="8:12" x14ac:dyDescent="0.25">
      <c r="H553" t="s">
        <v>463</v>
      </c>
      <c r="I553">
        <v>173.1302</v>
      </c>
      <c r="J553">
        <v>0.41499999999999998</v>
      </c>
      <c r="K553">
        <f t="shared" si="19"/>
        <v>28430.759707999987</v>
      </c>
      <c r="L553" t="str">
        <f t="shared" si="18"/>
        <v>R 7</v>
      </c>
    </row>
    <row r="554" spans="8:12" x14ac:dyDescent="0.25">
      <c r="H554" t="s">
        <v>447</v>
      </c>
      <c r="I554">
        <v>108.42140000000001</v>
      </c>
      <c r="J554">
        <v>0.41499999999999998</v>
      </c>
      <c r="K554">
        <f t="shared" si="19"/>
        <v>28539.181107999986</v>
      </c>
      <c r="L554" t="str">
        <f t="shared" si="18"/>
        <v>R 7</v>
      </c>
    </row>
    <row r="555" spans="8:12" x14ac:dyDescent="0.25">
      <c r="H555" t="s">
        <v>455</v>
      </c>
      <c r="I555">
        <v>117.47380000000001</v>
      </c>
      <c r="J555">
        <v>0.41499999999999998</v>
      </c>
      <c r="K555">
        <f t="shared" si="19"/>
        <v>28656.654907999986</v>
      </c>
      <c r="L555" t="str">
        <f t="shared" si="18"/>
        <v>R 7</v>
      </c>
    </row>
    <row r="556" spans="8:12" x14ac:dyDescent="0.25">
      <c r="H556" t="s">
        <v>634</v>
      </c>
      <c r="I556">
        <v>108.32380000000001</v>
      </c>
      <c r="J556">
        <v>0.41499999999999998</v>
      </c>
      <c r="K556">
        <f t="shared" si="19"/>
        <v>28764.978707999984</v>
      </c>
      <c r="L556" t="str">
        <f t="shared" si="18"/>
        <v>R 7</v>
      </c>
    </row>
    <row r="557" spans="8:12" x14ac:dyDescent="0.25">
      <c r="H557" t="s">
        <v>702</v>
      </c>
      <c r="I557">
        <v>108.42140000000001</v>
      </c>
      <c r="J557">
        <v>0.41499999999999998</v>
      </c>
      <c r="K557">
        <f t="shared" si="19"/>
        <v>28873.400107999983</v>
      </c>
      <c r="L557" t="str">
        <f t="shared" si="18"/>
        <v>R 7</v>
      </c>
    </row>
    <row r="558" spans="8:12" x14ac:dyDescent="0.25">
      <c r="H558" t="s">
        <v>413</v>
      </c>
      <c r="I558">
        <v>117.45062</v>
      </c>
      <c r="J558">
        <v>0.41499999999999998</v>
      </c>
      <c r="K558">
        <f t="shared" si="19"/>
        <v>28990.850727999983</v>
      </c>
      <c r="L558" t="str">
        <f t="shared" si="18"/>
        <v>R 7</v>
      </c>
    </row>
    <row r="559" spans="8:12" x14ac:dyDescent="0.25">
      <c r="H559" t="s">
        <v>400</v>
      </c>
      <c r="I559">
        <v>117.49942</v>
      </c>
      <c r="J559">
        <v>0.41499999999999998</v>
      </c>
      <c r="K559">
        <f t="shared" si="19"/>
        <v>29108.350147999983</v>
      </c>
      <c r="L559" t="str">
        <f t="shared" si="18"/>
        <v>R 7</v>
      </c>
    </row>
    <row r="560" spans="8:12" x14ac:dyDescent="0.25">
      <c r="H560" t="s">
        <v>436</v>
      </c>
      <c r="I560">
        <v>108.42140000000001</v>
      </c>
      <c r="J560">
        <v>0.41499999999999998</v>
      </c>
      <c r="K560">
        <f t="shared" si="19"/>
        <v>29216.771547999982</v>
      </c>
      <c r="L560" t="str">
        <f t="shared" si="18"/>
        <v>R 7</v>
      </c>
    </row>
    <row r="561" spans="8:12" x14ac:dyDescent="0.25">
      <c r="H561" t="s">
        <v>387</v>
      </c>
      <c r="I561">
        <v>117.49942</v>
      </c>
      <c r="J561">
        <v>0.41499999999999998</v>
      </c>
      <c r="K561">
        <f t="shared" si="19"/>
        <v>29334.270967999983</v>
      </c>
      <c r="L561" t="str">
        <f t="shared" si="18"/>
        <v>R 7</v>
      </c>
    </row>
    <row r="562" spans="8:12" x14ac:dyDescent="0.25">
      <c r="H562" t="s">
        <v>689</v>
      </c>
      <c r="I562">
        <v>108.42140000000001</v>
      </c>
      <c r="J562">
        <v>0.41499999999999998</v>
      </c>
      <c r="K562">
        <f t="shared" si="19"/>
        <v>29442.692367999982</v>
      </c>
      <c r="L562" t="str">
        <f t="shared" si="18"/>
        <v>R 7</v>
      </c>
    </row>
    <row r="563" spans="8:12" x14ac:dyDescent="0.25">
      <c r="H563" t="s">
        <v>676</v>
      </c>
      <c r="I563">
        <v>108.42140000000001</v>
      </c>
      <c r="J563">
        <v>0.41499999999999998</v>
      </c>
      <c r="K563">
        <f t="shared" si="19"/>
        <v>29551.113767999981</v>
      </c>
      <c r="L563" t="str">
        <f t="shared" si="18"/>
        <v>R 7</v>
      </c>
    </row>
    <row r="564" spans="8:12" x14ac:dyDescent="0.25">
      <c r="H564" t="s">
        <v>424</v>
      </c>
      <c r="I564">
        <v>108.42140000000001</v>
      </c>
      <c r="J564">
        <v>0.41499999999999998</v>
      </c>
      <c r="K564">
        <f t="shared" si="19"/>
        <v>29659.53516799998</v>
      </c>
      <c r="L564" t="str">
        <f t="shared" si="18"/>
        <v>R 7</v>
      </c>
    </row>
    <row r="565" spans="8:12" x14ac:dyDescent="0.25">
      <c r="H565" t="s">
        <v>395</v>
      </c>
      <c r="I565">
        <v>173.15338</v>
      </c>
      <c r="J565">
        <v>0.41499999999999998</v>
      </c>
      <c r="K565">
        <f t="shared" si="19"/>
        <v>29832.68854799998</v>
      </c>
      <c r="L565" t="str">
        <f t="shared" si="18"/>
        <v>R 7</v>
      </c>
    </row>
    <row r="566" spans="8:12" x14ac:dyDescent="0.25">
      <c r="H566" t="s">
        <v>418</v>
      </c>
      <c r="I566">
        <v>173.15338</v>
      </c>
      <c r="J566">
        <v>0.41499999999999998</v>
      </c>
      <c r="K566">
        <f t="shared" si="19"/>
        <v>30005.84192799998</v>
      </c>
      <c r="L566" t="str">
        <f t="shared" si="18"/>
        <v>R 7</v>
      </c>
    </row>
    <row r="567" spans="8:12" x14ac:dyDescent="0.25">
      <c r="H567" t="s">
        <v>583</v>
      </c>
      <c r="I567">
        <v>117.49942</v>
      </c>
      <c r="J567">
        <v>0.41499999999999998</v>
      </c>
      <c r="K567">
        <f t="shared" si="19"/>
        <v>30123.34134799998</v>
      </c>
      <c r="L567" t="str">
        <f t="shared" si="18"/>
        <v>R 7</v>
      </c>
    </row>
    <row r="568" spans="8:12" x14ac:dyDescent="0.25">
      <c r="H568" t="s">
        <v>645</v>
      </c>
      <c r="I568">
        <v>156.8432</v>
      </c>
      <c r="J568">
        <v>0.41500000000000004</v>
      </c>
      <c r="K568">
        <f t="shared" si="19"/>
        <v>30280.184547999979</v>
      </c>
      <c r="L568" t="str">
        <f t="shared" si="18"/>
        <v>R 7</v>
      </c>
    </row>
    <row r="569" spans="8:12" x14ac:dyDescent="0.25">
      <c r="H569" t="s">
        <v>667</v>
      </c>
      <c r="I569">
        <v>159.96639999999999</v>
      </c>
      <c r="J569">
        <v>0.41500000000000004</v>
      </c>
      <c r="K569">
        <f t="shared" si="19"/>
        <v>30440.15094799998</v>
      </c>
      <c r="L569" t="str">
        <f t="shared" si="18"/>
        <v>R 7</v>
      </c>
    </row>
    <row r="570" spans="8:12" x14ac:dyDescent="0.25">
      <c r="H570" t="s">
        <v>596</v>
      </c>
      <c r="I570">
        <v>172.24814000000001</v>
      </c>
      <c r="J570">
        <v>0.42000000000000004</v>
      </c>
      <c r="K570">
        <f t="shared" si="19"/>
        <v>30612.39908799998</v>
      </c>
      <c r="L570" t="str">
        <f t="shared" si="18"/>
        <v>R 7</v>
      </c>
    </row>
    <row r="571" spans="8:12" x14ac:dyDescent="0.25">
      <c r="H571" t="s">
        <v>660</v>
      </c>
      <c r="I571">
        <v>155.489</v>
      </c>
      <c r="J571">
        <v>0.42000000000000004</v>
      </c>
      <c r="K571">
        <f t="shared" si="19"/>
        <v>30767.888087999982</v>
      </c>
      <c r="L571" t="str">
        <f t="shared" si="18"/>
        <v>R 7</v>
      </c>
    </row>
    <row r="572" spans="8:12" x14ac:dyDescent="0.25">
      <c r="H572" t="s">
        <v>576</v>
      </c>
      <c r="I572">
        <v>172.2945</v>
      </c>
      <c r="J572">
        <v>0.42000000000000004</v>
      </c>
      <c r="K572">
        <f t="shared" si="19"/>
        <v>30940.182587999981</v>
      </c>
      <c r="L572" t="str">
        <f t="shared" si="18"/>
        <v>R 7</v>
      </c>
    </row>
    <row r="573" spans="8:12" x14ac:dyDescent="0.25">
      <c r="H573" t="s">
        <v>706</v>
      </c>
      <c r="I573">
        <v>158.08760000000001</v>
      </c>
      <c r="J573">
        <v>0.42499999999999993</v>
      </c>
      <c r="K573">
        <f t="shared" si="19"/>
        <v>31098.27018799998</v>
      </c>
      <c r="L573" t="str">
        <f t="shared" si="18"/>
        <v>R 7</v>
      </c>
    </row>
    <row r="574" spans="8:12" x14ac:dyDescent="0.25">
      <c r="H574" t="s">
        <v>321</v>
      </c>
      <c r="I574">
        <v>119.5356</v>
      </c>
      <c r="J574">
        <v>0.42499999999999993</v>
      </c>
      <c r="K574">
        <f t="shared" si="19"/>
        <v>31217.80578799998</v>
      </c>
      <c r="L574" t="str">
        <f t="shared" si="18"/>
        <v>R 7</v>
      </c>
    </row>
    <row r="575" spans="8:12" x14ac:dyDescent="0.25">
      <c r="H575" t="s">
        <v>431</v>
      </c>
      <c r="I575">
        <v>158.08760000000001</v>
      </c>
      <c r="J575">
        <v>0.42499999999999993</v>
      </c>
      <c r="K575">
        <f t="shared" si="19"/>
        <v>31375.893387999979</v>
      </c>
      <c r="L575" t="str">
        <f t="shared" si="18"/>
        <v>R 7</v>
      </c>
    </row>
    <row r="576" spans="8:12" x14ac:dyDescent="0.25">
      <c r="H576" t="s">
        <v>451</v>
      </c>
      <c r="I576">
        <v>158.08760000000001</v>
      </c>
      <c r="J576">
        <v>0.42499999999999993</v>
      </c>
      <c r="K576">
        <f t="shared" si="19"/>
        <v>31533.980987999978</v>
      </c>
      <c r="L576" t="str">
        <f t="shared" si="18"/>
        <v>R 7</v>
      </c>
    </row>
    <row r="577" spans="8:12" x14ac:dyDescent="0.25">
      <c r="H577" t="s">
        <v>319</v>
      </c>
      <c r="I577">
        <v>74.395599999999988</v>
      </c>
      <c r="J577">
        <v>0.42499999999999993</v>
      </c>
      <c r="K577">
        <f t="shared" si="19"/>
        <v>31608.376587999977</v>
      </c>
      <c r="L577" t="str">
        <f t="shared" si="18"/>
        <v>R 7</v>
      </c>
    </row>
    <row r="578" spans="8:12" x14ac:dyDescent="0.25">
      <c r="H578" t="s">
        <v>363</v>
      </c>
      <c r="I578">
        <v>108.7264</v>
      </c>
      <c r="J578">
        <v>0.42499999999999993</v>
      </c>
      <c r="K578">
        <f t="shared" si="19"/>
        <v>31717.102987999977</v>
      </c>
      <c r="L578" t="str">
        <f t="shared" si="18"/>
        <v>R 7</v>
      </c>
    </row>
    <row r="579" spans="8:12" x14ac:dyDescent="0.25">
      <c r="H579" t="s">
        <v>683</v>
      </c>
      <c r="I579">
        <v>158.08760000000001</v>
      </c>
      <c r="J579">
        <v>0.42499999999999993</v>
      </c>
      <c r="K579">
        <f t="shared" si="19"/>
        <v>31875.190587999976</v>
      </c>
      <c r="L579" t="str">
        <f t="shared" si="18"/>
        <v>R 7</v>
      </c>
    </row>
    <row r="580" spans="8:12" x14ac:dyDescent="0.25">
      <c r="H580" t="s">
        <v>332</v>
      </c>
      <c r="I580">
        <v>108.7264</v>
      </c>
      <c r="J580">
        <v>0.42499999999999993</v>
      </c>
      <c r="K580">
        <f t="shared" si="19"/>
        <v>31983.916987999975</v>
      </c>
      <c r="L580" t="str">
        <f t="shared" si="18"/>
        <v>R 7</v>
      </c>
    </row>
    <row r="581" spans="8:12" x14ac:dyDescent="0.25">
      <c r="H581" t="s">
        <v>348</v>
      </c>
      <c r="I581">
        <v>118.5474</v>
      </c>
      <c r="J581">
        <v>0.42499999999999993</v>
      </c>
      <c r="K581">
        <f t="shared" si="19"/>
        <v>32102.464387999975</v>
      </c>
      <c r="L581" t="str">
        <f t="shared" si="18"/>
        <v>R 7</v>
      </c>
    </row>
    <row r="582" spans="8:12" x14ac:dyDescent="0.25">
      <c r="H582" t="s">
        <v>335</v>
      </c>
      <c r="I582">
        <v>118.5474</v>
      </c>
      <c r="J582">
        <v>0.42499999999999993</v>
      </c>
      <c r="K582">
        <f t="shared" si="19"/>
        <v>32221.011787999974</v>
      </c>
      <c r="L582" t="str">
        <f t="shared" si="18"/>
        <v>R 7</v>
      </c>
    </row>
    <row r="583" spans="8:12" x14ac:dyDescent="0.25">
      <c r="H583" t="s">
        <v>351</v>
      </c>
      <c r="I583">
        <v>108.7264</v>
      </c>
      <c r="J583">
        <v>0.42499999999999993</v>
      </c>
      <c r="K583">
        <f t="shared" si="19"/>
        <v>32329.738187999974</v>
      </c>
      <c r="L583" t="str">
        <f t="shared" si="18"/>
        <v>R 8</v>
      </c>
    </row>
    <row r="584" spans="8:12" x14ac:dyDescent="0.25">
      <c r="H584" t="s">
        <v>339</v>
      </c>
      <c r="I584">
        <v>74.395599999999988</v>
      </c>
      <c r="J584">
        <v>0.42499999999999993</v>
      </c>
      <c r="K584">
        <f t="shared" si="19"/>
        <v>32404.133787999974</v>
      </c>
      <c r="L584" t="str">
        <f t="shared" si="18"/>
        <v>R 8</v>
      </c>
    </row>
    <row r="585" spans="8:12" x14ac:dyDescent="0.25">
      <c r="H585" t="s">
        <v>352</v>
      </c>
      <c r="I585">
        <v>74.395599999999988</v>
      </c>
      <c r="J585">
        <v>0.42499999999999993</v>
      </c>
      <c r="K585">
        <f t="shared" si="19"/>
        <v>32478.529387999974</v>
      </c>
      <c r="L585" t="str">
        <f t="shared" si="18"/>
        <v>R 8</v>
      </c>
    </row>
    <row r="586" spans="8:12" x14ac:dyDescent="0.25">
      <c r="H586" t="s">
        <v>388</v>
      </c>
      <c r="I586">
        <v>172.82886000000002</v>
      </c>
      <c r="J586">
        <v>0.42499999999999999</v>
      </c>
      <c r="K586">
        <f t="shared" si="19"/>
        <v>32651.358247999975</v>
      </c>
      <c r="L586" t="str">
        <f t="shared" si="18"/>
        <v>R 8</v>
      </c>
    </row>
    <row r="587" spans="8:12" x14ac:dyDescent="0.25">
      <c r="H587" t="s">
        <v>412</v>
      </c>
      <c r="I587">
        <v>172.82886000000002</v>
      </c>
      <c r="J587">
        <v>0.42499999999999999</v>
      </c>
      <c r="K587">
        <f t="shared" si="19"/>
        <v>32824.187107999976</v>
      </c>
      <c r="L587" t="str">
        <f t="shared" si="18"/>
        <v>R 8</v>
      </c>
    </row>
    <row r="588" spans="8:12" x14ac:dyDescent="0.25">
      <c r="H588" t="s">
        <v>457</v>
      </c>
      <c r="I588">
        <v>172.7398</v>
      </c>
      <c r="J588">
        <v>0.42499999999999999</v>
      </c>
      <c r="K588">
        <f t="shared" si="19"/>
        <v>32996.926907999979</v>
      </c>
      <c r="L588" t="str">
        <f t="shared" si="18"/>
        <v>R 8</v>
      </c>
    </row>
    <row r="589" spans="8:12" x14ac:dyDescent="0.25">
      <c r="H589" t="s">
        <v>605</v>
      </c>
      <c r="I589">
        <v>160.34460000000001</v>
      </c>
      <c r="J589">
        <v>0.42500000000000004</v>
      </c>
      <c r="K589">
        <f t="shared" si="19"/>
        <v>33157.271507999976</v>
      </c>
      <c r="L589" t="str">
        <f t="shared" si="18"/>
        <v>R 8</v>
      </c>
    </row>
    <row r="590" spans="8:12" x14ac:dyDescent="0.25">
      <c r="H590" t="s">
        <v>536</v>
      </c>
      <c r="I590">
        <v>175.66658000000001</v>
      </c>
      <c r="J590">
        <v>0.42500000000000004</v>
      </c>
      <c r="K590">
        <f t="shared" si="19"/>
        <v>33332.938087999974</v>
      </c>
      <c r="L590" t="str">
        <f t="shared" si="18"/>
        <v>R 8</v>
      </c>
    </row>
    <row r="591" spans="8:12" x14ac:dyDescent="0.25">
      <c r="H591" t="s">
        <v>485</v>
      </c>
      <c r="I591">
        <v>160.34460000000001</v>
      </c>
      <c r="J591">
        <v>0.42500000000000004</v>
      </c>
      <c r="K591">
        <f t="shared" si="19"/>
        <v>33493.28268799997</v>
      </c>
      <c r="L591" t="str">
        <f t="shared" si="18"/>
        <v>R 8</v>
      </c>
    </row>
    <row r="592" spans="8:12" x14ac:dyDescent="0.25">
      <c r="H592" t="s">
        <v>248</v>
      </c>
      <c r="I592">
        <v>136.88400000000001</v>
      </c>
      <c r="J592">
        <v>0.42500000000000004</v>
      </c>
      <c r="K592">
        <f t="shared" si="19"/>
        <v>33630.166687999968</v>
      </c>
      <c r="L592" t="str">
        <f t="shared" si="18"/>
        <v>R 8</v>
      </c>
    </row>
    <row r="593" spans="8:12" x14ac:dyDescent="0.25">
      <c r="H593" t="s">
        <v>625</v>
      </c>
      <c r="I593">
        <v>160.34460000000001</v>
      </c>
      <c r="J593">
        <v>0.42500000000000004</v>
      </c>
      <c r="K593">
        <f t="shared" si="19"/>
        <v>33790.511287999965</v>
      </c>
      <c r="L593" t="str">
        <f t="shared" si="18"/>
        <v>R 8</v>
      </c>
    </row>
    <row r="594" spans="8:12" x14ac:dyDescent="0.25">
      <c r="H594" t="s">
        <v>515</v>
      </c>
      <c r="I594">
        <v>175.66658000000001</v>
      </c>
      <c r="J594">
        <v>0.42500000000000004</v>
      </c>
      <c r="K594">
        <f t="shared" si="19"/>
        <v>33966.177867999962</v>
      </c>
      <c r="L594" t="str">
        <f t="shared" si="18"/>
        <v>R 8</v>
      </c>
    </row>
    <row r="595" spans="8:12" x14ac:dyDescent="0.25">
      <c r="H595" t="s">
        <v>504</v>
      </c>
      <c r="I595">
        <v>160.34460000000001</v>
      </c>
      <c r="J595">
        <v>0.42500000000000004</v>
      </c>
      <c r="K595">
        <f t="shared" si="19"/>
        <v>34126.522467999959</v>
      </c>
      <c r="L595" t="str">
        <f t="shared" si="18"/>
        <v>R 8</v>
      </c>
    </row>
    <row r="596" spans="8:12" x14ac:dyDescent="0.25">
      <c r="H596" t="s">
        <v>561</v>
      </c>
      <c r="I596">
        <v>172.61291999999997</v>
      </c>
      <c r="J596">
        <v>0.43000000000000005</v>
      </c>
      <c r="K596">
        <f t="shared" si="19"/>
        <v>34299.135387999959</v>
      </c>
      <c r="L596" t="str">
        <f t="shared" si="18"/>
        <v>R 8</v>
      </c>
    </row>
    <row r="597" spans="8:12" x14ac:dyDescent="0.25">
      <c r="H597" t="s">
        <v>562</v>
      </c>
      <c r="I597">
        <v>172.66172</v>
      </c>
      <c r="J597">
        <v>0.43000000000000005</v>
      </c>
      <c r="K597">
        <f t="shared" si="19"/>
        <v>34471.797107999955</v>
      </c>
      <c r="L597" t="str">
        <f t="shared" si="18"/>
        <v>R 8</v>
      </c>
    </row>
    <row r="598" spans="8:12" x14ac:dyDescent="0.25">
      <c r="H598" t="s">
        <v>648</v>
      </c>
      <c r="I598">
        <v>155.12299999999999</v>
      </c>
      <c r="J598">
        <v>0.43000000000000005</v>
      </c>
      <c r="K598">
        <f t="shared" si="19"/>
        <v>34626.920107999955</v>
      </c>
      <c r="L598" t="str">
        <f t="shared" si="18"/>
        <v>R 8</v>
      </c>
    </row>
    <row r="599" spans="8:12" x14ac:dyDescent="0.25">
      <c r="H599" t="s">
        <v>355</v>
      </c>
      <c r="I599">
        <v>134.59039999999999</v>
      </c>
      <c r="J599">
        <v>0.43499999999999994</v>
      </c>
      <c r="K599">
        <f t="shared" si="19"/>
        <v>34761.510507999956</v>
      </c>
      <c r="L599" t="str">
        <f t="shared" si="18"/>
        <v>R 8</v>
      </c>
    </row>
    <row r="600" spans="8:12" x14ac:dyDescent="0.25">
      <c r="H600" t="s">
        <v>326</v>
      </c>
      <c r="I600">
        <v>118.4498</v>
      </c>
      <c r="J600">
        <v>0.43499999999999994</v>
      </c>
      <c r="K600">
        <f t="shared" si="19"/>
        <v>34879.960307999958</v>
      </c>
      <c r="L600" t="str">
        <f t="shared" si="18"/>
        <v>R 8</v>
      </c>
    </row>
    <row r="601" spans="8:12" x14ac:dyDescent="0.25">
      <c r="H601" t="s">
        <v>701</v>
      </c>
      <c r="I601">
        <v>157.4288</v>
      </c>
      <c r="J601">
        <v>0.43499999999999994</v>
      </c>
      <c r="K601">
        <f t="shared" si="19"/>
        <v>35037.389107999959</v>
      </c>
      <c r="L601" t="str">
        <f t="shared" si="18"/>
        <v>R 8</v>
      </c>
    </row>
    <row r="602" spans="8:12" x14ac:dyDescent="0.25">
      <c r="H602" t="s">
        <v>425</v>
      </c>
      <c r="I602">
        <v>157.4288</v>
      </c>
      <c r="J602">
        <v>0.43499999999999994</v>
      </c>
      <c r="K602">
        <f t="shared" si="19"/>
        <v>35194.817907999961</v>
      </c>
      <c r="L602" t="str">
        <f t="shared" si="18"/>
        <v>R 8</v>
      </c>
    </row>
    <row r="603" spans="8:12" x14ac:dyDescent="0.25">
      <c r="H603" t="s">
        <v>446</v>
      </c>
      <c r="I603">
        <v>157.4288</v>
      </c>
      <c r="J603">
        <v>0.43499999999999994</v>
      </c>
      <c r="K603">
        <f t="shared" si="19"/>
        <v>35352.246707999962</v>
      </c>
      <c r="L603" t="str">
        <f t="shared" si="18"/>
        <v>R 8</v>
      </c>
    </row>
    <row r="604" spans="8:12" x14ac:dyDescent="0.25">
      <c r="H604" t="s">
        <v>340</v>
      </c>
      <c r="I604">
        <v>118.4498</v>
      </c>
      <c r="J604">
        <v>0.43499999999999994</v>
      </c>
      <c r="K604">
        <f t="shared" si="19"/>
        <v>35470.696507999965</v>
      </c>
      <c r="L604" t="str">
        <f t="shared" si="18"/>
        <v>R 8</v>
      </c>
    </row>
    <row r="605" spans="8:12" x14ac:dyDescent="0.25">
      <c r="H605" t="s">
        <v>334</v>
      </c>
      <c r="I605">
        <v>120.25539999999999</v>
      </c>
      <c r="J605">
        <v>0.43499999999999994</v>
      </c>
      <c r="K605">
        <f t="shared" si="19"/>
        <v>35590.951907999966</v>
      </c>
      <c r="L605" t="str">
        <f t="shared" si="18"/>
        <v>R 8</v>
      </c>
    </row>
    <row r="606" spans="8:12" x14ac:dyDescent="0.25">
      <c r="H606" t="s">
        <v>677</v>
      </c>
      <c r="I606">
        <v>157.4288</v>
      </c>
      <c r="J606">
        <v>0.43499999999999994</v>
      </c>
      <c r="K606">
        <f t="shared" si="19"/>
        <v>35748.380707999968</v>
      </c>
      <c r="L606" t="str">
        <f t="shared" si="18"/>
        <v>R 8</v>
      </c>
    </row>
    <row r="607" spans="8:12" x14ac:dyDescent="0.25">
      <c r="H607" t="s">
        <v>328</v>
      </c>
      <c r="I607">
        <v>110.91019999999999</v>
      </c>
      <c r="J607">
        <v>0.435</v>
      </c>
      <c r="K607">
        <f t="shared" si="19"/>
        <v>35859.290907999966</v>
      </c>
      <c r="L607" t="str">
        <f t="shared" si="18"/>
        <v>R 8</v>
      </c>
    </row>
    <row r="608" spans="8:12" x14ac:dyDescent="0.25">
      <c r="H608" t="s">
        <v>476</v>
      </c>
      <c r="I608">
        <v>175.93620000000001</v>
      </c>
      <c r="J608">
        <v>0.43500000000000005</v>
      </c>
      <c r="K608">
        <f t="shared" si="19"/>
        <v>36035.227107999963</v>
      </c>
      <c r="L608" t="str">
        <f t="shared" si="18"/>
        <v>R 8</v>
      </c>
    </row>
    <row r="609" spans="8:12" x14ac:dyDescent="0.25">
      <c r="H609" t="s">
        <v>405</v>
      </c>
      <c r="I609">
        <v>175.93620000000001</v>
      </c>
      <c r="J609">
        <v>0.43500000000000005</v>
      </c>
      <c r="K609">
        <f t="shared" si="19"/>
        <v>36211.163307999959</v>
      </c>
      <c r="L609" t="str">
        <f t="shared" si="18"/>
        <v>R 8</v>
      </c>
    </row>
    <row r="610" spans="8:12" x14ac:dyDescent="0.25">
      <c r="H610" t="s">
        <v>662</v>
      </c>
      <c r="I610">
        <v>160.86920000000001</v>
      </c>
      <c r="J610">
        <v>0.43500000000000005</v>
      </c>
      <c r="K610">
        <f t="shared" si="19"/>
        <v>36372.03250799996</v>
      </c>
      <c r="L610" t="str">
        <f t="shared" si="18"/>
        <v>R 8</v>
      </c>
    </row>
    <row r="611" spans="8:12" x14ac:dyDescent="0.25">
      <c r="H611" t="s">
        <v>402</v>
      </c>
      <c r="I611">
        <v>172.29571999999999</v>
      </c>
      <c r="J611">
        <v>0.44</v>
      </c>
      <c r="K611">
        <f t="shared" si="19"/>
        <v>36544.328227999962</v>
      </c>
      <c r="L611" t="str">
        <f t="shared" si="18"/>
        <v>R 8</v>
      </c>
    </row>
    <row r="612" spans="8:12" x14ac:dyDescent="0.25">
      <c r="H612" t="s">
        <v>437</v>
      </c>
      <c r="I612">
        <v>160.33239999999998</v>
      </c>
      <c r="J612">
        <v>0.44</v>
      </c>
      <c r="K612">
        <f t="shared" si="19"/>
        <v>36704.660627999961</v>
      </c>
      <c r="L612" t="str">
        <f t="shared" si="18"/>
        <v>R 8</v>
      </c>
    </row>
    <row r="613" spans="8:12" x14ac:dyDescent="0.25">
      <c r="H613" t="s">
        <v>415</v>
      </c>
      <c r="I613">
        <v>172.24814000000001</v>
      </c>
      <c r="J613">
        <v>0.44</v>
      </c>
      <c r="K613">
        <f t="shared" si="19"/>
        <v>36876.908767999965</v>
      </c>
      <c r="L613" t="str">
        <f t="shared" ref="L613:L676" si="20">IF(AND(K613&gt;=0,K613&lt;=8453),"R 1",IF(AND(K613&gt;=8453,K613&lt;=11934),"R 2",IF(AND(K613&gt;=11934,K613&lt;=15415),"R 3",IF(AND(K613&gt;=15415,K613&lt;=20885),"R 4",IF(AND(K613&gt;=20885,K613&lt;=24863),"R 5",IF(AND(K613&gt;=24863,K613&lt;=28334),"R 6",IF(AND(K613&gt;=28334,K613&lt;=32322),"R 7",IF(AND(K613&gt;=32322,K613&lt;=38289),"R 8",IF(AND(K613&gt;=38289,K613&lt;=42267),"R 9",IF(AND(K613&gt;=42267,K613&lt;=43759),"R 10",IF(AND(K613&gt;=43759,K613&lt;=45251),"R 11",IF(AND(K613&gt;=45251,K613&lt;=49727),"R 12"))))))))))))</f>
        <v>R 8</v>
      </c>
    </row>
    <row r="614" spans="8:12" x14ac:dyDescent="0.25">
      <c r="H614" t="s">
        <v>458</v>
      </c>
      <c r="I614">
        <v>172.203</v>
      </c>
      <c r="J614">
        <v>0.44</v>
      </c>
      <c r="K614">
        <f t="shared" ref="K614:K677" si="21">K613+I614</f>
        <v>37049.111767999966</v>
      </c>
      <c r="L614" t="str">
        <f t="shared" si="20"/>
        <v>R 8</v>
      </c>
    </row>
    <row r="615" spans="8:12" x14ac:dyDescent="0.25">
      <c r="H615" t="s">
        <v>389</v>
      </c>
      <c r="I615">
        <v>172.2945</v>
      </c>
      <c r="J615">
        <v>0.44</v>
      </c>
      <c r="K615">
        <f t="shared" si="21"/>
        <v>37221.40626799997</v>
      </c>
      <c r="L615" t="str">
        <f t="shared" si="20"/>
        <v>R 8</v>
      </c>
    </row>
    <row r="616" spans="8:12" x14ac:dyDescent="0.25">
      <c r="H616" t="s">
        <v>690</v>
      </c>
      <c r="I616">
        <v>160.33239999999998</v>
      </c>
      <c r="J616">
        <v>0.44</v>
      </c>
      <c r="K616">
        <f t="shared" si="21"/>
        <v>37381.738667999969</v>
      </c>
      <c r="L616" t="str">
        <f t="shared" si="20"/>
        <v>R 8</v>
      </c>
    </row>
    <row r="617" spans="8:12" x14ac:dyDescent="0.25">
      <c r="H617" t="s">
        <v>584</v>
      </c>
      <c r="I617">
        <v>172.24814000000001</v>
      </c>
      <c r="J617">
        <v>0.44</v>
      </c>
      <c r="K617">
        <f t="shared" si="21"/>
        <v>37553.986807999972</v>
      </c>
      <c r="L617" t="str">
        <f t="shared" si="20"/>
        <v>R 8</v>
      </c>
    </row>
    <row r="618" spans="8:12" x14ac:dyDescent="0.25">
      <c r="H618" t="s">
        <v>585</v>
      </c>
      <c r="I618">
        <v>172.29571999999999</v>
      </c>
      <c r="J618">
        <v>0.44</v>
      </c>
      <c r="K618">
        <f t="shared" si="21"/>
        <v>37726.282527999974</v>
      </c>
      <c r="L618" t="str">
        <f t="shared" si="20"/>
        <v>R 8</v>
      </c>
    </row>
    <row r="619" spans="8:12" x14ac:dyDescent="0.25">
      <c r="H619" t="s">
        <v>401</v>
      </c>
      <c r="I619">
        <v>172.24814000000001</v>
      </c>
      <c r="J619">
        <v>0.44</v>
      </c>
      <c r="K619">
        <f t="shared" si="21"/>
        <v>37898.530667999978</v>
      </c>
      <c r="L619" t="str">
        <f t="shared" si="20"/>
        <v>R 8</v>
      </c>
    </row>
    <row r="620" spans="8:12" x14ac:dyDescent="0.25">
      <c r="H620" t="s">
        <v>516</v>
      </c>
      <c r="I620">
        <v>172.17982000000001</v>
      </c>
      <c r="J620">
        <v>0.44000000000000006</v>
      </c>
      <c r="K620">
        <f t="shared" si="21"/>
        <v>38070.710487999975</v>
      </c>
      <c r="L620" t="str">
        <f t="shared" si="20"/>
        <v>R 8</v>
      </c>
    </row>
    <row r="621" spans="8:12" x14ac:dyDescent="0.25">
      <c r="H621" t="s">
        <v>496</v>
      </c>
      <c r="I621">
        <v>160.89359999999999</v>
      </c>
      <c r="J621">
        <v>0.44000000000000006</v>
      </c>
      <c r="K621">
        <f t="shared" si="21"/>
        <v>38231.604087999978</v>
      </c>
      <c r="L621" t="str">
        <f t="shared" si="20"/>
        <v>R 8</v>
      </c>
    </row>
    <row r="622" spans="8:12" x14ac:dyDescent="0.25">
      <c r="H622" t="s">
        <v>539</v>
      </c>
      <c r="I622">
        <v>172.10906</v>
      </c>
      <c r="J622">
        <v>0.44000000000000006</v>
      </c>
      <c r="K622">
        <f t="shared" si="21"/>
        <v>38403.713147999981</v>
      </c>
      <c r="L622" t="str">
        <f t="shared" si="20"/>
        <v>R 9</v>
      </c>
    </row>
    <row r="623" spans="8:12" x14ac:dyDescent="0.25">
      <c r="H623" t="s">
        <v>528</v>
      </c>
      <c r="I623">
        <v>172.61291999999997</v>
      </c>
      <c r="J623">
        <v>0.44000000000000006</v>
      </c>
      <c r="K623">
        <f t="shared" si="21"/>
        <v>38576.32606799998</v>
      </c>
      <c r="L623" t="str">
        <f t="shared" si="20"/>
        <v>R 9</v>
      </c>
    </row>
    <row r="624" spans="8:12" x14ac:dyDescent="0.25">
      <c r="H624" t="s">
        <v>617</v>
      </c>
      <c r="I624">
        <v>160.89359999999999</v>
      </c>
      <c r="J624">
        <v>0.44000000000000006</v>
      </c>
      <c r="K624">
        <f t="shared" si="21"/>
        <v>38737.219667999983</v>
      </c>
      <c r="L624" t="str">
        <f t="shared" si="20"/>
        <v>R 9</v>
      </c>
    </row>
    <row r="625" spans="8:12" x14ac:dyDescent="0.25">
      <c r="H625" t="s">
        <v>529</v>
      </c>
      <c r="I625">
        <v>172.66172</v>
      </c>
      <c r="J625">
        <v>0.44000000000000006</v>
      </c>
      <c r="K625">
        <f t="shared" si="21"/>
        <v>38909.88138799998</v>
      </c>
      <c r="L625" t="str">
        <f t="shared" si="20"/>
        <v>R 9</v>
      </c>
    </row>
    <row r="626" spans="8:12" x14ac:dyDescent="0.25">
      <c r="H626" t="s">
        <v>343</v>
      </c>
      <c r="I626">
        <v>75.420400000000001</v>
      </c>
      <c r="J626">
        <v>0.44499999999999995</v>
      </c>
      <c r="K626">
        <f t="shared" si="21"/>
        <v>38985.301787999982</v>
      </c>
      <c r="L626" t="str">
        <f t="shared" si="20"/>
        <v>R 9</v>
      </c>
    </row>
    <row r="627" spans="8:12" x14ac:dyDescent="0.25">
      <c r="H627" t="s">
        <v>323</v>
      </c>
      <c r="I627">
        <v>75.420400000000001</v>
      </c>
      <c r="J627">
        <v>0.44499999999999995</v>
      </c>
      <c r="K627">
        <f t="shared" si="21"/>
        <v>39060.722187999985</v>
      </c>
      <c r="L627" t="str">
        <f t="shared" si="20"/>
        <v>R 9</v>
      </c>
    </row>
    <row r="628" spans="8:12" x14ac:dyDescent="0.25">
      <c r="H628" t="s">
        <v>356</v>
      </c>
      <c r="I628">
        <v>75.420400000000001</v>
      </c>
      <c r="J628">
        <v>0.44499999999999995</v>
      </c>
      <c r="K628">
        <f t="shared" si="21"/>
        <v>39136.142587999988</v>
      </c>
      <c r="L628" t="str">
        <f t="shared" si="20"/>
        <v>R 9</v>
      </c>
    </row>
    <row r="629" spans="8:12" x14ac:dyDescent="0.25">
      <c r="H629" t="s">
        <v>325</v>
      </c>
      <c r="I629">
        <v>118.4132</v>
      </c>
      <c r="J629">
        <v>0.44499999999999995</v>
      </c>
      <c r="K629">
        <f t="shared" si="21"/>
        <v>39254.555787999991</v>
      </c>
      <c r="L629" t="str">
        <f t="shared" si="20"/>
        <v>R 9</v>
      </c>
    </row>
    <row r="630" spans="8:12" x14ac:dyDescent="0.25">
      <c r="H630" t="s">
        <v>366</v>
      </c>
      <c r="I630">
        <v>134.4196</v>
      </c>
      <c r="J630">
        <v>0.44499999999999995</v>
      </c>
      <c r="K630">
        <f t="shared" si="21"/>
        <v>39388.975387999992</v>
      </c>
      <c r="L630" t="str">
        <f t="shared" si="20"/>
        <v>R 9</v>
      </c>
    </row>
    <row r="631" spans="8:12" x14ac:dyDescent="0.25">
      <c r="H631" t="s">
        <v>647</v>
      </c>
      <c r="I631">
        <v>160.50319999999999</v>
      </c>
      <c r="J631">
        <v>0.44500000000000001</v>
      </c>
      <c r="K631">
        <f t="shared" si="21"/>
        <v>39549.478587999991</v>
      </c>
      <c r="L631" t="str">
        <f t="shared" si="20"/>
        <v>R 9</v>
      </c>
    </row>
    <row r="632" spans="8:12" x14ac:dyDescent="0.25">
      <c r="H632" t="s">
        <v>275</v>
      </c>
      <c r="I632">
        <v>108.64099999999999</v>
      </c>
      <c r="J632">
        <v>0.44500000000000001</v>
      </c>
      <c r="K632">
        <f t="shared" si="21"/>
        <v>39658.119587999994</v>
      </c>
      <c r="L632" t="str">
        <f t="shared" si="20"/>
        <v>R 9</v>
      </c>
    </row>
    <row r="633" spans="8:12" x14ac:dyDescent="0.25">
      <c r="H633" t="s">
        <v>668</v>
      </c>
      <c r="I633">
        <v>160.50319999999999</v>
      </c>
      <c r="J633">
        <v>0.44500000000000001</v>
      </c>
      <c r="K633">
        <f t="shared" si="21"/>
        <v>39818.622787999993</v>
      </c>
      <c r="L633" t="str">
        <f t="shared" si="20"/>
        <v>R 9</v>
      </c>
    </row>
    <row r="634" spans="8:12" x14ac:dyDescent="0.25">
      <c r="H634" t="s">
        <v>273</v>
      </c>
      <c r="I634">
        <v>118.4498</v>
      </c>
      <c r="J634">
        <v>0.44500000000000001</v>
      </c>
      <c r="K634">
        <f t="shared" si="21"/>
        <v>39937.072587999995</v>
      </c>
      <c r="L634" t="str">
        <f t="shared" si="20"/>
        <v>R 9</v>
      </c>
    </row>
    <row r="635" spans="8:12" x14ac:dyDescent="0.25">
      <c r="H635" t="s">
        <v>251</v>
      </c>
      <c r="I635">
        <v>108.64099999999999</v>
      </c>
      <c r="J635">
        <v>0.44500000000000001</v>
      </c>
      <c r="K635">
        <f t="shared" si="21"/>
        <v>40045.713587999999</v>
      </c>
      <c r="L635" t="str">
        <f t="shared" si="20"/>
        <v>R 9</v>
      </c>
    </row>
    <row r="636" spans="8:12" x14ac:dyDescent="0.25">
      <c r="H636" t="s">
        <v>260</v>
      </c>
      <c r="I636">
        <v>108.64099999999999</v>
      </c>
      <c r="J636">
        <v>0.44500000000000001</v>
      </c>
      <c r="K636">
        <f t="shared" si="21"/>
        <v>40154.354588000002</v>
      </c>
      <c r="L636" t="str">
        <f t="shared" si="20"/>
        <v>R 9</v>
      </c>
    </row>
    <row r="637" spans="8:12" x14ac:dyDescent="0.25">
      <c r="H637" t="s">
        <v>261</v>
      </c>
      <c r="I637">
        <v>118.4498</v>
      </c>
      <c r="J637">
        <v>0.44500000000000001</v>
      </c>
      <c r="K637">
        <f t="shared" si="21"/>
        <v>40272.804388000004</v>
      </c>
      <c r="L637" t="str">
        <f t="shared" si="20"/>
        <v>R 9</v>
      </c>
    </row>
    <row r="638" spans="8:12" x14ac:dyDescent="0.25">
      <c r="H638" t="s">
        <v>438</v>
      </c>
      <c r="I638">
        <v>154.92779999999999</v>
      </c>
      <c r="J638">
        <v>0.44999999999999996</v>
      </c>
      <c r="K638">
        <f t="shared" si="21"/>
        <v>40427.732188000002</v>
      </c>
      <c r="L638" t="str">
        <f t="shared" si="20"/>
        <v>R 9</v>
      </c>
    </row>
    <row r="639" spans="8:12" x14ac:dyDescent="0.25">
      <c r="H639" t="s">
        <v>691</v>
      </c>
      <c r="I639">
        <v>154.92779999999999</v>
      </c>
      <c r="J639">
        <v>0.44999999999999996</v>
      </c>
      <c r="K639">
        <f t="shared" si="21"/>
        <v>40582.659987999999</v>
      </c>
      <c r="L639" t="str">
        <f t="shared" si="20"/>
        <v>R 9</v>
      </c>
    </row>
    <row r="640" spans="8:12" x14ac:dyDescent="0.25">
      <c r="H640" t="s">
        <v>678</v>
      </c>
      <c r="I640">
        <v>155.12299999999999</v>
      </c>
      <c r="J640">
        <v>0.44999999999999996</v>
      </c>
      <c r="K640">
        <f t="shared" si="21"/>
        <v>40737.782987999999</v>
      </c>
      <c r="L640" t="str">
        <f t="shared" si="20"/>
        <v>R 9</v>
      </c>
    </row>
    <row r="641" spans="8:12" x14ac:dyDescent="0.25">
      <c r="H641" t="s">
        <v>426</v>
      </c>
      <c r="I641">
        <v>155.12299999999999</v>
      </c>
      <c r="J641">
        <v>0.44999999999999996</v>
      </c>
      <c r="K641">
        <f t="shared" si="21"/>
        <v>40892.905987999999</v>
      </c>
      <c r="L641" t="str">
        <f t="shared" si="20"/>
        <v>R 9</v>
      </c>
    </row>
    <row r="642" spans="8:12" x14ac:dyDescent="0.25">
      <c r="H642" t="s">
        <v>704</v>
      </c>
      <c r="I642">
        <v>155.12299999999999</v>
      </c>
      <c r="J642">
        <v>0.44999999999999996</v>
      </c>
      <c r="K642">
        <f t="shared" si="21"/>
        <v>41048.028987999998</v>
      </c>
      <c r="L642" t="str">
        <f t="shared" si="20"/>
        <v>R 9</v>
      </c>
    </row>
    <row r="643" spans="8:12" x14ac:dyDescent="0.25">
      <c r="H643" t="s">
        <v>636</v>
      </c>
      <c r="I643">
        <v>155.12299999999999</v>
      </c>
      <c r="J643">
        <v>0.44999999999999996</v>
      </c>
      <c r="K643">
        <f t="shared" si="21"/>
        <v>41203.151987999998</v>
      </c>
      <c r="L643" t="str">
        <f t="shared" si="20"/>
        <v>R 9</v>
      </c>
    </row>
    <row r="644" spans="8:12" x14ac:dyDescent="0.25">
      <c r="H644" t="s">
        <v>449</v>
      </c>
      <c r="I644">
        <v>155.12299999999999</v>
      </c>
      <c r="J644">
        <v>0.44999999999999996</v>
      </c>
      <c r="K644">
        <f t="shared" si="21"/>
        <v>41358.274987999997</v>
      </c>
      <c r="L644" t="str">
        <f t="shared" si="20"/>
        <v>R 9</v>
      </c>
    </row>
    <row r="645" spans="8:12" x14ac:dyDescent="0.25">
      <c r="H645" t="s">
        <v>486</v>
      </c>
      <c r="I645">
        <v>155.489</v>
      </c>
      <c r="J645">
        <v>0.45000000000000007</v>
      </c>
      <c r="K645">
        <f t="shared" si="21"/>
        <v>41513.763987999999</v>
      </c>
      <c r="L645" t="str">
        <f t="shared" si="20"/>
        <v>R 9</v>
      </c>
    </row>
    <row r="646" spans="8:12" x14ac:dyDescent="0.25">
      <c r="H646" t="s">
        <v>497</v>
      </c>
      <c r="I646">
        <v>155.4402</v>
      </c>
      <c r="J646">
        <v>0.45000000000000007</v>
      </c>
      <c r="K646">
        <f t="shared" si="21"/>
        <v>41669.204187999996</v>
      </c>
      <c r="L646" t="str">
        <f t="shared" si="20"/>
        <v>R 9</v>
      </c>
    </row>
    <row r="647" spans="8:12" x14ac:dyDescent="0.25">
      <c r="H647" t="s">
        <v>606</v>
      </c>
      <c r="I647">
        <v>155.489</v>
      </c>
      <c r="J647">
        <v>0.45000000000000007</v>
      </c>
      <c r="K647">
        <f t="shared" si="21"/>
        <v>41824.693187999997</v>
      </c>
      <c r="L647" t="str">
        <f t="shared" si="20"/>
        <v>R 9</v>
      </c>
    </row>
    <row r="648" spans="8:12" x14ac:dyDescent="0.25">
      <c r="H648" t="s">
        <v>618</v>
      </c>
      <c r="I648">
        <v>155.4402</v>
      </c>
      <c r="J648">
        <v>0.45000000000000007</v>
      </c>
      <c r="K648">
        <f t="shared" si="21"/>
        <v>41980.133387999995</v>
      </c>
      <c r="L648" t="str">
        <f t="shared" si="20"/>
        <v>R 9</v>
      </c>
    </row>
    <row r="649" spans="8:12" x14ac:dyDescent="0.25">
      <c r="H649" t="s">
        <v>629</v>
      </c>
      <c r="I649">
        <v>155.489</v>
      </c>
      <c r="J649">
        <v>0.45000000000000007</v>
      </c>
      <c r="K649">
        <f t="shared" si="21"/>
        <v>42135.622387999996</v>
      </c>
      <c r="L649" t="str">
        <f t="shared" si="20"/>
        <v>R 9</v>
      </c>
    </row>
    <row r="650" spans="8:12" x14ac:dyDescent="0.25">
      <c r="H650" t="s">
        <v>507</v>
      </c>
      <c r="I650">
        <v>155.489</v>
      </c>
      <c r="J650">
        <v>0.45000000000000007</v>
      </c>
      <c r="K650">
        <f t="shared" si="21"/>
        <v>42291.111387999998</v>
      </c>
      <c r="L650" t="str">
        <f t="shared" si="20"/>
        <v>R 10</v>
      </c>
    </row>
    <row r="651" spans="8:12" x14ac:dyDescent="0.25">
      <c r="H651" t="s">
        <v>359</v>
      </c>
      <c r="I651">
        <v>134.9442</v>
      </c>
      <c r="J651">
        <v>0.45499999999999996</v>
      </c>
      <c r="K651">
        <f t="shared" si="21"/>
        <v>42426.055587999996</v>
      </c>
      <c r="L651" t="str">
        <f t="shared" si="20"/>
        <v>R 10</v>
      </c>
    </row>
    <row r="652" spans="8:12" x14ac:dyDescent="0.25">
      <c r="H652" t="s">
        <v>277</v>
      </c>
      <c r="I652">
        <v>110.4344</v>
      </c>
      <c r="J652">
        <v>0.45499999999999996</v>
      </c>
      <c r="K652">
        <f t="shared" si="21"/>
        <v>42536.489987999994</v>
      </c>
      <c r="L652" t="str">
        <f t="shared" si="20"/>
        <v>R 10</v>
      </c>
    </row>
    <row r="653" spans="8:12" x14ac:dyDescent="0.25">
      <c r="H653" t="s">
        <v>597</v>
      </c>
      <c r="I653">
        <v>172.10906</v>
      </c>
      <c r="J653">
        <v>0.46000000000000008</v>
      </c>
      <c r="K653">
        <f t="shared" si="21"/>
        <v>42708.599047999996</v>
      </c>
      <c r="L653" t="str">
        <f t="shared" si="20"/>
        <v>R 10</v>
      </c>
    </row>
    <row r="654" spans="8:12" x14ac:dyDescent="0.25">
      <c r="H654" t="s">
        <v>578</v>
      </c>
      <c r="I654">
        <v>172.17982000000001</v>
      </c>
      <c r="J654">
        <v>0.46000000000000008</v>
      </c>
      <c r="K654">
        <f t="shared" si="21"/>
        <v>42880.778867999994</v>
      </c>
      <c r="L654" t="str">
        <f t="shared" si="20"/>
        <v>R 10</v>
      </c>
    </row>
    <row r="655" spans="8:12" x14ac:dyDescent="0.25">
      <c r="H655" t="s">
        <v>269</v>
      </c>
      <c r="I655">
        <v>108.64099999999999</v>
      </c>
      <c r="J655">
        <v>0.46499999999999997</v>
      </c>
      <c r="K655">
        <f t="shared" si="21"/>
        <v>42989.419867999997</v>
      </c>
      <c r="L655" t="str">
        <f t="shared" si="20"/>
        <v>R 10</v>
      </c>
    </row>
    <row r="656" spans="8:12" x14ac:dyDescent="0.25">
      <c r="H656" t="s">
        <v>679</v>
      </c>
      <c r="I656">
        <v>160.34460000000001</v>
      </c>
      <c r="J656">
        <v>0.46499999999999997</v>
      </c>
      <c r="K656">
        <f t="shared" si="21"/>
        <v>43149.764467999994</v>
      </c>
      <c r="L656" t="str">
        <f t="shared" si="20"/>
        <v>R 10</v>
      </c>
    </row>
    <row r="657" spans="8:12" x14ac:dyDescent="0.25">
      <c r="H657" t="s">
        <v>703</v>
      </c>
      <c r="I657">
        <v>160.34460000000001</v>
      </c>
      <c r="J657">
        <v>0.46499999999999997</v>
      </c>
      <c r="K657">
        <f t="shared" si="21"/>
        <v>43310.109067999991</v>
      </c>
      <c r="L657" t="str">
        <f t="shared" si="20"/>
        <v>R 10</v>
      </c>
    </row>
    <row r="658" spans="8:12" x14ac:dyDescent="0.25">
      <c r="H658" t="s">
        <v>391</v>
      </c>
      <c r="I658">
        <v>175.66658000000001</v>
      </c>
      <c r="J658">
        <v>0.46499999999999997</v>
      </c>
      <c r="K658">
        <f t="shared" si="21"/>
        <v>43485.775647999988</v>
      </c>
      <c r="L658" t="str">
        <f t="shared" si="20"/>
        <v>R 10</v>
      </c>
    </row>
    <row r="659" spans="8:12" x14ac:dyDescent="0.25">
      <c r="H659" t="s">
        <v>448</v>
      </c>
      <c r="I659">
        <v>160.34460000000001</v>
      </c>
      <c r="J659">
        <v>0.46499999999999997</v>
      </c>
      <c r="K659">
        <f t="shared" si="21"/>
        <v>43646.120247999985</v>
      </c>
      <c r="L659" t="str">
        <f t="shared" si="20"/>
        <v>R 10</v>
      </c>
    </row>
    <row r="660" spans="8:12" x14ac:dyDescent="0.25">
      <c r="H660" t="s">
        <v>427</v>
      </c>
      <c r="I660">
        <v>160.34460000000001</v>
      </c>
      <c r="J660">
        <v>0.46499999999999997</v>
      </c>
      <c r="K660">
        <f t="shared" si="21"/>
        <v>43806.464847999981</v>
      </c>
      <c r="L660" t="str">
        <f t="shared" si="20"/>
        <v>R 11</v>
      </c>
    </row>
    <row r="661" spans="8:12" x14ac:dyDescent="0.25">
      <c r="H661" t="s">
        <v>414</v>
      </c>
      <c r="I661">
        <v>175.66658000000001</v>
      </c>
      <c r="J661">
        <v>0.46499999999999997</v>
      </c>
      <c r="K661">
        <f t="shared" si="21"/>
        <v>43982.131427999979</v>
      </c>
      <c r="L661" t="str">
        <f t="shared" si="20"/>
        <v>R 11</v>
      </c>
    </row>
    <row r="662" spans="8:12" x14ac:dyDescent="0.25">
      <c r="H662" t="s">
        <v>459</v>
      </c>
      <c r="I662">
        <v>175.64339999999999</v>
      </c>
      <c r="J662">
        <v>0.46499999999999997</v>
      </c>
      <c r="K662">
        <f t="shared" si="21"/>
        <v>44157.77482799998</v>
      </c>
      <c r="L662" t="str">
        <f t="shared" si="20"/>
        <v>R 11</v>
      </c>
    </row>
    <row r="663" spans="8:12" x14ac:dyDescent="0.25">
      <c r="H663" t="s">
        <v>538</v>
      </c>
      <c r="I663">
        <v>175.55311999999998</v>
      </c>
      <c r="J663">
        <v>0.46500000000000008</v>
      </c>
      <c r="K663">
        <f t="shared" si="21"/>
        <v>44333.327947999976</v>
      </c>
      <c r="L663" t="str">
        <f t="shared" si="20"/>
        <v>R 11</v>
      </c>
    </row>
    <row r="664" spans="8:12" x14ac:dyDescent="0.25">
      <c r="H664" t="s">
        <v>250</v>
      </c>
      <c r="I664">
        <v>134.3708</v>
      </c>
      <c r="J664">
        <v>0.46500000000000008</v>
      </c>
      <c r="K664">
        <f t="shared" si="21"/>
        <v>44467.698747999973</v>
      </c>
      <c r="L664" t="str">
        <f t="shared" si="20"/>
        <v>R 11</v>
      </c>
    </row>
    <row r="665" spans="8:12" x14ac:dyDescent="0.25">
      <c r="H665" t="s">
        <v>608</v>
      </c>
      <c r="I665">
        <v>160.89359999999999</v>
      </c>
      <c r="J665">
        <v>0.46500000000000008</v>
      </c>
      <c r="K665">
        <f t="shared" si="21"/>
        <v>44628.592347999976</v>
      </c>
      <c r="L665" t="str">
        <f t="shared" si="20"/>
        <v>R 11</v>
      </c>
    </row>
    <row r="666" spans="8:12" x14ac:dyDescent="0.25">
      <c r="H666" t="s">
        <v>627</v>
      </c>
      <c r="I666">
        <v>160.89359999999999</v>
      </c>
      <c r="J666">
        <v>0.46500000000000008</v>
      </c>
      <c r="K666">
        <f t="shared" si="21"/>
        <v>44789.48594799998</v>
      </c>
      <c r="L666" t="str">
        <f t="shared" si="20"/>
        <v>R 11</v>
      </c>
    </row>
    <row r="667" spans="8:12" x14ac:dyDescent="0.25">
      <c r="H667" t="s">
        <v>517</v>
      </c>
      <c r="I667">
        <v>175.57141999999999</v>
      </c>
      <c r="J667">
        <v>0.46500000000000008</v>
      </c>
      <c r="K667">
        <f t="shared" si="21"/>
        <v>44965.05736799998</v>
      </c>
      <c r="L667" t="str">
        <f t="shared" si="20"/>
        <v>R 11</v>
      </c>
    </row>
    <row r="668" spans="8:12" x14ac:dyDescent="0.25">
      <c r="H668" t="s">
        <v>487</v>
      </c>
      <c r="I668">
        <v>160.89359999999999</v>
      </c>
      <c r="J668">
        <v>0.46500000000000008</v>
      </c>
      <c r="K668">
        <f t="shared" si="21"/>
        <v>45125.950967999983</v>
      </c>
      <c r="L668" t="str">
        <f t="shared" si="20"/>
        <v>R 11</v>
      </c>
    </row>
    <row r="669" spans="8:12" x14ac:dyDescent="0.25">
      <c r="H669" t="s">
        <v>506</v>
      </c>
      <c r="I669">
        <v>160.89359999999999</v>
      </c>
      <c r="J669">
        <v>0.46500000000000008</v>
      </c>
      <c r="K669">
        <f t="shared" si="21"/>
        <v>45286.844567999986</v>
      </c>
      <c r="L669" t="str">
        <f t="shared" si="20"/>
        <v>R 12</v>
      </c>
    </row>
    <row r="670" spans="8:12" x14ac:dyDescent="0.25">
      <c r="H670" t="s">
        <v>650</v>
      </c>
      <c r="I670">
        <v>155.12299999999999</v>
      </c>
      <c r="J670">
        <v>0.47000000000000008</v>
      </c>
      <c r="K670">
        <f t="shared" si="21"/>
        <v>45441.967567999985</v>
      </c>
      <c r="L670" t="str">
        <f t="shared" si="20"/>
        <v>R 12</v>
      </c>
    </row>
    <row r="671" spans="8:12" x14ac:dyDescent="0.25">
      <c r="H671" t="s">
        <v>347</v>
      </c>
      <c r="I671">
        <v>110.91019999999999</v>
      </c>
      <c r="J671">
        <v>0.47499999999999992</v>
      </c>
      <c r="K671">
        <f t="shared" si="21"/>
        <v>45552.877767999984</v>
      </c>
      <c r="L671" t="str">
        <f t="shared" si="20"/>
        <v>R 12</v>
      </c>
    </row>
    <row r="672" spans="8:12" x14ac:dyDescent="0.25">
      <c r="H672" t="s">
        <v>360</v>
      </c>
      <c r="I672">
        <v>110.91019999999999</v>
      </c>
      <c r="J672">
        <v>0.47499999999999992</v>
      </c>
      <c r="K672">
        <f t="shared" si="21"/>
        <v>45663.787967999982</v>
      </c>
      <c r="L672" t="str">
        <f t="shared" si="20"/>
        <v>R 12</v>
      </c>
    </row>
    <row r="673" spans="8:12" x14ac:dyDescent="0.25">
      <c r="H673" t="s">
        <v>344</v>
      </c>
      <c r="I673">
        <v>120.71899999999999</v>
      </c>
      <c r="J673">
        <v>0.47499999999999992</v>
      </c>
      <c r="K673">
        <f t="shared" si="21"/>
        <v>45784.50696799998</v>
      </c>
      <c r="L673" t="str">
        <f t="shared" si="20"/>
        <v>R 12</v>
      </c>
    </row>
    <row r="674" spans="8:12" x14ac:dyDescent="0.25">
      <c r="H674" t="s">
        <v>327</v>
      </c>
      <c r="I674">
        <v>110.89800000000001</v>
      </c>
      <c r="J674">
        <v>0.47499999999999992</v>
      </c>
      <c r="K674">
        <f t="shared" si="21"/>
        <v>45895.404967999981</v>
      </c>
      <c r="L674" t="str">
        <f t="shared" si="20"/>
        <v>R 12</v>
      </c>
    </row>
    <row r="675" spans="8:12" x14ac:dyDescent="0.25">
      <c r="H675" t="s">
        <v>330</v>
      </c>
      <c r="I675">
        <v>120.71899999999999</v>
      </c>
      <c r="J675">
        <v>0.47499999999999992</v>
      </c>
      <c r="K675">
        <f t="shared" si="21"/>
        <v>46016.123967999978</v>
      </c>
      <c r="L675" t="str">
        <f t="shared" si="20"/>
        <v>R 12</v>
      </c>
    </row>
    <row r="676" spans="8:12" x14ac:dyDescent="0.25">
      <c r="H676" t="s">
        <v>331</v>
      </c>
      <c r="I676">
        <v>108.64099999999999</v>
      </c>
      <c r="J676">
        <v>0.47500000000000003</v>
      </c>
      <c r="K676">
        <f t="shared" si="21"/>
        <v>46124.764967999981</v>
      </c>
      <c r="L676" t="str">
        <f t="shared" si="20"/>
        <v>R 12</v>
      </c>
    </row>
    <row r="677" spans="8:12" x14ac:dyDescent="0.25">
      <c r="H677" t="s">
        <v>586</v>
      </c>
      <c r="I677">
        <v>172.61291999999997</v>
      </c>
      <c r="J677">
        <v>0.48</v>
      </c>
      <c r="K677">
        <f t="shared" si="21"/>
        <v>46297.377887999981</v>
      </c>
      <c r="L677" t="str">
        <f t="shared" ref="L677:L699" si="22">IF(AND(K677&gt;=0,K677&lt;=8453),"R 1",IF(AND(K677&gt;=8453,K677&lt;=11934),"R 2",IF(AND(K677&gt;=11934,K677&lt;=15415),"R 3",IF(AND(K677&gt;=15415,K677&lt;=20885),"R 4",IF(AND(K677&gt;=20885,K677&lt;=24863),"R 5",IF(AND(K677&gt;=24863,K677&lt;=28334),"R 6",IF(AND(K677&gt;=28334,K677&lt;=32322),"R 7",IF(AND(K677&gt;=32322,K677&lt;=38289),"R 8",IF(AND(K677&gt;=38289,K677&lt;=42267),"R 9",IF(AND(K677&gt;=42267,K677&lt;=43759),"R 10",IF(AND(K677&gt;=43759,K677&lt;=45251),"R 11",IF(AND(K677&gt;=45251,K677&lt;=49727),"R 12"))))))))))))</f>
        <v>R 12</v>
      </c>
    </row>
    <row r="678" spans="8:12" x14ac:dyDescent="0.25">
      <c r="H678" t="s">
        <v>439</v>
      </c>
      <c r="I678">
        <v>160.89359999999999</v>
      </c>
      <c r="J678">
        <v>0.48</v>
      </c>
      <c r="K678">
        <f t="shared" ref="K678:K699" si="23">K677+I678</f>
        <v>46458.271487999984</v>
      </c>
      <c r="L678" t="str">
        <f t="shared" si="22"/>
        <v>R 12</v>
      </c>
    </row>
    <row r="679" spans="8:12" x14ac:dyDescent="0.25">
      <c r="H679" t="s">
        <v>416</v>
      </c>
      <c r="I679">
        <v>172.10906</v>
      </c>
      <c r="J679">
        <v>0.48</v>
      </c>
      <c r="K679">
        <f t="shared" si="23"/>
        <v>46630.380547999986</v>
      </c>
      <c r="L679" t="str">
        <f t="shared" si="22"/>
        <v>R 12</v>
      </c>
    </row>
    <row r="680" spans="8:12" x14ac:dyDescent="0.25">
      <c r="H680" t="s">
        <v>404</v>
      </c>
      <c r="I680">
        <v>172.66172</v>
      </c>
      <c r="J680">
        <v>0.48</v>
      </c>
      <c r="K680">
        <f t="shared" si="23"/>
        <v>46803.042267999983</v>
      </c>
      <c r="L680" t="str">
        <f t="shared" si="22"/>
        <v>R 12</v>
      </c>
    </row>
    <row r="681" spans="8:12" x14ac:dyDescent="0.25">
      <c r="H681" t="s">
        <v>692</v>
      </c>
      <c r="I681">
        <v>160.89359999999999</v>
      </c>
      <c r="J681">
        <v>0.48</v>
      </c>
      <c r="K681">
        <f t="shared" si="23"/>
        <v>46963.935867999986</v>
      </c>
      <c r="L681" t="str">
        <f t="shared" si="22"/>
        <v>R 12</v>
      </c>
    </row>
    <row r="682" spans="8:12" x14ac:dyDescent="0.25">
      <c r="H682" t="s">
        <v>403</v>
      </c>
      <c r="I682">
        <v>172.61291999999997</v>
      </c>
      <c r="J682">
        <v>0.48</v>
      </c>
      <c r="K682">
        <f t="shared" si="23"/>
        <v>47136.548787999986</v>
      </c>
      <c r="L682" t="str">
        <f t="shared" si="22"/>
        <v>R 12</v>
      </c>
    </row>
    <row r="683" spans="8:12" x14ac:dyDescent="0.25">
      <c r="H683" t="s">
        <v>460</v>
      </c>
      <c r="I683">
        <v>172.49579999999997</v>
      </c>
      <c r="J683">
        <v>0.48</v>
      </c>
      <c r="K683">
        <f t="shared" si="23"/>
        <v>47309.044587999982</v>
      </c>
      <c r="L683" t="str">
        <f t="shared" si="22"/>
        <v>R 12</v>
      </c>
    </row>
    <row r="684" spans="8:12" x14ac:dyDescent="0.25">
      <c r="H684" t="s">
        <v>392</v>
      </c>
      <c r="I684">
        <v>172.17982000000001</v>
      </c>
      <c r="J684">
        <v>0.48</v>
      </c>
      <c r="K684">
        <f t="shared" si="23"/>
        <v>47481.22440799998</v>
      </c>
      <c r="L684" t="str">
        <f t="shared" si="22"/>
        <v>R 12</v>
      </c>
    </row>
    <row r="685" spans="8:12" x14ac:dyDescent="0.25">
      <c r="H685" t="s">
        <v>587</v>
      </c>
      <c r="I685">
        <v>172.66172</v>
      </c>
      <c r="J685">
        <v>0.48</v>
      </c>
      <c r="K685">
        <f t="shared" si="23"/>
        <v>47653.886127999976</v>
      </c>
      <c r="L685" t="str">
        <f t="shared" si="22"/>
        <v>R 12</v>
      </c>
    </row>
    <row r="686" spans="8:12" x14ac:dyDescent="0.25">
      <c r="H686" t="s">
        <v>329</v>
      </c>
      <c r="I686">
        <v>120.69460000000001</v>
      </c>
      <c r="J686">
        <v>0.48499999999999993</v>
      </c>
      <c r="K686">
        <f t="shared" si="23"/>
        <v>47774.580727999979</v>
      </c>
      <c r="L686" t="str">
        <f t="shared" si="22"/>
        <v>R 12</v>
      </c>
    </row>
    <row r="687" spans="8:12" x14ac:dyDescent="0.25">
      <c r="H687" t="s">
        <v>670</v>
      </c>
      <c r="I687">
        <v>160.62519999999998</v>
      </c>
      <c r="J687">
        <v>0.48499999999999999</v>
      </c>
      <c r="K687">
        <f t="shared" si="23"/>
        <v>47935.205927999981</v>
      </c>
      <c r="L687" t="str">
        <f t="shared" si="22"/>
        <v>R 12</v>
      </c>
    </row>
    <row r="688" spans="8:12" x14ac:dyDescent="0.25">
      <c r="H688" t="s">
        <v>649</v>
      </c>
      <c r="I688">
        <v>160.86920000000001</v>
      </c>
      <c r="J688">
        <v>0.48499999999999999</v>
      </c>
      <c r="K688">
        <f t="shared" si="23"/>
        <v>48096.075127999982</v>
      </c>
      <c r="L688" t="str">
        <f t="shared" si="22"/>
        <v>R 12</v>
      </c>
    </row>
    <row r="689" spans="8:12" x14ac:dyDescent="0.25">
      <c r="H689" t="s">
        <v>693</v>
      </c>
      <c r="I689">
        <v>155.4402</v>
      </c>
      <c r="J689">
        <v>0.49</v>
      </c>
      <c r="K689">
        <f t="shared" si="23"/>
        <v>48251.515327999979</v>
      </c>
      <c r="L689" t="str">
        <f t="shared" si="22"/>
        <v>R 12</v>
      </c>
    </row>
    <row r="690" spans="8:12" x14ac:dyDescent="0.25">
      <c r="H690" t="s">
        <v>440</v>
      </c>
      <c r="I690">
        <v>155.4402</v>
      </c>
      <c r="J690">
        <v>0.49</v>
      </c>
      <c r="K690">
        <f t="shared" si="23"/>
        <v>48406.955527999977</v>
      </c>
      <c r="L690" t="str">
        <f t="shared" si="22"/>
        <v>R 12</v>
      </c>
    </row>
    <row r="691" spans="8:12" x14ac:dyDescent="0.25">
      <c r="H691" t="s">
        <v>428</v>
      </c>
      <c r="I691">
        <v>155.489</v>
      </c>
      <c r="J691">
        <v>0.49</v>
      </c>
      <c r="K691">
        <f t="shared" si="23"/>
        <v>48562.444527999978</v>
      </c>
      <c r="L691" t="str">
        <f t="shared" si="22"/>
        <v>R 12</v>
      </c>
    </row>
    <row r="692" spans="8:12" x14ac:dyDescent="0.25">
      <c r="H692" t="s">
        <v>450</v>
      </c>
      <c r="I692">
        <v>155.489</v>
      </c>
      <c r="J692">
        <v>0.49</v>
      </c>
      <c r="K692">
        <f t="shared" si="23"/>
        <v>48717.93352799998</v>
      </c>
      <c r="L692" t="str">
        <f t="shared" si="22"/>
        <v>R 12</v>
      </c>
    </row>
    <row r="693" spans="8:12" x14ac:dyDescent="0.25">
      <c r="H693" t="s">
        <v>638</v>
      </c>
      <c r="I693">
        <v>155.489</v>
      </c>
      <c r="J693">
        <v>0.49</v>
      </c>
      <c r="K693">
        <f t="shared" si="23"/>
        <v>48873.422527999981</v>
      </c>
      <c r="L693" t="str">
        <f t="shared" si="22"/>
        <v>R 12</v>
      </c>
    </row>
    <row r="694" spans="8:12" x14ac:dyDescent="0.25">
      <c r="H694" t="s">
        <v>680</v>
      </c>
      <c r="I694">
        <v>155.489</v>
      </c>
      <c r="J694">
        <v>0.49</v>
      </c>
      <c r="K694">
        <f t="shared" si="23"/>
        <v>49028.911527999982</v>
      </c>
      <c r="L694" t="str">
        <f t="shared" si="22"/>
        <v>R 12</v>
      </c>
    </row>
    <row r="695" spans="8:12" x14ac:dyDescent="0.25">
      <c r="H695" t="s">
        <v>705</v>
      </c>
      <c r="I695">
        <v>155.489</v>
      </c>
      <c r="J695">
        <v>0.49</v>
      </c>
      <c r="K695">
        <f t="shared" si="23"/>
        <v>49184.400527999984</v>
      </c>
      <c r="L695" t="str">
        <f t="shared" si="22"/>
        <v>R 12</v>
      </c>
    </row>
    <row r="696" spans="8:12" x14ac:dyDescent="0.25">
      <c r="H696" t="s">
        <v>469</v>
      </c>
      <c r="I696">
        <v>169.68979999999999</v>
      </c>
      <c r="J696">
        <v>0.49000000000000005</v>
      </c>
      <c r="K696">
        <f t="shared" si="23"/>
        <v>49354.090327999984</v>
      </c>
      <c r="L696" t="str">
        <f t="shared" si="22"/>
        <v>R 12</v>
      </c>
    </row>
    <row r="697" spans="8:12" x14ac:dyDescent="0.25">
      <c r="H697" t="s">
        <v>464</v>
      </c>
      <c r="I697">
        <v>115.80240000000001</v>
      </c>
      <c r="J697">
        <v>0.495</v>
      </c>
      <c r="K697">
        <f t="shared" si="23"/>
        <v>49469.892727999984</v>
      </c>
      <c r="L697" t="str">
        <f t="shared" si="22"/>
        <v>R 12</v>
      </c>
    </row>
    <row r="698" spans="8:12" x14ac:dyDescent="0.25">
      <c r="H698" t="s">
        <v>362</v>
      </c>
      <c r="I698">
        <v>136.88400000000001</v>
      </c>
      <c r="J698">
        <v>0.495</v>
      </c>
      <c r="K698">
        <f t="shared" si="23"/>
        <v>49606.776727999983</v>
      </c>
      <c r="L698" t="str">
        <f t="shared" si="22"/>
        <v>R 12</v>
      </c>
    </row>
    <row r="699" spans="8:12" x14ac:dyDescent="0.25">
      <c r="H699" t="s">
        <v>265</v>
      </c>
      <c r="I699">
        <v>119.5356</v>
      </c>
      <c r="J699">
        <v>0.495</v>
      </c>
      <c r="K699">
        <f t="shared" si="23"/>
        <v>49726.312327999985</v>
      </c>
      <c r="L699" t="str">
        <f t="shared" si="22"/>
        <v>R 12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98A8D-37DF-439C-B5A1-8763561C2BF8}">
  <dimension ref="H7:L479"/>
  <sheetViews>
    <sheetView topLeftCell="A460" workbookViewId="0">
      <selection activeCell="H277" sqref="H277:L479"/>
    </sheetView>
  </sheetViews>
  <sheetFormatPr defaultRowHeight="15" x14ac:dyDescent="0.25"/>
  <cols>
    <col min="8" max="8" width="13.140625" bestFit="1" customWidth="1"/>
    <col min="9" max="9" width="22.85546875" bestFit="1" customWidth="1"/>
    <col min="10" max="10" width="25" bestFit="1" customWidth="1"/>
  </cols>
  <sheetData>
    <row r="7" spans="8:12" x14ac:dyDescent="0.25">
      <c r="H7" s="188" t="s">
        <v>733</v>
      </c>
      <c r="I7" t="s">
        <v>713</v>
      </c>
      <c r="J7" t="s">
        <v>1145</v>
      </c>
    </row>
    <row r="8" spans="8:12" x14ac:dyDescent="0.25">
      <c r="H8" s="119" t="s">
        <v>1104</v>
      </c>
      <c r="I8">
        <v>155</v>
      </c>
      <c r="J8">
        <v>0.73</v>
      </c>
      <c r="K8">
        <f>GETPIVOTDATA("Sum of Unit Selling Area",$H$7,"Unit Number","E122")</f>
        <v>155</v>
      </c>
      <c r="L8" t="str">
        <f>IF(AND(K8&gt;=0,K8&lt;=6556),"R1",IF(AND(K8&gt;=6556,K8&lt;=9255),"R2",IF(AND(K8&gt;=9255,K8&lt;=11955),"R3",IF(AND(K8&gt;=11955,K8&lt;=16197),"R4",IF(AND(K8&gt;=16197,K8&lt;=19282),"R5",IF(AND(K8&gt;=19282,K8&lt;=21982),"R6",IF(AND(K8&gt;=21982,K8&lt;=25067),"R7",IF(AND(K8&gt;=25067,K8&lt;=29695),"R8",IF(AND(K8&gt;=29695,K8&lt;=32780),"R9",IF(AND(K8&gt;=32780,K8&lt;=33937),"R10",IF(AND(K8&gt;=33937,K8&lt;=35094),"R11",IF(AND(K8&gt;=35094,K8&lt;=38565),"R12"))))))))))))</f>
        <v>R1</v>
      </c>
    </row>
    <row r="9" spans="8:12" x14ac:dyDescent="0.25">
      <c r="H9" s="119" t="s">
        <v>1078</v>
      </c>
      <c r="I9">
        <v>155</v>
      </c>
      <c r="J9">
        <v>0.73</v>
      </c>
      <c r="K9">
        <f>K8+GETPIVOTDATA("Sum of Unit Selling Area",$H$7,"Unit Number","D122")</f>
        <v>310</v>
      </c>
      <c r="L9" t="str">
        <f t="shared" ref="L9:L72" si="0">IF(AND(K9&gt;=0,K9&lt;=6556),"R1",IF(AND(K9&gt;=6556,K9&lt;=9255),"R2",IF(AND(K9&gt;=9255,K9&lt;=11955),"R3",IF(AND(K9&gt;=11955,K9&lt;=16197),"R4",IF(AND(K9&gt;=16197,K9&lt;=19282),"R5",IF(AND(K9&gt;=19282,K9&lt;=21982),"R6",IF(AND(K9&gt;=21982,K9&lt;=25067),"R7",IF(AND(K9&gt;=25067,K9&lt;=29695),"R8",IF(AND(K9&gt;=29695,K9&lt;=32780),"R9",IF(AND(K9&gt;=32780,K9&lt;=33937),"R10",IF(AND(K9&gt;=33937,K9&lt;=35094),"R11",IF(AND(K9&gt;=35094,K9&lt;=38565),"R12"))))))))))))</f>
        <v>R1</v>
      </c>
    </row>
    <row r="10" spans="8:12" x14ac:dyDescent="0.25">
      <c r="H10" s="119" t="s">
        <v>1058</v>
      </c>
      <c r="I10">
        <v>155</v>
      </c>
      <c r="J10">
        <v>0.73</v>
      </c>
      <c r="K10">
        <f t="shared" ref="K10:K73" si="1">K9+GETPIVOTDATA("Sum of Unit Selling Area",$H$7,"Unit Number","D122")</f>
        <v>465</v>
      </c>
      <c r="L10" t="str">
        <f t="shared" si="0"/>
        <v>R1</v>
      </c>
    </row>
    <row r="11" spans="8:12" x14ac:dyDescent="0.25">
      <c r="H11" s="119" t="s">
        <v>1115</v>
      </c>
      <c r="I11">
        <v>155</v>
      </c>
      <c r="J11">
        <v>0.73</v>
      </c>
      <c r="K11">
        <f t="shared" si="1"/>
        <v>620</v>
      </c>
      <c r="L11" t="str">
        <f t="shared" si="0"/>
        <v>R1</v>
      </c>
    </row>
    <row r="12" spans="8:12" x14ac:dyDescent="0.25">
      <c r="H12" s="119" t="s">
        <v>1068</v>
      </c>
      <c r="I12">
        <v>155</v>
      </c>
      <c r="J12">
        <v>0.73</v>
      </c>
      <c r="K12">
        <f t="shared" si="1"/>
        <v>775</v>
      </c>
      <c r="L12" t="str">
        <f t="shared" si="0"/>
        <v>R1</v>
      </c>
    </row>
    <row r="13" spans="8:12" x14ac:dyDescent="0.25">
      <c r="H13" s="119" t="s">
        <v>1028</v>
      </c>
      <c r="I13">
        <v>201</v>
      </c>
      <c r="J13">
        <v>0.73000000000000009</v>
      </c>
      <c r="K13">
        <f t="shared" si="1"/>
        <v>930</v>
      </c>
      <c r="L13" t="str">
        <f t="shared" si="0"/>
        <v>R1</v>
      </c>
    </row>
    <row r="14" spans="8:12" x14ac:dyDescent="0.25">
      <c r="H14" s="119" t="s">
        <v>1051</v>
      </c>
      <c r="I14">
        <v>201</v>
      </c>
      <c r="J14">
        <v>0.73000000000000009</v>
      </c>
      <c r="K14">
        <f t="shared" si="1"/>
        <v>1085</v>
      </c>
      <c r="L14" t="str">
        <f t="shared" si="0"/>
        <v>R1</v>
      </c>
    </row>
    <row r="15" spans="8:12" x14ac:dyDescent="0.25">
      <c r="H15" s="119" t="s">
        <v>829</v>
      </c>
      <c r="I15">
        <v>222</v>
      </c>
      <c r="J15">
        <v>0.73499999999999999</v>
      </c>
      <c r="K15">
        <f t="shared" si="1"/>
        <v>1240</v>
      </c>
      <c r="L15" t="str">
        <f t="shared" si="0"/>
        <v>R1</v>
      </c>
    </row>
    <row r="16" spans="8:12" x14ac:dyDescent="0.25">
      <c r="H16" s="119" t="s">
        <v>1047</v>
      </c>
      <c r="I16">
        <v>228</v>
      </c>
      <c r="J16">
        <v>0.73499999999999999</v>
      </c>
      <c r="K16">
        <f t="shared" si="1"/>
        <v>1395</v>
      </c>
      <c r="L16" t="str">
        <f t="shared" si="0"/>
        <v>R1</v>
      </c>
    </row>
    <row r="17" spans="8:12" x14ac:dyDescent="0.25">
      <c r="H17" s="119" t="s">
        <v>1032</v>
      </c>
      <c r="I17">
        <v>222</v>
      </c>
      <c r="J17">
        <v>0.73499999999999999</v>
      </c>
      <c r="K17">
        <f t="shared" si="1"/>
        <v>1550</v>
      </c>
      <c r="L17" t="str">
        <f t="shared" si="0"/>
        <v>R1</v>
      </c>
    </row>
    <row r="18" spans="8:12" x14ac:dyDescent="0.25">
      <c r="H18" s="119" t="s">
        <v>955</v>
      </c>
      <c r="I18">
        <v>344</v>
      </c>
      <c r="J18">
        <v>0.7350000000000001</v>
      </c>
      <c r="K18">
        <f t="shared" si="1"/>
        <v>1705</v>
      </c>
      <c r="L18" t="str">
        <f t="shared" si="0"/>
        <v>R1</v>
      </c>
    </row>
    <row r="19" spans="8:12" x14ac:dyDescent="0.25">
      <c r="H19" s="119" t="s">
        <v>1142</v>
      </c>
      <c r="I19">
        <v>160</v>
      </c>
      <c r="J19">
        <v>0.7350000000000001</v>
      </c>
      <c r="K19">
        <f t="shared" si="1"/>
        <v>1860</v>
      </c>
      <c r="L19" t="str">
        <f t="shared" si="0"/>
        <v>R1</v>
      </c>
    </row>
    <row r="20" spans="8:12" x14ac:dyDescent="0.25">
      <c r="H20" s="119" t="s">
        <v>1127</v>
      </c>
      <c r="I20">
        <v>160</v>
      </c>
      <c r="J20">
        <v>0.7350000000000001</v>
      </c>
      <c r="K20">
        <f t="shared" si="1"/>
        <v>2015</v>
      </c>
      <c r="L20" t="str">
        <f t="shared" si="0"/>
        <v>R1</v>
      </c>
    </row>
    <row r="21" spans="8:12" x14ac:dyDescent="0.25">
      <c r="H21" s="119" t="s">
        <v>954</v>
      </c>
      <c r="I21">
        <v>344</v>
      </c>
      <c r="J21">
        <v>0.7350000000000001</v>
      </c>
      <c r="K21">
        <f t="shared" si="1"/>
        <v>2170</v>
      </c>
      <c r="L21" t="str">
        <f t="shared" si="0"/>
        <v>R1</v>
      </c>
    </row>
    <row r="22" spans="8:12" x14ac:dyDescent="0.25">
      <c r="H22" s="119" t="s">
        <v>1089</v>
      </c>
      <c r="I22">
        <v>161</v>
      </c>
      <c r="J22">
        <v>0.7350000000000001</v>
      </c>
      <c r="K22">
        <f t="shared" si="1"/>
        <v>2325</v>
      </c>
      <c r="L22" t="str">
        <f t="shared" si="0"/>
        <v>R1</v>
      </c>
    </row>
    <row r="23" spans="8:12" x14ac:dyDescent="0.25">
      <c r="H23" s="119" t="s">
        <v>1097</v>
      </c>
      <c r="I23">
        <v>161</v>
      </c>
      <c r="J23">
        <v>0.7350000000000001</v>
      </c>
      <c r="K23">
        <f t="shared" si="1"/>
        <v>2480</v>
      </c>
      <c r="L23" t="str">
        <f t="shared" si="0"/>
        <v>R1</v>
      </c>
    </row>
    <row r="24" spans="8:12" x14ac:dyDescent="0.25">
      <c r="H24" s="119" t="s">
        <v>1027</v>
      </c>
      <c r="I24">
        <v>176</v>
      </c>
      <c r="J24">
        <v>0.7390000000000001</v>
      </c>
      <c r="K24">
        <f t="shared" si="1"/>
        <v>2635</v>
      </c>
      <c r="L24" t="str">
        <f t="shared" si="0"/>
        <v>R1</v>
      </c>
    </row>
    <row r="25" spans="8:12" x14ac:dyDescent="0.25">
      <c r="H25" s="119" t="s">
        <v>1016</v>
      </c>
      <c r="I25">
        <v>204</v>
      </c>
      <c r="J25">
        <v>0.74</v>
      </c>
      <c r="K25">
        <f t="shared" si="1"/>
        <v>2790</v>
      </c>
      <c r="L25" t="str">
        <f t="shared" si="0"/>
        <v>R1</v>
      </c>
    </row>
    <row r="26" spans="8:12" x14ac:dyDescent="0.25">
      <c r="H26" s="119" t="s">
        <v>810</v>
      </c>
      <c r="I26">
        <v>204</v>
      </c>
      <c r="J26">
        <v>0.74</v>
      </c>
      <c r="K26">
        <f t="shared" si="1"/>
        <v>2945</v>
      </c>
      <c r="L26" t="str">
        <f t="shared" si="0"/>
        <v>R1</v>
      </c>
    </row>
    <row r="27" spans="8:12" x14ac:dyDescent="0.25">
      <c r="H27" s="119" t="s">
        <v>977</v>
      </c>
      <c r="I27">
        <v>204</v>
      </c>
      <c r="J27">
        <v>0.74</v>
      </c>
      <c r="K27">
        <f t="shared" si="1"/>
        <v>3100</v>
      </c>
      <c r="L27" t="str">
        <f t="shared" si="0"/>
        <v>R1</v>
      </c>
    </row>
    <row r="28" spans="8:12" x14ac:dyDescent="0.25">
      <c r="H28" s="119" t="s">
        <v>992</v>
      </c>
      <c r="I28">
        <v>204</v>
      </c>
      <c r="J28">
        <v>0.74</v>
      </c>
      <c r="K28">
        <f t="shared" si="1"/>
        <v>3255</v>
      </c>
      <c r="L28" t="str">
        <f t="shared" si="0"/>
        <v>R1</v>
      </c>
    </row>
    <row r="29" spans="8:12" x14ac:dyDescent="0.25">
      <c r="H29" s="119" t="s">
        <v>1040</v>
      </c>
      <c r="I29">
        <v>174</v>
      </c>
      <c r="J29">
        <v>0.7400000000000001</v>
      </c>
      <c r="K29">
        <f t="shared" si="1"/>
        <v>3410</v>
      </c>
      <c r="L29" t="str">
        <f t="shared" si="0"/>
        <v>R1</v>
      </c>
    </row>
    <row r="30" spans="8:12" x14ac:dyDescent="0.25">
      <c r="H30" s="119" t="s">
        <v>1041</v>
      </c>
      <c r="I30">
        <v>174</v>
      </c>
      <c r="J30">
        <v>0.7400000000000001</v>
      </c>
      <c r="K30">
        <f t="shared" si="1"/>
        <v>3565</v>
      </c>
      <c r="L30" t="str">
        <f t="shared" si="0"/>
        <v>R1</v>
      </c>
    </row>
    <row r="31" spans="8:12" x14ac:dyDescent="0.25">
      <c r="H31" s="119" t="s">
        <v>1059</v>
      </c>
      <c r="I31">
        <v>160</v>
      </c>
      <c r="J31">
        <v>0.745</v>
      </c>
      <c r="K31">
        <f t="shared" si="1"/>
        <v>3720</v>
      </c>
      <c r="L31" t="str">
        <f t="shared" si="0"/>
        <v>R1</v>
      </c>
    </row>
    <row r="32" spans="8:12" x14ac:dyDescent="0.25">
      <c r="H32" s="119" t="s">
        <v>1077</v>
      </c>
      <c r="I32">
        <v>160</v>
      </c>
      <c r="J32">
        <v>0.745</v>
      </c>
      <c r="K32">
        <f t="shared" si="1"/>
        <v>3875</v>
      </c>
      <c r="L32" t="str">
        <f t="shared" si="0"/>
        <v>R1</v>
      </c>
    </row>
    <row r="33" spans="8:12" x14ac:dyDescent="0.25">
      <c r="H33" s="119" t="s">
        <v>942</v>
      </c>
      <c r="I33">
        <v>160</v>
      </c>
      <c r="J33">
        <v>0.745</v>
      </c>
      <c r="K33">
        <f t="shared" si="1"/>
        <v>4030</v>
      </c>
      <c r="L33" t="str">
        <f t="shared" si="0"/>
        <v>R1</v>
      </c>
    </row>
    <row r="34" spans="8:12" x14ac:dyDescent="0.25">
      <c r="H34" s="119" t="s">
        <v>1024</v>
      </c>
      <c r="I34">
        <v>224</v>
      </c>
      <c r="J34">
        <v>0.745</v>
      </c>
      <c r="K34">
        <f t="shared" si="1"/>
        <v>4185</v>
      </c>
      <c r="L34" t="str">
        <f t="shared" si="0"/>
        <v>R1</v>
      </c>
    </row>
    <row r="35" spans="8:12" x14ac:dyDescent="0.25">
      <c r="H35" s="119" t="s">
        <v>668</v>
      </c>
      <c r="I35">
        <v>161</v>
      </c>
      <c r="J35">
        <v>0.745</v>
      </c>
      <c r="K35">
        <f t="shared" si="1"/>
        <v>4340</v>
      </c>
      <c r="L35" t="str">
        <f t="shared" si="0"/>
        <v>R1</v>
      </c>
    </row>
    <row r="36" spans="8:12" x14ac:dyDescent="0.25">
      <c r="H36" s="119" t="s">
        <v>994</v>
      </c>
      <c r="I36">
        <v>176</v>
      </c>
      <c r="J36">
        <v>0.745</v>
      </c>
      <c r="K36">
        <f t="shared" si="1"/>
        <v>4495</v>
      </c>
      <c r="L36" t="str">
        <f t="shared" si="0"/>
        <v>R1</v>
      </c>
    </row>
    <row r="37" spans="8:12" x14ac:dyDescent="0.25">
      <c r="H37" s="119" t="s">
        <v>934</v>
      </c>
      <c r="I37">
        <v>158</v>
      </c>
      <c r="J37">
        <v>0.745</v>
      </c>
      <c r="K37">
        <f t="shared" si="1"/>
        <v>4650</v>
      </c>
      <c r="L37" t="str">
        <f t="shared" si="0"/>
        <v>R1</v>
      </c>
    </row>
    <row r="38" spans="8:12" x14ac:dyDescent="0.25">
      <c r="H38" s="119" t="s">
        <v>821</v>
      </c>
      <c r="I38">
        <v>224</v>
      </c>
      <c r="J38">
        <v>0.745</v>
      </c>
      <c r="K38">
        <f t="shared" si="1"/>
        <v>4805</v>
      </c>
      <c r="L38" t="str">
        <f t="shared" si="0"/>
        <v>R1</v>
      </c>
    </row>
    <row r="39" spans="8:12" x14ac:dyDescent="0.25">
      <c r="H39" s="119" t="s">
        <v>857</v>
      </c>
      <c r="I39">
        <v>160</v>
      </c>
      <c r="J39">
        <v>0.745</v>
      </c>
      <c r="K39">
        <f t="shared" si="1"/>
        <v>4960</v>
      </c>
      <c r="L39" t="str">
        <f t="shared" si="0"/>
        <v>R1</v>
      </c>
    </row>
    <row r="40" spans="8:12" x14ac:dyDescent="0.25">
      <c r="H40" s="119" t="s">
        <v>1105</v>
      </c>
      <c r="I40">
        <v>161</v>
      </c>
      <c r="J40">
        <v>0.745</v>
      </c>
      <c r="K40">
        <f t="shared" si="1"/>
        <v>5115</v>
      </c>
      <c r="L40" t="str">
        <f t="shared" si="0"/>
        <v>R1</v>
      </c>
    </row>
    <row r="41" spans="8:12" x14ac:dyDescent="0.25">
      <c r="H41" s="119" t="s">
        <v>751</v>
      </c>
      <c r="I41">
        <v>119</v>
      </c>
      <c r="J41">
        <v>0.74500000000000011</v>
      </c>
      <c r="K41">
        <f t="shared" si="1"/>
        <v>5270</v>
      </c>
      <c r="L41" t="str">
        <f t="shared" si="0"/>
        <v>R1</v>
      </c>
    </row>
    <row r="42" spans="8:12" x14ac:dyDescent="0.25">
      <c r="H42" s="119" t="s">
        <v>750</v>
      </c>
      <c r="I42">
        <v>110</v>
      </c>
      <c r="J42">
        <v>0.74500000000000011</v>
      </c>
      <c r="K42">
        <f t="shared" si="1"/>
        <v>5425</v>
      </c>
      <c r="L42" t="str">
        <f t="shared" si="0"/>
        <v>R1</v>
      </c>
    </row>
    <row r="43" spans="8:12" x14ac:dyDescent="0.25">
      <c r="H43" s="119" t="s">
        <v>741</v>
      </c>
      <c r="I43">
        <v>110</v>
      </c>
      <c r="J43">
        <v>0.74500000000000011</v>
      </c>
      <c r="K43">
        <f t="shared" si="1"/>
        <v>5580</v>
      </c>
      <c r="L43" t="str">
        <f t="shared" si="0"/>
        <v>R1</v>
      </c>
    </row>
    <row r="44" spans="8:12" x14ac:dyDescent="0.25">
      <c r="H44" s="119" t="s">
        <v>1004</v>
      </c>
      <c r="I44">
        <v>173</v>
      </c>
      <c r="J44">
        <v>0.75</v>
      </c>
      <c r="K44">
        <f t="shared" si="1"/>
        <v>5735</v>
      </c>
      <c r="L44" t="str">
        <f t="shared" si="0"/>
        <v>R1</v>
      </c>
    </row>
    <row r="45" spans="8:12" x14ac:dyDescent="0.25">
      <c r="H45" s="119" t="s">
        <v>793</v>
      </c>
      <c r="I45">
        <v>173</v>
      </c>
      <c r="J45">
        <v>0.75</v>
      </c>
      <c r="K45">
        <f t="shared" si="1"/>
        <v>5890</v>
      </c>
      <c r="L45" t="str">
        <f t="shared" si="0"/>
        <v>R1</v>
      </c>
    </row>
    <row r="46" spans="8:12" x14ac:dyDescent="0.25">
      <c r="H46" s="119" t="s">
        <v>792</v>
      </c>
      <c r="I46">
        <v>173</v>
      </c>
      <c r="J46">
        <v>0.75</v>
      </c>
      <c r="K46">
        <f t="shared" si="1"/>
        <v>6045</v>
      </c>
      <c r="L46" t="str">
        <f t="shared" si="0"/>
        <v>R1</v>
      </c>
    </row>
    <row r="47" spans="8:12" x14ac:dyDescent="0.25">
      <c r="H47" s="119" t="s">
        <v>1003</v>
      </c>
      <c r="I47">
        <v>173</v>
      </c>
      <c r="J47">
        <v>0.75</v>
      </c>
      <c r="K47">
        <f t="shared" si="1"/>
        <v>6200</v>
      </c>
      <c r="L47" t="str">
        <f t="shared" si="0"/>
        <v>R1</v>
      </c>
    </row>
    <row r="48" spans="8:12" x14ac:dyDescent="0.25">
      <c r="H48" s="119" t="s">
        <v>963</v>
      </c>
      <c r="I48">
        <v>199</v>
      </c>
      <c r="J48">
        <v>0.75000000000000011</v>
      </c>
      <c r="K48">
        <f t="shared" si="1"/>
        <v>6355</v>
      </c>
      <c r="L48" t="str">
        <f t="shared" si="0"/>
        <v>R1</v>
      </c>
    </row>
    <row r="49" spans="8:12" x14ac:dyDescent="0.25">
      <c r="H49" s="119" t="s">
        <v>944</v>
      </c>
      <c r="I49">
        <v>199</v>
      </c>
      <c r="J49">
        <v>0.75000000000000011</v>
      </c>
      <c r="K49">
        <f t="shared" si="1"/>
        <v>6510</v>
      </c>
      <c r="L49" t="str">
        <f t="shared" si="0"/>
        <v>R1</v>
      </c>
    </row>
    <row r="50" spans="8:12" x14ac:dyDescent="0.25">
      <c r="H50" s="119" t="s">
        <v>862</v>
      </c>
      <c r="I50">
        <v>301</v>
      </c>
      <c r="J50">
        <v>0.755</v>
      </c>
      <c r="K50">
        <f t="shared" si="1"/>
        <v>6665</v>
      </c>
      <c r="L50" t="str">
        <f t="shared" si="0"/>
        <v>R2</v>
      </c>
    </row>
    <row r="51" spans="8:12" x14ac:dyDescent="0.25">
      <c r="H51" s="119" t="s">
        <v>433</v>
      </c>
      <c r="I51">
        <v>309</v>
      </c>
      <c r="J51">
        <v>0.755</v>
      </c>
      <c r="K51">
        <f t="shared" si="1"/>
        <v>6820</v>
      </c>
      <c r="L51" t="str">
        <f t="shared" si="0"/>
        <v>R2</v>
      </c>
    </row>
    <row r="52" spans="8:12" x14ac:dyDescent="0.25">
      <c r="H52" s="119" t="s">
        <v>936</v>
      </c>
      <c r="I52">
        <v>160</v>
      </c>
      <c r="J52">
        <v>0.755</v>
      </c>
      <c r="K52">
        <f t="shared" si="1"/>
        <v>6975</v>
      </c>
      <c r="L52" t="str">
        <f t="shared" si="0"/>
        <v>R2</v>
      </c>
    </row>
    <row r="53" spans="8:12" x14ac:dyDescent="0.25">
      <c r="H53" s="119" t="s">
        <v>1069</v>
      </c>
      <c r="I53">
        <v>160</v>
      </c>
      <c r="J53">
        <v>0.76</v>
      </c>
      <c r="K53">
        <f t="shared" si="1"/>
        <v>7130</v>
      </c>
      <c r="L53" t="str">
        <f t="shared" si="0"/>
        <v>R2</v>
      </c>
    </row>
    <row r="54" spans="8:12" x14ac:dyDescent="0.25">
      <c r="H54" s="119" t="s">
        <v>823</v>
      </c>
      <c r="I54">
        <v>204</v>
      </c>
      <c r="J54">
        <v>0.76</v>
      </c>
      <c r="K54">
        <f t="shared" si="1"/>
        <v>7285</v>
      </c>
      <c r="L54" t="str">
        <f t="shared" si="0"/>
        <v>R2</v>
      </c>
    </row>
    <row r="55" spans="8:12" x14ac:dyDescent="0.25">
      <c r="H55" s="119" t="s">
        <v>847</v>
      </c>
      <c r="I55">
        <v>204</v>
      </c>
      <c r="J55">
        <v>0.76</v>
      </c>
      <c r="K55">
        <f t="shared" si="1"/>
        <v>7440</v>
      </c>
      <c r="L55" t="str">
        <f t="shared" si="0"/>
        <v>R2</v>
      </c>
    </row>
    <row r="56" spans="8:12" x14ac:dyDescent="0.25">
      <c r="H56" s="119" t="s">
        <v>970</v>
      </c>
      <c r="I56">
        <v>198</v>
      </c>
      <c r="J56">
        <v>0.76000000000000012</v>
      </c>
      <c r="K56">
        <f t="shared" si="1"/>
        <v>7595</v>
      </c>
      <c r="L56" t="str">
        <f t="shared" si="0"/>
        <v>R2</v>
      </c>
    </row>
    <row r="57" spans="8:12" x14ac:dyDescent="0.25">
      <c r="H57" s="119" t="s">
        <v>952</v>
      </c>
      <c r="I57">
        <v>198</v>
      </c>
      <c r="J57">
        <v>0.76000000000000012</v>
      </c>
      <c r="K57">
        <f t="shared" si="1"/>
        <v>7750</v>
      </c>
      <c r="L57" t="str">
        <f t="shared" si="0"/>
        <v>R2</v>
      </c>
    </row>
    <row r="58" spans="8:12" x14ac:dyDescent="0.25">
      <c r="H58" s="119" t="s">
        <v>979</v>
      </c>
      <c r="I58">
        <v>176</v>
      </c>
      <c r="J58">
        <v>0.76500000000000001</v>
      </c>
      <c r="K58">
        <f t="shared" si="1"/>
        <v>7905</v>
      </c>
      <c r="L58" t="str">
        <f t="shared" si="0"/>
        <v>R2</v>
      </c>
    </row>
    <row r="59" spans="8:12" x14ac:dyDescent="0.25">
      <c r="H59" s="119" t="s">
        <v>809</v>
      </c>
      <c r="I59">
        <v>228</v>
      </c>
      <c r="J59">
        <v>0.76500000000000001</v>
      </c>
      <c r="K59">
        <f t="shared" si="1"/>
        <v>8060</v>
      </c>
      <c r="L59" t="str">
        <f t="shared" si="0"/>
        <v>R2</v>
      </c>
    </row>
    <row r="60" spans="8:12" x14ac:dyDescent="0.25">
      <c r="H60" s="119" t="s">
        <v>808</v>
      </c>
      <c r="I60">
        <v>176</v>
      </c>
      <c r="J60">
        <v>0.76500000000000001</v>
      </c>
      <c r="K60">
        <f t="shared" si="1"/>
        <v>8215</v>
      </c>
      <c r="L60" t="str">
        <f t="shared" si="0"/>
        <v>R2</v>
      </c>
    </row>
    <row r="61" spans="8:12" x14ac:dyDescent="0.25">
      <c r="H61" s="119" t="s">
        <v>978</v>
      </c>
      <c r="I61">
        <v>228</v>
      </c>
      <c r="J61">
        <v>0.76500000000000001</v>
      </c>
      <c r="K61">
        <f t="shared" si="1"/>
        <v>8370</v>
      </c>
      <c r="L61" t="str">
        <f t="shared" si="0"/>
        <v>R2</v>
      </c>
    </row>
    <row r="62" spans="8:12" x14ac:dyDescent="0.25">
      <c r="H62" s="119" t="s">
        <v>740</v>
      </c>
      <c r="I62">
        <v>135</v>
      </c>
      <c r="J62">
        <v>0.76500000000000012</v>
      </c>
      <c r="K62">
        <f t="shared" si="1"/>
        <v>8525</v>
      </c>
      <c r="L62" t="str">
        <f t="shared" si="0"/>
        <v>R2</v>
      </c>
    </row>
    <row r="63" spans="8:12" x14ac:dyDescent="0.25">
      <c r="H63" s="119" t="s">
        <v>951</v>
      </c>
      <c r="I63">
        <v>228</v>
      </c>
      <c r="J63">
        <v>0.76900000000000013</v>
      </c>
      <c r="K63">
        <f t="shared" si="1"/>
        <v>8680</v>
      </c>
      <c r="L63" t="str">
        <f t="shared" si="0"/>
        <v>R2</v>
      </c>
    </row>
    <row r="64" spans="8:12" x14ac:dyDescent="0.25">
      <c r="H64" s="119" t="s">
        <v>836</v>
      </c>
      <c r="I64">
        <v>173</v>
      </c>
      <c r="J64">
        <v>0.77</v>
      </c>
      <c r="K64">
        <f t="shared" si="1"/>
        <v>8835</v>
      </c>
      <c r="L64" t="str">
        <f t="shared" si="0"/>
        <v>R2</v>
      </c>
    </row>
    <row r="65" spans="8:12" x14ac:dyDescent="0.25">
      <c r="H65" s="119" t="s">
        <v>1060</v>
      </c>
      <c r="I65">
        <v>155</v>
      </c>
      <c r="J65">
        <v>0.77</v>
      </c>
      <c r="K65">
        <f t="shared" si="1"/>
        <v>8990</v>
      </c>
      <c r="L65" t="str">
        <f t="shared" si="0"/>
        <v>R2</v>
      </c>
    </row>
    <row r="66" spans="8:12" x14ac:dyDescent="0.25">
      <c r="H66" s="119" t="s">
        <v>881</v>
      </c>
      <c r="I66">
        <v>199</v>
      </c>
      <c r="J66">
        <v>0.77</v>
      </c>
      <c r="K66">
        <f t="shared" si="1"/>
        <v>9145</v>
      </c>
      <c r="L66" t="str">
        <f t="shared" si="0"/>
        <v>R2</v>
      </c>
    </row>
    <row r="67" spans="8:12" x14ac:dyDescent="0.25">
      <c r="H67" s="119" t="s">
        <v>1117</v>
      </c>
      <c r="I67">
        <v>155</v>
      </c>
      <c r="J67">
        <v>0.77</v>
      </c>
      <c r="K67">
        <f t="shared" si="1"/>
        <v>9300</v>
      </c>
      <c r="L67" t="str">
        <f t="shared" si="0"/>
        <v>R3</v>
      </c>
    </row>
    <row r="68" spans="8:12" x14ac:dyDescent="0.25">
      <c r="H68" s="119" t="s">
        <v>1070</v>
      </c>
      <c r="I68">
        <v>155</v>
      </c>
      <c r="J68">
        <v>0.77</v>
      </c>
      <c r="K68">
        <f t="shared" si="1"/>
        <v>9455</v>
      </c>
      <c r="L68" t="str">
        <f t="shared" si="0"/>
        <v>R3</v>
      </c>
    </row>
    <row r="69" spans="8:12" x14ac:dyDescent="0.25">
      <c r="H69" s="119" t="s">
        <v>1106</v>
      </c>
      <c r="I69">
        <v>155</v>
      </c>
      <c r="J69">
        <v>0.77</v>
      </c>
      <c r="K69">
        <f t="shared" si="1"/>
        <v>9610</v>
      </c>
      <c r="L69" t="str">
        <f t="shared" si="0"/>
        <v>R3</v>
      </c>
    </row>
    <row r="70" spans="8:12" x14ac:dyDescent="0.25">
      <c r="H70" s="119" t="s">
        <v>1079</v>
      </c>
      <c r="I70">
        <v>155</v>
      </c>
      <c r="J70">
        <v>0.77</v>
      </c>
      <c r="K70">
        <f t="shared" si="1"/>
        <v>9765</v>
      </c>
      <c r="L70" t="str">
        <f t="shared" si="0"/>
        <v>R3</v>
      </c>
    </row>
    <row r="71" spans="8:12" x14ac:dyDescent="0.25">
      <c r="H71" s="119" t="s">
        <v>835</v>
      </c>
      <c r="I71">
        <v>173</v>
      </c>
      <c r="J71">
        <v>0.77</v>
      </c>
      <c r="K71">
        <f t="shared" si="1"/>
        <v>9920</v>
      </c>
      <c r="L71" t="str">
        <f t="shared" si="0"/>
        <v>R3</v>
      </c>
    </row>
    <row r="72" spans="8:12" x14ac:dyDescent="0.25">
      <c r="H72" s="119" t="s">
        <v>892</v>
      </c>
      <c r="I72">
        <v>199</v>
      </c>
      <c r="J72">
        <v>0.77</v>
      </c>
      <c r="K72">
        <f t="shared" si="1"/>
        <v>10075</v>
      </c>
      <c r="L72" t="str">
        <f t="shared" si="0"/>
        <v>R3</v>
      </c>
    </row>
    <row r="73" spans="8:12" x14ac:dyDescent="0.25">
      <c r="H73" s="119" t="s">
        <v>960</v>
      </c>
      <c r="I73">
        <v>173</v>
      </c>
      <c r="J73">
        <v>0.77000000000000013</v>
      </c>
      <c r="K73">
        <f t="shared" si="1"/>
        <v>10230</v>
      </c>
      <c r="L73" t="str">
        <f t="shared" ref="L73:L136" si="2">IF(AND(K73&gt;=0,K73&lt;=6556),"R1",IF(AND(K73&gt;=6556,K73&lt;=9255),"R2",IF(AND(K73&gt;=9255,K73&lt;=11955),"R3",IF(AND(K73&gt;=11955,K73&lt;=16197),"R4",IF(AND(K73&gt;=16197,K73&lt;=19282),"R5",IF(AND(K73&gt;=19282,K73&lt;=21982),"R6",IF(AND(K73&gt;=21982,K73&lt;=25067),"R7",IF(AND(K73&gt;=25067,K73&lt;=29695),"R8",IF(AND(K73&gt;=29695,K73&lt;=32780),"R9",IF(AND(K73&gt;=32780,K73&lt;=33937),"R10",IF(AND(K73&gt;=33937,K73&lt;=35094),"R11",IF(AND(K73&gt;=35094,K73&lt;=38565),"R12"))))))))))))</f>
        <v>R3</v>
      </c>
    </row>
    <row r="74" spans="8:12" x14ac:dyDescent="0.25">
      <c r="H74" s="119" t="s">
        <v>965</v>
      </c>
      <c r="I74">
        <v>198</v>
      </c>
      <c r="J74">
        <v>0.77000000000000013</v>
      </c>
      <c r="K74">
        <f t="shared" ref="K74:K137" si="3">K73+GETPIVOTDATA("Sum of Unit Selling Area",$H$7,"Unit Number","D122")</f>
        <v>10385</v>
      </c>
      <c r="L74" t="str">
        <f t="shared" si="2"/>
        <v>R3</v>
      </c>
    </row>
    <row r="75" spans="8:12" x14ac:dyDescent="0.25">
      <c r="H75" s="119" t="s">
        <v>961</v>
      </c>
      <c r="I75">
        <v>173</v>
      </c>
      <c r="J75">
        <v>0.77000000000000013</v>
      </c>
      <c r="K75">
        <f t="shared" si="3"/>
        <v>10540</v>
      </c>
      <c r="L75" t="str">
        <f t="shared" si="2"/>
        <v>R3</v>
      </c>
    </row>
    <row r="76" spans="8:12" x14ac:dyDescent="0.25">
      <c r="H76" s="119" t="s">
        <v>946</v>
      </c>
      <c r="I76">
        <v>198</v>
      </c>
      <c r="J76">
        <v>0.77000000000000013</v>
      </c>
      <c r="K76">
        <f t="shared" si="3"/>
        <v>10695</v>
      </c>
      <c r="L76" t="str">
        <f t="shared" si="2"/>
        <v>R3</v>
      </c>
    </row>
    <row r="77" spans="8:12" x14ac:dyDescent="0.25">
      <c r="H77" s="119" t="s">
        <v>1050</v>
      </c>
      <c r="I77">
        <v>228</v>
      </c>
      <c r="J77">
        <v>0.77500000000000002</v>
      </c>
      <c r="K77">
        <f t="shared" si="3"/>
        <v>10850</v>
      </c>
      <c r="L77" t="str">
        <f t="shared" si="2"/>
        <v>R3</v>
      </c>
    </row>
    <row r="78" spans="8:12" x14ac:dyDescent="0.25">
      <c r="H78" s="119" t="s">
        <v>962</v>
      </c>
      <c r="I78">
        <v>224</v>
      </c>
      <c r="J78">
        <v>0.77500000000000002</v>
      </c>
      <c r="K78">
        <f t="shared" si="3"/>
        <v>11005</v>
      </c>
      <c r="L78" t="str">
        <f t="shared" si="2"/>
        <v>R3</v>
      </c>
    </row>
    <row r="79" spans="8:12" x14ac:dyDescent="0.25">
      <c r="H79" s="119" t="s">
        <v>1009</v>
      </c>
      <c r="I79">
        <v>224</v>
      </c>
      <c r="J79">
        <v>0.77500000000000002</v>
      </c>
      <c r="K79">
        <f t="shared" si="3"/>
        <v>11160</v>
      </c>
      <c r="L79" t="str">
        <f t="shared" si="2"/>
        <v>R3</v>
      </c>
    </row>
    <row r="80" spans="8:12" x14ac:dyDescent="0.25">
      <c r="H80" s="119" t="s">
        <v>1030</v>
      </c>
      <c r="I80">
        <v>176</v>
      </c>
      <c r="J80">
        <v>0.77900000000000014</v>
      </c>
      <c r="K80">
        <f t="shared" si="3"/>
        <v>11315</v>
      </c>
      <c r="L80" t="str">
        <f t="shared" si="2"/>
        <v>R3</v>
      </c>
    </row>
    <row r="81" spans="8:12" x14ac:dyDescent="0.25">
      <c r="H81" s="119" t="s">
        <v>462</v>
      </c>
      <c r="I81">
        <v>199</v>
      </c>
      <c r="J81">
        <v>0.77999999999999992</v>
      </c>
      <c r="K81">
        <f t="shared" si="3"/>
        <v>11470</v>
      </c>
      <c r="L81" t="str">
        <f t="shared" si="2"/>
        <v>R3</v>
      </c>
    </row>
    <row r="82" spans="8:12" x14ac:dyDescent="0.25">
      <c r="H82" s="119" t="s">
        <v>468</v>
      </c>
      <c r="I82">
        <v>199</v>
      </c>
      <c r="J82">
        <v>0.77999999999999992</v>
      </c>
      <c r="K82">
        <f t="shared" si="3"/>
        <v>11625</v>
      </c>
      <c r="L82" t="str">
        <f t="shared" si="2"/>
        <v>R3</v>
      </c>
    </row>
    <row r="83" spans="8:12" x14ac:dyDescent="0.25">
      <c r="H83" s="119" t="s">
        <v>569</v>
      </c>
      <c r="I83">
        <v>201</v>
      </c>
      <c r="J83">
        <v>0.78</v>
      </c>
      <c r="K83">
        <f t="shared" si="3"/>
        <v>11780</v>
      </c>
      <c r="L83" t="str">
        <f t="shared" si="2"/>
        <v>R3</v>
      </c>
    </row>
    <row r="84" spans="8:12" x14ac:dyDescent="0.25">
      <c r="H84" s="119" t="s">
        <v>546</v>
      </c>
      <c r="I84">
        <v>201</v>
      </c>
      <c r="J84">
        <v>0.78</v>
      </c>
      <c r="K84">
        <f t="shared" si="3"/>
        <v>11935</v>
      </c>
      <c r="L84" t="str">
        <f t="shared" si="2"/>
        <v>R3</v>
      </c>
    </row>
    <row r="85" spans="8:12" x14ac:dyDescent="0.25">
      <c r="H85" s="119" t="s">
        <v>552</v>
      </c>
      <c r="I85">
        <v>201</v>
      </c>
      <c r="J85">
        <v>0.78</v>
      </c>
      <c r="K85">
        <f t="shared" si="3"/>
        <v>12090</v>
      </c>
      <c r="L85" t="str">
        <f t="shared" si="2"/>
        <v>R4</v>
      </c>
    </row>
    <row r="86" spans="8:12" x14ac:dyDescent="0.25">
      <c r="H86" s="119" t="s">
        <v>381</v>
      </c>
      <c r="I86">
        <v>201</v>
      </c>
      <c r="J86">
        <v>0.78</v>
      </c>
      <c r="K86">
        <f t="shared" si="3"/>
        <v>12245</v>
      </c>
      <c r="L86" t="str">
        <f t="shared" si="2"/>
        <v>R4</v>
      </c>
    </row>
    <row r="87" spans="8:12" x14ac:dyDescent="0.25">
      <c r="H87" s="119" t="s">
        <v>571</v>
      </c>
      <c r="I87">
        <v>222</v>
      </c>
      <c r="J87">
        <v>0.78500000000000003</v>
      </c>
      <c r="K87">
        <f t="shared" si="3"/>
        <v>12400</v>
      </c>
      <c r="L87" t="str">
        <f t="shared" si="2"/>
        <v>R4</v>
      </c>
    </row>
    <row r="88" spans="8:12" x14ac:dyDescent="0.25">
      <c r="H88" s="119" t="s">
        <v>628</v>
      </c>
      <c r="I88">
        <v>160</v>
      </c>
      <c r="J88">
        <v>0.78500000000000003</v>
      </c>
      <c r="K88">
        <f t="shared" si="3"/>
        <v>12555</v>
      </c>
      <c r="L88" t="str">
        <f t="shared" si="2"/>
        <v>R4</v>
      </c>
    </row>
    <row r="89" spans="8:12" x14ac:dyDescent="0.25">
      <c r="H89" s="119" t="s">
        <v>541</v>
      </c>
      <c r="I89">
        <v>222</v>
      </c>
      <c r="J89">
        <v>0.78500000000000003</v>
      </c>
      <c r="K89">
        <f t="shared" si="3"/>
        <v>12710</v>
      </c>
      <c r="L89" t="str">
        <f t="shared" si="2"/>
        <v>R4</v>
      </c>
    </row>
    <row r="90" spans="8:12" x14ac:dyDescent="0.25">
      <c r="H90" s="119" t="s">
        <v>553</v>
      </c>
      <c r="I90">
        <v>176</v>
      </c>
      <c r="J90">
        <v>0.78500000000000003</v>
      </c>
      <c r="K90">
        <f t="shared" si="3"/>
        <v>12865</v>
      </c>
      <c r="L90" t="str">
        <f t="shared" si="2"/>
        <v>R4</v>
      </c>
    </row>
    <row r="91" spans="8:12" x14ac:dyDescent="0.25">
      <c r="H91" s="119" t="s">
        <v>607</v>
      </c>
      <c r="I91">
        <v>160</v>
      </c>
      <c r="J91">
        <v>0.78500000000000003</v>
      </c>
      <c r="K91">
        <f t="shared" si="3"/>
        <v>13020</v>
      </c>
      <c r="L91" t="str">
        <f t="shared" si="2"/>
        <v>R4</v>
      </c>
    </row>
    <row r="92" spans="8:12" x14ac:dyDescent="0.25">
      <c r="H92" s="119" t="s">
        <v>577</v>
      </c>
      <c r="I92">
        <v>228</v>
      </c>
      <c r="J92">
        <v>0.78500000000000003</v>
      </c>
      <c r="K92">
        <f t="shared" si="3"/>
        <v>13175</v>
      </c>
      <c r="L92" t="str">
        <f t="shared" si="2"/>
        <v>R4</v>
      </c>
    </row>
    <row r="93" spans="8:12" x14ac:dyDescent="0.25">
      <c r="H93" s="119" t="s">
        <v>390</v>
      </c>
      <c r="I93">
        <v>228</v>
      </c>
      <c r="J93">
        <v>0.78500000000000003</v>
      </c>
      <c r="K93">
        <f t="shared" si="3"/>
        <v>13330</v>
      </c>
      <c r="L93" t="str">
        <f t="shared" si="2"/>
        <v>R4</v>
      </c>
    </row>
    <row r="94" spans="8:12" x14ac:dyDescent="0.25">
      <c r="H94" s="119" t="s">
        <v>661</v>
      </c>
      <c r="I94">
        <v>161</v>
      </c>
      <c r="J94">
        <v>0.78500000000000003</v>
      </c>
      <c r="K94">
        <f t="shared" si="3"/>
        <v>13485</v>
      </c>
      <c r="L94" t="str">
        <f t="shared" si="2"/>
        <v>R4</v>
      </c>
    </row>
    <row r="95" spans="8:12" x14ac:dyDescent="0.25">
      <c r="H95" s="119" t="s">
        <v>670</v>
      </c>
      <c r="I95">
        <v>161</v>
      </c>
      <c r="J95">
        <v>0.78500000000000003</v>
      </c>
      <c r="K95">
        <f t="shared" si="3"/>
        <v>13640</v>
      </c>
      <c r="L95" t="str">
        <f t="shared" si="2"/>
        <v>R4</v>
      </c>
    </row>
    <row r="96" spans="8:12" x14ac:dyDescent="0.25">
      <c r="H96" s="119" t="s">
        <v>429</v>
      </c>
      <c r="I96">
        <v>160</v>
      </c>
      <c r="J96">
        <v>0.78500000000000003</v>
      </c>
      <c r="K96">
        <f t="shared" si="3"/>
        <v>13795</v>
      </c>
      <c r="L96" t="str">
        <f t="shared" si="2"/>
        <v>R4</v>
      </c>
    </row>
    <row r="97" spans="8:12" x14ac:dyDescent="0.25">
      <c r="H97" s="119" t="s">
        <v>465</v>
      </c>
      <c r="I97">
        <v>199</v>
      </c>
      <c r="J97">
        <v>0.78999999999999992</v>
      </c>
      <c r="K97">
        <f t="shared" si="3"/>
        <v>13950</v>
      </c>
      <c r="L97" t="str">
        <f t="shared" si="2"/>
        <v>R4</v>
      </c>
    </row>
    <row r="98" spans="8:12" x14ac:dyDescent="0.25">
      <c r="H98" s="119" t="s">
        <v>442</v>
      </c>
      <c r="I98">
        <v>161</v>
      </c>
      <c r="J98">
        <v>0.78999999999999992</v>
      </c>
      <c r="K98">
        <f t="shared" si="3"/>
        <v>14105</v>
      </c>
      <c r="L98" t="str">
        <f t="shared" si="2"/>
        <v>R4</v>
      </c>
    </row>
    <row r="99" spans="8:12" x14ac:dyDescent="0.25">
      <c r="H99" s="119" t="s">
        <v>456</v>
      </c>
      <c r="I99">
        <v>199</v>
      </c>
      <c r="J99">
        <v>0.78999999999999992</v>
      </c>
      <c r="K99">
        <f t="shared" si="3"/>
        <v>14260</v>
      </c>
      <c r="L99" t="str">
        <f t="shared" si="2"/>
        <v>R4</v>
      </c>
    </row>
    <row r="100" spans="8:12" x14ac:dyDescent="0.25">
      <c r="H100" s="119" t="s">
        <v>374</v>
      </c>
      <c r="I100">
        <v>174</v>
      </c>
      <c r="J100">
        <v>0.79</v>
      </c>
      <c r="K100">
        <f t="shared" si="3"/>
        <v>14415</v>
      </c>
      <c r="L100" t="str">
        <f t="shared" si="2"/>
        <v>R4</v>
      </c>
    </row>
    <row r="101" spans="8:12" x14ac:dyDescent="0.25">
      <c r="H101" s="119" t="s">
        <v>1006</v>
      </c>
      <c r="I101">
        <v>174</v>
      </c>
      <c r="J101">
        <v>0.79</v>
      </c>
      <c r="K101">
        <f t="shared" si="3"/>
        <v>14570</v>
      </c>
      <c r="L101" t="str">
        <f t="shared" si="2"/>
        <v>R4</v>
      </c>
    </row>
    <row r="102" spans="8:12" x14ac:dyDescent="0.25">
      <c r="H102" s="119" t="s">
        <v>1005</v>
      </c>
      <c r="I102">
        <v>174</v>
      </c>
      <c r="J102">
        <v>0.79</v>
      </c>
      <c r="K102">
        <f t="shared" si="3"/>
        <v>14725</v>
      </c>
      <c r="L102" t="str">
        <f t="shared" si="2"/>
        <v>R4</v>
      </c>
    </row>
    <row r="103" spans="8:12" x14ac:dyDescent="0.25">
      <c r="H103" s="119" t="s">
        <v>871</v>
      </c>
      <c r="I103">
        <v>153</v>
      </c>
      <c r="J103">
        <v>0.79</v>
      </c>
      <c r="K103">
        <f t="shared" si="3"/>
        <v>14880</v>
      </c>
      <c r="L103" t="str">
        <f t="shared" si="2"/>
        <v>R4</v>
      </c>
    </row>
    <row r="104" spans="8:12" x14ac:dyDescent="0.25">
      <c r="H104" s="119" t="s">
        <v>375</v>
      </c>
      <c r="I104">
        <v>174</v>
      </c>
      <c r="J104">
        <v>0.79</v>
      </c>
      <c r="K104">
        <f t="shared" si="3"/>
        <v>15035</v>
      </c>
      <c r="L104" t="str">
        <f t="shared" si="2"/>
        <v>R4</v>
      </c>
    </row>
    <row r="105" spans="8:12" x14ac:dyDescent="0.25">
      <c r="H105" s="119" t="s">
        <v>422</v>
      </c>
      <c r="I105">
        <v>153</v>
      </c>
      <c r="J105">
        <v>0.79</v>
      </c>
      <c r="K105">
        <f t="shared" si="3"/>
        <v>15190</v>
      </c>
      <c r="L105" t="str">
        <f t="shared" si="2"/>
        <v>R4</v>
      </c>
    </row>
    <row r="106" spans="8:12" x14ac:dyDescent="0.25">
      <c r="H106" s="119" t="s">
        <v>938</v>
      </c>
      <c r="I106">
        <v>160</v>
      </c>
      <c r="J106">
        <v>0.79499999999999993</v>
      </c>
      <c r="K106">
        <f t="shared" si="3"/>
        <v>15345</v>
      </c>
      <c r="L106" t="str">
        <f t="shared" si="2"/>
        <v>R4</v>
      </c>
    </row>
    <row r="107" spans="8:12" x14ac:dyDescent="0.25">
      <c r="H107" s="119" t="s">
        <v>882</v>
      </c>
      <c r="I107">
        <v>224</v>
      </c>
      <c r="J107">
        <v>0.79500000000000004</v>
      </c>
      <c r="K107">
        <f t="shared" si="3"/>
        <v>15500</v>
      </c>
      <c r="L107" t="str">
        <f t="shared" si="2"/>
        <v>R4</v>
      </c>
    </row>
    <row r="108" spans="8:12" x14ac:dyDescent="0.25">
      <c r="H108" s="119" t="s">
        <v>964</v>
      </c>
      <c r="I108">
        <v>224</v>
      </c>
      <c r="J108">
        <v>0.79500000000000004</v>
      </c>
      <c r="K108">
        <f t="shared" si="3"/>
        <v>15655</v>
      </c>
      <c r="L108" t="str">
        <f t="shared" si="2"/>
        <v>R4</v>
      </c>
    </row>
    <row r="109" spans="8:12" x14ac:dyDescent="0.25">
      <c r="H109" s="119" t="s">
        <v>1012</v>
      </c>
      <c r="I109">
        <v>224</v>
      </c>
      <c r="J109">
        <v>0.79500000000000004</v>
      </c>
      <c r="K109">
        <f t="shared" si="3"/>
        <v>15810</v>
      </c>
      <c r="L109" t="str">
        <f t="shared" si="2"/>
        <v>R4</v>
      </c>
    </row>
    <row r="110" spans="8:12" x14ac:dyDescent="0.25">
      <c r="H110" s="119" t="s">
        <v>891</v>
      </c>
      <c r="I110">
        <v>224</v>
      </c>
      <c r="J110">
        <v>0.79500000000000004</v>
      </c>
      <c r="K110">
        <f t="shared" si="3"/>
        <v>15965</v>
      </c>
      <c r="L110" t="str">
        <f t="shared" si="2"/>
        <v>R4</v>
      </c>
    </row>
    <row r="111" spans="8:12" x14ac:dyDescent="0.25">
      <c r="H111" s="119" t="s">
        <v>860</v>
      </c>
      <c r="I111">
        <v>155</v>
      </c>
      <c r="J111">
        <v>0.79999999999999993</v>
      </c>
      <c r="K111">
        <f t="shared" si="3"/>
        <v>16120</v>
      </c>
      <c r="L111" t="str">
        <f t="shared" si="2"/>
        <v>R4</v>
      </c>
    </row>
    <row r="112" spans="8:12" x14ac:dyDescent="0.25">
      <c r="H112" s="119" t="s">
        <v>880</v>
      </c>
      <c r="I112">
        <v>155</v>
      </c>
      <c r="J112">
        <v>0.79999999999999993</v>
      </c>
      <c r="K112">
        <f t="shared" si="3"/>
        <v>16275</v>
      </c>
      <c r="L112" t="str">
        <f t="shared" si="2"/>
        <v>R5</v>
      </c>
    </row>
    <row r="113" spans="8:12" x14ac:dyDescent="0.25">
      <c r="H113" s="119" t="s">
        <v>869</v>
      </c>
      <c r="I113">
        <v>155</v>
      </c>
      <c r="J113">
        <v>0.79999999999999993</v>
      </c>
      <c r="K113">
        <f t="shared" si="3"/>
        <v>16430</v>
      </c>
      <c r="L113" t="str">
        <f t="shared" si="2"/>
        <v>R5</v>
      </c>
    </row>
    <row r="114" spans="8:12" x14ac:dyDescent="0.25">
      <c r="H114" s="119" t="s">
        <v>825</v>
      </c>
      <c r="I114">
        <v>201</v>
      </c>
      <c r="J114">
        <v>0.8</v>
      </c>
      <c r="K114">
        <f t="shared" si="3"/>
        <v>16585</v>
      </c>
      <c r="L114" t="str">
        <f t="shared" si="2"/>
        <v>R5</v>
      </c>
    </row>
    <row r="115" spans="8:12" x14ac:dyDescent="0.25">
      <c r="H115" s="119" t="s">
        <v>851</v>
      </c>
      <c r="I115">
        <v>201</v>
      </c>
      <c r="J115">
        <v>0.8</v>
      </c>
      <c r="K115">
        <f t="shared" si="3"/>
        <v>16740</v>
      </c>
      <c r="L115" t="str">
        <f t="shared" si="2"/>
        <v>R5</v>
      </c>
    </row>
    <row r="116" spans="8:12" x14ac:dyDescent="0.25">
      <c r="H116" s="119" t="s">
        <v>924</v>
      </c>
      <c r="I116">
        <v>309</v>
      </c>
      <c r="J116">
        <v>0.80500000000000005</v>
      </c>
      <c r="K116">
        <f t="shared" si="3"/>
        <v>16895</v>
      </c>
      <c r="L116" t="str">
        <f t="shared" si="2"/>
        <v>R5</v>
      </c>
    </row>
    <row r="117" spans="8:12" x14ac:dyDescent="0.25">
      <c r="H117" s="119" t="s">
        <v>925</v>
      </c>
      <c r="I117">
        <v>301</v>
      </c>
      <c r="J117">
        <v>0.80500000000000005</v>
      </c>
      <c r="K117">
        <f t="shared" si="3"/>
        <v>17050</v>
      </c>
      <c r="L117" t="str">
        <f t="shared" si="2"/>
        <v>R5</v>
      </c>
    </row>
    <row r="118" spans="8:12" x14ac:dyDescent="0.25">
      <c r="H118" s="119" t="s">
        <v>903</v>
      </c>
      <c r="I118">
        <v>223</v>
      </c>
      <c r="J118">
        <v>0.80500000000000005</v>
      </c>
      <c r="K118">
        <f t="shared" si="3"/>
        <v>17205</v>
      </c>
      <c r="L118" t="str">
        <f t="shared" si="2"/>
        <v>R5</v>
      </c>
    </row>
    <row r="119" spans="8:12" x14ac:dyDescent="0.25">
      <c r="H119" s="119" t="s">
        <v>981</v>
      </c>
      <c r="I119">
        <v>228</v>
      </c>
      <c r="J119">
        <v>0.80500000000000005</v>
      </c>
      <c r="K119">
        <f t="shared" si="3"/>
        <v>17360</v>
      </c>
      <c r="L119" t="str">
        <f t="shared" si="2"/>
        <v>R5</v>
      </c>
    </row>
    <row r="120" spans="8:12" x14ac:dyDescent="0.25">
      <c r="H120" s="119" t="s">
        <v>813</v>
      </c>
      <c r="I120">
        <v>228</v>
      </c>
      <c r="J120">
        <v>0.80500000000000005</v>
      </c>
      <c r="K120">
        <f t="shared" si="3"/>
        <v>17515</v>
      </c>
      <c r="L120" t="str">
        <f t="shared" si="2"/>
        <v>R5</v>
      </c>
    </row>
    <row r="121" spans="8:12" x14ac:dyDescent="0.25">
      <c r="H121" s="119" t="s">
        <v>982</v>
      </c>
      <c r="I121">
        <v>176</v>
      </c>
      <c r="J121">
        <v>0.80500000000000005</v>
      </c>
      <c r="K121">
        <f t="shared" si="3"/>
        <v>17670</v>
      </c>
      <c r="L121" t="str">
        <f t="shared" si="2"/>
        <v>R5</v>
      </c>
    </row>
    <row r="122" spans="8:12" x14ac:dyDescent="0.25">
      <c r="H122" s="119" t="s">
        <v>812</v>
      </c>
      <c r="I122">
        <v>176</v>
      </c>
      <c r="J122">
        <v>0.80500000000000005</v>
      </c>
      <c r="K122">
        <f t="shared" si="3"/>
        <v>17825</v>
      </c>
      <c r="L122" t="str">
        <f t="shared" si="2"/>
        <v>R5</v>
      </c>
    </row>
    <row r="123" spans="8:12" x14ac:dyDescent="0.25">
      <c r="H123" s="119" t="s">
        <v>889</v>
      </c>
      <c r="I123">
        <v>223</v>
      </c>
      <c r="J123">
        <v>0.80500000000000005</v>
      </c>
      <c r="K123">
        <f t="shared" si="3"/>
        <v>17980</v>
      </c>
      <c r="L123" t="str">
        <f t="shared" si="2"/>
        <v>R5</v>
      </c>
    </row>
    <row r="124" spans="8:12" x14ac:dyDescent="0.25">
      <c r="H124" s="119" t="s">
        <v>873</v>
      </c>
      <c r="I124">
        <v>155</v>
      </c>
      <c r="J124">
        <v>0.80999999999999994</v>
      </c>
      <c r="K124">
        <f t="shared" si="3"/>
        <v>18135</v>
      </c>
      <c r="L124" t="str">
        <f t="shared" si="2"/>
        <v>R5</v>
      </c>
    </row>
    <row r="125" spans="8:12" x14ac:dyDescent="0.25">
      <c r="H125" s="119" t="s">
        <v>854</v>
      </c>
      <c r="I125">
        <v>155</v>
      </c>
      <c r="J125">
        <v>0.80999999999999994</v>
      </c>
      <c r="K125">
        <f t="shared" si="3"/>
        <v>18290</v>
      </c>
      <c r="L125" t="str">
        <f t="shared" si="2"/>
        <v>R5</v>
      </c>
    </row>
    <row r="126" spans="8:12" x14ac:dyDescent="0.25">
      <c r="H126" s="119" t="s">
        <v>967</v>
      </c>
      <c r="I126">
        <v>204</v>
      </c>
      <c r="J126">
        <v>0.81</v>
      </c>
      <c r="K126">
        <f t="shared" si="3"/>
        <v>18445</v>
      </c>
      <c r="L126" t="str">
        <f t="shared" si="2"/>
        <v>R5</v>
      </c>
    </row>
    <row r="127" spans="8:12" x14ac:dyDescent="0.25">
      <c r="H127" s="119" t="s">
        <v>839</v>
      </c>
      <c r="I127">
        <v>174</v>
      </c>
      <c r="J127">
        <v>0.81</v>
      </c>
      <c r="K127">
        <f t="shared" si="3"/>
        <v>18600</v>
      </c>
      <c r="L127" t="str">
        <f t="shared" si="2"/>
        <v>R5</v>
      </c>
    </row>
    <row r="128" spans="8:12" x14ac:dyDescent="0.25">
      <c r="H128" s="119" t="s">
        <v>948</v>
      </c>
      <c r="I128">
        <v>204</v>
      </c>
      <c r="J128">
        <v>0.81</v>
      </c>
      <c r="K128">
        <f t="shared" si="3"/>
        <v>18755</v>
      </c>
      <c r="L128" t="str">
        <f t="shared" si="2"/>
        <v>R5</v>
      </c>
    </row>
    <row r="129" spans="8:12" x14ac:dyDescent="0.25">
      <c r="H129" s="119" t="s">
        <v>838</v>
      </c>
      <c r="I129">
        <v>174</v>
      </c>
      <c r="J129">
        <v>0.81</v>
      </c>
      <c r="K129">
        <f t="shared" si="3"/>
        <v>18910</v>
      </c>
      <c r="L129" t="str">
        <f t="shared" si="2"/>
        <v>R5</v>
      </c>
    </row>
    <row r="130" spans="8:12" x14ac:dyDescent="0.25">
      <c r="H130" s="119" t="s">
        <v>894</v>
      </c>
      <c r="I130">
        <v>224</v>
      </c>
      <c r="J130">
        <v>0.81500000000000006</v>
      </c>
      <c r="K130">
        <f t="shared" si="3"/>
        <v>19065</v>
      </c>
      <c r="L130" t="str">
        <f t="shared" si="2"/>
        <v>R5</v>
      </c>
    </row>
    <row r="131" spans="8:12" x14ac:dyDescent="0.25">
      <c r="H131" s="119" t="s">
        <v>883</v>
      </c>
      <c r="I131">
        <v>224</v>
      </c>
      <c r="J131">
        <v>0.81500000000000006</v>
      </c>
      <c r="K131">
        <f t="shared" si="3"/>
        <v>19220</v>
      </c>
      <c r="L131" t="str">
        <f t="shared" si="2"/>
        <v>R5</v>
      </c>
    </row>
    <row r="132" spans="8:12" x14ac:dyDescent="0.25">
      <c r="H132" s="119" t="s">
        <v>879</v>
      </c>
      <c r="I132">
        <v>160</v>
      </c>
      <c r="J132">
        <v>0.81500000000000006</v>
      </c>
      <c r="K132">
        <f t="shared" si="3"/>
        <v>19375</v>
      </c>
      <c r="L132" t="str">
        <f t="shared" si="2"/>
        <v>R6</v>
      </c>
    </row>
    <row r="133" spans="8:12" x14ac:dyDescent="0.25">
      <c r="H133" s="119" t="s">
        <v>870</v>
      </c>
      <c r="I133">
        <v>158</v>
      </c>
      <c r="J133">
        <v>0.81500000000000006</v>
      </c>
      <c r="K133">
        <f t="shared" si="3"/>
        <v>19530</v>
      </c>
      <c r="L133" t="str">
        <f t="shared" si="2"/>
        <v>R6</v>
      </c>
    </row>
    <row r="134" spans="8:12" x14ac:dyDescent="0.25">
      <c r="H134" s="119" t="s">
        <v>957</v>
      </c>
      <c r="I134">
        <v>173</v>
      </c>
      <c r="J134">
        <v>0.82000000000000006</v>
      </c>
      <c r="K134">
        <f t="shared" si="3"/>
        <v>19685</v>
      </c>
      <c r="L134" t="str">
        <f t="shared" si="2"/>
        <v>R6</v>
      </c>
    </row>
    <row r="135" spans="8:12" x14ac:dyDescent="0.25">
      <c r="H135" s="119" t="s">
        <v>956</v>
      </c>
      <c r="I135">
        <v>173</v>
      </c>
      <c r="J135">
        <v>0.82000000000000006</v>
      </c>
      <c r="K135">
        <f t="shared" si="3"/>
        <v>19840</v>
      </c>
      <c r="L135" t="str">
        <f t="shared" si="2"/>
        <v>R6</v>
      </c>
    </row>
    <row r="136" spans="8:12" x14ac:dyDescent="0.25">
      <c r="H136" s="119" t="s">
        <v>872</v>
      </c>
      <c r="I136">
        <v>160</v>
      </c>
      <c r="J136">
        <v>0.82500000000000007</v>
      </c>
      <c r="K136">
        <f t="shared" si="3"/>
        <v>19995</v>
      </c>
      <c r="L136" t="str">
        <f t="shared" si="2"/>
        <v>R6</v>
      </c>
    </row>
    <row r="137" spans="8:12" x14ac:dyDescent="0.25">
      <c r="H137" s="119" t="s">
        <v>1029</v>
      </c>
      <c r="I137">
        <v>228</v>
      </c>
      <c r="J137">
        <v>0.82500000000000007</v>
      </c>
      <c r="K137">
        <f t="shared" si="3"/>
        <v>20150</v>
      </c>
      <c r="L137" t="str">
        <f t="shared" ref="L137:L200" si="4">IF(AND(K137&gt;=0,K137&lt;=6556),"R1",IF(AND(K137&gt;=6556,K137&lt;=9255),"R2",IF(AND(K137&gt;=9255,K137&lt;=11955),"R3",IF(AND(K137&gt;=11955,K137&lt;=16197),"R4",IF(AND(K137&gt;=16197,K137&lt;=19282),"R5",IF(AND(K137&gt;=19282,K137&lt;=21982),"R6",IF(AND(K137&gt;=21982,K137&lt;=25067),"R7",IF(AND(K137&gt;=25067,K137&lt;=29695),"R8",IF(AND(K137&gt;=29695,K137&lt;=32780),"R9",IF(AND(K137&gt;=32780,K137&lt;=33937),"R10",IF(AND(K137&gt;=33937,K137&lt;=35094),"R11",IF(AND(K137&gt;=35094,K137&lt;=38565),"R12"))))))))))))</f>
        <v>R6</v>
      </c>
    </row>
    <row r="138" spans="8:12" x14ac:dyDescent="0.25">
      <c r="H138" s="119" t="s">
        <v>826</v>
      </c>
      <c r="I138">
        <v>228</v>
      </c>
      <c r="J138">
        <v>0.82500000000000007</v>
      </c>
      <c r="K138">
        <f t="shared" ref="K138:K201" si="5">K137+GETPIVOTDATA("Sum of Unit Selling Area",$H$7,"Unit Number","D122")</f>
        <v>20305</v>
      </c>
      <c r="L138" t="str">
        <f t="shared" si="4"/>
        <v>R6</v>
      </c>
    </row>
    <row r="139" spans="8:12" x14ac:dyDescent="0.25">
      <c r="H139" s="119" t="s">
        <v>884</v>
      </c>
      <c r="I139">
        <v>205</v>
      </c>
      <c r="J139">
        <v>0.83</v>
      </c>
      <c r="K139">
        <f t="shared" si="5"/>
        <v>20460</v>
      </c>
      <c r="L139" t="str">
        <f t="shared" si="4"/>
        <v>R6</v>
      </c>
    </row>
    <row r="140" spans="8:12" x14ac:dyDescent="0.25">
      <c r="H140" s="119" t="s">
        <v>898</v>
      </c>
      <c r="I140">
        <v>205</v>
      </c>
      <c r="J140">
        <v>0.83</v>
      </c>
      <c r="K140">
        <f t="shared" si="5"/>
        <v>20615</v>
      </c>
      <c r="L140" t="str">
        <f t="shared" si="4"/>
        <v>R6</v>
      </c>
    </row>
    <row r="141" spans="8:12" x14ac:dyDescent="0.25">
      <c r="H141" s="119" t="s">
        <v>966</v>
      </c>
      <c r="I141">
        <v>228</v>
      </c>
      <c r="J141">
        <v>0.83499999999999996</v>
      </c>
      <c r="K141">
        <f t="shared" si="5"/>
        <v>20770</v>
      </c>
      <c r="L141" t="str">
        <f t="shared" si="4"/>
        <v>R6</v>
      </c>
    </row>
    <row r="142" spans="8:12" x14ac:dyDescent="0.25">
      <c r="H142" s="119" t="s">
        <v>1015</v>
      </c>
      <c r="I142">
        <v>228</v>
      </c>
      <c r="J142">
        <v>0.83499999999999996</v>
      </c>
      <c r="K142">
        <f t="shared" si="5"/>
        <v>20925</v>
      </c>
      <c r="L142" t="str">
        <f t="shared" si="4"/>
        <v>R6</v>
      </c>
    </row>
    <row r="143" spans="8:12" x14ac:dyDescent="0.25">
      <c r="H143" s="119" t="s">
        <v>940</v>
      </c>
      <c r="I143">
        <v>160</v>
      </c>
      <c r="J143">
        <v>0.83499999999999996</v>
      </c>
      <c r="K143">
        <f t="shared" si="5"/>
        <v>21080</v>
      </c>
      <c r="L143" t="str">
        <f t="shared" si="4"/>
        <v>R6</v>
      </c>
    </row>
    <row r="144" spans="8:12" x14ac:dyDescent="0.25">
      <c r="H144" s="119" t="s">
        <v>932</v>
      </c>
      <c r="I144">
        <v>161</v>
      </c>
      <c r="J144">
        <v>0.84</v>
      </c>
      <c r="K144">
        <f t="shared" si="5"/>
        <v>21235</v>
      </c>
      <c r="L144" t="str">
        <f t="shared" si="4"/>
        <v>R6</v>
      </c>
    </row>
    <row r="145" spans="8:12" x14ac:dyDescent="0.25">
      <c r="H145" s="119" t="s">
        <v>791</v>
      </c>
      <c r="I145">
        <v>199</v>
      </c>
      <c r="J145">
        <v>0.84</v>
      </c>
      <c r="K145">
        <f t="shared" si="5"/>
        <v>21390</v>
      </c>
      <c r="L145" t="str">
        <f t="shared" si="4"/>
        <v>R6</v>
      </c>
    </row>
    <row r="146" spans="8:12" x14ac:dyDescent="0.25">
      <c r="H146" s="119" t="s">
        <v>865</v>
      </c>
      <c r="I146">
        <v>160</v>
      </c>
      <c r="J146">
        <v>0.84</v>
      </c>
      <c r="K146">
        <f t="shared" si="5"/>
        <v>21545</v>
      </c>
      <c r="L146" t="str">
        <f t="shared" si="4"/>
        <v>R6</v>
      </c>
    </row>
    <row r="147" spans="8:12" x14ac:dyDescent="0.25">
      <c r="H147" s="119" t="s">
        <v>905</v>
      </c>
      <c r="I147">
        <v>199</v>
      </c>
      <c r="J147">
        <v>0.84</v>
      </c>
      <c r="K147">
        <f t="shared" si="5"/>
        <v>21700</v>
      </c>
      <c r="L147" t="str">
        <f t="shared" si="4"/>
        <v>R6</v>
      </c>
    </row>
    <row r="148" spans="8:12" x14ac:dyDescent="0.25">
      <c r="H148" s="119" t="s">
        <v>914</v>
      </c>
      <c r="I148">
        <v>153</v>
      </c>
      <c r="J148">
        <v>0.84000000000000008</v>
      </c>
      <c r="K148">
        <f t="shared" si="5"/>
        <v>21855</v>
      </c>
      <c r="L148" t="str">
        <f t="shared" si="4"/>
        <v>R6</v>
      </c>
    </row>
    <row r="149" spans="8:12" x14ac:dyDescent="0.25">
      <c r="H149" s="119" t="s">
        <v>935</v>
      </c>
      <c r="I149">
        <v>153</v>
      </c>
      <c r="J149">
        <v>0.84000000000000008</v>
      </c>
      <c r="K149">
        <f t="shared" si="5"/>
        <v>22010</v>
      </c>
      <c r="L149" t="str">
        <f t="shared" si="4"/>
        <v>R7</v>
      </c>
    </row>
    <row r="150" spans="8:12" x14ac:dyDescent="0.25">
      <c r="H150" s="119" t="s">
        <v>987</v>
      </c>
      <c r="I150">
        <v>224</v>
      </c>
      <c r="J150">
        <v>0.84500000000000008</v>
      </c>
      <c r="K150">
        <f t="shared" si="5"/>
        <v>22165</v>
      </c>
      <c r="L150" t="str">
        <f t="shared" si="4"/>
        <v>R7</v>
      </c>
    </row>
    <row r="151" spans="8:12" x14ac:dyDescent="0.25">
      <c r="H151" s="119" t="s">
        <v>933</v>
      </c>
      <c r="I151">
        <v>155</v>
      </c>
      <c r="J151">
        <v>0.85</v>
      </c>
      <c r="K151">
        <f t="shared" si="5"/>
        <v>22320</v>
      </c>
      <c r="L151" t="str">
        <f t="shared" si="4"/>
        <v>R7</v>
      </c>
    </row>
    <row r="152" spans="8:12" x14ac:dyDescent="0.25">
      <c r="H152" s="119" t="s">
        <v>922</v>
      </c>
      <c r="I152">
        <v>155</v>
      </c>
      <c r="J152">
        <v>0.85</v>
      </c>
      <c r="K152">
        <f t="shared" si="5"/>
        <v>22475</v>
      </c>
      <c r="L152" t="str">
        <f t="shared" si="4"/>
        <v>R7</v>
      </c>
    </row>
    <row r="153" spans="8:12" x14ac:dyDescent="0.25">
      <c r="H153" s="119" t="s">
        <v>913</v>
      </c>
      <c r="I153">
        <v>199</v>
      </c>
      <c r="J153">
        <v>0.85</v>
      </c>
      <c r="K153">
        <f t="shared" si="5"/>
        <v>22630</v>
      </c>
      <c r="L153" t="str">
        <f t="shared" si="4"/>
        <v>R7</v>
      </c>
    </row>
    <row r="154" spans="8:12" x14ac:dyDescent="0.25">
      <c r="H154" s="119" t="s">
        <v>875</v>
      </c>
      <c r="I154">
        <v>155</v>
      </c>
      <c r="J154">
        <v>0.85</v>
      </c>
      <c r="K154">
        <f t="shared" si="5"/>
        <v>22785</v>
      </c>
      <c r="L154" t="str">
        <f t="shared" si="4"/>
        <v>R7</v>
      </c>
    </row>
    <row r="155" spans="8:12" x14ac:dyDescent="0.25">
      <c r="H155" s="119" t="s">
        <v>943</v>
      </c>
      <c r="I155">
        <v>155</v>
      </c>
      <c r="J155">
        <v>0.85</v>
      </c>
      <c r="K155">
        <f t="shared" si="5"/>
        <v>22940</v>
      </c>
      <c r="L155" t="str">
        <f t="shared" si="4"/>
        <v>R7</v>
      </c>
    </row>
    <row r="156" spans="8:12" x14ac:dyDescent="0.25">
      <c r="H156" s="119" t="s">
        <v>856</v>
      </c>
      <c r="I156">
        <v>155</v>
      </c>
      <c r="J156">
        <v>0.85</v>
      </c>
      <c r="K156">
        <f t="shared" si="5"/>
        <v>23095</v>
      </c>
      <c r="L156" t="str">
        <f t="shared" si="4"/>
        <v>R7</v>
      </c>
    </row>
    <row r="157" spans="8:12" x14ac:dyDescent="0.25">
      <c r="H157" s="119" t="s">
        <v>866</v>
      </c>
      <c r="I157">
        <v>155</v>
      </c>
      <c r="J157">
        <v>0.85</v>
      </c>
      <c r="K157">
        <f t="shared" si="5"/>
        <v>23250</v>
      </c>
      <c r="L157" t="str">
        <f t="shared" si="4"/>
        <v>R7</v>
      </c>
    </row>
    <row r="158" spans="8:12" x14ac:dyDescent="0.25">
      <c r="H158" s="119" t="s">
        <v>845</v>
      </c>
      <c r="I158">
        <v>199</v>
      </c>
      <c r="J158">
        <v>0.85</v>
      </c>
      <c r="K158">
        <f t="shared" si="5"/>
        <v>23405</v>
      </c>
      <c r="L158" t="str">
        <f t="shared" si="4"/>
        <v>R7</v>
      </c>
    </row>
    <row r="159" spans="8:12" x14ac:dyDescent="0.25">
      <c r="H159" s="119" t="s">
        <v>969</v>
      </c>
      <c r="I159">
        <v>201</v>
      </c>
      <c r="J159">
        <v>0.85000000000000009</v>
      </c>
      <c r="K159">
        <f t="shared" si="5"/>
        <v>23560</v>
      </c>
      <c r="L159" t="str">
        <f t="shared" si="4"/>
        <v>R7</v>
      </c>
    </row>
    <row r="160" spans="8:12" x14ac:dyDescent="0.25">
      <c r="H160" s="119" t="s">
        <v>950</v>
      </c>
      <c r="I160">
        <v>201</v>
      </c>
      <c r="J160">
        <v>0.85000000000000009</v>
      </c>
      <c r="K160">
        <f t="shared" si="5"/>
        <v>23715</v>
      </c>
      <c r="L160" t="str">
        <f t="shared" si="4"/>
        <v>R7</v>
      </c>
    </row>
    <row r="161" spans="8:12" x14ac:dyDescent="0.25">
      <c r="H161" s="119" t="s">
        <v>897</v>
      </c>
      <c r="I161">
        <v>228</v>
      </c>
      <c r="J161">
        <v>0.85499999999999998</v>
      </c>
      <c r="K161">
        <f t="shared" si="5"/>
        <v>23870</v>
      </c>
      <c r="L161" t="str">
        <f t="shared" si="4"/>
        <v>R7</v>
      </c>
    </row>
    <row r="162" spans="8:12" x14ac:dyDescent="0.25">
      <c r="H162" s="119" t="s">
        <v>885</v>
      </c>
      <c r="I162">
        <v>228</v>
      </c>
      <c r="J162">
        <v>0.85499999999999998</v>
      </c>
      <c r="K162">
        <f t="shared" si="5"/>
        <v>24025</v>
      </c>
      <c r="L162" t="str">
        <f t="shared" si="4"/>
        <v>R7</v>
      </c>
    </row>
    <row r="163" spans="8:12" x14ac:dyDescent="0.25">
      <c r="H163" s="119" t="s">
        <v>997</v>
      </c>
      <c r="I163">
        <v>222</v>
      </c>
      <c r="J163">
        <v>0.85500000000000009</v>
      </c>
      <c r="K163">
        <f t="shared" si="5"/>
        <v>24180</v>
      </c>
      <c r="L163" t="str">
        <f t="shared" si="4"/>
        <v>R7</v>
      </c>
    </row>
    <row r="164" spans="8:12" x14ac:dyDescent="0.25">
      <c r="H164" s="119" t="s">
        <v>807</v>
      </c>
      <c r="I164">
        <v>199</v>
      </c>
      <c r="J164">
        <v>0.86</v>
      </c>
      <c r="K164">
        <f t="shared" si="5"/>
        <v>24335</v>
      </c>
      <c r="L164" t="str">
        <f t="shared" si="4"/>
        <v>R7</v>
      </c>
    </row>
    <row r="165" spans="8:12" x14ac:dyDescent="0.25">
      <c r="H165" s="119" t="s">
        <v>937</v>
      </c>
      <c r="I165">
        <v>155</v>
      </c>
      <c r="J165">
        <v>0.86</v>
      </c>
      <c r="K165">
        <f t="shared" si="5"/>
        <v>24490</v>
      </c>
      <c r="L165" t="str">
        <f t="shared" si="4"/>
        <v>R7</v>
      </c>
    </row>
    <row r="166" spans="8:12" x14ac:dyDescent="0.25">
      <c r="H166" s="119" t="s">
        <v>916</v>
      </c>
      <c r="I166">
        <v>155</v>
      </c>
      <c r="J166">
        <v>0.86</v>
      </c>
      <c r="K166">
        <f t="shared" si="5"/>
        <v>24645</v>
      </c>
      <c r="L166" t="str">
        <f t="shared" si="4"/>
        <v>R7</v>
      </c>
    </row>
    <row r="167" spans="8:12" x14ac:dyDescent="0.25">
      <c r="H167" s="119" t="s">
        <v>907</v>
      </c>
      <c r="I167">
        <v>199</v>
      </c>
      <c r="J167">
        <v>0.86</v>
      </c>
      <c r="K167">
        <f t="shared" si="5"/>
        <v>24800</v>
      </c>
      <c r="L167" t="str">
        <f t="shared" si="4"/>
        <v>R7</v>
      </c>
    </row>
    <row r="168" spans="8:12" x14ac:dyDescent="0.25">
      <c r="H168" s="119" t="s">
        <v>959</v>
      </c>
      <c r="I168">
        <v>174</v>
      </c>
      <c r="J168">
        <v>0.8600000000000001</v>
      </c>
      <c r="K168">
        <f t="shared" si="5"/>
        <v>24955</v>
      </c>
      <c r="L168" t="str">
        <f t="shared" si="4"/>
        <v>R7</v>
      </c>
    </row>
    <row r="169" spans="8:12" x14ac:dyDescent="0.25">
      <c r="H169" s="119" t="s">
        <v>958</v>
      </c>
      <c r="I169">
        <v>174</v>
      </c>
      <c r="J169">
        <v>0.8600000000000001</v>
      </c>
      <c r="K169">
        <f t="shared" si="5"/>
        <v>25110</v>
      </c>
      <c r="L169" t="str">
        <f t="shared" si="4"/>
        <v>R8</v>
      </c>
    </row>
    <row r="170" spans="8:12" x14ac:dyDescent="0.25">
      <c r="H170" s="119" t="s">
        <v>874</v>
      </c>
      <c r="I170">
        <v>160</v>
      </c>
      <c r="J170">
        <v>0.86499999999999999</v>
      </c>
      <c r="K170">
        <f t="shared" si="5"/>
        <v>25265</v>
      </c>
      <c r="L170" t="str">
        <f t="shared" si="4"/>
        <v>R8</v>
      </c>
    </row>
    <row r="171" spans="8:12" x14ac:dyDescent="0.25">
      <c r="H171" s="119" t="s">
        <v>990</v>
      </c>
      <c r="I171">
        <v>224</v>
      </c>
      <c r="J171">
        <v>0.8650000000000001</v>
      </c>
      <c r="K171">
        <f t="shared" si="5"/>
        <v>25420</v>
      </c>
      <c r="L171" t="str">
        <f t="shared" si="4"/>
        <v>R8</v>
      </c>
    </row>
    <row r="172" spans="8:12" x14ac:dyDescent="0.25">
      <c r="H172" s="119" t="s">
        <v>904</v>
      </c>
      <c r="I172">
        <v>224</v>
      </c>
      <c r="J172">
        <v>0.8650000000000001</v>
      </c>
      <c r="K172">
        <f t="shared" si="5"/>
        <v>25575</v>
      </c>
      <c r="L172" t="str">
        <f t="shared" si="4"/>
        <v>R8</v>
      </c>
    </row>
    <row r="173" spans="8:12" x14ac:dyDescent="0.25">
      <c r="H173" s="119" t="s">
        <v>915</v>
      </c>
      <c r="I173">
        <v>158</v>
      </c>
      <c r="J173">
        <v>0.8650000000000001</v>
      </c>
      <c r="K173">
        <f t="shared" si="5"/>
        <v>25730</v>
      </c>
      <c r="L173" t="str">
        <f t="shared" si="4"/>
        <v>R8</v>
      </c>
    </row>
    <row r="174" spans="8:12" x14ac:dyDescent="0.25">
      <c r="H174" s="119" t="s">
        <v>923</v>
      </c>
      <c r="I174">
        <v>160</v>
      </c>
      <c r="J174">
        <v>0.8650000000000001</v>
      </c>
      <c r="K174">
        <f t="shared" si="5"/>
        <v>25885</v>
      </c>
      <c r="L174" t="str">
        <f t="shared" si="4"/>
        <v>R8</v>
      </c>
    </row>
    <row r="175" spans="8:12" x14ac:dyDescent="0.25">
      <c r="H175" s="119" t="s">
        <v>794</v>
      </c>
      <c r="I175">
        <v>224</v>
      </c>
      <c r="J175">
        <v>0.8650000000000001</v>
      </c>
      <c r="K175">
        <f t="shared" si="5"/>
        <v>26040</v>
      </c>
      <c r="L175" t="str">
        <f t="shared" si="4"/>
        <v>R8</v>
      </c>
    </row>
    <row r="176" spans="8:12" x14ac:dyDescent="0.25">
      <c r="H176" s="119" t="s">
        <v>886</v>
      </c>
      <c r="I176">
        <v>202</v>
      </c>
      <c r="J176">
        <v>0.87</v>
      </c>
      <c r="K176">
        <f t="shared" si="5"/>
        <v>26195</v>
      </c>
      <c r="L176" t="str">
        <f t="shared" si="4"/>
        <v>R8</v>
      </c>
    </row>
    <row r="177" spans="8:12" x14ac:dyDescent="0.25">
      <c r="H177" s="119" t="s">
        <v>901</v>
      </c>
      <c r="I177">
        <v>202</v>
      </c>
      <c r="J177">
        <v>0.87</v>
      </c>
      <c r="K177">
        <f t="shared" si="5"/>
        <v>26350</v>
      </c>
      <c r="L177" t="str">
        <f t="shared" si="4"/>
        <v>R8</v>
      </c>
    </row>
    <row r="178" spans="8:12" x14ac:dyDescent="0.25">
      <c r="H178" s="119" t="s">
        <v>968</v>
      </c>
      <c r="I178">
        <v>228</v>
      </c>
      <c r="J178">
        <v>0.875</v>
      </c>
      <c r="K178">
        <f t="shared" si="5"/>
        <v>26505</v>
      </c>
      <c r="L178" t="str">
        <f t="shared" si="4"/>
        <v>R8</v>
      </c>
    </row>
    <row r="179" spans="8:12" x14ac:dyDescent="0.25">
      <c r="H179" s="119" t="s">
        <v>1018</v>
      </c>
      <c r="I179">
        <v>228</v>
      </c>
      <c r="J179">
        <v>0.875</v>
      </c>
      <c r="K179">
        <f t="shared" si="5"/>
        <v>26660</v>
      </c>
      <c r="L179" t="str">
        <f t="shared" si="4"/>
        <v>R8</v>
      </c>
    </row>
    <row r="180" spans="8:12" x14ac:dyDescent="0.25">
      <c r="H180" s="119" t="s">
        <v>917</v>
      </c>
      <c r="I180">
        <v>160</v>
      </c>
      <c r="J180">
        <v>0.87500000000000011</v>
      </c>
      <c r="K180">
        <f t="shared" si="5"/>
        <v>26815</v>
      </c>
      <c r="L180" t="str">
        <f t="shared" si="4"/>
        <v>R8</v>
      </c>
    </row>
    <row r="181" spans="8:12" x14ac:dyDescent="0.25">
      <c r="H181" s="119" t="s">
        <v>848</v>
      </c>
      <c r="I181">
        <v>223</v>
      </c>
      <c r="J181">
        <v>0.87500000000000011</v>
      </c>
      <c r="K181">
        <f t="shared" si="5"/>
        <v>26970</v>
      </c>
      <c r="L181" t="str">
        <f t="shared" si="4"/>
        <v>R8</v>
      </c>
    </row>
    <row r="182" spans="8:12" x14ac:dyDescent="0.25">
      <c r="H182" s="119" t="s">
        <v>912</v>
      </c>
      <c r="I182">
        <v>223</v>
      </c>
      <c r="J182">
        <v>0.87500000000000011</v>
      </c>
      <c r="K182">
        <f t="shared" si="5"/>
        <v>27125</v>
      </c>
      <c r="L182" t="str">
        <f t="shared" si="4"/>
        <v>R8</v>
      </c>
    </row>
    <row r="183" spans="8:12" x14ac:dyDescent="0.25">
      <c r="H183" s="119" t="s">
        <v>867</v>
      </c>
      <c r="I183">
        <v>160</v>
      </c>
      <c r="J183">
        <v>0.88</v>
      </c>
      <c r="K183">
        <f t="shared" si="5"/>
        <v>27280</v>
      </c>
      <c r="L183" t="str">
        <f t="shared" si="4"/>
        <v>R8</v>
      </c>
    </row>
    <row r="184" spans="8:12" x14ac:dyDescent="0.25">
      <c r="H184" s="119" t="s">
        <v>906</v>
      </c>
      <c r="I184">
        <v>224</v>
      </c>
      <c r="J184">
        <v>0.88500000000000012</v>
      </c>
      <c r="K184">
        <f t="shared" si="5"/>
        <v>27435</v>
      </c>
      <c r="L184" t="str">
        <f t="shared" si="4"/>
        <v>R8</v>
      </c>
    </row>
    <row r="185" spans="8:12" x14ac:dyDescent="0.25">
      <c r="H185" s="119" t="s">
        <v>811</v>
      </c>
      <c r="I185">
        <v>224</v>
      </c>
      <c r="J185">
        <v>0.88500000000000012</v>
      </c>
      <c r="K185">
        <f t="shared" si="5"/>
        <v>27590</v>
      </c>
      <c r="L185" t="str">
        <f t="shared" si="4"/>
        <v>R8</v>
      </c>
    </row>
    <row r="186" spans="8:12" x14ac:dyDescent="0.25">
      <c r="H186" s="119" t="s">
        <v>878</v>
      </c>
      <c r="I186">
        <v>155</v>
      </c>
      <c r="J186">
        <v>0.89</v>
      </c>
      <c r="K186">
        <f t="shared" si="5"/>
        <v>27745</v>
      </c>
      <c r="L186" t="str">
        <f t="shared" si="4"/>
        <v>R8</v>
      </c>
    </row>
    <row r="187" spans="8:12" x14ac:dyDescent="0.25">
      <c r="H187" s="119" t="s">
        <v>858</v>
      </c>
      <c r="I187">
        <v>155</v>
      </c>
      <c r="J187">
        <v>0.89</v>
      </c>
      <c r="K187">
        <f t="shared" si="5"/>
        <v>27900</v>
      </c>
      <c r="L187" t="str">
        <f t="shared" si="4"/>
        <v>R8</v>
      </c>
    </row>
    <row r="188" spans="8:12" x14ac:dyDescent="0.25">
      <c r="H188" s="119" t="s">
        <v>868</v>
      </c>
      <c r="I188">
        <v>155</v>
      </c>
      <c r="J188">
        <v>0.89</v>
      </c>
      <c r="K188">
        <f t="shared" si="5"/>
        <v>28055</v>
      </c>
      <c r="L188" t="str">
        <f t="shared" si="4"/>
        <v>R8</v>
      </c>
    </row>
    <row r="189" spans="8:12" x14ac:dyDescent="0.25">
      <c r="H189" s="119" t="s">
        <v>928</v>
      </c>
      <c r="I189">
        <v>160</v>
      </c>
      <c r="J189">
        <v>0.89</v>
      </c>
      <c r="K189">
        <f t="shared" si="5"/>
        <v>28210</v>
      </c>
      <c r="L189" t="str">
        <f t="shared" si="4"/>
        <v>R8</v>
      </c>
    </row>
    <row r="190" spans="8:12" x14ac:dyDescent="0.25">
      <c r="H190" s="119" t="s">
        <v>887</v>
      </c>
      <c r="I190">
        <v>229</v>
      </c>
      <c r="J190">
        <v>0.89500000000000002</v>
      </c>
      <c r="K190">
        <f t="shared" si="5"/>
        <v>28365</v>
      </c>
      <c r="L190" t="str">
        <f t="shared" si="4"/>
        <v>R8</v>
      </c>
    </row>
    <row r="191" spans="8:12" x14ac:dyDescent="0.25">
      <c r="H191" s="119" t="s">
        <v>900</v>
      </c>
      <c r="I191">
        <v>229</v>
      </c>
      <c r="J191">
        <v>0.89500000000000002</v>
      </c>
      <c r="K191">
        <f t="shared" si="5"/>
        <v>28520</v>
      </c>
      <c r="L191" t="str">
        <f t="shared" si="4"/>
        <v>R8</v>
      </c>
    </row>
    <row r="192" spans="8:12" x14ac:dyDescent="0.25">
      <c r="H192" s="119" t="s">
        <v>909</v>
      </c>
      <c r="I192">
        <v>205</v>
      </c>
      <c r="J192">
        <v>0.89999999999999991</v>
      </c>
      <c r="K192">
        <f t="shared" si="5"/>
        <v>28675</v>
      </c>
      <c r="L192" t="str">
        <f t="shared" si="4"/>
        <v>R8</v>
      </c>
    </row>
    <row r="193" spans="8:12" x14ac:dyDescent="0.25">
      <c r="H193" s="119" t="s">
        <v>822</v>
      </c>
      <c r="I193">
        <v>205</v>
      </c>
      <c r="J193">
        <v>0.89999999999999991</v>
      </c>
      <c r="K193">
        <f t="shared" si="5"/>
        <v>28830</v>
      </c>
      <c r="L193" t="str">
        <f t="shared" si="4"/>
        <v>R8</v>
      </c>
    </row>
    <row r="194" spans="8:12" x14ac:dyDescent="0.25">
      <c r="H194" s="119" t="s">
        <v>939</v>
      </c>
      <c r="I194">
        <v>155</v>
      </c>
      <c r="J194">
        <v>0.9</v>
      </c>
      <c r="K194">
        <f t="shared" si="5"/>
        <v>28985</v>
      </c>
      <c r="L194" t="str">
        <f t="shared" si="4"/>
        <v>R8</v>
      </c>
    </row>
    <row r="195" spans="8:12" x14ac:dyDescent="0.25">
      <c r="H195" s="119" t="s">
        <v>929</v>
      </c>
      <c r="I195">
        <v>155</v>
      </c>
      <c r="J195">
        <v>0.9</v>
      </c>
      <c r="K195">
        <f t="shared" si="5"/>
        <v>29140</v>
      </c>
      <c r="L195" t="str">
        <f t="shared" si="4"/>
        <v>R8</v>
      </c>
    </row>
    <row r="196" spans="8:12" x14ac:dyDescent="0.25">
      <c r="H196" s="119" t="s">
        <v>918</v>
      </c>
      <c r="I196">
        <v>155</v>
      </c>
      <c r="J196">
        <v>0.9</v>
      </c>
      <c r="K196">
        <f t="shared" si="5"/>
        <v>29295</v>
      </c>
      <c r="L196" t="str">
        <f t="shared" si="4"/>
        <v>R8</v>
      </c>
    </row>
    <row r="197" spans="8:12" x14ac:dyDescent="0.25">
      <c r="H197" s="119" t="s">
        <v>993</v>
      </c>
      <c r="I197">
        <v>228</v>
      </c>
      <c r="J197">
        <v>0.90500000000000003</v>
      </c>
      <c r="K197">
        <f t="shared" si="5"/>
        <v>29450</v>
      </c>
      <c r="L197" t="str">
        <f t="shared" si="4"/>
        <v>R8</v>
      </c>
    </row>
    <row r="198" spans="8:12" x14ac:dyDescent="0.25">
      <c r="H198" s="119" t="s">
        <v>877</v>
      </c>
      <c r="I198">
        <v>160</v>
      </c>
      <c r="J198">
        <v>0.90500000000000003</v>
      </c>
      <c r="K198">
        <f t="shared" si="5"/>
        <v>29605</v>
      </c>
      <c r="L198" t="str">
        <f t="shared" si="4"/>
        <v>R8</v>
      </c>
    </row>
    <row r="199" spans="8:12" x14ac:dyDescent="0.25">
      <c r="H199" s="119" t="s">
        <v>919</v>
      </c>
      <c r="I199">
        <v>160</v>
      </c>
      <c r="J199">
        <v>0.91500000000000004</v>
      </c>
      <c r="K199">
        <f t="shared" si="5"/>
        <v>29760</v>
      </c>
      <c r="L199" t="str">
        <f t="shared" si="4"/>
        <v>R9</v>
      </c>
    </row>
    <row r="200" spans="8:12" x14ac:dyDescent="0.25">
      <c r="H200" s="119" t="s">
        <v>824</v>
      </c>
      <c r="I200">
        <v>228</v>
      </c>
      <c r="J200">
        <v>0.92500000000000004</v>
      </c>
      <c r="K200">
        <f t="shared" si="5"/>
        <v>29915</v>
      </c>
      <c r="L200" t="str">
        <f t="shared" si="4"/>
        <v>R9</v>
      </c>
    </row>
    <row r="201" spans="8:12" x14ac:dyDescent="0.25">
      <c r="H201" s="119" t="s">
        <v>908</v>
      </c>
      <c r="I201">
        <v>228</v>
      </c>
      <c r="J201">
        <v>0.92500000000000004</v>
      </c>
      <c r="K201">
        <f t="shared" si="5"/>
        <v>30070</v>
      </c>
      <c r="L201" t="str">
        <f t="shared" ref="L201:L264" si="6">IF(AND(K201&gt;=0,K201&lt;=6556),"R1",IF(AND(K201&gt;=6556,K201&lt;=9255),"R2",IF(AND(K201&gt;=9255,K201&lt;=11955),"R3",IF(AND(K201&gt;=11955,K201&lt;=16197),"R4",IF(AND(K201&gt;=16197,K201&lt;=19282),"R5",IF(AND(K201&gt;=19282,K201&lt;=21982),"R6",IF(AND(K201&gt;=21982,K201&lt;=25067),"R7",IF(AND(K201&gt;=25067,K201&lt;=29695),"R8",IF(AND(K201&gt;=29695,K201&lt;=32780),"R9",IF(AND(K201&gt;=32780,K201&lt;=33937),"R10",IF(AND(K201&gt;=33937,K201&lt;=35094),"R11",IF(AND(K201&gt;=35094,K201&lt;=38565),"R12"))))))))))))</f>
        <v>R9</v>
      </c>
    </row>
    <row r="202" spans="8:12" x14ac:dyDescent="0.25">
      <c r="H202" s="119" t="s">
        <v>930</v>
      </c>
      <c r="I202">
        <v>160</v>
      </c>
      <c r="J202">
        <v>0.93</v>
      </c>
      <c r="K202">
        <f t="shared" ref="K202:K265" si="7">K201+GETPIVOTDATA("Sum of Unit Selling Area",$H$7,"Unit Number","D122")</f>
        <v>30225</v>
      </c>
      <c r="L202" t="str">
        <f t="shared" si="6"/>
        <v>R9</v>
      </c>
    </row>
    <row r="203" spans="8:12" x14ac:dyDescent="0.25">
      <c r="H203" s="119" t="s">
        <v>911</v>
      </c>
      <c r="I203">
        <v>202</v>
      </c>
      <c r="J203">
        <v>0.94</v>
      </c>
      <c r="K203">
        <f t="shared" si="7"/>
        <v>30380</v>
      </c>
      <c r="L203" t="str">
        <f t="shared" si="6"/>
        <v>R9</v>
      </c>
    </row>
    <row r="204" spans="8:12" x14ac:dyDescent="0.25">
      <c r="H204" s="119" t="s">
        <v>834</v>
      </c>
      <c r="I204">
        <v>202</v>
      </c>
      <c r="J204">
        <v>0.94</v>
      </c>
      <c r="K204">
        <f t="shared" si="7"/>
        <v>30535</v>
      </c>
      <c r="L204" t="str">
        <f t="shared" si="6"/>
        <v>R9</v>
      </c>
    </row>
    <row r="205" spans="8:12" x14ac:dyDescent="0.25">
      <c r="H205" s="119" t="s">
        <v>920</v>
      </c>
      <c r="I205">
        <v>155</v>
      </c>
      <c r="J205">
        <v>0.94000000000000006</v>
      </c>
      <c r="K205">
        <f t="shared" si="7"/>
        <v>30690</v>
      </c>
      <c r="L205" t="str">
        <f t="shared" si="6"/>
        <v>R9</v>
      </c>
    </row>
    <row r="206" spans="8:12" x14ac:dyDescent="0.25">
      <c r="H206" s="119" t="s">
        <v>931</v>
      </c>
      <c r="I206">
        <v>155</v>
      </c>
      <c r="J206">
        <v>0.94000000000000006</v>
      </c>
      <c r="K206">
        <f t="shared" si="7"/>
        <v>30845</v>
      </c>
      <c r="L206" t="str">
        <f t="shared" si="6"/>
        <v>R9</v>
      </c>
    </row>
    <row r="207" spans="8:12" x14ac:dyDescent="0.25">
      <c r="H207" s="119" t="s">
        <v>941</v>
      </c>
      <c r="I207">
        <v>155</v>
      </c>
      <c r="J207">
        <v>0.94000000000000006</v>
      </c>
      <c r="K207">
        <f t="shared" si="7"/>
        <v>31000</v>
      </c>
      <c r="L207" t="str">
        <f t="shared" si="6"/>
        <v>R9</v>
      </c>
    </row>
    <row r="208" spans="8:12" x14ac:dyDescent="0.25">
      <c r="H208" s="119" t="s">
        <v>995</v>
      </c>
      <c r="I208">
        <v>228</v>
      </c>
      <c r="J208">
        <v>0.94500000000000006</v>
      </c>
      <c r="K208">
        <f t="shared" si="7"/>
        <v>31155</v>
      </c>
      <c r="L208" t="str">
        <f t="shared" si="6"/>
        <v>R9</v>
      </c>
    </row>
    <row r="209" spans="8:12" x14ac:dyDescent="0.25">
      <c r="H209" s="119" t="s">
        <v>921</v>
      </c>
      <c r="I209">
        <v>160</v>
      </c>
      <c r="J209">
        <v>0.95500000000000007</v>
      </c>
      <c r="K209">
        <f t="shared" si="7"/>
        <v>31310</v>
      </c>
      <c r="L209" t="str">
        <f t="shared" si="6"/>
        <v>R9</v>
      </c>
    </row>
    <row r="210" spans="8:12" x14ac:dyDescent="0.25">
      <c r="H210" s="119" t="s">
        <v>910</v>
      </c>
      <c r="I210">
        <v>229</v>
      </c>
      <c r="J210">
        <v>0.96500000000000008</v>
      </c>
      <c r="K210">
        <f t="shared" si="7"/>
        <v>31465</v>
      </c>
      <c r="L210" t="str">
        <f t="shared" si="6"/>
        <v>R9</v>
      </c>
    </row>
    <row r="211" spans="8:12" x14ac:dyDescent="0.25">
      <c r="H211" s="119" t="s">
        <v>837</v>
      </c>
      <c r="I211">
        <v>229</v>
      </c>
      <c r="J211">
        <v>0.96500000000000008</v>
      </c>
      <c r="K211">
        <f t="shared" si="7"/>
        <v>31620</v>
      </c>
      <c r="L211" t="str">
        <f t="shared" si="6"/>
        <v>R9</v>
      </c>
    </row>
    <row r="212" spans="8:12" x14ac:dyDescent="0.25">
      <c r="H212" s="119" t="s">
        <v>709</v>
      </c>
      <c r="I212">
        <v>38732</v>
      </c>
      <c r="J212">
        <v>165.26700000000005</v>
      </c>
      <c r="K212">
        <f t="shared" si="7"/>
        <v>31775</v>
      </c>
      <c r="L212" t="str">
        <f t="shared" si="6"/>
        <v>R9</v>
      </c>
    </row>
    <row r="213" spans="8:12" x14ac:dyDescent="0.25">
      <c r="K213">
        <f t="shared" si="7"/>
        <v>31930</v>
      </c>
      <c r="L213" t="str">
        <f t="shared" si="6"/>
        <v>R9</v>
      </c>
    </row>
    <row r="214" spans="8:12" x14ac:dyDescent="0.25">
      <c r="K214">
        <f t="shared" si="7"/>
        <v>32085</v>
      </c>
      <c r="L214" t="str">
        <f t="shared" si="6"/>
        <v>R9</v>
      </c>
    </row>
    <row r="215" spans="8:12" x14ac:dyDescent="0.25">
      <c r="K215">
        <f t="shared" si="7"/>
        <v>32240</v>
      </c>
      <c r="L215" t="str">
        <f t="shared" si="6"/>
        <v>R9</v>
      </c>
    </row>
    <row r="216" spans="8:12" x14ac:dyDescent="0.25">
      <c r="K216">
        <f t="shared" si="7"/>
        <v>32395</v>
      </c>
      <c r="L216" t="str">
        <f t="shared" si="6"/>
        <v>R9</v>
      </c>
    </row>
    <row r="217" spans="8:12" x14ac:dyDescent="0.25">
      <c r="K217">
        <f t="shared" si="7"/>
        <v>32550</v>
      </c>
      <c r="L217" t="str">
        <f t="shared" si="6"/>
        <v>R9</v>
      </c>
    </row>
    <row r="218" spans="8:12" x14ac:dyDescent="0.25">
      <c r="K218">
        <f t="shared" si="7"/>
        <v>32705</v>
      </c>
      <c r="L218" t="str">
        <f t="shared" si="6"/>
        <v>R9</v>
      </c>
    </row>
    <row r="219" spans="8:12" x14ac:dyDescent="0.25">
      <c r="K219">
        <f t="shared" si="7"/>
        <v>32860</v>
      </c>
      <c r="L219" t="str">
        <f t="shared" si="6"/>
        <v>R10</v>
      </c>
    </row>
    <row r="220" spans="8:12" x14ac:dyDescent="0.25">
      <c r="K220">
        <f t="shared" si="7"/>
        <v>33015</v>
      </c>
      <c r="L220" t="str">
        <f t="shared" si="6"/>
        <v>R10</v>
      </c>
    </row>
    <row r="221" spans="8:12" x14ac:dyDescent="0.25">
      <c r="K221">
        <f t="shared" si="7"/>
        <v>33170</v>
      </c>
      <c r="L221" t="str">
        <f t="shared" si="6"/>
        <v>R10</v>
      </c>
    </row>
    <row r="222" spans="8:12" x14ac:dyDescent="0.25">
      <c r="K222">
        <f t="shared" si="7"/>
        <v>33325</v>
      </c>
      <c r="L222" t="str">
        <f t="shared" si="6"/>
        <v>R10</v>
      </c>
    </row>
    <row r="223" spans="8:12" x14ac:dyDescent="0.25">
      <c r="K223">
        <f t="shared" si="7"/>
        <v>33480</v>
      </c>
      <c r="L223" t="str">
        <f t="shared" si="6"/>
        <v>R10</v>
      </c>
    </row>
    <row r="224" spans="8:12" x14ac:dyDescent="0.25">
      <c r="K224">
        <f t="shared" si="7"/>
        <v>33635</v>
      </c>
      <c r="L224" t="str">
        <f t="shared" si="6"/>
        <v>R10</v>
      </c>
    </row>
    <row r="225" spans="11:12" x14ac:dyDescent="0.25">
      <c r="K225">
        <f t="shared" si="7"/>
        <v>33790</v>
      </c>
      <c r="L225" t="str">
        <f t="shared" si="6"/>
        <v>R10</v>
      </c>
    </row>
    <row r="226" spans="11:12" x14ac:dyDescent="0.25">
      <c r="K226">
        <f t="shared" si="7"/>
        <v>33945</v>
      </c>
      <c r="L226" t="str">
        <f t="shared" si="6"/>
        <v>R11</v>
      </c>
    </row>
    <row r="227" spans="11:12" x14ac:dyDescent="0.25">
      <c r="K227">
        <f t="shared" si="7"/>
        <v>34100</v>
      </c>
      <c r="L227" t="str">
        <f t="shared" si="6"/>
        <v>R11</v>
      </c>
    </row>
    <row r="228" spans="11:12" x14ac:dyDescent="0.25">
      <c r="K228">
        <f t="shared" si="7"/>
        <v>34255</v>
      </c>
      <c r="L228" t="str">
        <f t="shared" si="6"/>
        <v>R11</v>
      </c>
    </row>
    <row r="229" spans="11:12" x14ac:dyDescent="0.25">
      <c r="K229">
        <f t="shared" si="7"/>
        <v>34410</v>
      </c>
      <c r="L229" t="str">
        <f t="shared" si="6"/>
        <v>R11</v>
      </c>
    </row>
    <row r="230" spans="11:12" x14ac:dyDescent="0.25">
      <c r="K230">
        <f t="shared" si="7"/>
        <v>34565</v>
      </c>
      <c r="L230" t="str">
        <f t="shared" si="6"/>
        <v>R11</v>
      </c>
    </row>
    <row r="231" spans="11:12" x14ac:dyDescent="0.25">
      <c r="K231">
        <f t="shared" si="7"/>
        <v>34720</v>
      </c>
      <c r="L231" t="str">
        <f t="shared" si="6"/>
        <v>R11</v>
      </c>
    </row>
    <row r="232" spans="11:12" x14ac:dyDescent="0.25">
      <c r="K232">
        <f t="shared" si="7"/>
        <v>34875</v>
      </c>
      <c r="L232" t="str">
        <f t="shared" si="6"/>
        <v>R11</v>
      </c>
    </row>
    <row r="233" spans="11:12" x14ac:dyDescent="0.25">
      <c r="K233">
        <f t="shared" si="7"/>
        <v>35030</v>
      </c>
      <c r="L233" t="str">
        <f t="shared" si="6"/>
        <v>R11</v>
      </c>
    </row>
    <row r="234" spans="11:12" x14ac:dyDescent="0.25">
      <c r="K234">
        <f t="shared" si="7"/>
        <v>35185</v>
      </c>
      <c r="L234" t="str">
        <f t="shared" si="6"/>
        <v>R12</v>
      </c>
    </row>
    <row r="235" spans="11:12" x14ac:dyDescent="0.25">
      <c r="K235">
        <f t="shared" si="7"/>
        <v>35340</v>
      </c>
      <c r="L235" t="str">
        <f t="shared" si="6"/>
        <v>R12</v>
      </c>
    </row>
    <row r="236" spans="11:12" x14ac:dyDescent="0.25">
      <c r="K236">
        <f t="shared" si="7"/>
        <v>35495</v>
      </c>
      <c r="L236" t="str">
        <f t="shared" si="6"/>
        <v>R12</v>
      </c>
    </row>
    <row r="237" spans="11:12" x14ac:dyDescent="0.25">
      <c r="K237">
        <f t="shared" si="7"/>
        <v>35650</v>
      </c>
      <c r="L237" t="str">
        <f t="shared" si="6"/>
        <v>R12</v>
      </c>
    </row>
    <row r="238" spans="11:12" x14ac:dyDescent="0.25">
      <c r="K238">
        <f t="shared" si="7"/>
        <v>35805</v>
      </c>
      <c r="L238" t="str">
        <f t="shared" si="6"/>
        <v>R12</v>
      </c>
    </row>
    <row r="239" spans="11:12" x14ac:dyDescent="0.25">
      <c r="K239">
        <f t="shared" si="7"/>
        <v>35960</v>
      </c>
      <c r="L239" t="str">
        <f t="shared" si="6"/>
        <v>R12</v>
      </c>
    </row>
    <row r="240" spans="11:12" x14ac:dyDescent="0.25">
      <c r="K240">
        <f t="shared" si="7"/>
        <v>36115</v>
      </c>
      <c r="L240" t="str">
        <f t="shared" si="6"/>
        <v>R12</v>
      </c>
    </row>
    <row r="241" spans="11:12" x14ac:dyDescent="0.25">
      <c r="K241">
        <f t="shared" si="7"/>
        <v>36270</v>
      </c>
      <c r="L241" t="str">
        <f t="shared" si="6"/>
        <v>R12</v>
      </c>
    </row>
    <row r="242" spans="11:12" x14ac:dyDescent="0.25">
      <c r="K242">
        <f t="shared" si="7"/>
        <v>36425</v>
      </c>
      <c r="L242" t="str">
        <f t="shared" si="6"/>
        <v>R12</v>
      </c>
    </row>
    <row r="243" spans="11:12" x14ac:dyDescent="0.25">
      <c r="K243">
        <f t="shared" si="7"/>
        <v>36580</v>
      </c>
      <c r="L243" t="str">
        <f t="shared" si="6"/>
        <v>R12</v>
      </c>
    </row>
    <row r="244" spans="11:12" x14ac:dyDescent="0.25">
      <c r="K244">
        <f t="shared" si="7"/>
        <v>36735</v>
      </c>
      <c r="L244" t="str">
        <f t="shared" si="6"/>
        <v>R12</v>
      </c>
    </row>
    <row r="245" spans="11:12" x14ac:dyDescent="0.25">
      <c r="K245">
        <f t="shared" si="7"/>
        <v>36890</v>
      </c>
      <c r="L245" t="str">
        <f t="shared" si="6"/>
        <v>R12</v>
      </c>
    </row>
    <row r="246" spans="11:12" x14ac:dyDescent="0.25">
      <c r="K246">
        <f t="shared" si="7"/>
        <v>37045</v>
      </c>
      <c r="L246" t="str">
        <f t="shared" si="6"/>
        <v>R12</v>
      </c>
    </row>
    <row r="247" spans="11:12" x14ac:dyDescent="0.25">
      <c r="K247">
        <f t="shared" si="7"/>
        <v>37200</v>
      </c>
      <c r="L247" t="str">
        <f t="shared" si="6"/>
        <v>R12</v>
      </c>
    </row>
    <row r="248" spans="11:12" x14ac:dyDescent="0.25">
      <c r="K248">
        <f t="shared" si="7"/>
        <v>37355</v>
      </c>
      <c r="L248" t="str">
        <f t="shared" si="6"/>
        <v>R12</v>
      </c>
    </row>
    <row r="249" spans="11:12" x14ac:dyDescent="0.25">
      <c r="K249">
        <f t="shared" si="7"/>
        <v>37510</v>
      </c>
      <c r="L249" t="str">
        <f t="shared" si="6"/>
        <v>R12</v>
      </c>
    </row>
    <row r="250" spans="11:12" x14ac:dyDescent="0.25">
      <c r="K250">
        <f t="shared" si="7"/>
        <v>37665</v>
      </c>
      <c r="L250" t="str">
        <f t="shared" si="6"/>
        <v>R12</v>
      </c>
    </row>
    <row r="251" spans="11:12" x14ac:dyDescent="0.25">
      <c r="K251">
        <f t="shared" si="7"/>
        <v>37820</v>
      </c>
      <c r="L251" t="str">
        <f t="shared" si="6"/>
        <v>R12</v>
      </c>
    </row>
    <row r="252" spans="11:12" x14ac:dyDescent="0.25">
      <c r="K252">
        <f t="shared" si="7"/>
        <v>37975</v>
      </c>
      <c r="L252" t="str">
        <f t="shared" si="6"/>
        <v>R12</v>
      </c>
    </row>
    <row r="253" spans="11:12" x14ac:dyDescent="0.25">
      <c r="K253">
        <f t="shared" si="7"/>
        <v>38130</v>
      </c>
      <c r="L253" t="str">
        <f t="shared" si="6"/>
        <v>R12</v>
      </c>
    </row>
    <row r="254" spans="11:12" x14ac:dyDescent="0.25">
      <c r="K254">
        <f t="shared" si="7"/>
        <v>38285</v>
      </c>
      <c r="L254" t="str">
        <f t="shared" si="6"/>
        <v>R12</v>
      </c>
    </row>
    <row r="255" spans="11:12" x14ac:dyDescent="0.25">
      <c r="K255">
        <f t="shared" si="7"/>
        <v>38440</v>
      </c>
      <c r="L255" t="str">
        <f t="shared" si="6"/>
        <v>R12</v>
      </c>
    </row>
    <row r="256" spans="11:12" x14ac:dyDescent="0.25">
      <c r="K256">
        <f t="shared" si="7"/>
        <v>38595</v>
      </c>
      <c r="L256" t="b">
        <f t="shared" si="6"/>
        <v>0</v>
      </c>
    </row>
    <row r="257" spans="11:12" x14ac:dyDescent="0.25">
      <c r="K257">
        <f t="shared" si="7"/>
        <v>38750</v>
      </c>
      <c r="L257" t="b">
        <f t="shared" si="6"/>
        <v>0</v>
      </c>
    </row>
    <row r="258" spans="11:12" x14ac:dyDescent="0.25">
      <c r="K258">
        <f t="shared" si="7"/>
        <v>38905</v>
      </c>
      <c r="L258" t="b">
        <f t="shared" si="6"/>
        <v>0</v>
      </c>
    </row>
    <row r="259" spans="11:12" x14ac:dyDescent="0.25">
      <c r="K259">
        <f t="shared" si="7"/>
        <v>39060</v>
      </c>
      <c r="L259" t="b">
        <f t="shared" si="6"/>
        <v>0</v>
      </c>
    </row>
    <row r="260" spans="11:12" x14ac:dyDescent="0.25">
      <c r="K260">
        <f t="shared" si="7"/>
        <v>39215</v>
      </c>
      <c r="L260" t="b">
        <f t="shared" si="6"/>
        <v>0</v>
      </c>
    </row>
    <row r="261" spans="11:12" x14ac:dyDescent="0.25">
      <c r="K261">
        <f t="shared" si="7"/>
        <v>39370</v>
      </c>
      <c r="L261" t="b">
        <f t="shared" si="6"/>
        <v>0</v>
      </c>
    </row>
    <row r="262" spans="11:12" x14ac:dyDescent="0.25">
      <c r="K262">
        <f t="shared" si="7"/>
        <v>39525</v>
      </c>
      <c r="L262" t="b">
        <f t="shared" si="6"/>
        <v>0</v>
      </c>
    </row>
    <row r="263" spans="11:12" x14ac:dyDescent="0.25">
      <c r="K263">
        <f t="shared" si="7"/>
        <v>39680</v>
      </c>
      <c r="L263" t="b">
        <f t="shared" si="6"/>
        <v>0</v>
      </c>
    </row>
    <row r="264" spans="11:12" x14ac:dyDescent="0.25">
      <c r="K264">
        <f t="shared" si="7"/>
        <v>39835</v>
      </c>
      <c r="L264" t="b">
        <f t="shared" si="6"/>
        <v>0</v>
      </c>
    </row>
    <row r="265" spans="11:12" x14ac:dyDescent="0.25">
      <c r="K265">
        <f t="shared" si="7"/>
        <v>39990</v>
      </c>
      <c r="L265" t="b">
        <f t="shared" ref="L265:L273" si="8">IF(AND(K265&gt;=0,K265&lt;=6556),"R1",IF(AND(K265&gt;=6556,K265&lt;=9255),"R2",IF(AND(K265&gt;=9255,K265&lt;=11955),"R3",IF(AND(K265&gt;=11955,K265&lt;=16197),"R4",IF(AND(K265&gt;=16197,K265&lt;=19282),"R5",IF(AND(K265&gt;=19282,K265&lt;=21982),"R6",IF(AND(K265&gt;=21982,K265&lt;=25067),"R7",IF(AND(K265&gt;=25067,K265&lt;=29695),"R8",IF(AND(K265&gt;=29695,K265&lt;=32780),"R9",IF(AND(K265&gt;=32780,K265&lt;=33937),"R10",IF(AND(K265&gt;=33937,K265&lt;=35094),"R11",IF(AND(K265&gt;=35094,K265&lt;=38565),"R12"))))))))))))</f>
        <v>0</v>
      </c>
    </row>
    <row r="266" spans="11:12" x14ac:dyDescent="0.25">
      <c r="K266">
        <f t="shared" ref="K266:K273" si="9">K265+GETPIVOTDATA("Sum of Unit Selling Area",$H$7,"Unit Number","D122")</f>
        <v>40145</v>
      </c>
      <c r="L266" t="b">
        <f t="shared" si="8"/>
        <v>0</v>
      </c>
    </row>
    <row r="267" spans="11:12" x14ac:dyDescent="0.25">
      <c r="K267">
        <f t="shared" si="9"/>
        <v>40300</v>
      </c>
      <c r="L267" t="b">
        <f t="shared" si="8"/>
        <v>0</v>
      </c>
    </row>
    <row r="268" spans="11:12" x14ac:dyDescent="0.25">
      <c r="K268">
        <f t="shared" si="9"/>
        <v>40455</v>
      </c>
      <c r="L268" t="b">
        <f t="shared" si="8"/>
        <v>0</v>
      </c>
    </row>
    <row r="269" spans="11:12" x14ac:dyDescent="0.25">
      <c r="K269">
        <f t="shared" si="9"/>
        <v>40610</v>
      </c>
      <c r="L269" t="b">
        <f t="shared" si="8"/>
        <v>0</v>
      </c>
    </row>
    <row r="270" spans="11:12" x14ac:dyDescent="0.25">
      <c r="K270">
        <f t="shared" si="9"/>
        <v>40765</v>
      </c>
      <c r="L270" t="b">
        <f t="shared" si="8"/>
        <v>0</v>
      </c>
    </row>
    <row r="271" spans="11:12" x14ac:dyDescent="0.25">
      <c r="K271">
        <f t="shared" si="9"/>
        <v>40920</v>
      </c>
      <c r="L271" t="b">
        <f t="shared" si="8"/>
        <v>0</v>
      </c>
    </row>
    <row r="272" spans="11:12" x14ac:dyDescent="0.25">
      <c r="K272">
        <f t="shared" si="9"/>
        <v>41075</v>
      </c>
      <c r="L272" t="b">
        <f t="shared" si="8"/>
        <v>0</v>
      </c>
    </row>
    <row r="273" spans="8:12" x14ac:dyDescent="0.25">
      <c r="K273">
        <f t="shared" si="9"/>
        <v>41230</v>
      </c>
      <c r="L273" t="b">
        <f t="shared" si="8"/>
        <v>0</v>
      </c>
    </row>
    <row r="274" spans="8:12" x14ac:dyDescent="0.25">
      <c r="L274" t="str">
        <f>IF(AND(K274&gt;=0,K274&lt;=6556),"R1",IF(AND(K274&gt;=6556,K274&lt;=9255),"R2",IF(AND(K274&gt;=9255,K274&lt;=11955),"R3",IF(AND(K274&gt;=11955,K274&lt;=16197),"R4",IF(AND(K274&gt;=16197,K274&lt;=19282),"R5",IF(AND(K274&gt;=19282,K274&lt;=21982),"R6",IF(AND(K274&gt;=21982,K274&lt;=25067),"R7",IF(AND(K274&gt;=25067,K274&lt;=29695),"R8",IF(AND(K274&gt;=29695,K274&lt;=32780),"R9",IF(AND(K274&gt;=32780,K274&lt;=33937),"R10",IF(AND(K274&gt;=33937,K274&lt;=35094),"R11",IF(AND(K274&gt;=35094,K274&lt;=38565),"R12"))))))))))))</f>
        <v>R1</v>
      </c>
    </row>
    <row r="275" spans="8:12" x14ac:dyDescent="0.25">
      <c r="L275" t="str">
        <f>IF(AND(K275&gt;=0,K275&lt;=6556),"R1",IF(AND(K275&gt;=6556,K275&lt;=9255),"R2",IF(AND(K275&gt;=9255,K275&lt;=11955),"R3",IF(AND(K275&gt;=11955,K275&lt;=16197),"R4",IF(AND(K275&gt;=16197,K275&lt;=19282),"R5",IF(AND(K275&gt;=19282,K275&lt;=21982),"R6",IF(AND(K275&gt;=21982,K275&lt;=25067),"R7",IF(AND(K275&gt;=25067,K275&lt;=29695),"R8",IF(AND(K275&gt;=29695,K275&lt;=32780),"R9",IF(AND(K275&gt;=32780,K275&lt;=33937),"R10",IF(AND(K275&gt;=33937,K275&lt;=35094),"R11",IF(AND(K275&gt;=35094,K275&lt;=38565),"R12"))))))))))))</f>
        <v>R1</v>
      </c>
    </row>
    <row r="276" spans="8:12" x14ac:dyDescent="0.25">
      <c r="L276" t="str">
        <f>IF(AND(K276&gt;=0,K276&lt;=6556),"R1",IF(AND(K276&gt;=6556,K276&lt;=9255),"R2",IF(AND(K276&gt;=9255,K276&lt;=11955),"R3",IF(AND(K276&gt;=11955,K276&lt;=16197),"R4",IF(AND(K276&gt;=16197,K276&lt;=19282),"R5",IF(AND(K276&gt;=19282,K276&lt;=21982),"R6",IF(AND(K276&gt;=21982,K276&lt;=25067),"R7",IF(AND(K276&gt;=25067,K276&lt;=29695),"R8",IF(AND(K276&gt;=29695,K276&lt;=32780),"R9",IF(AND(K276&gt;=32780,K276&lt;=33937),"R10",IF(AND(K276&gt;=33937,K276&lt;=35094),"R11",IF(AND(K276&gt;=35094,K276&lt;=38565),"R12"))))))))))))</f>
        <v>R1</v>
      </c>
    </row>
    <row r="277" spans="8:12" x14ac:dyDescent="0.25">
      <c r="H277" t="s">
        <v>1104</v>
      </c>
      <c r="I277">
        <v>154.67160000000001</v>
      </c>
      <c r="J277">
        <v>0.73</v>
      </c>
      <c r="K277">
        <f>I277</f>
        <v>154.67160000000001</v>
      </c>
      <c r="L277" t="str">
        <f>IF(AND(K277&gt;=0,K277&lt;=6556),"R 1",IF(AND(K277&gt;=6556,K277&lt;=9255),"R 2",IF(AND(K277&gt;=9255,K277&lt;=11955),"R 3",IF(AND(K277&gt;=11955,K277&lt;=16197),"R 4",IF(AND(K277&gt;=16197,K277&lt;=19282),"R 5",IF(AND(K277&gt;=19282,K277&lt;=21982),"R 6",IF(AND(K277&gt;=21982,K277&lt;=25067),"R 7",IF(AND(K277&gt;=25067,K277&lt;=29695),"R 8",IF(AND(K277&gt;=29695,K277&lt;=32780),"R 9",IF(AND(K277&gt;=32780,K277&lt;=33937),"R 10",IF(AND(K277&gt;=33937,K277&lt;=35094),"R 11",IF(AND(K277&gt;=35094,K277&lt;=39000),"R 12"))))))))))))</f>
        <v>R 1</v>
      </c>
    </row>
    <row r="278" spans="8:12" x14ac:dyDescent="0.25">
      <c r="H278" t="s">
        <v>1058</v>
      </c>
      <c r="I278">
        <v>154.87899999999999</v>
      </c>
      <c r="J278">
        <v>0.73</v>
      </c>
      <c r="K278">
        <f>K277+I278</f>
        <v>309.55060000000003</v>
      </c>
      <c r="L278" t="str">
        <f t="shared" ref="L278:L341" si="10">IF(AND(K278&gt;=0,K278&lt;=6556),"R 1",IF(AND(K278&gt;=6556,K278&lt;=9255),"R 2",IF(AND(K278&gt;=9255,K278&lt;=11955),"R 3",IF(AND(K278&gt;=11955,K278&lt;=16197),"R 4",IF(AND(K278&gt;=16197,K278&lt;=19282),"R 5",IF(AND(K278&gt;=19282,K278&lt;=21982),"R 6",IF(AND(K278&gt;=21982,K278&lt;=25067),"R 7",IF(AND(K278&gt;=25067,K278&lt;=29695),"R 8",IF(AND(K278&gt;=29695,K278&lt;=32780),"R 9",IF(AND(K278&gt;=32780,K278&lt;=33937),"R 10",IF(AND(K278&gt;=33937,K278&lt;=35094),"R 11",IF(AND(K278&gt;=35094,K278&lt;=39000),"R 12"))))))))))))</f>
        <v>R 1</v>
      </c>
    </row>
    <row r="279" spans="8:12" x14ac:dyDescent="0.25">
      <c r="H279" t="s">
        <v>1115</v>
      </c>
      <c r="I279">
        <v>154.67160000000001</v>
      </c>
      <c r="J279">
        <v>0.73</v>
      </c>
      <c r="K279">
        <f t="shared" ref="K279:K342" si="11">K278+I279</f>
        <v>464.22220000000004</v>
      </c>
      <c r="L279" t="str">
        <f t="shared" si="10"/>
        <v>R 1</v>
      </c>
    </row>
    <row r="280" spans="8:12" x14ac:dyDescent="0.25">
      <c r="H280" t="s">
        <v>1067</v>
      </c>
      <c r="I280">
        <v>159.85659999999999</v>
      </c>
      <c r="J280">
        <v>0.73</v>
      </c>
      <c r="K280">
        <f t="shared" si="11"/>
        <v>624.0788</v>
      </c>
      <c r="L280" t="str">
        <f t="shared" si="10"/>
        <v>R 1</v>
      </c>
    </row>
    <row r="281" spans="8:12" x14ac:dyDescent="0.25">
      <c r="H281" t="s">
        <v>1078</v>
      </c>
      <c r="I281">
        <v>154.87899999999999</v>
      </c>
      <c r="J281">
        <v>0.73</v>
      </c>
      <c r="K281">
        <f t="shared" si="11"/>
        <v>778.95780000000002</v>
      </c>
      <c r="L281" t="str">
        <f t="shared" si="10"/>
        <v>R 1</v>
      </c>
    </row>
    <row r="282" spans="8:12" x14ac:dyDescent="0.25">
      <c r="H282" t="s">
        <v>1068</v>
      </c>
      <c r="I282">
        <v>154.8058</v>
      </c>
      <c r="J282">
        <v>0.73</v>
      </c>
      <c r="K282">
        <f t="shared" si="11"/>
        <v>933.7636</v>
      </c>
      <c r="L282" t="str">
        <f t="shared" si="10"/>
        <v>R 1</v>
      </c>
    </row>
    <row r="283" spans="8:12" x14ac:dyDescent="0.25">
      <c r="H283" t="s">
        <v>1028</v>
      </c>
      <c r="I283">
        <v>200.61192</v>
      </c>
      <c r="J283">
        <v>0.73000000000000009</v>
      </c>
      <c r="K283">
        <f t="shared" si="11"/>
        <v>1134.3755200000001</v>
      </c>
      <c r="L283" t="str">
        <f t="shared" si="10"/>
        <v>R 1</v>
      </c>
    </row>
    <row r="284" spans="8:12" x14ac:dyDescent="0.25">
      <c r="H284" t="s">
        <v>1051</v>
      </c>
      <c r="I284">
        <v>200.58874</v>
      </c>
      <c r="J284">
        <v>0.73000000000000009</v>
      </c>
      <c r="K284">
        <f t="shared" si="11"/>
        <v>1334.96426</v>
      </c>
      <c r="L284" t="str">
        <f t="shared" si="10"/>
        <v>R 1</v>
      </c>
    </row>
    <row r="285" spans="8:12" x14ac:dyDescent="0.25">
      <c r="H285" t="s">
        <v>1032</v>
      </c>
      <c r="I285">
        <v>222.47554</v>
      </c>
      <c r="J285">
        <v>0.73499999999999999</v>
      </c>
      <c r="K285">
        <f t="shared" si="11"/>
        <v>1557.4397999999999</v>
      </c>
      <c r="L285" t="str">
        <f t="shared" si="10"/>
        <v>R 1</v>
      </c>
    </row>
    <row r="286" spans="8:12" x14ac:dyDescent="0.25">
      <c r="H286" t="s">
        <v>1047</v>
      </c>
      <c r="I286">
        <v>228.262</v>
      </c>
      <c r="J286">
        <v>0.73499999999999999</v>
      </c>
      <c r="K286">
        <f t="shared" si="11"/>
        <v>1785.7017999999998</v>
      </c>
      <c r="L286" t="str">
        <f t="shared" si="10"/>
        <v>R 1</v>
      </c>
    </row>
    <row r="287" spans="8:12" x14ac:dyDescent="0.25">
      <c r="H287" t="s">
        <v>829</v>
      </c>
      <c r="I287">
        <v>222.47554</v>
      </c>
      <c r="J287">
        <v>0.73499999999999999</v>
      </c>
      <c r="K287">
        <f t="shared" si="11"/>
        <v>2008.1773399999997</v>
      </c>
      <c r="L287" t="str">
        <f t="shared" si="10"/>
        <v>R 1</v>
      </c>
    </row>
    <row r="288" spans="8:12" x14ac:dyDescent="0.25">
      <c r="H288" t="s">
        <v>955</v>
      </c>
      <c r="I288">
        <v>343.92898000000002</v>
      </c>
      <c r="J288">
        <v>0.7350000000000001</v>
      </c>
      <c r="K288">
        <f t="shared" si="11"/>
        <v>2352.1063199999999</v>
      </c>
      <c r="L288" t="str">
        <f t="shared" si="10"/>
        <v>R 1</v>
      </c>
    </row>
    <row r="289" spans="8:12" x14ac:dyDescent="0.25">
      <c r="H289" t="s">
        <v>1127</v>
      </c>
      <c r="I289">
        <v>160.34460000000001</v>
      </c>
      <c r="J289">
        <v>0.7350000000000001</v>
      </c>
      <c r="K289">
        <f t="shared" si="11"/>
        <v>2512.4509199999998</v>
      </c>
      <c r="L289" t="str">
        <f t="shared" si="10"/>
        <v>R 1</v>
      </c>
    </row>
    <row r="290" spans="8:12" x14ac:dyDescent="0.25">
      <c r="H290" t="s">
        <v>954</v>
      </c>
      <c r="I290">
        <v>343.58616000000001</v>
      </c>
      <c r="J290">
        <v>0.7350000000000001</v>
      </c>
      <c r="K290">
        <f t="shared" si="11"/>
        <v>2856.0370799999996</v>
      </c>
      <c r="L290" t="str">
        <f t="shared" si="10"/>
        <v>R 1</v>
      </c>
    </row>
    <row r="291" spans="8:12" x14ac:dyDescent="0.25">
      <c r="H291" t="s">
        <v>1142</v>
      </c>
      <c r="I291">
        <v>160.34460000000001</v>
      </c>
      <c r="J291">
        <v>0.7350000000000001</v>
      </c>
      <c r="K291">
        <f t="shared" si="11"/>
        <v>3016.3816799999995</v>
      </c>
      <c r="L291" t="str">
        <f t="shared" si="10"/>
        <v>R 1</v>
      </c>
    </row>
    <row r="292" spans="8:12" x14ac:dyDescent="0.25">
      <c r="H292" t="s">
        <v>1089</v>
      </c>
      <c r="I292">
        <v>160.62519999999998</v>
      </c>
      <c r="J292">
        <v>0.7350000000000001</v>
      </c>
      <c r="K292">
        <f t="shared" si="11"/>
        <v>3177.0068799999995</v>
      </c>
      <c r="L292" t="str">
        <f t="shared" si="10"/>
        <v>R 1</v>
      </c>
    </row>
    <row r="293" spans="8:12" x14ac:dyDescent="0.25">
      <c r="H293" t="s">
        <v>1097</v>
      </c>
      <c r="I293">
        <v>160.62519999999998</v>
      </c>
      <c r="J293">
        <v>0.7350000000000001</v>
      </c>
      <c r="K293">
        <f t="shared" si="11"/>
        <v>3337.6320799999994</v>
      </c>
      <c r="L293" t="str">
        <f t="shared" si="10"/>
        <v>R 1</v>
      </c>
    </row>
    <row r="294" spans="8:12" x14ac:dyDescent="0.25">
      <c r="H294" t="s">
        <v>1027</v>
      </c>
      <c r="I294">
        <v>175.66658000000001</v>
      </c>
      <c r="J294">
        <v>0.7390000000000001</v>
      </c>
      <c r="K294">
        <f t="shared" si="11"/>
        <v>3513.2986599999995</v>
      </c>
      <c r="L294" t="str">
        <f t="shared" si="10"/>
        <v>R 1</v>
      </c>
    </row>
    <row r="295" spans="8:12" x14ac:dyDescent="0.25">
      <c r="H295" t="s">
        <v>1016</v>
      </c>
      <c r="I295">
        <v>203.94618</v>
      </c>
      <c r="J295">
        <v>0.74</v>
      </c>
      <c r="K295">
        <f t="shared" si="11"/>
        <v>3717.2448399999994</v>
      </c>
      <c r="L295" t="str">
        <f t="shared" si="10"/>
        <v>R 1</v>
      </c>
    </row>
    <row r="296" spans="8:12" x14ac:dyDescent="0.25">
      <c r="H296" t="s">
        <v>992</v>
      </c>
      <c r="I296">
        <v>204.00108</v>
      </c>
      <c r="J296">
        <v>0.74</v>
      </c>
      <c r="K296">
        <f t="shared" si="11"/>
        <v>3921.2459199999994</v>
      </c>
      <c r="L296" t="str">
        <f t="shared" si="10"/>
        <v>R 1</v>
      </c>
    </row>
    <row r="297" spans="8:12" x14ac:dyDescent="0.25">
      <c r="H297" t="s">
        <v>977</v>
      </c>
      <c r="I297">
        <v>204.00108</v>
      </c>
      <c r="J297">
        <v>0.74</v>
      </c>
      <c r="K297">
        <f t="shared" si="11"/>
        <v>4125.2469999999994</v>
      </c>
      <c r="L297" t="str">
        <f t="shared" si="10"/>
        <v>R 1</v>
      </c>
    </row>
    <row r="298" spans="8:12" x14ac:dyDescent="0.25">
      <c r="H298" t="s">
        <v>810</v>
      </c>
      <c r="I298">
        <v>203.94618</v>
      </c>
      <c r="J298">
        <v>0.74</v>
      </c>
      <c r="K298">
        <f t="shared" si="11"/>
        <v>4329.1931799999993</v>
      </c>
      <c r="L298" t="str">
        <f t="shared" si="10"/>
        <v>R 1</v>
      </c>
    </row>
    <row r="299" spans="8:12" x14ac:dyDescent="0.25">
      <c r="H299" t="s">
        <v>1041</v>
      </c>
      <c r="I299">
        <v>173.70115999999999</v>
      </c>
      <c r="J299">
        <v>0.7400000000000001</v>
      </c>
      <c r="K299">
        <f t="shared" si="11"/>
        <v>4502.8943399999989</v>
      </c>
      <c r="L299" t="str">
        <f t="shared" si="10"/>
        <v>R 1</v>
      </c>
    </row>
    <row r="300" spans="8:12" x14ac:dyDescent="0.25">
      <c r="H300" t="s">
        <v>1040</v>
      </c>
      <c r="I300">
        <v>173.54987999999997</v>
      </c>
      <c r="J300">
        <v>0.7400000000000001</v>
      </c>
      <c r="K300">
        <f t="shared" si="11"/>
        <v>4676.4442199999985</v>
      </c>
      <c r="L300" t="str">
        <f t="shared" si="10"/>
        <v>R 1</v>
      </c>
    </row>
    <row r="301" spans="8:12" x14ac:dyDescent="0.25">
      <c r="H301" t="s">
        <v>1059</v>
      </c>
      <c r="I301">
        <v>160.35679999999999</v>
      </c>
      <c r="J301">
        <v>0.745</v>
      </c>
      <c r="K301">
        <f t="shared" si="11"/>
        <v>4836.8010199999981</v>
      </c>
      <c r="L301" t="str">
        <f t="shared" si="10"/>
        <v>R 1</v>
      </c>
    </row>
    <row r="302" spans="8:12" x14ac:dyDescent="0.25">
      <c r="H302" t="s">
        <v>1077</v>
      </c>
      <c r="I302">
        <v>160.35679999999999</v>
      </c>
      <c r="J302">
        <v>0.745</v>
      </c>
      <c r="K302">
        <f t="shared" si="11"/>
        <v>4997.1578199999976</v>
      </c>
      <c r="L302" t="str">
        <f t="shared" si="10"/>
        <v>R 1</v>
      </c>
    </row>
    <row r="303" spans="8:12" x14ac:dyDescent="0.25">
      <c r="H303" t="s">
        <v>934</v>
      </c>
      <c r="I303">
        <v>158.0754</v>
      </c>
      <c r="J303">
        <v>0.745</v>
      </c>
      <c r="K303">
        <f t="shared" si="11"/>
        <v>5155.2332199999973</v>
      </c>
      <c r="L303" t="str">
        <f t="shared" si="10"/>
        <v>R 1</v>
      </c>
    </row>
    <row r="304" spans="8:12" x14ac:dyDescent="0.25">
      <c r="H304" t="s">
        <v>1105</v>
      </c>
      <c r="I304">
        <v>160.50319999999999</v>
      </c>
      <c r="J304">
        <v>0.745</v>
      </c>
      <c r="K304">
        <f t="shared" si="11"/>
        <v>5315.7364199999975</v>
      </c>
      <c r="L304" t="str">
        <f t="shared" si="10"/>
        <v>R 1</v>
      </c>
    </row>
    <row r="305" spans="8:12" x14ac:dyDescent="0.25">
      <c r="H305" t="s">
        <v>994</v>
      </c>
      <c r="I305">
        <v>175.66658000000001</v>
      </c>
      <c r="J305">
        <v>0.745</v>
      </c>
      <c r="K305">
        <f t="shared" si="11"/>
        <v>5491.4029999999975</v>
      </c>
      <c r="L305" t="str">
        <f t="shared" si="10"/>
        <v>R 1</v>
      </c>
    </row>
    <row r="306" spans="8:12" x14ac:dyDescent="0.25">
      <c r="H306" t="s">
        <v>942</v>
      </c>
      <c r="I306">
        <v>160.28359999999998</v>
      </c>
      <c r="J306">
        <v>0.745</v>
      </c>
      <c r="K306">
        <f t="shared" si="11"/>
        <v>5651.6865999999973</v>
      </c>
      <c r="L306" t="str">
        <f t="shared" si="10"/>
        <v>R 1</v>
      </c>
    </row>
    <row r="307" spans="8:12" x14ac:dyDescent="0.25">
      <c r="H307" t="s">
        <v>821</v>
      </c>
      <c r="I307">
        <v>224.03713999999999</v>
      </c>
      <c r="J307">
        <v>0.745</v>
      </c>
      <c r="K307">
        <f t="shared" si="11"/>
        <v>5875.7237399999976</v>
      </c>
      <c r="L307" t="str">
        <f t="shared" si="10"/>
        <v>R 1</v>
      </c>
    </row>
    <row r="308" spans="8:12" x14ac:dyDescent="0.25">
      <c r="H308" t="s">
        <v>857</v>
      </c>
      <c r="I308">
        <v>160.35679999999999</v>
      </c>
      <c r="J308">
        <v>0.745</v>
      </c>
      <c r="K308">
        <f t="shared" si="11"/>
        <v>6036.0805399999972</v>
      </c>
      <c r="L308" t="str">
        <f t="shared" si="10"/>
        <v>R 1</v>
      </c>
    </row>
    <row r="309" spans="8:12" x14ac:dyDescent="0.25">
      <c r="H309" t="s">
        <v>1024</v>
      </c>
      <c r="I309">
        <v>224.03713999999999</v>
      </c>
      <c r="J309">
        <v>0.745</v>
      </c>
      <c r="K309">
        <f t="shared" si="11"/>
        <v>6260.1176799999976</v>
      </c>
      <c r="L309" t="str">
        <f t="shared" si="10"/>
        <v>R 1</v>
      </c>
    </row>
    <row r="310" spans="8:12" x14ac:dyDescent="0.25">
      <c r="H310" t="s">
        <v>751</v>
      </c>
      <c r="I310">
        <v>118.4498</v>
      </c>
      <c r="J310">
        <v>0.74500000000000011</v>
      </c>
      <c r="K310">
        <f t="shared" si="11"/>
        <v>6378.5674799999979</v>
      </c>
      <c r="L310" t="str">
        <f t="shared" si="10"/>
        <v>R 1</v>
      </c>
    </row>
    <row r="311" spans="8:12" x14ac:dyDescent="0.25">
      <c r="H311" t="s">
        <v>750</v>
      </c>
      <c r="I311">
        <v>108.64099999999999</v>
      </c>
      <c r="J311">
        <v>0.74500000000000011</v>
      </c>
      <c r="K311">
        <f t="shared" si="11"/>
        <v>6487.2084799999975</v>
      </c>
      <c r="L311" t="str">
        <f t="shared" si="10"/>
        <v>R 1</v>
      </c>
    </row>
    <row r="312" spans="8:12" x14ac:dyDescent="0.25">
      <c r="H312" t="s">
        <v>741</v>
      </c>
      <c r="I312">
        <v>108.64099999999999</v>
      </c>
      <c r="J312">
        <v>0.74500000000000011</v>
      </c>
      <c r="K312">
        <f t="shared" si="11"/>
        <v>6595.8494799999971</v>
      </c>
      <c r="L312" t="str">
        <f t="shared" si="10"/>
        <v>R 2</v>
      </c>
    </row>
    <row r="313" spans="8:12" x14ac:dyDescent="0.25">
      <c r="H313" t="s">
        <v>1004</v>
      </c>
      <c r="I313">
        <v>172.71784</v>
      </c>
      <c r="J313">
        <v>0.75</v>
      </c>
      <c r="K313">
        <f t="shared" si="11"/>
        <v>6768.5673199999974</v>
      </c>
      <c r="L313" t="str">
        <f t="shared" si="10"/>
        <v>R 2</v>
      </c>
    </row>
    <row r="314" spans="8:12" x14ac:dyDescent="0.25">
      <c r="H314" t="s">
        <v>793</v>
      </c>
      <c r="I314">
        <v>172.71784</v>
      </c>
      <c r="J314">
        <v>0.75</v>
      </c>
      <c r="K314">
        <f t="shared" si="11"/>
        <v>6941.2851599999976</v>
      </c>
      <c r="L314" t="str">
        <f t="shared" si="10"/>
        <v>R 2</v>
      </c>
    </row>
    <row r="315" spans="8:12" x14ac:dyDescent="0.25">
      <c r="H315" t="s">
        <v>792</v>
      </c>
      <c r="I315">
        <v>172.56412</v>
      </c>
      <c r="J315">
        <v>0.75</v>
      </c>
      <c r="K315">
        <f t="shared" si="11"/>
        <v>7113.8492799999976</v>
      </c>
      <c r="L315" t="str">
        <f t="shared" si="10"/>
        <v>R 2</v>
      </c>
    </row>
    <row r="316" spans="8:12" x14ac:dyDescent="0.25">
      <c r="H316" t="s">
        <v>1003</v>
      </c>
      <c r="I316">
        <v>172.56412</v>
      </c>
      <c r="J316">
        <v>0.75</v>
      </c>
      <c r="K316">
        <f t="shared" si="11"/>
        <v>7286.4133999999976</v>
      </c>
      <c r="L316" t="str">
        <f t="shared" si="10"/>
        <v>R 2</v>
      </c>
    </row>
    <row r="317" spans="8:12" x14ac:dyDescent="0.25">
      <c r="H317" t="s">
        <v>963</v>
      </c>
      <c r="I317">
        <v>198.59281999999999</v>
      </c>
      <c r="J317">
        <v>0.75000000000000011</v>
      </c>
      <c r="K317">
        <f t="shared" si="11"/>
        <v>7485.0062199999975</v>
      </c>
      <c r="L317" t="str">
        <f t="shared" si="10"/>
        <v>R 2</v>
      </c>
    </row>
    <row r="318" spans="8:12" x14ac:dyDescent="0.25">
      <c r="H318" t="s">
        <v>944</v>
      </c>
      <c r="I318">
        <v>198.64771999999999</v>
      </c>
      <c r="J318">
        <v>0.75000000000000011</v>
      </c>
      <c r="K318">
        <f t="shared" si="11"/>
        <v>7683.6539399999974</v>
      </c>
      <c r="L318" t="str">
        <f t="shared" si="10"/>
        <v>R 2</v>
      </c>
    </row>
    <row r="319" spans="8:12" x14ac:dyDescent="0.25">
      <c r="H319" t="s">
        <v>936</v>
      </c>
      <c r="I319">
        <v>160.34460000000001</v>
      </c>
      <c r="J319">
        <v>0.755</v>
      </c>
      <c r="K319">
        <f t="shared" si="11"/>
        <v>7843.9985399999978</v>
      </c>
      <c r="L319" t="str">
        <f t="shared" si="10"/>
        <v>R 2</v>
      </c>
    </row>
    <row r="320" spans="8:12" x14ac:dyDescent="0.25">
      <c r="H320" t="s">
        <v>862</v>
      </c>
      <c r="I320">
        <v>300.96179999999998</v>
      </c>
      <c r="J320">
        <v>0.755</v>
      </c>
      <c r="K320">
        <f t="shared" si="11"/>
        <v>8144.9603399999978</v>
      </c>
      <c r="L320" t="str">
        <f t="shared" si="10"/>
        <v>R 2</v>
      </c>
    </row>
    <row r="321" spans="8:12" x14ac:dyDescent="0.25">
      <c r="H321" t="s">
        <v>433</v>
      </c>
      <c r="I321">
        <v>308.83079999999995</v>
      </c>
      <c r="J321">
        <v>0.755</v>
      </c>
      <c r="K321">
        <f t="shared" si="11"/>
        <v>8453.7911399999975</v>
      </c>
      <c r="L321" t="str">
        <f t="shared" si="10"/>
        <v>R 2</v>
      </c>
    </row>
    <row r="322" spans="8:12" x14ac:dyDescent="0.25">
      <c r="H322" t="s">
        <v>847</v>
      </c>
      <c r="I322">
        <v>203.94618</v>
      </c>
      <c r="J322">
        <v>0.76</v>
      </c>
      <c r="K322">
        <f t="shared" si="11"/>
        <v>8657.7373199999984</v>
      </c>
      <c r="L322" t="str">
        <f t="shared" si="10"/>
        <v>R 2</v>
      </c>
    </row>
    <row r="323" spans="8:12" x14ac:dyDescent="0.25">
      <c r="H323" t="s">
        <v>823</v>
      </c>
      <c r="I323">
        <v>204.00108</v>
      </c>
      <c r="J323">
        <v>0.76</v>
      </c>
      <c r="K323">
        <f t="shared" si="11"/>
        <v>8861.7383999999984</v>
      </c>
      <c r="L323" t="str">
        <f t="shared" si="10"/>
        <v>R 2</v>
      </c>
    </row>
    <row r="324" spans="8:12" x14ac:dyDescent="0.25">
      <c r="H324" t="s">
        <v>970</v>
      </c>
      <c r="I324">
        <v>198.18167999999997</v>
      </c>
      <c r="J324">
        <v>0.76000000000000012</v>
      </c>
      <c r="K324">
        <f t="shared" si="11"/>
        <v>9059.9200799999981</v>
      </c>
      <c r="L324" t="str">
        <f t="shared" si="10"/>
        <v>R 2</v>
      </c>
    </row>
    <row r="325" spans="8:12" x14ac:dyDescent="0.25">
      <c r="H325" t="s">
        <v>952</v>
      </c>
      <c r="I325">
        <v>198.23779999999999</v>
      </c>
      <c r="J325">
        <v>0.76000000000000012</v>
      </c>
      <c r="K325">
        <f t="shared" si="11"/>
        <v>9258.1578799999988</v>
      </c>
      <c r="L325" t="str">
        <f t="shared" si="10"/>
        <v>R 3</v>
      </c>
    </row>
    <row r="326" spans="8:12" x14ac:dyDescent="0.25">
      <c r="H326" t="s">
        <v>809</v>
      </c>
      <c r="I326">
        <v>228.262</v>
      </c>
      <c r="J326">
        <v>0.76500000000000001</v>
      </c>
      <c r="K326">
        <f t="shared" si="11"/>
        <v>9486.4198799999995</v>
      </c>
      <c r="L326" t="str">
        <f t="shared" si="10"/>
        <v>R 3</v>
      </c>
    </row>
    <row r="327" spans="8:12" x14ac:dyDescent="0.25">
      <c r="H327" t="s">
        <v>978</v>
      </c>
      <c r="I327">
        <v>228.26566</v>
      </c>
      <c r="J327">
        <v>0.76500000000000001</v>
      </c>
      <c r="K327">
        <f t="shared" si="11"/>
        <v>9714.6855399999986</v>
      </c>
      <c r="L327" t="str">
        <f t="shared" si="10"/>
        <v>R 3</v>
      </c>
    </row>
    <row r="328" spans="8:12" x14ac:dyDescent="0.25">
      <c r="H328" t="s">
        <v>979</v>
      </c>
      <c r="I328">
        <v>175.66658000000001</v>
      </c>
      <c r="J328">
        <v>0.76500000000000001</v>
      </c>
      <c r="K328">
        <f t="shared" si="11"/>
        <v>9890.3521199999977</v>
      </c>
      <c r="L328" t="str">
        <f t="shared" si="10"/>
        <v>R 3</v>
      </c>
    </row>
    <row r="329" spans="8:12" x14ac:dyDescent="0.25">
      <c r="H329" t="s">
        <v>808</v>
      </c>
      <c r="I329">
        <v>175.66658000000001</v>
      </c>
      <c r="J329">
        <v>0.76500000000000001</v>
      </c>
      <c r="K329">
        <f t="shared" si="11"/>
        <v>10066.018699999997</v>
      </c>
      <c r="L329" t="str">
        <f t="shared" si="10"/>
        <v>R 3</v>
      </c>
    </row>
    <row r="330" spans="8:12" x14ac:dyDescent="0.25">
      <c r="H330" t="s">
        <v>740</v>
      </c>
      <c r="I330">
        <v>134.3708</v>
      </c>
      <c r="J330">
        <v>0.76500000000000012</v>
      </c>
      <c r="K330">
        <f t="shared" si="11"/>
        <v>10200.389499999997</v>
      </c>
      <c r="L330" t="str">
        <f t="shared" si="10"/>
        <v>R 3</v>
      </c>
    </row>
    <row r="331" spans="8:12" x14ac:dyDescent="0.25">
      <c r="H331" t="s">
        <v>951</v>
      </c>
      <c r="I331">
        <v>228.38888</v>
      </c>
      <c r="J331">
        <v>0.76900000000000013</v>
      </c>
      <c r="K331">
        <f t="shared" si="11"/>
        <v>10428.778379999998</v>
      </c>
      <c r="L331" t="str">
        <f t="shared" si="10"/>
        <v>R 3</v>
      </c>
    </row>
    <row r="332" spans="8:12" x14ac:dyDescent="0.25">
      <c r="H332" t="s">
        <v>835</v>
      </c>
      <c r="I332">
        <v>172.56412</v>
      </c>
      <c r="J332">
        <v>0.77</v>
      </c>
      <c r="K332">
        <f t="shared" si="11"/>
        <v>10601.342499999999</v>
      </c>
      <c r="L332" t="str">
        <f t="shared" si="10"/>
        <v>R 3</v>
      </c>
    </row>
    <row r="333" spans="8:12" x14ac:dyDescent="0.25">
      <c r="H333" t="s">
        <v>1060</v>
      </c>
      <c r="I333">
        <v>154.9034</v>
      </c>
      <c r="J333">
        <v>0.77</v>
      </c>
      <c r="K333">
        <f t="shared" si="11"/>
        <v>10756.245899999998</v>
      </c>
      <c r="L333" t="str">
        <f t="shared" si="10"/>
        <v>R 3</v>
      </c>
    </row>
    <row r="334" spans="8:12" x14ac:dyDescent="0.25">
      <c r="H334" t="s">
        <v>836</v>
      </c>
      <c r="I334">
        <v>172.71784</v>
      </c>
      <c r="J334">
        <v>0.77</v>
      </c>
      <c r="K334">
        <f t="shared" si="11"/>
        <v>10928.963739999997</v>
      </c>
      <c r="L334" t="str">
        <f t="shared" si="10"/>
        <v>R 3</v>
      </c>
    </row>
    <row r="335" spans="8:12" x14ac:dyDescent="0.25">
      <c r="H335" t="s">
        <v>881</v>
      </c>
      <c r="I335">
        <v>199.28699999999998</v>
      </c>
      <c r="J335">
        <v>0.77</v>
      </c>
      <c r="K335">
        <f t="shared" si="11"/>
        <v>11128.250739999998</v>
      </c>
      <c r="L335" t="str">
        <f t="shared" si="10"/>
        <v>R 3</v>
      </c>
    </row>
    <row r="336" spans="8:12" x14ac:dyDescent="0.25">
      <c r="H336" t="s">
        <v>1069</v>
      </c>
      <c r="I336">
        <v>159.84440000000001</v>
      </c>
      <c r="J336">
        <v>0.77</v>
      </c>
      <c r="K336">
        <f t="shared" si="11"/>
        <v>11288.095139999998</v>
      </c>
      <c r="L336" t="str">
        <f t="shared" si="10"/>
        <v>R 3</v>
      </c>
    </row>
    <row r="337" spans="8:12" x14ac:dyDescent="0.25">
      <c r="H337" t="s">
        <v>1070</v>
      </c>
      <c r="I337">
        <v>154.78139999999999</v>
      </c>
      <c r="J337">
        <v>0.77</v>
      </c>
      <c r="K337">
        <f t="shared" si="11"/>
        <v>11442.876539999997</v>
      </c>
      <c r="L337" t="str">
        <f t="shared" si="10"/>
        <v>R 3</v>
      </c>
    </row>
    <row r="338" spans="8:12" x14ac:dyDescent="0.25">
      <c r="H338" t="s">
        <v>1117</v>
      </c>
      <c r="I338">
        <v>154.7936</v>
      </c>
      <c r="J338">
        <v>0.77</v>
      </c>
      <c r="K338">
        <f t="shared" si="11"/>
        <v>11597.670139999998</v>
      </c>
      <c r="L338" t="str">
        <f t="shared" si="10"/>
        <v>R 3</v>
      </c>
    </row>
    <row r="339" spans="8:12" x14ac:dyDescent="0.25">
      <c r="H339" t="s">
        <v>1079</v>
      </c>
      <c r="I339">
        <v>154.9034</v>
      </c>
      <c r="J339">
        <v>0.77</v>
      </c>
      <c r="K339">
        <f t="shared" si="11"/>
        <v>11752.573539999998</v>
      </c>
      <c r="L339" t="str">
        <f t="shared" si="10"/>
        <v>R 3</v>
      </c>
    </row>
    <row r="340" spans="8:12" x14ac:dyDescent="0.25">
      <c r="H340" t="s">
        <v>1106</v>
      </c>
      <c r="I340">
        <v>154.7936</v>
      </c>
      <c r="J340">
        <v>0.77</v>
      </c>
      <c r="K340">
        <f t="shared" si="11"/>
        <v>11907.367139999998</v>
      </c>
      <c r="L340" t="str">
        <f t="shared" si="10"/>
        <v>R 3</v>
      </c>
    </row>
    <row r="341" spans="8:12" x14ac:dyDescent="0.25">
      <c r="H341" t="s">
        <v>892</v>
      </c>
      <c r="I341">
        <v>199.28699999999998</v>
      </c>
      <c r="J341">
        <v>0.77</v>
      </c>
      <c r="K341">
        <f t="shared" si="11"/>
        <v>12106.654139999999</v>
      </c>
      <c r="L341" t="str">
        <f t="shared" si="10"/>
        <v>R 4</v>
      </c>
    </row>
    <row r="342" spans="8:12" x14ac:dyDescent="0.25">
      <c r="H342" t="s">
        <v>946</v>
      </c>
      <c r="I342">
        <v>198.34271999999999</v>
      </c>
      <c r="J342">
        <v>0.77000000000000013</v>
      </c>
      <c r="K342">
        <f t="shared" si="11"/>
        <v>12304.996859999999</v>
      </c>
      <c r="L342" t="str">
        <f t="shared" ref="L342:L405" si="12">IF(AND(K342&gt;=0,K342&lt;=6556),"R 1",IF(AND(K342&gt;=6556,K342&lt;=9255),"R 2",IF(AND(K342&gt;=9255,K342&lt;=11955),"R 3",IF(AND(K342&gt;=11955,K342&lt;=16197),"R 4",IF(AND(K342&gt;=16197,K342&lt;=19282),"R 5",IF(AND(K342&gt;=19282,K342&lt;=21982),"R 6",IF(AND(K342&gt;=21982,K342&lt;=25067),"R 7",IF(AND(K342&gt;=25067,K342&lt;=29695),"R 8",IF(AND(K342&gt;=29695,K342&lt;=32780),"R 9",IF(AND(K342&gt;=32780,K342&lt;=33937),"R 10",IF(AND(K342&gt;=33937,K342&lt;=35094),"R 11",IF(AND(K342&gt;=35094,K342&lt;=39000),"R 12"))))))))))))</f>
        <v>R 4</v>
      </c>
    </row>
    <row r="343" spans="8:12" x14ac:dyDescent="0.25">
      <c r="H343" t="s">
        <v>960</v>
      </c>
      <c r="I343">
        <v>172.67147999999997</v>
      </c>
      <c r="J343">
        <v>0.77000000000000013</v>
      </c>
      <c r="K343">
        <f t="shared" ref="K343:K406" si="13">K342+I343</f>
        <v>12477.66834</v>
      </c>
      <c r="L343" t="str">
        <f t="shared" si="12"/>
        <v>R 4</v>
      </c>
    </row>
    <row r="344" spans="8:12" x14ac:dyDescent="0.25">
      <c r="H344" t="s">
        <v>961</v>
      </c>
      <c r="I344">
        <v>172.82397999999998</v>
      </c>
      <c r="J344">
        <v>0.77000000000000013</v>
      </c>
      <c r="K344">
        <f t="shared" si="13"/>
        <v>12650.492319999999</v>
      </c>
      <c r="L344" t="str">
        <f t="shared" si="12"/>
        <v>R 4</v>
      </c>
    </row>
    <row r="345" spans="8:12" x14ac:dyDescent="0.25">
      <c r="H345" t="s">
        <v>965</v>
      </c>
      <c r="I345">
        <v>198.28782000000001</v>
      </c>
      <c r="J345">
        <v>0.77000000000000013</v>
      </c>
      <c r="K345">
        <f t="shared" si="13"/>
        <v>12848.780139999999</v>
      </c>
      <c r="L345" t="str">
        <f t="shared" si="12"/>
        <v>R 4</v>
      </c>
    </row>
    <row r="346" spans="8:12" x14ac:dyDescent="0.25">
      <c r="H346" t="s">
        <v>1050</v>
      </c>
      <c r="I346">
        <v>228.38888</v>
      </c>
      <c r="J346">
        <v>0.77500000000000002</v>
      </c>
      <c r="K346">
        <f t="shared" si="13"/>
        <v>13077.169019999999</v>
      </c>
      <c r="L346" t="str">
        <f t="shared" si="12"/>
        <v>R 4</v>
      </c>
    </row>
    <row r="347" spans="8:12" x14ac:dyDescent="0.25">
      <c r="H347" t="s">
        <v>962</v>
      </c>
      <c r="I347">
        <v>224.34214</v>
      </c>
      <c r="J347">
        <v>0.77500000000000002</v>
      </c>
      <c r="K347">
        <f t="shared" si="13"/>
        <v>13301.51116</v>
      </c>
      <c r="L347" t="str">
        <f t="shared" si="12"/>
        <v>R 4</v>
      </c>
    </row>
    <row r="348" spans="8:12" x14ac:dyDescent="0.25">
      <c r="H348" t="s">
        <v>1009</v>
      </c>
      <c r="I348">
        <v>224.34214</v>
      </c>
      <c r="J348">
        <v>0.77500000000000002</v>
      </c>
      <c r="K348">
        <f t="shared" si="13"/>
        <v>13525.853300000001</v>
      </c>
      <c r="L348" t="str">
        <f t="shared" si="12"/>
        <v>R 4</v>
      </c>
    </row>
    <row r="349" spans="8:12" x14ac:dyDescent="0.25">
      <c r="H349" t="s">
        <v>1030</v>
      </c>
      <c r="I349">
        <v>175.57141999999999</v>
      </c>
      <c r="J349">
        <v>0.77900000000000014</v>
      </c>
      <c r="K349">
        <f t="shared" si="13"/>
        <v>13701.424720000001</v>
      </c>
      <c r="L349" t="str">
        <f t="shared" si="12"/>
        <v>R 4</v>
      </c>
    </row>
    <row r="350" spans="8:12" x14ac:dyDescent="0.25">
      <c r="H350" t="s">
        <v>468</v>
      </c>
      <c r="I350">
        <v>199.28699999999998</v>
      </c>
      <c r="J350">
        <v>0.77999999999999992</v>
      </c>
      <c r="K350">
        <f t="shared" si="13"/>
        <v>13900.711720000001</v>
      </c>
      <c r="L350" t="str">
        <f t="shared" si="12"/>
        <v>R 4</v>
      </c>
    </row>
    <row r="351" spans="8:12" x14ac:dyDescent="0.25">
      <c r="H351" t="s">
        <v>462</v>
      </c>
      <c r="I351">
        <v>199.28699999999998</v>
      </c>
      <c r="J351">
        <v>0.77999999999999992</v>
      </c>
      <c r="K351">
        <f t="shared" si="13"/>
        <v>14099.998720000001</v>
      </c>
      <c r="L351" t="str">
        <f t="shared" si="12"/>
        <v>R 4</v>
      </c>
    </row>
    <row r="352" spans="8:12" x14ac:dyDescent="0.25">
      <c r="H352" t="s">
        <v>569</v>
      </c>
      <c r="I352">
        <v>200.58874</v>
      </c>
      <c r="J352">
        <v>0.78</v>
      </c>
      <c r="K352">
        <f t="shared" si="13"/>
        <v>14300.587460000001</v>
      </c>
      <c r="L352" t="str">
        <f t="shared" si="12"/>
        <v>R 4</v>
      </c>
    </row>
    <row r="353" spans="8:12" x14ac:dyDescent="0.25">
      <c r="H353" t="s">
        <v>546</v>
      </c>
      <c r="I353">
        <v>200.61192</v>
      </c>
      <c r="J353">
        <v>0.78</v>
      </c>
      <c r="K353">
        <f t="shared" si="13"/>
        <v>14501.19938</v>
      </c>
      <c r="L353" t="str">
        <f t="shared" si="12"/>
        <v>R 4</v>
      </c>
    </row>
    <row r="354" spans="8:12" x14ac:dyDescent="0.25">
      <c r="H354" t="s">
        <v>552</v>
      </c>
      <c r="I354">
        <v>200.61192</v>
      </c>
      <c r="J354">
        <v>0.78</v>
      </c>
      <c r="K354">
        <f t="shared" si="13"/>
        <v>14701.811299999999</v>
      </c>
      <c r="L354" t="str">
        <f t="shared" si="12"/>
        <v>R 4</v>
      </c>
    </row>
    <row r="355" spans="8:12" x14ac:dyDescent="0.25">
      <c r="H355" t="s">
        <v>381</v>
      </c>
      <c r="I355">
        <v>200.58874</v>
      </c>
      <c r="J355">
        <v>0.78</v>
      </c>
      <c r="K355">
        <f t="shared" si="13"/>
        <v>14902.400039999999</v>
      </c>
      <c r="L355" t="str">
        <f t="shared" si="12"/>
        <v>R 4</v>
      </c>
    </row>
    <row r="356" spans="8:12" x14ac:dyDescent="0.25">
      <c r="H356" t="s">
        <v>541</v>
      </c>
      <c r="I356">
        <v>222.48041999999998</v>
      </c>
      <c r="J356">
        <v>0.78500000000000003</v>
      </c>
      <c r="K356">
        <f t="shared" si="13"/>
        <v>15124.880459999998</v>
      </c>
      <c r="L356" t="str">
        <f t="shared" si="12"/>
        <v>R 4</v>
      </c>
    </row>
    <row r="357" spans="8:12" x14ac:dyDescent="0.25">
      <c r="H357" t="s">
        <v>577</v>
      </c>
      <c r="I357">
        <v>228.26566</v>
      </c>
      <c r="J357">
        <v>0.78500000000000003</v>
      </c>
      <c r="K357">
        <f t="shared" si="13"/>
        <v>15353.146119999998</v>
      </c>
      <c r="L357" t="str">
        <f t="shared" si="12"/>
        <v>R 4</v>
      </c>
    </row>
    <row r="358" spans="8:12" x14ac:dyDescent="0.25">
      <c r="H358" t="s">
        <v>571</v>
      </c>
      <c r="I358">
        <v>222.48041999999998</v>
      </c>
      <c r="J358">
        <v>0.78500000000000003</v>
      </c>
      <c r="K358">
        <f t="shared" si="13"/>
        <v>15575.626539999997</v>
      </c>
      <c r="L358" t="str">
        <f t="shared" si="12"/>
        <v>R 4</v>
      </c>
    </row>
    <row r="359" spans="8:12" x14ac:dyDescent="0.25">
      <c r="H359" t="s">
        <v>429</v>
      </c>
      <c r="I359">
        <v>160.34460000000001</v>
      </c>
      <c r="J359">
        <v>0.78500000000000003</v>
      </c>
      <c r="K359">
        <f t="shared" si="13"/>
        <v>15735.971139999998</v>
      </c>
      <c r="L359" t="str">
        <f t="shared" si="12"/>
        <v>R 4</v>
      </c>
    </row>
    <row r="360" spans="8:12" x14ac:dyDescent="0.25">
      <c r="H360" t="s">
        <v>390</v>
      </c>
      <c r="I360">
        <v>228.26566</v>
      </c>
      <c r="J360">
        <v>0.78500000000000003</v>
      </c>
      <c r="K360">
        <f t="shared" si="13"/>
        <v>15964.236799999997</v>
      </c>
      <c r="L360" t="str">
        <f t="shared" si="12"/>
        <v>R 4</v>
      </c>
    </row>
    <row r="361" spans="8:12" x14ac:dyDescent="0.25">
      <c r="H361" t="s">
        <v>553</v>
      </c>
      <c r="I361">
        <v>175.57141999999999</v>
      </c>
      <c r="J361">
        <v>0.78500000000000003</v>
      </c>
      <c r="K361">
        <f t="shared" si="13"/>
        <v>16139.808219999997</v>
      </c>
      <c r="L361" t="str">
        <f t="shared" si="12"/>
        <v>R 4</v>
      </c>
    </row>
    <row r="362" spans="8:12" x14ac:dyDescent="0.25">
      <c r="H362" t="s">
        <v>607</v>
      </c>
      <c r="I362">
        <v>160.34460000000001</v>
      </c>
      <c r="J362">
        <v>0.78500000000000003</v>
      </c>
      <c r="K362">
        <f t="shared" si="13"/>
        <v>16300.152819999998</v>
      </c>
      <c r="L362" t="str">
        <f t="shared" si="12"/>
        <v>R 5</v>
      </c>
    </row>
    <row r="363" spans="8:12" x14ac:dyDescent="0.25">
      <c r="H363" t="s">
        <v>661</v>
      </c>
      <c r="I363">
        <v>160.62519999999998</v>
      </c>
      <c r="J363">
        <v>0.78500000000000003</v>
      </c>
      <c r="K363">
        <f t="shared" si="13"/>
        <v>16460.778019999998</v>
      </c>
      <c r="L363" t="str">
        <f t="shared" si="12"/>
        <v>R 5</v>
      </c>
    </row>
    <row r="364" spans="8:12" x14ac:dyDescent="0.25">
      <c r="H364" t="s">
        <v>628</v>
      </c>
      <c r="I364">
        <v>160.34460000000001</v>
      </c>
      <c r="J364">
        <v>0.78500000000000003</v>
      </c>
      <c r="K364">
        <f t="shared" si="13"/>
        <v>16621.122619999998</v>
      </c>
      <c r="L364" t="str">
        <f t="shared" si="12"/>
        <v>R 5</v>
      </c>
    </row>
    <row r="365" spans="8:12" x14ac:dyDescent="0.25">
      <c r="H365" t="s">
        <v>456</v>
      </c>
      <c r="I365">
        <v>198.92100000000002</v>
      </c>
      <c r="J365">
        <v>0.78999999999999992</v>
      </c>
      <c r="K365">
        <f t="shared" si="13"/>
        <v>16820.043619999997</v>
      </c>
      <c r="L365" t="str">
        <f t="shared" si="12"/>
        <v>R 5</v>
      </c>
    </row>
    <row r="366" spans="8:12" x14ac:dyDescent="0.25">
      <c r="H366" t="s">
        <v>465</v>
      </c>
      <c r="I366">
        <v>198.92100000000002</v>
      </c>
      <c r="J366">
        <v>0.78999999999999992</v>
      </c>
      <c r="K366">
        <f t="shared" si="13"/>
        <v>17018.964619999995</v>
      </c>
      <c r="L366" t="str">
        <f t="shared" si="12"/>
        <v>R 5</v>
      </c>
    </row>
    <row r="367" spans="8:12" x14ac:dyDescent="0.25">
      <c r="H367" t="s">
        <v>442</v>
      </c>
      <c r="I367">
        <v>160.69839999999999</v>
      </c>
      <c r="J367">
        <v>0.78999999999999992</v>
      </c>
      <c r="K367">
        <f t="shared" si="13"/>
        <v>17179.663019999996</v>
      </c>
      <c r="L367" t="str">
        <f t="shared" si="12"/>
        <v>R 5</v>
      </c>
    </row>
    <row r="368" spans="8:12" x14ac:dyDescent="0.25">
      <c r="H368" t="s">
        <v>375</v>
      </c>
      <c r="I368">
        <v>173.70115999999999</v>
      </c>
      <c r="J368">
        <v>0.79</v>
      </c>
      <c r="K368">
        <f t="shared" si="13"/>
        <v>17353.364179999997</v>
      </c>
      <c r="L368" t="str">
        <f t="shared" si="12"/>
        <v>R 5</v>
      </c>
    </row>
    <row r="369" spans="8:12" x14ac:dyDescent="0.25">
      <c r="H369" t="s">
        <v>374</v>
      </c>
      <c r="I369">
        <v>173.54987999999997</v>
      </c>
      <c r="J369">
        <v>0.79</v>
      </c>
      <c r="K369">
        <f t="shared" si="13"/>
        <v>17526.914059999996</v>
      </c>
      <c r="L369" t="str">
        <f t="shared" si="12"/>
        <v>R 5</v>
      </c>
    </row>
    <row r="370" spans="8:12" x14ac:dyDescent="0.25">
      <c r="H370" t="s">
        <v>422</v>
      </c>
      <c r="I370">
        <v>152.60980000000001</v>
      </c>
      <c r="J370">
        <v>0.79</v>
      </c>
      <c r="K370">
        <f t="shared" si="13"/>
        <v>17679.523859999994</v>
      </c>
      <c r="L370" t="str">
        <f t="shared" si="12"/>
        <v>R 5</v>
      </c>
    </row>
    <row r="371" spans="8:12" x14ac:dyDescent="0.25">
      <c r="H371" t="s">
        <v>871</v>
      </c>
      <c r="I371">
        <v>152.60980000000001</v>
      </c>
      <c r="J371">
        <v>0.79</v>
      </c>
      <c r="K371">
        <f t="shared" si="13"/>
        <v>17832.133659999992</v>
      </c>
      <c r="L371" t="str">
        <f t="shared" si="12"/>
        <v>R 5</v>
      </c>
    </row>
    <row r="372" spans="8:12" x14ac:dyDescent="0.25">
      <c r="H372" t="s">
        <v>1005</v>
      </c>
      <c r="I372">
        <v>173.54987999999997</v>
      </c>
      <c r="J372">
        <v>0.79</v>
      </c>
      <c r="K372">
        <f t="shared" si="13"/>
        <v>18005.683539999991</v>
      </c>
      <c r="L372" t="str">
        <f t="shared" si="12"/>
        <v>R 5</v>
      </c>
    </row>
    <row r="373" spans="8:12" x14ac:dyDescent="0.25">
      <c r="H373" t="s">
        <v>1006</v>
      </c>
      <c r="I373">
        <v>173.70115999999999</v>
      </c>
      <c r="J373">
        <v>0.79</v>
      </c>
      <c r="K373">
        <f t="shared" si="13"/>
        <v>18179.384699999991</v>
      </c>
      <c r="L373" t="str">
        <f t="shared" si="12"/>
        <v>R 5</v>
      </c>
    </row>
    <row r="374" spans="8:12" x14ac:dyDescent="0.25">
      <c r="H374" t="s">
        <v>938</v>
      </c>
      <c r="I374">
        <v>160.35679999999999</v>
      </c>
      <c r="J374">
        <v>0.79499999999999993</v>
      </c>
      <c r="K374">
        <f t="shared" si="13"/>
        <v>18339.741499999993</v>
      </c>
      <c r="L374" t="str">
        <f t="shared" si="12"/>
        <v>R 5</v>
      </c>
    </row>
    <row r="375" spans="8:12" x14ac:dyDescent="0.25">
      <c r="H375" t="s">
        <v>882</v>
      </c>
      <c r="I375">
        <v>224.34579999999997</v>
      </c>
      <c r="J375">
        <v>0.79500000000000004</v>
      </c>
      <c r="K375">
        <f t="shared" si="13"/>
        <v>18564.087299999992</v>
      </c>
      <c r="L375" t="str">
        <f t="shared" si="12"/>
        <v>R 5</v>
      </c>
    </row>
    <row r="376" spans="8:12" x14ac:dyDescent="0.25">
      <c r="H376" t="s">
        <v>964</v>
      </c>
      <c r="I376">
        <v>224.03713999999999</v>
      </c>
      <c r="J376">
        <v>0.79500000000000004</v>
      </c>
      <c r="K376">
        <f t="shared" si="13"/>
        <v>18788.124439999992</v>
      </c>
      <c r="L376" t="str">
        <f t="shared" si="12"/>
        <v>R 5</v>
      </c>
    </row>
    <row r="377" spans="8:12" x14ac:dyDescent="0.25">
      <c r="H377" t="s">
        <v>891</v>
      </c>
      <c r="I377">
        <v>224.34579999999997</v>
      </c>
      <c r="J377">
        <v>0.79500000000000004</v>
      </c>
      <c r="K377">
        <f t="shared" si="13"/>
        <v>19012.470239999991</v>
      </c>
      <c r="L377" t="str">
        <f t="shared" si="12"/>
        <v>R 5</v>
      </c>
    </row>
    <row r="378" spans="8:12" x14ac:dyDescent="0.25">
      <c r="H378" t="s">
        <v>1012</v>
      </c>
      <c r="I378">
        <v>224.03713999999999</v>
      </c>
      <c r="J378">
        <v>0.79500000000000004</v>
      </c>
      <c r="K378">
        <f t="shared" si="13"/>
        <v>19236.507379999992</v>
      </c>
      <c r="L378" t="str">
        <f t="shared" si="12"/>
        <v>R 5</v>
      </c>
    </row>
    <row r="379" spans="8:12" x14ac:dyDescent="0.25">
      <c r="H379" t="s">
        <v>880</v>
      </c>
      <c r="I379">
        <v>155.17179999999999</v>
      </c>
      <c r="J379">
        <v>0.79999999999999993</v>
      </c>
      <c r="K379">
        <f t="shared" si="13"/>
        <v>19391.679179999992</v>
      </c>
      <c r="L379" t="str">
        <f t="shared" si="12"/>
        <v>R 6</v>
      </c>
    </row>
    <row r="380" spans="8:12" x14ac:dyDescent="0.25">
      <c r="H380" t="s">
        <v>860</v>
      </c>
      <c r="I380">
        <v>155.17179999999999</v>
      </c>
      <c r="J380">
        <v>0.79999999999999993</v>
      </c>
      <c r="K380">
        <f t="shared" si="13"/>
        <v>19546.850979999992</v>
      </c>
      <c r="L380" t="str">
        <f t="shared" si="12"/>
        <v>R 6</v>
      </c>
    </row>
    <row r="381" spans="8:12" x14ac:dyDescent="0.25">
      <c r="H381" t="s">
        <v>869</v>
      </c>
      <c r="I381">
        <v>155.0864</v>
      </c>
      <c r="J381">
        <v>0.79999999999999993</v>
      </c>
      <c r="K381">
        <f t="shared" si="13"/>
        <v>19701.937379999992</v>
      </c>
      <c r="L381" t="str">
        <f t="shared" si="12"/>
        <v>R 6</v>
      </c>
    </row>
    <row r="382" spans="8:12" x14ac:dyDescent="0.25">
      <c r="H382" t="s">
        <v>825</v>
      </c>
      <c r="I382">
        <v>200.61192</v>
      </c>
      <c r="J382">
        <v>0.8</v>
      </c>
      <c r="K382">
        <f t="shared" si="13"/>
        <v>19902.549299999991</v>
      </c>
      <c r="L382" t="str">
        <f t="shared" si="12"/>
        <v>R 6</v>
      </c>
    </row>
    <row r="383" spans="8:12" x14ac:dyDescent="0.25">
      <c r="H383" t="s">
        <v>851</v>
      </c>
      <c r="I383">
        <v>200.58874</v>
      </c>
      <c r="J383">
        <v>0.8</v>
      </c>
      <c r="K383">
        <f t="shared" si="13"/>
        <v>20103.138039999991</v>
      </c>
      <c r="L383" t="str">
        <f t="shared" si="12"/>
        <v>R 6</v>
      </c>
    </row>
    <row r="384" spans="8:12" x14ac:dyDescent="0.25">
      <c r="H384" t="s">
        <v>924</v>
      </c>
      <c r="I384">
        <v>308.83079999999995</v>
      </c>
      <c r="J384">
        <v>0.80500000000000005</v>
      </c>
      <c r="K384">
        <f t="shared" si="13"/>
        <v>20411.96883999999</v>
      </c>
      <c r="L384" t="str">
        <f t="shared" si="12"/>
        <v>R 6</v>
      </c>
    </row>
    <row r="385" spans="8:12" x14ac:dyDescent="0.25">
      <c r="H385" t="s">
        <v>925</v>
      </c>
      <c r="I385">
        <v>300.96179999999998</v>
      </c>
      <c r="J385">
        <v>0.80500000000000005</v>
      </c>
      <c r="K385">
        <f t="shared" si="13"/>
        <v>20712.930639999991</v>
      </c>
      <c r="L385" t="str">
        <f t="shared" si="12"/>
        <v>R 6</v>
      </c>
    </row>
    <row r="386" spans="8:12" x14ac:dyDescent="0.25">
      <c r="H386" t="s">
        <v>903</v>
      </c>
      <c r="I386">
        <v>222.72319999999999</v>
      </c>
      <c r="J386">
        <v>0.80500000000000005</v>
      </c>
      <c r="K386">
        <f t="shared" si="13"/>
        <v>20935.653839999992</v>
      </c>
      <c r="L386" t="str">
        <f t="shared" si="12"/>
        <v>R 6</v>
      </c>
    </row>
    <row r="387" spans="8:12" x14ac:dyDescent="0.25">
      <c r="H387" t="s">
        <v>981</v>
      </c>
      <c r="I387">
        <v>228.38888</v>
      </c>
      <c r="J387">
        <v>0.80500000000000005</v>
      </c>
      <c r="K387">
        <f t="shared" si="13"/>
        <v>21164.04271999999</v>
      </c>
      <c r="L387" t="str">
        <f t="shared" si="12"/>
        <v>R 6</v>
      </c>
    </row>
    <row r="388" spans="8:12" x14ac:dyDescent="0.25">
      <c r="H388" t="s">
        <v>813</v>
      </c>
      <c r="I388">
        <v>228.38888</v>
      </c>
      <c r="J388">
        <v>0.80500000000000005</v>
      </c>
      <c r="K388">
        <f t="shared" si="13"/>
        <v>21392.431599999989</v>
      </c>
      <c r="L388" t="str">
        <f t="shared" si="12"/>
        <v>R 6</v>
      </c>
    </row>
    <row r="389" spans="8:12" x14ac:dyDescent="0.25">
      <c r="H389" t="s">
        <v>982</v>
      </c>
      <c r="I389">
        <v>175.57141999999999</v>
      </c>
      <c r="J389">
        <v>0.80500000000000005</v>
      </c>
      <c r="K389">
        <f t="shared" si="13"/>
        <v>21568.003019999989</v>
      </c>
      <c r="L389" t="str">
        <f t="shared" si="12"/>
        <v>R 6</v>
      </c>
    </row>
    <row r="390" spans="8:12" x14ac:dyDescent="0.25">
      <c r="H390" t="s">
        <v>812</v>
      </c>
      <c r="I390">
        <v>175.55311999999998</v>
      </c>
      <c r="J390">
        <v>0.80500000000000005</v>
      </c>
      <c r="K390">
        <f t="shared" si="13"/>
        <v>21743.55613999999</v>
      </c>
      <c r="L390" t="str">
        <f t="shared" si="12"/>
        <v>R 6</v>
      </c>
    </row>
    <row r="391" spans="8:12" x14ac:dyDescent="0.25">
      <c r="H391" t="s">
        <v>889</v>
      </c>
      <c r="I391">
        <v>222.72319999999999</v>
      </c>
      <c r="J391">
        <v>0.80500000000000005</v>
      </c>
      <c r="K391">
        <f t="shared" si="13"/>
        <v>21966.27933999999</v>
      </c>
      <c r="L391" t="str">
        <f t="shared" si="12"/>
        <v>R 6</v>
      </c>
    </row>
    <row r="392" spans="8:12" x14ac:dyDescent="0.25">
      <c r="H392" t="s">
        <v>873</v>
      </c>
      <c r="I392">
        <v>155.11079999999998</v>
      </c>
      <c r="J392">
        <v>0.80999999999999994</v>
      </c>
      <c r="K392">
        <f t="shared" si="13"/>
        <v>22121.390139999989</v>
      </c>
      <c r="L392" t="str">
        <f t="shared" si="12"/>
        <v>R 7</v>
      </c>
    </row>
    <row r="393" spans="8:12" x14ac:dyDescent="0.25">
      <c r="H393" t="s">
        <v>854</v>
      </c>
      <c r="I393">
        <v>155.11079999999998</v>
      </c>
      <c r="J393">
        <v>0.80999999999999994</v>
      </c>
      <c r="K393">
        <f t="shared" si="13"/>
        <v>22276.500939999987</v>
      </c>
      <c r="L393" t="str">
        <f t="shared" si="12"/>
        <v>R 7</v>
      </c>
    </row>
    <row r="394" spans="8:12" x14ac:dyDescent="0.25">
      <c r="H394" t="s">
        <v>838</v>
      </c>
      <c r="I394">
        <v>173.54987999999997</v>
      </c>
      <c r="J394">
        <v>0.81</v>
      </c>
      <c r="K394">
        <f t="shared" si="13"/>
        <v>22450.050819999986</v>
      </c>
      <c r="L394" t="str">
        <f t="shared" si="12"/>
        <v>R 7</v>
      </c>
    </row>
    <row r="395" spans="8:12" x14ac:dyDescent="0.25">
      <c r="H395" t="s">
        <v>967</v>
      </c>
      <c r="I395">
        <v>203.94618</v>
      </c>
      <c r="J395">
        <v>0.81</v>
      </c>
      <c r="K395">
        <f t="shared" si="13"/>
        <v>22653.996999999985</v>
      </c>
      <c r="L395" t="str">
        <f t="shared" si="12"/>
        <v>R 7</v>
      </c>
    </row>
    <row r="396" spans="8:12" x14ac:dyDescent="0.25">
      <c r="H396" t="s">
        <v>839</v>
      </c>
      <c r="I396">
        <v>173.70115999999999</v>
      </c>
      <c r="J396">
        <v>0.81</v>
      </c>
      <c r="K396">
        <f t="shared" si="13"/>
        <v>22827.698159999985</v>
      </c>
      <c r="L396" t="str">
        <f t="shared" si="12"/>
        <v>R 7</v>
      </c>
    </row>
    <row r="397" spans="8:12" x14ac:dyDescent="0.25">
      <c r="H397" t="s">
        <v>948</v>
      </c>
      <c r="I397">
        <v>204.00108</v>
      </c>
      <c r="J397">
        <v>0.81</v>
      </c>
      <c r="K397">
        <f t="shared" si="13"/>
        <v>23031.699239999987</v>
      </c>
      <c r="L397" t="str">
        <f t="shared" si="12"/>
        <v>R 7</v>
      </c>
    </row>
    <row r="398" spans="8:12" x14ac:dyDescent="0.25">
      <c r="H398" t="s">
        <v>883</v>
      </c>
      <c r="I398">
        <v>223.97980000000001</v>
      </c>
      <c r="J398">
        <v>0.81500000000000006</v>
      </c>
      <c r="K398">
        <f t="shared" si="13"/>
        <v>23255.679039999988</v>
      </c>
      <c r="L398" t="str">
        <f t="shared" si="12"/>
        <v>R 7</v>
      </c>
    </row>
    <row r="399" spans="8:12" x14ac:dyDescent="0.25">
      <c r="H399" t="s">
        <v>894</v>
      </c>
      <c r="I399">
        <v>223.97980000000001</v>
      </c>
      <c r="J399">
        <v>0.81500000000000006</v>
      </c>
      <c r="K399">
        <f t="shared" si="13"/>
        <v>23479.658839999989</v>
      </c>
      <c r="L399" t="str">
        <f t="shared" si="12"/>
        <v>R 7</v>
      </c>
    </row>
    <row r="400" spans="8:12" x14ac:dyDescent="0.25">
      <c r="H400" t="s">
        <v>879</v>
      </c>
      <c r="I400">
        <v>160.28359999999998</v>
      </c>
      <c r="J400">
        <v>0.81500000000000006</v>
      </c>
      <c r="K400">
        <f t="shared" si="13"/>
        <v>23639.942439999988</v>
      </c>
      <c r="L400" t="str">
        <f t="shared" si="12"/>
        <v>R 7</v>
      </c>
    </row>
    <row r="401" spans="8:12" x14ac:dyDescent="0.25">
      <c r="H401" t="s">
        <v>870</v>
      </c>
      <c r="I401">
        <v>158.0754</v>
      </c>
      <c r="J401">
        <v>0.81500000000000006</v>
      </c>
      <c r="K401">
        <f t="shared" si="13"/>
        <v>23798.01783999999</v>
      </c>
      <c r="L401" t="str">
        <f t="shared" si="12"/>
        <v>R 7</v>
      </c>
    </row>
    <row r="402" spans="8:12" x14ac:dyDescent="0.25">
      <c r="H402" t="s">
        <v>957</v>
      </c>
      <c r="I402">
        <v>172.71784</v>
      </c>
      <c r="J402">
        <v>0.82000000000000006</v>
      </c>
      <c r="K402">
        <f t="shared" si="13"/>
        <v>23970.735679999991</v>
      </c>
      <c r="L402" t="str">
        <f t="shared" si="12"/>
        <v>R 7</v>
      </c>
    </row>
    <row r="403" spans="8:12" x14ac:dyDescent="0.25">
      <c r="H403" t="s">
        <v>956</v>
      </c>
      <c r="I403">
        <v>172.56412</v>
      </c>
      <c r="J403">
        <v>0.82000000000000006</v>
      </c>
      <c r="K403">
        <f t="shared" si="13"/>
        <v>24143.29979999999</v>
      </c>
      <c r="L403" t="str">
        <f t="shared" si="12"/>
        <v>R 7</v>
      </c>
    </row>
    <row r="404" spans="8:12" x14ac:dyDescent="0.25">
      <c r="H404" t="s">
        <v>872</v>
      </c>
      <c r="I404">
        <v>160.34460000000001</v>
      </c>
      <c r="J404">
        <v>0.82500000000000007</v>
      </c>
      <c r="K404">
        <f t="shared" si="13"/>
        <v>24303.64439999999</v>
      </c>
      <c r="L404" t="str">
        <f t="shared" si="12"/>
        <v>R 7</v>
      </c>
    </row>
    <row r="405" spans="8:12" x14ac:dyDescent="0.25">
      <c r="H405" t="s">
        <v>826</v>
      </c>
      <c r="I405">
        <v>228.38888</v>
      </c>
      <c r="J405">
        <v>0.82500000000000007</v>
      </c>
      <c r="K405">
        <f t="shared" si="13"/>
        <v>24532.033279999989</v>
      </c>
      <c r="L405" t="str">
        <f t="shared" si="12"/>
        <v>R 7</v>
      </c>
    </row>
    <row r="406" spans="8:12" x14ac:dyDescent="0.25">
      <c r="H406" t="s">
        <v>1029</v>
      </c>
      <c r="I406">
        <v>228.38888</v>
      </c>
      <c r="J406">
        <v>0.82500000000000007</v>
      </c>
      <c r="K406">
        <f t="shared" si="13"/>
        <v>24760.422159999987</v>
      </c>
      <c r="L406" t="str">
        <f t="shared" ref="L406:L469" si="14">IF(AND(K406&gt;=0,K406&lt;=6556),"R 1",IF(AND(K406&gt;=6556,K406&lt;=9255),"R 2",IF(AND(K406&gt;=9255,K406&lt;=11955),"R 3",IF(AND(K406&gt;=11955,K406&lt;=16197),"R 4",IF(AND(K406&gt;=16197,K406&lt;=19282),"R 5",IF(AND(K406&gt;=19282,K406&lt;=21982),"R 6",IF(AND(K406&gt;=21982,K406&lt;=25067),"R 7",IF(AND(K406&gt;=25067,K406&lt;=29695),"R 8",IF(AND(K406&gt;=29695,K406&lt;=32780),"R 9",IF(AND(K406&gt;=32780,K406&lt;=33937),"R 10",IF(AND(K406&gt;=33937,K406&lt;=35094),"R 11",IF(AND(K406&gt;=35094,K406&lt;=39000),"R 12"))))))))))))</f>
        <v>R 7</v>
      </c>
    </row>
    <row r="407" spans="8:12" x14ac:dyDescent="0.25">
      <c r="H407" t="s">
        <v>884</v>
      </c>
      <c r="I407">
        <v>204.81359999999998</v>
      </c>
      <c r="J407">
        <v>0.83</v>
      </c>
      <c r="K407">
        <f t="shared" ref="K407:K470" si="15">K406+I407</f>
        <v>24965.235759999989</v>
      </c>
      <c r="L407" t="str">
        <f t="shared" si="14"/>
        <v>R 7</v>
      </c>
    </row>
    <row r="408" spans="8:12" x14ac:dyDescent="0.25">
      <c r="H408" t="s">
        <v>898</v>
      </c>
      <c r="I408">
        <v>204.81359999999998</v>
      </c>
      <c r="J408">
        <v>0.83</v>
      </c>
      <c r="K408">
        <f t="shared" si="15"/>
        <v>25170.04935999999</v>
      </c>
      <c r="L408" t="str">
        <f t="shared" si="14"/>
        <v>R 8</v>
      </c>
    </row>
    <row r="409" spans="8:12" x14ac:dyDescent="0.25">
      <c r="H409" t="s">
        <v>940</v>
      </c>
      <c r="I409">
        <v>160.34460000000001</v>
      </c>
      <c r="J409">
        <v>0.83499999999999996</v>
      </c>
      <c r="K409">
        <f t="shared" si="15"/>
        <v>25330.39395999999</v>
      </c>
      <c r="L409" t="str">
        <f t="shared" si="14"/>
        <v>R 8</v>
      </c>
    </row>
    <row r="410" spans="8:12" x14ac:dyDescent="0.25">
      <c r="H410" t="s">
        <v>1015</v>
      </c>
      <c r="I410">
        <v>228.262</v>
      </c>
      <c r="J410">
        <v>0.83499999999999996</v>
      </c>
      <c r="K410">
        <f t="shared" si="15"/>
        <v>25558.655959999989</v>
      </c>
      <c r="L410" t="str">
        <f t="shared" si="14"/>
        <v>R 8</v>
      </c>
    </row>
    <row r="411" spans="8:12" x14ac:dyDescent="0.25">
      <c r="H411" t="s">
        <v>966</v>
      </c>
      <c r="I411">
        <v>228.262</v>
      </c>
      <c r="J411">
        <v>0.83499999999999996</v>
      </c>
      <c r="K411">
        <f t="shared" si="15"/>
        <v>25786.917959999988</v>
      </c>
      <c r="L411" t="str">
        <f t="shared" si="14"/>
        <v>R 8</v>
      </c>
    </row>
    <row r="412" spans="8:12" x14ac:dyDescent="0.25">
      <c r="H412" t="s">
        <v>932</v>
      </c>
      <c r="I412">
        <v>160.69839999999999</v>
      </c>
      <c r="J412">
        <v>0.84</v>
      </c>
      <c r="K412">
        <f t="shared" si="15"/>
        <v>25947.616359999989</v>
      </c>
      <c r="L412" t="str">
        <f t="shared" si="14"/>
        <v>R 8</v>
      </c>
    </row>
    <row r="413" spans="8:12" x14ac:dyDescent="0.25">
      <c r="H413" t="s">
        <v>905</v>
      </c>
      <c r="I413">
        <v>199.28699999999998</v>
      </c>
      <c r="J413">
        <v>0.84</v>
      </c>
      <c r="K413">
        <f t="shared" si="15"/>
        <v>26146.903359999989</v>
      </c>
      <c r="L413" t="str">
        <f t="shared" si="14"/>
        <v>R 8</v>
      </c>
    </row>
    <row r="414" spans="8:12" x14ac:dyDescent="0.25">
      <c r="H414" t="s">
        <v>791</v>
      </c>
      <c r="I414">
        <v>199.28699999999998</v>
      </c>
      <c r="J414">
        <v>0.84</v>
      </c>
      <c r="K414">
        <f t="shared" si="15"/>
        <v>26346.19035999999</v>
      </c>
      <c r="L414" t="str">
        <f t="shared" si="14"/>
        <v>R 8</v>
      </c>
    </row>
    <row r="415" spans="8:12" x14ac:dyDescent="0.25">
      <c r="H415" t="s">
        <v>914</v>
      </c>
      <c r="I415">
        <v>152.60980000000001</v>
      </c>
      <c r="J415">
        <v>0.84000000000000008</v>
      </c>
      <c r="K415">
        <f t="shared" si="15"/>
        <v>26498.800159999988</v>
      </c>
      <c r="L415" t="str">
        <f t="shared" si="14"/>
        <v>R 8</v>
      </c>
    </row>
    <row r="416" spans="8:12" x14ac:dyDescent="0.25">
      <c r="H416" t="s">
        <v>935</v>
      </c>
      <c r="I416">
        <v>152.60980000000001</v>
      </c>
      <c r="J416">
        <v>0.84000000000000008</v>
      </c>
      <c r="K416">
        <f t="shared" si="15"/>
        <v>26651.409959999986</v>
      </c>
      <c r="L416" t="str">
        <f t="shared" si="14"/>
        <v>R 8</v>
      </c>
    </row>
    <row r="417" spans="8:12" x14ac:dyDescent="0.25">
      <c r="H417" t="s">
        <v>987</v>
      </c>
      <c r="I417">
        <v>224.34214</v>
      </c>
      <c r="J417">
        <v>0.84500000000000008</v>
      </c>
      <c r="K417">
        <f t="shared" si="15"/>
        <v>26875.752099999987</v>
      </c>
      <c r="L417" t="str">
        <f t="shared" si="14"/>
        <v>R 8</v>
      </c>
    </row>
    <row r="418" spans="8:12" x14ac:dyDescent="0.25">
      <c r="H418" t="s">
        <v>933</v>
      </c>
      <c r="I418">
        <v>155.0864</v>
      </c>
      <c r="J418">
        <v>0.85</v>
      </c>
      <c r="K418">
        <f t="shared" si="15"/>
        <v>27030.838499999987</v>
      </c>
      <c r="L418" t="str">
        <f t="shared" si="14"/>
        <v>R 8</v>
      </c>
    </row>
    <row r="419" spans="8:12" x14ac:dyDescent="0.25">
      <c r="H419" t="s">
        <v>875</v>
      </c>
      <c r="I419">
        <v>154.87899999999999</v>
      </c>
      <c r="J419">
        <v>0.85</v>
      </c>
      <c r="K419">
        <f t="shared" si="15"/>
        <v>27185.717499999988</v>
      </c>
      <c r="L419" t="str">
        <f t="shared" si="14"/>
        <v>R 8</v>
      </c>
    </row>
    <row r="420" spans="8:12" x14ac:dyDescent="0.25">
      <c r="H420" t="s">
        <v>866</v>
      </c>
      <c r="I420">
        <v>154.8058</v>
      </c>
      <c r="J420">
        <v>0.85</v>
      </c>
      <c r="K420">
        <f t="shared" si="15"/>
        <v>27340.523299999986</v>
      </c>
      <c r="L420" t="str">
        <f t="shared" si="14"/>
        <v>R 8</v>
      </c>
    </row>
    <row r="421" spans="8:12" x14ac:dyDescent="0.25">
      <c r="H421" t="s">
        <v>845</v>
      </c>
      <c r="I421">
        <v>199.28699999999998</v>
      </c>
      <c r="J421">
        <v>0.85</v>
      </c>
      <c r="K421">
        <f t="shared" si="15"/>
        <v>27539.810299999986</v>
      </c>
      <c r="L421" t="str">
        <f t="shared" si="14"/>
        <v>R 8</v>
      </c>
    </row>
    <row r="422" spans="8:12" x14ac:dyDescent="0.25">
      <c r="H422" t="s">
        <v>865</v>
      </c>
      <c r="I422">
        <v>159.85659999999999</v>
      </c>
      <c r="J422">
        <v>0.85</v>
      </c>
      <c r="K422">
        <f t="shared" si="15"/>
        <v>27699.666899999986</v>
      </c>
      <c r="L422" t="str">
        <f t="shared" si="14"/>
        <v>R 8</v>
      </c>
    </row>
    <row r="423" spans="8:12" x14ac:dyDescent="0.25">
      <c r="H423" t="s">
        <v>922</v>
      </c>
      <c r="I423">
        <v>155.17179999999999</v>
      </c>
      <c r="J423">
        <v>0.85</v>
      </c>
      <c r="K423">
        <f t="shared" si="15"/>
        <v>27854.838699999986</v>
      </c>
      <c r="L423" t="str">
        <f t="shared" si="14"/>
        <v>R 8</v>
      </c>
    </row>
    <row r="424" spans="8:12" x14ac:dyDescent="0.25">
      <c r="H424" t="s">
        <v>856</v>
      </c>
      <c r="I424">
        <v>154.87899999999999</v>
      </c>
      <c r="J424">
        <v>0.85</v>
      </c>
      <c r="K424">
        <f t="shared" si="15"/>
        <v>28009.717699999987</v>
      </c>
      <c r="L424" t="str">
        <f t="shared" si="14"/>
        <v>R 8</v>
      </c>
    </row>
    <row r="425" spans="8:12" x14ac:dyDescent="0.25">
      <c r="H425" t="s">
        <v>943</v>
      </c>
      <c r="I425">
        <v>155.17179999999999</v>
      </c>
      <c r="J425">
        <v>0.85</v>
      </c>
      <c r="K425">
        <f t="shared" si="15"/>
        <v>28164.889499999987</v>
      </c>
      <c r="L425" t="str">
        <f t="shared" si="14"/>
        <v>R 8</v>
      </c>
    </row>
    <row r="426" spans="8:12" x14ac:dyDescent="0.25">
      <c r="H426" t="s">
        <v>913</v>
      </c>
      <c r="I426">
        <v>199.28699999999998</v>
      </c>
      <c r="J426">
        <v>0.85</v>
      </c>
      <c r="K426">
        <f t="shared" si="15"/>
        <v>28364.176499999987</v>
      </c>
      <c r="L426" t="str">
        <f t="shared" si="14"/>
        <v>R 8</v>
      </c>
    </row>
    <row r="427" spans="8:12" x14ac:dyDescent="0.25">
      <c r="H427" t="s">
        <v>969</v>
      </c>
      <c r="I427">
        <v>200.58874</v>
      </c>
      <c r="J427">
        <v>0.85000000000000009</v>
      </c>
      <c r="K427">
        <f t="shared" si="15"/>
        <v>28564.765239999986</v>
      </c>
      <c r="L427" t="str">
        <f t="shared" si="14"/>
        <v>R 8</v>
      </c>
    </row>
    <row r="428" spans="8:12" x14ac:dyDescent="0.25">
      <c r="H428" t="s">
        <v>950</v>
      </c>
      <c r="I428">
        <v>200.61192</v>
      </c>
      <c r="J428">
        <v>0.85000000000000009</v>
      </c>
      <c r="K428">
        <f t="shared" si="15"/>
        <v>28765.377159999985</v>
      </c>
      <c r="L428" t="str">
        <f t="shared" si="14"/>
        <v>R 8</v>
      </c>
    </row>
    <row r="429" spans="8:12" x14ac:dyDescent="0.25">
      <c r="H429" t="s">
        <v>897</v>
      </c>
      <c r="I429">
        <v>228.24979999999999</v>
      </c>
      <c r="J429">
        <v>0.85499999999999998</v>
      </c>
      <c r="K429">
        <f t="shared" si="15"/>
        <v>28993.626959999987</v>
      </c>
      <c r="L429" t="str">
        <f t="shared" si="14"/>
        <v>R 8</v>
      </c>
    </row>
    <row r="430" spans="8:12" x14ac:dyDescent="0.25">
      <c r="H430" t="s">
        <v>885</v>
      </c>
      <c r="I430">
        <v>228.24979999999999</v>
      </c>
      <c r="J430">
        <v>0.85499999999999998</v>
      </c>
      <c r="K430">
        <f t="shared" si="15"/>
        <v>29221.876759999988</v>
      </c>
      <c r="L430" t="str">
        <f t="shared" si="14"/>
        <v>R 8</v>
      </c>
    </row>
    <row r="431" spans="8:12" x14ac:dyDescent="0.25">
      <c r="H431" t="s">
        <v>997</v>
      </c>
      <c r="I431">
        <v>222.47554</v>
      </c>
      <c r="J431">
        <v>0.85500000000000009</v>
      </c>
      <c r="K431">
        <f t="shared" si="15"/>
        <v>29444.352299999988</v>
      </c>
      <c r="L431" t="str">
        <f t="shared" si="14"/>
        <v>R 8</v>
      </c>
    </row>
    <row r="432" spans="8:12" x14ac:dyDescent="0.25">
      <c r="H432" t="s">
        <v>916</v>
      </c>
      <c r="I432">
        <v>155.11079999999998</v>
      </c>
      <c r="J432">
        <v>0.86</v>
      </c>
      <c r="K432">
        <f t="shared" si="15"/>
        <v>29599.463099999986</v>
      </c>
      <c r="L432" t="str">
        <f t="shared" si="14"/>
        <v>R 8</v>
      </c>
    </row>
    <row r="433" spans="8:12" x14ac:dyDescent="0.25">
      <c r="H433" t="s">
        <v>807</v>
      </c>
      <c r="I433">
        <v>198.92100000000002</v>
      </c>
      <c r="J433">
        <v>0.86</v>
      </c>
      <c r="K433">
        <f t="shared" si="15"/>
        <v>29798.384099999985</v>
      </c>
      <c r="L433" t="str">
        <f t="shared" si="14"/>
        <v>R 9</v>
      </c>
    </row>
    <row r="434" spans="8:12" x14ac:dyDescent="0.25">
      <c r="H434" t="s">
        <v>937</v>
      </c>
      <c r="I434">
        <v>155.11079999999998</v>
      </c>
      <c r="J434">
        <v>0.86</v>
      </c>
      <c r="K434">
        <f t="shared" si="15"/>
        <v>29953.494899999983</v>
      </c>
      <c r="L434" t="str">
        <f t="shared" si="14"/>
        <v>R 9</v>
      </c>
    </row>
    <row r="435" spans="8:12" x14ac:dyDescent="0.25">
      <c r="H435" t="s">
        <v>907</v>
      </c>
      <c r="I435">
        <v>198.92100000000002</v>
      </c>
      <c r="J435">
        <v>0.86</v>
      </c>
      <c r="K435">
        <f t="shared" si="15"/>
        <v>30152.415899999982</v>
      </c>
      <c r="L435" t="str">
        <f t="shared" si="14"/>
        <v>R 9</v>
      </c>
    </row>
    <row r="436" spans="8:12" x14ac:dyDescent="0.25">
      <c r="H436" t="s">
        <v>958</v>
      </c>
      <c r="I436">
        <v>173.54987999999997</v>
      </c>
      <c r="J436">
        <v>0.8600000000000001</v>
      </c>
      <c r="K436">
        <f t="shared" si="15"/>
        <v>30325.96577999998</v>
      </c>
      <c r="L436" t="str">
        <f t="shared" si="14"/>
        <v>R 9</v>
      </c>
    </row>
    <row r="437" spans="8:12" x14ac:dyDescent="0.25">
      <c r="H437" t="s">
        <v>959</v>
      </c>
      <c r="I437">
        <v>173.70115999999999</v>
      </c>
      <c r="J437">
        <v>0.8600000000000001</v>
      </c>
      <c r="K437">
        <f t="shared" si="15"/>
        <v>30499.666939999981</v>
      </c>
      <c r="L437" t="str">
        <f t="shared" si="14"/>
        <v>R 9</v>
      </c>
    </row>
    <row r="438" spans="8:12" x14ac:dyDescent="0.25">
      <c r="H438" t="s">
        <v>874</v>
      </c>
      <c r="I438">
        <v>160.35679999999999</v>
      </c>
      <c r="J438">
        <v>0.86499999999999999</v>
      </c>
      <c r="K438">
        <f t="shared" si="15"/>
        <v>30660.023739999982</v>
      </c>
      <c r="L438" t="str">
        <f t="shared" si="14"/>
        <v>R 9</v>
      </c>
    </row>
    <row r="439" spans="8:12" x14ac:dyDescent="0.25">
      <c r="H439" t="s">
        <v>923</v>
      </c>
      <c r="I439">
        <v>160.28359999999998</v>
      </c>
      <c r="J439">
        <v>0.8650000000000001</v>
      </c>
      <c r="K439">
        <f t="shared" si="15"/>
        <v>30820.307339999981</v>
      </c>
      <c r="L439" t="str">
        <f t="shared" si="14"/>
        <v>R 9</v>
      </c>
    </row>
    <row r="440" spans="8:12" x14ac:dyDescent="0.25">
      <c r="H440" t="s">
        <v>990</v>
      </c>
      <c r="I440">
        <v>224.03713999999999</v>
      </c>
      <c r="J440">
        <v>0.8650000000000001</v>
      </c>
      <c r="K440">
        <f t="shared" si="15"/>
        <v>31044.344479999982</v>
      </c>
      <c r="L440" t="str">
        <f t="shared" si="14"/>
        <v>R 9</v>
      </c>
    </row>
    <row r="441" spans="8:12" x14ac:dyDescent="0.25">
      <c r="H441" t="s">
        <v>794</v>
      </c>
      <c r="I441">
        <v>224.34579999999997</v>
      </c>
      <c r="J441">
        <v>0.8650000000000001</v>
      </c>
      <c r="K441">
        <f t="shared" si="15"/>
        <v>31268.690279999981</v>
      </c>
      <c r="L441" t="str">
        <f t="shared" si="14"/>
        <v>R 9</v>
      </c>
    </row>
    <row r="442" spans="8:12" x14ac:dyDescent="0.25">
      <c r="H442" t="s">
        <v>904</v>
      </c>
      <c r="I442">
        <v>224.34579999999997</v>
      </c>
      <c r="J442">
        <v>0.8650000000000001</v>
      </c>
      <c r="K442">
        <f t="shared" si="15"/>
        <v>31493.03607999998</v>
      </c>
      <c r="L442" t="str">
        <f t="shared" si="14"/>
        <v>R 9</v>
      </c>
    </row>
    <row r="443" spans="8:12" x14ac:dyDescent="0.25">
      <c r="H443" t="s">
        <v>915</v>
      </c>
      <c r="I443">
        <v>158.0754</v>
      </c>
      <c r="J443">
        <v>0.8650000000000001</v>
      </c>
      <c r="K443">
        <f t="shared" si="15"/>
        <v>31651.111479999981</v>
      </c>
      <c r="L443" t="str">
        <f t="shared" si="14"/>
        <v>R 9</v>
      </c>
    </row>
    <row r="444" spans="8:12" x14ac:dyDescent="0.25">
      <c r="H444" t="s">
        <v>901</v>
      </c>
      <c r="I444">
        <v>202.1662</v>
      </c>
      <c r="J444">
        <v>0.87</v>
      </c>
      <c r="K444">
        <f t="shared" si="15"/>
        <v>31853.277679999981</v>
      </c>
      <c r="L444" t="str">
        <f t="shared" si="14"/>
        <v>R 9</v>
      </c>
    </row>
    <row r="445" spans="8:12" x14ac:dyDescent="0.25">
      <c r="H445" t="s">
        <v>886</v>
      </c>
      <c r="I445">
        <v>202.1662</v>
      </c>
      <c r="J445">
        <v>0.87</v>
      </c>
      <c r="K445">
        <f t="shared" si="15"/>
        <v>32055.443879999981</v>
      </c>
      <c r="L445" t="str">
        <f t="shared" si="14"/>
        <v>R 9</v>
      </c>
    </row>
    <row r="446" spans="8:12" x14ac:dyDescent="0.25">
      <c r="H446" t="s">
        <v>1018</v>
      </c>
      <c r="I446">
        <v>228.38888</v>
      </c>
      <c r="J446">
        <v>0.875</v>
      </c>
      <c r="K446">
        <f t="shared" si="15"/>
        <v>32283.832759999979</v>
      </c>
      <c r="L446" t="str">
        <f t="shared" si="14"/>
        <v>R 9</v>
      </c>
    </row>
    <row r="447" spans="8:12" x14ac:dyDescent="0.25">
      <c r="H447" t="s">
        <v>968</v>
      </c>
      <c r="I447">
        <v>228.38888</v>
      </c>
      <c r="J447">
        <v>0.875</v>
      </c>
      <c r="K447">
        <f t="shared" si="15"/>
        <v>32512.221639999978</v>
      </c>
      <c r="L447" t="str">
        <f t="shared" si="14"/>
        <v>R 9</v>
      </c>
    </row>
    <row r="448" spans="8:12" x14ac:dyDescent="0.25">
      <c r="H448" t="s">
        <v>848</v>
      </c>
      <c r="I448">
        <v>222.72319999999999</v>
      </c>
      <c r="J448">
        <v>0.87500000000000011</v>
      </c>
      <c r="K448">
        <f t="shared" si="15"/>
        <v>32734.944839999978</v>
      </c>
      <c r="L448" t="str">
        <f t="shared" si="14"/>
        <v>R 9</v>
      </c>
    </row>
    <row r="449" spans="8:12" x14ac:dyDescent="0.25">
      <c r="H449" t="s">
        <v>912</v>
      </c>
      <c r="I449">
        <v>222.72319999999999</v>
      </c>
      <c r="J449">
        <v>0.87500000000000011</v>
      </c>
      <c r="K449">
        <f t="shared" si="15"/>
        <v>32957.668039999975</v>
      </c>
      <c r="L449" t="str">
        <f t="shared" si="14"/>
        <v>R 10</v>
      </c>
    </row>
    <row r="450" spans="8:12" x14ac:dyDescent="0.25">
      <c r="H450" t="s">
        <v>917</v>
      </c>
      <c r="I450">
        <v>160.34460000000001</v>
      </c>
      <c r="J450">
        <v>0.87500000000000011</v>
      </c>
      <c r="K450">
        <f t="shared" si="15"/>
        <v>33118.012639999972</v>
      </c>
      <c r="L450" t="str">
        <f t="shared" si="14"/>
        <v>R 10</v>
      </c>
    </row>
    <row r="451" spans="8:12" x14ac:dyDescent="0.25">
      <c r="H451" t="s">
        <v>811</v>
      </c>
      <c r="I451">
        <v>223.97980000000001</v>
      </c>
      <c r="J451">
        <v>0.88500000000000012</v>
      </c>
      <c r="K451">
        <f t="shared" si="15"/>
        <v>33341.992439999973</v>
      </c>
      <c r="L451" t="str">
        <f t="shared" si="14"/>
        <v>R 10</v>
      </c>
    </row>
    <row r="452" spans="8:12" x14ac:dyDescent="0.25">
      <c r="H452" t="s">
        <v>906</v>
      </c>
      <c r="I452">
        <v>223.97980000000001</v>
      </c>
      <c r="J452">
        <v>0.88500000000000012</v>
      </c>
      <c r="K452">
        <f t="shared" si="15"/>
        <v>33565.972239999974</v>
      </c>
      <c r="L452" t="str">
        <f t="shared" si="14"/>
        <v>R 10</v>
      </c>
    </row>
    <row r="453" spans="8:12" x14ac:dyDescent="0.25">
      <c r="H453" t="s">
        <v>868</v>
      </c>
      <c r="I453">
        <v>154.78139999999999</v>
      </c>
      <c r="J453">
        <v>0.89</v>
      </c>
      <c r="K453">
        <f t="shared" si="15"/>
        <v>33720.753639999974</v>
      </c>
      <c r="L453" t="str">
        <f t="shared" si="14"/>
        <v>R 10</v>
      </c>
    </row>
    <row r="454" spans="8:12" x14ac:dyDescent="0.25">
      <c r="H454" t="s">
        <v>867</v>
      </c>
      <c r="I454">
        <v>159.84440000000001</v>
      </c>
      <c r="J454">
        <v>0.89</v>
      </c>
      <c r="K454">
        <f t="shared" si="15"/>
        <v>33880.598039999975</v>
      </c>
      <c r="L454" t="str">
        <f t="shared" si="14"/>
        <v>R 10</v>
      </c>
    </row>
    <row r="455" spans="8:12" x14ac:dyDescent="0.25">
      <c r="H455" t="s">
        <v>858</v>
      </c>
      <c r="I455">
        <v>154.9034</v>
      </c>
      <c r="J455">
        <v>0.89</v>
      </c>
      <c r="K455">
        <f t="shared" si="15"/>
        <v>34035.501439999978</v>
      </c>
      <c r="L455" t="str">
        <f t="shared" si="14"/>
        <v>R 11</v>
      </c>
    </row>
    <row r="456" spans="8:12" x14ac:dyDescent="0.25">
      <c r="H456" t="s">
        <v>878</v>
      </c>
      <c r="I456">
        <v>154.9034</v>
      </c>
      <c r="J456">
        <v>0.89</v>
      </c>
      <c r="K456">
        <f t="shared" si="15"/>
        <v>34190.404839999981</v>
      </c>
      <c r="L456" t="str">
        <f t="shared" si="14"/>
        <v>R 11</v>
      </c>
    </row>
    <row r="457" spans="8:12" x14ac:dyDescent="0.25">
      <c r="H457" t="s">
        <v>900</v>
      </c>
      <c r="I457">
        <v>229.25019999999998</v>
      </c>
      <c r="J457">
        <v>0.89500000000000002</v>
      </c>
      <c r="K457">
        <f t="shared" si="15"/>
        <v>34419.655039999983</v>
      </c>
      <c r="L457" t="str">
        <f t="shared" si="14"/>
        <v>R 11</v>
      </c>
    </row>
    <row r="458" spans="8:12" x14ac:dyDescent="0.25">
      <c r="H458" t="s">
        <v>887</v>
      </c>
      <c r="I458">
        <v>229.25019999999998</v>
      </c>
      <c r="J458">
        <v>0.89500000000000002</v>
      </c>
      <c r="K458">
        <f t="shared" si="15"/>
        <v>34648.905239999985</v>
      </c>
      <c r="L458" t="str">
        <f t="shared" si="14"/>
        <v>R 11</v>
      </c>
    </row>
    <row r="459" spans="8:12" x14ac:dyDescent="0.25">
      <c r="H459" t="s">
        <v>822</v>
      </c>
      <c r="I459">
        <v>204.81359999999998</v>
      </c>
      <c r="J459">
        <v>0.89999999999999991</v>
      </c>
      <c r="K459">
        <f t="shared" si="15"/>
        <v>34853.718839999987</v>
      </c>
      <c r="L459" t="str">
        <f t="shared" si="14"/>
        <v>R 11</v>
      </c>
    </row>
    <row r="460" spans="8:12" x14ac:dyDescent="0.25">
      <c r="H460" t="s">
        <v>909</v>
      </c>
      <c r="I460">
        <v>204.81359999999998</v>
      </c>
      <c r="J460">
        <v>0.89999999999999991</v>
      </c>
      <c r="K460">
        <f t="shared" si="15"/>
        <v>35058.532439999988</v>
      </c>
      <c r="L460" t="str">
        <f t="shared" si="14"/>
        <v>R 11</v>
      </c>
    </row>
    <row r="461" spans="8:12" x14ac:dyDescent="0.25">
      <c r="H461" t="s">
        <v>918</v>
      </c>
      <c r="I461">
        <v>154.87899999999999</v>
      </c>
      <c r="J461">
        <v>0.9</v>
      </c>
      <c r="K461">
        <f t="shared" si="15"/>
        <v>35213.411439999989</v>
      </c>
      <c r="L461" t="str">
        <f t="shared" si="14"/>
        <v>R 12</v>
      </c>
    </row>
    <row r="462" spans="8:12" x14ac:dyDescent="0.25">
      <c r="H462" t="s">
        <v>929</v>
      </c>
      <c r="I462">
        <v>154.8058</v>
      </c>
      <c r="J462">
        <v>0.9</v>
      </c>
      <c r="K462">
        <f t="shared" si="15"/>
        <v>35368.217239999991</v>
      </c>
      <c r="L462" t="str">
        <f t="shared" si="14"/>
        <v>R 12</v>
      </c>
    </row>
    <row r="463" spans="8:12" x14ac:dyDescent="0.25">
      <c r="H463" t="s">
        <v>928</v>
      </c>
      <c r="I463">
        <v>159.85659999999999</v>
      </c>
      <c r="J463">
        <v>0.9</v>
      </c>
      <c r="K463">
        <f t="shared" si="15"/>
        <v>35528.07383999999</v>
      </c>
      <c r="L463" t="str">
        <f t="shared" si="14"/>
        <v>R 12</v>
      </c>
    </row>
    <row r="464" spans="8:12" x14ac:dyDescent="0.25">
      <c r="H464" t="s">
        <v>939</v>
      </c>
      <c r="I464">
        <v>154.87899999999999</v>
      </c>
      <c r="J464">
        <v>0.9</v>
      </c>
      <c r="K464">
        <f t="shared" si="15"/>
        <v>35682.952839999991</v>
      </c>
      <c r="L464" t="str">
        <f t="shared" si="14"/>
        <v>R 12</v>
      </c>
    </row>
    <row r="465" spans="8:12" x14ac:dyDescent="0.25">
      <c r="H465" t="s">
        <v>993</v>
      </c>
      <c r="I465">
        <v>228.26566</v>
      </c>
      <c r="J465">
        <v>0.90500000000000003</v>
      </c>
      <c r="K465">
        <f t="shared" si="15"/>
        <v>35911.218499999988</v>
      </c>
      <c r="L465" t="str">
        <f t="shared" si="14"/>
        <v>R 12</v>
      </c>
    </row>
    <row r="466" spans="8:12" x14ac:dyDescent="0.25">
      <c r="H466" t="s">
        <v>877</v>
      </c>
      <c r="I466">
        <v>160.34460000000001</v>
      </c>
      <c r="J466">
        <v>0.90500000000000003</v>
      </c>
      <c r="K466">
        <f t="shared" si="15"/>
        <v>36071.563099999985</v>
      </c>
      <c r="L466" t="str">
        <f t="shared" si="14"/>
        <v>R 12</v>
      </c>
    </row>
    <row r="467" spans="8:12" x14ac:dyDescent="0.25">
      <c r="H467" t="s">
        <v>919</v>
      </c>
      <c r="I467">
        <v>160.35679999999999</v>
      </c>
      <c r="J467">
        <v>0.91500000000000004</v>
      </c>
      <c r="K467">
        <f t="shared" si="15"/>
        <v>36231.919899999986</v>
      </c>
      <c r="L467" t="str">
        <f t="shared" si="14"/>
        <v>R 12</v>
      </c>
    </row>
    <row r="468" spans="8:12" x14ac:dyDescent="0.25">
      <c r="H468" t="s">
        <v>908</v>
      </c>
      <c r="I468">
        <v>228.24979999999999</v>
      </c>
      <c r="J468">
        <v>0.92500000000000004</v>
      </c>
      <c r="K468">
        <f t="shared" si="15"/>
        <v>36460.169699999984</v>
      </c>
      <c r="L468" t="str">
        <f t="shared" si="14"/>
        <v>R 12</v>
      </c>
    </row>
    <row r="469" spans="8:12" x14ac:dyDescent="0.25">
      <c r="H469" t="s">
        <v>824</v>
      </c>
      <c r="I469">
        <v>228.24979999999999</v>
      </c>
      <c r="J469">
        <v>0.92500000000000004</v>
      </c>
      <c r="K469">
        <f t="shared" si="15"/>
        <v>36688.419499999982</v>
      </c>
      <c r="L469" t="str">
        <f t="shared" si="14"/>
        <v>R 12</v>
      </c>
    </row>
    <row r="470" spans="8:12" x14ac:dyDescent="0.25">
      <c r="H470" t="s">
        <v>911</v>
      </c>
      <c r="I470">
        <v>202.1662</v>
      </c>
      <c r="J470">
        <v>0.94</v>
      </c>
      <c r="K470">
        <f t="shared" si="15"/>
        <v>36890.585699999981</v>
      </c>
      <c r="L470" t="str">
        <f t="shared" ref="L470:L479" si="16">IF(AND(K470&gt;=0,K470&lt;=6556),"R 1",IF(AND(K470&gt;=6556,K470&lt;=9255),"R 2",IF(AND(K470&gt;=9255,K470&lt;=11955),"R 3",IF(AND(K470&gt;=11955,K470&lt;=16197),"R 4",IF(AND(K470&gt;=16197,K470&lt;=19282),"R 5",IF(AND(K470&gt;=19282,K470&lt;=21982),"R 6",IF(AND(K470&gt;=21982,K470&lt;=25067),"R 7",IF(AND(K470&gt;=25067,K470&lt;=29695),"R 8",IF(AND(K470&gt;=29695,K470&lt;=32780),"R 9",IF(AND(K470&gt;=32780,K470&lt;=33937),"R 10",IF(AND(K470&gt;=33937,K470&lt;=35094),"R 11",IF(AND(K470&gt;=35094,K470&lt;=39000),"R 12"))))))))))))</f>
        <v>R 12</v>
      </c>
    </row>
    <row r="471" spans="8:12" x14ac:dyDescent="0.25">
      <c r="H471" t="s">
        <v>834</v>
      </c>
      <c r="I471">
        <v>202.1662</v>
      </c>
      <c r="J471">
        <v>0.94</v>
      </c>
      <c r="K471">
        <f t="shared" ref="K471:K479" si="17">K470+I471</f>
        <v>37092.751899999981</v>
      </c>
      <c r="L471" t="str">
        <f t="shared" si="16"/>
        <v>R 12</v>
      </c>
    </row>
    <row r="472" spans="8:12" x14ac:dyDescent="0.25">
      <c r="H472" t="s">
        <v>920</v>
      </c>
      <c r="I472">
        <v>154.9034</v>
      </c>
      <c r="J472">
        <v>0.94000000000000006</v>
      </c>
      <c r="K472">
        <f t="shared" si="17"/>
        <v>37247.655299999984</v>
      </c>
      <c r="L472" t="str">
        <f t="shared" si="16"/>
        <v>R 12</v>
      </c>
    </row>
    <row r="473" spans="8:12" x14ac:dyDescent="0.25">
      <c r="H473" t="s">
        <v>930</v>
      </c>
      <c r="I473">
        <v>159.84440000000001</v>
      </c>
      <c r="J473">
        <v>0.94000000000000006</v>
      </c>
      <c r="K473">
        <f t="shared" si="17"/>
        <v>37407.499699999986</v>
      </c>
      <c r="L473" t="str">
        <f t="shared" si="16"/>
        <v>R 12</v>
      </c>
    </row>
    <row r="474" spans="8:12" x14ac:dyDescent="0.25">
      <c r="H474" t="s">
        <v>941</v>
      </c>
      <c r="I474">
        <v>154.9034</v>
      </c>
      <c r="J474">
        <v>0.94000000000000006</v>
      </c>
      <c r="K474">
        <f t="shared" si="17"/>
        <v>37562.403099999989</v>
      </c>
      <c r="L474" t="str">
        <f t="shared" si="16"/>
        <v>R 12</v>
      </c>
    </row>
    <row r="475" spans="8:12" x14ac:dyDescent="0.25">
      <c r="H475" t="s">
        <v>931</v>
      </c>
      <c r="I475">
        <v>154.78139999999999</v>
      </c>
      <c r="J475">
        <v>0.94000000000000006</v>
      </c>
      <c r="K475">
        <f t="shared" si="17"/>
        <v>37717.184499999988</v>
      </c>
      <c r="L475" t="str">
        <f t="shared" si="16"/>
        <v>R 12</v>
      </c>
    </row>
    <row r="476" spans="8:12" x14ac:dyDescent="0.25">
      <c r="H476" t="s">
        <v>995</v>
      </c>
      <c r="I476">
        <v>228.38888</v>
      </c>
      <c r="J476">
        <v>0.94500000000000006</v>
      </c>
      <c r="K476">
        <f t="shared" si="17"/>
        <v>37945.573379999987</v>
      </c>
      <c r="L476" t="str">
        <f t="shared" si="16"/>
        <v>R 12</v>
      </c>
    </row>
    <row r="477" spans="8:12" x14ac:dyDescent="0.25">
      <c r="H477" t="s">
        <v>921</v>
      </c>
      <c r="I477">
        <v>160.34460000000001</v>
      </c>
      <c r="J477">
        <v>0.95500000000000007</v>
      </c>
      <c r="K477">
        <f t="shared" si="17"/>
        <v>38105.917979999984</v>
      </c>
      <c r="L477" t="str">
        <f t="shared" si="16"/>
        <v>R 12</v>
      </c>
    </row>
    <row r="478" spans="8:12" x14ac:dyDescent="0.25">
      <c r="H478" t="s">
        <v>910</v>
      </c>
      <c r="I478">
        <v>229.25019999999998</v>
      </c>
      <c r="J478">
        <v>0.96500000000000008</v>
      </c>
      <c r="K478">
        <f t="shared" si="17"/>
        <v>38335.168179999986</v>
      </c>
      <c r="L478" t="str">
        <f t="shared" si="16"/>
        <v>R 12</v>
      </c>
    </row>
    <row r="479" spans="8:12" x14ac:dyDescent="0.25">
      <c r="H479" t="s">
        <v>837</v>
      </c>
      <c r="I479">
        <v>229.25019999999998</v>
      </c>
      <c r="J479">
        <v>0.96500000000000008</v>
      </c>
      <c r="K479">
        <f t="shared" si="17"/>
        <v>38564.418379999988</v>
      </c>
      <c r="L479" t="str">
        <f t="shared" si="16"/>
        <v>R 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A71B1-B131-409F-9A97-7B639040DA48}">
  <dimension ref="H7:L531"/>
  <sheetViews>
    <sheetView topLeftCell="A512" workbookViewId="0">
      <selection activeCell="H277" sqref="H277:L531"/>
    </sheetView>
  </sheetViews>
  <sheetFormatPr defaultRowHeight="15" x14ac:dyDescent="0.25"/>
  <cols>
    <col min="8" max="8" width="13.140625" bestFit="1" customWidth="1"/>
    <col min="9" max="9" width="22.85546875" bestFit="1" customWidth="1"/>
    <col min="10" max="10" width="25" bestFit="1" customWidth="1"/>
  </cols>
  <sheetData>
    <row r="7" spans="8:12" x14ac:dyDescent="0.25">
      <c r="H7" s="188" t="s">
        <v>733</v>
      </c>
      <c r="I7" t="s">
        <v>713</v>
      </c>
      <c r="J7" t="s">
        <v>1145</v>
      </c>
    </row>
    <row r="8" spans="8:12" x14ac:dyDescent="0.25">
      <c r="H8" s="119" t="s">
        <v>827</v>
      </c>
      <c r="I8">
        <v>176</v>
      </c>
      <c r="J8">
        <v>0.505</v>
      </c>
      <c r="K8">
        <f>GETPIVOTDATA("Sum of Unit Selling Area",$H$7,"Unit Number","E531")</f>
        <v>161</v>
      </c>
      <c r="L8" t="str">
        <f>IF(AND(K8&gt;=0,K8&lt;=7351),"R1",IF(AND(K8&gt;=7351,K8&lt;=10378),"R2",IF(AND(K8&gt;=10378,K8&lt;=13405),"R3",IF(AND(K8&gt;=13405,K8&lt;=18161),"R4",IF(AND(K8&gt;=18161,K8&lt;=21620),"R5",IF(AND(K8&gt;=21620,K8&lt;=24647),"R6",IF(AND(K8&gt;=24647,K8&lt;=28106),"R7",IF(AND(K8&gt;=28106,K8&lt;=33295),"R8",IF(AND(K8&gt;=33295,K8&lt;=36754),"R9",IF(AND(K8&gt;=36754,K8&lt;=38052),"R10",IF(AND(K8&gt;=38052,K8&lt;=39349),"R11",IF(AND(K8&gt;=39349,K8&lt;=43300),"R12"))))))))))))</f>
        <v>R1</v>
      </c>
    </row>
    <row r="9" spans="8:12" x14ac:dyDescent="0.25">
      <c r="H9" s="119" t="s">
        <v>1128</v>
      </c>
      <c r="I9">
        <v>161</v>
      </c>
      <c r="J9">
        <v>0.505</v>
      </c>
      <c r="K9">
        <f>K8+GETPIVOTDATA("Sum of Unit Selling Area",$H$7,"Unit Number","B1234")</f>
        <v>337</v>
      </c>
      <c r="L9" t="str">
        <f t="shared" ref="L9:L72" si="0">IF(AND(K9&gt;=0,K9&lt;=7351),"R1",IF(AND(K9&gt;=7351,K9&lt;=10378),"R2",IF(AND(K9&gt;=10378,K9&lt;=13405),"R3",IF(AND(K9&gt;=13405,K9&lt;=18161),"R4",IF(AND(K9&gt;=18161,K9&lt;=21620),"R5",IF(AND(K9&gt;=21620,K9&lt;=24647),"R6",IF(AND(K9&gt;=24647,K9&lt;=28106),"R7",IF(AND(K9&gt;=28106,K9&lt;=33295),"R8",IF(AND(K9&gt;=33295,K9&lt;=36754),"R9",IF(AND(K9&gt;=36754,K9&lt;=38052),"R10",IF(AND(K9&gt;=38052,K9&lt;=39349),"R11",IF(AND(K9&gt;=39349,K9&lt;=43300),"R12"))))))))))))</f>
        <v>R1</v>
      </c>
    </row>
    <row r="10" spans="8:12" x14ac:dyDescent="0.25">
      <c r="H10" s="119" t="s">
        <v>849</v>
      </c>
      <c r="I10">
        <v>176</v>
      </c>
      <c r="J10">
        <v>0.505</v>
      </c>
      <c r="K10">
        <f t="shared" ref="K10:K73" si="1">K9+GETPIVOTDATA("Sum of Unit Selling Area",$H$7,"Unit Number","B1234")</f>
        <v>513</v>
      </c>
      <c r="L10" t="str">
        <f t="shared" si="0"/>
        <v>R1</v>
      </c>
    </row>
    <row r="11" spans="8:12" x14ac:dyDescent="0.25">
      <c r="H11" s="119" t="s">
        <v>859</v>
      </c>
      <c r="I11">
        <v>161</v>
      </c>
      <c r="J11">
        <v>0.505</v>
      </c>
      <c r="K11">
        <f t="shared" si="1"/>
        <v>689</v>
      </c>
      <c r="L11" t="str">
        <f t="shared" si="0"/>
        <v>R1</v>
      </c>
    </row>
    <row r="12" spans="8:12" x14ac:dyDescent="0.25">
      <c r="H12" s="119" t="s">
        <v>1141</v>
      </c>
      <c r="I12">
        <v>161</v>
      </c>
      <c r="J12">
        <v>0.505</v>
      </c>
      <c r="K12">
        <f t="shared" si="1"/>
        <v>865</v>
      </c>
      <c r="L12" t="str">
        <f t="shared" si="0"/>
        <v>R1</v>
      </c>
    </row>
    <row r="13" spans="8:12" x14ac:dyDescent="0.25">
      <c r="H13" s="119" t="s">
        <v>876</v>
      </c>
      <c r="I13">
        <v>161</v>
      </c>
      <c r="J13">
        <v>0.505</v>
      </c>
      <c r="K13">
        <f t="shared" si="1"/>
        <v>1041</v>
      </c>
      <c r="L13" t="str">
        <f t="shared" si="0"/>
        <v>R1</v>
      </c>
    </row>
    <row r="14" spans="8:12" x14ac:dyDescent="0.25">
      <c r="H14" s="119" t="s">
        <v>756</v>
      </c>
      <c r="I14">
        <v>112</v>
      </c>
      <c r="J14">
        <v>0.505</v>
      </c>
      <c r="K14">
        <f t="shared" si="1"/>
        <v>1217</v>
      </c>
      <c r="L14" t="str">
        <f t="shared" si="0"/>
        <v>R1</v>
      </c>
    </row>
    <row r="15" spans="8:12" x14ac:dyDescent="0.25">
      <c r="H15" s="119" t="s">
        <v>888</v>
      </c>
      <c r="I15">
        <v>176</v>
      </c>
      <c r="J15">
        <v>0.505</v>
      </c>
      <c r="K15">
        <f t="shared" si="1"/>
        <v>1393</v>
      </c>
      <c r="L15" t="str">
        <f t="shared" si="0"/>
        <v>R1</v>
      </c>
    </row>
    <row r="16" spans="8:12" x14ac:dyDescent="0.25">
      <c r="H16" s="119" t="s">
        <v>758</v>
      </c>
      <c r="I16">
        <v>121</v>
      </c>
      <c r="J16">
        <v>0.505</v>
      </c>
      <c r="K16">
        <f t="shared" si="1"/>
        <v>1569</v>
      </c>
      <c r="L16" t="str">
        <f t="shared" si="0"/>
        <v>R1</v>
      </c>
    </row>
    <row r="17" spans="8:12" x14ac:dyDescent="0.25">
      <c r="H17" s="119" t="s">
        <v>890</v>
      </c>
      <c r="I17">
        <v>176</v>
      </c>
      <c r="J17">
        <v>0.505</v>
      </c>
      <c r="K17">
        <f t="shared" si="1"/>
        <v>1745</v>
      </c>
      <c r="L17" t="str">
        <f t="shared" si="0"/>
        <v>R1</v>
      </c>
    </row>
    <row r="18" spans="8:12" x14ac:dyDescent="0.25">
      <c r="H18" s="119" t="s">
        <v>754</v>
      </c>
      <c r="I18">
        <v>119</v>
      </c>
      <c r="J18">
        <v>0.51500000000000001</v>
      </c>
      <c r="K18">
        <f t="shared" si="1"/>
        <v>1921</v>
      </c>
      <c r="L18" t="str">
        <f t="shared" si="0"/>
        <v>R1</v>
      </c>
    </row>
    <row r="19" spans="8:12" x14ac:dyDescent="0.25">
      <c r="H19" s="119" t="s">
        <v>777</v>
      </c>
      <c r="I19">
        <v>119</v>
      </c>
      <c r="J19">
        <v>0.51500000000000001</v>
      </c>
      <c r="K19">
        <f t="shared" si="1"/>
        <v>2097</v>
      </c>
      <c r="L19" t="str">
        <f t="shared" si="0"/>
        <v>R1</v>
      </c>
    </row>
    <row r="20" spans="8:12" x14ac:dyDescent="0.25">
      <c r="H20" s="119" t="s">
        <v>778</v>
      </c>
      <c r="I20">
        <v>119</v>
      </c>
      <c r="J20">
        <v>0.51500000000000001</v>
      </c>
      <c r="K20">
        <f t="shared" si="1"/>
        <v>2273</v>
      </c>
      <c r="L20" t="str">
        <f t="shared" si="0"/>
        <v>R1</v>
      </c>
    </row>
    <row r="21" spans="8:12" x14ac:dyDescent="0.25">
      <c r="H21" s="119" t="s">
        <v>783</v>
      </c>
      <c r="I21">
        <v>110</v>
      </c>
      <c r="J21">
        <v>0.51500000000000001</v>
      </c>
      <c r="K21">
        <f t="shared" si="1"/>
        <v>2449</v>
      </c>
      <c r="L21" t="str">
        <f t="shared" si="0"/>
        <v>R1</v>
      </c>
    </row>
    <row r="22" spans="8:12" x14ac:dyDescent="0.25">
      <c r="H22" s="119" t="s">
        <v>902</v>
      </c>
      <c r="I22">
        <v>173</v>
      </c>
      <c r="J22">
        <v>0.51500000000000001</v>
      </c>
      <c r="K22">
        <f t="shared" si="1"/>
        <v>2625</v>
      </c>
      <c r="L22" t="str">
        <f t="shared" si="0"/>
        <v>R1</v>
      </c>
    </row>
    <row r="23" spans="8:12" x14ac:dyDescent="0.25">
      <c r="H23" s="119" t="s">
        <v>775</v>
      </c>
      <c r="I23">
        <v>110</v>
      </c>
      <c r="J23">
        <v>0.51500000000000001</v>
      </c>
      <c r="K23">
        <f t="shared" si="1"/>
        <v>2801</v>
      </c>
      <c r="L23" t="str">
        <f t="shared" si="0"/>
        <v>R1</v>
      </c>
    </row>
    <row r="24" spans="8:12" x14ac:dyDescent="0.25">
      <c r="H24" s="119" t="s">
        <v>781</v>
      </c>
      <c r="I24">
        <v>110</v>
      </c>
      <c r="J24">
        <v>0.51500000000000001</v>
      </c>
      <c r="K24">
        <f t="shared" si="1"/>
        <v>2977</v>
      </c>
      <c r="L24" t="str">
        <f t="shared" si="0"/>
        <v>R1</v>
      </c>
    </row>
    <row r="25" spans="8:12" x14ac:dyDescent="0.25">
      <c r="H25" s="119" t="s">
        <v>895</v>
      </c>
      <c r="I25">
        <v>117</v>
      </c>
      <c r="J25">
        <v>0.51500000000000001</v>
      </c>
      <c r="K25">
        <f t="shared" si="1"/>
        <v>3153</v>
      </c>
      <c r="L25" t="str">
        <f t="shared" si="0"/>
        <v>R1</v>
      </c>
    </row>
    <row r="26" spans="8:12" x14ac:dyDescent="0.25">
      <c r="H26" s="119" t="s">
        <v>1119</v>
      </c>
      <c r="I26">
        <v>158</v>
      </c>
      <c r="J26">
        <v>0.52500000000000002</v>
      </c>
      <c r="K26">
        <f t="shared" si="1"/>
        <v>3329</v>
      </c>
      <c r="L26" t="str">
        <f t="shared" si="0"/>
        <v>R1</v>
      </c>
    </row>
    <row r="27" spans="8:12" x14ac:dyDescent="0.25">
      <c r="H27" s="119" t="s">
        <v>776</v>
      </c>
      <c r="I27">
        <v>119</v>
      </c>
      <c r="J27">
        <v>0.52500000000000002</v>
      </c>
      <c r="K27">
        <f t="shared" si="1"/>
        <v>3505</v>
      </c>
      <c r="L27" t="str">
        <f t="shared" si="0"/>
        <v>R1</v>
      </c>
    </row>
    <row r="28" spans="8:12" x14ac:dyDescent="0.25">
      <c r="H28" s="119" t="s">
        <v>893</v>
      </c>
      <c r="I28">
        <v>173</v>
      </c>
      <c r="J28">
        <v>0.52500000000000002</v>
      </c>
      <c r="K28">
        <f t="shared" si="1"/>
        <v>3681</v>
      </c>
      <c r="L28" t="str">
        <f t="shared" si="0"/>
        <v>R1</v>
      </c>
    </row>
    <row r="29" spans="8:12" x14ac:dyDescent="0.25">
      <c r="H29" s="119" t="s">
        <v>786</v>
      </c>
      <c r="I29">
        <v>135</v>
      </c>
      <c r="J29">
        <v>0.53500000000000003</v>
      </c>
      <c r="K29">
        <f t="shared" si="1"/>
        <v>3857</v>
      </c>
      <c r="L29" t="str">
        <f t="shared" si="0"/>
        <v>R1</v>
      </c>
    </row>
    <row r="30" spans="8:12" x14ac:dyDescent="0.25">
      <c r="H30" s="119" t="s">
        <v>1111</v>
      </c>
      <c r="I30">
        <v>157</v>
      </c>
      <c r="J30">
        <v>0.53500000000000003</v>
      </c>
      <c r="K30">
        <f t="shared" si="1"/>
        <v>4033</v>
      </c>
      <c r="L30" t="str">
        <f t="shared" si="0"/>
        <v>R1</v>
      </c>
    </row>
    <row r="31" spans="8:12" x14ac:dyDescent="0.25">
      <c r="H31" s="119" t="s">
        <v>899</v>
      </c>
      <c r="I31">
        <v>172</v>
      </c>
      <c r="J31">
        <v>0.54</v>
      </c>
      <c r="K31">
        <f t="shared" si="1"/>
        <v>4209</v>
      </c>
      <c r="L31" t="str">
        <f t="shared" si="0"/>
        <v>R1</v>
      </c>
    </row>
    <row r="32" spans="8:12" x14ac:dyDescent="0.25">
      <c r="H32" s="119" t="s">
        <v>757</v>
      </c>
      <c r="I32">
        <v>110</v>
      </c>
      <c r="J32">
        <v>0.54500000000000004</v>
      </c>
      <c r="K32">
        <f t="shared" si="1"/>
        <v>4385</v>
      </c>
      <c r="L32" t="str">
        <f t="shared" si="0"/>
        <v>R1</v>
      </c>
    </row>
    <row r="33" spans="8:12" x14ac:dyDescent="0.25">
      <c r="H33" s="119" t="s">
        <v>755</v>
      </c>
      <c r="I33">
        <v>122</v>
      </c>
      <c r="J33">
        <v>0.55500000000000005</v>
      </c>
      <c r="K33">
        <f t="shared" si="1"/>
        <v>4561</v>
      </c>
      <c r="L33" t="str">
        <f t="shared" si="0"/>
        <v>R1</v>
      </c>
    </row>
    <row r="34" spans="8:12" x14ac:dyDescent="0.25">
      <c r="H34" s="119" t="s">
        <v>1083</v>
      </c>
      <c r="I34">
        <v>161</v>
      </c>
      <c r="J34">
        <v>0.55500000000000005</v>
      </c>
      <c r="K34">
        <f t="shared" si="1"/>
        <v>4737</v>
      </c>
      <c r="L34" t="str">
        <f t="shared" si="0"/>
        <v>R1</v>
      </c>
    </row>
    <row r="35" spans="8:12" x14ac:dyDescent="0.25">
      <c r="H35" s="119" t="s">
        <v>800</v>
      </c>
      <c r="I35">
        <v>170</v>
      </c>
      <c r="J35">
        <v>0.55999999999999994</v>
      </c>
      <c r="K35">
        <f t="shared" si="1"/>
        <v>4913</v>
      </c>
      <c r="L35" t="str">
        <f t="shared" si="0"/>
        <v>R1</v>
      </c>
    </row>
    <row r="36" spans="8:12" x14ac:dyDescent="0.25">
      <c r="H36" s="119" t="s">
        <v>797</v>
      </c>
      <c r="I36">
        <v>170</v>
      </c>
      <c r="J36">
        <v>0.55999999999999994</v>
      </c>
      <c r="K36">
        <f t="shared" si="1"/>
        <v>5089</v>
      </c>
      <c r="L36" t="str">
        <f t="shared" si="0"/>
        <v>R1</v>
      </c>
    </row>
    <row r="37" spans="8:12" x14ac:dyDescent="0.25">
      <c r="H37" s="119" t="s">
        <v>896</v>
      </c>
      <c r="I37">
        <v>176</v>
      </c>
      <c r="J37">
        <v>0.56500000000000006</v>
      </c>
      <c r="K37">
        <f t="shared" si="1"/>
        <v>5265</v>
      </c>
      <c r="L37" t="str">
        <f t="shared" si="0"/>
        <v>R1</v>
      </c>
    </row>
    <row r="38" spans="8:12" x14ac:dyDescent="0.25">
      <c r="H38" s="119" t="s">
        <v>1114</v>
      </c>
      <c r="I38">
        <v>161</v>
      </c>
      <c r="J38">
        <v>0.56500000000000006</v>
      </c>
      <c r="K38">
        <f t="shared" si="1"/>
        <v>5441</v>
      </c>
      <c r="L38" t="str">
        <f t="shared" si="0"/>
        <v>R1</v>
      </c>
    </row>
    <row r="39" spans="8:12" x14ac:dyDescent="0.25">
      <c r="H39" s="119" t="s">
        <v>370</v>
      </c>
      <c r="I39">
        <v>174</v>
      </c>
      <c r="J39">
        <v>0.56999999999999995</v>
      </c>
      <c r="K39">
        <f t="shared" si="1"/>
        <v>5617</v>
      </c>
      <c r="L39" t="str">
        <f t="shared" si="0"/>
        <v>R1</v>
      </c>
    </row>
    <row r="40" spans="8:12" x14ac:dyDescent="0.25">
      <c r="H40" s="119" t="s">
        <v>338</v>
      </c>
      <c r="I40">
        <v>111</v>
      </c>
      <c r="J40">
        <v>0.57500000000000007</v>
      </c>
      <c r="K40">
        <f t="shared" si="1"/>
        <v>5793</v>
      </c>
      <c r="L40" t="str">
        <f t="shared" si="0"/>
        <v>R1</v>
      </c>
    </row>
    <row r="41" spans="8:12" x14ac:dyDescent="0.25">
      <c r="H41" s="119" t="s">
        <v>337</v>
      </c>
      <c r="I41">
        <v>121</v>
      </c>
      <c r="J41">
        <v>0.57500000000000007</v>
      </c>
      <c r="K41">
        <f t="shared" si="1"/>
        <v>5969</v>
      </c>
      <c r="L41" t="str">
        <f t="shared" si="0"/>
        <v>R1</v>
      </c>
    </row>
    <row r="42" spans="8:12" x14ac:dyDescent="0.25">
      <c r="H42" s="119" t="s">
        <v>641</v>
      </c>
      <c r="I42">
        <v>158</v>
      </c>
      <c r="J42">
        <v>0.57500000000000007</v>
      </c>
      <c r="K42">
        <f t="shared" si="1"/>
        <v>6145</v>
      </c>
      <c r="L42" t="str">
        <f t="shared" si="0"/>
        <v>R1</v>
      </c>
    </row>
    <row r="43" spans="8:12" x14ac:dyDescent="0.25">
      <c r="H43" s="119" t="s">
        <v>353</v>
      </c>
      <c r="I43">
        <v>111</v>
      </c>
      <c r="J43">
        <v>0.57500000000000007</v>
      </c>
      <c r="K43">
        <f t="shared" si="1"/>
        <v>6321</v>
      </c>
      <c r="L43" t="str">
        <f t="shared" si="0"/>
        <v>R1</v>
      </c>
    </row>
    <row r="44" spans="8:12" x14ac:dyDescent="0.25">
      <c r="H44" s="119" t="s">
        <v>590</v>
      </c>
      <c r="I44">
        <v>176</v>
      </c>
      <c r="J44">
        <v>0.57750000000000001</v>
      </c>
      <c r="K44">
        <f t="shared" si="1"/>
        <v>6497</v>
      </c>
      <c r="L44" t="str">
        <f t="shared" si="0"/>
        <v>R1</v>
      </c>
    </row>
    <row r="45" spans="8:12" x14ac:dyDescent="0.25">
      <c r="H45" s="119" t="s">
        <v>467</v>
      </c>
      <c r="I45">
        <v>172</v>
      </c>
      <c r="J45">
        <v>0.58000000000000007</v>
      </c>
      <c r="K45">
        <f t="shared" si="1"/>
        <v>6673</v>
      </c>
      <c r="L45" t="str">
        <f t="shared" si="0"/>
        <v>R1</v>
      </c>
    </row>
    <row r="46" spans="8:12" x14ac:dyDescent="0.25">
      <c r="H46" s="119" t="s">
        <v>547</v>
      </c>
      <c r="I46">
        <v>170</v>
      </c>
      <c r="J46">
        <v>0.58250000000000002</v>
      </c>
      <c r="K46">
        <f t="shared" si="1"/>
        <v>6849</v>
      </c>
      <c r="L46" t="str">
        <f t="shared" si="0"/>
        <v>R1</v>
      </c>
    </row>
    <row r="47" spans="8:12" x14ac:dyDescent="0.25">
      <c r="H47" s="119" t="s">
        <v>383</v>
      </c>
      <c r="I47">
        <v>170</v>
      </c>
      <c r="J47">
        <v>0.58250000000000002</v>
      </c>
      <c r="K47">
        <f t="shared" si="1"/>
        <v>7025</v>
      </c>
      <c r="L47" t="str">
        <f t="shared" si="0"/>
        <v>R1</v>
      </c>
    </row>
    <row r="48" spans="8:12" x14ac:dyDescent="0.25">
      <c r="H48" s="119" t="s">
        <v>349</v>
      </c>
      <c r="I48">
        <v>121</v>
      </c>
      <c r="J48">
        <v>0.58499999999999996</v>
      </c>
      <c r="K48">
        <f t="shared" si="1"/>
        <v>7201</v>
      </c>
      <c r="L48" t="str">
        <f t="shared" si="0"/>
        <v>R1</v>
      </c>
    </row>
    <row r="49" spans="8:12" x14ac:dyDescent="0.25">
      <c r="H49" s="119" t="s">
        <v>364</v>
      </c>
      <c r="I49">
        <v>110</v>
      </c>
      <c r="J49">
        <v>0.58499999999999996</v>
      </c>
      <c r="K49">
        <f t="shared" si="1"/>
        <v>7377</v>
      </c>
      <c r="L49" t="str">
        <f t="shared" si="0"/>
        <v>R2</v>
      </c>
    </row>
    <row r="50" spans="8:12" x14ac:dyDescent="0.25">
      <c r="H50" s="119" t="s">
        <v>371</v>
      </c>
      <c r="I50">
        <v>117</v>
      </c>
      <c r="J50">
        <v>0.58499999999999996</v>
      </c>
      <c r="K50">
        <f t="shared" si="1"/>
        <v>7553</v>
      </c>
      <c r="L50" t="str">
        <f t="shared" si="0"/>
        <v>R2</v>
      </c>
    </row>
    <row r="51" spans="8:12" x14ac:dyDescent="0.25">
      <c r="H51" s="119" t="s">
        <v>350</v>
      </c>
      <c r="I51">
        <v>111</v>
      </c>
      <c r="J51">
        <v>0.58499999999999996</v>
      </c>
      <c r="K51">
        <f t="shared" si="1"/>
        <v>7729</v>
      </c>
      <c r="L51" t="str">
        <f t="shared" si="0"/>
        <v>R2</v>
      </c>
    </row>
    <row r="52" spans="8:12" x14ac:dyDescent="0.25">
      <c r="H52" s="119" t="s">
        <v>685</v>
      </c>
      <c r="I52">
        <v>309</v>
      </c>
      <c r="J52">
        <v>0.58500000000000008</v>
      </c>
      <c r="K52">
        <f t="shared" si="1"/>
        <v>7905</v>
      </c>
      <c r="L52" t="str">
        <f t="shared" si="0"/>
        <v>R2</v>
      </c>
    </row>
    <row r="53" spans="8:12" x14ac:dyDescent="0.25">
      <c r="H53" s="119" t="s">
        <v>635</v>
      </c>
      <c r="I53">
        <v>157</v>
      </c>
      <c r="J53">
        <v>0.58500000000000008</v>
      </c>
      <c r="K53">
        <f t="shared" si="1"/>
        <v>8081</v>
      </c>
      <c r="L53" t="str">
        <f t="shared" si="0"/>
        <v>R2</v>
      </c>
    </row>
    <row r="54" spans="8:12" x14ac:dyDescent="0.25">
      <c r="H54" s="119" t="s">
        <v>686</v>
      </c>
      <c r="I54">
        <v>301</v>
      </c>
      <c r="J54">
        <v>0.58500000000000008</v>
      </c>
      <c r="K54">
        <f t="shared" si="1"/>
        <v>8257</v>
      </c>
      <c r="L54" t="str">
        <f t="shared" si="0"/>
        <v>R2</v>
      </c>
    </row>
    <row r="55" spans="8:12" x14ac:dyDescent="0.25">
      <c r="H55" s="119" t="s">
        <v>543</v>
      </c>
      <c r="I55">
        <v>116</v>
      </c>
      <c r="J55">
        <v>0.58750000000000002</v>
      </c>
      <c r="K55">
        <f t="shared" si="1"/>
        <v>8433</v>
      </c>
      <c r="L55" t="str">
        <f t="shared" si="0"/>
        <v>R2</v>
      </c>
    </row>
    <row r="56" spans="8:12" x14ac:dyDescent="0.25">
      <c r="H56" s="119" t="s">
        <v>377</v>
      </c>
      <c r="I56">
        <v>116</v>
      </c>
      <c r="J56">
        <v>0.58750000000000002</v>
      </c>
      <c r="K56">
        <f t="shared" si="1"/>
        <v>8609</v>
      </c>
      <c r="L56" t="str">
        <f t="shared" si="0"/>
        <v>R2</v>
      </c>
    </row>
    <row r="57" spans="8:12" x14ac:dyDescent="0.25">
      <c r="H57" s="119" t="s">
        <v>598</v>
      </c>
      <c r="I57">
        <v>173</v>
      </c>
      <c r="J57">
        <v>0.58750000000000002</v>
      </c>
      <c r="K57">
        <f t="shared" si="1"/>
        <v>8785</v>
      </c>
      <c r="L57" t="str">
        <f t="shared" si="0"/>
        <v>R2</v>
      </c>
    </row>
    <row r="58" spans="8:12" x14ac:dyDescent="0.25">
      <c r="H58" s="119" t="s">
        <v>342</v>
      </c>
      <c r="I58">
        <v>110</v>
      </c>
      <c r="J58">
        <v>0.59499999999999997</v>
      </c>
      <c r="K58">
        <f t="shared" si="1"/>
        <v>8961</v>
      </c>
      <c r="L58" t="str">
        <f t="shared" si="0"/>
        <v>R2</v>
      </c>
    </row>
    <row r="59" spans="8:12" x14ac:dyDescent="0.25">
      <c r="H59" s="119" t="s">
        <v>341</v>
      </c>
      <c r="I59">
        <v>119</v>
      </c>
      <c r="J59">
        <v>0.59499999999999997</v>
      </c>
      <c r="K59">
        <f t="shared" si="1"/>
        <v>9137</v>
      </c>
      <c r="L59" t="str">
        <f t="shared" si="0"/>
        <v>R2</v>
      </c>
    </row>
    <row r="60" spans="8:12" x14ac:dyDescent="0.25">
      <c r="H60" s="119" t="s">
        <v>357</v>
      </c>
      <c r="I60">
        <v>110</v>
      </c>
      <c r="J60">
        <v>0.59499999999999997</v>
      </c>
      <c r="K60">
        <f t="shared" si="1"/>
        <v>9313</v>
      </c>
      <c r="L60" t="str">
        <f t="shared" si="0"/>
        <v>R2</v>
      </c>
    </row>
    <row r="61" spans="8:12" x14ac:dyDescent="0.25">
      <c r="H61" s="119" t="s">
        <v>274</v>
      </c>
      <c r="I61">
        <v>119</v>
      </c>
      <c r="J61">
        <v>0.59500000000000008</v>
      </c>
      <c r="K61">
        <f t="shared" si="1"/>
        <v>9489</v>
      </c>
      <c r="L61" t="str">
        <f t="shared" si="0"/>
        <v>R2</v>
      </c>
    </row>
    <row r="62" spans="8:12" x14ac:dyDescent="0.25">
      <c r="H62" s="119" t="s">
        <v>354</v>
      </c>
      <c r="I62">
        <v>135</v>
      </c>
      <c r="J62">
        <v>0.59500000000000008</v>
      </c>
      <c r="K62">
        <f t="shared" si="1"/>
        <v>9665</v>
      </c>
      <c r="L62" t="str">
        <f t="shared" si="0"/>
        <v>R2</v>
      </c>
    </row>
    <row r="63" spans="8:12" x14ac:dyDescent="0.25">
      <c r="H63" s="119" t="s">
        <v>593</v>
      </c>
      <c r="I63">
        <v>173</v>
      </c>
      <c r="J63">
        <v>0.59750000000000003</v>
      </c>
      <c r="K63">
        <f t="shared" si="1"/>
        <v>9841</v>
      </c>
      <c r="L63" t="str">
        <f t="shared" si="0"/>
        <v>R2</v>
      </c>
    </row>
    <row r="64" spans="8:12" x14ac:dyDescent="0.25">
      <c r="H64" s="119" t="s">
        <v>466</v>
      </c>
      <c r="I64">
        <v>176</v>
      </c>
      <c r="J64">
        <v>0.60499999999999998</v>
      </c>
      <c r="K64">
        <f t="shared" si="1"/>
        <v>10017</v>
      </c>
      <c r="L64" t="str">
        <f t="shared" si="0"/>
        <v>R2</v>
      </c>
    </row>
    <row r="65" spans="8:12" x14ac:dyDescent="0.25">
      <c r="H65" s="119" t="s">
        <v>669</v>
      </c>
      <c r="I65">
        <v>161</v>
      </c>
      <c r="J65">
        <v>0.60499999999999998</v>
      </c>
      <c r="K65">
        <f t="shared" si="1"/>
        <v>10193</v>
      </c>
      <c r="L65" t="str">
        <f t="shared" si="0"/>
        <v>R2</v>
      </c>
    </row>
    <row r="66" spans="8:12" x14ac:dyDescent="0.25">
      <c r="H66" s="119" t="s">
        <v>365</v>
      </c>
      <c r="I66">
        <v>136</v>
      </c>
      <c r="J66">
        <v>0.60500000000000009</v>
      </c>
      <c r="K66">
        <f t="shared" si="1"/>
        <v>10369</v>
      </c>
      <c r="L66" t="str">
        <f t="shared" si="0"/>
        <v>R2</v>
      </c>
    </row>
    <row r="67" spans="8:12" x14ac:dyDescent="0.25">
      <c r="H67" s="119" t="s">
        <v>544</v>
      </c>
      <c r="I67">
        <v>117</v>
      </c>
      <c r="J67">
        <v>0.60750000000000004</v>
      </c>
      <c r="K67">
        <f t="shared" si="1"/>
        <v>10545</v>
      </c>
      <c r="L67" t="str">
        <f t="shared" si="0"/>
        <v>R3</v>
      </c>
    </row>
    <row r="68" spans="8:12" x14ac:dyDescent="0.25">
      <c r="H68" s="119" t="s">
        <v>379</v>
      </c>
      <c r="I68">
        <v>117</v>
      </c>
      <c r="J68">
        <v>0.60750000000000004</v>
      </c>
      <c r="K68">
        <f t="shared" si="1"/>
        <v>10721</v>
      </c>
      <c r="L68" t="str">
        <f t="shared" si="0"/>
        <v>R3</v>
      </c>
    </row>
    <row r="69" spans="8:12" x14ac:dyDescent="0.25">
      <c r="H69" s="119" t="s">
        <v>373</v>
      </c>
      <c r="I69">
        <v>172</v>
      </c>
      <c r="J69">
        <v>0.61</v>
      </c>
      <c r="K69">
        <f t="shared" si="1"/>
        <v>10897</v>
      </c>
      <c r="L69" t="str">
        <f t="shared" si="0"/>
        <v>R3</v>
      </c>
    </row>
    <row r="70" spans="8:12" x14ac:dyDescent="0.25">
      <c r="H70" s="119" t="s">
        <v>372</v>
      </c>
      <c r="I70">
        <v>172</v>
      </c>
      <c r="J70">
        <v>0.61</v>
      </c>
      <c r="K70">
        <f t="shared" si="1"/>
        <v>11073</v>
      </c>
      <c r="L70" t="str">
        <f t="shared" si="0"/>
        <v>R3</v>
      </c>
    </row>
    <row r="71" spans="8:12" x14ac:dyDescent="0.25">
      <c r="H71" s="119" t="s">
        <v>637</v>
      </c>
      <c r="I71">
        <v>161</v>
      </c>
      <c r="J71">
        <v>0.61499999999999999</v>
      </c>
      <c r="K71">
        <f t="shared" si="1"/>
        <v>11249</v>
      </c>
      <c r="L71" t="str">
        <f t="shared" si="0"/>
        <v>R3</v>
      </c>
    </row>
    <row r="72" spans="8:12" x14ac:dyDescent="0.25">
      <c r="H72" s="119" t="s">
        <v>1035</v>
      </c>
      <c r="I72">
        <v>344</v>
      </c>
      <c r="J72">
        <v>0.6150000000000001</v>
      </c>
      <c r="K72">
        <f t="shared" si="1"/>
        <v>11425</v>
      </c>
      <c r="L72" t="str">
        <f t="shared" si="0"/>
        <v>R3</v>
      </c>
    </row>
    <row r="73" spans="8:12" x14ac:dyDescent="0.25">
      <c r="H73" s="119" t="s">
        <v>1034</v>
      </c>
      <c r="I73">
        <v>344</v>
      </c>
      <c r="J73">
        <v>0.6150000000000001</v>
      </c>
      <c r="K73">
        <f t="shared" si="1"/>
        <v>11601</v>
      </c>
      <c r="L73" t="str">
        <f t="shared" ref="L73:L136" si="2">IF(AND(K73&gt;=0,K73&lt;=7351),"R1",IF(AND(K73&gt;=7351,K73&lt;=10378),"R2",IF(AND(K73&gt;=10378,K73&lt;=13405),"R3",IF(AND(K73&gt;=13405,K73&lt;=18161),"R4",IF(AND(K73&gt;=18161,K73&lt;=21620),"R5",IF(AND(K73&gt;=21620,K73&lt;=24647),"R6",IF(AND(K73&gt;=24647,K73&lt;=28106),"R7",IF(AND(K73&gt;=28106,K73&lt;=33295),"R8",IF(AND(K73&gt;=33295,K73&lt;=36754),"R9",IF(AND(K73&gt;=36754,K73&lt;=38052),"R10",IF(AND(K73&gt;=38052,K73&lt;=39349),"R11",IF(AND(K73&gt;=39349,K73&lt;=43300),"R12"))))))))))))</f>
        <v>R3</v>
      </c>
    </row>
    <row r="74" spans="8:12" x14ac:dyDescent="0.25">
      <c r="H74" s="119" t="s">
        <v>358</v>
      </c>
      <c r="I74">
        <v>135</v>
      </c>
      <c r="J74">
        <v>0.6150000000000001</v>
      </c>
      <c r="K74">
        <f t="shared" ref="K74:K137" si="3">K73+GETPIVOTDATA("Sum of Unit Selling Area",$H$7,"Unit Number","B1234")</f>
        <v>11777</v>
      </c>
      <c r="L74" t="str">
        <f t="shared" si="2"/>
        <v>R3</v>
      </c>
    </row>
    <row r="75" spans="8:12" x14ac:dyDescent="0.25">
      <c r="H75" s="119" t="s">
        <v>409</v>
      </c>
      <c r="I75">
        <v>224</v>
      </c>
      <c r="J75">
        <v>0.61900000000000011</v>
      </c>
      <c r="K75">
        <f t="shared" si="3"/>
        <v>11953</v>
      </c>
      <c r="L75" t="str">
        <f t="shared" si="2"/>
        <v>R3</v>
      </c>
    </row>
    <row r="76" spans="8:12" x14ac:dyDescent="0.25">
      <c r="H76" s="119" t="s">
        <v>695</v>
      </c>
      <c r="I76">
        <v>161</v>
      </c>
      <c r="J76">
        <v>0.62</v>
      </c>
      <c r="K76">
        <f t="shared" si="3"/>
        <v>12129</v>
      </c>
      <c r="L76" t="str">
        <f t="shared" si="2"/>
        <v>R3</v>
      </c>
    </row>
    <row r="77" spans="8:12" x14ac:dyDescent="0.25">
      <c r="H77" s="119" t="s">
        <v>699</v>
      </c>
      <c r="I77">
        <v>153</v>
      </c>
      <c r="J77">
        <v>0.62000000000000011</v>
      </c>
      <c r="K77">
        <f t="shared" si="3"/>
        <v>12305</v>
      </c>
      <c r="L77" t="str">
        <f t="shared" si="2"/>
        <v>R3</v>
      </c>
    </row>
    <row r="78" spans="8:12" x14ac:dyDescent="0.25">
      <c r="H78" s="119" t="s">
        <v>643</v>
      </c>
      <c r="I78">
        <v>152</v>
      </c>
      <c r="J78">
        <v>0.62000000000000011</v>
      </c>
      <c r="K78">
        <f t="shared" si="3"/>
        <v>12481</v>
      </c>
      <c r="L78" t="str">
        <f t="shared" si="2"/>
        <v>R3</v>
      </c>
    </row>
    <row r="79" spans="8:12" x14ac:dyDescent="0.25">
      <c r="H79" s="119" t="s">
        <v>633</v>
      </c>
      <c r="I79">
        <v>152</v>
      </c>
      <c r="J79">
        <v>0.62000000000000011</v>
      </c>
      <c r="K79">
        <f t="shared" si="3"/>
        <v>12657</v>
      </c>
      <c r="L79" t="str">
        <f t="shared" si="2"/>
        <v>R3</v>
      </c>
    </row>
    <row r="80" spans="8:12" x14ac:dyDescent="0.25">
      <c r="H80" s="119" t="s">
        <v>674</v>
      </c>
      <c r="I80">
        <v>153</v>
      </c>
      <c r="J80">
        <v>0.62000000000000011</v>
      </c>
      <c r="K80">
        <f t="shared" si="3"/>
        <v>12833</v>
      </c>
      <c r="L80" t="str">
        <f t="shared" si="2"/>
        <v>R3</v>
      </c>
    </row>
    <row r="81" spans="8:12" x14ac:dyDescent="0.25">
      <c r="H81" s="119" t="s">
        <v>565</v>
      </c>
      <c r="I81">
        <v>176</v>
      </c>
      <c r="J81">
        <v>0.62900000000000011</v>
      </c>
      <c r="K81">
        <f t="shared" si="3"/>
        <v>13009</v>
      </c>
      <c r="L81" t="str">
        <f t="shared" si="2"/>
        <v>R3</v>
      </c>
    </row>
    <row r="82" spans="8:12" x14ac:dyDescent="0.25">
      <c r="H82" s="119" t="s">
        <v>419</v>
      </c>
      <c r="I82">
        <v>222</v>
      </c>
      <c r="J82">
        <v>0.62900000000000011</v>
      </c>
      <c r="K82">
        <f t="shared" si="3"/>
        <v>13185</v>
      </c>
      <c r="L82" t="str">
        <f t="shared" si="2"/>
        <v>R3</v>
      </c>
    </row>
    <row r="83" spans="8:12" x14ac:dyDescent="0.25">
      <c r="H83" s="119" t="s">
        <v>652</v>
      </c>
      <c r="I83">
        <v>155</v>
      </c>
      <c r="J83">
        <v>0.63</v>
      </c>
      <c r="K83">
        <f t="shared" si="3"/>
        <v>13361</v>
      </c>
      <c r="L83" t="str">
        <f t="shared" si="2"/>
        <v>R3</v>
      </c>
    </row>
    <row r="84" spans="8:12" x14ac:dyDescent="0.25">
      <c r="H84" s="119" t="s">
        <v>640</v>
      </c>
      <c r="I84">
        <v>155</v>
      </c>
      <c r="J84">
        <v>0.63</v>
      </c>
      <c r="K84">
        <f t="shared" si="3"/>
        <v>13537</v>
      </c>
      <c r="L84" t="str">
        <f t="shared" si="2"/>
        <v>R4</v>
      </c>
    </row>
    <row r="85" spans="8:12" x14ac:dyDescent="0.25">
      <c r="H85" s="119" t="s">
        <v>696</v>
      </c>
      <c r="I85">
        <v>155</v>
      </c>
      <c r="J85">
        <v>0.63</v>
      </c>
      <c r="K85">
        <f t="shared" si="3"/>
        <v>13713</v>
      </c>
      <c r="L85" t="str">
        <f t="shared" si="2"/>
        <v>R4</v>
      </c>
    </row>
    <row r="86" spans="8:12" x14ac:dyDescent="0.25">
      <c r="H86" s="119" t="s">
        <v>707</v>
      </c>
      <c r="I86">
        <v>155</v>
      </c>
      <c r="J86">
        <v>0.63</v>
      </c>
      <c r="K86">
        <f t="shared" si="3"/>
        <v>13889</v>
      </c>
      <c r="L86" t="str">
        <f t="shared" si="2"/>
        <v>R4</v>
      </c>
    </row>
    <row r="87" spans="8:12" x14ac:dyDescent="0.25">
      <c r="H87" s="119" t="s">
        <v>682</v>
      </c>
      <c r="I87">
        <v>155</v>
      </c>
      <c r="J87">
        <v>0.63</v>
      </c>
      <c r="K87">
        <f t="shared" si="3"/>
        <v>14065</v>
      </c>
      <c r="L87" t="str">
        <f t="shared" si="2"/>
        <v>R4</v>
      </c>
    </row>
    <row r="88" spans="8:12" x14ac:dyDescent="0.25">
      <c r="H88" s="119" t="s">
        <v>591</v>
      </c>
      <c r="I88">
        <v>199</v>
      </c>
      <c r="J88">
        <v>0.63000000000000012</v>
      </c>
      <c r="K88">
        <f t="shared" si="3"/>
        <v>14241</v>
      </c>
      <c r="L88" t="str">
        <f t="shared" si="2"/>
        <v>R4</v>
      </c>
    </row>
    <row r="89" spans="8:12" x14ac:dyDescent="0.25">
      <c r="H89" s="119" t="s">
        <v>574</v>
      </c>
      <c r="I89">
        <v>199</v>
      </c>
      <c r="J89">
        <v>0.63000000000000012</v>
      </c>
      <c r="K89">
        <f t="shared" si="3"/>
        <v>14417</v>
      </c>
      <c r="L89" t="str">
        <f t="shared" si="2"/>
        <v>R4</v>
      </c>
    </row>
    <row r="90" spans="8:12" x14ac:dyDescent="0.25">
      <c r="H90" s="119" t="s">
        <v>380</v>
      </c>
      <c r="I90">
        <v>172</v>
      </c>
      <c r="J90">
        <v>0.63250000000000006</v>
      </c>
      <c r="K90">
        <f t="shared" si="3"/>
        <v>14593</v>
      </c>
      <c r="L90" t="str">
        <f t="shared" si="2"/>
        <v>R4</v>
      </c>
    </row>
    <row r="91" spans="8:12" x14ac:dyDescent="0.25">
      <c r="H91" s="119" t="s">
        <v>545</v>
      </c>
      <c r="I91">
        <v>172</v>
      </c>
      <c r="J91">
        <v>0.63250000000000006</v>
      </c>
      <c r="K91">
        <f t="shared" si="3"/>
        <v>14769</v>
      </c>
      <c r="L91" t="str">
        <f t="shared" si="2"/>
        <v>R4</v>
      </c>
    </row>
    <row r="92" spans="8:12" x14ac:dyDescent="0.25">
      <c r="H92" s="119" t="s">
        <v>1064</v>
      </c>
      <c r="I92">
        <v>301</v>
      </c>
      <c r="J92">
        <v>0.63500000000000001</v>
      </c>
      <c r="K92">
        <f t="shared" si="3"/>
        <v>14945</v>
      </c>
      <c r="L92" t="str">
        <f t="shared" si="2"/>
        <v>R4</v>
      </c>
    </row>
    <row r="93" spans="8:12" x14ac:dyDescent="0.25">
      <c r="H93" s="119" t="s">
        <v>346</v>
      </c>
      <c r="I93">
        <v>112</v>
      </c>
      <c r="J93">
        <v>0.63500000000000001</v>
      </c>
      <c r="K93">
        <f t="shared" si="3"/>
        <v>15121</v>
      </c>
      <c r="L93" t="str">
        <f t="shared" si="2"/>
        <v>R4</v>
      </c>
    </row>
    <row r="94" spans="8:12" x14ac:dyDescent="0.25">
      <c r="H94" s="119" t="s">
        <v>345</v>
      </c>
      <c r="I94">
        <v>122</v>
      </c>
      <c r="J94">
        <v>0.63500000000000001</v>
      </c>
      <c r="K94">
        <f t="shared" si="3"/>
        <v>15297</v>
      </c>
      <c r="L94" t="str">
        <f t="shared" si="2"/>
        <v>R4</v>
      </c>
    </row>
    <row r="95" spans="8:12" x14ac:dyDescent="0.25">
      <c r="H95" s="119" t="s">
        <v>1063</v>
      </c>
      <c r="I95">
        <v>309</v>
      </c>
      <c r="J95">
        <v>0.63500000000000001</v>
      </c>
      <c r="K95">
        <f t="shared" si="3"/>
        <v>15473</v>
      </c>
      <c r="L95" t="str">
        <f t="shared" si="2"/>
        <v>R4</v>
      </c>
    </row>
    <row r="96" spans="8:12" x14ac:dyDescent="0.25">
      <c r="H96" s="119" t="s">
        <v>361</v>
      </c>
      <c r="I96">
        <v>112</v>
      </c>
      <c r="J96">
        <v>0.63500000000000001</v>
      </c>
      <c r="K96">
        <f t="shared" si="3"/>
        <v>15649</v>
      </c>
      <c r="L96" t="str">
        <f t="shared" si="2"/>
        <v>R4</v>
      </c>
    </row>
    <row r="97" spans="8:12" x14ac:dyDescent="0.25">
      <c r="H97" s="119" t="s">
        <v>595</v>
      </c>
      <c r="I97">
        <v>176</v>
      </c>
      <c r="J97">
        <v>0.63749999999999996</v>
      </c>
      <c r="K97">
        <f t="shared" si="3"/>
        <v>15825</v>
      </c>
      <c r="L97" t="str">
        <f t="shared" si="2"/>
        <v>R4</v>
      </c>
    </row>
    <row r="98" spans="8:12" x14ac:dyDescent="0.25">
      <c r="H98" s="119" t="s">
        <v>1019</v>
      </c>
      <c r="I98">
        <v>173</v>
      </c>
      <c r="J98">
        <v>0.63900000000000012</v>
      </c>
      <c r="K98">
        <f t="shared" si="3"/>
        <v>16001</v>
      </c>
      <c r="L98" t="str">
        <f t="shared" si="2"/>
        <v>R4</v>
      </c>
    </row>
    <row r="99" spans="8:12" x14ac:dyDescent="0.25">
      <c r="H99" s="119" t="s">
        <v>843</v>
      </c>
      <c r="I99">
        <v>224</v>
      </c>
      <c r="J99">
        <v>0.63900000000000012</v>
      </c>
      <c r="K99">
        <f t="shared" si="3"/>
        <v>16177</v>
      </c>
      <c r="L99" t="str">
        <f t="shared" si="2"/>
        <v>R4</v>
      </c>
    </row>
    <row r="100" spans="8:12" x14ac:dyDescent="0.25">
      <c r="H100" s="119" t="s">
        <v>1053</v>
      </c>
      <c r="I100">
        <v>198</v>
      </c>
      <c r="J100">
        <v>0.64</v>
      </c>
      <c r="K100">
        <f t="shared" si="3"/>
        <v>16353</v>
      </c>
      <c r="L100" t="str">
        <f t="shared" si="2"/>
        <v>R4</v>
      </c>
    </row>
    <row r="101" spans="8:12" x14ac:dyDescent="0.25">
      <c r="H101" s="119" t="s">
        <v>1094</v>
      </c>
      <c r="I101">
        <v>154</v>
      </c>
      <c r="J101">
        <v>0.64</v>
      </c>
      <c r="K101">
        <f t="shared" si="3"/>
        <v>16529</v>
      </c>
      <c r="L101" t="str">
        <f t="shared" si="2"/>
        <v>R4</v>
      </c>
    </row>
    <row r="102" spans="8:12" x14ac:dyDescent="0.25">
      <c r="H102" s="119" t="s">
        <v>1138</v>
      </c>
      <c r="I102">
        <v>155</v>
      </c>
      <c r="J102">
        <v>0.64</v>
      </c>
      <c r="K102">
        <f t="shared" si="3"/>
        <v>16705</v>
      </c>
      <c r="L102" t="str">
        <f t="shared" si="2"/>
        <v>R4</v>
      </c>
    </row>
    <row r="103" spans="8:12" x14ac:dyDescent="0.25">
      <c r="H103" s="119" t="s">
        <v>1031</v>
      </c>
      <c r="I103">
        <v>198</v>
      </c>
      <c r="J103">
        <v>0.64</v>
      </c>
      <c r="K103">
        <f t="shared" si="3"/>
        <v>16881</v>
      </c>
      <c r="L103" t="str">
        <f t="shared" si="2"/>
        <v>R4</v>
      </c>
    </row>
    <row r="104" spans="8:12" x14ac:dyDescent="0.25">
      <c r="H104" s="119" t="s">
        <v>1084</v>
      </c>
      <c r="I104">
        <v>154</v>
      </c>
      <c r="J104">
        <v>0.64</v>
      </c>
      <c r="K104">
        <f t="shared" si="3"/>
        <v>17057</v>
      </c>
      <c r="L104" t="str">
        <f t="shared" si="2"/>
        <v>R4</v>
      </c>
    </row>
    <row r="105" spans="8:12" x14ac:dyDescent="0.25">
      <c r="H105" s="119" t="s">
        <v>1122</v>
      </c>
      <c r="I105">
        <v>155</v>
      </c>
      <c r="J105">
        <v>0.64</v>
      </c>
      <c r="K105">
        <f t="shared" si="3"/>
        <v>17233</v>
      </c>
      <c r="L105" t="str">
        <f t="shared" si="2"/>
        <v>R4</v>
      </c>
    </row>
    <row r="106" spans="8:12" x14ac:dyDescent="0.25">
      <c r="H106" s="119" t="s">
        <v>1099</v>
      </c>
      <c r="I106">
        <v>161</v>
      </c>
      <c r="J106">
        <v>0.64500000000000013</v>
      </c>
      <c r="K106">
        <f t="shared" si="3"/>
        <v>17409</v>
      </c>
      <c r="L106" t="str">
        <f t="shared" si="2"/>
        <v>R4</v>
      </c>
    </row>
    <row r="107" spans="8:12" x14ac:dyDescent="0.25">
      <c r="H107" s="119" t="s">
        <v>1121</v>
      </c>
      <c r="I107">
        <v>158</v>
      </c>
      <c r="J107">
        <v>0.64500000000000013</v>
      </c>
      <c r="K107">
        <f t="shared" si="3"/>
        <v>17585</v>
      </c>
      <c r="L107" t="str">
        <f t="shared" si="2"/>
        <v>R4</v>
      </c>
    </row>
    <row r="108" spans="8:12" x14ac:dyDescent="0.25">
      <c r="H108" s="119" t="s">
        <v>1082</v>
      </c>
      <c r="I108">
        <v>158</v>
      </c>
      <c r="J108">
        <v>0.64500000000000013</v>
      </c>
      <c r="K108">
        <f t="shared" si="3"/>
        <v>17761</v>
      </c>
      <c r="L108" t="str">
        <f t="shared" si="2"/>
        <v>R4</v>
      </c>
    </row>
    <row r="109" spans="8:12" x14ac:dyDescent="0.25">
      <c r="H109" s="119" t="s">
        <v>745</v>
      </c>
      <c r="I109">
        <v>121</v>
      </c>
      <c r="J109">
        <v>0.64500000000000013</v>
      </c>
      <c r="K109">
        <f t="shared" si="3"/>
        <v>17937</v>
      </c>
      <c r="L109" t="str">
        <f t="shared" si="2"/>
        <v>R4</v>
      </c>
    </row>
    <row r="110" spans="8:12" x14ac:dyDescent="0.25">
      <c r="H110" s="119" t="s">
        <v>1144</v>
      </c>
      <c r="I110">
        <v>160</v>
      </c>
      <c r="J110">
        <v>0.64500000000000013</v>
      </c>
      <c r="K110">
        <f t="shared" si="3"/>
        <v>18113</v>
      </c>
      <c r="L110" t="str">
        <f t="shared" si="2"/>
        <v>R4</v>
      </c>
    </row>
    <row r="111" spans="8:12" x14ac:dyDescent="0.25">
      <c r="H111" s="119" t="s">
        <v>1091</v>
      </c>
      <c r="I111">
        <v>161</v>
      </c>
      <c r="J111">
        <v>0.64500000000000013</v>
      </c>
      <c r="K111">
        <f t="shared" si="3"/>
        <v>18289</v>
      </c>
      <c r="L111" t="str">
        <f t="shared" si="2"/>
        <v>R5</v>
      </c>
    </row>
    <row r="112" spans="8:12" x14ac:dyDescent="0.25">
      <c r="H112" s="119" t="s">
        <v>744</v>
      </c>
      <c r="I112">
        <v>111</v>
      </c>
      <c r="J112">
        <v>0.64500000000000013</v>
      </c>
      <c r="K112">
        <f t="shared" si="3"/>
        <v>18465</v>
      </c>
      <c r="L112" t="str">
        <f t="shared" si="2"/>
        <v>R5</v>
      </c>
    </row>
    <row r="113" spans="8:12" x14ac:dyDescent="0.25">
      <c r="H113" s="119" t="s">
        <v>1092</v>
      </c>
      <c r="I113">
        <v>158</v>
      </c>
      <c r="J113">
        <v>0.64500000000000013</v>
      </c>
      <c r="K113">
        <f t="shared" si="3"/>
        <v>18641</v>
      </c>
      <c r="L113" t="str">
        <f t="shared" si="2"/>
        <v>R5</v>
      </c>
    </row>
    <row r="114" spans="8:12" x14ac:dyDescent="0.25">
      <c r="H114" s="119" t="s">
        <v>735</v>
      </c>
      <c r="I114">
        <v>111</v>
      </c>
      <c r="J114">
        <v>0.64500000000000013</v>
      </c>
      <c r="K114">
        <f t="shared" si="3"/>
        <v>18817</v>
      </c>
      <c r="L114" t="str">
        <f t="shared" si="2"/>
        <v>R5</v>
      </c>
    </row>
    <row r="115" spans="8:12" x14ac:dyDescent="0.25">
      <c r="H115" s="119" t="s">
        <v>1136</v>
      </c>
      <c r="I115">
        <v>158</v>
      </c>
      <c r="J115">
        <v>0.64500000000000013</v>
      </c>
      <c r="K115">
        <f t="shared" si="3"/>
        <v>18993</v>
      </c>
      <c r="L115" t="str">
        <f t="shared" si="2"/>
        <v>R5</v>
      </c>
    </row>
    <row r="116" spans="8:12" x14ac:dyDescent="0.25">
      <c r="H116" s="119" t="s">
        <v>1129</v>
      </c>
      <c r="I116">
        <v>160</v>
      </c>
      <c r="J116">
        <v>0.64500000000000013</v>
      </c>
      <c r="K116">
        <f t="shared" si="3"/>
        <v>19169</v>
      </c>
      <c r="L116" t="str">
        <f t="shared" si="2"/>
        <v>R5</v>
      </c>
    </row>
    <row r="117" spans="8:12" x14ac:dyDescent="0.25">
      <c r="H117" s="119" t="s">
        <v>1011</v>
      </c>
      <c r="I117">
        <v>173</v>
      </c>
      <c r="J117">
        <v>0.64900000000000013</v>
      </c>
      <c r="K117">
        <f t="shared" si="3"/>
        <v>19345</v>
      </c>
      <c r="L117" t="str">
        <f t="shared" si="2"/>
        <v>R5</v>
      </c>
    </row>
    <row r="118" spans="8:12" x14ac:dyDescent="0.25">
      <c r="H118" s="119" t="s">
        <v>1043</v>
      </c>
      <c r="I118">
        <v>173</v>
      </c>
      <c r="J118">
        <v>0.65</v>
      </c>
      <c r="K118">
        <f t="shared" si="3"/>
        <v>19521</v>
      </c>
      <c r="L118" t="str">
        <f t="shared" si="2"/>
        <v>R5</v>
      </c>
    </row>
    <row r="119" spans="8:12" x14ac:dyDescent="0.25">
      <c r="H119" s="119" t="s">
        <v>1046</v>
      </c>
      <c r="I119">
        <v>198</v>
      </c>
      <c r="J119">
        <v>0.65</v>
      </c>
      <c r="K119">
        <f t="shared" si="3"/>
        <v>19697</v>
      </c>
      <c r="L119" t="str">
        <f t="shared" si="2"/>
        <v>R5</v>
      </c>
    </row>
    <row r="120" spans="8:12" x14ac:dyDescent="0.25">
      <c r="H120" s="119" t="s">
        <v>1042</v>
      </c>
      <c r="I120">
        <v>173</v>
      </c>
      <c r="J120">
        <v>0.65</v>
      </c>
      <c r="K120">
        <f t="shared" si="3"/>
        <v>19873</v>
      </c>
      <c r="L120" t="str">
        <f t="shared" si="2"/>
        <v>R5</v>
      </c>
    </row>
    <row r="121" spans="8:12" x14ac:dyDescent="0.25">
      <c r="H121" s="119" t="s">
        <v>1023</v>
      </c>
      <c r="I121">
        <v>198</v>
      </c>
      <c r="J121">
        <v>0.65</v>
      </c>
      <c r="K121">
        <f t="shared" si="3"/>
        <v>20049</v>
      </c>
      <c r="L121" t="str">
        <f t="shared" si="2"/>
        <v>R5</v>
      </c>
    </row>
    <row r="122" spans="8:12" x14ac:dyDescent="0.25">
      <c r="H122" s="119" t="s">
        <v>796</v>
      </c>
      <c r="I122">
        <v>173</v>
      </c>
      <c r="J122">
        <v>0.65</v>
      </c>
      <c r="K122">
        <f t="shared" si="3"/>
        <v>20225</v>
      </c>
      <c r="L122" t="str">
        <f t="shared" si="2"/>
        <v>R5</v>
      </c>
    </row>
    <row r="123" spans="8:12" x14ac:dyDescent="0.25">
      <c r="H123" s="119" t="s">
        <v>795</v>
      </c>
      <c r="I123">
        <v>173</v>
      </c>
      <c r="J123">
        <v>0.65</v>
      </c>
      <c r="K123">
        <f t="shared" si="3"/>
        <v>20401</v>
      </c>
      <c r="L123" t="str">
        <f t="shared" si="2"/>
        <v>R5</v>
      </c>
    </row>
    <row r="124" spans="8:12" x14ac:dyDescent="0.25">
      <c r="H124" s="119" t="s">
        <v>753</v>
      </c>
      <c r="I124">
        <v>121</v>
      </c>
      <c r="J124">
        <v>0.65500000000000003</v>
      </c>
      <c r="K124">
        <f t="shared" si="3"/>
        <v>20577</v>
      </c>
      <c r="L124" t="str">
        <f t="shared" si="2"/>
        <v>R5</v>
      </c>
    </row>
    <row r="125" spans="8:12" x14ac:dyDescent="0.25">
      <c r="H125" s="119" t="s">
        <v>752</v>
      </c>
      <c r="I125">
        <v>111</v>
      </c>
      <c r="J125">
        <v>0.65500000000000003</v>
      </c>
      <c r="K125">
        <f t="shared" si="3"/>
        <v>20753</v>
      </c>
      <c r="L125" t="str">
        <f t="shared" si="2"/>
        <v>R5</v>
      </c>
    </row>
    <row r="126" spans="8:12" x14ac:dyDescent="0.25">
      <c r="H126" s="119" t="s">
        <v>782</v>
      </c>
      <c r="I126">
        <v>138</v>
      </c>
      <c r="J126">
        <v>0.65500000000000003</v>
      </c>
      <c r="K126">
        <f t="shared" si="3"/>
        <v>20929</v>
      </c>
      <c r="L126" t="str">
        <f t="shared" si="2"/>
        <v>R5</v>
      </c>
    </row>
    <row r="127" spans="8:12" x14ac:dyDescent="0.25">
      <c r="H127" s="119" t="s">
        <v>743</v>
      </c>
      <c r="I127">
        <v>110</v>
      </c>
      <c r="J127">
        <v>0.65500000000000003</v>
      </c>
      <c r="K127">
        <f t="shared" si="3"/>
        <v>21105</v>
      </c>
      <c r="L127" t="str">
        <f t="shared" si="2"/>
        <v>R5</v>
      </c>
    </row>
    <row r="128" spans="8:12" x14ac:dyDescent="0.25">
      <c r="H128" s="119" t="s">
        <v>1090</v>
      </c>
      <c r="I128">
        <v>161</v>
      </c>
      <c r="J128">
        <v>0.65500000000000003</v>
      </c>
      <c r="K128">
        <f t="shared" si="3"/>
        <v>21281</v>
      </c>
      <c r="L128" t="str">
        <f t="shared" si="2"/>
        <v>R5</v>
      </c>
    </row>
    <row r="129" spans="8:12" x14ac:dyDescent="0.25">
      <c r="H129" s="119" t="s">
        <v>1123</v>
      </c>
      <c r="I129">
        <v>160</v>
      </c>
      <c r="J129">
        <v>0.65500000000000014</v>
      </c>
      <c r="K129">
        <f t="shared" si="3"/>
        <v>21457</v>
      </c>
      <c r="L129" t="str">
        <f t="shared" si="2"/>
        <v>R5</v>
      </c>
    </row>
    <row r="130" spans="8:12" x14ac:dyDescent="0.25">
      <c r="H130" s="119" t="s">
        <v>1085</v>
      </c>
      <c r="I130">
        <v>160</v>
      </c>
      <c r="J130">
        <v>0.65500000000000014</v>
      </c>
      <c r="K130">
        <f t="shared" si="3"/>
        <v>21633</v>
      </c>
      <c r="L130" t="str">
        <f t="shared" si="2"/>
        <v>R6</v>
      </c>
    </row>
    <row r="131" spans="8:12" x14ac:dyDescent="0.25">
      <c r="H131" s="119" t="s">
        <v>1093</v>
      </c>
      <c r="I131">
        <v>160</v>
      </c>
      <c r="J131">
        <v>0.65500000000000014</v>
      </c>
      <c r="K131">
        <f t="shared" si="3"/>
        <v>21809</v>
      </c>
      <c r="L131" t="str">
        <f t="shared" si="2"/>
        <v>R6</v>
      </c>
    </row>
    <row r="132" spans="8:12" x14ac:dyDescent="0.25">
      <c r="H132" s="119" t="s">
        <v>1137</v>
      </c>
      <c r="I132">
        <v>160</v>
      </c>
      <c r="J132">
        <v>0.65500000000000014</v>
      </c>
      <c r="K132">
        <f t="shared" si="3"/>
        <v>21985</v>
      </c>
      <c r="L132" t="str">
        <f t="shared" si="2"/>
        <v>R6</v>
      </c>
    </row>
    <row r="133" spans="8:12" x14ac:dyDescent="0.25">
      <c r="H133" s="119" t="s">
        <v>999</v>
      </c>
      <c r="I133">
        <v>344</v>
      </c>
      <c r="J133">
        <v>0.66500000000000004</v>
      </c>
      <c r="K133">
        <f t="shared" si="3"/>
        <v>22161</v>
      </c>
      <c r="L133" t="str">
        <f t="shared" si="2"/>
        <v>R6</v>
      </c>
    </row>
    <row r="134" spans="8:12" x14ac:dyDescent="0.25">
      <c r="H134" s="119" t="s">
        <v>1000</v>
      </c>
      <c r="I134">
        <v>344</v>
      </c>
      <c r="J134">
        <v>0.66500000000000004</v>
      </c>
      <c r="K134">
        <f t="shared" si="3"/>
        <v>22337</v>
      </c>
      <c r="L134" t="str">
        <f t="shared" si="2"/>
        <v>R6</v>
      </c>
    </row>
    <row r="135" spans="8:12" x14ac:dyDescent="0.25">
      <c r="H135" s="119" t="s">
        <v>737</v>
      </c>
      <c r="I135">
        <v>110</v>
      </c>
      <c r="J135">
        <v>0.66500000000000004</v>
      </c>
      <c r="K135">
        <f t="shared" si="3"/>
        <v>22513</v>
      </c>
      <c r="L135" t="str">
        <f t="shared" si="2"/>
        <v>R6</v>
      </c>
    </row>
    <row r="136" spans="8:12" x14ac:dyDescent="0.25">
      <c r="H136" s="119" t="s">
        <v>746</v>
      </c>
      <c r="I136">
        <v>110</v>
      </c>
      <c r="J136">
        <v>0.66500000000000004</v>
      </c>
      <c r="K136">
        <f t="shared" si="3"/>
        <v>22689</v>
      </c>
      <c r="L136" t="str">
        <f t="shared" si="2"/>
        <v>R6</v>
      </c>
    </row>
    <row r="137" spans="8:12" x14ac:dyDescent="0.25">
      <c r="H137" s="119" t="s">
        <v>747</v>
      </c>
      <c r="I137">
        <v>120</v>
      </c>
      <c r="J137">
        <v>0.66500000000000004</v>
      </c>
      <c r="K137">
        <f t="shared" si="3"/>
        <v>22865</v>
      </c>
      <c r="L137" t="str">
        <f t="shared" ref="L137:L200" si="4">IF(AND(K137&gt;=0,K137&lt;=7351),"R1",IF(AND(K137&gt;=7351,K137&lt;=10378),"R2",IF(AND(K137&gt;=10378,K137&lt;=13405),"R3",IF(AND(K137&gt;=13405,K137&lt;=18161),"R4",IF(AND(K137&gt;=18161,K137&lt;=21620),"R5",IF(AND(K137&gt;=21620,K137&lt;=24647),"R6",IF(AND(K137&gt;=24647,K137&lt;=28106),"R7",IF(AND(K137&gt;=28106,K137&lt;=33295),"R8",IF(AND(K137&gt;=33295,K137&lt;=36754),"R9",IF(AND(K137&gt;=36754,K137&lt;=38052),"R10",IF(AND(K137&gt;=38052,K137&lt;=39349),"R11",IF(AND(K137&gt;=39349,K137&lt;=43300),"R12"))))))))))))</f>
        <v>R6</v>
      </c>
    </row>
    <row r="138" spans="8:12" x14ac:dyDescent="0.25">
      <c r="H138" s="119" t="s">
        <v>787</v>
      </c>
      <c r="I138">
        <v>344</v>
      </c>
      <c r="J138">
        <v>0.66500000000000004</v>
      </c>
      <c r="K138">
        <f t="shared" ref="K138:K201" si="5">K137+GETPIVOTDATA("Sum of Unit Selling Area",$H$7,"Unit Number","B1234")</f>
        <v>23041</v>
      </c>
      <c r="L138" t="str">
        <f t="shared" si="4"/>
        <v>R6</v>
      </c>
    </row>
    <row r="139" spans="8:12" x14ac:dyDescent="0.25">
      <c r="H139" s="119" t="s">
        <v>788</v>
      </c>
      <c r="I139">
        <v>344</v>
      </c>
      <c r="J139">
        <v>0.66500000000000004</v>
      </c>
      <c r="K139">
        <f t="shared" si="5"/>
        <v>23217</v>
      </c>
      <c r="L139" t="str">
        <f t="shared" si="4"/>
        <v>R6</v>
      </c>
    </row>
    <row r="140" spans="8:12" x14ac:dyDescent="0.25">
      <c r="H140" s="119" t="s">
        <v>734</v>
      </c>
      <c r="I140">
        <v>135</v>
      </c>
      <c r="J140">
        <v>0.66500000000000015</v>
      </c>
      <c r="K140">
        <f t="shared" si="5"/>
        <v>23393</v>
      </c>
      <c r="L140" t="str">
        <f t="shared" si="4"/>
        <v>R6</v>
      </c>
    </row>
    <row r="141" spans="8:12" x14ac:dyDescent="0.25">
      <c r="H141" s="119" t="s">
        <v>945</v>
      </c>
      <c r="I141">
        <v>224</v>
      </c>
      <c r="J141">
        <v>0.66900000000000015</v>
      </c>
      <c r="K141">
        <f t="shared" si="5"/>
        <v>23569</v>
      </c>
      <c r="L141" t="str">
        <f t="shared" si="4"/>
        <v>R6</v>
      </c>
    </row>
    <row r="142" spans="8:12" x14ac:dyDescent="0.25">
      <c r="H142" s="119" t="s">
        <v>1054</v>
      </c>
      <c r="I142">
        <v>153</v>
      </c>
      <c r="J142">
        <v>0.67</v>
      </c>
      <c r="K142">
        <f t="shared" si="5"/>
        <v>23745</v>
      </c>
      <c r="L142" t="str">
        <f t="shared" si="4"/>
        <v>R6</v>
      </c>
    </row>
    <row r="143" spans="8:12" x14ac:dyDescent="0.25">
      <c r="H143" s="119" t="s">
        <v>1071</v>
      </c>
      <c r="I143">
        <v>161</v>
      </c>
      <c r="J143">
        <v>0.67</v>
      </c>
      <c r="K143">
        <f t="shared" si="5"/>
        <v>23921</v>
      </c>
      <c r="L143" t="str">
        <f t="shared" si="4"/>
        <v>R6</v>
      </c>
    </row>
    <row r="144" spans="8:12" x14ac:dyDescent="0.25">
      <c r="H144" s="119" t="s">
        <v>1074</v>
      </c>
      <c r="I144">
        <v>153</v>
      </c>
      <c r="J144">
        <v>0.67</v>
      </c>
      <c r="K144">
        <f t="shared" si="5"/>
        <v>24097</v>
      </c>
      <c r="L144" t="str">
        <f t="shared" si="4"/>
        <v>R6</v>
      </c>
    </row>
    <row r="145" spans="8:12" x14ac:dyDescent="0.25">
      <c r="H145" s="119" t="s">
        <v>1132</v>
      </c>
      <c r="I145">
        <v>160</v>
      </c>
      <c r="J145">
        <v>0.67</v>
      </c>
      <c r="K145">
        <f t="shared" si="5"/>
        <v>24273</v>
      </c>
      <c r="L145" t="str">
        <f t="shared" si="4"/>
        <v>R6</v>
      </c>
    </row>
    <row r="146" spans="8:12" x14ac:dyDescent="0.25">
      <c r="H146" s="119" t="s">
        <v>1110</v>
      </c>
      <c r="I146">
        <v>152</v>
      </c>
      <c r="J146">
        <v>0.67</v>
      </c>
      <c r="K146">
        <f t="shared" si="5"/>
        <v>24449</v>
      </c>
      <c r="L146" t="str">
        <f t="shared" si="4"/>
        <v>R6</v>
      </c>
    </row>
    <row r="147" spans="8:12" x14ac:dyDescent="0.25">
      <c r="H147" s="119" t="s">
        <v>1100</v>
      </c>
      <c r="I147">
        <v>152</v>
      </c>
      <c r="J147">
        <v>0.67</v>
      </c>
      <c r="K147">
        <f t="shared" si="5"/>
        <v>24625</v>
      </c>
      <c r="L147" t="str">
        <f t="shared" si="4"/>
        <v>R6</v>
      </c>
    </row>
    <row r="148" spans="8:12" x14ac:dyDescent="0.25">
      <c r="H148" s="119" t="s">
        <v>980</v>
      </c>
      <c r="I148">
        <v>172</v>
      </c>
      <c r="J148">
        <v>0.67249999999999999</v>
      </c>
      <c r="K148">
        <f t="shared" si="5"/>
        <v>24801</v>
      </c>
      <c r="L148" t="str">
        <f t="shared" si="4"/>
        <v>R7</v>
      </c>
    </row>
    <row r="149" spans="8:12" x14ac:dyDescent="0.25">
      <c r="H149" s="119" t="s">
        <v>814</v>
      </c>
      <c r="I149">
        <v>172</v>
      </c>
      <c r="J149">
        <v>0.67249999999999999</v>
      </c>
      <c r="K149">
        <f t="shared" si="5"/>
        <v>24977</v>
      </c>
      <c r="L149" t="str">
        <f t="shared" si="4"/>
        <v>R7</v>
      </c>
    </row>
    <row r="150" spans="8:12" x14ac:dyDescent="0.25">
      <c r="H150" s="119" t="s">
        <v>779</v>
      </c>
      <c r="I150">
        <v>119</v>
      </c>
      <c r="J150">
        <v>0.67500000000000004</v>
      </c>
      <c r="K150">
        <f t="shared" si="5"/>
        <v>25153</v>
      </c>
      <c r="L150" t="str">
        <f t="shared" si="4"/>
        <v>R7</v>
      </c>
    </row>
    <row r="151" spans="8:12" x14ac:dyDescent="0.25">
      <c r="H151" s="119" t="s">
        <v>784</v>
      </c>
      <c r="I151">
        <v>110</v>
      </c>
      <c r="J151">
        <v>0.67500000000000004</v>
      </c>
      <c r="K151">
        <f t="shared" si="5"/>
        <v>25329</v>
      </c>
      <c r="L151" t="str">
        <f t="shared" si="4"/>
        <v>R7</v>
      </c>
    </row>
    <row r="152" spans="8:12" x14ac:dyDescent="0.25">
      <c r="H152" s="119" t="s">
        <v>1044</v>
      </c>
      <c r="I152">
        <v>224</v>
      </c>
      <c r="J152">
        <v>0.67500000000000004</v>
      </c>
      <c r="K152">
        <f t="shared" si="5"/>
        <v>25505</v>
      </c>
      <c r="L152" t="str">
        <f t="shared" si="4"/>
        <v>R7</v>
      </c>
    </row>
    <row r="153" spans="8:12" x14ac:dyDescent="0.25">
      <c r="H153" s="119" t="s">
        <v>780</v>
      </c>
      <c r="I153">
        <v>110</v>
      </c>
      <c r="J153">
        <v>0.67500000000000004</v>
      </c>
      <c r="K153">
        <f t="shared" si="5"/>
        <v>25681</v>
      </c>
      <c r="L153" t="str">
        <f t="shared" si="4"/>
        <v>R7</v>
      </c>
    </row>
    <row r="154" spans="8:12" x14ac:dyDescent="0.25">
      <c r="H154" s="119" t="s">
        <v>742</v>
      </c>
      <c r="I154">
        <v>136</v>
      </c>
      <c r="J154">
        <v>0.67500000000000016</v>
      </c>
      <c r="K154">
        <f t="shared" si="5"/>
        <v>25857</v>
      </c>
      <c r="L154" t="str">
        <f t="shared" si="4"/>
        <v>R7</v>
      </c>
    </row>
    <row r="155" spans="8:12" x14ac:dyDescent="0.25">
      <c r="H155" s="119" t="s">
        <v>1049</v>
      </c>
      <c r="I155">
        <v>176</v>
      </c>
      <c r="J155">
        <v>0.67749999999999999</v>
      </c>
      <c r="K155">
        <f t="shared" si="5"/>
        <v>26033</v>
      </c>
      <c r="L155" t="str">
        <f t="shared" si="4"/>
        <v>R7</v>
      </c>
    </row>
    <row r="156" spans="8:12" x14ac:dyDescent="0.25">
      <c r="H156" s="119" t="s">
        <v>846</v>
      </c>
      <c r="I156">
        <v>228</v>
      </c>
      <c r="J156">
        <v>0.67900000000000005</v>
      </c>
      <c r="K156">
        <f t="shared" si="5"/>
        <v>26209</v>
      </c>
      <c r="L156" t="str">
        <f t="shared" si="4"/>
        <v>R7</v>
      </c>
    </row>
    <row r="157" spans="8:12" x14ac:dyDescent="0.25">
      <c r="H157" s="119" t="s">
        <v>1022</v>
      </c>
      <c r="I157">
        <v>180</v>
      </c>
      <c r="J157">
        <v>0.67900000000000016</v>
      </c>
      <c r="K157">
        <f t="shared" si="5"/>
        <v>26385</v>
      </c>
      <c r="L157" t="str">
        <f t="shared" si="4"/>
        <v>R7</v>
      </c>
    </row>
    <row r="158" spans="8:12" x14ac:dyDescent="0.25">
      <c r="H158" s="119" t="s">
        <v>953</v>
      </c>
      <c r="I158">
        <v>222</v>
      </c>
      <c r="J158">
        <v>0.67900000000000016</v>
      </c>
      <c r="K158">
        <f t="shared" si="5"/>
        <v>26561</v>
      </c>
      <c r="L158" t="str">
        <f t="shared" si="4"/>
        <v>R7</v>
      </c>
    </row>
    <row r="159" spans="8:12" x14ac:dyDescent="0.25">
      <c r="H159" s="119" t="s">
        <v>1061</v>
      </c>
      <c r="I159">
        <v>155</v>
      </c>
      <c r="J159">
        <v>0.68</v>
      </c>
      <c r="K159">
        <f t="shared" si="5"/>
        <v>26737</v>
      </c>
      <c r="L159" t="str">
        <f t="shared" si="4"/>
        <v>R7</v>
      </c>
    </row>
    <row r="160" spans="8:12" x14ac:dyDescent="0.25">
      <c r="H160" s="119" t="s">
        <v>1096</v>
      </c>
      <c r="I160">
        <v>155</v>
      </c>
      <c r="J160">
        <v>0.68</v>
      </c>
      <c r="K160">
        <f t="shared" si="5"/>
        <v>26913</v>
      </c>
      <c r="L160" t="str">
        <f t="shared" si="4"/>
        <v>R7</v>
      </c>
    </row>
    <row r="161" spans="8:12" x14ac:dyDescent="0.25">
      <c r="H161" s="119" t="s">
        <v>1072</v>
      </c>
      <c r="I161">
        <v>155</v>
      </c>
      <c r="J161">
        <v>0.68</v>
      </c>
      <c r="K161">
        <f t="shared" si="5"/>
        <v>27089</v>
      </c>
      <c r="L161" t="str">
        <f t="shared" si="4"/>
        <v>R7</v>
      </c>
    </row>
    <row r="162" spans="8:12" x14ac:dyDescent="0.25">
      <c r="H162" s="119" t="s">
        <v>1010</v>
      </c>
      <c r="I162">
        <v>199</v>
      </c>
      <c r="J162">
        <v>0.68</v>
      </c>
      <c r="K162">
        <f t="shared" si="5"/>
        <v>27265</v>
      </c>
      <c r="L162" t="str">
        <f t="shared" si="4"/>
        <v>R7</v>
      </c>
    </row>
    <row r="163" spans="8:12" x14ac:dyDescent="0.25">
      <c r="H163" s="119" t="s">
        <v>1124</v>
      </c>
      <c r="I163">
        <v>155</v>
      </c>
      <c r="J163">
        <v>0.68</v>
      </c>
      <c r="K163">
        <f t="shared" si="5"/>
        <v>27441</v>
      </c>
      <c r="L163" t="str">
        <f t="shared" si="4"/>
        <v>R7</v>
      </c>
    </row>
    <row r="164" spans="8:12" x14ac:dyDescent="0.25">
      <c r="H164" s="119" t="s">
        <v>1120</v>
      </c>
      <c r="I164">
        <v>155</v>
      </c>
      <c r="J164">
        <v>0.68</v>
      </c>
      <c r="K164">
        <f t="shared" si="5"/>
        <v>27617</v>
      </c>
      <c r="L164" t="str">
        <f t="shared" si="4"/>
        <v>R7</v>
      </c>
    </row>
    <row r="165" spans="8:12" x14ac:dyDescent="0.25">
      <c r="H165" s="119" t="s">
        <v>1081</v>
      </c>
      <c r="I165">
        <v>155</v>
      </c>
      <c r="J165">
        <v>0.68</v>
      </c>
      <c r="K165">
        <f t="shared" si="5"/>
        <v>27793</v>
      </c>
      <c r="L165" t="str">
        <f t="shared" si="4"/>
        <v>R7</v>
      </c>
    </row>
    <row r="166" spans="8:12" x14ac:dyDescent="0.25">
      <c r="H166" s="119" t="s">
        <v>971</v>
      </c>
      <c r="I166">
        <v>199</v>
      </c>
      <c r="J166">
        <v>0.68</v>
      </c>
      <c r="K166">
        <f t="shared" si="5"/>
        <v>27969</v>
      </c>
      <c r="L166" t="str">
        <f t="shared" si="4"/>
        <v>R7</v>
      </c>
    </row>
    <row r="167" spans="8:12" x14ac:dyDescent="0.25">
      <c r="H167" s="119" t="s">
        <v>1107</v>
      </c>
      <c r="I167">
        <v>155</v>
      </c>
      <c r="J167">
        <v>0.68</v>
      </c>
      <c r="K167">
        <f t="shared" si="5"/>
        <v>28145</v>
      </c>
      <c r="L167" t="str">
        <f t="shared" si="4"/>
        <v>R8</v>
      </c>
    </row>
    <row r="168" spans="8:12" x14ac:dyDescent="0.25">
      <c r="H168" s="119" t="s">
        <v>986</v>
      </c>
      <c r="I168">
        <v>199</v>
      </c>
      <c r="J168">
        <v>0.68</v>
      </c>
      <c r="K168">
        <f t="shared" si="5"/>
        <v>28321</v>
      </c>
      <c r="L168" t="str">
        <f t="shared" si="4"/>
        <v>R8</v>
      </c>
    </row>
    <row r="169" spans="8:12" x14ac:dyDescent="0.25">
      <c r="H169" s="119" t="s">
        <v>1140</v>
      </c>
      <c r="I169">
        <v>155</v>
      </c>
      <c r="J169">
        <v>0.68</v>
      </c>
      <c r="K169">
        <f t="shared" si="5"/>
        <v>28497</v>
      </c>
      <c r="L169" t="str">
        <f t="shared" si="4"/>
        <v>R8</v>
      </c>
    </row>
    <row r="170" spans="8:12" x14ac:dyDescent="0.25">
      <c r="H170" s="119" t="s">
        <v>1086</v>
      </c>
      <c r="I170">
        <v>155</v>
      </c>
      <c r="J170">
        <v>0.68</v>
      </c>
      <c r="K170">
        <f t="shared" si="5"/>
        <v>28673</v>
      </c>
      <c r="L170" t="str">
        <f t="shared" si="4"/>
        <v>R8</v>
      </c>
    </row>
    <row r="171" spans="8:12" x14ac:dyDescent="0.25">
      <c r="H171" s="119" t="s">
        <v>803</v>
      </c>
      <c r="I171">
        <v>199</v>
      </c>
      <c r="J171">
        <v>0.68</v>
      </c>
      <c r="K171">
        <f t="shared" si="5"/>
        <v>28849</v>
      </c>
      <c r="L171" t="str">
        <f t="shared" si="4"/>
        <v>R8</v>
      </c>
    </row>
    <row r="172" spans="8:12" x14ac:dyDescent="0.25">
      <c r="H172" s="119" t="s">
        <v>1133</v>
      </c>
      <c r="I172">
        <v>155</v>
      </c>
      <c r="J172">
        <v>0.68</v>
      </c>
      <c r="K172">
        <f t="shared" si="5"/>
        <v>29025</v>
      </c>
      <c r="L172" t="str">
        <f t="shared" si="4"/>
        <v>R8</v>
      </c>
    </row>
    <row r="173" spans="8:12" x14ac:dyDescent="0.25">
      <c r="H173" s="119" t="s">
        <v>1052</v>
      </c>
      <c r="I173">
        <v>222</v>
      </c>
      <c r="J173">
        <v>0.68499999999999994</v>
      </c>
      <c r="K173">
        <f t="shared" si="5"/>
        <v>29201</v>
      </c>
      <c r="L173" t="str">
        <f t="shared" si="4"/>
        <v>R8</v>
      </c>
    </row>
    <row r="174" spans="8:12" x14ac:dyDescent="0.25">
      <c r="H174" s="119" t="s">
        <v>988</v>
      </c>
      <c r="I174">
        <v>180</v>
      </c>
      <c r="J174">
        <v>0.68500000000000005</v>
      </c>
      <c r="K174">
        <f t="shared" si="5"/>
        <v>29377</v>
      </c>
      <c r="L174" t="str">
        <f t="shared" si="4"/>
        <v>R8</v>
      </c>
    </row>
    <row r="175" spans="8:12" x14ac:dyDescent="0.25">
      <c r="H175" s="119" t="s">
        <v>831</v>
      </c>
      <c r="I175">
        <v>344</v>
      </c>
      <c r="J175">
        <v>0.68500000000000005</v>
      </c>
      <c r="K175">
        <f t="shared" si="5"/>
        <v>29553</v>
      </c>
      <c r="L175" t="str">
        <f t="shared" si="4"/>
        <v>R8</v>
      </c>
    </row>
    <row r="176" spans="8:12" x14ac:dyDescent="0.25">
      <c r="H176" s="119" t="s">
        <v>830</v>
      </c>
      <c r="I176">
        <v>344</v>
      </c>
      <c r="J176">
        <v>0.68500000000000005</v>
      </c>
      <c r="K176">
        <f t="shared" si="5"/>
        <v>29729</v>
      </c>
      <c r="L176" t="str">
        <f t="shared" si="4"/>
        <v>R8</v>
      </c>
    </row>
    <row r="177" spans="8:12" x14ac:dyDescent="0.25">
      <c r="H177" s="119" t="s">
        <v>736</v>
      </c>
      <c r="I177">
        <v>135</v>
      </c>
      <c r="J177">
        <v>0.68500000000000016</v>
      </c>
      <c r="K177">
        <f t="shared" si="5"/>
        <v>29905</v>
      </c>
      <c r="L177" t="str">
        <f t="shared" si="4"/>
        <v>R8</v>
      </c>
    </row>
    <row r="178" spans="8:12" x14ac:dyDescent="0.25">
      <c r="H178" s="119" t="s">
        <v>1014</v>
      </c>
      <c r="I178">
        <v>176</v>
      </c>
      <c r="J178">
        <v>0.68900000000000006</v>
      </c>
      <c r="K178">
        <f t="shared" si="5"/>
        <v>30081</v>
      </c>
      <c r="L178" t="str">
        <f t="shared" si="4"/>
        <v>R8</v>
      </c>
    </row>
    <row r="179" spans="8:12" x14ac:dyDescent="0.25">
      <c r="H179" s="119" t="s">
        <v>947</v>
      </c>
      <c r="I179">
        <v>224</v>
      </c>
      <c r="J179">
        <v>0.68900000000000017</v>
      </c>
      <c r="K179">
        <f t="shared" si="5"/>
        <v>30257</v>
      </c>
      <c r="L179" t="str">
        <f t="shared" si="4"/>
        <v>R8</v>
      </c>
    </row>
    <row r="180" spans="8:12" x14ac:dyDescent="0.25">
      <c r="H180" s="119" t="s">
        <v>1033</v>
      </c>
      <c r="I180">
        <v>173</v>
      </c>
      <c r="J180">
        <v>0.68900000000000017</v>
      </c>
      <c r="K180">
        <f t="shared" si="5"/>
        <v>30433</v>
      </c>
      <c r="L180" t="str">
        <f t="shared" si="4"/>
        <v>R8</v>
      </c>
    </row>
    <row r="181" spans="8:12" x14ac:dyDescent="0.25">
      <c r="H181" s="119" t="s">
        <v>1102</v>
      </c>
      <c r="I181">
        <v>154</v>
      </c>
      <c r="J181">
        <v>0.69000000000000006</v>
      </c>
      <c r="K181">
        <f t="shared" si="5"/>
        <v>30609</v>
      </c>
      <c r="L181" t="str">
        <f t="shared" si="4"/>
        <v>R8</v>
      </c>
    </row>
    <row r="182" spans="8:12" x14ac:dyDescent="0.25">
      <c r="H182" s="119" t="s">
        <v>1112</v>
      </c>
      <c r="I182">
        <v>154</v>
      </c>
      <c r="J182">
        <v>0.69000000000000006</v>
      </c>
      <c r="K182">
        <f t="shared" si="5"/>
        <v>30785</v>
      </c>
      <c r="L182" t="str">
        <f t="shared" si="4"/>
        <v>R8</v>
      </c>
    </row>
    <row r="183" spans="8:12" x14ac:dyDescent="0.25">
      <c r="H183" s="119" t="s">
        <v>1020</v>
      </c>
      <c r="I183">
        <v>198</v>
      </c>
      <c r="J183">
        <v>0.69000000000000006</v>
      </c>
      <c r="K183">
        <f t="shared" si="5"/>
        <v>30961</v>
      </c>
      <c r="L183" t="str">
        <f t="shared" si="4"/>
        <v>R8</v>
      </c>
    </row>
    <row r="184" spans="8:12" x14ac:dyDescent="0.25">
      <c r="H184" s="119" t="s">
        <v>996</v>
      </c>
      <c r="I184">
        <v>198</v>
      </c>
      <c r="J184">
        <v>0.69000000000000006</v>
      </c>
      <c r="K184">
        <f t="shared" si="5"/>
        <v>31137</v>
      </c>
      <c r="L184" t="str">
        <f t="shared" si="4"/>
        <v>R8</v>
      </c>
    </row>
    <row r="185" spans="8:12" x14ac:dyDescent="0.25">
      <c r="H185" s="119" t="s">
        <v>1076</v>
      </c>
      <c r="I185">
        <v>155</v>
      </c>
      <c r="J185">
        <v>0.69000000000000006</v>
      </c>
      <c r="K185">
        <f t="shared" si="5"/>
        <v>31313</v>
      </c>
      <c r="L185" t="str">
        <f t="shared" si="4"/>
        <v>R8</v>
      </c>
    </row>
    <row r="186" spans="8:12" x14ac:dyDescent="0.25">
      <c r="H186" s="119" t="s">
        <v>983</v>
      </c>
      <c r="I186">
        <v>198</v>
      </c>
      <c r="J186">
        <v>0.69000000000000006</v>
      </c>
      <c r="K186">
        <f t="shared" si="5"/>
        <v>31489</v>
      </c>
      <c r="L186" t="str">
        <f t="shared" si="4"/>
        <v>R8</v>
      </c>
    </row>
    <row r="187" spans="8:12" x14ac:dyDescent="0.25">
      <c r="H187" s="119" t="s">
        <v>1048</v>
      </c>
      <c r="I187">
        <v>204</v>
      </c>
      <c r="J187">
        <v>0.69000000000000006</v>
      </c>
      <c r="K187">
        <f t="shared" si="5"/>
        <v>31665</v>
      </c>
      <c r="L187" t="str">
        <f t="shared" si="4"/>
        <v>R8</v>
      </c>
    </row>
    <row r="188" spans="8:12" x14ac:dyDescent="0.25">
      <c r="H188" s="119" t="s">
        <v>1056</v>
      </c>
      <c r="I188">
        <v>155</v>
      </c>
      <c r="J188">
        <v>0.69000000000000006</v>
      </c>
      <c r="K188">
        <f t="shared" si="5"/>
        <v>31841</v>
      </c>
      <c r="L188" t="str">
        <f t="shared" si="4"/>
        <v>R8</v>
      </c>
    </row>
    <row r="189" spans="8:12" x14ac:dyDescent="0.25">
      <c r="H189" s="119" t="s">
        <v>817</v>
      </c>
      <c r="I189">
        <v>198</v>
      </c>
      <c r="J189">
        <v>0.69000000000000006</v>
      </c>
      <c r="K189">
        <f t="shared" si="5"/>
        <v>32017</v>
      </c>
      <c r="L189" t="str">
        <f t="shared" si="4"/>
        <v>R8</v>
      </c>
    </row>
    <row r="190" spans="8:12" x14ac:dyDescent="0.25">
      <c r="H190" s="119" t="s">
        <v>1026</v>
      </c>
      <c r="I190">
        <v>204</v>
      </c>
      <c r="J190">
        <v>0.69000000000000006</v>
      </c>
      <c r="K190">
        <f t="shared" si="5"/>
        <v>32193</v>
      </c>
      <c r="L190" t="str">
        <f t="shared" si="4"/>
        <v>R8</v>
      </c>
    </row>
    <row r="191" spans="8:12" x14ac:dyDescent="0.25">
      <c r="H191" s="119" t="s">
        <v>671</v>
      </c>
      <c r="I191">
        <v>161</v>
      </c>
      <c r="J191">
        <v>0.69499999999999995</v>
      </c>
      <c r="K191">
        <f t="shared" si="5"/>
        <v>32369</v>
      </c>
      <c r="L191" t="str">
        <f t="shared" si="4"/>
        <v>R8</v>
      </c>
    </row>
    <row r="192" spans="8:12" x14ac:dyDescent="0.25">
      <c r="H192" s="119" t="s">
        <v>861</v>
      </c>
      <c r="I192">
        <v>160</v>
      </c>
      <c r="J192">
        <v>0.69499999999999995</v>
      </c>
      <c r="K192">
        <f t="shared" si="5"/>
        <v>32545</v>
      </c>
      <c r="L192" t="str">
        <f t="shared" si="4"/>
        <v>R8</v>
      </c>
    </row>
    <row r="193" spans="8:12" x14ac:dyDescent="0.25">
      <c r="H193" s="119" t="s">
        <v>1062</v>
      </c>
      <c r="I193">
        <v>160</v>
      </c>
      <c r="J193">
        <v>0.69499999999999995</v>
      </c>
      <c r="K193">
        <f t="shared" si="5"/>
        <v>32721</v>
      </c>
      <c r="L193" t="str">
        <f t="shared" si="4"/>
        <v>R8</v>
      </c>
    </row>
    <row r="194" spans="8:12" x14ac:dyDescent="0.25">
      <c r="H194" s="119" t="s">
        <v>1080</v>
      </c>
      <c r="I194">
        <v>160</v>
      </c>
      <c r="J194">
        <v>0.69499999999999995</v>
      </c>
      <c r="K194">
        <f t="shared" si="5"/>
        <v>32897</v>
      </c>
      <c r="L194" t="str">
        <f t="shared" si="4"/>
        <v>R8</v>
      </c>
    </row>
    <row r="195" spans="8:12" x14ac:dyDescent="0.25">
      <c r="H195" s="119" t="s">
        <v>1045</v>
      </c>
      <c r="I195">
        <v>224</v>
      </c>
      <c r="J195">
        <v>0.69499999999999995</v>
      </c>
      <c r="K195">
        <f t="shared" si="5"/>
        <v>33073</v>
      </c>
      <c r="L195" t="str">
        <f t="shared" si="4"/>
        <v>R8</v>
      </c>
    </row>
    <row r="196" spans="8:12" x14ac:dyDescent="0.25">
      <c r="H196" s="119" t="s">
        <v>998</v>
      </c>
      <c r="I196">
        <v>173</v>
      </c>
      <c r="J196">
        <v>0.69499999999999995</v>
      </c>
      <c r="K196">
        <f t="shared" si="5"/>
        <v>33249</v>
      </c>
      <c r="L196" t="str">
        <f t="shared" si="4"/>
        <v>R8</v>
      </c>
    </row>
    <row r="197" spans="8:12" x14ac:dyDescent="0.25">
      <c r="H197" s="119" t="s">
        <v>1108</v>
      </c>
      <c r="I197">
        <v>161</v>
      </c>
      <c r="J197">
        <v>0.69499999999999995</v>
      </c>
      <c r="K197">
        <f t="shared" si="5"/>
        <v>33425</v>
      </c>
      <c r="L197" t="str">
        <f t="shared" si="4"/>
        <v>R9</v>
      </c>
    </row>
    <row r="198" spans="8:12" x14ac:dyDescent="0.25">
      <c r="H198" s="119" t="s">
        <v>1101</v>
      </c>
      <c r="I198">
        <v>158</v>
      </c>
      <c r="J198">
        <v>0.69500000000000006</v>
      </c>
      <c r="K198">
        <f t="shared" si="5"/>
        <v>33601</v>
      </c>
      <c r="L198" t="str">
        <f t="shared" si="4"/>
        <v>R9</v>
      </c>
    </row>
    <row r="199" spans="8:12" x14ac:dyDescent="0.25">
      <c r="H199" s="119" t="s">
        <v>1055</v>
      </c>
      <c r="I199">
        <v>158</v>
      </c>
      <c r="J199">
        <v>0.69500000000000006</v>
      </c>
      <c r="K199">
        <f t="shared" si="5"/>
        <v>33777</v>
      </c>
      <c r="L199" t="str">
        <f t="shared" si="4"/>
        <v>R9</v>
      </c>
    </row>
    <row r="200" spans="8:12" x14ac:dyDescent="0.25">
      <c r="H200" s="119" t="s">
        <v>1139</v>
      </c>
      <c r="I200">
        <v>160</v>
      </c>
      <c r="J200">
        <v>0.69500000000000006</v>
      </c>
      <c r="K200">
        <f t="shared" si="5"/>
        <v>33953</v>
      </c>
      <c r="L200" t="str">
        <f t="shared" si="4"/>
        <v>R9</v>
      </c>
    </row>
    <row r="201" spans="8:12" x14ac:dyDescent="0.25">
      <c r="H201" s="119" t="s">
        <v>785</v>
      </c>
      <c r="I201">
        <v>135</v>
      </c>
      <c r="J201">
        <v>0.69500000000000006</v>
      </c>
      <c r="K201">
        <f t="shared" si="5"/>
        <v>34129</v>
      </c>
      <c r="L201" t="str">
        <f t="shared" ref="L201:L264" si="6">IF(AND(K201&gt;=0,K201&lt;=7351),"R1",IF(AND(K201&gt;=7351,K201&lt;=10378),"R2",IF(AND(K201&gt;=10378,K201&lt;=13405),"R3",IF(AND(K201&gt;=13405,K201&lt;=18161),"R4",IF(AND(K201&gt;=18161,K201&lt;=21620),"R5",IF(AND(K201&gt;=21620,K201&lt;=24647),"R6",IF(AND(K201&gt;=24647,K201&lt;=28106),"R7",IF(AND(K201&gt;=28106,K201&lt;=33295),"R8",IF(AND(K201&gt;=33295,K201&lt;=36754),"R9",IF(AND(K201&gt;=36754,K201&lt;=38052),"R10",IF(AND(K201&gt;=38052,K201&lt;=39349),"R11",IF(AND(K201&gt;=39349,K201&lt;=43300),"R12"))))))))))))</f>
        <v>R9</v>
      </c>
    </row>
    <row r="202" spans="8:12" x14ac:dyDescent="0.25">
      <c r="H202" s="119" t="s">
        <v>853</v>
      </c>
      <c r="I202">
        <v>158</v>
      </c>
      <c r="J202">
        <v>0.69500000000000006</v>
      </c>
      <c r="K202">
        <f t="shared" ref="K202:K265" si="7">K201+GETPIVOTDATA("Sum of Unit Selling Area",$H$7,"Unit Number","B1234")</f>
        <v>34305</v>
      </c>
      <c r="L202" t="str">
        <f t="shared" si="6"/>
        <v>R9</v>
      </c>
    </row>
    <row r="203" spans="8:12" x14ac:dyDescent="0.25">
      <c r="H203" s="119" t="s">
        <v>1073</v>
      </c>
      <c r="I203">
        <v>158</v>
      </c>
      <c r="J203">
        <v>0.69500000000000006</v>
      </c>
      <c r="K203">
        <f t="shared" si="7"/>
        <v>34481</v>
      </c>
      <c r="L203" t="str">
        <f t="shared" si="6"/>
        <v>R9</v>
      </c>
    </row>
    <row r="204" spans="8:12" x14ac:dyDescent="0.25">
      <c r="H204" s="119" t="s">
        <v>665</v>
      </c>
      <c r="I204">
        <v>158</v>
      </c>
      <c r="J204">
        <v>0.69500000000000006</v>
      </c>
      <c r="K204">
        <f t="shared" si="7"/>
        <v>34657</v>
      </c>
      <c r="L204" t="str">
        <f t="shared" si="6"/>
        <v>R9</v>
      </c>
    </row>
    <row r="205" spans="8:12" x14ac:dyDescent="0.25">
      <c r="H205" s="119" t="s">
        <v>1095</v>
      </c>
      <c r="I205">
        <v>161</v>
      </c>
      <c r="J205">
        <v>0.69500000000000006</v>
      </c>
      <c r="K205">
        <f t="shared" si="7"/>
        <v>34833</v>
      </c>
      <c r="L205" t="str">
        <f t="shared" si="6"/>
        <v>R9</v>
      </c>
    </row>
    <row r="206" spans="8:12" x14ac:dyDescent="0.25">
      <c r="H206" s="119" t="s">
        <v>1087</v>
      </c>
      <c r="I206">
        <v>161</v>
      </c>
      <c r="J206">
        <v>0.69500000000000006</v>
      </c>
      <c r="K206">
        <f t="shared" si="7"/>
        <v>35009</v>
      </c>
      <c r="L206" t="str">
        <f t="shared" si="6"/>
        <v>R9</v>
      </c>
    </row>
    <row r="207" spans="8:12" x14ac:dyDescent="0.25">
      <c r="H207" s="119" t="s">
        <v>1125</v>
      </c>
      <c r="I207">
        <v>160</v>
      </c>
      <c r="J207">
        <v>0.69500000000000006</v>
      </c>
      <c r="K207">
        <f t="shared" si="7"/>
        <v>35185</v>
      </c>
      <c r="L207" t="str">
        <f t="shared" si="6"/>
        <v>R9</v>
      </c>
    </row>
    <row r="208" spans="8:12" x14ac:dyDescent="0.25">
      <c r="H208" s="119" t="s">
        <v>1025</v>
      </c>
      <c r="I208">
        <v>173</v>
      </c>
      <c r="J208">
        <v>0.69900000000000018</v>
      </c>
      <c r="K208">
        <f t="shared" si="7"/>
        <v>35361</v>
      </c>
      <c r="L208" t="str">
        <f t="shared" si="6"/>
        <v>R9</v>
      </c>
    </row>
    <row r="209" spans="8:12" x14ac:dyDescent="0.25">
      <c r="H209" s="119" t="s">
        <v>1007</v>
      </c>
      <c r="I209">
        <v>173</v>
      </c>
      <c r="J209">
        <v>0.70000000000000007</v>
      </c>
      <c r="K209">
        <f t="shared" si="7"/>
        <v>35537</v>
      </c>
      <c r="L209" t="str">
        <f t="shared" si="6"/>
        <v>R9</v>
      </c>
    </row>
    <row r="210" spans="8:12" x14ac:dyDescent="0.25">
      <c r="H210" s="119" t="s">
        <v>1038</v>
      </c>
      <c r="I210">
        <v>173</v>
      </c>
      <c r="J210">
        <v>0.70000000000000007</v>
      </c>
      <c r="K210">
        <f t="shared" si="7"/>
        <v>35713</v>
      </c>
      <c r="L210" t="str">
        <f t="shared" si="6"/>
        <v>R9</v>
      </c>
    </row>
    <row r="211" spans="8:12" x14ac:dyDescent="0.25">
      <c r="H211" s="119" t="s">
        <v>818</v>
      </c>
      <c r="I211">
        <v>199</v>
      </c>
      <c r="J211">
        <v>0.70000000000000007</v>
      </c>
      <c r="K211">
        <f t="shared" si="7"/>
        <v>35889</v>
      </c>
      <c r="L211" t="str">
        <f t="shared" si="6"/>
        <v>R9</v>
      </c>
    </row>
    <row r="212" spans="8:12" x14ac:dyDescent="0.25">
      <c r="H212" s="119" t="s">
        <v>1039</v>
      </c>
      <c r="I212">
        <v>173</v>
      </c>
      <c r="J212">
        <v>0.70000000000000007</v>
      </c>
      <c r="K212">
        <f t="shared" si="7"/>
        <v>36065</v>
      </c>
      <c r="L212" t="str">
        <f t="shared" si="6"/>
        <v>R9</v>
      </c>
    </row>
    <row r="213" spans="8:12" x14ac:dyDescent="0.25">
      <c r="H213" s="119" t="s">
        <v>1013</v>
      </c>
      <c r="I213">
        <v>198</v>
      </c>
      <c r="J213">
        <v>0.70000000000000007</v>
      </c>
      <c r="K213">
        <f t="shared" si="7"/>
        <v>36241</v>
      </c>
      <c r="L213" t="str">
        <f t="shared" si="6"/>
        <v>R9</v>
      </c>
    </row>
    <row r="214" spans="8:12" x14ac:dyDescent="0.25">
      <c r="H214" s="119" t="s">
        <v>806</v>
      </c>
      <c r="I214">
        <v>198</v>
      </c>
      <c r="J214">
        <v>0.70000000000000007</v>
      </c>
      <c r="K214">
        <f t="shared" si="7"/>
        <v>36417</v>
      </c>
      <c r="L214" t="str">
        <f t="shared" si="6"/>
        <v>R9</v>
      </c>
    </row>
    <row r="215" spans="8:12" x14ac:dyDescent="0.25">
      <c r="H215" s="119" t="s">
        <v>799</v>
      </c>
      <c r="I215">
        <v>173</v>
      </c>
      <c r="J215">
        <v>0.70000000000000007</v>
      </c>
      <c r="K215">
        <f t="shared" si="7"/>
        <v>36593</v>
      </c>
      <c r="L215" t="str">
        <f t="shared" si="6"/>
        <v>R9</v>
      </c>
    </row>
    <row r="216" spans="8:12" x14ac:dyDescent="0.25">
      <c r="H216" s="119" t="s">
        <v>842</v>
      </c>
      <c r="I216">
        <v>199</v>
      </c>
      <c r="J216">
        <v>0.70000000000000007</v>
      </c>
      <c r="K216">
        <f t="shared" si="7"/>
        <v>36769</v>
      </c>
      <c r="L216" t="str">
        <f t="shared" si="6"/>
        <v>R10</v>
      </c>
    </row>
    <row r="217" spans="8:12" x14ac:dyDescent="0.25">
      <c r="H217" s="119" t="s">
        <v>1008</v>
      </c>
      <c r="I217">
        <v>173</v>
      </c>
      <c r="J217">
        <v>0.70000000000000007</v>
      </c>
      <c r="K217">
        <f t="shared" si="7"/>
        <v>36945</v>
      </c>
      <c r="L217" t="str">
        <f t="shared" si="6"/>
        <v>R10</v>
      </c>
    </row>
    <row r="218" spans="8:12" x14ac:dyDescent="0.25">
      <c r="H218" s="119" t="s">
        <v>798</v>
      </c>
      <c r="I218">
        <v>173</v>
      </c>
      <c r="J218">
        <v>0.70000000000000007</v>
      </c>
      <c r="K218">
        <f t="shared" si="7"/>
        <v>37121</v>
      </c>
      <c r="L218" t="str">
        <f t="shared" si="6"/>
        <v>R10</v>
      </c>
    </row>
    <row r="219" spans="8:12" x14ac:dyDescent="0.25">
      <c r="H219" s="119" t="s">
        <v>974</v>
      </c>
      <c r="I219">
        <v>198</v>
      </c>
      <c r="J219">
        <v>0.70000000000000007</v>
      </c>
      <c r="K219">
        <f t="shared" si="7"/>
        <v>37297</v>
      </c>
      <c r="L219" t="str">
        <f t="shared" si="6"/>
        <v>R10</v>
      </c>
    </row>
    <row r="220" spans="8:12" x14ac:dyDescent="0.25">
      <c r="H220" s="119" t="s">
        <v>989</v>
      </c>
      <c r="I220">
        <v>198</v>
      </c>
      <c r="J220">
        <v>0.70000000000000007</v>
      </c>
      <c r="K220">
        <f t="shared" si="7"/>
        <v>37473</v>
      </c>
      <c r="L220" t="str">
        <f t="shared" si="6"/>
        <v>R10</v>
      </c>
    </row>
    <row r="221" spans="8:12" x14ac:dyDescent="0.25">
      <c r="H221" s="119" t="s">
        <v>1057</v>
      </c>
      <c r="I221">
        <v>160</v>
      </c>
      <c r="J221">
        <v>0.70499999999999996</v>
      </c>
      <c r="K221">
        <f t="shared" si="7"/>
        <v>37649</v>
      </c>
      <c r="L221" t="str">
        <f t="shared" si="6"/>
        <v>R10</v>
      </c>
    </row>
    <row r="222" spans="8:12" x14ac:dyDescent="0.25">
      <c r="H222" s="119" t="s">
        <v>1103</v>
      </c>
      <c r="I222">
        <v>160</v>
      </c>
      <c r="J222">
        <v>0.70499999999999996</v>
      </c>
      <c r="K222">
        <f t="shared" si="7"/>
        <v>37825</v>
      </c>
      <c r="L222" t="str">
        <f t="shared" si="6"/>
        <v>R10</v>
      </c>
    </row>
    <row r="223" spans="8:12" x14ac:dyDescent="0.25">
      <c r="H223" s="119" t="s">
        <v>667</v>
      </c>
      <c r="I223">
        <v>160</v>
      </c>
      <c r="J223">
        <v>0.70499999999999996</v>
      </c>
      <c r="K223">
        <f t="shared" si="7"/>
        <v>38001</v>
      </c>
      <c r="L223" t="str">
        <f t="shared" si="6"/>
        <v>R10</v>
      </c>
    </row>
    <row r="224" spans="8:12" x14ac:dyDescent="0.25">
      <c r="H224" s="119" t="s">
        <v>991</v>
      </c>
      <c r="I224">
        <v>173</v>
      </c>
      <c r="J224">
        <v>0.70499999999999996</v>
      </c>
      <c r="K224">
        <f t="shared" si="7"/>
        <v>38177</v>
      </c>
      <c r="L224" t="str">
        <f t="shared" si="6"/>
        <v>R11</v>
      </c>
    </row>
    <row r="225" spans="8:12" x14ac:dyDescent="0.25">
      <c r="H225" s="119" t="s">
        <v>855</v>
      </c>
      <c r="I225">
        <v>160</v>
      </c>
      <c r="J225">
        <v>0.70499999999999996</v>
      </c>
      <c r="K225">
        <f t="shared" si="7"/>
        <v>38353</v>
      </c>
      <c r="L225" t="str">
        <f t="shared" si="6"/>
        <v>R11</v>
      </c>
    </row>
    <row r="226" spans="8:12" x14ac:dyDescent="0.25">
      <c r="H226" s="119" t="s">
        <v>1075</v>
      </c>
      <c r="I226">
        <v>160</v>
      </c>
      <c r="J226">
        <v>0.70499999999999996</v>
      </c>
      <c r="K226">
        <f t="shared" si="7"/>
        <v>38529</v>
      </c>
      <c r="L226" t="str">
        <f t="shared" si="6"/>
        <v>R11</v>
      </c>
    </row>
    <row r="227" spans="8:12" x14ac:dyDescent="0.25">
      <c r="H227" s="119" t="s">
        <v>972</v>
      </c>
      <c r="I227">
        <v>224</v>
      </c>
      <c r="J227">
        <v>0.70500000000000007</v>
      </c>
      <c r="K227">
        <f t="shared" si="7"/>
        <v>38705</v>
      </c>
      <c r="L227" t="str">
        <f t="shared" si="6"/>
        <v>R11</v>
      </c>
    </row>
    <row r="228" spans="8:12" x14ac:dyDescent="0.25">
      <c r="H228" s="119" t="s">
        <v>748</v>
      </c>
      <c r="I228">
        <v>112</v>
      </c>
      <c r="J228">
        <v>0.70500000000000007</v>
      </c>
      <c r="K228">
        <f t="shared" si="7"/>
        <v>38881</v>
      </c>
      <c r="L228" t="str">
        <f t="shared" si="6"/>
        <v>R11</v>
      </c>
    </row>
    <row r="229" spans="8:12" x14ac:dyDescent="0.25">
      <c r="H229" s="119" t="s">
        <v>973</v>
      </c>
      <c r="I229">
        <v>180</v>
      </c>
      <c r="J229">
        <v>0.70500000000000007</v>
      </c>
      <c r="K229">
        <f t="shared" si="7"/>
        <v>39057</v>
      </c>
      <c r="L229" t="str">
        <f t="shared" si="6"/>
        <v>R11</v>
      </c>
    </row>
    <row r="230" spans="8:12" x14ac:dyDescent="0.25">
      <c r="H230" s="119" t="s">
        <v>739</v>
      </c>
      <c r="I230">
        <v>112</v>
      </c>
      <c r="J230">
        <v>0.70500000000000007</v>
      </c>
      <c r="K230">
        <f t="shared" si="7"/>
        <v>39233</v>
      </c>
      <c r="L230" t="str">
        <f t="shared" si="6"/>
        <v>R11</v>
      </c>
    </row>
    <row r="231" spans="8:12" x14ac:dyDescent="0.25">
      <c r="H231" s="119" t="s">
        <v>749</v>
      </c>
      <c r="I231">
        <v>122</v>
      </c>
      <c r="J231">
        <v>0.70500000000000007</v>
      </c>
      <c r="K231">
        <f t="shared" si="7"/>
        <v>39409</v>
      </c>
      <c r="L231" t="str">
        <f t="shared" si="6"/>
        <v>R12</v>
      </c>
    </row>
    <row r="232" spans="8:12" x14ac:dyDescent="0.25">
      <c r="H232" s="119" t="s">
        <v>802</v>
      </c>
      <c r="I232">
        <v>224</v>
      </c>
      <c r="J232">
        <v>0.70500000000000007</v>
      </c>
      <c r="K232">
        <f t="shared" si="7"/>
        <v>39585</v>
      </c>
      <c r="L232" t="str">
        <f t="shared" si="6"/>
        <v>R12</v>
      </c>
    </row>
    <row r="233" spans="8:12" x14ac:dyDescent="0.25">
      <c r="H233" s="119" t="s">
        <v>801</v>
      </c>
      <c r="I233">
        <v>176</v>
      </c>
      <c r="J233">
        <v>0.70500000000000007</v>
      </c>
      <c r="K233">
        <f t="shared" si="7"/>
        <v>39761</v>
      </c>
      <c r="L233" t="str">
        <f t="shared" si="6"/>
        <v>R12</v>
      </c>
    </row>
    <row r="234" spans="8:12" x14ac:dyDescent="0.25">
      <c r="H234" s="119" t="s">
        <v>828</v>
      </c>
      <c r="I234">
        <v>198</v>
      </c>
      <c r="J234">
        <v>0.71000000000000008</v>
      </c>
      <c r="K234">
        <f t="shared" si="7"/>
        <v>39937</v>
      </c>
      <c r="L234" t="str">
        <f t="shared" si="6"/>
        <v>R12</v>
      </c>
    </row>
    <row r="235" spans="8:12" x14ac:dyDescent="0.25">
      <c r="H235" s="119" t="s">
        <v>852</v>
      </c>
      <c r="I235">
        <v>198</v>
      </c>
      <c r="J235">
        <v>0.71000000000000008</v>
      </c>
      <c r="K235">
        <f t="shared" si="7"/>
        <v>40113</v>
      </c>
      <c r="L235" t="str">
        <f t="shared" si="6"/>
        <v>R12</v>
      </c>
    </row>
    <row r="236" spans="8:12" x14ac:dyDescent="0.25">
      <c r="H236" s="119" t="s">
        <v>1134</v>
      </c>
      <c r="I236">
        <v>160</v>
      </c>
      <c r="J236">
        <v>0.71000000000000008</v>
      </c>
      <c r="K236">
        <f t="shared" si="7"/>
        <v>40289</v>
      </c>
      <c r="L236" t="str">
        <f t="shared" si="6"/>
        <v>R12</v>
      </c>
    </row>
    <row r="237" spans="8:12" x14ac:dyDescent="0.25">
      <c r="H237" s="119" t="s">
        <v>815</v>
      </c>
      <c r="I237">
        <v>173</v>
      </c>
      <c r="J237">
        <v>0.71499999999999997</v>
      </c>
      <c r="K237">
        <f t="shared" si="7"/>
        <v>40465</v>
      </c>
      <c r="L237" t="str">
        <f t="shared" si="6"/>
        <v>R12</v>
      </c>
    </row>
    <row r="238" spans="8:12" x14ac:dyDescent="0.25">
      <c r="H238" s="119" t="s">
        <v>984</v>
      </c>
      <c r="I238">
        <v>222</v>
      </c>
      <c r="J238">
        <v>0.71499999999999997</v>
      </c>
      <c r="K238">
        <f t="shared" si="7"/>
        <v>40641</v>
      </c>
      <c r="L238" t="str">
        <f t="shared" si="6"/>
        <v>R12</v>
      </c>
    </row>
    <row r="239" spans="8:12" x14ac:dyDescent="0.25">
      <c r="H239" s="119" t="s">
        <v>816</v>
      </c>
      <c r="I239">
        <v>222</v>
      </c>
      <c r="J239">
        <v>0.71499999999999997</v>
      </c>
      <c r="K239">
        <f t="shared" si="7"/>
        <v>40817</v>
      </c>
      <c r="L239" t="str">
        <f t="shared" si="6"/>
        <v>R12</v>
      </c>
    </row>
    <row r="240" spans="8:12" x14ac:dyDescent="0.25">
      <c r="H240" s="119" t="s">
        <v>985</v>
      </c>
      <c r="I240">
        <v>173</v>
      </c>
      <c r="J240">
        <v>0.71499999999999997</v>
      </c>
      <c r="K240">
        <f t="shared" si="7"/>
        <v>40993</v>
      </c>
      <c r="L240" t="str">
        <f t="shared" si="6"/>
        <v>R12</v>
      </c>
    </row>
    <row r="241" spans="8:12" x14ac:dyDescent="0.25">
      <c r="H241" s="119" t="s">
        <v>850</v>
      </c>
      <c r="I241">
        <v>228</v>
      </c>
      <c r="J241">
        <v>0.71900000000000008</v>
      </c>
      <c r="K241">
        <f t="shared" si="7"/>
        <v>41169</v>
      </c>
      <c r="L241" t="str">
        <f t="shared" si="6"/>
        <v>R12</v>
      </c>
    </row>
    <row r="242" spans="8:12" x14ac:dyDescent="0.25">
      <c r="H242" s="119" t="s">
        <v>1067</v>
      </c>
      <c r="I242">
        <v>160</v>
      </c>
      <c r="J242">
        <v>0.72</v>
      </c>
      <c r="K242">
        <f t="shared" si="7"/>
        <v>41345</v>
      </c>
      <c r="L242" t="str">
        <f t="shared" si="6"/>
        <v>R12</v>
      </c>
    </row>
    <row r="243" spans="8:12" x14ac:dyDescent="0.25">
      <c r="H243" s="119" t="s">
        <v>844</v>
      </c>
      <c r="I243">
        <v>198</v>
      </c>
      <c r="J243">
        <v>0.72000000000000008</v>
      </c>
      <c r="K243">
        <f t="shared" si="7"/>
        <v>41521</v>
      </c>
      <c r="L243" t="str">
        <f t="shared" si="6"/>
        <v>R12</v>
      </c>
    </row>
    <row r="244" spans="8:12" x14ac:dyDescent="0.25">
      <c r="H244" s="119" t="s">
        <v>1135</v>
      </c>
      <c r="I244">
        <v>155</v>
      </c>
      <c r="J244">
        <v>0.72000000000000008</v>
      </c>
      <c r="K244">
        <f t="shared" si="7"/>
        <v>41697</v>
      </c>
      <c r="L244" t="str">
        <f t="shared" si="6"/>
        <v>R12</v>
      </c>
    </row>
    <row r="245" spans="8:12" x14ac:dyDescent="0.25">
      <c r="H245" s="119" t="s">
        <v>840</v>
      </c>
      <c r="I245">
        <v>173</v>
      </c>
      <c r="J245">
        <v>0.72000000000000008</v>
      </c>
      <c r="K245">
        <f t="shared" si="7"/>
        <v>41873</v>
      </c>
      <c r="L245" t="str">
        <f t="shared" si="6"/>
        <v>R12</v>
      </c>
    </row>
    <row r="246" spans="8:12" x14ac:dyDescent="0.25">
      <c r="H246" s="119" t="s">
        <v>841</v>
      </c>
      <c r="I246">
        <v>173</v>
      </c>
      <c r="J246">
        <v>0.72000000000000008</v>
      </c>
      <c r="K246">
        <f t="shared" si="7"/>
        <v>42049</v>
      </c>
      <c r="L246" t="str">
        <f t="shared" si="6"/>
        <v>R12</v>
      </c>
    </row>
    <row r="247" spans="8:12" x14ac:dyDescent="0.25">
      <c r="H247" s="119" t="s">
        <v>1088</v>
      </c>
      <c r="I247">
        <v>155</v>
      </c>
      <c r="J247">
        <v>0.72000000000000008</v>
      </c>
      <c r="K247">
        <f t="shared" si="7"/>
        <v>42225</v>
      </c>
      <c r="L247" t="str">
        <f t="shared" si="6"/>
        <v>R12</v>
      </c>
    </row>
    <row r="248" spans="8:12" x14ac:dyDescent="0.25">
      <c r="H248" s="119" t="s">
        <v>1098</v>
      </c>
      <c r="I248">
        <v>155</v>
      </c>
      <c r="J248">
        <v>0.72000000000000008</v>
      </c>
      <c r="K248">
        <f t="shared" si="7"/>
        <v>42401</v>
      </c>
      <c r="L248" t="str">
        <f t="shared" si="6"/>
        <v>R12</v>
      </c>
    </row>
    <row r="249" spans="8:12" x14ac:dyDescent="0.25">
      <c r="H249" s="119" t="s">
        <v>1126</v>
      </c>
      <c r="I249">
        <v>155</v>
      </c>
      <c r="J249">
        <v>0.72000000000000008</v>
      </c>
      <c r="K249">
        <f t="shared" si="7"/>
        <v>42577</v>
      </c>
      <c r="L249" t="str">
        <f t="shared" si="6"/>
        <v>R12</v>
      </c>
    </row>
    <row r="250" spans="8:12" x14ac:dyDescent="0.25">
      <c r="H250" s="119" t="s">
        <v>820</v>
      </c>
      <c r="I250">
        <v>198</v>
      </c>
      <c r="J250">
        <v>0.72000000000000008</v>
      </c>
      <c r="K250">
        <f t="shared" si="7"/>
        <v>42753</v>
      </c>
      <c r="L250" t="str">
        <f t="shared" si="6"/>
        <v>R12</v>
      </c>
    </row>
    <row r="251" spans="8:12" x14ac:dyDescent="0.25">
      <c r="H251" s="119" t="s">
        <v>1143</v>
      </c>
      <c r="I251">
        <v>155</v>
      </c>
      <c r="J251">
        <v>0.72000000000000008</v>
      </c>
      <c r="K251">
        <f t="shared" si="7"/>
        <v>42929</v>
      </c>
      <c r="L251" t="str">
        <f t="shared" si="6"/>
        <v>R12</v>
      </c>
    </row>
    <row r="252" spans="8:12" x14ac:dyDescent="0.25">
      <c r="H252" s="119" t="s">
        <v>976</v>
      </c>
      <c r="I252">
        <v>173</v>
      </c>
      <c r="J252">
        <v>0.72499999999999998</v>
      </c>
      <c r="K252">
        <f t="shared" si="7"/>
        <v>43105</v>
      </c>
      <c r="L252" t="str">
        <f t="shared" si="6"/>
        <v>R12</v>
      </c>
    </row>
    <row r="253" spans="8:12" x14ac:dyDescent="0.25">
      <c r="H253" s="119" t="s">
        <v>975</v>
      </c>
      <c r="I253">
        <v>224</v>
      </c>
      <c r="J253">
        <v>0.72499999999999998</v>
      </c>
      <c r="K253">
        <f t="shared" si="7"/>
        <v>43281</v>
      </c>
      <c r="L253" t="str">
        <f t="shared" si="6"/>
        <v>R12</v>
      </c>
    </row>
    <row r="254" spans="8:12" x14ac:dyDescent="0.25">
      <c r="H254" s="119" t="s">
        <v>805</v>
      </c>
      <c r="I254">
        <v>224</v>
      </c>
      <c r="J254">
        <v>0.72499999999999998</v>
      </c>
      <c r="K254">
        <f t="shared" si="7"/>
        <v>43457</v>
      </c>
      <c r="L254" t="b">
        <f t="shared" si="6"/>
        <v>0</v>
      </c>
    </row>
    <row r="255" spans="8:12" x14ac:dyDescent="0.25">
      <c r="H255" s="119" t="s">
        <v>804</v>
      </c>
      <c r="I255">
        <v>173</v>
      </c>
      <c r="J255">
        <v>0.72499999999999998</v>
      </c>
      <c r="K255">
        <f t="shared" si="7"/>
        <v>43633</v>
      </c>
      <c r="L255" t="b">
        <f t="shared" si="6"/>
        <v>0</v>
      </c>
    </row>
    <row r="256" spans="8:12" x14ac:dyDescent="0.25">
      <c r="H256" s="119" t="s">
        <v>738</v>
      </c>
      <c r="I256">
        <v>138</v>
      </c>
      <c r="J256">
        <v>0.72500000000000009</v>
      </c>
      <c r="K256">
        <f t="shared" si="7"/>
        <v>43809</v>
      </c>
      <c r="L256" t="b">
        <f t="shared" si="6"/>
        <v>0</v>
      </c>
    </row>
    <row r="257" spans="8:12" x14ac:dyDescent="0.25">
      <c r="H257" s="119" t="s">
        <v>1021</v>
      </c>
      <c r="I257">
        <v>224</v>
      </c>
      <c r="J257">
        <v>0.72500000000000009</v>
      </c>
      <c r="K257">
        <f t="shared" si="7"/>
        <v>43985</v>
      </c>
      <c r="L257" t="b">
        <f t="shared" si="6"/>
        <v>0</v>
      </c>
    </row>
    <row r="258" spans="8:12" x14ac:dyDescent="0.25">
      <c r="H258" s="119" t="s">
        <v>819</v>
      </c>
      <c r="I258">
        <v>224</v>
      </c>
      <c r="J258">
        <v>0.72500000000000009</v>
      </c>
      <c r="K258">
        <f t="shared" si="7"/>
        <v>44161</v>
      </c>
      <c r="L258" t="b">
        <f t="shared" si="6"/>
        <v>0</v>
      </c>
    </row>
    <row r="259" spans="8:12" x14ac:dyDescent="0.25">
      <c r="H259" s="119" t="s">
        <v>1017</v>
      </c>
      <c r="I259">
        <v>176</v>
      </c>
      <c r="J259">
        <v>0.72900000000000009</v>
      </c>
      <c r="K259">
        <f t="shared" si="7"/>
        <v>44337</v>
      </c>
      <c r="L259" t="b">
        <f t="shared" si="6"/>
        <v>0</v>
      </c>
    </row>
    <row r="260" spans="8:12" x14ac:dyDescent="0.25">
      <c r="H260" s="119" t="s">
        <v>949</v>
      </c>
      <c r="I260">
        <v>228</v>
      </c>
      <c r="J260">
        <v>0.72900000000000009</v>
      </c>
      <c r="K260">
        <f t="shared" si="7"/>
        <v>44513</v>
      </c>
      <c r="L260" t="b">
        <f t="shared" si="6"/>
        <v>0</v>
      </c>
    </row>
    <row r="261" spans="8:12" x14ac:dyDescent="0.25">
      <c r="H261" s="119" t="s">
        <v>709</v>
      </c>
      <c r="I261">
        <v>43091</v>
      </c>
      <c r="J261">
        <v>163.59050000000005</v>
      </c>
      <c r="K261">
        <f t="shared" si="7"/>
        <v>44689</v>
      </c>
      <c r="L261" t="b">
        <f t="shared" si="6"/>
        <v>0</v>
      </c>
    </row>
    <row r="262" spans="8:12" x14ac:dyDescent="0.25">
      <c r="K262">
        <f t="shared" si="7"/>
        <v>44865</v>
      </c>
      <c r="L262" t="b">
        <f t="shared" si="6"/>
        <v>0</v>
      </c>
    </row>
    <row r="263" spans="8:12" x14ac:dyDescent="0.25">
      <c r="K263">
        <f t="shared" si="7"/>
        <v>45041</v>
      </c>
      <c r="L263" t="b">
        <f t="shared" si="6"/>
        <v>0</v>
      </c>
    </row>
    <row r="264" spans="8:12" x14ac:dyDescent="0.25">
      <c r="K264">
        <f t="shared" si="7"/>
        <v>45217</v>
      </c>
      <c r="L264" t="b">
        <f t="shared" si="6"/>
        <v>0</v>
      </c>
    </row>
    <row r="265" spans="8:12" x14ac:dyDescent="0.25">
      <c r="K265">
        <f t="shared" si="7"/>
        <v>45393</v>
      </c>
      <c r="L265" t="b">
        <f t="shared" ref="L265:L276" si="8">IF(AND(K265&gt;=0,K265&lt;=7351),"R1",IF(AND(K265&gt;=7351,K265&lt;=10378),"R2",IF(AND(K265&gt;=10378,K265&lt;=13405),"R3",IF(AND(K265&gt;=13405,K265&lt;=18161),"R4",IF(AND(K265&gt;=18161,K265&lt;=21620),"R5",IF(AND(K265&gt;=21620,K265&lt;=24647),"R6",IF(AND(K265&gt;=24647,K265&lt;=28106),"R7",IF(AND(K265&gt;=28106,K265&lt;=33295),"R8",IF(AND(K265&gt;=33295,K265&lt;=36754),"R9",IF(AND(K265&gt;=36754,K265&lt;=38052),"R10",IF(AND(K265&gt;=38052,K265&lt;=39349),"R11",IF(AND(K265&gt;=39349,K265&lt;=43300),"R12"))))))))))))</f>
        <v>0</v>
      </c>
    </row>
    <row r="266" spans="8:12" x14ac:dyDescent="0.25">
      <c r="K266">
        <f t="shared" ref="K266:K273" si="9">K265+GETPIVOTDATA("Sum of Unit Selling Area",$H$7,"Unit Number","B1234")</f>
        <v>45569</v>
      </c>
      <c r="L266" t="b">
        <f t="shared" si="8"/>
        <v>0</v>
      </c>
    </row>
    <row r="267" spans="8:12" x14ac:dyDescent="0.25">
      <c r="K267">
        <f t="shared" si="9"/>
        <v>45745</v>
      </c>
      <c r="L267" t="b">
        <f t="shared" si="8"/>
        <v>0</v>
      </c>
    </row>
    <row r="268" spans="8:12" x14ac:dyDescent="0.25">
      <c r="K268">
        <f t="shared" si="9"/>
        <v>45921</v>
      </c>
      <c r="L268" t="b">
        <f t="shared" si="8"/>
        <v>0</v>
      </c>
    </row>
    <row r="269" spans="8:12" x14ac:dyDescent="0.25">
      <c r="K269">
        <f t="shared" si="9"/>
        <v>46097</v>
      </c>
      <c r="L269" t="b">
        <f t="shared" si="8"/>
        <v>0</v>
      </c>
    </row>
    <row r="270" spans="8:12" x14ac:dyDescent="0.25">
      <c r="K270">
        <f t="shared" si="9"/>
        <v>46273</v>
      </c>
      <c r="L270" t="b">
        <f t="shared" si="8"/>
        <v>0</v>
      </c>
    </row>
    <row r="271" spans="8:12" x14ac:dyDescent="0.25">
      <c r="K271">
        <f>K270+GETPIVOTDATA("Sum of Unit Selling Area",$H$7,"Unit Number","B1234")</f>
        <v>46449</v>
      </c>
      <c r="L271" t="b">
        <f t="shared" si="8"/>
        <v>0</v>
      </c>
    </row>
    <row r="272" spans="8:12" x14ac:dyDescent="0.25">
      <c r="K272">
        <f t="shared" si="9"/>
        <v>46625</v>
      </c>
      <c r="L272" t="b">
        <f t="shared" si="8"/>
        <v>0</v>
      </c>
    </row>
    <row r="273" spans="8:12" x14ac:dyDescent="0.25">
      <c r="K273">
        <f t="shared" si="9"/>
        <v>46801</v>
      </c>
      <c r="L273" t="b">
        <f t="shared" si="8"/>
        <v>0</v>
      </c>
    </row>
    <row r="274" spans="8:12" x14ac:dyDescent="0.25">
      <c r="L274" t="str">
        <f t="shared" si="8"/>
        <v>R1</v>
      </c>
    </row>
    <row r="275" spans="8:12" x14ac:dyDescent="0.25">
      <c r="L275" t="str">
        <f t="shared" si="8"/>
        <v>R1</v>
      </c>
    </row>
    <row r="276" spans="8:12" x14ac:dyDescent="0.25">
      <c r="L276" t="str">
        <f t="shared" si="8"/>
        <v>R1</v>
      </c>
    </row>
    <row r="277" spans="8:12" x14ac:dyDescent="0.25">
      <c r="H277" t="s">
        <v>859</v>
      </c>
      <c r="I277">
        <v>160.89359999999999</v>
      </c>
      <c r="J277">
        <v>0.505</v>
      </c>
      <c r="K277">
        <f>I277</f>
        <v>160.89359999999999</v>
      </c>
      <c r="L277" t="str">
        <f>IF(AND(K277&gt;=0,K277&lt;=7351),"R 1",IF(AND(K277&gt;=7351,K277&lt;=10378),"R 2",IF(AND(K277&gt;=10378,K277&lt;=13405),"R 3",IF(AND(K277&gt;=13405,K277&lt;=18161),"R 4",IF(AND(K277&gt;=18161,K277&lt;=21620),"R 5",IF(AND(K277&gt;=21620,K277&lt;=24647),"R 6",IF(AND(K277&gt;=24647,K277&lt;=28106),"R 7",IF(AND(K277&gt;=28106,K277&lt;=33295),"R 8",IF(AND(K277&gt;=33295,K277&lt;=36754),"R 9",IF(AND(K277&gt;=36754,K277&lt;=38052),"R 10",IF(AND(K277&gt;=38052,K277&lt;=39349),"R 11",IF(AND(K277&gt;=39349,K277&lt;=43300),"R 12"))))))))))))</f>
        <v>R 1</v>
      </c>
    </row>
    <row r="278" spans="8:12" x14ac:dyDescent="0.25">
      <c r="H278" t="s">
        <v>1128</v>
      </c>
      <c r="I278">
        <v>160.89359999999999</v>
      </c>
      <c r="J278">
        <v>0.505</v>
      </c>
      <c r="K278">
        <f>K277+I278</f>
        <v>321.78719999999998</v>
      </c>
      <c r="L278" t="str">
        <f t="shared" ref="L278:L341" si="10">IF(AND(K278&gt;=0,K278&lt;=7351),"R 1",IF(AND(K278&gt;=7351,K278&lt;=10378),"R 2",IF(AND(K278&gt;=10378,K278&lt;=13405),"R 3",IF(AND(K278&gt;=13405,K278&lt;=18161),"R 4",IF(AND(K278&gt;=18161,K278&lt;=21620),"R 5",IF(AND(K278&gt;=21620,K278&lt;=24647),"R 6",IF(AND(K278&gt;=24647,K278&lt;=28106),"R 7",IF(AND(K278&gt;=28106,K278&lt;=33295),"R 8",IF(AND(K278&gt;=33295,K278&lt;=36754),"R 9",IF(AND(K278&gt;=36754,K278&lt;=38052),"R 10",IF(AND(K278&gt;=38052,K278&lt;=39349),"R 11",IF(AND(K278&gt;=39349,K278&lt;=43300),"R 12"))))))))))))</f>
        <v>R 1</v>
      </c>
    </row>
    <row r="279" spans="8:12" x14ac:dyDescent="0.25">
      <c r="H279" t="s">
        <v>876</v>
      </c>
      <c r="I279">
        <v>160.89359999999999</v>
      </c>
      <c r="J279">
        <v>0.505</v>
      </c>
      <c r="K279">
        <f t="shared" ref="K279:K342" si="11">K278+I279</f>
        <v>482.68079999999998</v>
      </c>
      <c r="L279" t="str">
        <f t="shared" si="10"/>
        <v>R 1</v>
      </c>
    </row>
    <row r="280" spans="8:12" x14ac:dyDescent="0.25">
      <c r="H280" t="s">
        <v>758</v>
      </c>
      <c r="I280">
        <v>120.25539999999999</v>
      </c>
      <c r="J280">
        <v>0.505</v>
      </c>
      <c r="K280">
        <f t="shared" si="11"/>
        <v>602.93619999999999</v>
      </c>
      <c r="L280" t="str">
        <f t="shared" si="10"/>
        <v>R 1</v>
      </c>
    </row>
    <row r="281" spans="8:12" x14ac:dyDescent="0.25">
      <c r="H281" t="s">
        <v>888</v>
      </c>
      <c r="I281">
        <v>175.93620000000001</v>
      </c>
      <c r="J281">
        <v>0.505</v>
      </c>
      <c r="K281">
        <f t="shared" si="11"/>
        <v>778.87239999999997</v>
      </c>
      <c r="L281" t="str">
        <f t="shared" si="10"/>
        <v>R 1</v>
      </c>
    </row>
    <row r="282" spans="8:12" x14ac:dyDescent="0.25">
      <c r="H282" t="s">
        <v>849</v>
      </c>
      <c r="I282">
        <v>175.55311999999998</v>
      </c>
      <c r="J282">
        <v>0.505</v>
      </c>
      <c r="K282">
        <f t="shared" si="11"/>
        <v>954.42552000000001</v>
      </c>
      <c r="L282" t="str">
        <f t="shared" si="10"/>
        <v>R 1</v>
      </c>
    </row>
    <row r="283" spans="8:12" x14ac:dyDescent="0.25">
      <c r="H283" t="s">
        <v>890</v>
      </c>
      <c r="I283">
        <v>175.93620000000001</v>
      </c>
      <c r="J283">
        <v>0.505</v>
      </c>
      <c r="K283">
        <f t="shared" si="11"/>
        <v>1130.3617200000001</v>
      </c>
      <c r="L283" t="str">
        <f t="shared" si="10"/>
        <v>R 1</v>
      </c>
    </row>
    <row r="284" spans="8:12" x14ac:dyDescent="0.25">
      <c r="H284" t="s">
        <v>827</v>
      </c>
      <c r="I284">
        <v>175.57141999999999</v>
      </c>
      <c r="J284">
        <v>0.505</v>
      </c>
      <c r="K284">
        <f t="shared" si="11"/>
        <v>1305.9331400000001</v>
      </c>
      <c r="L284" t="str">
        <f t="shared" si="10"/>
        <v>R 1</v>
      </c>
    </row>
    <row r="285" spans="8:12" x14ac:dyDescent="0.25">
      <c r="H285" t="s">
        <v>1141</v>
      </c>
      <c r="I285">
        <v>160.89359999999999</v>
      </c>
      <c r="J285">
        <v>0.505</v>
      </c>
      <c r="K285">
        <f t="shared" si="11"/>
        <v>1466.82674</v>
      </c>
      <c r="L285" t="str">
        <f t="shared" si="10"/>
        <v>R 1</v>
      </c>
    </row>
    <row r="286" spans="8:12" x14ac:dyDescent="0.25">
      <c r="H286" t="s">
        <v>756</v>
      </c>
      <c r="I286">
        <v>110.91019999999999</v>
      </c>
      <c r="J286">
        <v>0.505</v>
      </c>
      <c r="K286">
        <f t="shared" si="11"/>
        <v>1577.73694</v>
      </c>
      <c r="L286" t="str">
        <f t="shared" si="10"/>
        <v>R 1</v>
      </c>
    </row>
    <row r="287" spans="8:12" x14ac:dyDescent="0.25">
      <c r="H287" t="s">
        <v>1109</v>
      </c>
      <c r="I287">
        <v>160.64959999999999</v>
      </c>
      <c r="J287">
        <v>0.505</v>
      </c>
      <c r="K287">
        <f t="shared" si="11"/>
        <v>1738.38654</v>
      </c>
      <c r="L287" t="str">
        <f t="shared" si="10"/>
        <v>R 1</v>
      </c>
    </row>
    <row r="288" spans="8:12" x14ac:dyDescent="0.25">
      <c r="H288" t="s">
        <v>902</v>
      </c>
      <c r="I288">
        <v>173.1302</v>
      </c>
      <c r="J288">
        <v>0.51500000000000001</v>
      </c>
      <c r="K288">
        <f t="shared" si="11"/>
        <v>1911.51674</v>
      </c>
      <c r="L288" t="str">
        <f t="shared" si="10"/>
        <v>R 1</v>
      </c>
    </row>
    <row r="289" spans="8:12" x14ac:dyDescent="0.25">
      <c r="H289" t="s">
        <v>783</v>
      </c>
      <c r="I289">
        <v>108.64099999999999</v>
      </c>
      <c r="J289">
        <v>0.51500000000000001</v>
      </c>
      <c r="K289">
        <f t="shared" si="11"/>
        <v>2020.1577400000001</v>
      </c>
      <c r="L289" t="str">
        <f t="shared" si="10"/>
        <v>R 1</v>
      </c>
    </row>
    <row r="290" spans="8:12" x14ac:dyDescent="0.25">
      <c r="H290" t="s">
        <v>778</v>
      </c>
      <c r="I290">
        <v>118.4498</v>
      </c>
      <c r="J290">
        <v>0.51500000000000001</v>
      </c>
      <c r="K290">
        <f t="shared" si="11"/>
        <v>2138.60754</v>
      </c>
      <c r="L290" t="str">
        <f t="shared" si="10"/>
        <v>R 1</v>
      </c>
    </row>
    <row r="291" spans="8:12" x14ac:dyDescent="0.25">
      <c r="H291" t="s">
        <v>754</v>
      </c>
      <c r="I291">
        <v>118.4132</v>
      </c>
      <c r="J291">
        <v>0.51500000000000001</v>
      </c>
      <c r="K291">
        <f t="shared" si="11"/>
        <v>2257.0207399999999</v>
      </c>
      <c r="L291" t="str">
        <f t="shared" si="10"/>
        <v>R 1</v>
      </c>
    </row>
    <row r="292" spans="8:12" x14ac:dyDescent="0.25">
      <c r="H292" t="s">
        <v>781</v>
      </c>
      <c r="I292">
        <v>108.64099999999999</v>
      </c>
      <c r="J292">
        <v>0.51500000000000001</v>
      </c>
      <c r="K292">
        <f t="shared" si="11"/>
        <v>2365.66174</v>
      </c>
      <c r="L292" t="str">
        <f t="shared" si="10"/>
        <v>R 1</v>
      </c>
    </row>
    <row r="293" spans="8:12" x14ac:dyDescent="0.25">
      <c r="H293" t="s">
        <v>775</v>
      </c>
      <c r="I293">
        <v>108.64099999999999</v>
      </c>
      <c r="J293">
        <v>0.51500000000000001</v>
      </c>
      <c r="K293">
        <f t="shared" si="11"/>
        <v>2474.3027400000001</v>
      </c>
      <c r="L293" t="str">
        <f t="shared" si="10"/>
        <v>R 1</v>
      </c>
    </row>
    <row r="294" spans="8:12" x14ac:dyDescent="0.25">
      <c r="H294" t="s">
        <v>895</v>
      </c>
      <c r="I294">
        <v>117.47380000000001</v>
      </c>
      <c r="J294">
        <v>0.51500000000000001</v>
      </c>
      <c r="K294">
        <f t="shared" si="11"/>
        <v>2591.7765400000003</v>
      </c>
      <c r="L294" t="str">
        <f t="shared" si="10"/>
        <v>R 1</v>
      </c>
    </row>
    <row r="295" spans="8:12" x14ac:dyDescent="0.25">
      <c r="H295" t="s">
        <v>777</v>
      </c>
      <c r="I295">
        <v>118.4498</v>
      </c>
      <c r="J295">
        <v>0.51500000000000001</v>
      </c>
      <c r="K295">
        <f t="shared" si="11"/>
        <v>2710.2263400000002</v>
      </c>
      <c r="L295" t="str">
        <f t="shared" si="10"/>
        <v>R 1</v>
      </c>
    </row>
    <row r="296" spans="8:12" x14ac:dyDescent="0.25">
      <c r="H296" t="s">
        <v>776</v>
      </c>
      <c r="I296">
        <v>118.4498</v>
      </c>
      <c r="J296">
        <v>0.52500000000000002</v>
      </c>
      <c r="K296">
        <f t="shared" si="11"/>
        <v>2828.67614</v>
      </c>
      <c r="L296" t="str">
        <f t="shared" si="10"/>
        <v>R 1</v>
      </c>
    </row>
    <row r="297" spans="8:12" x14ac:dyDescent="0.25">
      <c r="H297" t="s">
        <v>893</v>
      </c>
      <c r="I297">
        <v>172.7398</v>
      </c>
      <c r="J297">
        <v>0.52500000000000002</v>
      </c>
      <c r="K297">
        <f t="shared" si="11"/>
        <v>3001.4159399999999</v>
      </c>
      <c r="L297" t="str">
        <f t="shared" si="10"/>
        <v>R 1</v>
      </c>
    </row>
    <row r="298" spans="8:12" x14ac:dyDescent="0.25">
      <c r="H298" t="s">
        <v>1119</v>
      </c>
      <c r="I298">
        <v>157.99</v>
      </c>
      <c r="J298">
        <v>0.52500000000000002</v>
      </c>
      <c r="K298">
        <f t="shared" si="11"/>
        <v>3159.4059399999996</v>
      </c>
      <c r="L298" t="str">
        <f t="shared" si="10"/>
        <v>R 1</v>
      </c>
    </row>
    <row r="299" spans="8:12" x14ac:dyDescent="0.25">
      <c r="H299" t="s">
        <v>786</v>
      </c>
      <c r="I299">
        <v>134.3708</v>
      </c>
      <c r="J299">
        <v>0.53500000000000003</v>
      </c>
      <c r="K299">
        <f t="shared" si="11"/>
        <v>3293.7767399999998</v>
      </c>
      <c r="L299" t="str">
        <f t="shared" si="10"/>
        <v>R 1</v>
      </c>
    </row>
    <row r="300" spans="8:12" x14ac:dyDescent="0.25">
      <c r="H300" t="s">
        <v>1111</v>
      </c>
      <c r="I300">
        <v>156.8432</v>
      </c>
      <c r="J300">
        <v>0.53500000000000003</v>
      </c>
      <c r="K300">
        <f t="shared" si="11"/>
        <v>3450.6199399999996</v>
      </c>
      <c r="L300" t="str">
        <f t="shared" si="10"/>
        <v>R 1</v>
      </c>
    </row>
    <row r="301" spans="8:12" x14ac:dyDescent="0.25">
      <c r="H301" t="s">
        <v>899</v>
      </c>
      <c r="I301">
        <v>172.203</v>
      </c>
      <c r="J301">
        <v>0.54</v>
      </c>
      <c r="K301">
        <f t="shared" si="11"/>
        <v>3622.8229399999996</v>
      </c>
      <c r="L301" t="str">
        <f t="shared" si="10"/>
        <v>R 1</v>
      </c>
    </row>
    <row r="302" spans="8:12" x14ac:dyDescent="0.25">
      <c r="H302" t="s">
        <v>757</v>
      </c>
      <c r="I302">
        <v>108.64099999999999</v>
      </c>
      <c r="J302">
        <v>0.54500000000000004</v>
      </c>
      <c r="K302">
        <f t="shared" si="11"/>
        <v>3731.4639399999996</v>
      </c>
      <c r="L302" t="str">
        <f t="shared" si="10"/>
        <v>R 1</v>
      </c>
    </row>
    <row r="303" spans="8:12" x14ac:dyDescent="0.25">
      <c r="H303" t="s">
        <v>1083</v>
      </c>
      <c r="I303">
        <v>160.64959999999999</v>
      </c>
      <c r="J303">
        <v>0.55500000000000005</v>
      </c>
      <c r="K303">
        <f t="shared" si="11"/>
        <v>3892.1135399999998</v>
      </c>
      <c r="L303" t="str">
        <f t="shared" si="10"/>
        <v>R 1</v>
      </c>
    </row>
    <row r="304" spans="8:12" x14ac:dyDescent="0.25">
      <c r="H304" t="s">
        <v>755</v>
      </c>
      <c r="I304">
        <v>120.69460000000001</v>
      </c>
      <c r="J304">
        <v>0.55500000000000005</v>
      </c>
      <c r="K304">
        <f t="shared" si="11"/>
        <v>4012.8081399999996</v>
      </c>
      <c r="L304" t="str">
        <f t="shared" si="10"/>
        <v>R 1</v>
      </c>
    </row>
    <row r="305" spans="8:12" x14ac:dyDescent="0.25">
      <c r="H305" t="s">
        <v>797</v>
      </c>
      <c r="I305">
        <v>169.72640000000001</v>
      </c>
      <c r="J305">
        <v>0.55999999999999994</v>
      </c>
      <c r="K305">
        <f t="shared" si="11"/>
        <v>4182.5345399999997</v>
      </c>
      <c r="L305" t="str">
        <f t="shared" si="10"/>
        <v>R 1</v>
      </c>
    </row>
    <row r="306" spans="8:12" x14ac:dyDescent="0.25">
      <c r="H306" t="s">
        <v>800</v>
      </c>
      <c r="I306">
        <v>169.966252</v>
      </c>
      <c r="J306">
        <v>0.55999999999999994</v>
      </c>
      <c r="K306">
        <f t="shared" si="11"/>
        <v>4352.5007919999998</v>
      </c>
      <c r="L306" t="str">
        <f t="shared" si="10"/>
        <v>R 1</v>
      </c>
    </row>
    <row r="307" spans="8:12" x14ac:dyDescent="0.25">
      <c r="H307" t="s">
        <v>1114</v>
      </c>
      <c r="I307">
        <v>160.50319999999999</v>
      </c>
      <c r="J307">
        <v>0.56500000000000006</v>
      </c>
      <c r="K307">
        <f t="shared" si="11"/>
        <v>4513.0039919999999</v>
      </c>
      <c r="L307" t="str">
        <f t="shared" si="10"/>
        <v>R 1</v>
      </c>
    </row>
    <row r="308" spans="8:12" x14ac:dyDescent="0.25">
      <c r="H308" t="s">
        <v>896</v>
      </c>
      <c r="I308">
        <v>175.64339999999999</v>
      </c>
      <c r="J308">
        <v>0.56500000000000006</v>
      </c>
      <c r="K308">
        <f t="shared" si="11"/>
        <v>4688.6473919999999</v>
      </c>
      <c r="L308" t="str">
        <f t="shared" si="10"/>
        <v>R 1</v>
      </c>
    </row>
    <row r="309" spans="8:12" x14ac:dyDescent="0.25">
      <c r="H309" t="s">
        <v>370</v>
      </c>
      <c r="I309">
        <v>174.43194</v>
      </c>
      <c r="J309">
        <v>0.56999999999999995</v>
      </c>
      <c r="K309">
        <f t="shared" si="11"/>
        <v>4863.0793320000002</v>
      </c>
      <c r="L309" t="str">
        <f t="shared" si="10"/>
        <v>R 1</v>
      </c>
    </row>
    <row r="310" spans="8:12" x14ac:dyDescent="0.25">
      <c r="H310" t="s">
        <v>353</v>
      </c>
      <c r="I310">
        <v>109.75119999999998</v>
      </c>
      <c r="J310">
        <v>0.57500000000000007</v>
      </c>
      <c r="K310">
        <f t="shared" si="11"/>
        <v>4972.8305319999999</v>
      </c>
      <c r="L310" t="str">
        <f t="shared" si="10"/>
        <v>R 1</v>
      </c>
    </row>
    <row r="311" spans="8:12" x14ac:dyDescent="0.25">
      <c r="H311" t="s">
        <v>337</v>
      </c>
      <c r="I311">
        <v>119.5356</v>
      </c>
      <c r="J311">
        <v>0.57500000000000007</v>
      </c>
      <c r="K311">
        <f t="shared" si="11"/>
        <v>5092.3661320000001</v>
      </c>
      <c r="L311" t="str">
        <f t="shared" si="10"/>
        <v>R 1</v>
      </c>
    </row>
    <row r="312" spans="8:12" x14ac:dyDescent="0.25">
      <c r="H312" t="s">
        <v>641</v>
      </c>
      <c r="I312">
        <v>157.99</v>
      </c>
      <c r="J312">
        <v>0.57500000000000007</v>
      </c>
      <c r="K312">
        <f t="shared" si="11"/>
        <v>5250.3561319999999</v>
      </c>
      <c r="L312" t="str">
        <f t="shared" si="10"/>
        <v>R 1</v>
      </c>
    </row>
    <row r="313" spans="8:12" x14ac:dyDescent="0.25">
      <c r="H313" t="s">
        <v>338</v>
      </c>
      <c r="I313">
        <v>109.75119999999998</v>
      </c>
      <c r="J313">
        <v>0.57500000000000007</v>
      </c>
      <c r="K313">
        <f t="shared" si="11"/>
        <v>5360.1073319999996</v>
      </c>
      <c r="L313" t="str">
        <f t="shared" si="10"/>
        <v>R 1</v>
      </c>
    </row>
    <row r="314" spans="8:12" x14ac:dyDescent="0.25">
      <c r="H314" t="s">
        <v>590</v>
      </c>
      <c r="I314">
        <v>176.48886000000002</v>
      </c>
      <c r="J314">
        <v>0.57750000000000001</v>
      </c>
      <c r="K314">
        <f t="shared" si="11"/>
        <v>5536.596192</v>
      </c>
      <c r="L314" t="str">
        <f t="shared" si="10"/>
        <v>R 1</v>
      </c>
    </row>
    <row r="315" spans="8:12" x14ac:dyDescent="0.25">
      <c r="H315" t="s">
        <v>467</v>
      </c>
      <c r="I315">
        <v>172.49579999999997</v>
      </c>
      <c r="J315">
        <v>0.58000000000000007</v>
      </c>
      <c r="K315">
        <f t="shared" si="11"/>
        <v>5709.0919919999997</v>
      </c>
      <c r="L315" t="str">
        <f t="shared" si="10"/>
        <v>R 1</v>
      </c>
    </row>
    <row r="316" spans="8:12" x14ac:dyDescent="0.25">
      <c r="H316" t="s">
        <v>547</v>
      </c>
      <c r="I316">
        <v>169.78129999999999</v>
      </c>
      <c r="J316">
        <v>0.58250000000000002</v>
      </c>
      <c r="K316">
        <f t="shared" si="11"/>
        <v>5878.8732919999993</v>
      </c>
      <c r="L316" t="str">
        <f t="shared" si="10"/>
        <v>R 1</v>
      </c>
    </row>
    <row r="317" spans="8:12" x14ac:dyDescent="0.25">
      <c r="H317" t="s">
        <v>383</v>
      </c>
      <c r="I317">
        <v>169.73493999999999</v>
      </c>
      <c r="J317">
        <v>0.58250000000000002</v>
      </c>
      <c r="K317">
        <f t="shared" si="11"/>
        <v>6048.6082319999996</v>
      </c>
      <c r="L317" t="str">
        <f t="shared" si="10"/>
        <v>R 1</v>
      </c>
    </row>
    <row r="318" spans="8:12" x14ac:dyDescent="0.25">
      <c r="H318" t="s">
        <v>350</v>
      </c>
      <c r="I318">
        <v>110.4344</v>
      </c>
      <c r="J318">
        <v>0.58499999999999996</v>
      </c>
      <c r="K318">
        <f t="shared" si="11"/>
        <v>6159.0426319999997</v>
      </c>
      <c r="L318" t="str">
        <f t="shared" si="10"/>
        <v>R 1</v>
      </c>
    </row>
    <row r="319" spans="8:12" x14ac:dyDescent="0.25">
      <c r="H319" t="s">
        <v>364</v>
      </c>
      <c r="I319">
        <v>108.7264</v>
      </c>
      <c r="J319">
        <v>0.58499999999999996</v>
      </c>
      <c r="K319">
        <f t="shared" si="11"/>
        <v>6267.7690319999992</v>
      </c>
      <c r="L319" t="str">
        <f t="shared" si="10"/>
        <v>R 1</v>
      </c>
    </row>
    <row r="320" spans="8:12" x14ac:dyDescent="0.25">
      <c r="H320" t="s">
        <v>371</v>
      </c>
      <c r="I320">
        <v>117.49942</v>
      </c>
      <c r="J320">
        <v>0.58499999999999996</v>
      </c>
      <c r="K320">
        <f t="shared" si="11"/>
        <v>6385.2684519999993</v>
      </c>
      <c r="L320" t="str">
        <f t="shared" si="10"/>
        <v>R 1</v>
      </c>
    </row>
    <row r="321" spans="8:12" x14ac:dyDescent="0.25">
      <c r="H321" t="s">
        <v>349</v>
      </c>
      <c r="I321">
        <v>120.25539999999999</v>
      </c>
      <c r="J321">
        <v>0.58499999999999996</v>
      </c>
      <c r="K321">
        <f t="shared" si="11"/>
        <v>6505.5238519999994</v>
      </c>
      <c r="L321" t="str">
        <f t="shared" si="10"/>
        <v>R 1</v>
      </c>
    </row>
    <row r="322" spans="8:12" x14ac:dyDescent="0.25">
      <c r="H322" t="s">
        <v>635</v>
      </c>
      <c r="I322">
        <v>156.8432</v>
      </c>
      <c r="J322">
        <v>0.58500000000000008</v>
      </c>
      <c r="K322">
        <f t="shared" si="11"/>
        <v>6662.3670519999996</v>
      </c>
      <c r="L322" t="str">
        <f t="shared" si="10"/>
        <v>R 1</v>
      </c>
    </row>
    <row r="323" spans="8:12" x14ac:dyDescent="0.25">
      <c r="H323" t="s">
        <v>686</v>
      </c>
      <c r="I323">
        <v>300.96179999999998</v>
      </c>
      <c r="J323">
        <v>0.58500000000000008</v>
      </c>
      <c r="K323">
        <f t="shared" si="11"/>
        <v>6963.3288519999996</v>
      </c>
      <c r="L323" t="str">
        <f t="shared" si="10"/>
        <v>R 1</v>
      </c>
    </row>
    <row r="324" spans="8:12" x14ac:dyDescent="0.25">
      <c r="H324" t="s">
        <v>685</v>
      </c>
      <c r="I324">
        <v>308.83079999999995</v>
      </c>
      <c r="J324">
        <v>0.58500000000000008</v>
      </c>
      <c r="K324">
        <f t="shared" si="11"/>
        <v>7272.1596519999994</v>
      </c>
      <c r="L324" t="str">
        <f t="shared" si="10"/>
        <v>R 1</v>
      </c>
    </row>
    <row r="325" spans="8:12" x14ac:dyDescent="0.25">
      <c r="H325" t="s">
        <v>377</v>
      </c>
      <c r="I325">
        <v>116.16108</v>
      </c>
      <c r="J325">
        <v>0.58750000000000002</v>
      </c>
      <c r="K325">
        <f t="shared" si="11"/>
        <v>7388.3207319999992</v>
      </c>
      <c r="L325" t="str">
        <f t="shared" si="10"/>
        <v>R 2</v>
      </c>
    </row>
    <row r="326" spans="8:12" x14ac:dyDescent="0.25">
      <c r="H326" t="s">
        <v>543</v>
      </c>
      <c r="I326">
        <v>116.20988</v>
      </c>
      <c r="J326">
        <v>0.58750000000000002</v>
      </c>
      <c r="K326">
        <f t="shared" si="11"/>
        <v>7504.5306119999996</v>
      </c>
      <c r="L326" t="str">
        <f t="shared" si="10"/>
        <v>R 2</v>
      </c>
    </row>
    <row r="327" spans="8:12" x14ac:dyDescent="0.25">
      <c r="H327" t="s">
        <v>598</v>
      </c>
      <c r="I327">
        <v>173.15338</v>
      </c>
      <c r="J327">
        <v>0.58750000000000002</v>
      </c>
      <c r="K327">
        <f t="shared" si="11"/>
        <v>7677.6839919999993</v>
      </c>
      <c r="L327" t="str">
        <f t="shared" si="10"/>
        <v>R 2</v>
      </c>
    </row>
    <row r="328" spans="8:12" x14ac:dyDescent="0.25">
      <c r="H328" t="s">
        <v>341</v>
      </c>
      <c r="I328">
        <v>118.4132</v>
      </c>
      <c r="J328">
        <v>0.59499999999999997</v>
      </c>
      <c r="K328">
        <f t="shared" si="11"/>
        <v>7796.0971919999993</v>
      </c>
      <c r="L328" t="str">
        <f t="shared" si="10"/>
        <v>R 2</v>
      </c>
    </row>
    <row r="329" spans="8:12" x14ac:dyDescent="0.25">
      <c r="H329" t="s">
        <v>357</v>
      </c>
      <c r="I329">
        <v>108.64099999999999</v>
      </c>
      <c r="J329">
        <v>0.59499999999999997</v>
      </c>
      <c r="K329">
        <f t="shared" si="11"/>
        <v>7904.7381919999989</v>
      </c>
      <c r="L329" t="str">
        <f t="shared" si="10"/>
        <v>R 2</v>
      </c>
    </row>
    <row r="330" spans="8:12" x14ac:dyDescent="0.25">
      <c r="H330" t="s">
        <v>342</v>
      </c>
      <c r="I330">
        <v>108.64099999999999</v>
      </c>
      <c r="J330">
        <v>0.59499999999999997</v>
      </c>
      <c r="K330">
        <f t="shared" si="11"/>
        <v>8013.3791919999985</v>
      </c>
      <c r="L330" t="str">
        <f t="shared" si="10"/>
        <v>R 2</v>
      </c>
    </row>
    <row r="331" spans="8:12" x14ac:dyDescent="0.25">
      <c r="H331" t="s">
        <v>354</v>
      </c>
      <c r="I331">
        <v>134.3708</v>
      </c>
      <c r="J331">
        <v>0.59500000000000008</v>
      </c>
      <c r="K331">
        <f t="shared" si="11"/>
        <v>8147.7499919999982</v>
      </c>
      <c r="L331" t="str">
        <f t="shared" si="10"/>
        <v>R 2</v>
      </c>
    </row>
    <row r="332" spans="8:12" x14ac:dyDescent="0.25">
      <c r="H332" t="s">
        <v>274</v>
      </c>
      <c r="I332">
        <v>118.4498</v>
      </c>
      <c r="J332">
        <v>0.59500000000000008</v>
      </c>
      <c r="K332">
        <f t="shared" si="11"/>
        <v>8266.1997919999976</v>
      </c>
      <c r="L332" t="str">
        <f t="shared" si="10"/>
        <v>R 2</v>
      </c>
    </row>
    <row r="333" spans="8:12" x14ac:dyDescent="0.25">
      <c r="H333" t="s">
        <v>593</v>
      </c>
      <c r="I333">
        <v>172.82886000000002</v>
      </c>
      <c r="J333">
        <v>0.59750000000000003</v>
      </c>
      <c r="K333">
        <f t="shared" si="11"/>
        <v>8439.0286519999972</v>
      </c>
      <c r="L333" t="str">
        <f t="shared" si="10"/>
        <v>R 2</v>
      </c>
    </row>
    <row r="334" spans="8:12" x14ac:dyDescent="0.25">
      <c r="H334" t="s">
        <v>466</v>
      </c>
      <c r="I334">
        <v>175.93620000000001</v>
      </c>
      <c r="J334">
        <v>0.60499999999999998</v>
      </c>
      <c r="K334">
        <f t="shared" si="11"/>
        <v>8614.9648519999973</v>
      </c>
      <c r="L334" t="str">
        <f t="shared" si="10"/>
        <v>R 2</v>
      </c>
    </row>
    <row r="335" spans="8:12" x14ac:dyDescent="0.25">
      <c r="H335" t="s">
        <v>669</v>
      </c>
      <c r="I335">
        <v>160.86920000000001</v>
      </c>
      <c r="J335">
        <v>0.60499999999999998</v>
      </c>
      <c r="K335">
        <f t="shared" si="11"/>
        <v>8775.8340519999965</v>
      </c>
      <c r="L335" t="str">
        <f t="shared" si="10"/>
        <v>R 2</v>
      </c>
    </row>
    <row r="336" spans="8:12" x14ac:dyDescent="0.25">
      <c r="H336" t="s">
        <v>365</v>
      </c>
      <c r="I336">
        <v>134.4196</v>
      </c>
      <c r="J336">
        <v>0.60500000000000009</v>
      </c>
      <c r="K336">
        <f t="shared" si="11"/>
        <v>8910.2536519999958</v>
      </c>
      <c r="L336" t="str">
        <f t="shared" si="10"/>
        <v>R 2</v>
      </c>
    </row>
    <row r="337" spans="8:12" x14ac:dyDescent="0.25">
      <c r="H337" t="s">
        <v>379</v>
      </c>
      <c r="I337">
        <v>117.45062</v>
      </c>
      <c r="J337">
        <v>0.60750000000000004</v>
      </c>
      <c r="K337">
        <f t="shared" si="11"/>
        <v>9027.7042719999954</v>
      </c>
      <c r="L337" t="str">
        <f t="shared" si="10"/>
        <v>R 2</v>
      </c>
    </row>
    <row r="338" spans="8:12" x14ac:dyDescent="0.25">
      <c r="H338" t="s">
        <v>544</v>
      </c>
      <c r="I338">
        <v>117.49942</v>
      </c>
      <c r="J338">
        <v>0.60750000000000004</v>
      </c>
      <c r="K338">
        <f t="shared" si="11"/>
        <v>9145.2036919999955</v>
      </c>
      <c r="L338" t="str">
        <f t="shared" si="10"/>
        <v>R 2</v>
      </c>
    </row>
    <row r="339" spans="8:12" x14ac:dyDescent="0.25">
      <c r="H339" t="s">
        <v>373</v>
      </c>
      <c r="I339">
        <v>172.29571999999999</v>
      </c>
      <c r="J339">
        <v>0.61</v>
      </c>
      <c r="K339">
        <f t="shared" si="11"/>
        <v>9317.4994119999956</v>
      </c>
      <c r="L339" t="str">
        <f t="shared" si="10"/>
        <v>R 2</v>
      </c>
    </row>
    <row r="340" spans="8:12" x14ac:dyDescent="0.25">
      <c r="H340" t="s">
        <v>372</v>
      </c>
      <c r="I340">
        <v>172.24814000000001</v>
      </c>
      <c r="J340">
        <v>0.61</v>
      </c>
      <c r="K340">
        <f t="shared" si="11"/>
        <v>9489.7475519999953</v>
      </c>
      <c r="L340" t="str">
        <f t="shared" si="10"/>
        <v>R 2</v>
      </c>
    </row>
    <row r="341" spans="8:12" x14ac:dyDescent="0.25">
      <c r="H341" t="s">
        <v>637</v>
      </c>
      <c r="I341">
        <v>160.50319999999999</v>
      </c>
      <c r="J341">
        <v>0.61499999999999999</v>
      </c>
      <c r="K341">
        <f t="shared" si="11"/>
        <v>9650.2507519999945</v>
      </c>
      <c r="L341" t="str">
        <f t="shared" si="10"/>
        <v>R 2</v>
      </c>
    </row>
    <row r="342" spans="8:12" x14ac:dyDescent="0.25">
      <c r="H342" t="s">
        <v>1035</v>
      </c>
      <c r="I342">
        <v>343.92898000000002</v>
      </c>
      <c r="J342">
        <v>0.6150000000000001</v>
      </c>
      <c r="K342">
        <f t="shared" si="11"/>
        <v>9994.1797319999951</v>
      </c>
      <c r="L342" t="str">
        <f t="shared" ref="L342:L405" si="12">IF(AND(K342&gt;=0,K342&lt;=7351),"R 1",IF(AND(K342&gt;=7351,K342&lt;=10378),"R 2",IF(AND(K342&gt;=10378,K342&lt;=13405),"R 3",IF(AND(K342&gt;=13405,K342&lt;=18161),"R 4",IF(AND(K342&gt;=18161,K342&lt;=21620),"R 5",IF(AND(K342&gt;=21620,K342&lt;=24647),"R 6",IF(AND(K342&gt;=24647,K342&lt;=28106),"R 7",IF(AND(K342&gt;=28106,K342&lt;=33295),"R 8",IF(AND(K342&gt;=33295,K342&lt;=36754),"R 9",IF(AND(K342&gt;=36754,K342&lt;=38052),"R 10",IF(AND(K342&gt;=38052,K342&lt;=39349),"R 11",IF(AND(K342&gt;=39349,K342&lt;=43300),"R 12"))))))))))))</f>
        <v>R 2</v>
      </c>
    </row>
    <row r="343" spans="8:12" x14ac:dyDescent="0.25">
      <c r="H343" t="s">
        <v>1034</v>
      </c>
      <c r="I343">
        <v>343.58616000000001</v>
      </c>
      <c r="J343">
        <v>0.6150000000000001</v>
      </c>
      <c r="K343">
        <f t="shared" ref="K343:K406" si="13">K342+I343</f>
        <v>10337.765891999996</v>
      </c>
      <c r="L343" t="str">
        <f t="shared" si="12"/>
        <v>R 2</v>
      </c>
    </row>
    <row r="344" spans="8:12" x14ac:dyDescent="0.25">
      <c r="H344" t="s">
        <v>358</v>
      </c>
      <c r="I344">
        <v>134.3708</v>
      </c>
      <c r="J344">
        <v>0.6150000000000001</v>
      </c>
      <c r="K344">
        <f t="shared" si="13"/>
        <v>10472.136691999996</v>
      </c>
      <c r="L344" t="str">
        <f t="shared" si="12"/>
        <v>R 3</v>
      </c>
    </row>
    <row r="345" spans="8:12" x14ac:dyDescent="0.25">
      <c r="H345" t="s">
        <v>409</v>
      </c>
      <c r="I345">
        <v>224.34214</v>
      </c>
      <c r="J345">
        <v>0.61900000000000011</v>
      </c>
      <c r="K345">
        <f t="shared" si="13"/>
        <v>10696.478831999997</v>
      </c>
      <c r="L345" t="str">
        <f t="shared" si="12"/>
        <v>R 3</v>
      </c>
    </row>
    <row r="346" spans="8:12" x14ac:dyDescent="0.25">
      <c r="H346" t="s">
        <v>695</v>
      </c>
      <c r="I346">
        <v>160.69839999999999</v>
      </c>
      <c r="J346">
        <v>0.62</v>
      </c>
      <c r="K346">
        <f t="shared" si="13"/>
        <v>10857.177231999996</v>
      </c>
      <c r="L346" t="str">
        <f t="shared" si="12"/>
        <v>R 3</v>
      </c>
    </row>
    <row r="347" spans="8:12" x14ac:dyDescent="0.25">
      <c r="H347" t="s">
        <v>633</v>
      </c>
      <c r="I347">
        <v>152.1584</v>
      </c>
      <c r="J347">
        <v>0.62000000000000011</v>
      </c>
      <c r="K347">
        <f t="shared" si="13"/>
        <v>11009.335631999997</v>
      </c>
      <c r="L347" t="str">
        <f t="shared" si="12"/>
        <v>R 3</v>
      </c>
    </row>
    <row r="348" spans="8:12" x14ac:dyDescent="0.25">
      <c r="H348" t="s">
        <v>699</v>
      </c>
      <c r="I348">
        <v>152.60980000000001</v>
      </c>
      <c r="J348">
        <v>0.62000000000000011</v>
      </c>
      <c r="K348">
        <f t="shared" si="13"/>
        <v>11161.945431999997</v>
      </c>
      <c r="L348" t="str">
        <f t="shared" si="12"/>
        <v>R 3</v>
      </c>
    </row>
    <row r="349" spans="8:12" x14ac:dyDescent="0.25">
      <c r="H349" t="s">
        <v>674</v>
      </c>
      <c r="I349">
        <v>152.60980000000001</v>
      </c>
      <c r="J349">
        <v>0.62000000000000011</v>
      </c>
      <c r="K349">
        <f t="shared" si="13"/>
        <v>11314.555231999997</v>
      </c>
      <c r="L349" t="str">
        <f t="shared" si="12"/>
        <v>R 3</v>
      </c>
    </row>
    <row r="350" spans="8:12" x14ac:dyDescent="0.25">
      <c r="H350" t="s">
        <v>643</v>
      </c>
      <c r="I350">
        <v>152.1584</v>
      </c>
      <c r="J350">
        <v>0.62000000000000011</v>
      </c>
      <c r="K350">
        <f t="shared" si="13"/>
        <v>11466.713631999997</v>
      </c>
      <c r="L350" t="str">
        <f t="shared" si="12"/>
        <v>R 3</v>
      </c>
    </row>
    <row r="351" spans="8:12" x14ac:dyDescent="0.25">
      <c r="H351" t="s">
        <v>666</v>
      </c>
      <c r="I351">
        <v>107.95779999999999</v>
      </c>
      <c r="J351">
        <v>0.62500000000000011</v>
      </c>
      <c r="K351">
        <f t="shared" si="13"/>
        <v>11574.671431999997</v>
      </c>
      <c r="L351" t="str">
        <f t="shared" si="12"/>
        <v>R 3</v>
      </c>
    </row>
    <row r="352" spans="8:12" x14ac:dyDescent="0.25">
      <c r="H352" t="s">
        <v>565</v>
      </c>
      <c r="I352">
        <v>176.48886000000002</v>
      </c>
      <c r="J352">
        <v>0.62900000000000011</v>
      </c>
      <c r="K352">
        <f t="shared" si="13"/>
        <v>11751.160291999997</v>
      </c>
      <c r="L352" t="str">
        <f t="shared" si="12"/>
        <v>R 3</v>
      </c>
    </row>
    <row r="353" spans="8:12" x14ac:dyDescent="0.25">
      <c r="H353" t="s">
        <v>419</v>
      </c>
      <c r="I353">
        <v>222.48041999999998</v>
      </c>
      <c r="J353">
        <v>0.62900000000000011</v>
      </c>
      <c r="K353">
        <f t="shared" si="13"/>
        <v>11973.640711999997</v>
      </c>
      <c r="L353" t="str">
        <f t="shared" si="12"/>
        <v>R 3</v>
      </c>
    </row>
    <row r="354" spans="8:12" x14ac:dyDescent="0.25">
      <c r="H354" t="s">
        <v>696</v>
      </c>
      <c r="I354">
        <v>155.0864</v>
      </c>
      <c r="J354">
        <v>0.63</v>
      </c>
      <c r="K354">
        <f t="shared" si="13"/>
        <v>12128.727111999997</v>
      </c>
      <c r="L354" t="str">
        <f t="shared" si="12"/>
        <v>R 3</v>
      </c>
    </row>
    <row r="355" spans="8:12" x14ac:dyDescent="0.25">
      <c r="H355" t="s">
        <v>640</v>
      </c>
      <c r="I355">
        <v>154.7936</v>
      </c>
      <c r="J355">
        <v>0.63</v>
      </c>
      <c r="K355">
        <f t="shared" si="13"/>
        <v>12283.520711999998</v>
      </c>
      <c r="L355" t="str">
        <f t="shared" si="12"/>
        <v>R 3</v>
      </c>
    </row>
    <row r="356" spans="8:12" x14ac:dyDescent="0.25">
      <c r="H356" t="s">
        <v>652</v>
      </c>
      <c r="I356">
        <v>154.7936</v>
      </c>
      <c r="J356">
        <v>0.63</v>
      </c>
      <c r="K356">
        <f t="shared" si="13"/>
        <v>12438.314311999999</v>
      </c>
      <c r="L356" t="str">
        <f t="shared" si="12"/>
        <v>R 3</v>
      </c>
    </row>
    <row r="357" spans="8:12" x14ac:dyDescent="0.25">
      <c r="H357" t="s">
        <v>707</v>
      </c>
      <c r="I357">
        <v>155.17179999999999</v>
      </c>
      <c r="J357">
        <v>0.63</v>
      </c>
      <c r="K357">
        <f t="shared" si="13"/>
        <v>12593.486111999999</v>
      </c>
      <c r="L357" t="str">
        <f t="shared" si="12"/>
        <v>R 3</v>
      </c>
    </row>
    <row r="358" spans="8:12" x14ac:dyDescent="0.25">
      <c r="H358" t="s">
        <v>682</v>
      </c>
      <c r="I358">
        <v>155.17179999999999</v>
      </c>
      <c r="J358">
        <v>0.63</v>
      </c>
      <c r="K358">
        <f t="shared" si="13"/>
        <v>12748.657911999999</v>
      </c>
      <c r="L358" t="str">
        <f t="shared" si="12"/>
        <v>R 3</v>
      </c>
    </row>
    <row r="359" spans="8:12" x14ac:dyDescent="0.25">
      <c r="H359" t="s">
        <v>672</v>
      </c>
      <c r="I359">
        <v>152.60980000000001</v>
      </c>
      <c r="J359">
        <v>0.63</v>
      </c>
      <c r="K359">
        <f t="shared" si="13"/>
        <v>12901.267711999999</v>
      </c>
      <c r="L359" t="str">
        <f t="shared" si="12"/>
        <v>R 3</v>
      </c>
    </row>
    <row r="360" spans="8:12" x14ac:dyDescent="0.25">
      <c r="H360" t="s">
        <v>591</v>
      </c>
      <c r="I360">
        <v>198.59281999999999</v>
      </c>
      <c r="J360">
        <v>0.63000000000000012</v>
      </c>
      <c r="K360">
        <f t="shared" si="13"/>
        <v>13099.860531999999</v>
      </c>
      <c r="L360" t="str">
        <f t="shared" si="12"/>
        <v>R 3</v>
      </c>
    </row>
    <row r="361" spans="8:12" x14ac:dyDescent="0.25">
      <c r="H361" t="s">
        <v>574</v>
      </c>
      <c r="I361">
        <v>198.64771999999999</v>
      </c>
      <c r="J361">
        <v>0.63000000000000012</v>
      </c>
      <c r="K361">
        <f t="shared" si="13"/>
        <v>13298.508252</v>
      </c>
      <c r="L361" t="str">
        <f t="shared" si="12"/>
        <v>R 3</v>
      </c>
    </row>
    <row r="362" spans="8:12" x14ac:dyDescent="0.25">
      <c r="H362" t="s">
        <v>545</v>
      </c>
      <c r="I362">
        <v>172.2945</v>
      </c>
      <c r="J362">
        <v>0.63250000000000006</v>
      </c>
      <c r="K362">
        <f t="shared" si="13"/>
        <v>13470.802752</v>
      </c>
      <c r="L362" t="str">
        <f t="shared" si="12"/>
        <v>R 4</v>
      </c>
    </row>
    <row r="363" spans="8:12" x14ac:dyDescent="0.25">
      <c r="H363" t="s">
        <v>380</v>
      </c>
      <c r="I363">
        <v>172.24814000000001</v>
      </c>
      <c r="J363">
        <v>0.63250000000000006</v>
      </c>
      <c r="K363">
        <f t="shared" si="13"/>
        <v>13643.050891999999</v>
      </c>
      <c r="L363" t="str">
        <f t="shared" si="12"/>
        <v>R 4</v>
      </c>
    </row>
    <row r="364" spans="8:12" x14ac:dyDescent="0.25">
      <c r="H364" t="s">
        <v>345</v>
      </c>
      <c r="I364">
        <v>120.71899999999999</v>
      </c>
      <c r="J364">
        <v>0.63500000000000001</v>
      </c>
      <c r="K364">
        <f t="shared" si="13"/>
        <v>13763.769891999998</v>
      </c>
      <c r="L364" t="str">
        <f t="shared" si="12"/>
        <v>R 4</v>
      </c>
    </row>
    <row r="365" spans="8:12" x14ac:dyDescent="0.25">
      <c r="H365" t="s">
        <v>1064</v>
      </c>
      <c r="I365">
        <v>300.96179999999998</v>
      </c>
      <c r="J365">
        <v>0.63500000000000001</v>
      </c>
      <c r="K365">
        <f t="shared" si="13"/>
        <v>14064.731691999998</v>
      </c>
      <c r="L365" t="str">
        <f t="shared" si="12"/>
        <v>R 4</v>
      </c>
    </row>
    <row r="366" spans="8:12" x14ac:dyDescent="0.25">
      <c r="H366" t="s">
        <v>1063</v>
      </c>
      <c r="I366">
        <v>308.83079999999995</v>
      </c>
      <c r="J366">
        <v>0.63500000000000001</v>
      </c>
      <c r="K366">
        <f t="shared" si="13"/>
        <v>14373.562491999997</v>
      </c>
      <c r="L366" t="str">
        <f t="shared" si="12"/>
        <v>R 4</v>
      </c>
    </row>
    <row r="367" spans="8:12" x14ac:dyDescent="0.25">
      <c r="H367" t="s">
        <v>346</v>
      </c>
      <c r="I367">
        <v>110.91019999999999</v>
      </c>
      <c r="J367">
        <v>0.63500000000000001</v>
      </c>
      <c r="K367">
        <f t="shared" si="13"/>
        <v>14484.472691999998</v>
      </c>
      <c r="L367" t="str">
        <f t="shared" si="12"/>
        <v>R 4</v>
      </c>
    </row>
    <row r="368" spans="8:12" x14ac:dyDescent="0.25">
      <c r="H368" t="s">
        <v>361</v>
      </c>
      <c r="I368">
        <v>110.91019999999999</v>
      </c>
      <c r="J368">
        <v>0.63500000000000001</v>
      </c>
      <c r="K368">
        <f t="shared" si="13"/>
        <v>14595.382891999998</v>
      </c>
      <c r="L368" t="str">
        <f t="shared" si="12"/>
        <v>R 4</v>
      </c>
    </row>
    <row r="369" spans="8:12" x14ac:dyDescent="0.25">
      <c r="H369" t="s">
        <v>595</v>
      </c>
      <c r="I369">
        <v>175.66658000000001</v>
      </c>
      <c r="J369">
        <v>0.63749999999999996</v>
      </c>
      <c r="K369">
        <f t="shared" si="13"/>
        <v>14771.049471999997</v>
      </c>
      <c r="L369" t="str">
        <f t="shared" si="12"/>
        <v>R 4</v>
      </c>
    </row>
    <row r="370" spans="8:12" x14ac:dyDescent="0.25">
      <c r="H370" t="s">
        <v>843</v>
      </c>
      <c r="I370">
        <v>224.03713999999999</v>
      </c>
      <c r="J370">
        <v>0.63900000000000012</v>
      </c>
      <c r="K370">
        <f t="shared" si="13"/>
        <v>14995.086611999997</v>
      </c>
      <c r="L370" t="str">
        <f t="shared" si="12"/>
        <v>R 4</v>
      </c>
    </row>
    <row r="371" spans="8:12" x14ac:dyDescent="0.25">
      <c r="H371" t="s">
        <v>1019</v>
      </c>
      <c r="I371">
        <v>173.15338</v>
      </c>
      <c r="J371">
        <v>0.63900000000000012</v>
      </c>
      <c r="K371">
        <f t="shared" si="13"/>
        <v>15168.239991999997</v>
      </c>
      <c r="L371" t="str">
        <f t="shared" si="12"/>
        <v>R 4</v>
      </c>
    </row>
    <row r="372" spans="8:12" x14ac:dyDescent="0.25">
      <c r="H372" t="s">
        <v>1138</v>
      </c>
      <c r="I372">
        <v>155.11079999999998</v>
      </c>
      <c r="J372">
        <v>0.64</v>
      </c>
      <c r="K372">
        <f t="shared" si="13"/>
        <v>15323.350791999997</v>
      </c>
      <c r="L372" t="str">
        <f t="shared" si="12"/>
        <v>R 4</v>
      </c>
    </row>
    <row r="373" spans="8:12" x14ac:dyDescent="0.25">
      <c r="H373" t="s">
        <v>1031</v>
      </c>
      <c r="I373">
        <v>198.23779999999999</v>
      </c>
      <c r="J373">
        <v>0.64</v>
      </c>
      <c r="K373">
        <f t="shared" si="13"/>
        <v>15521.588591999998</v>
      </c>
      <c r="L373" t="str">
        <f t="shared" si="12"/>
        <v>R 4</v>
      </c>
    </row>
    <row r="374" spans="8:12" x14ac:dyDescent="0.25">
      <c r="H374" t="s">
        <v>1084</v>
      </c>
      <c r="I374">
        <v>154.13480000000001</v>
      </c>
      <c r="J374">
        <v>0.64</v>
      </c>
      <c r="K374">
        <f t="shared" si="13"/>
        <v>15675.723391999998</v>
      </c>
      <c r="L374" t="str">
        <f t="shared" si="12"/>
        <v>R 4</v>
      </c>
    </row>
    <row r="375" spans="8:12" x14ac:dyDescent="0.25">
      <c r="H375" t="s">
        <v>1053</v>
      </c>
      <c r="I375">
        <v>198.18167999999997</v>
      </c>
      <c r="J375">
        <v>0.64</v>
      </c>
      <c r="K375">
        <f t="shared" si="13"/>
        <v>15873.905071999998</v>
      </c>
      <c r="L375" t="str">
        <f t="shared" si="12"/>
        <v>R 4</v>
      </c>
    </row>
    <row r="376" spans="8:12" x14ac:dyDescent="0.25">
      <c r="H376" t="s">
        <v>1122</v>
      </c>
      <c r="I376">
        <v>155.11079999999998</v>
      </c>
      <c r="J376">
        <v>0.64</v>
      </c>
      <c r="K376">
        <f t="shared" si="13"/>
        <v>16029.015871999998</v>
      </c>
      <c r="L376" t="str">
        <f t="shared" si="12"/>
        <v>R 4</v>
      </c>
    </row>
    <row r="377" spans="8:12" x14ac:dyDescent="0.25">
      <c r="H377" t="s">
        <v>1094</v>
      </c>
      <c r="I377">
        <v>154.13480000000001</v>
      </c>
      <c r="J377">
        <v>0.64</v>
      </c>
      <c r="K377">
        <f t="shared" si="13"/>
        <v>16183.150671999998</v>
      </c>
      <c r="L377" t="str">
        <f t="shared" si="12"/>
        <v>R 4</v>
      </c>
    </row>
    <row r="378" spans="8:12" x14ac:dyDescent="0.25">
      <c r="H378" t="s">
        <v>1113</v>
      </c>
      <c r="I378">
        <v>108.32380000000001</v>
      </c>
      <c r="J378">
        <v>0.64500000000000002</v>
      </c>
      <c r="K378">
        <f t="shared" si="13"/>
        <v>16291.474471999998</v>
      </c>
      <c r="L378" t="str">
        <f t="shared" si="12"/>
        <v>R 4</v>
      </c>
    </row>
    <row r="379" spans="8:12" x14ac:dyDescent="0.25">
      <c r="H379" t="s">
        <v>1136</v>
      </c>
      <c r="I379">
        <v>158.0754</v>
      </c>
      <c r="J379">
        <v>0.64500000000000013</v>
      </c>
      <c r="K379">
        <f t="shared" si="13"/>
        <v>16449.549872</v>
      </c>
      <c r="L379" t="str">
        <f t="shared" si="12"/>
        <v>R 4</v>
      </c>
    </row>
    <row r="380" spans="8:12" x14ac:dyDescent="0.25">
      <c r="H380" t="s">
        <v>1144</v>
      </c>
      <c r="I380">
        <v>160.28359999999998</v>
      </c>
      <c r="J380">
        <v>0.64500000000000013</v>
      </c>
      <c r="K380">
        <f t="shared" si="13"/>
        <v>16609.833471999998</v>
      </c>
      <c r="L380" t="str">
        <f t="shared" si="12"/>
        <v>R 4</v>
      </c>
    </row>
    <row r="381" spans="8:12" x14ac:dyDescent="0.25">
      <c r="H381" t="s">
        <v>1129</v>
      </c>
      <c r="I381">
        <v>160.28359999999998</v>
      </c>
      <c r="J381">
        <v>0.64500000000000013</v>
      </c>
      <c r="K381">
        <f t="shared" si="13"/>
        <v>16770.117071999997</v>
      </c>
      <c r="L381" t="str">
        <f t="shared" si="12"/>
        <v>R 4</v>
      </c>
    </row>
    <row r="382" spans="8:12" x14ac:dyDescent="0.25">
      <c r="H382" t="s">
        <v>1082</v>
      </c>
      <c r="I382">
        <v>157.99</v>
      </c>
      <c r="J382">
        <v>0.64500000000000013</v>
      </c>
      <c r="K382">
        <f t="shared" si="13"/>
        <v>16928.107071999999</v>
      </c>
      <c r="L382" t="str">
        <f t="shared" si="12"/>
        <v>R 4</v>
      </c>
    </row>
    <row r="383" spans="8:12" x14ac:dyDescent="0.25">
      <c r="H383" t="s">
        <v>1092</v>
      </c>
      <c r="I383">
        <v>157.99</v>
      </c>
      <c r="J383">
        <v>0.64500000000000013</v>
      </c>
      <c r="K383">
        <f t="shared" si="13"/>
        <v>17086.097072</v>
      </c>
      <c r="L383" t="str">
        <f t="shared" si="12"/>
        <v>R 4</v>
      </c>
    </row>
    <row r="384" spans="8:12" x14ac:dyDescent="0.25">
      <c r="H384" t="s">
        <v>745</v>
      </c>
      <c r="I384">
        <v>119.5356</v>
      </c>
      <c r="J384">
        <v>0.64500000000000013</v>
      </c>
      <c r="K384">
        <f t="shared" si="13"/>
        <v>17205.632672</v>
      </c>
      <c r="L384" t="str">
        <f t="shared" si="12"/>
        <v>R 4</v>
      </c>
    </row>
    <row r="385" spans="8:12" x14ac:dyDescent="0.25">
      <c r="H385" t="s">
        <v>1099</v>
      </c>
      <c r="I385">
        <v>160.62519999999998</v>
      </c>
      <c r="J385">
        <v>0.64500000000000013</v>
      </c>
      <c r="K385">
        <f t="shared" si="13"/>
        <v>17366.257871999998</v>
      </c>
      <c r="L385" t="str">
        <f t="shared" si="12"/>
        <v>R 4</v>
      </c>
    </row>
    <row r="386" spans="8:12" x14ac:dyDescent="0.25">
      <c r="H386" t="s">
        <v>1121</v>
      </c>
      <c r="I386">
        <v>158.0754</v>
      </c>
      <c r="J386">
        <v>0.64500000000000013</v>
      </c>
      <c r="K386">
        <f t="shared" si="13"/>
        <v>17524.333272</v>
      </c>
      <c r="L386" t="str">
        <f t="shared" si="12"/>
        <v>R 4</v>
      </c>
    </row>
    <row r="387" spans="8:12" x14ac:dyDescent="0.25">
      <c r="H387" t="s">
        <v>1091</v>
      </c>
      <c r="I387">
        <v>160.62519999999998</v>
      </c>
      <c r="J387">
        <v>0.64500000000000013</v>
      </c>
      <c r="K387">
        <f t="shared" si="13"/>
        <v>17684.958471999998</v>
      </c>
      <c r="L387" t="str">
        <f t="shared" si="12"/>
        <v>R 4</v>
      </c>
    </row>
    <row r="388" spans="8:12" x14ac:dyDescent="0.25">
      <c r="H388" t="s">
        <v>744</v>
      </c>
      <c r="I388">
        <v>109.75119999999998</v>
      </c>
      <c r="J388">
        <v>0.64500000000000013</v>
      </c>
      <c r="K388">
        <f t="shared" si="13"/>
        <v>17794.709671999997</v>
      </c>
      <c r="L388" t="str">
        <f t="shared" si="12"/>
        <v>R 4</v>
      </c>
    </row>
    <row r="389" spans="8:12" x14ac:dyDescent="0.25">
      <c r="H389" t="s">
        <v>735</v>
      </c>
      <c r="I389">
        <v>109.75119999999998</v>
      </c>
      <c r="J389">
        <v>0.64500000000000013</v>
      </c>
      <c r="K389">
        <f t="shared" si="13"/>
        <v>17904.460871999996</v>
      </c>
      <c r="L389" t="str">
        <f t="shared" si="12"/>
        <v>R 4</v>
      </c>
    </row>
    <row r="390" spans="8:12" x14ac:dyDescent="0.25">
      <c r="H390" t="s">
        <v>1011</v>
      </c>
      <c r="I390">
        <v>172.82886000000002</v>
      </c>
      <c r="J390">
        <v>0.64900000000000013</v>
      </c>
      <c r="K390">
        <f t="shared" si="13"/>
        <v>18077.289731999997</v>
      </c>
      <c r="L390" t="str">
        <f t="shared" si="12"/>
        <v>R 4</v>
      </c>
    </row>
    <row r="391" spans="8:12" x14ac:dyDescent="0.25">
      <c r="H391" t="s">
        <v>1043</v>
      </c>
      <c r="I391">
        <v>172.82397999999998</v>
      </c>
      <c r="J391">
        <v>0.65</v>
      </c>
      <c r="K391">
        <f t="shared" si="13"/>
        <v>18250.113711999998</v>
      </c>
      <c r="L391" t="str">
        <f t="shared" si="12"/>
        <v>R 5</v>
      </c>
    </row>
    <row r="392" spans="8:12" x14ac:dyDescent="0.25">
      <c r="H392" t="s">
        <v>795</v>
      </c>
      <c r="I392">
        <v>172.61291999999997</v>
      </c>
      <c r="J392">
        <v>0.65</v>
      </c>
      <c r="K392">
        <f t="shared" si="13"/>
        <v>18422.726631999998</v>
      </c>
      <c r="L392" t="str">
        <f t="shared" si="12"/>
        <v>R 5</v>
      </c>
    </row>
    <row r="393" spans="8:12" x14ac:dyDescent="0.25">
      <c r="H393" t="s">
        <v>1023</v>
      </c>
      <c r="I393">
        <v>198.34271999999999</v>
      </c>
      <c r="J393">
        <v>0.65</v>
      </c>
      <c r="K393">
        <f t="shared" si="13"/>
        <v>18621.069351999999</v>
      </c>
      <c r="L393" t="str">
        <f t="shared" si="12"/>
        <v>R 5</v>
      </c>
    </row>
    <row r="394" spans="8:12" x14ac:dyDescent="0.25">
      <c r="H394" t="s">
        <v>1042</v>
      </c>
      <c r="I394">
        <v>172.67147999999997</v>
      </c>
      <c r="J394">
        <v>0.65</v>
      </c>
      <c r="K394">
        <f t="shared" si="13"/>
        <v>18793.740832</v>
      </c>
      <c r="L394" t="str">
        <f t="shared" si="12"/>
        <v>R 5</v>
      </c>
    </row>
    <row r="395" spans="8:12" x14ac:dyDescent="0.25">
      <c r="H395" t="s">
        <v>1046</v>
      </c>
      <c r="I395">
        <v>198.28782000000001</v>
      </c>
      <c r="J395">
        <v>0.65</v>
      </c>
      <c r="K395">
        <f t="shared" si="13"/>
        <v>18992.028652000001</v>
      </c>
      <c r="L395" t="str">
        <f t="shared" si="12"/>
        <v>R 5</v>
      </c>
    </row>
    <row r="396" spans="8:12" x14ac:dyDescent="0.25">
      <c r="H396" t="s">
        <v>796</v>
      </c>
      <c r="I396">
        <v>172.66172</v>
      </c>
      <c r="J396">
        <v>0.65</v>
      </c>
      <c r="K396">
        <f t="shared" si="13"/>
        <v>19164.690372000001</v>
      </c>
      <c r="L396" t="str">
        <f t="shared" si="12"/>
        <v>R 5</v>
      </c>
    </row>
    <row r="397" spans="8:12" x14ac:dyDescent="0.25">
      <c r="H397" t="s">
        <v>1090</v>
      </c>
      <c r="I397">
        <v>160.86920000000001</v>
      </c>
      <c r="J397">
        <v>0.65500000000000003</v>
      </c>
      <c r="K397">
        <f t="shared" si="13"/>
        <v>19325.559572000002</v>
      </c>
      <c r="L397" t="str">
        <f t="shared" si="12"/>
        <v>R 5</v>
      </c>
    </row>
    <row r="398" spans="8:12" x14ac:dyDescent="0.25">
      <c r="H398" t="s">
        <v>782</v>
      </c>
      <c r="I398">
        <v>136.88400000000001</v>
      </c>
      <c r="J398">
        <v>0.65500000000000003</v>
      </c>
      <c r="K398">
        <f t="shared" si="13"/>
        <v>19462.443572000004</v>
      </c>
      <c r="L398" t="str">
        <f t="shared" si="12"/>
        <v>R 5</v>
      </c>
    </row>
    <row r="399" spans="8:12" x14ac:dyDescent="0.25">
      <c r="H399" t="s">
        <v>753</v>
      </c>
      <c r="I399">
        <v>120.25539999999999</v>
      </c>
      <c r="J399">
        <v>0.65500000000000003</v>
      </c>
      <c r="K399">
        <f t="shared" si="13"/>
        <v>19582.698972000002</v>
      </c>
      <c r="L399" t="str">
        <f t="shared" si="12"/>
        <v>R 5</v>
      </c>
    </row>
    <row r="400" spans="8:12" x14ac:dyDescent="0.25">
      <c r="H400" t="s">
        <v>743</v>
      </c>
      <c r="I400">
        <v>108.7264</v>
      </c>
      <c r="J400">
        <v>0.65500000000000003</v>
      </c>
      <c r="K400">
        <f t="shared" si="13"/>
        <v>19691.425372000002</v>
      </c>
      <c r="L400" t="str">
        <f t="shared" si="12"/>
        <v>R 5</v>
      </c>
    </row>
    <row r="401" spans="8:12" x14ac:dyDescent="0.25">
      <c r="H401" t="s">
        <v>752</v>
      </c>
      <c r="I401">
        <v>110.4344</v>
      </c>
      <c r="J401">
        <v>0.65500000000000003</v>
      </c>
      <c r="K401">
        <f t="shared" si="13"/>
        <v>19801.859772</v>
      </c>
      <c r="L401" t="str">
        <f t="shared" si="12"/>
        <v>R 5</v>
      </c>
    </row>
    <row r="402" spans="8:12" x14ac:dyDescent="0.25">
      <c r="H402" t="s">
        <v>1137</v>
      </c>
      <c r="I402">
        <v>160.34460000000001</v>
      </c>
      <c r="J402">
        <v>0.65500000000000014</v>
      </c>
      <c r="K402">
        <f t="shared" si="13"/>
        <v>19962.204372</v>
      </c>
      <c r="L402" t="str">
        <f t="shared" si="12"/>
        <v>R 5</v>
      </c>
    </row>
    <row r="403" spans="8:12" x14ac:dyDescent="0.25">
      <c r="H403" t="s">
        <v>1123</v>
      </c>
      <c r="I403">
        <v>160.34460000000001</v>
      </c>
      <c r="J403">
        <v>0.65500000000000014</v>
      </c>
      <c r="K403">
        <f t="shared" si="13"/>
        <v>20122.548972000001</v>
      </c>
      <c r="L403" t="str">
        <f t="shared" si="12"/>
        <v>R 5</v>
      </c>
    </row>
    <row r="404" spans="8:12" x14ac:dyDescent="0.25">
      <c r="H404" t="s">
        <v>1000</v>
      </c>
      <c r="I404">
        <v>343.92898000000002</v>
      </c>
      <c r="J404">
        <v>0.66500000000000004</v>
      </c>
      <c r="K404">
        <f t="shared" si="13"/>
        <v>20466.477952000001</v>
      </c>
      <c r="L404" t="str">
        <f t="shared" si="12"/>
        <v>R 5</v>
      </c>
    </row>
    <row r="405" spans="8:12" x14ac:dyDescent="0.25">
      <c r="H405" t="s">
        <v>746</v>
      </c>
      <c r="I405">
        <v>108.64099999999999</v>
      </c>
      <c r="J405">
        <v>0.66500000000000004</v>
      </c>
      <c r="K405">
        <f t="shared" si="13"/>
        <v>20575.118952000001</v>
      </c>
      <c r="L405" t="str">
        <f t="shared" si="12"/>
        <v>R 5</v>
      </c>
    </row>
    <row r="406" spans="8:12" x14ac:dyDescent="0.25">
      <c r="H406" t="s">
        <v>747</v>
      </c>
      <c r="I406">
        <v>118.4132</v>
      </c>
      <c r="J406">
        <v>0.66500000000000004</v>
      </c>
      <c r="K406">
        <f t="shared" si="13"/>
        <v>20693.532152</v>
      </c>
      <c r="L406" t="str">
        <f t="shared" ref="L406:L469" si="14">IF(AND(K406&gt;=0,K406&lt;=7351),"R 1",IF(AND(K406&gt;=7351,K406&lt;=10378),"R 2",IF(AND(K406&gt;=10378,K406&lt;=13405),"R 3",IF(AND(K406&gt;=13405,K406&lt;=18161),"R 4",IF(AND(K406&gt;=18161,K406&lt;=21620),"R 5",IF(AND(K406&gt;=21620,K406&lt;=24647),"R 6",IF(AND(K406&gt;=24647,K406&lt;=28106),"R 7",IF(AND(K406&gt;=28106,K406&lt;=33295),"R 8",IF(AND(K406&gt;=33295,K406&lt;=36754),"R 9",IF(AND(K406&gt;=36754,K406&lt;=38052),"R 10",IF(AND(K406&gt;=38052,K406&lt;=39349),"R 11",IF(AND(K406&gt;=39349,K406&lt;=43300),"R 12"))))))))))))</f>
        <v>R 5</v>
      </c>
    </row>
    <row r="407" spans="8:12" x14ac:dyDescent="0.25">
      <c r="H407" t="s">
        <v>787</v>
      </c>
      <c r="I407">
        <v>343.58616000000001</v>
      </c>
      <c r="J407">
        <v>0.66500000000000004</v>
      </c>
      <c r="K407">
        <f t="shared" ref="K407:K470" si="15">K406+I407</f>
        <v>21037.118311999999</v>
      </c>
      <c r="L407" t="str">
        <f t="shared" si="14"/>
        <v>R 5</v>
      </c>
    </row>
    <row r="408" spans="8:12" x14ac:dyDescent="0.25">
      <c r="H408" t="s">
        <v>737</v>
      </c>
      <c r="I408">
        <v>108.64099999999999</v>
      </c>
      <c r="J408">
        <v>0.66500000000000004</v>
      </c>
      <c r="K408">
        <f t="shared" si="15"/>
        <v>21145.759311999998</v>
      </c>
      <c r="L408" t="str">
        <f t="shared" si="14"/>
        <v>R 5</v>
      </c>
    </row>
    <row r="409" spans="8:12" x14ac:dyDescent="0.25">
      <c r="H409" t="s">
        <v>788</v>
      </c>
      <c r="I409">
        <v>343.92898000000002</v>
      </c>
      <c r="J409">
        <v>0.66500000000000004</v>
      </c>
      <c r="K409">
        <f t="shared" si="15"/>
        <v>21489.688291999999</v>
      </c>
      <c r="L409" t="str">
        <f t="shared" si="14"/>
        <v>R 5</v>
      </c>
    </row>
    <row r="410" spans="8:12" x14ac:dyDescent="0.25">
      <c r="H410" t="s">
        <v>999</v>
      </c>
      <c r="I410">
        <v>343.58616000000001</v>
      </c>
      <c r="J410">
        <v>0.66500000000000004</v>
      </c>
      <c r="K410">
        <f t="shared" si="15"/>
        <v>21833.274451999998</v>
      </c>
      <c r="L410" t="str">
        <f t="shared" si="14"/>
        <v>R 6</v>
      </c>
    </row>
    <row r="411" spans="8:12" x14ac:dyDescent="0.25">
      <c r="H411" t="s">
        <v>734</v>
      </c>
      <c r="I411">
        <v>134.3708</v>
      </c>
      <c r="J411">
        <v>0.66500000000000015</v>
      </c>
      <c r="K411">
        <f t="shared" si="15"/>
        <v>21967.645251999998</v>
      </c>
      <c r="L411" t="str">
        <f t="shared" si="14"/>
        <v>R 6</v>
      </c>
    </row>
    <row r="412" spans="8:12" x14ac:dyDescent="0.25">
      <c r="H412" t="s">
        <v>1085</v>
      </c>
      <c r="I412">
        <v>159.96639999999999</v>
      </c>
      <c r="J412">
        <v>0.66500000000000015</v>
      </c>
      <c r="K412">
        <f t="shared" si="15"/>
        <v>22127.611652</v>
      </c>
      <c r="L412" t="str">
        <f t="shared" si="14"/>
        <v>R 6</v>
      </c>
    </row>
    <row r="413" spans="8:12" x14ac:dyDescent="0.25">
      <c r="H413" t="s">
        <v>1093</v>
      </c>
      <c r="I413">
        <v>159.96639999999999</v>
      </c>
      <c r="J413">
        <v>0.66500000000000015</v>
      </c>
      <c r="K413">
        <f t="shared" si="15"/>
        <v>22287.578052000001</v>
      </c>
      <c r="L413" t="str">
        <f t="shared" si="14"/>
        <v>R 6</v>
      </c>
    </row>
    <row r="414" spans="8:12" x14ac:dyDescent="0.25">
      <c r="H414" t="s">
        <v>945</v>
      </c>
      <c r="I414">
        <v>224.34214</v>
      </c>
      <c r="J414">
        <v>0.66900000000000015</v>
      </c>
      <c r="K414">
        <f t="shared" si="15"/>
        <v>22511.920192000001</v>
      </c>
      <c r="L414" t="str">
        <f t="shared" si="14"/>
        <v>R 6</v>
      </c>
    </row>
    <row r="415" spans="8:12" x14ac:dyDescent="0.25">
      <c r="H415" t="s">
        <v>1110</v>
      </c>
      <c r="I415">
        <v>152.1584</v>
      </c>
      <c r="J415">
        <v>0.67</v>
      </c>
      <c r="K415">
        <f t="shared" si="15"/>
        <v>22664.078592000002</v>
      </c>
      <c r="L415" t="str">
        <f t="shared" si="14"/>
        <v>R 6</v>
      </c>
    </row>
    <row r="416" spans="8:12" x14ac:dyDescent="0.25">
      <c r="H416" t="s">
        <v>1074</v>
      </c>
      <c r="I416">
        <v>152.60980000000001</v>
      </c>
      <c r="J416">
        <v>0.67</v>
      </c>
      <c r="K416">
        <f t="shared" si="15"/>
        <v>22816.688392</v>
      </c>
      <c r="L416" t="str">
        <f t="shared" si="14"/>
        <v>R 6</v>
      </c>
    </row>
    <row r="417" spans="8:12" x14ac:dyDescent="0.25">
      <c r="H417" t="s">
        <v>1054</v>
      </c>
      <c r="I417">
        <v>152.60980000000001</v>
      </c>
      <c r="J417">
        <v>0.67</v>
      </c>
      <c r="K417">
        <f t="shared" si="15"/>
        <v>22969.298191999998</v>
      </c>
      <c r="L417" t="str">
        <f t="shared" si="14"/>
        <v>R 6</v>
      </c>
    </row>
    <row r="418" spans="8:12" x14ac:dyDescent="0.25">
      <c r="H418" t="s">
        <v>1100</v>
      </c>
      <c r="I418">
        <v>152.1584</v>
      </c>
      <c r="J418">
        <v>0.67</v>
      </c>
      <c r="K418">
        <f t="shared" si="15"/>
        <v>23121.456591999999</v>
      </c>
      <c r="L418" t="str">
        <f t="shared" si="14"/>
        <v>R 6</v>
      </c>
    </row>
    <row r="419" spans="8:12" x14ac:dyDescent="0.25">
      <c r="H419" t="s">
        <v>1071</v>
      </c>
      <c r="I419">
        <v>160.69839999999999</v>
      </c>
      <c r="J419">
        <v>0.67</v>
      </c>
      <c r="K419">
        <f t="shared" si="15"/>
        <v>23282.154992</v>
      </c>
      <c r="L419" t="str">
        <f t="shared" si="14"/>
        <v>R 6</v>
      </c>
    </row>
    <row r="420" spans="8:12" x14ac:dyDescent="0.25">
      <c r="H420" t="s">
        <v>814</v>
      </c>
      <c r="I420">
        <v>172.10906</v>
      </c>
      <c r="J420">
        <v>0.67249999999999999</v>
      </c>
      <c r="K420">
        <f t="shared" si="15"/>
        <v>23454.264051999999</v>
      </c>
      <c r="L420" t="str">
        <f t="shared" si="14"/>
        <v>R 6</v>
      </c>
    </row>
    <row r="421" spans="8:12" x14ac:dyDescent="0.25">
      <c r="H421" t="s">
        <v>980</v>
      </c>
      <c r="I421">
        <v>172.17982000000001</v>
      </c>
      <c r="J421">
        <v>0.67249999999999999</v>
      </c>
      <c r="K421">
        <f t="shared" si="15"/>
        <v>23626.443872</v>
      </c>
      <c r="L421" t="str">
        <f t="shared" si="14"/>
        <v>R 6</v>
      </c>
    </row>
    <row r="422" spans="8:12" x14ac:dyDescent="0.25">
      <c r="H422" t="s">
        <v>1044</v>
      </c>
      <c r="I422">
        <v>224.34214</v>
      </c>
      <c r="J422">
        <v>0.67500000000000004</v>
      </c>
      <c r="K422">
        <f t="shared" si="15"/>
        <v>23850.786012</v>
      </c>
      <c r="L422" t="str">
        <f t="shared" si="14"/>
        <v>R 6</v>
      </c>
    </row>
    <row r="423" spans="8:12" x14ac:dyDescent="0.25">
      <c r="H423" t="s">
        <v>779</v>
      </c>
      <c r="I423">
        <v>118.4498</v>
      </c>
      <c r="J423">
        <v>0.67500000000000004</v>
      </c>
      <c r="K423">
        <f t="shared" si="15"/>
        <v>23969.235811999999</v>
      </c>
      <c r="L423" t="str">
        <f t="shared" si="14"/>
        <v>R 6</v>
      </c>
    </row>
    <row r="424" spans="8:12" x14ac:dyDescent="0.25">
      <c r="H424" t="s">
        <v>780</v>
      </c>
      <c r="I424">
        <v>108.64099999999999</v>
      </c>
      <c r="J424">
        <v>0.67500000000000004</v>
      </c>
      <c r="K424">
        <f t="shared" si="15"/>
        <v>24077.876811999999</v>
      </c>
      <c r="L424" t="str">
        <f t="shared" si="14"/>
        <v>R 6</v>
      </c>
    </row>
    <row r="425" spans="8:12" x14ac:dyDescent="0.25">
      <c r="H425" t="s">
        <v>784</v>
      </c>
      <c r="I425">
        <v>108.64099999999999</v>
      </c>
      <c r="J425">
        <v>0.67500000000000004</v>
      </c>
      <c r="K425">
        <f t="shared" si="15"/>
        <v>24186.517811999998</v>
      </c>
      <c r="L425" t="str">
        <f t="shared" si="14"/>
        <v>R 6</v>
      </c>
    </row>
    <row r="426" spans="8:12" x14ac:dyDescent="0.25">
      <c r="H426" t="s">
        <v>742</v>
      </c>
      <c r="I426">
        <v>134.4196</v>
      </c>
      <c r="J426">
        <v>0.67500000000000016</v>
      </c>
      <c r="K426">
        <f t="shared" si="15"/>
        <v>24320.937411999999</v>
      </c>
      <c r="L426" t="str">
        <f t="shared" si="14"/>
        <v>R 6</v>
      </c>
    </row>
    <row r="427" spans="8:12" x14ac:dyDescent="0.25">
      <c r="H427" t="s">
        <v>1049</v>
      </c>
      <c r="I427">
        <v>175.55311999999998</v>
      </c>
      <c r="J427">
        <v>0.67749999999999999</v>
      </c>
      <c r="K427">
        <f t="shared" si="15"/>
        <v>24496.490532</v>
      </c>
      <c r="L427" t="str">
        <f t="shared" si="14"/>
        <v>R 6</v>
      </c>
    </row>
    <row r="428" spans="8:12" x14ac:dyDescent="0.25">
      <c r="H428" t="s">
        <v>846</v>
      </c>
      <c r="I428">
        <v>228.262</v>
      </c>
      <c r="J428">
        <v>0.67900000000000005</v>
      </c>
      <c r="K428">
        <f t="shared" si="15"/>
        <v>24724.752531999999</v>
      </c>
      <c r="L428" t="str">
        <f t="shared" si="14"/>
        <v>R 7</v>
      </c>
    </row>
    <row r="429" spans="8:12" x14ac:dyDescent="0.25">
      <c r="H429" t="s">
        <v>953</v>
      </c>
      <c r="I429">
        <v>222.47554</v>
      </c>
      <c r="J429">
        <v>0.67900000000000016</v>
      </c>
      <c r="K429">
        <f t="shared" si="15"/>
        <v>24947.228071999998</v>
      </c>
      <c r="L429" t="str">
        <f t="shared" si="14"/>
        <v>R 7</v>
      </c>
    </row>
    <row r="430" spans="8:12" x14ac:dyDescent="0.25">
      <c r="H430" t="s">
        <v>1022</v>
      </c>
      <c r="I430">
        <v>180.00489999999999</v>
      </c>
      <c r="J430">
        <v>0.67900000000000016</v>
      </c>
      <c r="K430">
        <f t="shared" si="15"/>
        <v>25127.232971999998</v>
      </c>
      <c r="L430" t="str">
        <f t="shared" si="14"/>
        <v>R 7</v>
      </c>
    </row>
    <row r="431" spans="8:12" x14ac:dyDescent="0.25">
      <c r="H431" t="s">
        <v>1010</v>
      </c>
      <c r="I431">
        <v>198.59281999999999</v>
      </c>
      <c r="J431">
        <v>0.68</v>
      </c>
      <c r="K431">
        <f t="shared" si="15"/>
        <v>25325.825792</v>
      </c>
      <c r="L431" t="str">
        <f t="shared" si="14"/>
        <v>R 7</v>
      </c>
    </row>
    <row r="432" spans="8:12" x14ac:dyDescent="0.25">
      <c r="H432" t="s">
        <v>1120</v>
      </c>
      <c r="I432">
        <v>154.7936</v>
      </c>
      <c r="J432">
        <v>0.68</v>
      </c>
      <c r="K432">
        <f t="shared" si="15"/>
        <v>25480.619392000001</v>
      </c>
      <c r="L432" t="str">
        <f t="shared" si="14"/>
        <v>R 7</v>
      </c>
    </row>
    <row r="433" spans="8:12" x14ac:dyDescent="0.25">
      <c r="H433" t="s">
        <v>1072</v>
      </c>
      <c r="I433">
        <v>155.0864</v>
      </c>
      <c r="J433">
        <v>0.68</v>
      </c>
      <c r="K433">
        <f t="shared" si="15"/>
        <v>25635.705792000001</v>
      </c>
      <c r="L433" t="str">
        <f t="shared" si="14"/>
        <v>R 7</v>
      </c>
    </row>
    <row r="434" spans="8:12" x14ac:dyDescent="0.25">
      <c r="H434" t="s">
        <v>971</v>
      </c>
      <c r="I434">
        <v>198.64771999999999</v>
      </c>
      <c r="J434">
        <v>0.68</v>
      </c>
      <c r="K434">
        <f t="shared" si="15"/>
        <v>25834.353512000002</v>
      </c>
      <c r="L434" t="str">
        <f t="shared" si="14"/>
        <v>R 7</v>
      </c>
    </row>
    <row r="435" spans="8:12" x14ac:dyDescent="0.25">
      <c r="H435" t="s">
        <v>803</v>
      </c>
      <c r="I435">
        <v>198.59281999999999</v>
      </c>
      <c r="J435">
        <v>0.68</v>
      </c>
      <c r="K435">
        <f t="shared" si="15"/>
        <v>26032.946332000003</v>
      </c>
      <c r="L435" t="str">
        <f t="shared" si="14"/>
        <v>R 7</v>
      </c>
    </row>
    <row r="436" spans="8:12" x14ac:dyDescent="0.25">
      <c r="H436" t="s">
        <v>1140</v>
      </c>
      <c r="I436">
        <v>154.87899999999999</v>
      </c>
      <c r="J436">
        <v>0.68</v>
      </c>
      <c r="K436">
        <f t="shared" si="15"/>
        <v>26187.825332000004</v>
      </c>
      <c r="L436" t="str">
        <f t="shared" si="14"/>
        <v>R 7</v>
      </c>
    </row>
    <row r="437" spans="8:12" x14ac:dyDescent="0.25">
      <c r="H437" t="s">
        <v>1096</v>
      </c>
      <c r="I437">
        <v>154.67160000000001</v>
      </c>
      <c r="J437">
        <v>0.68</v>
      </c>
      <c r="K437">
        <f t="shared" si="15"/>
        <v>26342.496932000005</v>
      </c>
      <c r="L437" t="str">
        <f t="shared" si="14"/>
        <v>R 7</v>
      </c>
    </row>
    <row r="438" spans="8:12" x14ac:dyDescent="0.25">
      <c r="H438" t="s">
        <v>1124</v>
      </c>
      <c r="I438">
        <v>154.87899999999999</v>
      </c>
      <c r="J438">
        <v>0.68</v>
      </c>
      <c r="K438">
        <f t="shared" si="15"/>
        <v>26497.375932000006</v>
      </c>
      <c r="L438" t="str">
        <f t="shared" si="14"/>
        <v>R 7</v>
      </c>
    </row>
    <row r="439" spans="8:12" x14ac:dyDescent="0.25">
      <c r="H439" t="s">
        <v>1086</v>
      </c>
      <c r="I439">
        <v>154.67160000000001</v>
      </c>
      <c r="J439">
        <v>0.68</v>
      </c>
      <c r="K439">
        <f t="shared" si="15"/>
        <v>26652.047532000008</v>
      </c>
      <c r="L439" t="str">
        <f t="shared" si="14"/>
        <v>R 7</v>
      </c>
    </row>
    <row r="440" spans="8:12" x14ac:dyDescent="0.25">
      <c r="H440" t="s">
        <v>1081</v>
      </c>
      <c r="I440">
        <v>155.17179999999999</v>
      </c>
      <c r="J440">
        <v>0.68</v>
      </c>
      <c r="K440">
        <f t="shared" si="15"/>
        <v>26807.219332000008</v>
      </c>
      <c r="L440" t="str">
        <f t="shared" si="14"/>
        <v>R 7</v>
      </c>
    </row>
    <row r="441" spans="8:12" x14ac:dyDescent="0.25">
      <c r="H441" t="s">
        <v>1116</v>
      </c>
      <c r="I441">
        <v>155.12299999999999</v>
      </c>
      <c r="J441">
        <v>0.68</v>
      </c>
      <c r="K441">
        <f t="shared" si="15"/>
        <v>26962.342332000007</v>
      </c>
      <c r="L441" t="str">
        <f t="shared" si="14"/>
        <v>R 7</v>
      </c>
    </row>
    <row r="442" spans="8:12" x14ac:dyDescent="0.25">
      <c r="H442" t="s">
        <v>986</v>
      </c>
      <c r="I442">
        <v>198.64771999999999</v>
      </c>
      <c r="J442">
        <v>0.68</v>
      </c>
      <c r="K442">
        <f t="shared" si="15"/>
        <v>27160.990052000008</v>
      </c>
      <c r="L442" t="str">
        <f t="shared" si="14"/>
        <v>R 7</v>
      </c>
    </row>
    <row r="443" spans="8:12" x14ac:dyDescent="0.25">
      <c r="H443" t="s">
        <v>1061</v>
      </c>
      <c r="I443">
        <v>155.17179999999999</v>
      </c>
      <c r="J443">
        <v>0.68</v>
      </c>
      <c r="K443">
        <f t="shared" si="15"/>
        <v>27316.161852000008</v>
      </c>
      <c r="L443" t="str">
        <f t="shared" si="14"/>
        <v>R 7</v>
      </c>
    </row>
    <row r="444" spans="8:12" x14ac:dyDescent="0.25">
      <c r="H444" t="s">
        <v>1132</v>
      </c>
      <c r="I444">
        <v>159.85659999999999</v>
      </c>
      <c r="J444">
        <v>0.68</v>
      </c>
      <c r="K444">
        <f t="shared" si="15"/>
        <v>27476.018452000008</v>
      </c>
      <c r="L444" t="str">
        <f t="shared" si="14"/>
        <v>R 7</v>
      </c>
    </row>
    <row r="445" spans="8:12" x14ac:dyDescent="0.25">
      <c r="H445" t="s">
        <v>1107</v>
      </c>
      <c r="I445">
        <v>154.7936</v>
      </c>
      <c r="J445">
        <v>0.68</v>
      </c>
      <c r="K445">
        <f t="shared" si="15"/>
        <v>27630.812052000008</v>
      </c>
      <c r="L445" t="str">
        <f t="shared" si="14"/>
        <v>R 7</v>
      </c>
    </row>
    <row r="446" spans="8:12" x14ac:dyDescent="0.25">
      <c r="H446" t="s">
        <v>1133</v>
      </c>
      <c r="I446">
        <v>154.8058</v>
      </c>
      <c r="J446">
        <v>0.68</v>
      </c>
      <c r="K446">
        <f t="shared" si="15"/>
        <v>27785.617852000007</v>
      </c>
      <c r="L446" t="str">
        <f t="shared" si="14"/>
        <v>R 7</v>
      </c>
    </row>
    <row r="447" spans="8:12" x14ac:dyDescent="0.25">
      <c r="H447" t="s">
        <v>1052</v>
      </c>
      <c r="I447">
        <v>222.48041999999998</v>
      </c>
      <c r="J447">
        <v>0.68499999999999994</v>
      </c>
      <c r="K447">
        <f t="shared" si="15"/>
        <v>28008.098272000007</v>
      </c>
      <c r="L447" t="str">
        <f t="shared" si="14"/>
        <v>R 7</v>
      </c>
    </row>
    <row r="448" spans="8:12" x14ac:dyDescent="0.25">
      <c r="H448" t="s">
        <v>830</v>
      </c>
      <c r="I448">
        <v>343.58616000000001</v>
      </c>
      <c r="J448">
        <v>0.68500000000000005</v>
      </c>
      <c r="K448">
        <f t="shared" si="15"/>
        <v>28351.684432000005</v>
      </c>
      <c r="L448" t="str">
        <f t="shared" si="14"/>
        <v>R 8</v>
      </c>
    </row>
    <row r="449" spans="8:12" x14ac:dyDescent="0.25">
      <c r="H449" t="s">
        <v>831</v>
      </c>
      <c r="I449">
        <v>343.92898000000002</v>
      </c>
      <c r="J449">
        <v>0.68500000000000005</v>
      </c>
      <c r="K449">
        <f t="shared" si="15"/>
        <v>28695.613412000006</v>
      </c>
      <c r="L449" t="str">
        <f t="shared" si="14"/>
        <v>R 8</v>
      </c>
    </row>
    <row r="450" spans="8:12" x14ac:dyDescent="0.25">
      <c r="H450" t="s">
        <v>988</v>
      </c>
      <c r="I450">
        <v>180.00489999999999</v>
      </c>
      <c r="J450">
        <v>0.68500000000000005</v>
      </c>
      <c r="K450">
        <f t="shared" si="15"/>
        <v>28875.618312000006</v>
      </c>
      <c r="L450" t="str">
        <f t="shared" si="14"/>
        <v>R 8</v>
      </c>
    </row>
    <row r="451" spans="8:12" x14ac:dyDescent="0.25">
      <c r="H451" t="s">
        <v>736</v>
      </c>
      <c r="I451">
        <v>134.3708</v>
      </c>
      <c r="J451">
        <v>0.68500000000000016</v>
      </c>
      <c r="K451">
        <f t="shared" si="15"/>
        <v>29009.989112000007</v>
      </c>
      <c r="L451" t="str">
        <f t="shared" si="14"/>
        <v>R 8</v>
      </c>
    </row>
    <row r="452" spans="8:12" x14ac:dyDescent="0.25">
      <c r="H452" t="s">
        <v>1014</v>
      </c>
      <c r="I452">
        <v>175.66658000000001</v>
      </c>
      <c r="J452">
        <v>0.68900000000000006</v>
      </c>
      <c r="K452">
        <f t="shared" si="15"/>
        <v>29185.655692000008</v>
      </c>
      <c r="L452" t="str">
        <f t="shared" si="14"/>
        <v>R 8</v>
      </c>
    </row>
    <row r="453" spans="8:12" x14ac:dyDescent="0.25">
      <c r="H453" t="s">
        <v>947</v>
      </c>
      <c r="I453">
        <v>224.03713999999999</v>
      </c>
      <c r="J453">
        <v>0.68900000000000017</v>
      </c>
      <c r="K453">
        <f t="shared" si="15"/>
        <v>29409.692832000008</v>
      </c>
      <c r="L453" t="str">
        <f t="shared" si="14"/>
        <v>R 8</v>
      </c>
    </row>
    <row r="454" spans="8:12" x14ac:dyDescent="0.25">
      <c r="H454" t="s">
        <v>1033</v>
      </c>
      <c r="I454">
        <v>173.15338</v>
      </c>
      <c r="J454">
        <v>0.68900000000000017</v>
      </c>
      <c r="K454">
        <f t="shared" si="15"/>
        <v>29582.846212000008</v>
      </c>
      <c r="L454" t="str">
        <f t="shared" si="14"/>
        <v>R 8</v>
      </c>
    </row>
    <row r="455" spans="8:12" x14ac:dyDescent="0.25">
      <c r="H455" t="s">
        <v>1026</v>
      </c>
      <c r="I455">
        <v>204.00108</v>
      </c>
      <c r="J455">
        <v>0.69000000000000006</v>
      </c>
      <c r="K455">
        <f t="shared" si="15"/>
        <v>29786.847292000006</v>
      </c>
      <c r="L455" t="str">
        <f t="shared" si="14"/>
        <v>R 8</v>
      </c>
    </row>
    <row r="456" spans="8:12" x14ac:dyDescent="0.25">
      <c r="H456" t="s">
        <v>996</v>
      </c>
      <c r="I456">
        <v>198.23779999999999</v>
      </c>
      <c r="J456">
        <v>0.69000000000000006</v>
      </c>
      <c r="K456">
        <f t="shared" si="15"/>
        <v>29985.085092000005</v>
      </c>
      <c r="L456" t="str">
        <f t="shared" si="14"/>
        <v>R 8</v>
      </c>
    </row>
    <row r="457" spans="8:12" x14ac:dyDescent="0.25">
      <c r="H457" t="s">
        <v>1102</v>
      </c>
      <c r="I457">
        <v>154.13480000000001</v>
      </c>
      <c r="J457">
        <v>0.69000000000000006</v>
      </c>
      <c r="K457">
        <f t="shared" si="15"/>
        <v>30139.219892000005</v>
      </c>
      <c r="L457" t="str">
        <f t="shared" si="14"/>
        <v>R 8</v>
      </c>
    </row>
    <row r="458" spans="8:12" x14ac:dyDescent="0.25">
      <c r="H458" t="s">
        <v>1048</v>
      </c>
      <c r="I458">
        <v>203.94618</v>
      </c>
      <c r="J458">
        <v>0.69000000000000006</v>
      </c>
      <c r="K458">
        <f t="shared" si="15"/>
        <v>30343.166072000004</v>
      </c>
      <c r="L458" t="str">
        <f t="shared" si="14"/>
        <v>R 8</v>
      </c>
    </row>
    <row r="459" spans="8:12" x14ac:dyDescent="0.25">
      <c r="H459" t="s">
        <v>1112</v>
      </c>
      <c r="I459">
        <v>154.13480000000001</v>
      </c>
      <c r="J459">
        <v>0.69000000000000006</v>
      </c>
      <c r="K459">
        <f t="shared" si="15"/>
        <v>30497.300872000003</v>
      </c>
      <c r="L459" t="str">
        <f t="shared" si="14"/>
        <v>R 8</v>
      </c>
    </row>
    <row r="460" spans="8:12" x14ac:dyDescent="0.25">
      <c r="H460" t="s">
        <v>983</v>
      </c>
      <c r="I460">
        <v>198.23779999999999</v>
      </c>
      <c r="J460">
        <v>0.69000000000000006</v>
      </c>
      <c r="K460">
        <f t="shared" si="15"/>
        <v>30695.538672000002</v>
      </c>
      <c r="L460" t="str">
        <f t="shared" si="14"/>
        <v>R 8</v>
      </c>
    </row>
    <row r="461" spans="8:12" x14ac:dyDescent="0.25">
      <c r="H461" t="s">
        <v>1076</v>
      </c>
      <c r="I461">
        <v>155.11079999999998</v>
      </c>
      <c r="J461">
        <v>0.69000000000000006</v>
      </c>
      <c r="K461">
        <f t="shared" si="15"/>
        <v>30850.649472000001</v>
      </c>
      <c r="L461" t="str">
        <f t="shared" si="14"/>
        <v>R 8</v>
      </c>
    </row>
    <row r="462" spans="8:12" x14ac:dyDescent="0.25">
      <c r="H462" t="s">
        <v>1020</v>
      </c>
      <c r="I462">
        <v>198.18167999999997</v>
      </c>
      <c r="J462">
        <v>0.69000000000000006</v>
      </c>
      <c r="K462">
        <f t="shared" si="15"/>
        <v>31048.831152000002</v>
      </c>
      <c r="L462" t="str">
        <f t="shared" si="14"/>
        <v>R 8</v>
      </c>
    </row>
    <row r="463" spans="8:12" x14ac:dyDescent="0.25">
      <c r="H463" t="s">
        <v>817</v>
      </c>
      <c r="I463">
        <v>198.18167999999997</v>
      </c>
      <c r="J463">
        <v>0.69000000000000006</v>
      </c>
      <c r="K463">
        <f t="shared" si="15"/>
        <v>31247.012832000004</v>
      </c>
      <c r="L463" t="str">
        <f t="shared" si="14"/>
        <v>R 8</v>
      </c>
    </row>
    <row r="464" spans="8:12" x14ac:dyDescent="0.25">
      <c r="H464" t="s">
        <v>1056</v>
      </c>
      <c r="I464">
        <v>155.11079999999998</v>
      </c>
      <c r="J464">
        <v>0.69000000000000006</v>
      </c>
      <c r="K464">
        <f t="shared" si="15"/>
        <v>31402.123632000003</v>
      </c>
      <c r="L464" t="str">
        <f t="shared" si="14"/>
        <v>R 8</v>
      </c>
    </row>
    <row r="465" spans="8:12" x14ac:dyDescent="0.25">
      <c r="H465" t="s">
        <v>1045</v>
      </c>
      <c r="I465">
        <v>224.03713999999999</v>
      </c>
      <c r="J465">
        <v>0.69499999999999995</v>
      </c>
      <c r="K465">
        <f t="shared" si="15"/>
        <v>31626.160772000003</v>
      </c>
      <c r="L465" t="str">
        <f t="shared" si="14"/>
        <v>R 8</v>
      </c>
    </row>
    <row r="466" spans="8:12" x14ac:dyDescent="0.25">
      <c r="H466" t="s">
        <v>1080</v>
      </c>
      <c r="I466">
        <v>160.28359999999998</v>
      </c>
      <c r="J466">
        <v>0.69499999999999995</v>
      </c>
      <c r="K466">
        <f t="shared" si="15"/>
        <v>31786.444372000002</v>
      </c>
      <c r="L466" t="str">
        <f t="shared" si="14"/>
        <v>R 8</v>
      </c>
    </row>
    <row r="467" spans="8:12" x14ac:dyDescent="0.25">
      <c r="H467" t="s">
        <v>1108</v>
      </c>
      <c r="I467">
        <v>160.62519999999998</v>
      </c>
      <c r="J467">
        <v>0.69499999999999995</v>
      </c>
      <c r="K467">
        <f t="shared" si="15"/>
        <v>31947.069572</v>
      </c>
      <c r="L467" t="str">
        <f t="shared" si="14"/>
        <v>R 8</v>
      </c>
    </row>
    <row r="468" spans="8:12" x14ac:dyDescent="0.25">
      <c r="H468" t="s">
        <v>998</v>
      </c>
      <c r="I468">
        <v>173.15338</v>
      </c>
      <c r="J468">
        <v>0.69499999999999995</v>
      </c>
      <c r="K468">
        <f t="shared" si="15"/>
        <v>32120.222952</v>
      </c>
      <c r="L468" t="str">
        <f t="shared" si="14"/>
        <v>R 8</v>
      </c>
    </row>
    <row r="469" spans="8:12" x14ac:dyDescent="0.25">
      <c r="H469" t="s">
        <v>861</v>
      </c>
      <c r="I469">
        <v>160.28359999999998</v>
      </c>
      <c r="J469">
        <v>0.69499999999999995</v>
      </c>
      <c r="K469">
        <f t="shared" si="15"/>
        <v>32280.506551999999</v>
      </c>
      <c r="L469" t="str">
        <f t="shared" si="14"/>
        <v>R 8</v>
      </c>
    </row>
    <row r="470" spans="8:12" x14ac:dyDescent="0.25">
      <c r="H470" t="s">
        <v>1062</v>
      </c>
      <c r="I470">
        <v>160.28359999999998</v>
      </c>
      <c r="J470">
        <v>0.69499999999999995</v>
      </c>
      <c r="K470">
        <f t="shared" si="15"/>
        <v>32440.790151999998</v>
      </c>
      <c r="L470" t="str">
        <f t="shared" ref="L470:L531" si="16">IF(AND(K470&gt;=0,K470&lt;=7351),"R 1",IF(AND(K470&gt;=7351,K470&lt;=10378),"R 2",IF(AND(K470&gt;=10378,K470&lt;=13405),"R 3",IF(AND(K470&gt;=13405,K470&lt;=18161),"R 4",IF(AND(K470&gt;=18161,K470&lt;=21620),"R 5",IF(AND(K470&gt;=21620,K470&lt;=24647),"R 6",IF(AND(K470&gt;=24647,K470&lt;=28106),"R 7",IF(AND(K470&gt;=28106,K470&lt;=33295),"R 8",IF(AND(K470&gt;=33295,K470&lt;=36754),"R 9",IF(AND(K470&gt;=36754,K470&lt;=38052),"R 10",IF(AND(K470&gt;=38052,K470&lt;=39349),"R 11",IF(AND(K470&gt;=39349,K470&lt;=43300),"R 12"))))))))))))</f>
        <v>R 8</v>
      </c>
    </row>
    <row r="471" spans="8:12" x14ac:dyDescent="0.25">
      <c r="H471" t="s">
        <v>785</v>
      </c>
      <c r="I471">
        <v>134.3708</v>
      </c>
      <c r="J471">
        <v>0.69500000000000006</v>
      </c>
      <c r="K471">
        <f t="shared" ref="K471:K531" si="17">K470+I471</f>
        <v>32575.160951999998</v>
      </c>
      <c r="L471" t="str">
        <f t="shared" si="16"/>
        <v>R 8</v>
      </c>
    </row>
    <row r="472" spans="8:12" x14ac:dyDescent="0.25">
      <c r="H472" t="s">
        <v>1073</v>
      </c>
      <c r="I472">
        <v>158.0754</v>
      </c>
      <c r="J472">
        <v>0.69500000000000006</v>
      </c>
      <c r="K472">
        <f t="shared" si="17"/>
        <v>32733.236352</v>
      </c>
      <c r="L472" t="str">
        <f t="shared" si="16"/>
        <v>R 8</v>
      </c>
    </row>
    <row r="473" spans="8:12" x14ac:dyDescent="0.25">
      <c r="H473" t="s">
        <v>1055</v>
      </c>
      <c r="I473">
        <v>158.0754</v>
      </c>
      <c r="J473">
        <v>0.69500000000000006</v>
      </c>
      <c r="K473">
        <f t="shared" si="17"/>
        <v>32891.311752000001</v>
      </c>
      <c r="L473" t="str">
        <f t="shared" si="16"/>
        <v>R 8</v>
      </c>
    </row>
    <row r="474" spans="8:12" x14ac:dyDescent="0.25">
      <c r="H474" t="s">
        <v>1139</v>
      </c>
      <c r="I474">
        <v>160.35679999999999</v>
      </c>
      <c r="J474">
        <v>0.69500000000000006</v>
      </c>
      <c r="K474">
        <f t="shared" si="17"/>
        <v>33051.668552000003</v>
      </c>
      <c r="L474" t="str">
        <f t="shared" si="16"/>
        <v>R 8</v>
      </c>
    </row>
    <row r="475" spans="8:12" x14ac:dyDescent="0.25">
      <c r="H475" t="s">
        <v>1087</v>
      </c>
      <c r="I475">
        <v>160.50319999999999</v>
      </c>
      <c r="J475">
        <v>0.69500000000000006</v>
      </c>
      <c r="K475">
        <f t="shared" si="17"/>
        <v>33212.171752000002</v>
      </c>
      <c r="L475" t="str">
        <f t="shared" si="16"/>
        <v>R 8</v>
      </c>
    </row>
    <row r="476" spans="8:12" x14ac:dyDescent="0.25">
      <c r="H476" t="s">
        <v>1125</v>
      </c>
      <c r="I476">
        <v>160.35679999999999</v>
      </c>
      <c r="J476">
        <v>0.69500000000000006</v>
      </c>
      <c r="K476">
        <f t="shared" si="17"/>
        <v>33372.528552000003</v>
      </c>
      <c r="L476" t="str">
        <f t="shared" si="16"/>
        <v>R 9</v>
      </c>
    </row>
    <row r="477" spans="8:12" x14ac:dyDescent="0.25">
      <c r="H477" t="s">
        <v>1095</v>
      </c>
      <c r="I477">
        <v>160.50319999999999</v>
      </c>
      <c r="J477">
        <v>0.69500000000000006</v>
      </c>
      <c r="K477">
        <f t="shared" si="17"/>
        <v>33533.031752000003</v>
      </c>
      <c r="L477" t="str">
        <f t="shared" si="16"/>
        <v>R 9</v>
      </c>
    </row>
    <row r="478" spans="8:12" x14ac:dyDescent="0.25">
      <c r="H478" t="s">
        <v>1101</v>
      </c>
      <c r="I478">
        <v>157.99</v>
      </c>
      <c r="J478">
        <v>0.69500000000000006</v>
      </c>
      <c r="K478">
        <f t="shared" si="17"/>
        <v>33691.021752000001</v>
      </c>
      <c r="L478" t="str">
        <f t="shared" si="16"/>
        <v>R 9</v>
      </c>
    </row>
    <row r="479" spans="8:12" x14ac:dyDescent="0.25">
      <c r="H479" t="s">
        <v>853</v>
      </c>
      <c r="I479">
        <v>158.0754</v>
      </c>
      <c r="J479">
        <v>0.69500000000000006</v>
      </c>
      <c r="K479">
        <f t="shared" si="17"/>
        <v>33849.097152000002</v>
      </c>
      <c r="L479" t="str">
        <f t="shared" si="16"/>
        <v>R 9</v>
      </c>
    </row>
    <row r="480" spans="8:12" x14ac:dyDescent="0.25">
      <c r="H480" t="s">
        <v>1025</v>
      </c>
      <c r="I480">
        <v>172.82886000000002</v>
      </c>
      <c r="J480">
        <v>0.69900000000000018</v>
      </c>
      <c r="K480">
        <f t="shared" si="17"/>
        <v>34021.926012000004</v>
      </c>
      <c r="L480" t="str">
        <f t="shared" si="16"/>
        <v>R 9</v>
      </c>
    </row>
    <row r="481" spans="8:12" x14ac:dyDescent="0.25">
      <c r="H481" t="s">
        <v>989</v>
      </c>
      <c r="I481">
        <v>198.34271999999999</v>
      </c>
      <c r="J481">
        <v>0.70000000000000007</v>
      </c>
      <c r="K481">
        <f t="shared" si="17"/>
        <v>34220.268732000004</v>
      </c>
      <c r="L481" t="str">
        <f t="shared" si="16"/>
        <v>R 9</v>
      </c>
    </row>
    <row r="482" spans="8:12" x14ac:dyDescent="0.25">
      <c r="H482" t="s">
        <v>1008</v>
      </c>
      <c r="I482">
        <v>172.82397999999998</v>
      </c>
      <c r="J482">
        <v>0.70000000000000007</v>
      </c>
      <c r="K482">
        <f t="shared" si="17"/>
        <v>34393.092712000005</v>
      </c>
      <c r="L482" t="str">
        <f t="shared" si="16"/>
        <v>R 9</v>
      </c>
    </row>
    <row r="483" spans="8:12" x14ac:dyDescent="0.25">
      <c r="H483" t="s">
        <v>798</v>
      </c>
      <c r="I483">
        <v>172.67147999999997</v>
      </c>
      <c r="J483">
        <v>0.70000000000000007</v>
      </c>
      <c r="K483">
        <f t="shared" si="17"/>
        <v>34565.764192000002</v>
      </c>
      <c r="L483" t="str">
        <f t="shared" si="16"/>
        <v>R 9</v>
      </c>
    </row>
    <row r="484" spans="8:12" x14ac:dyDescent="0.25">
      <c r="H484" t="s">
        <v>1013</v>
      </c>
      <c r="I484">
        <v>198.28782000000001</v>
      </c>
      <c r="J484">
        <v>0.70000000000000007</v>
      </c>
      <c r="K484">
        <f t="shared" si="17"/>
        <v>34764.052012</v>
      </c>
      <c r="L484" t="str">
        <f t="shared" si="16"/>
        <v>R 9</v>
      </c>
    </row>
    <row r="485" spans="8:12" x14ac:dyDescent="0.25">
      <c r="H485" t="s">
        <v>799</v>
      </c>
      <c r="I485">
        <v>172.82397999999998</v>
      </c>
      <c r="J485">
        <v>0.70000000000000007</v>
      </c>
      <c r="K485">
        <f t="shared" si="17"/>
        <v>34936.875992000001</v>
      </c>
      <c r="L485" t="str">
        <f t="shared" si="16"/>
        <v>R 9</v>
      </c>
    </row>
    <row r="486" spans="8:12" x14ac:dyDescent="0.25">
      <c r="H486" t="s">
        <v>842</v>
      </c>
      <c r="I486">
        <v>198.59281999999999</v>
      </c>
      <c r="J486">
        <v>0.70000000000000007</v>
      </c>
      <c r="K486">
        <f t="shared" si="17"/>
        <v>35135.468811999999</v>
      </c>
      <c r="L486" t="str">
        <f t="shared" si="16"/>
        <v>R 9</v>
      </c>
    </row>
    <row r="487" spans="8:12" x14ac:dyDescent="0.25">
      <c r="H487" t="s">
        <v>818</v>
      </c>
      <c r="I487">
        <v>198.64771999999999</v>
      </c>
      <c r="J487">
        <v>0.70000000000000007</v>
      </c>
      <c r="K487">
        <f t="shared" si="17"/>
        <v>35334.116532</v>
      </c>
      <c r="L487" t="str">
        <f t="shared" si="16"/>
        <v>R 9</v>
      </c>
    </row>
    <row r="488" spans="8:12" x14ac:dyDescent="0.25">
      <c r="H488" t="s">
        <v>1038</v>
      </c>
      <c r="I488">
        <v>172.56412</v>
      </c>
      <c r="J488">
        <v>0.70000000000000007</v>
      </c>
      <c r="K488">
        <f t="shared" si="17"/>
        <v>35506.680652000003</v>
      </c>
      <c r="L488" t="str">
        <f t="shared" si="16"/>
        <v>R 9</v>
      </c>
    </row>
    <row r="489" spans="8:12" x14ac:dyDescent="0.25">
      <c r="H489" t="s">
        <v>974</v>
      </c>
      <c r="I489">
        <v>198.34271999999999</v>
      </c>
      <c r="J489">
        <v>0.70000000000000007</v>
      </c>
      <c r="K489">
        <f t="shared" si="17"/>
        <v>35705.023372000003</v>
      </c>
      <c r="L489" t="str">
        <f t="shared" si="16"/>
        <v>R 9</v>
      </c>
    </row>
    <row r="490" spans="8:12" x14ac:dyDescent="0.25">
      <c r="H490" t="s">
        <v>1039</v>
      </c>
      <c r="I490">
        <v>172.71784</v>
      </c>
      <c r="J490">
        <v>0.70000000000000007</v>
      </c>
      <c r="K490">
        <f t="shared" si="17"/>
        <v>35877.741212000001</v>
      </c>
      <c r="L490" t="str">
        <f t="shared" si="16"/>
        <v>R 9</v>
      </c>
    </row>
    <row r="491" spans="8:12" x14ac:dyDescent="0.25">
      <c r="H491" t="s">
        <v>1007</v>
      </c>
      <c r="I491">
        <v>172.67147999999997</v>
      </c>
      <c r="J491">
        <v>0.70000000000000007</v>
      </c>
      <c r="K491">
        <f t="shared" si="17"/>
        <v>36050.412691999998</v>
      </c>
      <c r="L491" t="str">
        <f t="shared" si="16"/>
        <v>R 9</v>
      </c>
    </row>
    <row r="492" spans="8:12" x14ac:dyDescent="0.25">
      <c r="H492" t="s">
        <v>806</v>
      </c>
      <c r="I492">
        <v>198.28782000000001</v>
      </c>
      <c r="J492">
        <v>0.70000000000000007</v>
      </c>
      <c r="K492">
        <f t="shared" si="17"/>
        <v>36248.700511999996</v>
      </c>
      <c r="L492" t="str">
        <f t="shared" si="16"/>
        <v>R 9</v>
      </c>
    </row>
    <row r="493" spans="8:12" x14ac:dyDescent="0.25">
      <c r="H493" t="s">
        <v>855</v>
      </c>
      <c r="I493">
        <v>160.34460000000001</v>
      </c>
      <c r="J493">
        <v>0.70499999999999996</v>
      </c>
      <c r="K493">
        <f t="shared" si="17"/>
        <v>36409.045111999993</v>
      </c>
      <c r="L493" t="str">
        <f t="shared" si="16"/>
        <v>R 9</v>
      </c>
    </row>
    <row r="494" spans="8:12" x14ac:dyDescent="0.25">
      <c r="H494" t="s">
        <v>1057</v>
      </c>
      <c r="I494">
        <v>160.34460000000001</v>
      </c>
      <c r="J494">
        <v>0.70499999999999996</v>
      </c>
      <c r="K494">
        <f t="shared" si="17"/>
        <v>36569.389711999989</v>
      </c>
      <c r="L494" t="str">
        <f t="shared" si="16"/>
        <v>R 9</v>
      </c>
    </row>
    <row r="495" spans="8:12" x14ac:dyDescent="0.25">
      <c r="H495" t="s">
        <v>1075</v>
      </c>
      <c r="I495">
        <v>160.34460000000001</v>
      </c>
      <c r="J495">
        <v>0.70499999999999996</v>
      </c>
      <c r="K495">
        <f t="shared" si="17"/>
        <v>36729.734311999986</v>
      </c>
      <c r="L495" t="str">
        <f t="shared" si="16"/>
        <v>R 9</v>
      </c>
    </row>
    <row r="496" spans="8:12" x14ac:dyDescent="0.25">
      <c r="H496" t="s">
        <v>991</v>
      </c>
      <c r="I496">
        <v>172.82886000000002</v>
      </c>
      <c r="J496">
        <v>0.70499999999999996</v>
      </c>
      <c r="K496">
        <f t="shared" si="17"/>
        <v>36902.563171999987</v>
      </c>
      <c r="L496" t="str">
        <f t="shared" si="16"/>
        <v>R 10</v>
      </c>
    </row>
    <row r="497" spans="8:12" x14ac:dyDescent="0.25">
      <c r="H497" t="s">
        <v>739</v>
      </c>
      <c r="I497">
        <v>110.91019999999999</v>
      </c>
      <c r="J497">
        <v>0.70500000000000007</v>
      </c>
      <c r="K497">
        <f t="shared" si="17"/>
        <v>37013.473371999986</v>
      </c>
      <c r="L497" t="str">
        <f t="shared" si="16"/>
        <v>R 10</v>
      </c>
    </row>
    <row r="498" spans="8:12" x14ac:dyDescent="0.25">
      <c r="H498" t="s">
        <v>748</v>
      </c>
      <c r="I498">
        <v>110.91019999999999</v>
      </c>
      <c r="J498">
        <v>0.70500000000000007</v>
      </c>
      <c r="K498">
        <f t="shared" si="17"/>
        <v>37124.383571999984</v>
      </c>
      <c r="L498" t="str">
        <f t="shared" si="16"/>
        <v>R 10</v>
      </c>
    </row>
    <row r="499" spans="8:12" x14ac:dyDescent="0.25">
      <c r="H499" t="s">
        <v>972</v>
      </c>
      <c r="I499">
        <v>224.34214</v>
      </c>
      <c r="J499">
        <v>0.70500000000000007</v>
      </c>
      <c r="K499">
        <f t="shared" si="17"/>
        <v>37348.725711999985</v>
      </c>
      <c r="L499" t="str">
        <f t="shared" si="16"/>
        <v>R 10</v>
      </c>
    </row>
    <row r="500" spans="8:12" x14ac:dyDescent="0.25">
      <c r="H500" t="s">
        <v>802</v>
      </c>
      <c r="I500">
        <v>224.34214</v>
      </c>
      <c r="J500">
        <v>0.70500000000000007</v>
      </c>
      <c r="K500">
        <f t="shared" si="17"/>
        <v>37573.067851999986</v>
      </c>
      <c r="L500" t="str">
        <f t="shared" si="16"/>
        <v>R 10</v>
      </c>
    </row>
    <row r="501" spans="8:12" x14ac:dyDescent="0.25">
      <c r="H501" t="s">
        <v>973</v>
      </c>
      <c r="I501">
        <v>180.00489999999999</v>
      </c>
      <c r="J501">
        <v>0.70500000000000007</v>
      </c>
      <c r="K501">
        <f t="shared" si="17"/>
        <v>37753.072751999985</v>
      </c>
      <c r="L501" t="str">
        <f t="shared" si="16"/>
        <v>R 10</v>
      </c>
    </row>
    <row r="502" spans="8:12" x14ac:dyDescent="0.25">
      <c r="H502" t="s">
        <v>749</v>
      </c>
      <c r="I502">
        <v>120.71899999999999</v>
      </c>
      <c r="J502">
        <v>0.70500000000000007</v>
      </c>
      <c r="K502">
        <f t="shared" si="17"/>
        <v>37873.791751999983</v>
      </c>
      <c r="L502" t="str">
        <f t="shared" si="16"/>
        <v>R 10</v>
      </c>
    </row>
    <row r="503" spans="8:12" x14ac:dyDescent="0.25">
      <c r="H503" t="s">
        <v>801</v>
      </c>
      <c r="I503">
        <v>176.48886000000002</v>
      </c>
      <c r="J503">
        <v>0.70500000000000007</v>
      </c>
      <c r="K503">
        <f t="shared" si="17"/>
        <v>38050.28061199998</v>
      </c>
      <c r="L503" t="str">
        <f t="shared" si="16"/>
        <v>R 10</v>
      </c>
    </row>
    <row r="504" spans="8:12" x14ac:dyDescent="0.25">
      <c r="H504" t="s">
        <v>828</v>
      </c>
      <c r="I504">
        <v>198.23779999999999</v>
      </c>
      <c r="J504">
        <v>0.71000000000000008</v>
      </c>
      <c r="K504">
        <f t="shared" si="17"/>
        <v>38248.518411999983</v>
      </c>
      <c r="L504" t="str">
        <f t="shared" si="16"/>
        <v>R 11</v>
      </c>
    </row>
    <row r="505" spans="8:12" x14ac:dyDescent="0.25">
      <c r="H505" t="s">
        <v>852</v>
      </c>
      <c r="I505">
        <v>198.18167999999997</v>
      </c>
      <c r="J505">
        <v>0.71000000000000008</v>
      </c>
      <c r="K505">
        <f t="shared" si="17"/>
        <v>38446.700091999985</v>
      </c>
      <c r="L505" t="str">
        <f t="shared" si="16"/>
        <v>R 11</v>
      </c>
    </row>
    <row r="506" spans="8:12" x14ac:dyDescent="0.25">
      <c r="H506" t="s">
        <v>815</v>
      </c>
      <c r="I506">
        <v>173.15338</v>
      </c>
      <c r="J506">
        <v>0.71499999999999997</v>
      </c>
      <c r="K506">
        <f t="shared" si="17"/>
        <v>38619.853471999988</v>
      </c>
      <c r="L506" t="str">
        <f t="shared" si="16"/>
        <v>R 11</v>
      </c>
    </row>
    <row r="507" spans="8:12" x14ac:dyDescent="0.25">
      <c r="H507" t="s">
        <v>984</v>
      </c>
      <c r="I507">
        <v>222.47554</v>
      </c>
      <c r="J507">
        <v>0.71499999999999997</v>
      </c>
      <c r="K507">
        <f t="shared" si="17"/>
        <v>38842.329011999987</v>
      </c>
      <c r="L507" t="str">
        <f t="shared" si="16"/>
        <v>R 11</v>
      </c>
    </row>
    <row r="508" spans="8:12" x14ac:dyDescent="0.25">
      <c r="H508" t="s">
        <v>816</v>
      </c>
      <c r="I508">
        <v>222.48041999999998</v>
      </c>
      <c r="J508">
        <v>0.71499999999999997</v>
      </c>
      <c r="K508">
        <f t="shared" si="17"/>
        <v>39064.809431999987</v>
      </c>
      <c r="L508" t="str">
        <f t="shared" si="16"/>
        <v>R 11</v>
      </c>
    </row>
    <row r="509" spans="8:12" x14ac:dyDescent="0.25">
      <c r="H509" t="s">
        <v>985</v>
      </c>
      <c r="I509">
        <v>173.15338</v>
      </c>
      <c r="J509">
        <v>0.71499999999999997</v>
      </c>
      <c r="K509">
        <f t="shared" si="17"/>
        <v>39237.962811999991</v>
      </c>
      <c r="L509" t="str">
        <f t="shared" si="16"/>
        <v>R 11</v>
      </c>
    </row>
    <row r="510" spans="8:12" x14ac:dyDescent="0.25">
      <c r="H510" t="s">
        <v>1103</v>
      </c>
      <c r="I510">
        <v>159.96639999999999</v>
      </c>
      <c r="J510">
        <v>0.71499999999999997</v>
      </c>
      <c r="K510">
        <f t="shared" si="17"/>
        <v>39397.929211999988</v>
      </c>
      <c r="L510" t="str">
        <f t="shared" si="16"/>
        <v>R 12</v>
      </c>
    </row>
    <row r="511" spans="8:12" x14ac:dyDescent="0.25">
      <c r="H511" t="s">
        <v>850</v>
      </c>
      <c r="I511">
        <v>228.38888</v>
      </c>
      <c r="J511">
        <v>0.71900000000000008</v>
      </c>
      <c r="K511">
        <f t="shared" si="17"/>
        <v>39626.318091999987</v>
      </c>
      <c r="L511" t="str">
        <f t="shared" si="16"/>
        <v>R 12</v>
      </c>
    </row>
    <row r="512" spans="8:12" x14ac:dyDescent="0.25">
      <c r="H512" t="s">
        <v>844</v>
      </c>
      <c r="I512">
        <v>198.28782000000001</v>
      </c>
      <c r="J512">
        <v>0.72000000000000008</v>
      </c>
      <c r="K512">
        <f t="shared" si="17"/>
        <v>39824.605911999985</v>
      </c>
      <c r="L512" t="str">
        <f t="shared" si="16"/>
        <v>R 12</v>
      </c>
    </row>
    <row r="513" spans="8:12" x14ac:dyDescent="0.25">
      <c r="H513" t="s">
        <v>1126</v>
      </c>
      <c r="I513">
        <v>154.9034</v>
      </c>
      <c r="J513">
        <v>0.72000000000000008</v>
      </c>
      <c r="K513">
        <f t="shared" si="17"/>
        <v>39979.509311999987</v>
      </c>
      <c r="L513" t="str">
        <f t="shared" si="16"/>
        <v>R 12</v>
      </c>
    </row>
    <row r="514" spans="8:12" x14ac:dyDescent="0.25">
      <c r="H514" t="s">
        <v>841</v>
      </c>
      <c r="I514">
        <v>172.82397999999998</v>
      </c>
      <c r="J514">
        <v>0.72000000000000008</v>
      </c>
      <c r="K514">
        <f t="shared" si="17"/>
        <v>40152.333291999988</v>
      </c>
      <c r="L514" t="str">
        <f t="shared" si="16"/>
        <v>R 12</v>
      </c>
    </row>
    <row r="515" spans="8:12" x14ac:dyDescent="0.25">
      <c r="H515" t="s">
        <v>1134</v>
      </c>
      <c r="I515">
        <v>159.84440000000001</v>
      </c>
      <c r="J515">
        <v>0.72000000000000008</v>
      </c>
      <c r="K515">
        <f t="shared" si="17"/>
        <v>40312.17769199999</v>
      </c>
      <c r="L515" t="str">
        <f t="shared" si="16"/>
        <v>R 12</v>
      </c>
    </row>
    <row r="516" spans="8:12" x14ac:dyDescent="0.25">
      <c r="H516" t="s">
        <v>1098</v>
      </c>
      <c r="I516">
        <v>154.7936</v>
      </c>
      <c r="J516">
        <v>0.72000000000000008</v>
      </c>
      <c r="K516">
        <f t="shared" si="17"/>
        <v>40466.971291999987</v>
      </c>
      <c r="L516" t="str">
        <f t="shared" si="16"/>
        <v>R 12</v>
      </c>
    </row>
    <row r="517" spans="8:12" x14ac:dyDescent="0.25">
      <c r="H517" t="s">
        <v>1118</v>
      </c>
      <c r="I517">
        <v>155.12299999999999</v>
      </c>
      <c r="J517">
        <v>0.72000000000000008</v>
      </c>
      <c r="K517">
        <f t="shared" si="17"/>
        <v>40622.094291999987</v>
      </c>
      <c r="L517" t="str">
        <f t="shared" si="16"/>
        <v>R 12</v>
      </c>
    </row>
    <row r="518" spans="8:12" x14ac:dyDescent="0.25">
      <c r="H518" t="s">
        <v>1135</v>
      </c>
      <c r="I518">
        <v>154.78139999999999</v>
      </c>
      <c r="J518">
        <v>0.72000000000000008</v>
      </c>
      <c r="K518">
        <f t="shared" si="17"/>
        <v>40776.875691999987</v>
      </c>
      <c r="L518" t="str">
        <f t="shared" si="16"/>
        <v>R 12</v>
      </c>
    </row>
    <row r="519" spans="8:12" x14ac:dyDescent="0.25">
      <c r="H519" t="s">
        <v>840</v>
      </c>
      <c r="I519">
        <v>172.67147999999997</v>
      </c>
      <c r="J519">
        <v>0.72000000000000008</v>
      </c>
      <c r="K519">
        <f t="shared" si="17"/>
        <v>40949.547171999984</v>
      </c>
      <c r="L519" t="str">
        <f t="shared" si="16"/>
        <v>R 12</v>
      </c>
    </row>
    <row r="520" spans="8:12" x14ac:dyDescent="0.25">
      <c r="H520" t="s">
        <v>1088</v>
      </c>
      <c r="I520">
        <v>154.7936</v>
      </c>
      <c r="J520">
        <v>0.72000000000000008</v>
      </c>
      <c r="K520">
        <f t="shared" si="17"/>
        <v>41104.340771999981</v>
      </c>
      <c r="L520" t="str">
        <f t="shared" si="16"/>
        <v>R 12</v>
      </c>
    </row>
    <row r="521" spans="8:12" x14ac:dyDescent="0.25">
      <c r="H521" t="s">
        <v>820</v>
      </c>
      <c r="I521">
        <v>198.34271999999999</v>
      </c>
      <c r="J521">
        <v>0.72000000000000008</v>
      </c>
      <c r="K521">
        <f t="shared" si="17"/>
        <v>41302.683491999982</v>
      </c>
      <c r="L521" t="str">
        <f t="shared" si="16"/>
        <v>R 12</v>
      </c>
    </row>
    <row r="522" spans="8:12" x14ac:dyDescent="0.25">
      <c r="H522" t="s">
        <v>1143</v>
      </c>
      <c r="I522">
        <v>154.9034</v>
      </c>
      <c r="J522">
        <v>0.72000000000000008</v>
      </c>
      <c r="K522">
        <f t="shared" si="17"/>
        <v>41457.586891999985</v>
      </c>
      <c r="L522" t="str">
        <f t="shared" si="16"/>
        <v>R 12</v>
      </c>
    </row>
    <row r="523" spans="8:12" x14ac:dyDescent="0.25">
      <c r="H523" t="s">
        <v>804</v>
      </c>
      <c r="I523">
        <v>172.82886000000002</v>
      </c>
      <c r="J523">
        <v>0.72499999999999998</v>
      </c>
      <c r="K523">
        <f t="shared" si="17"/>
        <v>41630.415751999986</v>
      </c>
      <c r="L523" t="str">
        <f t="shared" si="16"/>
        <v>R 12</v>
      </c>
    </row>
    <row r="524" spans="8:12" x14ac:dyDescent="0.25">
      <c r="H524" t="s">
        <v>975</v>
      </c>
      <c r="I524">
        <v>224.03713999999999</v>
      </c>
      <c r="J524">
        <v>0.72499999999999998</v>
      </c>
      <c r="K524">
        <f t="shared" si="17"/>
        <v>41854.452891999987</v>
      </c>
      <c r="L524" t="str">
        <f t="shared" si="16"/>
        <v>R 12</v>
      </c>
    </row>
    <row r="525" spans="8:12" x14ac:dyDescent="0.25">
      <c r="H525" t="s">
        <v>805</v>
      </c>
      <c r="I525">
        <v>224.03713999999999</v>
      </c>
      <c r="J525">
        <v>0.72499999999999998</v>
      </c>
      <c r="K525">
        <f t="shared" si="17"/>
        <v>42078.490031999987</v>
      </c>
      <c r="L525" t="str">
        <f t="shared" si="16"/>
        <v>R 12</v>
      </c>
    </row>
    <row r="526" spans="8:12" x14ac:dyDescent="0.25">
      <c r="H526" t="s">
        <v>976</v>
      </c>
      <c r="I526">
        <v>172.82886000000002</v>
      </c>
      <c r="J526">
        <v>0.72499999999999998</v>
      </c>
      <c r="K526">
        <f t="shared" si="17"/>
        <v>42251.318891999988</v>
      </c>
      <c r="L526" t="str">
        <f t="shared" si="16"/>
        <v>R 12</v>
      </c>
    </row>
    <row r="527" spans="8:12" x14ac:dyDescent="0.25">
      <c r="H527" t="s">
        <v>738</v>
      </c>
      <c r="I527">
        <v>136.88400000000001</v>
      </c>
      <c r="J527">
        <v>0.72500000000000009</v>
      </c>
      <c r="K527">
        <f t="shared" si="17"/>
        <v>42388.202891999987</v>
      </c>
      <c r="L527" t="str">
        <f t="shared" si="16"/>
        <v>R 12</v>
      </c>
    </row>
    <row r="528" spans="8:12" x14ac:dyDescent="0.25">
      <c r="H528" t="s">
        <v>1021</v>
      </c>
      <c r="I528">
        <v>224.34214</v>
      </c>
      <c r="J528">
        <v>0.72500000000000009</v>
      </c>
      <c r="K528">
        <f t="shared" si="17"/>
        <v>42612.545031999987</v>
      </c>
      <c r="L528" t="str">
        <f t="shared" si="16"/>
        <v>R 12</v>
      </c>
    </row>
    <row r="529" spans="8:12" x14ac:dyDescent="0.25">
      <c r="H529" t="s">
        <v>819</v>
      </c>
      <c r="I529">
        <v>224.34214</v>
      </c>
      <c r="J529">
        <v>0.72500000000000009</v>
      </c>
      <c r="K529">
        <f t="shared" si="17"/>
        <v>42836.887171999988</v>
      </c>
      <c r="L529" t="str">
        <f t="shared" si="16"/>
        <v>R 12</v>
      </c>
    </row>
    <row r="530" spans="8:12" x14ac:dyDescent="0.25">
      <c r="H530" t="s">
        <v>949</v>
      </c>
      <c r="I530">
        <v>228.26566</v>
      </c>
      <c r="J530">
        <v>0.72900000000000009</v>
      </c>
      <c r="K530">
        <f t="shared" si="17"/>
        <v>43065.152831999985</v>
      </c>
      <c r="L530" t="str">
        <f t="shared" si="16"/>
        <v>R 12</v>
      </c>
    </row>
    <row r="531" spans="8:12" x14ac:dyDescent="0.25">
      <c r="H531" t="s">
        <v>1017</v>
      </c>
      <c r="I531">
        <v>175.55311999999998</v>
      </c>
      <c r="J531">
        <v>0.72900000000000009</v>
      </c>
      <c r="K531">
        <f t="shared" si="17"/>
        <v>43240.705951999982</v>
      </c>
      <c r="L531" t="str">
        <f t="shared" si="16"/>
        <v>R 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44C4C-3FB5-434F-98A6-E3D6BB6623F9}">
  <dimension ref="H5:R880"/>
  <sheetViews>
    <sheetView topLeftCell="A712" workbookViewId="0">
      <selection activeCell="R724" sqref="R724"/>
    </sheetView>
  </sheetViews>
  <sheetFormatPr defaultRowHeight="15" x14ac:dyDescent="0.25"/>
  <sheetData>
    <row r="5" spans="8:18" x14ac:dyDescent="0.25">
      <c r="H5" t="s">
        <v>1141</v>
      </c>
      <c r="I5">
        <v>160.89359999999999</v>
      </c>
      <c r="J5">
        <v>0.505</v>
      </c>
      <c r="K5">
        <v>160.89359999999999</v>
      </c>
      <c r="L5" t="s">
        <v>155</v>
      </c>
      <c r="N5" t="s">
        <v>320</v>
      </c>
      <c r="O5">
        <v>109.75119999999998</v>
      </c>
      <c r="P5">
        <v>0.27499999999999997</v>
      </c>
      <c r="Q5">
        <v>109.75119999999998</v>
      </c>
      <c r="R5" t="s">
        <v>1177</v>
      </c>
    </row>
    <row r="6" spans="8:18" x14ac:dyDescent="0.25">
      <c r="H6" t="s">
        <v>827</v>
      </c>
      <c r="I6">
        <v>175.57141999999999</v>
      </c>
      <c r="J6">
        <v>0.505</v>
      </c>
      <c r="K6">
        <v>336.46501999999998</v>
      </c>
      <c r="L6" t="s">
        <v>155</v>
      </c>
      <c r="N6" t="s">
        <v>479</v>
      </c>
      <c r="O6">
        <v>169.68979999999999</v>
      </c>
      <c r="P6">
        <v>0.32</v>
      </c>
      <c r="Q6">
        <v>279.44099999999997</v>
      </c>
      <c r="R6" t="s">
        <v>1177</v>
      </c>
    </row>
    <row r="7" spans="8:18" x14ac:dyDescent="0.25">
      <c r="H7" t="s">
        <v>849</v>
      </c>
      <c r="I7">
        <v>175.55311999999998</v>
      </c>
      <c r="J7">
        <v>0.505</v>
      </c>
      <c r="K7">
        <v>512.0181399999999</v>
      </c>
      <c r="L7" t="s">
        <v>155</v>
      </c>
      <c r="N7" t="s">
        <v>411</v>
      </c>
      <c r="O7">
        <v>169.68979999999999</v>
      </c>
      <c r="P7">
        <v>0.32</v>
      </c>
      <c r="Q7">
        <v>449.13079999999997</v>
      </c>
      <c r="R7" t="s">
        <v>1177</v>
      </c>
    </row>
    <row r="8" spans="8:18" x14ac:dyDescent="0.25">
      <c r="H8" t="s">
        <v>1109</v>
      </c>
      <c r="I8">
        <v>160.64959999999999</v>
      </c>
      <c r="J8">
        <v>0.505</v>
      </c>
      <c r="K8">
        <v>672.66773999999987</v>
      </c>
      <c r="L8" t="s">
        <v>155</v>
      </c>
      <c r="N8" t="s">
        <v>554</v>
      </c>
      <c r="O8">
        <v>169.78129999999999</v>
      </c>
      <c r="P8">
        <v>0.32000000000000006</v>
      </c>
      <c r="Q8">
        <v>618.91210000000001</v>
      </c>
      <c r="R8" t="s">
        <v>1177</v>
      </c>
    </row>
    <row r="9" spans="8:18" x14ac:dyDescent="0.25">
      <c r="H9" t="s">
        <v>859</v>
      </c>
      <c r="I9">
        <v>160.89359999999999</v>
      </c>
      <c r="J9">
        <v>0.505</v>
      </c>
      <c r="K9">
        <v>833.56133999999986</v>
      </c>
      <c r="L9" t="s">
        <v>155</v>
      </c>
      <c r="N9" t="s">
        <v>572</v>
      </c>
      <c r="O9">
        <v>169.73493999999999</v>
      </c>
      <c r="P9">
        <v>0.32000000000000006</v>
      </c>
      <c r="Q9">
        <v>788.64704000000006</v>
      </c>
      <c r="R9" t="s">
        <v>1177</v>
      </c>
    </row>
    <row r="10" spans="8:18" x14ac:dyDescent="0.25">
      <c r="H10" t="s">
        <v>758</v>
      </c>
      <c r="I10">
        <v>120.25539999999999</v>
      </c>
      <c r="J10">
        <v>0.505</v>
      </c>
      <c r="K10">
        <v>953.81673999999987</v>
      </c>
      <c r="L10" t="s">
        <v>155</v>
      </c>
      <c r="N10" t="s">
        <v>471</v>
      </c>
      <c r="O10">
        <v>115.80240000000001</v>
      </c>
      <c r="P10">
        <v>0.32499999999999996</v>
      </c>
      <c r="Q10">
        <v>904.4494400000001</v>
      </c>
      <c r="R10" t="s">
        <v>1177</v>
      </c>
    </row>
    <row r="11" spans="8:18" x14ac:dyDescent="0.25">
      <c r="H11" t="s">
        <v>876</v>
      </c>
      <c r="I11">
        <v>160.89359999999999</v>
      </c>
      <c r="J11">
        <v>0.505</v>
      </c>
      <c r="K11">
        <v>1114.7103399999999</v>
      </c>
      <c r="L11" t="s">
        <v>155</v>
      </c>
      <c r="N11" t="s">
        <v>369</v>
      </c>
      <c r="O11">
        <v>115.80240000000001</v>
      </c>
      <c r="P11">
        <v>0.32499999999999996</v>
      </c>
      <c r="Q11">
        <v>1020.2518400000001</v>
      </c>
      <c r="R11" t="s">
        <v>1177</v>
      </c>
    </row>
    <row r="12" spans="8:18" x14ac:dyDescent="0.25">
      <c r="H12" t="s">
        <v>756</v>
      </c>
      <c r="I12">
        <v>110.91019999999999</v>
      </c>
      <c r="J12">
        <v>0.505</v>
      </c>
      <c r="K12">
        <v>1225.6205399999999</v>
      </c>
      <c r="L12" t="s">
        <v>155</v>
      </c>
      <c r="N12" t="s">
        <v>548</v>
      </c>
      <c r="O12">
        <v>116.20988</v>
      </c>
      <c r="P12">
        <v>0.32500000000000001</v>
      </c>
      <c r="Q12">
        <v>1136.4617200000002</v>
      </c>
      <c r="R12" t="s">
        <v>1177</v>
      </c>
    </row>
    <row r="13" spans="8:18" x14ac:dyDescent="0.25">
      <c r="H13" t="s">
        <v>888</v>
      </c>
      <c r="I13">
        <v>175.93620000000001</v>
      </c>
      <c r="J13">
        <v>0.505</v>
      </c>
      <c r="K13">
        <v>1401.55674</v>
      </c>
      <c r="L13" t="s">
        <v>155</v>
      </c>
      <c r="N13" t="s">
        <v>566</v>
      </c>
      <c r="O13">
        <v>116.16108</v>
      </c>
      <c r="P13">
        <v>0.32500000000000001</v>
      </c>
      <c r="Q13">
        <v>1252.6228000000003</v>
      </c>
      <c r="R13" t="s">
        <v>1177</v>
      </c>
    </row>
    <row r="14" spans="8:18" x14ac:dyDescent="0.25">
      <c r="H14" t="s">
        <v>1128</v>
      </c>
      <c r="I14">
        <v>160.89359999999999</v>
      </c>
      <c r="J14">
        <v>0.505</v>
      </c>
      <c r="K14">
        <v>1562.4503399999999</v>
      </c>
      <c r="L14" t="s">
        <v>155</v>
      </c>
      <c r="N14" t="s">
        <v>654</v>
      </c>
      <c r="O14">
        <v>107.95779999999999</v>
      </c>
      <c r="P14">
        <v>0.32500000000000001</v>
      </c>
      <c r="Q14">
        <v>1360.5806000000002</v>
      </c>
      <c r="R14" t="s">
        <v>1177</v>
      </c>
    </row>
    <row r="15" spans="8:18" x14ac:dyDescent="0.25">
      <c r="H15" t="s">
        <v>890</v>
      </c>
      <c r="I15">
        <v>175.93620000000001</v>
      </c>
      <c r="J15">
        <v>0.505</v>
      </c>
      <c r="K15">
        <v>1738.38654</v>
      </c>
      <c r="L15" t="s">
        <v>155</v>
      </c>
      <c r="N15" t="s">
        <v>555</v>
      </c>
      <c r="O15">
        <v>173.02649999999997</v>
      </c>
      <c r="P15">
        <v>0.33</v>
      </c>
      <c r="Q15">
        <v>1533.6071000000002</v>
      </c>
      <c r="R15" t="s">
        <v>1177</v>
      </c>
    </row>
    <row r="16" spans="8:18" x14ac:dyDescent="0.25">
      <c r="H16" t="s">
        <v>754</v>
      </c>
      <c r="I16">
        <v>118.4132</v>
      </c>
      <c r="J16">
        <v>0.51500000000000001</v>
      </c>
      <c r="K16">
        <v>1856.7997399999999</v>
      </c>
      <c r="L16" t="s">
        <v>155</v>
      </c>
      <c r="N16" t="s">
        <v>663</v>
      </c>
      <c r="O16">
        <v>152.60980000000001</v>
      </c>
      <c r="P16">
        <v>0.33000000000000007</v>
      </c>
      <c r="Q16">
        <v>1686.2169000000001</v>
      </c>
      <c r="R16" t="s">
        <v>1177</v>
      </c>
    </row>
    <row r="17" spans="8:18" x14ac:dyDescent="0.25">
      <c r="H17" t="s">
        <v>781</v>
      </c>
      <c r="I17">
        <v>108.64099999999999</v>
      </c>
      <c r="J17">
        <v>0.51500000000000001</v>
      </c>
      <c r="K17">
        <v>1965.44074</v>
      </c>
      <c r="L17" t="s">
        <v>155</v>
      </c>
      <c r="N17" t="s">
        <v>655</v>
      </c>
      <c r="O17">
        <v>160.64959999999999</v>
      </c>
      <c r="P17">
        <v>0.33500000000000002</v>
      </c>
      <c r="Q17">
        <v>1846.8665000000001</v>
      </c>
      <c r="R17" t="s">
        <v>1177</v>
      </c>
    </row>
    <row r="18" spans="8:18" x14ac:dyDescent="0.25">
      <c r="H18" t="s">
        <v>777</v>
      </c>
      <c r="I18">
        <v>118.4498</v>
      </c>
      <c r="J18">
        <v>0.51500000000000001</v>
      </c>
      <c r="K18">
        <v>2083.8905399999999</v>
      </c>
      <c r="L18" t="s">
        <v>155</v>
      </c>
      <c r="N18" t="s">
        <v>376</v>
      </c>
      <c r="O18">
        <v>175.93620000000001</v>
      </c>
      <c r="P18">
        <v>0.33500000000000002</v>
      </c>
      <c r="Q18">
        <v>2022.8027000000002</v>
      </c>
      <c r="R18" t="s">
        <v>1177</v>
      </c>
    </row>
    <row r="19" spans="8:18" x14ac:dyDescent="0.25">
      <c r="H19" t="s">
        <v>778</v>
      </c>
      <c r="I19">
        <v>118.4498</v>
      </c>
      <c r="J19">
        <v>0.51500000000000001</v>
      </c>
      <c r="K19">
        <v>2202.3403399999997</v>
      </c>
      <c r="L19" t="s">
        <v>155</v>
      </c>
      <c r="N19" t="s">
        <v>470</v>
      </c>
      <c r="O19">
        <v>175.93620000000001</v>
      </c>
      <c r="P19">
        <v>0.33500000000000002</v>
      </c>
      <c r="Q19">
        <v>2198.7389000000003</v>
      </c>
      <c r="R19" t="s">
        <v>1177</v>
      </c>
    </row>
    <row r="20" spans="8:18" x14ac:dyDescent="0.25">
      <c r="H20" t="s">
        <v>775</v>
      </c>
      <c r="I20">
        <v>108.64099999999999</v>
      </c>
      <c r="J20">
        <v>0.51500000000000001</v>
      </c>
      <c r="K20">
        <v>2310.9813399999998</v>
      </c>
      <c r="L20" t="s">
        <v>155</v>
      </c>
      <c r="N20" t="s">
        <v>520</v>
      </c>
      <c r="O20">
        <v>173.02649999999997</v>
      </c>
      <c r="P20">
        <v>0.34</v>
      </c>
      <c r="Q20">
        <v>2371.7654000000002</v>
      </c>
      <c r="R20" t="s">
        <v>1177</v>
      </c>
    </row>
    <row r="21" spans="8:18" x14ac:dyDescent="0.25">
      <c r="H21" t="s">
        <v>895</v>
      </c>
      <c r="I21">
        <v>117.47380000000001</v>
      </c>
      <c r="J21">
        <v>0.51500000000000001</v>
      </c>
      <c r="K21">
        <v>2428.45514</v>
      </c>
      <c r="L21" t="s">
        <v>155</v>
      </c>
      <c r="N21" t="s">
        <v>563</v>
      </c>
      <c r="O21">
        <v>169.72640000000001</v>
      </c>
      <c r="P21">
        <v>0.34</v>
      </c>
      <c r="Q21">
        <v>2541.4918000000002</v>
      </c>
      <c r="R21" t="s">
        <v>1177</v>
      </c>
    </row>
    <row r="22" spans="8:18" x14ac:dyDescent="0.25">
      <c r="H22" t="s">
        <v>783</v>
      </c>
      <c r="I22">
        <v>108.64099999999999</v>
      </c>
      <c r="J22">
        <v>0.51500000000000001</v>
      </c>
      <c r="K22">
        <v>2537.0961400000001</v>
      </c>
      <c r="L22" t="s">
        <v>155</v>
      </c>
      <c r="N22" t="s">
        <v>564</v>
      </c>
      <c r="O22">
        <v>169.966252</v>
      </c>
      <c r="P22">
        <v>0.34</v>
      </c>
      <c r="Q22">
        <v>2711.4580520000004</v>
      </c>
      <c r="R22" t="s">
        <v>1177</v>
      </c>
    </row>
    <row r="23" spans="8:18" x14ac:dyDescent="0.25">
      <c r="H23" t="s">
        <v>902</v>
      </c>
      <c r="I23">
        <v>173.1302</v>
      </c>
      <c r="J23">
        <v>0.51500000000000001</v>
      </c>
      <c r="K23">
        <v>2710.2263400000002</v>
      </c>
      <c r="L23" t="s">
        <v>155</v>
      </c>
      <c r="N23" t="s">
        <v>490</v>
      </c>
      <c r="O23">
        <v>160.21039999999999</v>
      </c>
      <c r="P23">
        <v>0.34</v>
      </c>
      <c r="Q23">
        <v>2871.6684520000003</v>
      </c>
      <c r="R23" t="s">
        <v>1177</v>
      </c>
    </row>
    <row r="24" spans="8:18" x14ac:dyDescent="0.25">
      <c r="H24" t="s">
        <v>893</v>
      </c>
      <c r="I24">
        <v>172.7398</v>
      </c>
      <c r="J24">
        <v>0.52500000000000002</v>
      </c>
      <c r="K24">
        <v>2882.96614</v>
      </c>
      <c r="L24" t="s">
        <v>155</v>
      </c>
      <c r="N24" t="s">
        <v>611</v>
      </c>
      <c r="O24">
        <v>160.21039999999999</v>
      </c>
      <c r="P24">
        <v>0.34</v>
      </c>
      <c r="Q24">
        <v>3031.8788520000003</v>
      </c>
      <c r="R24" t="s">
        <v>1177</v>
      </c>
    </row>
    <row r="25" spans="8:18" x14ac:dyDescent="0.25">
      <c r="H25" t="s">
        <v>776</v>
      </c>
      <c r="I25">
        <v>118.4498</v>
      </c>
      <c r="J25">
        <v>0.52500000000000002</v>
      </c>
      <c r="K25">
        <v>3001.4159399999999</v>
      </c>
      <c r="L25" t="s">
        <v>155</v>
      </c>
      <c r="N25" t="s">
        <v>556</v>
      </c>
      <c r="O25">
        <v>116.20988</v>
      </c>
      <c r="P25">
        <v>0.34499999999999997</v>
      </c>
      <c r="Q25">
        <v>3148.0887320000002</v>
      </c>
      <c r="R25" t="s">
        <v>1177</v>
      </c>
    </row>
    <row r="26" spans="8:18" x14ac:dyDescent="0.25">
      <c r="H26" t="s">
        <v>1119</v>
      </c>
      <c r="I26">
        <v>157.99</v>
      </c>
      <c r="J26">
        <v>0.52500000000000002</v>
      </c>
      <c r="K26">
        <v>3159.4059399999996</v>
      </c>
      <c r="L26" t="s">
        <v>155</v>
      </c>
      <c r="N26" t="s">
        <v>255</v>
      </c>
      <c r="O26">
        <v>119.76739999999999</v>
      </c>
      <c r="P26">
        <v>0.34499999999999997</v>
      </c>
      <c r="Q26">
        <v>3267.8561320000003</v>
      </c>
      <c r="R26" t="s">
        <v>1177</v>
      </c>
    </row>
    <row r="27" spans="8:18" x14ac:dyDescent="0.25">
      <c r="H27" t="s">
        <v>1111</v>
      </c>
      <c r="I27">
        <v>156.8432</v>
      </c>
      <c r="J27">
        <v>0.53500000000000003</v>
      </c>
      <c r="K27">
        <v>3316.2491399999994</v>
      </c>
      <c r="L27" t="s">
        <v>155</v>
      </c>
      <c r="N27" t="s">
        <v>264</v>
      </c>
      <c r="O27">
        <v>119.76739999999999</v>
      </c>
      <c r="P27">
        <v>0.34499999999999997</v>
      </c>
      <c r="Q27">
        <v>3387.6235320000005</v>
      </c>
      <c r="R27" t="s">
        <v>1177</v>
      </c>
    </row>
    <row r="28" spans="8:18" x14ac:dyDescent="0.25">
      <c r="H28" t="s">
        <v>786</v>
      </c>
      <c r="I28">
        <v>134.3708</v>
      </c>
      <c r="J28">
        <v>0.53500000000000003</v>
      </c>
      <c r="K28">
        <v>3450.6199399999996</v>
      </c>
      <c r="L28" t="s">
        <v>155</v>
      </c>
      <c r="N28" t="s">
        <v>266</v>
      </c>
      <c r="O28">
        <v>109.75119999999998</v>
      </c>
      <c r="P28">
        <v>0.34499999999999997</v>
      </c>
      <c r="Q28">
        <v>3497.3747320000007</v>
      </c>
      <c r="R28" t="s">
        <v>1177</v>
      </c>
    </row>
    <row r="29" spans="8:18" x14ac:dyDescent="0.25">
      <c r="H29" t="s">
        <v>899</v>
      </c>
      <c r="I29">
        <v>172.203</v>
      </c>
      <c r="J29">
        <v>0.54</v>
      </c>
      <c r="K29">
        <v>3622.8229399999996</v>
      </c>
      <c r="L29" t="s">
        <v>155</v>
      </c>
      <c r="N29" t="s">
        <v>378</v>
      </c>
      <c r="O29">
        <v>117.47380000000001</v>
      </c>
      <c r="P29">
        <v>0.34499999999999997</v>
      </c>
      <c r="Q29">
        <v>3614.8485320000009</v>
      </c>
      <c r="R29" t="s">
        <v>1177</v>
      </c>
    </row>
    <row r="30" spans="8:18" x14ac:dyDescent="0.25">
      <c r="H30" t="s">
        <v>757</v>
      </c>
      <c r="I30">
        <v>108.64099999999999</v>
      </c>
      <c r="J30">
        <v>0.54500000000000004</v>
      </c>
      <c r="K30">
        <v>3731.4639399999996</v>
      </c>
      <c r="L30" t="s">
        <v>155</v>
      </c>
      <c r="N30" t="s">
        <v>473</v>
      </c>
      <c r="O30">
        <v>117.47380000000001</v>
      </c>
      <c r="P30">
        <v>0.34499999999999997</v>
      </c>
      <c r="Q30">
        <v>3732.3223320000011</v>
      </c>
      <c r="R30" t="s">
        <v>1177</v>
      </c>
    </row>
    <row r="31" spans="8:18" x14ac:dyDescent="0.25">
      <c r="H31" t="s">
        <v>1083</v>
      </c>
      <c r="I31">
        <v>160.64959999999999</v>
      </c>
      <c r="J31">
        <v>0.55500000000000005</v>
      </c>
      <c r="K31">
        <v>3892.1135399999998</v>
      </c>
      <c r="L31" t="s">
        <v>155</v>
      </c>
      <c r="N31" t="s">
        <v>417</v>
      </c>
      <c r="O31">
        <v>173.1302</v>
      </c>
      <c r="P31">
        <v>0.34500000000000003</v>
      </c>
      <c r="Q31">
        <v>3905.4525320000012</v>
      </c>
      <c r="R31" t="s">
        <v>1177</v>
      </c>
    </row>
    <row r="32" spans="8:18" x14ac:dyDescent="0.25">
      <c r="H32" t="s">
        <v>755</v>
      </c>
      <c r="I32">
        <v>120.69460000000001</v>
      </c>
      <c r="J32">
        <v>0.55500000000000005</v>
      </c>
      <c r="K32">
        <v>4012.8081399999996</v>
      </c>
      <c r="L32" t="s">
        <v>155</v>
      </c>
      <c r="N32" t="s">
        <v>567</v>
      </c>
      <c r="O32">
        <v>117.45062</v>
      </c>
      <c r="P32">
        <v>0.34500000000000003</v>
      </c>
      <c r="Q32">
        <v>4022.9031520000012</v>
      </c>
      <c r="R32" t="s">
        <v>1177</v>
      </c>
    </row>
    <row r="33" spans="8:18" x14ac:dyDescent="0.25">
      <c r="H33" t="s">
        <v>800</v>
      </c>
      <c r="I33">
        <v>169.966252</v>
      </c>
      <c r="J33">
        <v>0.55999999999999994</v>
      </c>
      <c r="K33">
        <v>4182.7743919999994</v>
      </c>
      <c r="L33" t="s">
        <v>155</v>
      </c>
      <c r="N33" t="s">
        <v>478</v>
      </c>
      <c r="O33">
        <v>173.1302</v>
      </c>
      <c r="P33">
        <v>0.34500000000000003</v>
      </c>
      <c r="Q33">
        <v>4196.0333520000013</v>
      </c>
      <c r="R33" t="s">
        <v>1177</v>
      </c>
    </row>
    <row r="34" spans="8:18" x14ac:dyDescent="0.25">
      <c r="H34" t="s">
        <v>797</v>
      </c>
      <c r="I34">
        <v>169.72640000000001</v>
      </c>
      <c r="J34">
        <v>0.55999999999999994</v>
      </c>
      <c r="K34">
        <v>4352.5007919999989</v>
      </c>
      <c r="L34" t="s">
        <v>155</v>
      </c>
      <c r="N34" t="s">
        <v>656</v>
      </c>
      <c r="O34">
        <v>108.32380000000001</v>
      </c>
      <c r="P34">
        <v>0.34500000000000003</v>
      </c>
      <c r="Q34">
        <v>4304.3571520000014</v>
      </c>
      <c r="R34" t="s">
        <v>1177</v>
      </c>
    </row>
    <row r="35" spans="8:18" x14ac:dyDescent="0.25">
      <c r="H35" t="s">
        <v>896</v>
      </c>
      <c r="I35">
        <v>175.64339999999999</v>
      </c>
      <c r="J35">
        <v>0.56500000000000006</v>
      </c>
      <c r="K35">
        <v>4528.1441919999988</v>
      </c>
      <c r="L35" t="s">
        <v>155</v>
      </c>
      <c r="N35" t="s">
        <v>549</v>
      </c>
      <c r="O35">
        <v>117.49942</v>
      </c>
      <c r="P35">
        <v>0.34500000000000003</v>
      </c>
      <c r="Q35">
        <v>4421.8565720000015</v>
      </c>
      <c r="R35" t="s">
        <v>1177</v>
      </c>
    </row>
    <row r="36" spans="8:18" x14ac:dyDescent="0.25">
      <c r="H36" t="s">
        <v>1114</v>
      </c>
      <c r="I36">
        <v>160.50319999999999</v>
      </c>
      <c r="J36">
        <v>0.56500000000000006</v>
      </c>
      <c r="K36">
        <v>4688.6473919999989</v>
      </c>
      <c r="L36" t="s">
        <v>155</v>
      </c>
      <c r="N36" t="s">
        <v>530</v>
      </c>
      <c r="O36">
        <v>169.72640000000001</v>
      </c>
      <c r="P36">
        <v>0.35000000000000003</v>
      </c>
      <c r="Q36">
        <v>4591.582972000002</v>
      </c>
      <c r="R36" t="s">
        <v>1177</v>
      </c>
    </row>
    <row r="37" spans="8:18" x14ac:dyDescent="0.25">
      <c r="H37" t="s">
        <v>370</v>
      </c>
      <c r="I37">
        <v>174.43194</v>
      </c>
      <c r="J37">
        <v>0.56999999999999995</v>
      </c>
      <c r="K37">
        <v>4863.0793319999993</v>
      </c>
      <c r="L37" t="s">
        <v>155</v>
      </c>
      <c r="N37" t="s">
        <v>557</v>
      </c>
      <c r="O37">
        <v>174.43194</v>
      </c>
      <c r="P37">
        <v>0.35000000000000003</v>
      </c>
      <c r="Q37">
        <v>4766.0149120000024</v>
      </c>
      <c r="R37" t="s">
        <v>1177</v>
      </c>
    </row>
    <row r="38" spans="8:18" x14ac:dyDescent="0.25">
      <c r="H38" t="s">
        <v>337</v>
      </c>
      <c r="I38">
        <v>119.5356</v>
      </c>
      <c r="J38">
        <v>0.57500000000000007</v>
      </c>
      <c r="K38">
        <v>4982.6149319999995</v>
      </c>
      <c r="L38" t="s">
        <v>155</v>
      </c>
      <c r="N38" t="s">
        <v>542</v>
      </c>
      <c r="O38">
        <v>169.73493999999999</v>
      </c>
      <c r="P38">
        <v>0.35000000000000003</v>
      </c>
      <c r="Q38">
        <v>4935.7498520000026</v>
      </c>
      <c r="R38" t="s">
        <v>1177</v>
      </c>
    </row>
    <row r="39" spans="8:18" x14ac:dyDescent="0.25">
      <c r="H39" t="s">
        <v>353</v>
      </c>
      <c r="I39">
        <v>109.75119999999998</v>
      </c>
      <c r="J39">
        <v>0.57500000000000007</v>
      </c>
      <c r="K39">
        <v>5092.3661319999992</v>
      </c>
      <c r="L39" t="s">
        <v>155</v>
      </c>
      <c r="N39" t="s">
        <v>531</v>
      </c>
      <c r="O39">
        <v>169.966252</v>
      </c>
      <c r="P39">
        <v>0.35000000000000003</v>
      </c>
      <c r="Q39">
        <v>5105.7161040000028</v>
      </c>
      <c r="R39" t="s">
        <v>1177</v>
      </c>
    </row>
    <row r="40" spans="8:18" x14ac:dyDescent="0.25">
      <c r="H40" t="s">
        <v>338</v>
      </c>
      <c r="I40">
        <v>109.75119999999998</v>
      </c>
      <c r="J40">
        <v>0.57500000000000007</v>
      </c>
      <c r="K40">
        <v>5202.1173319999989</v>
      </c>
      <c r="L40" t="s">
        <v>155</v>
      </c>
      <c r="N40" t="s">
        <v>518</v>
      </c>
      <c r="O40">
        <v>169.78129999999999</v>
      </c>
      <c r="P40">
        <v>0.35000000000000003</v>
      </c>
      <c r="Q40">
        <v>5275.4974040000025</v>
      </c>
      <c r="R40" t="s">
        <v>1177</v>
      </c>
    </row>
    <row r="41" spans="8:18" x14ac:dyDescent="0.25">
      <c r="H41" t="s">
        <v>641</v>
      </c>
      <c r="I41">
        <v>157.99</v>
      </c>
      <c r="J41">
        <v>0.57500000000000007</v>
      </c>
      <c r="K41">
        <v>5360.1073319999987</v>
      </c>
      <c r="L41" t="s">
        <v>155</v>
      </c>
      <c r="N41" t="s">
        <v>510</v>
      </c>
      <c r="O41">
        <v>116.20988</v>
      </c>
      <c r="P41">
        <v>0.35499999999999998</v>
      </c>
      <c r="Q41">
        <v>5391.7072840000028</v>
      </c>
      <c r="R41" t="s">
        <v>1177</v>
      </c>
    </row>
    <row r="42" spans="8:18" x14ac:dyDescent="0.25">
      <c r="H42" t="s">
        <v>590</v>
      </c>
      <c r="I42">
        <v>176.48886000000002</v>
      </c>
      <c r="J42">
        <v>0.57750000000000001</v>
      </c>
      <c r="K42">
        <v>5536.5961919999991</v>
      </c>
      <c r="L42" t="s">
        <v>155</v>
      </c>
      <c r="N42" t="s">
        <v>278</v>
      </c>
      <c r="O42">
        <v>108.7264</v>
      </c>
      <c r="P42">
        <v>0.35499999999999998</v>
      </c>
      <c r="Q42">
        <v>5500.4336840000024</v>
      </c>
      <c r="R42" t="s">
        <v>1177</v>
      </c>
    </row>
    <row r="43" spans="8:18" x14ac:dyDescent="0.25">
      <c r="H43" t="s">
        <v>467</v>
      </c>
      <c r="I43">
        <v>172.49579999999997</v>
      </c>
      <c r="J43">
        <v>0.58000000000000007</v>
      </c>
      <c r="K43">
        <v>5709.0919919999988</v>
      </c>
      <c r="L43" t="s">
        <v>155</v>
      </c>
      <c r="N43" t="s">
        <v>253</v>
      </c>
      <c r="O43">
        <v>108.7264</v>
      </c>
      <c r="P43">
        <v>0.35499999999999998</v>
      </c>
      <c r="Q43">
        <v>5609.1600840000019</v>
      </c>
      <c r="R43" t="s">
        <v>1177</v>
      </c>
    </row>
    <row r="44" spans="8:18" x14ac:dyDescent="0.25">
      <c r="H44" t="s">
        <v>383</v>
      </c>
      <c r="I44">
        <v>169.73493999999999</v>
      </c>
      <c r="J44">
        <v>0.58250000000000002</v>
      </c>
      <c r="K44">
        <v>5878.826931999999</v>
      </c>
      <c r="L44" t="s">
        <v>155</v>
      </c>
      <c r="N44" t="s">
        <v>254</v>
      </c>
      <c r="O44">
        <v>74.395599999999988</v>
      </c>
      <c r="P44">
        <v>0.35499999999999998</v>
      </c>
      <c r="Q44">
        <v>5683.5556840000017</v>
      </c>
      <c r="R44" t="s">
        <v>1177</v>
      </c>
    </row>
    <row r="45" spans="8:18" x14ac:dyDescent="0.25">
      <c r="H45" t="s">
        <v>547</v>
      </c>
      <c r="I45">
        <v>169.78129999999999</v>
      </c>
      <c r="J45">
        <v>0.58250000000000002</v>
      </c>
      <c r="K45">
        <v>6048.6082319999987</v>
      </c>
      <c r="L45" t="s">
        <v>155</v>
      </c>
      <c r="N45" t="s">
        <v>501</v>
      </c>
      <c r="O45">
        <v>106.42060000000001</v>
      </c>
      <c r="P45">
        <v>0.35499999999999998</v>
      </c>
      <c r="Q45">
        <v>5789.9762840000021</v>
      </c>
      <c r="R45" t="s">
        <v>1177</v>
      </c>
    </row>
    <row r="46" spans="8:18" x14ac:dyDescent="0.25">
      <c r="H46" t="s">
        <v>364</v>
      </c>
      <c r="I46">
        <v>108.7264</v>
      </c>
      <c r="J46">
        <v>0.58499999999999996</v>
      </c>
      <c r="K46">
        <v>6157.3346319999982</v>
      </c>
      <c r="L46" t="s">
        <v>155</v>
      </c>
      <c r="N46" t="s">
        <v>267</v>
      </c>
      <c r="O46">
        <v>74.395599999999988</v>
      </c>
      <c r="P46">
        <v>0.35499999999999998</v>
      </c>
      <c r="Q46">
        <v>5864.371884000002</v>
      </c>
      <c r="R46" t="s">
        <v>1177</v>
      </c>
    </row>
    <row r="47" spans="8:18" x14ac:dyDescent="0.25">
      <c r="H47" t="s">
        <v>371</v>
      </c>
      <c r="I47">
        <v>117.49942</v>
      </c>
      <c r="J47">
        <v>0.58499999999999996</v>
      </c>
      <c r="K47">
        <v>6274.8340519999983</v>
      </c>
      <c r="L47" t="s">
        <v>155</v>
      </c>
      <c r="N47" t="s">
        <v>262</v>
      </c>
      <c r="O47">
        <v>108.7264</v>
      </c>
      <c r="P47">
        <v>0.35499999999999998</v>
      </c>
      <c r="Q47">
        <v>5973.0982840000015</v>
      </c>
      <c r="R47" t="s">
        <v>1177</v>
      </c>
    </row>
    <row r="48" spans="8:18" x14ac:dyDescent="0.25">
      <c r="H48" t="s">
        <v>350</v>
      </c>
      <c r="I48">
        <v>110.4344</v>
      </c>
      <c r="J48">
        <v>0.58499999999999996</v>
      </c>
      <c r="K48">
        <v>6385.2684519999984</v>
      </c>
      <c r="L48" t="s">
        <v>155</v>
      </c>
      <c r="N48" t="s">
        <v>521</v>
      </c>
      <c r="O48">
        <v>116.20988</v>
      </c>
      <c r="P48">
        <v>0.35499999999999998</v>
      </c>
      <c r="Q48">
        <v>6089.3081640000019</v>
      </c>
      <c r="R48" t="s">
        <v>1177</v>
      </c>
    </row>
    <row r="49" spans="8:18" x14ac:dyDescent="0.25">
      <c r="H49" t="s">
        <v>349</v>
      </c>
      <c r="I49">
        <v>120.25539999999999</v>
      </c>
      <c r="J49">
        <v>0.58499999999999996</v>
      </c>
      <c r="K49">
        <v>6505.5238519999984</v>
      </c>
      <c r="L49" t="s">
        <v>155</v>
      </c>
      <c r="N49" t="s">
        <v>622</v>
      </c>
      <c r="O49">
        <v>106.42060000000001</v>
      </c>
      <c r="P49">
        <v>0.35499999999999998</v>
      </c>
      <c r="Q49">
        <v>6195.7287640000022</v>
      </c>
      <c r="R49" t="s">
        <v>1177</v>
      </c>
    </row>
    <row r="50" spans="8:18" x14ac:dyDescent="0.25">
      <c r="H50" t="s">
        <v>635</v>
      </c>
      <c r="I50">
        <v>156.8432</v>
      </c>
      <c r="J50">
        <v>0.58500000000000008</v>
      </c>
      <c r="K50">
        <v>6662.3670519999987</v>
      </c>
      <c r="L50" t="s">
        <v>155</v>
      </c>
      <c r="N50" t="s">
        <v>276</v>
      </c>
      <c r="O50">
        <v>118.5474</v>
      </c>
      <c r="P50">
        <v>0.35499999999999998</v>
      </c>
      <c r="Q50">
        <v>6314.2761640000026</v>
      </c>
      <c r="R50" t="s">
        <v>1177</v>
      </c>
    </row>
    <row r="51" spans="8:18" x14ac:dyDescent="0.25">
      <c r="H51" t="s">
        <v>598</v>
      </c>
      <c r="I51">
        <v>173.15338</v>
      </c>
      <c r="J51">
        <v>0.58750000000000002</v>
      </c>
      <c r="K51">
        <v>6835.5204319999984</v>
      </c>
      <c r="L51" t="s">
        <v>155</v>
      </c>
      <c r="N51" t="s">
        <v>491</v>
      </c>
      <c r="O51">
        <v>106.42060000000001</v>
      </c>
      <c r="P51">
        <v>0.35499999999999998</v>
      </c>
      <c r="Q51">
        <v>6420.696764000003</v>
      </c>
      <c r="R51" t="s">
        <v>1177</v>
      </c>
    </row>
    <row r="52" spans="8:18" x14ac:dyDescent="0.25">
      <c r="H52" t="s">
        <v>543</v>
      </c>
      <c r="I52">
        <v>116.20988</v>
      </c>
      <c r="J52">
        <v>0.58750000000000002</v>
      </c>
      <c r="K52">
        <v>6951.7303119999988</v>
      </c>
      <c r="L52" t="s">
        <v>155</v>
      </c>
      <c r="N52" t="s">
        <v>245</v>
      </c>
      <c r="O52">
        <v>74.395599999999988</v>
      </c>
      <c r="P52">
        <v>0.35499999999999998</v>
      </c>
      <c r="Q52">
        <v>6495.0923640000028</v>
      </c>
      <c r="R52" t="s">
        <v>1177</v>
      </c>
    </row>
    <row r="53" spans="8:18" x14ac:dyDescent="0.25">
      <c r="H53" t="s">
        <v>377</v>
      </c>
      <c r="I53">
        <v>116.16108</v>
      </c>
      <c r="J53">
        <v>0.58750000000000002</v>
      </c>
      <c r="K53">
        <v>7067.8913919999986</v>
      </c>
      <c r="L53" t="s">
        <v>155</v>
      </c>
      <c r="N53" t="s">
        <v>263</v>
      </c>
      <c r="O53">
        <v>118.5474</v>
      </c>
      <c r="P53">
        <v>0.35499999999999998</v>
      </c>
      <c r="Q53">
        <v>6613.6397640000032</v>
      </c>
      <c r="R53" t="s">
        <v>1177</v>
      </c>
    </row>
    <row r="54" spans="8:18" x14ac:dyDescent="0.25">
      <c r="H54" t="s">
        <v>342</v>
      </c>
      <c r="I54">
        <v>108.64099999999999</v>
      </c>
      <c r="J54">
        <v>0.59499999999999997</v>
      </c>
      <c r="K54">
        <v>7176.5323919999983</v>
      </c>
      <c r="L54" t="s">
        <v>155</v>
      </c>
      <c r="N54" t="s">
        <v>480</v>
      </c>
      <c r="O54">
        <v>106.42060000000001</v>
      </c>
      <c r="P54">
        <v>0.35499999999999998</v>
      </c>
      <c r="Q54">
        <v>6720.0603640000036</v>
      </c>
      <c r="R54" t="s">
        <v>1177</v>
      </c>
    </row>
    <row r="55" spans="8:18" x14ac:dyDescent="0.25">
      <c r="H55" t="s">
        <v>357</v>
      </c>
      <c r="I55">
        <v>108.64099999999999</v>
      </c>
      <c r="J55">
        <v>0.59499999999999997</v>
      </c>
      <c r="K55">
        <v>7285.1733919999979</v>
      </c>
      <c r="L55" t="s">
        <v>155</v>
      </c>
      <c r="N55" t="s">
        <v>664</v>
      </c>
      <c r="O55">
        <v>157.99</v>
      </c>
      <c r="P55">
        <v>0.35499999999999998</v>
      </c>
      <c r="Q55">
        <v>6878.0503640000034</v>
      </c>
      <c r="R55" t="s">
        <v>1177</v>
      </c>
    </row>
    <row r="56" spans="8:18" x14ac:dyDescent="0.25">
      <c r="H56" t="s">
        <v>341</v>
      </c>
      <c r="I56">
        <v>118.4132</v>
      </c>
      <c r="J56">
        <v>0.59499999999999997</v>
      </c>
      <c r="K56">
        <v>7403.5865919999978</v>
      </c>
      <c r="L56" t="s">
        <v>156</v>
      </c>
      <c r="N56" t="s">
        <v>600</v>
      </c>
      <c r="O56">
        <v>106.42060000000001</v>
      </c>
      <c r="P56">
        <v>0.35499999999999998</v>
      </c>
      <c r="Q56">
        <v>6984.4709640000037</v>
      </c>
      <c r="R56" t="s">
        <v>1177</v>
      </c>
    </row>
    <row r="57" spans="8:18" x14ac:dyDescent="0.25">
      <c r="H57" t="s">
        <v>274</v>
      </c>
      <c r="I57">
        <v>118.4498</v>
      </c>
      <c r="J57">
        <v>0.59500000000000008</v>
      </c>
      <c r="K57">
        <v>7522.0363919999982</v>
      </c>
      <c r="L57" t="s">
        <v>156</v>
      </c>
      <c r="N57" t="s">
        <v>533</v>
      </c>
      <c r="O57">
        <v>116.16108</v>
      </c>
      <c r="P57">
        <v>0.35499999999999998</v>
      </c>
      <c r="Q57">
        <v>7100.6320440000036</v>
      </c>
      <c r="R57" t="s">
        <v>1177</v>
      </c>
    </row>
    <row r="58" spans="8:18" x14ac:dyDescent="0.25">
      <c r="H58" t="s">
        <v>354</v>
      </c>
      <c r="I58">
        <v>134.3708</v>
      </c>
      <c r="J58">
        <v>0.59500000000000008</v>
      </c>
      <c r="K58">
        <v>7656.4071919999978</v>
      </c>
      <c r="L58" t="s">
        <v>156</v>
      </c>
      <c r="N58" t="s">
        <v>612</v>
      </c>
      <c r="O58">
        <v>106.42060000000001</v>
      </c>
      <c r="P58">
        <v>0.35499999999999998</v>
      </c>
      <c r="Q58">
        <v>7207.052644000004</v>
      </c>
      <c r="R58" t="s">
        <v>1177</v>
      </c>
    </row>
    <row r="59" spans="8:18" x14ac:dyDescent="0.25">
      <c r="H59" t="s">
        <v>593</v>
      </c>
      <c r="I59">
        <v>172.82886000000002</v>
      </c>
      <c r="J59">
        <v>0.59750000000000003</v>
      </c>
      <c r="K59">
        <v>7829.2360519999975</v>
      </c>
      <c r="L59" t="s">
        <v>156</v>
      </c>
      <c r="N59" t="s">
        <v>472</v>
      </c>
      <c r="O59">
        <v>172.7398</v>
      </c>
      <c r="P59">
        <v>0.35500000000000004</v>
      </c>
      <c r="Q59">
        <v>7379.7924440000043</v>
      </c>
      <c r="R59" t="s">
        <v>1177</v>
      </c>
    </row>
    <row r="60" spans="8:18" x14ac:dyDescent="0.25">
      <c r="H60" t="s">
        <v>669</v>
      </c>
      <c r="I60">
        <v>160.86920000000001</v>
      </c>
      <c r="J60">
        <v>0.60499999999999998</v>
      </c>
      <c r="K60">
        <v>7990.1052519999976</v>
      </c>
      <c r="L60" t="s">
        <v>156</v>
      </c>
      <c r="N60" t="s">
        <v>382</v>
      </c>
      <c r="O60">
        <v>172.7398</v>
      </c>
      <c r="P60">
        <v>0.35500000000000004</v>
      </c>
      <c r="Q60">
        <v>7552.5322440000045</v>
      </c>
      <c r="R60" t="s">
        <v>1177</v>
      </c>
    </row>
    <row r="61" spans="8:18" x14ac:dyDescent="0.25">
      <c r="H61" t="s">
        <v>466</v>
      </c>
      <c r="I61">
        <v>175.93620000000001</v>
      </c>
      <c r="J61">
        <v>0.60499999999999998</v>
      </c>
      <c r="K61">
        <v>8166.0414519999977</v>
      </c>
      <c r="L61" t="s">
        <v>156</v>
      </c>
      <c r="N61" t="s">
        <v>499</v>
      </c>
      <c r="O61">
        <v>152.6464</v>
      </c>
      <c r="P61">
        <v>0.36</v>
      </c>
      <c r="Q61">
        <v>7705.1786440000042</v>
      </c>
      <c r="R61" t="s">
        <v>1177</v>
      </c>
    </row>
    <row r="62" spans="8:18" x14ac:dyDescent="0.25">
      <c r="H62" t="s">
        <v>365</v>
      </c>
      <c r="I62">
        <v>134.4196</v>
      </c>
      <c r="J62">
        <v>0.60500000000000009</v>
      </c>
      <c r="K62">
        <v>8300.4610519999969</v>
      </c>
      <c r="L62" t="s">
        <v>156</v>
      </c>
      <c r="N62" t="s">
        <v>609</v>
      </c>
      <c r="O62">
        <v>152.65859999999998</v>
      </c>
      <c r="P62">
        <v>0.36</v>
      </c>
      <c r="Q62">
        <v>7857.8372440000039</v>
      </c>
      <c r="R62" t="s">
        <v>1177</v>
      </c>
    </row>
    <row r="63" spans="8:18" x14ac:dyDescent="0.25">
      <c r="H63" t="s">
        <v>544</v>
      </c>
      <c r="I63">
        <v>117.49942</v>
      </c>
      <c r="J63">
        <v>0.60750000000000004</v>
      </c>
      <c r="K63">
        <v>8417.960471999997</v>
      </c>
      <c r="L63" t="s">
        <v>156</v>
      </c>
      <c r="N63" t="s">
        <v>509</v>
      </c>
      <c r="O63">
        <v>152.65859999999998</v>
      </c>
      <c r="P63">
        <v>0.36</v>
      </c>
      <c r="Q63">
        <v>8010.4958440000037</v>
      </c>
      <c r="R63" t="s">
        <v>1177</v>
      </c>
    </row>
    <row r="64" spans="8:18" x14ac:dyDescent="0.25">
      <c r="H64" t="s">
        <v>379</v>
      </c>
      <c r="I64">
        <v>117.45062</v>
      </c>
      <c r="J64">
        <v>0.60750000000000004</v>
      </c>
      <c r="K64">
        <v>8535.4110919999966</v>
      </c>
      <c r="L64" t="s">
        <v>156</v>
      </c>
      <c r="N64" t="s">
        <v>498</v>
      </c>
      <c r="O64">
        <v>158.09979999999999</v>
      </c>
      <c r="P64">
        <v>0.36</v>
      </c>
      <c r="Q64">
        <v>8168.5956440000036</v>
      </c>
      <c r="R64" t="s">
        <v>1177</v>
      </c>
    </row>
    <row r="65" spans="8:18" x14ac:dyDescent="0.25">
      <c r="H65" t="s">
        <v>373</v>
      </c>
      <c r="I65">
        <v>172.29571999999999</v>
      </c>
      <c r="J65">
        <v>0.61</v>
      </c>
      <c r="K65">
        <v>8707.7068119999967</v>
      </c>
      <c r="L65" t="s">
        <v>156</v>
      </c>
      <c r="N65" t="s">
        <v>631</v>
      </c>
      <c r="O65">
        <v>152.65859999999998</v>
      </c>
      <c r="P65">
        <v>0.36</v>
      </c>
      <c r="Q65">
        <v>8321.2542440000034</v>
      </c>
      <c r="R65" t="s">
        <v>1177</v>
      </c>
    </row>
    <row r="66" spans="8:18" x14ac:dyDescent="0.25">
      <c r="H66" t="s">
        <v>372</v>
      </c>
      <c r="I66">
        <v>172.24814000000001</v>
      </c>
      <c r="J66">
        <v>0.61</v>
      </c>
      <c r="K66">
        <v>8879.9549519999964</v>
      </c>
      <c r="L66" t="s">
        <v>156</v>
      </c>
      <c r="N66" t="s">
        <v>619</v>
      </c>
      <c r="O66">
        <v>158.09979999999999</v>
      </c>
      <c r="P66">
        <v>0.36</v>
      </c>
      <c r="Q66">
        <v>8479.3540440000033</v>
      </c>
      <c r="R66" t="s">
        <v>1178</v>
      </c>
    </row>
    <row r="67" spans="8:18" x14ac:dyDescent="0.25">
      <c r="H67" t="s">
        <v>637</v>
      </c>
      <c r="I67">
        <v>160.50319999999999</v>
      </c>
      <c r="J67">
        <v>0.61499999999999999</v>
      </c>
      <c r="K67">
        <v>9040.4581519999956</v>
      </c>
      <c r="L67" t="s">
        <v>156</v>
      </c>
      <c r="N67" t="s">
        <v>488</v>
      </c>
      <c r="O67">
        <v>152.65859999999998</v>
      </c>
      <c r="P67">
        <v>0.36</v>
      </c>
      <c r="Q67">
        <v>8632.012644000004</v>
      </c>
      <c r="R67" t="s">
        <v>1178</v>
      </c>
    </row>
    <row r="68" spans="8:18" x14ac:dyDescent="0.25">
      <c r="H68" t="s">
        <v>358</v>
      </c>
      <c r="I68">
        <v>134.3708</v>
      </c>
      <c r="J68">
        <v>0.6150000000000001</v>
      </c>
      <c r="K68">
        <v>9174.8289519999962</v>
      </c>
      <c r="L68" t="s">
        <v>156</v>
      </c>
      <c r="N68" t="s">
        <v>620</v>
      </c>
      <c r="O68">
        <v>152.6464</v>
      </c>
      <c r="P68">
        <v>0.36</v>
      </c>
      <c r="Q68">
        <v>8784.6590440000036</v>
      </c>
      <c r="R68" t="s">
        <v>1178</v>
      </c>
    </row>
    <row r="69" spans="8:18" x14ac:dyDescent="0.25">
      <c r="H69" t="s">
        <v>409</v>
      </c>
      <c r="I69">
        <v>224.34214</v>
      </c>
      <c r="J69">
        <v>0.61900000000000011</v>
      </c>
      <c r="K69">
        <v>9399.1710919999969</v>
      </c>
      <c r="L69" t="s">
        <v>156</v>
      </c>
      <c r="N69" t="s">
        <v>613</v>
      </c>
      <c r="O69">
        <v>162.18680000000001</v>
      </c>
      <c r="P69">
        <v>0.36000000000000004</v>
      </c>
      <c r="Q69">
        <v>8946.8458440000031</v>
      </c>
      <c r="R69" t="s">
        <v>1178</v>
      </c>
    </row>
    <row r="70" spans="8:18" x14ac:dyDescent="0.25">
      <c r="H70" t="s">
        <v>695</v>
      </c>
      <c r="I70">
        <v>160.69839999999999</v>
      </c>
      <c r="J70">
        <v>0.62</v>
      </c>
      <c r="K70">
        <v>9559.8694919999962</v>
      </c>
      <c r="L70" t="s">
        <v>156</v>
      </c>
      <c r="N70" t="s">
        <v>522</v>
      </c>
      <c r="O70">
        <v>174.43194</v>
      </c>
      <c r="P70">
        <v>0.36000000000000004</v>
      </c>
      <c r="Q70">
        <v>9121.2777840000035</v>
      </c>
      <c r="R70" t="s">
        <v>1178</v>
      </c>
    </row>
    <row r="71" spans="8:18" x14ac:dyDescent="0.25">
      <c r="H71" t="s">
        <v>633</v>
      </c>
      <c r="I71">
        <v>152.1584</v>
      </c>
      <c r="J71">
        <v>0.62000000000000011</v>
      </c>
      <c r="K71">
        <v>9712.0278919999964</v>
      </c>
      <c r="L71" t="s">
        <v>156</v>
      </c>
      <c r="N71" t="s">
        <v>492</v>
      </c>
      <c r="O71">
        <v>162.18680000000001</v>
      </c>
      <c r="P71">
        <v>0.36000000000000004</v>
      </c>
      <c r="Q71">
        <v>9283.464584000003</v>
      </c>
      <c r="R71" t="s">
        <v>1178</v>
      </c>
    </row>
    <row r="72" spans="8:18" x14ac:dyDescent="0.25">
      <c r="H72" t="s">
        <v>686</v>
      </c>
      <c r="I72">
        <v>152.53659999999999</v>
      </c>
      <c r="J72">
        <v>0.62000000000000011</v>
      </c>
      <c r="K72">
        <v>9864.5644919999959</v>
      </c>
      <c r="L72" t="s">
        <v>156</v>
      </c>
      <c r="N72" t="s">
        <v>257</v>
      </c>
      <c r="O72">
        <v>118.4498</v>
      </c>
      <c r="P72">
        <v>0.36499999999999999</v>
      </c>
      <c r="Q72">
        <v>9401.9143840000033</v>
      </c>
      <c r="R72" t="s">
        <v>1178</v>
      </c>
    </row>
    <row r="73" spans="8:18" x14ac:dyDescent="0.25">
      <c r="H73" t="s">
        <v>699</v>
      </c>
      <c r="I73">
        <v>152.60980000000001</v>
      </c>
      <c r="J73">
        <v>0.62000000000000011</v>
      </c>
      <c r="K73">
        <v>10017.174291999996</v>
      </c>
      <c r="L73" t="s">
        <v>156</v>
      </c>
      <c r="N73" t="s">
        <v>558</v>
      </c>
      <c r="O73">
        <v>117.49942</v>
      </c>
      <c r="P73">
        <v>0.36499999999999999</v>
      </c>
      <c r="Q73">
        <v>9519.4138040000034</v>
      </c>
      <c r="R73" t="s">
        <v>1178</v>
      </c>
    </row>
    <row r="74" spans="8:18" x14ac:dyDescent="0.25">
      <c r="H74" t="s">
        <v>685</v>
      </c>
      <c r="I74">
        <v>156.5016</v>
      </c>
      <c r="J74">
        <v>0.62000000000000011</v>
      </c>
      <c r="K74">
        <v>10173.675891999996</v>
      </c>
      <c r="L74" t="s">
        <v>156</v>
      </c>
      <c r="N74" t="s">
        <v>657</v>
      </c>
      <c r="O74">
        <v>156.8432</v>
      </c>
      <c r="P74">
        <v>0.36499999999999999</v>
      </c>
      <c r="Q74">
        <v>9676.2570040000028</v>
      </c>
      <c r="R74" t="s">
        <v>1178</v>
      </c>
    </row>
    <row r="75" spans="8:18" x14ac:dyDescent="0.25">
      <c r="H75" t="s">
        <v>643</v>
      </c>
      <c r="I75">
        <v>152.1584</v>
      </c>
      <c r="J75">
        <v>0.62000000000000011</v>
      </c>
      <c r="K75">
        <v>10325.834291999996</v>
      </c>
      <c r="L75" t="s">
        <v>157</v>
      </c>
      <c r="N75" t="s">
        <v>244</v>
      </c>
      <c r="O75">
        <v>134.59039999999999</v>
      </c>
      <c r="P75">
        <v>0.36499999999999999</v>
      </c>
      <c r="Q75">
        <v>9810.8474040000019</v>
      </c>
      <c r="R75" t="s">
        <v>1178</v>
      </c>
    </row>
    <row r="76" spans="8:18" x14ac:dyDescent="0.25">
      <c r="H76" t="s">
        <v>674</v>
      </c>
      <c r="I76">
        <v>152.60980000000001</v>
      </c>
      <c r="J76">
        <v>0.62000000000000011</v>
      </c>
      <c r="K76">
        <v>10478.444091999996</v>
      </c>
      <c r="L76" t="s">
        <v>157</v>
      </c>
      <c r="N76" t="s">
        <v>268</v>
      </c>
      <c r="O76">
        <v>118.4498</v>
      </c>
      <c r="P76">
        <v>0.36499999999999999</v>
      </c>
      <c r="Q76">
        <v>9929.2972040000022</v>
      </c>
      <c r="R76" t="s">
        <v>1178</v>
      </c>
    </row>
    <row r="77" spans="8:18" x14ac:dyDescent="0.25">
      <c r="H77" t="s">
        <v>666</v>
      </c>
      <c r="I77">
        <v>107.95779999999999</v>
      </c>
      <c r="J77">
        <v>0.62500000000000011</v>
      </c>
      <c r="K77">
        <v>10586.401891999996</v>
      </c>
      <c r="L77" t="s">
        <v>157</v>
      </c>
      <c r="N77" t="s">
        <v>481</v>
      </c>
      <c r="O77">
        <v>160.23480000000001</v>
      </c>
      <c r="P77">
        <v>0.36500000000000005</v>
      </c>
      <c r="Q77">
        <v>10089.532004000002</v>
      </c>
      <c r="R77" t="s">
        <v>1178</v>
      </c>
    </row>
    <row r="78" spans="8:18" x14ac:dyDescent="0.25">
      <c r="H78" t="s">
        <v>419</v>
      </c>
      <c r="I78">
        <v>222.48041999999998</v>
      </c>
      <c r="J78">
        <v>0.62900000000000011</v>
      </c>
      <c r="K78">
        <v>10808.882311999996</v>
      </c>
      <c r="L78" t="s">
        <v>157</v>
      </c>
      <c r="N78" t="s">
        <v>601</v>
      </c>
      <c r="O78">
        <v>160.23480000000001</v>
      </c>
      <c r="P78">
        <v>0.36500000000000005</v>
      </c>
      <c r="Q78">
        <v>10249.766804000003</v>
      </c>
      <c r="R78" t="s">
        <v>1178</v>
      </c>
    </row>
    <row r="79" spans="8:18" x14ac:dyDescent="0.25">
      <c r="H79" t="s">
        <v>565</v>
      </c>
      <c r="I79">
        <v>176.48886000000002</v>
      </c>
      <c r="J79">
        <v>0.62900000000000011</v>
      </c>
      <c r="K79">
        <v>10985.371171999996</v>
      </c>
      <c r="L79" t="s">
        <v>157</v>
      </c>
      <c r="N79" t="s">
        <v>621</v>
      </c>
      <c r="O79">
        <v>160.23480000000001</v>
      </c>
      <c r="P79">
        <v>0.36500000000000005</v>
      </c>
      <c r="Q79">
        <v>10410.001604000003</v>
      </c>
      <c r="R79" t="s">
        <v>1178</v>
      </c>
    </row>
    <row r="80" spans="8:18" x14ac:dyDescent="0.25">
      <c r="H80" t="s">
        <v>696</v>
      </c>
      <c r="I80">
        <v>155.0864</v>
      </c>
      <c r="J80">
        <v>0.63</v>
      </c>
      <c r="K80">
        <v>11140.457571999996</v>
      </c>
      <c r="L80" t="s">
        <v>157</v>
      </c>
      <c r="N80" t="s">
        <v>500</v>
      </c>
      <c r="O80">
        <v>160.23480000000001</v>
      </c>
      <c r="P80">
        <v>0.36500000000000005</v>
      </c>
      <c r="Q80">
        <v>10570.236404000003</v>
      </c>
      <c r="R80" t="s">
        <v>1178</v>
      </c>
    </row>
    <row r="81" spans="8:18" x14ac:dyDescent="0.25">
      <c r="H81" t="s">
        <v>707</v>
      </c>
      <c r="I81">
        <v>155.17179999999999</v>
      </c>
      <c r="J81">
        <v>0.63</v>
      </c>
      <c r="K81">
        <v>11295.629371999996</v>
      </c>
      <c r="L81" t="s">
        <v>157</v>
      </c>
      <c r="N81" t="s">
        <v>511</v>
      </c>
      <c r="O81">
        <v>180.00489999999999</v>
      </c>
      <c r="P81">
        <v>0.36500000000000005</v>
      </c>
      <c r="Q81">
        <v>10750.241304000003</v>
      </c>
      <c r="R81" t="s">
        <v>1178</v>
      </c>
    </row>
    <row r="82" spans="8:18" x14ac:dyDescent="0.25">
      <c r="H82" t="s">
        <v>652</v>
      </c>
      <c r="I82">
        <v>154.7936</v>
      </c>
      <c r="J82">
        <v>0.63</v>
      </c>
      <c r="K82">
        <v>11450.422971999997</v>
      </c>
      <c r="L82" t="s">
        <v>157</v>
      </c>
      <c r="N82" t="s">
        <v>532</v>
      </c>
      <c r="O82">
        <v>176.48886000000002</v>
      </c>
      <c r="P82">
        <v>0.36500000000000005</v>
      </c>
      <c r="Q82">
        <v>10926.730164000002</v>
      </c>
      <c r="R82" t="s">
        <v>1178</v>
      </c>
    </row>
    <row r="83" spans="8:18" x14ac:dyDescent="0.25">
      <c r="H83" t="s">
        <v>682</v>
      </c>
      <c r="I83">
        <v>155.17179999999999</v>
      </c>
      <c r="J83">
        <v>0.63</v>
      </c>
      <c r="K83">
        <v>11605.594771999997</v>
      </c>
      <c r="L83" t="s">
        <v>157</v>
      </c>
      <c r="N83" t="s">
        <v>475</v>
      </c>
      <c r="O83">
        <v>172.203</v>
      </c>
      <c r="P83">
        <v>0.37</v>
      </c>
      <c r="Q83">
        <v>11098.933164000002</v>
      </c>
      <c r="R83" t="s">
        <v>1178</v>
      </c>
    </row>
    <row r="84" spans="8:18" x14ac:dyDescent="0.25">
      <c r="H84" t="s">
        <v>672</v>
      </c>
      <c r="I84">
        <v>152.60980000000001</v>
      </c>
      <c r="J84">
        <v>0.63</v>
      </c>
      <c r="K84">
        <v>11758.204571999997</v>
      </c>
      <c r="L84" t="s">
        <v>157</v>
      </c>
      <c r="N84" t="s">
        <v>386</v>
      </c>
      <c r="O84">
        <v>172.203</v>
      </c>
      <c r="P84">
        <v>0.37</v>
      </c>
      <c r="Q84">
        <v>11271.136164000001</v>
      </c>
      <c r="R84" t="s">
        <v>1178</v>
      </c>
    </row>
    <row r="85" spans="8:18" x14ac:dyDescent="0.25">
      <c r="H85" t="s">
        <v>640</v>
      </c>
      <c r="I85">
        <v>154.7936</v>
      </c>
      <c r="J85">
        <v>0.63</v>
      </c>
      <c r="K85">
        <v>11912.998171999998</v>
      </c>
      <c r="L85" t="s">
        <v>157</v>
      </c>
      <c r="N85" t="s">
        <v>568</v>
      </c>
      <c r="O85">
        <v>172.24814000000001</v>
      </c>
      <c r="P85">
        <v>0.37000000000000005</v>
      </c>
      <c r="Q85">
        <v>11443.384304000001</v>
      </c>
      <c r="R85" t="s">
        <v>1178</v>
      </c>
    </row>
    <row r="86" spans="8:18" x14ac:dyDescent="0.25">
      <c r="H86" t="s">
        <v>591</v>
      </c>
      <c r="I86">
        <v>198.59281999999999</v>
      </c>
      <c r="J86">
        <v>0.63000000000000012</v>
      </c>
      <c r="K86">
        <v>12111.590991999998</v>
      </c>
      <c r="L86" t="s">
        <v>157</v>
      </c>
      <c r="N86" t="s">
        <v>579</v>
      </c>
      <c r="O86">
        <v>169.78129999999999</v>
      </c>
      <c r="P86">
        <v>0.37000000000000005</v>
      </c>
      <c r="Q86">
        <v>11613.165604000002</v>
      </c>
      <c r="R86" t="s">
        <v>1178</v>
      </c>
    </row>
    <row r="87" spans="8:18" x14ac:dyDescent="0.25">
      <c r="H87" t="s">
        <v>574</v>
      </c>
      <c r="I87">
        <v>198.64771999999999</v>
      </c>
      <c r="J87">
        <v>0.63000000000000012</v>
      </c>
      <c r="K87">
        <v>12310.238711999998</v>
      </c>
      <c r="L87" t="s">
        <v>157</v>
      </c>
      <c r="N87" t="s">
        <v>550</v>
      </c>
      <c r="O87">
        <v>172.2945</v>
      </c>
      <c r="P87">
        <v>0.37000000000000005</v>
      </c>
      <c r="Q87">
        <v>11785.460104000002</v>
      </c>
      <c r="R87" t="s">
        <v>1178</v>
      </c>
    </row>
    <row r="88" spans="8:18" x14ac:dyDescent="0.25">
      <c r="H88" t="s">
        <v>545</v>
      </c>
      <c r="I88">
        <v>172.2945</v>
      </c>
      <c r="J88">
        <v>0.63250000000000006</v>
      </c>
      <c r="K88">
        <v>12482.533211999998</v>
      </c>
      <c r="L88" t="s">
        <v>157</v>
      </c>
      <c r="N88" t="s">
        <v>599</v>
      </c>
      <c r="O88">
        <v>169.73493999999999</v>
      </c>
      <c r="P88">
        <v>0.37000000000000005</v>
      </c>
      <c r="Q88">
        <v>11955.195044000002</v>
      </c>
      <c r="R88" t="s">
        <v>1179</v>
      </c>
    </row>
    <row r="89" spans="8:18" x14ac:dyDescent="0.25">
      <c r="H89" t="s">
        <v>380</v>
      </c>
      <c r="I89">
        <v>172.24814000000001</v>
      </c>
      <c r="J89">
        <v>0.63250000000000006</v>
      </c>
      <c r="K89">
        <v>12654.781351999998</v>
      </c>
      <c r="L89" t="s">
        <v>157</v>
      </c>
      <c r="N89" t="s">
        <v>512</v>
      </c>
      <c r="O89">
        <v>117.49942</v>
      </c>
      <c r="P89">
        <v>0.375</v>
      </c>
      <c r="Q89">
        <v>12072.694464000002</v>
      </c>
      <c r="R89" t="s">
        <v>1179</v>
      </c>
    </row>
    <row r="90" spans="8:18" x14ac:dyDescent="0.25">
      <c r="H90" t="s">
        <v>346</v>
      </c>
      <c r="I90">
        <v>110.91019999999999</v>
      </c>
      <c r="J90">
        <v>0.63500000000000001</v>
      </c>
      <c r="K90">
        <v>12765.691551999998</v>
      </c>
      <c r="L90" t="s">
        <v>157</v>
      </c>
      <c r="N90" t="s">
        <v>592</v>
      </c>
      <c r="O90">
        <v>116.16108</v>
      </c>
      <c r="P90">
        <v>0.375</v>
      </c>
      <c r="Q90">
        <v>12188.855544000002</v>
      </c>
      <c r="R90" t="s">
        <v>1179</v>
      </c>
    </row>
    <row r="91" spans="8:18" x14ac:dyDescent="0.25">
      <c r="H91" t="s">
        <v>361</v>
      </c>
      <c r="I91">
        <v>110.91019999999999</v>
      </c>
      <c r="J91">
        <v>0.63500000000000001</v>
      </c>
      <c r="K91">
        <v>12876.601751999999</v>
      </c>
      <c r="L91" t="s">
        <v>157</v>
      </c>
      <c r="N91" t="s">
        <v>256</v>
      </c>
      <c r="O91">
        <v>75.420400000000001</v>
      </c>
      <c r="P91">
        <v>0.375</v>
      </c>
      <c r="Q91">
        <v>12264.275944000003</v>
      </c>
      <c r="R91" t="s">
        <v>1179</v>
      </c>
    </row>
    <row r="92" spans="8:18" x14ac:dyDescent="0.25">
      <c r="H92" t="s">
        <v>345</v>
      </c>
      <c r="I92">
        <v>120.71899999999999</v>
      </c>
      <c r="J92">
        <v>0.63500000000000001</v>
      </c>
      <c r="K92">
        <v>12997.320751999998</v>
      </c>
      <c r="L92" t="s">
        <v>157</v>
      </c>
      <c r="N92" t="s">
        <v>503</v>
      </c>
      <c r="O92">
        <v>108.42140000000001</v>
      </c>
      <c r="P92">
        <v>0.375</v>
      </c>
      <c r="Q92">
        <v>12372.697344000002</v>
      </c>
      <c r="R92" t="s">
        <v>1179</v>
      </c>
    </row>
    <row r="93" spans="8:18" x14ac:dyDescent="0.25">
      <c r="H93" t="s">
        <v>595</v>
      </c>
      <c r="I93">
        <v>175.66658000000001</v>
      </c>
      <c r="J93">
        <v>0.63749999999999996</v>
      </c>
      <c r="K93">
        <v>13172.987331999997</v>
      </c>
      <c r="L93" t="s">
        <v>157</v>
      </c>
      <c r="N93" t="s">
        <v>602</v>
      </c>
      <c r="O93">
        <v>108.42140000000001</v>
      </c>
      <c r="P93">
        <v>0.375</v>
      </c>
      <c r="Q93">
        <v>12481.118744000001</v>
      </c>
      <c r="R93" t="s">
        <v>1179</v>
      </c>
    </row>
    <row r="94" spans="8:18" x14ac:dyDescent="0.25">
      <c r="H94" t="s">
        <v>843</v>
      </c>
      <c r="I94">
        <v>224.03713999999999</v>
      </c>
      <c r="J94">
        <v>0.63900000000000012</v>
      </c>
      <c r="K94">
        <v>13397.024471999997</v>
      </c>
      <c r="L94" t="s">
        <v>158</v>
      </c>
      <c r="N94" t="s">
        <v>252</v>
      </c>
      <c r="O94">
        <v>134.4196</v>
      </c>
      <c r="P94">
        <v>0.375</v>
      </c>
      <c r="Q94">
        <v>12615.538344000001</v>
      </c>
      <c r="R94" t="s">
        <v>1179</v>
      </c>
    </row>
    <row r="95" spans="8:18" x14ac:dyDescent="0.25">
      <c r="H95" t="s">
        <v>1019</v>
      </c>
      <c r="I95">
        <v>173.15338</v>
      </c>
      <c r="J95">
        <v>0.63900000000000012</v>
      </c>
      <c r="K95">
        <v>13570.177851999997</v>
      </c>
      <c r="L95" t="s">
        <v>158</v>
      </c>
      <c r="N95" t="s">
        <v>644</v>
      </c>
      <c r="O95">
        <v>107.95779999999999</v>
      </c>
      <c r="P95">
        <v>0.375</v>
      </c>
      <c r="Q95">
        <v>12723.496144000001</v>
      </c>
      <c r="R95" t="s">
        <v>1179</v>
      </c>
    </row>
    <row r="96" spans="8:18" x14ac:dyDescent="0.25">
      <c r="H96" t="s">
        <v>1138</v>
      </c>
      <c r="I96">
        <v>155.11079999999998</v>
      </c>
      <c r="J96">
        <v>0.64</v>
      </c>
      <c r="K96">
        <v>13725.288651999997</v>
      </c>
      <c r="L96" t="s">
        <v>158</v>
      </c>
      <c r="N96" t="s">
        <v>482</v>
      </c>
      <c r="O96">
        <v>108.42140000000001</v>
      </c>
      <c r="P96">
        <v>0.375</v>
      </c>
      <c r="Q96">
        <v>12831.917544</v>
      </c>
      <c r="R96" t="s">
        <v>1179</v>
      </c>
    </row>
    <row r="97" spans="8:18" x14ac:dyDescent="0.25">
      <c r="H97" t="s">
        <v>1094</v>
      </c>
      <c r="I97">
        <v>154.13480000000001</v>
      </c>
      <c r="J97">
        <v>0.64</v>
      </c>
      <c r="K97">
        <v>13879.423451999997</v>
      </c>
      <c r="L97" t="s">
        <v>158</v>
      </c>
      <c r="N97" t="s">
        <v>535</v>
      </c>
      <c r="O97">
        <v>117.45062</v>
      </c>
      <c r="P97">
        <v>0.375</v>
      </c>
      <c r="Q97">
        <v>12949.368164</v>
      </c>
      <c r="R97" t="s">
        <v>1179</v>
      </c>
    </row>
    <row r="98" spans="8:18" x14ac:dyDescent="0.25">
      <c r="H98" t="s">
        <v>1131</v>
      </c>
      <c r="I98">
        <v>148.42519999999999</v>
      </c>
      <c r="J98">
        <v>0.64</v>
      </c>
      <c r="K98">
        <v>14027.848651999997</v>
      </c>
      <c r="L98" t="s">
        <v>158</v>
      </c>
      <c r="N98" t="s">
        <v>614</v>
      </c>
      <c r="O98">
        <v>108.42140000000001</v>
      </c>
      <c r="P98">
        <v>0.375</v>
      </c>
      <c r="Q98">
        <v>13057.789563999999</v>
      </c>
      <c r="R98" t="s">
        <v>1179</v>
      </c>
    </row>
    <row r="99" spans="8:18" x14ac:dyDescent="0.25">
      <c r="H99" t="s">
        <v>1084</v>
      </c>
      <c r="I99">
        <v>154.13480000000001</v>
      </c>
      <c r="J99">
        <v>0.64</v>
      </c>
      <c r="K99">
        <v>14181.983451999997</v>
      </c>
      <c r="L99" t="s">
        <v>158</v>
      </c>
      <c r="N99" t="s">
        <v>573</v>
      </c>
      <c r="O99">
        <v>116.20988</v>
      </c>
      <c r="P99">
        <v>0.375</v>
      </c>
      <c r="Q99">
        <v>13173.999443999999</v>
      </c>
      <c r="R99" t="s">
        <v>1179</v>
      </c>
    </row>
    <row r="100" spans="8:18" x14ac:dyDescent="0.25">
      <c r="H100" t="s">
        <v>1122</v>
      </c>
      <c r="I100">
        <v>155.11079999999998</v>
      </c>
      <c r="J100">
        <v>0.64</v>
      </c>
      <c r="K100">
        <v>14337.094251999997</v>
      </c>
      <c r="L100" t="s">
        <v>158</v>
      </c>
      <c r="N100" t="s">
        <v>270</v>
      </c>
      <c r="O100">
        <v>75.420400000000001</v>
      </c>
      <c r="P100">
        <v>0.375</v>
      </c>
      <c r="Q100">
        <v>13249.419844</v>
      </c>
      <c r="R100" t="s">
        <v>1179</v>
      </c>
    </row>
    <row r="101" spans="8:18" x14ac:dyDescent="0.25">
      <c r="H101" t="s">
        <v>1031</v>
      </c>
      <c r="I101">
        <v>198.23779999999999</v>
      </c>
      <c r="J101">
        <v>0.64</v>
      </c>
      <c r="K101">
        <v>14535.332051999998</v>
      </c>
      <c r="L101" t="s">
        <v>158</v>
      </c>
      <c r="N101" t="s">
        <v>247</v>
      </c>
      <c r="O101">
        <v>75.420400000000001</v>
      </c>
      <c r="P101">
        <v>0.375</v>
      </c>
      <c r="Q101">
        <v>13324.840244000001</v>
      </c>
      <c r="R101" t="s">
        <v>1179</v>
      </c>
    </row>
    <row r="102" spans="8:18" x14ac:dyDescent="0.25">
      <c r="H102" t="s">
        <v>1053</v>
      </c>
      <c r="I102">
        <v>198.18167999999997</v>
      </c>
      <c r="J102">
        <v>0.64</v>
      </c>
      <c r="K102">
        <v>14733.513731999998</v>
      </c>
      <c r="L102" t="s">
        <v>158</v>
      </c>
      <c r="N102" t="s">
        <v>624</v>
      </c>
      <c r="O102">
        <v>108.42140000000001</v>
      </c>
      <c r="P102">
        <v>0.375</v>
      </c>
      <c r="Q102">
        <v>13433.261644</v>
      </c>
      <c r="R102" t="s">
        <v>1179</v>
      </c>
    </row>
    <row r="103" spans="8:18" x14ac:dyDescent="0.25">
      <c r="H103" t="s">
        <v>1130</v>
      </c>
      <c r="I103">
        <v>152.32919999999999</v>
      </c>
      <c r="J103">
        <v>0.64</v>
      </c>
      <c r="K103">
        <v>14885.842931999998</v>
      </c>
      <c r="L103" t="s">
        <v>158</v>
      </c>
      <c r="N103" t="s">
        <v>525</v>
      </c>
      <c r="O103">
        <v>117.49942</v>
      </c>
      <c r="P103">
        <v>0.375</v>
      </c>
      <c r="Q103">
        <v>13550.761064</v>
      </c>
      <c r="R103" t="s">
        <v>1179</v>
      </c>
    </row>
    <row r="104" spans="8:18" x14ac:dyDescent="0.25">
      <c r="H104" t="s">
        <v>1035</v>
      </c>
      <c r="I104">
        <v>173.48034000000001</v>
      </c>
      <c r="J104">
        <v>0.64000000000000012</v>
      </c>
      <c r="K104">
        <v>15059.323271999998</v>
      </c>
      <c r="L104" t="s">
        <v>158</v>
      </c>
      <c r="N104" t="s">
        <v>493</v>
      </c>
      <c r="O104">
        <v>108.42140000000001</v>
      </c>
      <c r="P104">
        <v>0.375</v>
      </c>
      <c r="Q104">
        <v>13659.182464</v>
      </c>
      <c r="R104" t="s">
        <v>1179</v>
      </c>
    </row>
    <row r="105" spans="8:18" x14ac:dyDescent="0.25">
      <c r="H105" t="s">
        <v>1034</v>
      </c>
      <c r="I105">
        <v>173.30832000000001</v>
      </c>
      <c r="J105">
        <v>0.64000000000000012</v>
      </c>
      <c r="K105">
        <v>15232.631591999998</v>
      </c>
      <c r="L105" t="s">
        <v>158</v>
      </c>
      <c r="N105" t="s">
        <v>519</v>
      </c>
      <c r="O105">
        <v>173.15338</v>
      </c>
      <c r="P105">
        <v>0.37500000000000006</v>
      </c>
      <c r="Q105">
        <v>13832.335843999999</v>
      </c>
      <c r="R105" t="s">
        <v>1179</v>
      </c>
    </row>
    <row r="106" spans="8:18" x14ac:dyDescent="0.25">
      <c r="H106" t="s">
        <v>1113</v>
      </c>
      <c r="I106">
        <v>108.32380000000001</v>
      </c>
      <c r="J106">
        <v>0.64500000000000002</v>
      </c>
      <c r="K106">
        <v>15340.955391999998</v>
      </c>
      <c r="L106" t="s">
        <v>158</v>
      </c>
      <c r="N106" t="s">
        <v>540</v>
      </c>
      <c r="O106">
        <v>173.15338</v>
      </c>
      <c r="P106">
        <v>0.37500000000000006</v>
      </c>
      <c r="Q106">
        <v>14005.489223999999</v>
      </c>
      <c r="R106" t="s">
        <v>1179</v>
      </c>
    </row>
    <row r="107" spans="8:18" x14ac:dyDescent="0.25">
      <c r="H107" t="s">
        <v>735</v>
      </c>
      <c r="I107">
        <v>109.75119999999998</v>
      </c>
      <c r="J107">
        <v>0.64500000000000013</v>
      </c>
      <c r="K107">
        <v>15450.706591999999</v>
      </c>
      <c r="L107" t="s">
        <v>158</v>
      </c>
      <c r="N107" t="s">
        <v>658</v>
      </c>
      <c r="O107">
        <v>155.12299999999999</v>
      </c>
      <c r="P107">
        <v>0.38</v>
      </c>
      <c r="Q107">
        <v>14160.612223999999</v>
      </c>
      <c r="R107" t="s">
        <v>1179</v>
      </c>
    </row>
    <row r="108" spans="8:18" x14ac:dyDescent="0.25">
      <c r="H108" t="s">
        <v>744</v>
      </c>
      <c r="I108">
        <v>109.75119999999998</v>
      </c>
      <c r="J108">
        <v>0.64500000000000013</v>
      </c>
      <c r="K108">
        <v>15560.457791999999</v>
      </c>
      <c r="L108" t="s">
        <v>158</v>
      </c>
      <c r="N108" t="s">
        <v>580</v>
      </c>
      <c r="O108">
        <v>173.02649999999997</v>
      </c>
      <c r="P108">
        <v>0.38</v>
      </c>
      <c r="Q108">
        <v>14333.638723999999</v>
      </c>
      <c r="R108" t="s">
        <v>1179</v>
      </c>
    </row>
    <row r="109" spans="8:18" x14ac:dyDescent="0.25">
      <c r="H109" t="s">
        <v>1091</v>
      </c>
      <c r="I109">
        <v>160.62519999999998</v>
      </c>
      <c r="J109">
        <v>0.64500000000000013</v>
      </c>
      <c r="K109">
        <v>15721.082992</v>
      </c>
      <c r="L109" t="s">
        <v>158</v>
      </c>
      <c r="N109" t="s">
        <v>432</v>
      </c>
      <c r="O109">
        <v>160.21039999999999</v>
      </c>
      <c r="P109">
        <v>0.38</v>
      </c>
      <c r="Q109">
        <v>14493.849123999998</v>
      </c>
      <c r="R109" t="s">
        <v>1179</v>
      </c>
    </row>
    <row r="110" spans="8:18" x14ac:dyDescent="0.25">
      <c r="H110" t="s">
        <v>1082</v>
      </c>
      <c r="I110">
        <v>157.99</v>
      </c>
      <c r="J110">
        <v>0.64500000000000013</v>
      </c>
      <c r="K110">
        <v>15879.072991999999</v>
      </c>
      <c r="L110" t="s">
        <v>158</v>
      </c>
      <c r="N110" t="s">
        <v>684</v>
      </c>
      <c r="O110">
        <v>160.21039999999999</v>
      </c>
      <c r="P110">
        <v>0.38</v>
      </c>
      <c r="Q110">
        <v>14654.059523999998</v>
      </c>
      <c r="R110" t="s">
        <v>1179</v>
      </c>
    </row>
    <row r="111" spans="8:18" x14ac:dyDescent="0.25">
      <c r="H111" t="s">
        <v>745</v>
      </c>
      <c r="I111">
        <v>119.5356</v>
      </c>
      <c r="J111">
        <v>0.64500000000000013</v>
      </c>
      <c r="K111">
        <v>15998.608591999999</v>
      </c>
      <c r="L111" t="s">
        <v>158</v>
      </c>
      <c r="N111" t="s">
        <v>396</v>
      </c>
      <c r="O111">
        <v>173.02649999999997</v>
      </c>
      <c r="P111">
        <v>0.38</v>
      </c>
      <c r="Q111">
        <v>14827.086023999998</v>
      </c>
      <c r="R111" t="s">
        <v>1179</v>
      </c>
    </row>
    <row r="112" spans="8:18" x14ac:dyDescent="0.25">
      <c r="H112" t="s">
        <v>1129</v>
      </c>
      <c r="I112">
        <v>160.28359999999998</v>
      </c>
      <c r="J112">
        <v>0.64500000000000013</v>
      </c>
      <c r="K112">
        <v>16158.892191999999</v>
      </c>
      <c r="L112" t="s">
        <v>158</v>
      </c>
      <c r="N112" t="s">
        <v>653</v>
      </c>
      <c r="O112">
        <v>152.60980000000001</v>
      </c>
      <c r="P112">
        <v>0.38</v>
      </c>
      <c r="Q112">
        <v>14979.695823999999</v>
      </c>
      <c r="R112" t="s">
        <v>1179</v>
      </c>
    </row>
    <row r="113" spans="8:18" x14ac:dyDescent="0.25">
      <c r="H113" t="s">
        <v>1121</v>
      </c>
      <c r="I113">
        <v>158.0754</v>
      </c>
      <c r="J113">
        <v>0.64500000000000013</v>
      </c>
      <c r="K113">
        <v>16316.967591999999</v>
      </c>
      <c r="L113" t="s">
        <v>158</v>
      </c>
      <c r="N113" t="s">
        <v>333</v>
      </c>
      <c r="O113">
        <v>110.4344</v>
      </c>
      <c r="P113">
        <v>0.38500000000000001</v>
      </c>
      <c r="Q113">
        <v>15090.130223999999</v>
      </c>
      <c r="R113" t="s">
        <v>1179</v>
      </c>
    </row>
    <row r="114" spans="8:18" x14ac:dyDescent="0.25">
      <c r="H114" t="s">
        <v>1092</v>
      </c>
      <c r="I114">
        <v>157.99</v>
      </c>
      <c r="J114">
        <v>0.64500000000000013</v>
      </c>
      <c r="K114">
        <v>16474.957591999999</v>
      </c>
      <c r="L114" t="s">
        <v>158</v>
      </c>
      <c r="N114" t="s">
        <v>642</v>
      </c>
      <c r="O114">
        <v>160.64959999999999</v>
      </c>
      <c r="P114">
        <v>0.38500000000000001</v>
      </c>
      <c r="Q114">
        <v>15250.779823999999</v>
      </c>
      <c r="R114" t="s">
        <v>1179</v>
      </c>
    </row>
    <row r="115" spans="8:18" x14ac:dyDescent="0.25">
      <c r="H115" t="s">
        <v>1144</v>
      </c>
      <c r="I115">
        <v>160.28359999999998</v>
      </c>
      <c r="J115">
        <v>0.64500000000000013</v>
      </c>
      <c r="K115">
        <v>16635.241191999998</v>
      </c>
      <c r="L115" t="s">
        <v>158</v>
      </c>
      <c r="N115" t="s">
        <v>508</v>
      </c>
      <c r="O115">
        <v>158.08760000000001</v>
      </c>
      <c r="P115">
        <v>0.38500000000000001</v>
      </c>
      <c r="Q115">
        <v>15408.867424</v>
      </c>
      <c r="R115" t="s">
        <v>1179</v>
      </c>
    </row>
    <row r="116" spans="8:18" x14ac:dyDescent="0.25">
      <c r="H116" t="s">
        <v>1099</v>
      </c>
      <c r="I116">
        <v>160.62519999999998</v>
      </c>
      <c r="J116">
        <v>0.64500000000000013</v>
      </c>
      <c r="K116">
        <v>16795.866391999996</v>
      </c>
      <c r="L116" t="s">
        <v>158</v>
      </c>
      <c r="N116" t="s">
        <v>489</v>
      </c>
      <c r="O116">
        <v>158.08760000000001</v>
      </c>
      <c r="P116">
        <v>0.38500000000000001</v>
      </c>
      <c r="Q116">
        <v>15566.955024000001</v>
      </c>
      <c r="R116" t="s">
        <v>1180</v>
      </c>
    </row>
    <row r="117" spans="8:18" x14ac:dyDescent="0.25">
      <c r="H117" t="s">
        <v>1136</v>
      </c>
      <c r="I117">
        <v>158.0754</v>
      </c>
      <c r="J117">
        <v>0.64500000000000013</v>
      </c>
      <c r="K117">
        <v>16953.941791999998</v>
      </c>
      <c r="L117" t="s">
        <v>158</v>
      </c>
      <c r="N117" t="s">
        <v>246</v>
      </c>
      <c r="O117">
        <v>134.9442</v>
      </c>
      <c r="P117">
        <v>0.38500000000000001</v>
      </c>
      <c r="Q117">
        <v>15701.899224000001</v>
      </c>
      <c r="R117" t="s">
        <v>1180</v>
      </c>
    </row>
    <row r="118" spans="8:18" x14ac:dyDescent="0.25">
      <c r="H118" t="s">
        <v>1011</v>
      </c>
      <c r="I118">
        <v>172.82886000000002</v>
      </c>
      <c r="J118">
        <v>0.64900000000000013</v>
      </c>
      <c r="K118">
        <v>17126.770651999999</v>
      </c>
      <c r="L118" t="s">
        <v>158</v>
      </c>
      <c r="N118" t="s">
        <v>630</v>
      </c>
      <c r="O118">
        <v>158.08760000000001</v>
      </c>
      <c r="P118">
        <v>0.38500000000000001</v>
      </c>
      <c r="Q118">
        <v>15859.986824000001</v>
      </c>
      <c r="R118" t="s">
        <v>1180</v>
      </c>
    </row>
    <row r="119" spans="8:18" x14ac:dyDescent="0.25">
      <c r="H119" t="s">
        <v>1042</v>
      </c>
      <c r="I119">
        <v>172.67147999999997</v>
      </c>
      <c r="J119">
        <v>0.65</v>
      </c>
      <c r="K119">
        <v>17299.442132</v>
      </c>
      <c r="L119" t="s">
        <v>158</v>
      </c>
      <c r="N119" t="s">
        <v>610</v>
      </c>
      <c r="O119">
        <v>158.08760000000001</v>
      </c>
      <c r="P119">
        <v>0.38500000000000001</v>
      </c>
      <c r="Q119">
        <v>16018.074424000002</v>
      </c>
      <c r="R119" t="s">
        <v>1180</v>
      </c>
    </row>
    <row r="120" spans="8:18" x14ac:dyDescent="0.25">
      <c r="H120" t="s">
        <v>796</v>
      </c>
      <c r="I120">
        <v>172.66172</v>
      </c>
      <c r="J120">
        <v>0.65</v>
      </c>
      <c r="K120">
        <v>17472.103852</v>
      </c>
      <c r="L120" t="s">
        <v>158</v>
      </c>
      <c r="N120" t="s">
        <v>513</v>
      </c>
      <c r="O120">
        <v>172.82886000000002</v>
      </c>
      <c r="P120">
        <v>0.38500000000000006</v>
      </c>
      <c r="Q120">
        <v>16190.903284000002</v>
      </c>
      <c r="R120" t="s">
        <v>1180</v>
      </c>
    </row>
    <row r="121" spans="8:18" x14ac:dyDescent="0.25">
      <c r="H121" t="s">
        <v>1043</v>
      </c>
      <c r="I121">
        <v>172.82397999999998</v>
      </c>
      <c r="J121">
        <v>0.65</v>
      </c>
      <c r="K121">
        <v>17644.927832000001</v>
      </c>
      <c r="L121" t="s">
        <v>158</v>
      </c>
      <c r="N121" t="s">
        <v>534</v>
      </c>
      <c r="O121">
        <v>172.82886000000002</v>
      </c>
      <c r="P121">
        <v>0.38500000000000006</v>
      </c>
      <c r="Q121">
        <v>16363.732144000001</v>
      </c>
      <c r="R121" t="s">
        <v>1180</v>
      </c>
    </row>
    <row r="122" spans="8:18" x14ac:dyDescent="0.25">
      <c r="H122" t="s">
        <v>1046</v>
      </c>
      <c r="I122">
        <v>198.28782000000001</v>
      </c>
      <c r="J122">
        <v>0.65</v>
      </c>
      <c r="K122">
        <v>17843.215652000003</v>
      </c>
      <c r="L122" t="s">
        <v>158</v>
      </c>
      <c r="N122" t="s">
        <v>589</v>
      </c>
      <c r="O122">
        <v>169.966252</v>
      </c>
      <c r="P122">
        <v>0.39</v>
      </c>
      <c r="Q122">
        <v>16533.698396</v>
      </c>
      <c r="R122" t="s">
        <v>1180</v>
      </c>
    </row>
    <row r="123" spans="8:18" x14ac:dyDescent="0.25">
      <c r="H123" t="s">
        <v>795</v>
      </c>
      <c r="I123">
        <v>172.61291999999997</v>
      </c>
      <c r="J123">
        <v>0.65</v>
      </c>
      <c r="K123">
        <v>18015.828572000002</v>
      </c>
      <c r="L123" t="s">
        <v>158</v>
      </c>
      <c r="N123" t="s">
        <v>461</v>
      </c>
      <c r="O123">
        <v>169.68979999999999</v>
      </c>
      <c r="P123">
        <v>0.39</v>
      </c>
      <c r="Q123">
        <v>16703.388196</v>
      </c>
      <c r="R123" t="s">
        <v>1180</v>
      </c>
    </row>
    <row r="124" spans="8:18" x14ac:dyDescent="0.25">
      <c r="H124" t="s">
        <v>1023</v>
      </c>
      <c r="I124">
        <v>198.34271999999999</v>
      </c>
      <c r="J124">
        <v>0.65</v>
      </c>
      <c r="K124">
        <v>18214.171292000003</v>
      </c>
      <c r="L124" t="s">
        <v>160</v>
      </c>
      <c r="N124" t="s">
        <v>407</v>
      </c>
      <c r="O124">
        <v>169.966252</v>
      </c>
      <c r="P124">
        <v>0.39</v>
      </c>
      <c r="Q124">
        <v>16873.354447999998</v>
      </c>
      <c r="R124" t="s">
        <v>1180</v>
      </c>
    </row>
    <row r="125" spans="8:18" x14ac:dyDescent="0.25">
      <c r="H125" t="s">
        <v>753</v>
      </c>
      <c r="I125">
        <v>120.25539999999999</v>
      </c>
      <c r="J125">
        <v>0.65500000000000003</v>
      </c>
      <c r="K125">
        <v>18334.426692000001</v>
      </c>
      <c r="L125" t="s">
        <v>160</v>
      </c>
      <c r="N125" t="s">
        <v>559</v>
      </c>
      <c r="O125">
        <v>172.24814000000001</v>
      </c>
      <c r="P125">
        <v>0.39</v>
      </c>
      <c r="Q125">
        <v>17045.602587999998</v>
      </c>
      <c r="R125" t="s">
        <v>1180</v>
      </c>
    </row>
    <row r="126" spans="8:18" x14ac:dyDescent="0.25">
      <c r="H126" t="s">
        <v>1090</v>
      </c>
      <c r="I126">
        <v>160.86920000000001</v>
      </c>
      <c r="J126">
        <v>0.65500000000000003</v>
      </c>
      <c r="K126">
        <v>18495.295892000002</v>
      </c>
      <c r="L126" t="s">
        <v>160</v>
      </c>
      <c r="N126" t="s">
        <v>420</v>
      </c>
      <c r="O126">
        <v>169.73493999999999</v>
      </c>
      <c r="P126">
        <v>0.39</v>
      </c>
      <c r="Q126">
        <v>17215.337527999996</v>
      </c>
      <c r="R126" t="s">
        <v>1180</v>
      </c>
    </row>
    <row r="127" spans="8:18" x14ac:dyDescent="0.25">
      <c r="H127" t="s">
        <v>743</v>
      </c>
      <c r="I127">
        <v>108.7264</v>
      </c>
      <c r="J127">
        <v>0.65500000000000003</v>
      </c>
      <c r="K127">
        <v>18604.022292000001</v>
      </c>
      <c r="L127" t="s">
        <v>160</v>
      </c>
      <c r="N127" t="s">
        <v>394</v>
      </c>
      <c r="O127">
        <v>169.78129999999999</v>
      </c>
      <c r="P127">
        <v>0.39</v>
      </c>
      <c r="Q127">
        <v>17385.118827999995</v>
      </c>
      <c r="R127" t="s">
        <v>1180</v>
      </c>
    </row>
    <row r="128" spans="8:18" x14ac:dyDescent="0.25">
      <c r="H128" t="s">
        <v>752</v>
      </c>
      <c r="I128">
        <v>110.4344</v>
      </c>
      <c r="J128">
        <v>0.65500000000000003</v>
      </c>
      <c r="K128">
        <v>18714.456692</v>
      </c>
      <c r="L128" t="s">
        <v>160</v>
      </c>
      <c r="N128" t="s">
        <v>588</v>
      </c>
      <c r="O128">
        <v>169.72640000000001</v>
      </c>
      <c r="P128">
        <v>0.39</v>
      </c>
      <c r="Q128">
        <v>17554.845227999995</v>
      </c>
      <c r="R128" t="s">
        <v>1180</v>
      </c>
    </row>
    <row r="129" spans="8:18" x14ac:dyDescent="0.25">
      <c r="H129" t="s">
        <v>782</v>
      </c>
      <c r="I129">
        <v>136.88400000000001</v>
      </c>
      <c r="J129">
        <v>0.65500000000000003</v>
      </c>
      <c r="K129">
        <v>18851.340691999998</v>
      </c>
      <c r="L129" t="s">
        <v>160</v>
      </c>
      <c r="N129" t="s">
        <v>560</v>
      </c>
      <c r="O129">
        <v>172.29571999999999</v>
      </c>
      <c r="P129">
        <v>0.39</v>
      </c>
      <c r="Q129">
        <v>17727.140947999993</v>
      </c>
      <c r="R129" t="s">
        <v>1180</v>
      </c>
    </row>
    <row r="130" spans="8:18" x14ac:dyDescent="0.25">
      <c r="H130" t="s">
        <v>1123</v>
      </c>
      <c r="I130">
        <v>160.34460000000001</v>
      </c>
      <c r="J130">
        <v>0.65500000000000014</v>
      </c>
      <c r="K130">
        <v>19011.685291999998</v>
      </c>
      <c r="L130" t="s">
        <v>160</v>
      </c>
      <c r="N130" t="s">
        <v>406</v>
      </c>
      <c r="O130">
        <v>169.72640000000001</v>
      </c>
      <c r="P130">
        <v>0.39</v>
      </c>
      <c r="Q130">
        <v>17896.867347999992</v>
      </c>
      <c r="R130" t="s">
        <v>1180</v>
      </c>
    </row>
    <row r="131" spans="8:18" x14ac:dyDescent="0.25">
      <c r="H131" t="s">
        <v>1137</v>
      </c>
      <c r="I131">
        <v>160.34460000000001</v>
      </c>
      <c r="J131">
        <v>0.65500000000000014</v>
      </c>
      <c r="K131">
        <v>19172.029891999999</v>
      </c>
      <c r="L131" t="s">
        <v>160</v>
      </c>
      <c r="N131" t="s">
        <v>384</v>
      </c>
      <c r="O131">
        <v>116.20988</v>
      </c>
      <c r="P131">
        <v>0.39499999999999996</v>
      </c>
      <c r="Q131">
        <v>18013.077227999991</v>
      </c>
      <c r="R131" t="s">
        <v>1180</v>
      </c>
    </row>
    <row r="132" spans="8:18" x14ac:dyDescent="0.25">
      <c r="H132" t="s">
        <v>1037</v>
      </c>
      <c r="I132">
        <v>170.44863999999998</v>
      </c>
      <c r="J132">
        <v>0.66</v>
      </c>
      <c r="K132">
        <v>19342.478531999997</v>
      </c>
      <c r="L132" t="s">
        <v>160</v>
      </c>
      <c r="N132" t="s">
        <v>434</v>
      </c>
      <c r="O132">
        <v>106.42060000000001</v>
      </c>
      <c r="P132">
        <v>0.39499999999999996</v>
      </c>
      <c r="Q132">
        <v>18119.497827999992</v>
      </c>
      <c r="R132" t="s">
        <v>1180</v>
      </c>
    </row>
    <row r="133" spans="8:18" x14ac:dyDescent="0.25">
      <c r="H133" t="s">
        <v>1036</v>
      </c>
      <c r="I133">
        <v>170.27784</v>
      </c>
      <c r="J133">
        <v>0.66</v>
      </c>
      <c r="K133">
        <v>19512.756371999996</v>
      </c>
      <c r="L133" t="s">
        <v>160</v>
      </c>
      <c r="N133" t="s">
        <v>632</v>
      </c>
      <c r="O133">
        <v>107.95779999999999</v>
      </c>
      <c r="P133">
        <v>0.39499999999999996</v>
      </c>
      <c r="Q133">
        <v>18227.455627999992</v>
      </c>
      <c r="R133" t="s">
        <v>1180</v>
      </c>
    </row>
    <row r="134" spans="8:18" x14ac:dyDescent="0.25">
      <c r="H134" t="s">
        <v>746</v>
      </c>
      <c r="I134">
        <v>108.64099999999999</v>
      </c>
      <c r="J134">
        <v>0.66500000000000004</v>
      </c>
      <c r="K134">
        <v>19621.397371999996</v>
      </c>
      <c r="L134" t="s">
        <v>160</v>
      </c>
      <c r="N134" t="s">
        <v>700</v>
      </c>
      <c r="O134">
        <v>106.42060000000001</v>
      </c>
      <c r="P134">
        <v>0.39499999999999996</v>
      </c>
      <c r="Q134">
        <v>18333.876227999994</v>
      </c>
      <c r="R134" t="s">
        <v>1180</v>
      </c>
    </row>
    <row r="135" spans="8:18" x14ac:dyDescent="0.25">
      <c r="H135" t="s">
        <v>747</v>
      </c>
      <c r="I135">
        <v>118.4132</v>
      </c>
      <c r="J135">
        <v>0.66500000000000004</v>
      </c>
      <c r="K135">
        <v>19739.810571999995</v>
      </c>
      <c r="L135" t="s">
        <v>160</v>
      </c>
      <c r="N135" t="s">
        <v>687</v>
      </c>
      <c r="O135">
        <v>106.42060000000001</v>
      </c>
      <c r="P135">
        <v>0.39499999999999996</v>
      </c>
      <c r="Q135">
        <v>18440.296827999995</v>
      </c>
      <c r="R135" t="s">
        <v>1180</v>
      </c>
    </row>
    <row r="136" spans="8:18" x14ac:dyDescent="0.25">
      <c r="H136" t="s">
        <v>737</v>
      </c>
      <c r="I136">
        <v>108.64099999999999</v>
      </c>
      <c r="J136">
        <v>0.66500000000000004</v>
      </c>
      <c r="K136">
        <v>19848.451571999994</v>
      </c>
      <c r="L136" t="s">
        <v>160</v>
      </c>
      <c r="N136" t="s">
        <v>581</v>
      </c>
      <c r="O136">
        <v>116.20988</v>
      </c>
      <c r="P136">
        <v>0.39499999999999996</v>
      </c>
      <c r="Q136">
        <v>18556.506707999994</v>
      </c>
      <c r="R136" t="s">
        <v>1180</v>
      </c>
    </row>
    <row r="137" spans="8:18" x14ac:dyDescent="0.25">
      <c r="H137" t="s">
        <v>1085</v>
      </c>
      <c r="I137">
        <v>159.96639999999999</v>
      </c>
      <c r="J137">
        <v>0.66500000000000015</v>
      </c>
      <c r="K137">
        <v>20008.417971999996</v>
      </c>
      <c r="L137" t="s">
        <v>160</v>
      </c>
      <c r="N137" t="s">
        <v>421</v>
      </c>
      <c r="O137">
        <v>106.42060000000001</v>
      </c>
      <c r="P137">
        <v>0.39499999999999996</v>
      </c>
      <c r="Q137">
        <v>18662.927307999995</v>
      </c>
      <c r="R137" t="s">
        <v>1180</v>
      </c>
    </row>
    <row r="138" spans="8:18" x14ac:dyDescent="0.25">
      <c r="H138" t="s">
        <v>734</v>
      </c>
      <c r="I138">
        <v>134.3708</v>
      </c>
      <c r="J138">
        <v>0.66500000000000015</v>
      </c>
      <c r="K138">
        <v>20142.788771999996</v>
      </c>
      <c r="L138" t="s">
        <v>160</v>
      </c>
      <c r="N138" t="s">
        <v>445</v>
      </c>
      <c r="O138">
        <v>106.42060000000001</v>
      </c>
      <c r="P138">
        <v>0.39499999999999996</v>
      </c>
      <c r="Q138">
        <v>18769.347907999996</v>
      </c>
      <c r="R138" t="s">
        <v>1180</v>
      </c>
    </row>
    <row r="139" spans="8:18" x14ac:dyDescent="0.25">
      <c r="H139" t="s">
        <v>1093</v>
      </c>
      <c r="I139">
        <v>159.96639999999999</v>
      </c>
      <c r="J139">
        <v>0.66500000000000015</v>
      </c>
      <c r="K139">
        <v>20302.755171999997</v>
      </c>
      <c r="L139" t="s">
        <v>160</v>
      </c>
      <c r="N139" t="s">
        <v>453</v>
      </c>
      <c r="O139">
        <v>115.80240000000001</v>
      </c>
      <c r="P139">
        <v>0.39499999999999996</v>
      </c>
      <c r="Q139">
        <v>18885.150307999997</v>
      </c>
      <c r="R139" t="s">
        <v>1180</v>
      </c>
    </row>
    <row r="140" spans="8:18" x14ac:dyDescent="0.25">
      <c r="H140" t="s">
        <v>945</v>
      </c>
      <c r="I140">
        <v>224.34214</v>
      </c>
      <c r="J140">
        <v>0.66900000000000015</v>
      </c>
      <c r="K140">
        <v>20527.097311999998</v>
      </c>
      <c r="L140" t="s">
        <v>160</v>
      </c>
      <c r="N140" t="s">
        <v>397</v>
      </c>
      <c r="O140">
        <v>116.20988</v>
      </c>
      <c r="P140">
        <v>0.39499999999999996</v>
      </c>
      <c r="Q140">
        <v>19001.360187999995</v>
      </c>
      <c r="R140" t="s">
        <v>1180</v>
      </c>
    </row>
    <row r="141" spans="8:18" x14ac:dyDescent="0.25">
      <c r="H141" t="s">
        <v>1064</v>
      </c>
      <c r="I141">
        <v>152.53659999999999</v>
      </c>
      <c r="J141">
        <v>0.67</v>
      </c>
      <c r="K141">
        <v>20679.633911999998</v>
      </c>
      <c r="L141" t="s">
        <v>160</v>
      </c>
      <c r="N141" t="s">
        <v>410</v>
      </c>
      <c r="O141">
        <v>116.16108</v>
      </c>
      <c r="P141">
        <v>0.39499999999999996</v>
      </c>
      <c r="Q141">
        <v>19117.521267999997</v>
      </c>
      <c r="R141" t="s">
        <v>1180</v>
      </c>
    </row>
    <row r="142" spans="8:18" x14ac:dyDescent="0.25">
      <c r="H142" t="s">
        <v>1110</v>
      </c>
      <c r="I142">
        <v>152.1584</v>
      </c>
      <c r="J142">
        <v>0.67</v>
      </c>
      <c r="K142">
        <v>20831.792311999998</v>
      </c>
      <c r="L142" t="s">
        <v>160</v>
      </c>
      <c r="N142" t="s">
        <v>673</v>
      </c>
      <c r="O142">
        <v>106.42060000000001</v>
      </c>
      <c r="P142">
        <v>0.39499999999999996</v>
      </c>
      <c r="Q142">
        <v>19223.941867999998</v>
      </c>
      <c r="R142" t="s">
        <v>1180</v>
      </c>
    </row>
    <row r="143" spans="8:18" x14ac:dyDescent="0.25">
      <c r="H143" t="s">
        <v>1071</v>
      </c>
      <c r="I143">
        <v>160.69839999999999</v>
      </c>
      <c r="J143">
        <v>0.67</v>
      </c>
      <c r="K143">
        <v>20992.490711999999</v>
      </c>
      <c r="L143" t="s">
        <v>160</v>
      </c>
      <c r="N143" t="s">
        <v>575</v>
      </c>
      <c r="O143">
        <v>117.49942</v>
      </c>
      <c r="P143">
        <v>0.39500000000000002</v>
      </c>
      <c r="Q143">
        <v>19341.441287999998</v>
      </c>
      <c r="R143" t="s">
        <v>1180</v>
      </c>
    </row>
    <row r="144" spans="8:18" x14ac:dyDescent="0.25">
      <c r="H144" t="s">
        <v>1063</v>
      </c>
      <c r="I144">
        <v>156.5016</v>
      </c>
      <c r="J144">
        <v>0.67</v>
      </c>
      <c r="K144">
        <v>21148.992311999998</v>
      </c>
      <c r="L144" t="s">
        <v>160</v>
      </c>
      <c r="N144" t="s">
        <v>603</v>
      </c>
      <c r="O144">
        <v>157.4288</v>
      </c>
      <c r="P144">
        <v>0.39500000000000002</v>
      </c>
      <c r="Q144">
        <v>19498.870088</v>
      </c>
      <c r="R144" t="s">
        <v>1180</v>
      </c>
    </row>
    <row r="145" spans="8:18" x14ac:dyDescent="0.25">
      <c r="H145" t="s">
        <v>1074</v>
      </c>
      <c r="I145">
        <v>152.60980000000001</v>
      </c>
      <c r="J145">
        <v>0.67</v>
      </c>
      <c r="K145">
        <v>21301.602111999997</v>
      </c>
      <c r="L145" t="s">
        <v>160</v>
      </c>
      <c r="N145" t="s">
        <v>594</v>
      </c>
      <c r="O145">
        <v>117.45062</v>
      </c>
      <c r="P145">
        <v>0.39500000000000002</v>
      </c>
      <c r="Q145">
        <v>19616.320707999999</v>
      </c>
      <c r="R145" t="s">
        <v>1180</v>
      </c>
    </row>
    <row r="146" spans="8:18" x14ac:dyDescent="0.25">
      <c r="H146" t="s">
        <v>1054</v>
      </c>
      <c r="I146">
        <v>152.60980000000001</v>
      </c>
      <c r="J146">
        <v>0.67</v>
      </c>
      <c r="K146">
        <v>21454.211911999995</v>
      </c>
      <c r="L146" t="s">
        <v>161</v>
      </c>
      <c r="N146" t="s">
        <v>659</v>
      </c>
      <c r="O146">
        <v>160.50319999999999</v>
      </c>
      <c r="P146">
        <v>0.39500000000000002</v>
      </c>
      <c r="Q146">
        <v>19776.823907999998</v>
      </c>
      <c r="R146" t="s">
        <v>1180</v>
      </c>
    </row>
    <row r="147" spans="8:18" x14ac:dyDescent="0.25">
      <c r="H147" t="s">
        <v>1100</v>
      </c>
      <c r="I147">
        <v>152.1584</v>
      </c>
      <c r="J147">
        <v>0.67</v>
      </c>
      <c r="K147">
        <v>21606.370311999995</v>
      </c>
      <c r="L147" t="s">
        <v>161</v>
      </c>
      <c r="N147" t="s">
        <v>502</v>
      </c>
      <c r="O147">
        <v>157.4288</v>
      </c>
      <c r="P147">
        <v>0.39500000000000002</v>
      </c>
      <c r="Q147">
        <v>19934.252708</v>
      </c>
      <c r="R147" t="s">
        <v>1180</v>
      </c>
    </row>
    <row r="148" spans="8:18" x14ac:dyDescent="0.25">
      <c r="H148" t="s">
        <v>980</v>
      </c>
      <c r="I148">
        <v>172.17982000000001</v>
      </c>
      <c r="J148">
        <v>0.67249999999999999</v>
      </c>
      <c r="K148">
        <v>21778.550131999997</v>
      </c>
      <c r="L148" t="s">
        <v>161</v>
      </c>
      <c r="N148" t="s">
        <v>483</v>
      </c>
      <c r="O148">
        <v>157.4288</v>
      </c>
      <c r="P148">
        <v>0.39500000000000002</v>
      </c>
      <c r="Q148">
        <v>20091.681508000001</v>
      </c>
      <c r="R148" t="s">
        <v>1180</v>
      </c>
    </row>
    <row r="149" spans="8:18" x14ac:dyDescent="0.25">
      <c r="H149" t="s">
        <v>814</v>
      </c>
      <c r="I149">
        <v>172.10906</v>
      </c>
      <c r="J149">
        <v>0.67249999999999999</v>
      </c>
      <c r="K149">
        <v>21950.659191999996</v>
      </c>
      <c r="L149" t="s">
        <v>161</v>
      </c>
      <c r="N149" t="s">
        <v>393</v>
      </c>
      <c r="O149">
        <v>175.64339999999999</v>
      </c>
      <c r="P149">
        <v>0.39500000000000002</v>
      </c>
      <c r="Q149">
        <v>20267.324908000002</v>
      </c>
      <c r="R149" t="s">
        <v>1180</v>
      </c>
    </row>
    <row r="150" spans="8:18" x14ac:dyDescent="0.25">
      <c r="H150" t="s">
        <v>784</v>
      </c>
      <c r="I150">
        <v>108.64099999999999</v>
      </c>
      <c r="J150">
        <v>0.67500000000000004</v>
      </c>
      <c r="K150">
        <v>22059.300191999995</v>
      </c>
      <c r="L150" t="s">
        <v>161</v>
      </c>
      <c r="N150" t="s">
        <v>665</v>
      </c>
      <c r="O150">
        <v>157.99</v>
      </c>
      <c r="P150">
        <v>0.39500000000000002</v>
      </c>
      <c r="Q150">
        <v>20425.314908000004</v>
      </c>
      <c r="R150" t="s">
        <v>1180</v>
      </c>
    </row>
    <row r="151" spans="8:18" x14ac:dyDescent="0.25">
      <c r="H151" t="s">
        <v>779</v>
      </c>
      <c r="I151">
        <v>118.4498</v>
      </c>
      <c r="J151">
        <v>0.67500000000000004</v>
      </c>
      <c r="K151">
        <v>22177.749991999994</v>
      </c>
      <c r="L151" t="s">
        <v>161</v>
      </c>
      <c r="N151" t="s">
        <v>646</v>
      </c>
      <c r="O151">
        <v>108.32380000000001</v>
      </c>
      <c r="P151">
        <v>0.39500000000000002</v>
      </c>
      <c r="Q151">
        <v>20533.638708000002</v>
      </c>
      <c r="R151" t="s">
        <v>1180</v>
      </c>
    </row>
    <row r="152" spans="8:18" x14ac:dyDescent="0.25">
      <c r="H152" t="s">
        <v>780</v>
      </c>
      <c r="I152">
        <v>108.64099999999999</v>
      </c>
      <c r="J152">
        <v>0.67500000000000004</v>
      </c>
      <c r="K152">
        <v>22286.390991999993</v>
      </c>
      <c r="L152" t="s">
        <v>161</v>
      </c>
      <c r="N152" t="s">
        <v>623</v>
      </c>
      <c r="O152">
        <v>157.4288</v>
      </c>
      <c r="P152">
        <v>0.39500000000000002</v>
      </c>
      <c r="Q152">
        <v>20691.067508000004</v>
      </c>
      <c r="R152" t="s">
        <v>1180</v>
      </c>
    </row>
    <row r="153" spans="8:18" x14ac:dyDescent="0.25">
      <c r="H153" t="s">
        <v>1044</v>
      </c>
      <c r="I153">
        <v>224.34214</v>
      </c>
      <c r="J153">
        <v>0.67500000000000004</v>
      </c>
      <c r="K153">
        <v>22510.733131999994</v>
      </c>
      <c r="L153" t="s">
        <v>161</v>
      </c>
      <c r="N153" t="s">
        <v>671</v>
      </c>
      <c r="O153">
        <v>160.62519999999998</v>
      </c>
      <c r="P153">
        <v>0.39500000000000002</v>
      </c>
      <c r="Q153">
        <v>20851.692708000002</v>
      </c>
      <c r="R153" t="s">
        <v>1180</v>
      </c>
    </row>
    <row r="154" spans="8:18" x14ac:dyDescent="0.25">
      <c r="H154" t="s">
        <v>742</v>
      </c>
      <c r="I154">
        <v>134.4196</v>
      </c>
      <c r="J154">
        <v>0.67500000000000016</v>
      </c>
      <c r="K154">
        <v>22645.152731999995</v>
      </c>
      <c r="L154" t="s">
        <v>161</v>
      </c>
      <c r="N154" t="s">
        <v>474</v>
      </c>
      <c r="O154">
        <v>175.64339999999999</v>
      </c>
      <c r="P154">
        <v>0.39500000000000002</v>
      </c>
      <c r="Q154">
        <v>21027.336108000003</v>
      </c>
      <c r="R154" t="s">
        <v>1181</v>
      </c>
    </row>
    <row r="155" spans="8:18" x14ac:dyDescent="0.25">
      <c r="H155" t="s">
        <v>1049</v>
      </c>
      <c r="I155">
        <v>175.55311999999998</v>
      </c>
      <c r="J155">
        <v>0.67749999999999999</v>
      </c>
      <c r="K155">
        <v>22820.705851999996</v>
      </c>
      <c r="L155" t="s">
        <v>161</v>
      </c>
      <c r="N155" t="s">
        <v>324</v>
      </c>
      <c r="O155">
        <v>108.64099999999999</v>
      </c>
      <c r="P155">
        <v>0.39500000000000002</v>
      </c>
      <c r="Q155">
        <v>21135.977108000003</v>
      </c>
      <c r="R155" t="s">
        <v>1181</v>
      </c>
    </row>
    <row r="156" spans="8:18" x14ac:dyDescent="0.25">
      <c r="H156" t="s">
        <v>846</v>
      </c>
      <c r="I156">
        <v>228.262</v>
      </c>
      <c r="J156">
        <v>0.67900000000000005</v>
      </c>
      <c r="K156">
        <v>23048.967851999994</v>
      </c>
      <c r="L156" t="s">
        <v>161</v>
      </c>
      <c r="N156" t="s">
        <v>367</v>
      </c>
      <c r="O156">
        <v>173.02649999999997</v>
      </c>
      <c r="P156">
        <v>0.39999999999999997</v>
      </c>
      <c r="Q156">
        <v>21309.003608000003</v>
      </c>
      <c r="R156" t="s">
        <v>1181</v>
      </c>
    </row>
    <row r="157" spans="8:18" x14ac:dyDescent="0.25">
      <c r="H157" t="s">
        <v>953</v>
      </c>
      <c r="I157">
        <v>222.47554</v>
      </c>
      <c r="J157">
        <v>0.67900000000000016</v>
      </c>
      <c r="K157">
        <v>23271.443391999994</v>
      </c>
      <c r="L157" t="s">
        <v>161</v>
      </c>
      <c r="N157" t="s">
        <v>639</v>
      </c>
      <c r="O157">
        <v>152.60980000000001</v>
      </c>
      <c r="P157">
        <v>0.4</v>
      </c>
      <c r="Q157">
        <v>21461.613408000001</v>
      </c>
      <c r="R157" t="s">
        <v>1181</v>
      </c>
    </row>
    <row r="158" spans="8:18" x14ac:dyDescent="0.25">
      <c r="H158" t="s">
        <v>1022</v>
      </c>
      <c r="I158">
        <v>180.00489999999999</v>
      </c>
      <c r="J158">
        <v>0.67900000000000016</v>
      </c>
      <c r="K158">
        <v>23451.448291999994</v>
      </c>
      <c r="L158" t="s">
        <v>161</v>
      </c>
      <c r="N158" t="s">
        <v>399</v>
      </c>
      <c r="O158">
        <v>174.43194</v>
      </c>
      <c r="P158">
        <v>0.4</v>
      </c>
      <c r="Q158">
        <v>21636.045348</v>
      </c>
      <c r="R158" t="s">
        <v>1181</v>
      </c>
    </row>
    <row r="159" spans="8:18" x14ac:dyDescent="0.25">
      <c r="H159" t="s">
        <v>1010</v>
      </c>
      <c r="I159">
        <v>198.59281999999999</v>
      </c>
      <c r="J159">
        <v>0.68</v>
      </c>
      <c r="K159">
        <v>23650.041111999995</v>
      </c>
      <c r="L159" t="s">
        <v>161</v>
      </c>
      <c r="N159" t="s">
        <v>435</v>
      </c>
      <c r="O159">
        <v>162.18680000000001</v>
      </c>
      <c r="P159">
        <v>0.4</v>
      </c>
      <c r="Q159">
        <v>21798.232147999999</v>
      </c>
      <c r="R159" t="s">
        <v>1181</v>
      </c>
    </row>
    <row r="160" spans="8:18" x14ac:dyDescent="0.25">
      <c r="H160" t="s">
        <v>1124</v>
      </c>
      <c r="I160">
        <v>154.87899999999999</v>
      </c>
      <c r="J160">
        <v>0.68</v>
      </c>
      <c r="K160">
        <v>23804.920111999996</v>
      </c>
      <c r="L160" t="s">
        <v>161</v>
      </c>
      <c r="N160" t="s">
        <v>494</v>
      </c>
      <c r="O160">
        <v>160.33239999999998</v>
      </c>
      <c r="P160">
        <v>0.4</v>
      </c>
      <c r="Q160">
        <v>21958.564547999998</v>
      </c>
      <c r="R160" t="s">
        <v>1181</v>
      </c>
    </row>
    <row r="161" spans="8:18" x14ac:dyDescent="0.25">
      <c r="H161" t="s">
        <v>1107</v>
      </c>
      <c r="I161">
        <v>154.7936</v>
      </c>
      <c r="J161">
        <v>0.68</v>
      </c>
      <c r="K161">
        <v>23959.713711999997</v>
      </c>
      <c r="L161" t="s">
        <v>161</v>
      </c>
      <c r="N161" t="s">
        <v>527</v>
      </c>
      <c r="O161">
        <v>172.29571999999999</v>
      </c>
      <c r="P161">
        <v>0.4</v>
      </c>
      <c r="Q161">
        <v>22130.860267999997</v>
      </c>
      <c r="R161" t="s">
        <v>1181</v>
      </c>
    </row>
    <row r="162" spans="8:18" x14ac:dyDescent="0.25">
      <c r="H162" t="s">
        <v>1061</v>
      </c>
      <c r="I162">
        <v>155.17179999999999</v>
      </c>
      <c r="J162">
        <v>0.68</v>
      </c>
      <c r="K162">
        <v>24114.885511999997</v>
      </c>
      <c r="L162" t="s">
        <v>161</v>
      </c>
      <c r="N162" t="s">
        <v>537</v>
      </c>
      <c r="O162">
        <v>172.24814000000001</v>
      </c>
      <c r="P162">
        <v>0.4</v>
      </c>
      <c r="Q162">
        <v>22303.108407999996</v>
      </c>
      <c r="R162" t="s">
        <v>1181</v>
      </c>
    </row>
    <row r="163" spans="8:18" x14ac:dyDescent="0.25">
      <c r="H163" t="s">
        <v>1086</v>
      </c>
      <c r="I163">
        <v>154.67160000000001</v>
      </c>
      <c r="J163">
        <v>0.68</v>
      </c>
      <c r="K163">
        <v>24269.557111999999</v>
      </c>
      <c r="L163" t="s">
        <v>161</v>
      </c>
      <c r="N163" t="s">
        <v>582</v>
      </c>
      <c r="O163">
        <v>174.43194</v>
      </c>
      <c r="P163">
        <v>0.4</v>
      </c>
      <c r="Q163">
        <v>22477.540347999995</v>
      </c>
      <c r="R163" t="s">
        <v>1181</v>
      </c>
    </row>
    <row r="164" spans="8:18" x14ac:dyDescent="0.25">
      <c r="H164" t="s">
        <v>1072</v>
      </c>
      <c r="I164">
        <v>155.0864</v>
      </c>
      <c r="J164">
        <v>0.68</v>
      </c>
      <c r="K164">
        <v>24424.643511999999</v>
      </c>
      <c r="L164" t="s">
        <v>161</v>
      </c>
      <c r="N164" t="s">
        <v>452</v>
      </c>
      <c r="O164">
        <v>152.65859999999998</v>
      </c>
      <c r="P164">
        <v>0.4</v>
      </c>
      <c r="Q164">
        <v>22630.198947999994</v>
      </c>
      <c r="R164" t="s">
        <v>1181</v>
      </c>
    </row>
    <row r="165" spans="8:18" x14ac:dyDescent="0.25">
      <c r="H165" t="s">
        <v>803</v>
      </c>
      <c r="I165">
        <v>198.59281999999999</v>
      </c>
      <c r="J165">
        <v>0.68</v>
      </c>
      <c r="K165">
        <v>24623.236332</v>
      </c>
      <c r="L165" t="s">
        <v>159</v>
      </c>
      <c r="N165" t="s">
        <v>681</v>
      </c>
      <c r="O165">
        <v>152.65859999999998</v>
      </c>
      <c r="P165">
        <v>0.4</v>
      </c>
      <c r="Q165">
        <v>22782.857547999993</v>
      </c>
      <c r="R165" t="s">
        <v>1181</v>
      </c>
    </row>
    <row r="166" spans="8:18" x14ac:dyDescent="0.25">
      <c r="H166" t="s">
        <v>1081</v>
      </c>
      <c r="I166">
        <v>155.17179999999999</v>
      </c>
      <c r="J166">
        <v>0.68</v>
      </c>
      <c r="K166">
        <v>24778.408132</v>
      </c>
      <c r="L166" t="s">
        <v>159</v>
      </c>
      <c r="N166" t="s">
        <v>526</v>
      </c>
      <c r="O166">
        <v>172.24814000000001</v>
      </c>
      <c r="P166">
        <v>0.4</v>
      </c>
      <c r="Q166">
        <v>22955.105687999992</v>
      </c>
      <c r="R166" t="s">
        <v>1181</v>
      </c>
    </row>
    <row r="167" spans="8:18" x14ac:dyDescent="0.25">
      <c r="H167" t="s">
        <v>1132</v>
      </c>
      <c r="I167">
        <v>159.85659999999999</v>
      </c>
      <c r="J167">
        <v>0.68</v>
      </c>
      <c r="K167">
        <v>24938.264732</v>
      </c>
      <c r="L167" t="s">
        <v>159</v>
      </c>
      <c r="N167" t="s">
        <v>441</v>
      </c>
      <c r="O167">
        <v>158.09979999999999</v>
      </c>
      <c r="P167">
        <v>0.4</v>
      </c>
      <c r="Q167">
        <v>23113.205487999992</v>
      </c>
      <c r="R167" t="s">
        <v>1181</v>
      </c>
    </row>
    <row r="168" spans="8:18" x14ac:dyDescent="0.25">
      <c r="H168" t="s">
        <v>971</v>
      </c>
      <c r="I168">
        <v>198.64771999999999</v>
      </c>
      <c r="J168">
        <v>0.68</v>
      </c>
      <c r="K168">
        <v>25136.912452</v>
      </c>
      <c r="L168" t="s">
        <v>159</v>
      </c>
      <c r="N168" t="s">
        <v>514</v>
      </c>
      <c r="O168">
        <v>172.2945</v>
      </c>
      <c r="P168">
        <v>0.4</v>
      </c>
      <c r="Q168">
        <v>23285.499987999992</v>
      </c>
      <c r="R168" t="s">
        <v>1181</v>
      </c>
    </row>
    <row r="169" spans="8:18" x14ac:dyDescent="0.25">
      <c r="H169" t="s">
        <v>1133</v>
      </c>
      <c r="I169">
        <v>154.8058</v>
      </c>
      <c r="J169">
        <v>0.68</v>
      </c>
      <c r="K169">
        <v>25291.718251999999</v>
      </c>
      <c r="L169" t="s">
        <v>159</v>
      </c>
      <c r="N169" t="s">
        <v>443</v>
      </c>
      <c r="O169">
        <v>152.6464</v>
      </c>
      <c r="P169">
        <v>0.4</v>
      </c>
      <c r="Q169">
        <v>23438.146387999994</v>
      </c>
      <c r="R169" t="s">
        <v>1181</v>
      </c>
    </row>
    <row r="170" spans="8:18" x14ac:dyDescent="0.25">
      <c r="H170" t="s">
        <v>1116</v>
      </c>
      <c r="I170">
        <v>155.12299999999999</v>
      </c>
      <c r="J170">
        <v>0.68</v>
      </c>
      <c r="K170">
        <v>25446.841251999998</v>
      </c>
      <c r="L170" t="s">
        <v>159</v>
      </c>
      <c r="N170" t="s">
        <v>708</v>
      </c>
      <c r="O170">
        <v>152.65859999999998</v>
      </c>
      <c r="P170">
        <v>0.4</v>
      </c>
      <c r="Q170">
        <v>23590.804987999993</v>
      </c>
      <c r="R170" t="s">
        <v>1181</v>
      </c>
    </row>
    <row r="171" spans="8:18" x14ac:dyDescent="0.25">
      <c r="H171" t="s">
        <v>1140</v>
      </c>
      <c r="I171">
        <v>154.87899999999999</v>
      </c>
      <c r="J171">
        <v>0.68</v>
      </c>
      <c r="K171">
        <v>25601.720251999999</v>
      </c>
      <c r="L171" t="s">
        <v>159</v>
      </c>
      <c r="N171" t="s">
        <v>688</v>
      </c>
      <c r="O171">
        <v>162.18680000000001</v>
      </c>
      <c r="P171">
        <v>0.4</v>
      </c>
      <c r="Q171">
        <v>23752.991787999992</v>
      </c>
      <c r="R171" t="s">
        <v>1181</v>
      </c>
    </row>
    <row r="172" spans="8:18" x14ac:dyDescent="0.25">
      <c r="H172" t="s">
        <v>1120</v>
      </c>
      <c r="I172">
        <v>154.7936</v>
      </c>
      <c r="J172">
        <v>0.68</v>
      </c>
      <c r="K172">
        <v>25756.513852</v>
      </c>
      <c r="L172" t="s">
        <v>159</v>
      </c>
      <c r="N172" t="s">
        <v>430</v>
      </c>
      <c r="O172">
        <v>152.65859999999998</v>
      </c>
      <c r="P172">
        <v>0.4</v>
      </c>
      <c r="Q172">
        <v>23905.650387999991</v>
      </c>
      <c r="R172" t="s">
        <v>1181</v>
      </c>
    </row>
    <row r="173" spans="8:18" x14ac:dyDescent="0.25">
      <c r="H173" t="s">
        <v>1096</v>
      </c>
      <c r="I173">
        <v>154.67160000000001</v>
      </c>
      <c r="J173">
        <v>0.68</v>
      </c>
      <c r="K173">
        <v>25911.185452000002</v>
      </c>
      <c r="L173" t="s">
        <v>159</v>
      </c>
      <c r="N173" t="s">
        <v>694</v>
      </c>
      <c r="O173">
        <v>158.09979999999999</v>
      </c>
      <c r="P173">
        <v>0.4</v>
      </c>
      <c r="Q173">
        <v>24063.750187999991</v>
      </c>
      <c r="R173" t="s">
        <v>1181</v>
      </c>
    </row>
    <row r="174" spans="8:18" x14ac:dyDescent="0.25">
      <c r="H174" t="s">
        <v>986</v>
      </c>
      <c r="I174">
        <v>198.64771999999999</v>
      </c>
      <c r="J174">
        <v>0.68</v>
      </c>
      <c r="K174">
        <v>26109.833172000002</v>
      </c>
      <c r="L174" t="s">
        <v>159</v>
      </c>
      <c r="N174" t="s">
        <v>615</v>
      </c>
      <c r="O174">
        <v>160.33239999999998</v>
      </c>
      <c r="P174">
        <v>0.4</v>
      </c>
      <c r="Q174">
        <v>24224.08258799999</v>
      </c>
      <c r="R174" t="s">
        <v>1181</v>
      </c>
    </row>
    <row r="175" spans="8:18" x14ac:dyDescent="0.25">
      <c r="H175" t="s">
        <v>1052</v>
      </c>
      <c r="I175">
        <v>222.48041999999998</v>
      </c>
      <c r="J175">
        <v>0.68499999999999994</v>
      </c>
      <c r="K175">
        <v>26332.313592000002</v>
      </c>
      <c r="L175" t="s">
        <v>159</v>
      </c>
      <c r="N175" t="s">
        <v>697</v>
      </c>
      <c r="O175">
        <v>152.6464</v>
      </c>
      <c r="P175">
        <v>0.4</v>
      </c>
      <c r="Q175">
        <v>24376.728987999992</v>
      </c>
      <c r="R175" t="s">
        <v>1181</v>
      </c>
    </row>
    <row r="176" spans="8:18" x14ac:dyDescent="0.25">
      <c r="H176" t="s">
        <v>988</v>
      </c>
      <c r="I176">
        <v>180.00489999999999</v>
      </c>
      <c r="J176">
        <v>0.68500000000000005</v>
      </c>
      <c r="K176">
        <v>26512.318492000002</v>
      </c>
      <c r="L176" t="s">
        <v>159</v>
      </c>
      <c r="N176" t="s">
        <v>272</v>
      </c>
      <c r="O176">
        <v>110.91019999999999</v>
      </c>
      <c r="P176">
        <v>0.40499999999999997</v>
      </c>
      <c r="Q176">
        <v>24487.63918799999</v>
      </c>
      <c r="R176" t="s">
        <v>1181</v>
      </c>
    </row>
    <row r="177" spans="8:18" x14ac:dyDescent="0.25">
      <c r="H177" t="s">
        <v>736</v>
      </c>
      <c r="I177">
        <v>134.3708</v>
      </c>
      <c r="J177">
        <v>0.68500000000000016</v>
      </c>
      <c r="K177">
        <v>26646.689292000003</v>
      </c>
      <c r="L177" t="s">
        <v>159</v>
      </c>
      <c r="N177" t="s">
        <v>423</v>
      </c>
      <c r="O177">
        <v>160.23480000000001</v>
      </c>
      <c r="P177">
        <v>0.40499999999999997</v>
      </c>
      <c r="Q177">
        <v>24647.873987999988</v>
      </c>
      <c r="R177" t="s">
        <v>1181</v>
      </c>
    </row>
    <row r="178" spans="8:18" x14ac:dyDescent="0.25">
      <c r="H178" t="s">
        <v>1014</v>
      </c>
      <c r="I178">
        <v>175.66658000000001</v>
      </c>
      <c r="J178">
        <v>0.68900000000000006</v>
      </c>
      <c r="K178">
        <v>26822.355872000004</v>
      </c>
      <c r="L178" t="s">
        <v>159</v>
      </c>
      <c r="N178" t="s">
        <v>249</v>
      </c>
      <c r="O178">
        <v>110.91019999999999</v>
      </c>
      <c r="P178">
        <v>0.40499999999999997</v>
      </c>
      <c r="Q178">
        <v>24758.784187999987</v>
      </c>
      <c r="R178" t="s">
        <v>1181</v>
      </c>
    </row>
    <row r="179" spans="8:18" x14ac:dyDescent="0.25">
      <c r="H179" t="s">
        <v>947</v>
      </c>
      <c r="I179">
        <v>224.03713999999999</v>
      </c>
      <c r="J179">
        <v>0.68900000000000017</v>
      </c>
      <c r="K179">
        <v>27046.393012000004</v>
      </c>
      <c r="L179" t="s">
        <v>159</v>
      </c>
      <c r="N179" t="s">
        <v>444</v>
      </c>
      <c r="O179">
        <v>160.23480000000001</v>
      </c>
      <c r="P179">
        <v>0.40499999999999997</v>
      </c>
      <c r="Q179">
        <v>24919.018987999985</v>
      </c>
      <c r="R179" t="s">
        <v>1182</v>
      </c>
    </row>
    <row r="180" spans="8:18" x14ac:dyDescent="0.25">
      <c r="H180" t="s">
        <v>1033</v>
      </c>
      <c r="I180">
        <v>173.15338</v>
      </c>
      <c r="J180">
        <v>0.68900000000000017</v>
      </c>
      <c r="K180">
        <v>27219.546392000004</v>
      </c>
      <c r="L180" t="s">
        <v>159</v>
      </c>
      <c r="N180" t="s">
        <v>454</v>
      </c>
      <c r="O180">
        <v>175.93620000000001</v>
      </c>
      <c r="P180">
        <v>0.40499999999999997</v>
      </c>
      <c r="Q180">
        <v>25094.955187999985</v>
      </c>
      <c r="R180" t="s">
        <v>1182</v>
      </c>
    </row>
    <row r="181" spans="8:18" x14ac:dyDescent="0.25">
      <c r="H181" t="s">
        <v>1102</v>
      </c>
      <c r="I181">
        <v>154.13480000000001</v>
      </c>
      <c r="J181">
        <v>0.69000000000000006</v>
      </c>
      <c r="K181">
        <v>27373.681192000004</v>
      </c>
      <c r="L181" t="s">
        <v>159</v>
      </c>
      <c r="N181" t="s">
        <v>675</v>
      </c>
      <c r="O181">
        <v>160.23480000000001</v>
      </c>
      <c r="P181">
        <v>0.40499999999999997</v>
      </c>
      <c r="Q181">
        <v>25255.189987999984</v>
      </c>
      <c r="R181" t="s">
        <v>1182</v>
      </c>
    </row>
    <row r="182" spans="8:18" x14ac:dyDescent="0.25">
      <c r="H182" t="s">
        <v>1065</v>
      </c>
      <c r="I182">
        <v>152.32919999999999</v>
      </c>
      <c r="J182">
        <v>0.69000000000000006</v>
      </c>
      <c r="K182">
        <v>27526.010392000004</v>
      </c>
      <c r="L182" t="s">
        <v>159</v>
      </c>
      <c r="N182" t="s">
        <v>385</v>
      </c>
      <c r="O182">
        <v>180.00489999999999</v>
      </c>
      <c r="P182">
        <v>0.40499999999999997</v>
      </c>
      <c r="Q182">
        <v>25435.194887999984</v>
      </c>
      <c r="R182" t="s">
        <v>1182</v>
      </c>
    </row>
    <row r="183" spans="8:18" x14ac:dyDescent="0.25">
      <c r="H183" t="s">
        <v>1020</v>
      </c>
      <c r="I183">
        <v>198.18167999999997</v>
      </c>
      <c r="J183">
        <v>0.69000000000000006</v>
      </c>
      <c r="K183">
        <v>27724.192072000005</v>
      </c>
      <c r="L183" t="s">
        <v>159</v>
      </c>
      <c r="N183" t="s">
        <v>258</v>
      </c>
      <c r="O183">
        <v>110.91019999999999</v>
      </c>
      <c r="P183">
        <v>0.40499999999999997</v>
      </c>
      <c r="Q183">
        <v>25546.105087999982</v>
      </c>
      <c r="R183" t="s">
        <v>1182</v>
      </c>
    </row>
    <row r="184" spans="8:18" x14ac:dyDescent="0.25">
      <c r="H184" t="s">
        <v>1026</v>
      </c>
      <c r="I184">
        <v>204.00108</v>
      </c>
      <c r="J184">
        <v>0.69000000000000006</v>
      </c>
      <c r="K184">
        <v>27928.193152000007</v>
      </c>
      <c r="L184" t="s">
        <v>164</v>
      </c>
      <c r="N184" t="s">
        <v>271</v>
      </c>
      <c r="O184">
        <v>120.71899999999999</v>
      </c>
      <c r="P184">
        <v>0.40499999999999997</v>
      </c>
      <c r="Q184">
        <v>25666.824087999983</v>
      </c>
      <c r="R184" t="s">
        <v>1182</v>
      </c>
    </row>
    <row r="185" spans="8:18" x14ac:dyDescent="0.25">
      <c r="H185" t="s">
        <v>1048</v>
      </c>
      <c r="I185">
        <v>203.94618</v>
      </c>
      <c r="J185">
        <v>0.69000000000000006</v>
      </c>
      <c r="K185">
        <v>28132.139332000006</v>
      </c>
      <c r="L185" t="s">
        <v>164</v>
      </c>
      <c r="N185" t="s">
        <v>408</v>
      </c>
      <c r="O185">
        <v>176.48886000000002</v>
      </c>
      <c r="P185">
        <v>0.40499999999999997</v>
      </c>
      <c r="Q185">
        <v>25843.312947999984</v>
      </c>
      <c r="R185" t="s">
        <v>1182</v>
      </c>
    </row>
    <row r="186" spans="8:18" x14ac:dyDescent="0.25">
      <c r="H186" t="s">
        <v>817</v>
      </c>
      <c r="I186">
        <v>198.18167999999997</v>
      </c>
      <c r="J186">
        <v>0.69000000000000006</v>
      </c>
      <c r="K186">
        <v>28330.321012000008</v>
      </c>
      <c r="L186" t="s">
        <v>164</v>
      </c>
      <c r="N186" t="s">
        <v>259</v>
      </c>
      <c r="O186">
        <v>120.71899999999999</v>
      </c>
      <c r="P186">
        <v>0.40499999999999997</v>
      </c>
      <c r="Q186">
        <v>25964.031947999985</v>
      </c>
      <c r="R186" t="s">
        <v>1182</v>
      </c>
    </row>
    <row r="187" spans="8:18" x14ac:dyDescent="0.25">
      <c r="H187" t="s">
        <v>1000</v>
      </c>
      <c r="I187">
        <v>173.48034000000001</v>
      </c>
      <c r="J187">
        <v>0.69000000000000006</v>
      </c>
      <c r="K187">
        <v>28503.801352000006</v>
      </c>
      <c r="L187" t="s">
        <v>164</v>
      </c>
      <c r="N187" t="s">
        <v>698</v>
      </c>
      <c r="O187">
        <v>160.23480000000001</v>
      </c>
      <c r="P187">
        <v>0.40499999999999997</v>
      </c>
      <c r="Q187">
        <v>26124.266747999984</v>
      </c>
      <c r="R187" t="s">
        <v>1182</v>
      </c>
    </row>
    <row r="188" spans="8:18" x14ac:dyDescent="0.25">
      <c r="H188" t="s">
        <v>1066</v>
      </c>
      <c r="I188">
        <v>148.42519999999999</v>
      </c>
      <c r="J188">
        <v>0.69000000000000006</v>
      </c>
      <c r="K188">
        <v>28652.226552000007</v>
      </c>
      <c r="L188" t="s">
        <v>164</v>
      </c>
      <c r="N188" t="s">
        <v>651</v>
      </c>
      <c r="O188">
        <v>157.99</v>
      </c>
      <c r="P188">
        <v>0.40500000000000003</v>
      </c>
      <c r="Q188">
        <v>26282.256747999985</v>
      </c>
      <c r="R188" t="s">
        <v>1182</v>
      </c>
    </row>
    <row r="189" spans="8:18" x14ac:dyDescent="0.25">
      <c r="H189" t="s">
        <v>983</v>
      </c>
      <c r="I189">
        <v>198.23779999999999</v>
      </c>
      <c r="J189">
        <v>0.69000000000000006</v>
      </c>
      <c r="K189">
        <v>28850.464352000006</v>
      </c>
      <c r="L189" t="s">
        <v>164</v>
      </c>
      <c r="N189" t="s">
        <v>495</v>
      </c>
      <c r="O189">
        <v>154.92779999999999</v>
      </c>
      <c r="P189">
        <v>0.41000000000000003</v>
      </c>
      <c r="Q189">
        <v>26437.184547999987</v>
      </c>
      <c r="R189" t="s">
        <v>1182</v>
      </c>
    </row>
    <row r="190" spans="8:18" x14ac:dyDescent="0.25">
      <c r="H190" t="s">
        <v>1056</v>
      </c>
      <c r="I190">
        <v>155.11079999999998</v>
      </c>
      <c r="J190">
        <v>0.69000000000000006</v>
      </c>
      <c r="K190">
        <v>29005.575152000005</v>
      </c>
      <c r="L190" t="s">
        <v>164</v>
      </c>
      <c r="N190" t="s">
        <v>604</v>
      </c>
      <c r="O190">
        <v>155.12299999999999</v>
      </c>
      <c r="P190">
        <v>0.41000000000000003</v>
      </c>
      <c r="Q190">
        <v>26592.307547999986</v>
      </c>
      <c r="R190" t="s">
        <v>1182</v>
      </c>
    </row>
    <row r="191" spans="8:18" x14ac:dyDescent="0.25">
      <c r="H191" t="s">
        <v>999</v>
      </c>
      <c r="I191">
        <v>173.30832000000001</v>
      </c>
      <c r="J191">
        <v>0.69000000000000006</v>
      </c>
      <c r="K191">
        <v>29178.883472000005</v>
      </c>
      <c r="L191" t="s">
        <v>164</v>
      </c>
      <c r="N191" t="s">
        <v>616</v>
      </c>
      <c r="O191">
        <v>154.92779999999999</v>
      </c>
      <c r="P191">
        <v>0.41000000000000003</v>
      </c>
      <c r="Q191">
        <v>26747.235347999987</v>
      </c>
      <c r="R191" t="s">
        <v>1182</v>
      </c>
    </row>
    <row r="192" spans="8:18" x14ac:dyDescent="0.25">
      <c r="H192" t="s">
        <v>1076</v>
      </c>
      <c r="I192">
        <v>155.11079999999998</v>
      </c>
      <c r="J192">
        <v>0.69000000000000006</v>
      </c>
      <c r="K192">
        <v>29333.994272000004</v>
      </c>
      <c r="L192" t="s">
        <v>164</v>
      </c>
      <c r="N192" t="s">
        <v>398</v>
      </c>
      <c r="O192">
        <v>172.49579999999997</v>
      </c>
      <c r="P192">
        <v>0.41000000000000003</v>
      </c>
      <c r="Q192">
        <v>26919.731147999988</v>
      </c>
      <c r="R192" t="s">
        <v>1182</v>
      </c>
    </row>
    <row r="193" spans="8:18" x14ac:dyDescent="0.25">
      <c r="H193" t="s">
        <v>1112</v>
      </c>
      <c r="I193">
        <v>154.13480000000001</v>
      </c>
      <c r="J193">
        <v>0.69000000000000006</v>
      </c>
      <c r="K193">
        <v>29488.129072000003</v>
      </c>
      <c r="L193" t="s">
        <v>164</v>
      </c>
      <c r="N193" t="s">
        <v>477</v>
      </c>
      <c r="O193">
        <v>172.49579999999997</v>
      </c>
      <c r="P193">
        <v>0.41000000000000003</v>
      </c>
      <c r="Q193">
        <v>27092.226947999989</v>
      </c>
      <c r="R193" t="s">
        <v>1182</v>
      </c>
    </row>
    <row r="194" spans="8:18" x14ac:dyDescent="0.25">
      <c r="H194" t="s">
        <v>996</v>
      </c>
      <c r="I194">
        <v>198.23779999999999</v>
      </c>
      <c r="J194">
        <v>0.69000000000000006</v>
      </c>
      <c r="K194">
        <v>29686.366872000002</v>
      </c>
      <c r="L194" t="s">
        <v>164</v>
      </c>
      <c r="N194" t="s">
        <v>551</v>
      </c>
      <c r="O194">
        <v>172.17982000000001</v>
      </c>
      <c r="P194">
        <v>0.41000000000000003</v>
      </c>
      <c r="Q194">
        <v>27264.40676799999</v>
      </c>
      <c r="R194" t="s">
        <v>1182</v>
      </c>
    </row>
    <row r="195" spans="8:18" x14ac:dyDescent="0.25">
      <c r="H195" t="s">
        <v>788</v>
      </c>
      <c r="I195">
        <v>173.48034000000001</v>
      </c>
      <c r="J195">
        <v>0.69000000000000006</v>
      </c>
      <c r="K195">
        <v>29859.847212000001</v>
      </c>
      <c r="L195" t="s">
        <v>164</v>
      </c>
      <c r="N195" t="s">
        <v>484</v>
      </c>
      <c r="O195">
        <v>155.12299999999999</v>
      </c>
      <c r="P195">
        <v>0.41000000000000003</v>
      </c>
      <c r="Q195">
        <v>27419.529767999989</v>
      </c>
      <c r="R195" t="s">
        <v>1182</v>
      </c>
    </row>
    <row r="196" spans="8:18" x14ac:dyDescent="0.25">
      <c r="H196" t="s">
        <v>787</v>
      </c>
      <c r="I196">
        <v>173.30832000000001</v>
      </c>
      <c r="J196">
        <v>0.69000000000000006</v>
      </c>
      <c r="K196">
        <v>30033.155532000001</v>
      </c>
      <c r="L196" t="s">
        <v>164</v>
      </c>
      <c r="N196" t="s">
        <v>570</v>
      </c>
      <c r="O196">
        <v>172.10906</v>
      </c>
      <c r="P196">
        <v>0.41000000000000003</v>
      </c>
      <c r="Q196">
        <v>27591.638827999988</v>
      </c>
      <c r="R196" t="s">
        <v>1182</v>
      </c>
    </row>
    <row r="197" spans="8:18" x14ac:dyDescent="0.25">
      <c r="H197" t="s">
        <v>998</v>
      </c>
      <c r="I197">
        <v>173.15338</v>
      </c>
      <c r="J197">
        <v>0.69499999999999995</v>
      </c>
      <c r="K197">
        <v>30206.308912</v>
      </c>
      <c r="L197" t="s">
        <v>164</v>
      </c>
      <c r="N197" t="s">
        <v>505</v>
      </c>
      <c r="O197">
        <v>155.12299999999999</v>
      </c>
      <c r="P197">
        <v>0.41000000000000003</v>
      </c>
      <c r="Q197">
        <v>27746.761827999988</v>
      </c>
      <c r="R197" t="s">
        <v>1182</v>
      </c>
    </row>
    <row r="198" spans="8:18" x14ac:dyDescent="0.25">
      <c r="H198" t="s">
        <v>1080</v>
      </c>
      <c r="I198">
        <v>160.28359999999998</v>
      </c>
      <c r="J198">
        <v>0.69499999999999995</v>
      </c>
      <c r="K198">
        <v>30366.592511999999</v>
      </c>
      <c r="L198" t="s">
        <v>164</v>
      </c>
      <c r="N198" t="s">
        <v>626</v>
      </c>
      <c r="O198">
        <v>155.12299999999999</v>
      </c>
      <c r="P198">
        <v>0.41000000000000003</v>
      </c>
      <c r="Q198">
        <v>27901.884827999987</v>
      </c>
      <c r="R198" t="s">
        <v>1182</v>
      </c>
    </row>
    <row r="199" spans="8:18" x14ac:dyDescent="0.25">
      <c r="H199" t="s">
        <v>1062</v>
      </c>
      <c r="I199">
        <v>160.28359999999998</v>
      </c>
      <c r="J199">
        <v>0.69499999999999995</v>
      </c>
      <c r="K199">
        <v>30526.876111999998</v>
      </c>
      <c r="L199" t="s">
        <v>164</v>
      </c>
      <c r="N199" t="s">
        <v>336</v>
      </c>
      <c r="O199">
        <v>119.76739999999999</v>
      </c>
      <c r="P199">
        <v>0.41499999999999992</v>
      </c>
      <c r="Q199">
        <v>28021.652227999988</v>
      </c>
      <c r="R199" t="s">
        <v>1182</v>
      </c>
    </row>
    <row r="200" spans="8:18" x14ac:dyDescent="0.25">
      <c r="H200" t="s">
        <v>1108</v>
      </c>
      <c r="I200">
        <v>160.62519999999998</v>
      </c>
      <c r="J200">
        <v>0.69499999999999995</v>
      </c>
      <c r="K200">
        <v>30687.501311999997</v>
      </c>
      <c r="L200" t="s">
        <v>164</v>
      </c>
      <c r="N200" t="s">
        <v>368</v>
      </c>
      <c r="O200">
        <v>116.20988</v>
      </c>
      <c r="P200">
        <v>0.41499999999999992</v>
      </c>
      <c r="Q200">
        <v>28137.862107999987</v>
      </c>
      <c r="R200" t="s">
        <v>1182</v>
      </c>
    </row>
    <row r="201" spans="8:18" x14ac:dyDescent="0.25">
      <c r="H201" t="s">
        <v>861</v>
      </c>
      <c r="I201">
        <v>160.28359999999998</v>
      </c>
      <c r="J201">
        <v>0.69499999999999995</v>
      </c>
      <c r="K201">
        <v>30847.784911999996</v>
      </c>
      <c r="L201" t="s">
        <v>164</v>
      </c>
      <c r="N201" t="s">
        <v>322</v>
      </c>
      <c r="O201">
        <v>119.76739999999999</v>
      </c>
      <c r="P201">
        <v>0.41499999999999992</v>
      </c>
      <c r="Q201">
        <v>28257.629507999987</v>
      </c>
      <c r="R201" t="s">
        <v>1182</v>
      </c>
    </row>
    <row r="202" spans="8:18" x14ac:dyDescent="0.25">
      <c r="H202" t="s">
        <v>1045</v>
      </c>
      <c r="I202">
        <v>224.03713999999999</v>
      </c>
      <c r="J202">
        <v>0.69499999999999995</v>
      </c>
      <c r="K202">
        <v>31071.822051999996</v>
      </c>
      <c r="L202" t="s">
        <v>164</v>
      </c>
      <c r="N202" t="s">
        <v>463</v>
      </c>
      <c r="O202">
        <v>173.1302</v>
      </c>
      <c r="P202">
        <v>0.41499999999999998</v>
      </c>
      <c r="Q202">
        <v>28430.759707999987</v>
      </c>
      <c r="R202" t="s">
        <v>1183</v>
      </c>
    </row>
    <row r="203" spans="8:18" x14ac:dyDescent="0.25">
      <c r="H203" t="s">
        <v>1101</v>
      </c>
      <c r="I203">
        <v>157.99</v>
      </c>
      <c r="J203">
        <v>0.69500000000000006</v>
      </c>
      <c r="K203">
        <v>31229.812051999997</v>
      </c>
      <c r="L203" t="s">
        <v>164</v>
      </c>
      <c r="N203" t="s">
        <v>447</v>
      </c>
      <c r="O203">
        <v>108.42140000000001</v>
      </c>
      <c r="P203">
        <v>0.41499999999999998</v>
      </c>
      <c r="Q203">
        <v>28539.181107999986</v>
      </c>
      <c r="R203" t="s">
        <v>1183</v>
      </c>
    </row>
    <row r="204" spans="8:18" x14ac:dyDescent="0.25">
      <c r="H204" t="s">
        <v>1125</v>
      </c>
      <c r="I204">
        <v>160.35679999999999</v>
      </c>
      <c r="J204">
        <v>0.69500000000000006</v>
      </c>
      <c r="K204">
        <v>31390.168851999999</v>
      </c>
      <c r="L204" t="s">
        <v>164</v>
      </c>
      <c r="N204" t="s">
        <v>455</v>
      </c>
      <c r="O204">
        <v>117.47380000000001</v>
      </c>
      <c r="P204">
        <v>0.41499999999999998</v>
      </c>
      <c r="Q204">
        <v>28656.654907999986</v>
      </c>
      <c r="R204" t="s">
        <v>1183</v>
      </c>
    </row>
    <row r="205" spans="8:18" x14ac:dyDescent="0.25">
      <c r="H205" t="s">
        <v>1087</v>
      </c>
      <c r="I205">
        <v>160.50319999999999</v>
      </c>
      <c r="J205">
        <v>0.69500000000000006</v>
      </c>
      <c r="K205">
        <v>31550.672051999998</v>
      </c>
      <c r="L205" t="s">
        <v>164</v>
      </c>
      <c r="N205" t="s">
        <v>634</v>
      </c>
      <c r="O205">
        <v>108.32380000000001</v>
      </c>
      <c r="P205">
        <v>0.41499999999999998</v>
      </c>
      <c r="Q205">
        <v>28764.978707999984</v>
      </c>
      <c r="R205" t="s">
        <v>1183</v>
      </c>
    </row>
    <row r="206" spans="8:18" x14ac:dyDescent="0.25">
      <c r="H206" t="s">
        <v>1139</v>
      </c>
      <c r="I206">
        <v>160.35679999999999</v>
      </c>
      <c r="J206">
        <v>0.69500000000000006</v>
      </c>
      <c r="K206">
        <v>31711.028851999999</v>
      </c>
      <c r="L206" t="s">
        <v>164</v>
      </c>
      <c r="N206" t="s">
        <v>702</v>
      </c>
      <c r="O206">
        <v>108.42140000000001</v>
      </c>
      <c r="P206">
        <v>0.41499999999999998</v>
      </c>
      <c r="Q206">
        <v>28873.400107999983</v>
      </c>
      <c r="R206" t="s">
        <v>1183</v>
      </c>
    </row>
    <row r="207" spans="8:18" x14ac:dyDescent="0.25">
      <c r="H207" t="s">
        <v>1055</v>
      </c>
      <c r="I207">
        <v>158.0754</v>
      </c>
      <c r="J207">
        <v>0.69500000000000006</v>
      </c>
      <c r="K207">
        <v>31869.104252000001</v>
      </c>
      <c r="L207" t="s">
        <v>164</v>
      </c>
      <c r="N207" t="s">
        <v>413</v>
      </c>
      <c r="O207">
        <v>117.45062</v>
      </c>
      <c r="P207">
        <v>0.41499999999999998</v>
      </c>
      <c r="Q207">
        <v>28990.850727999983</v>
      </c>
      <c r="R207" t="s">
        <v>1183</v>
      </c>
    </row>
    <row r="208" spans="8:18" x14ac:dyDescent="0.25">
      <c r="H208" t="s">
        <v>785</v>
      </c>
      <c r="I208">
        <v>134.3708</v>
      </c>
      <c r="J208">
        <v>0.69500000000000006</v>
      </c>
      <c r="K208">
        <v>32003.475052000002</v>
      </c>
      <c r="L208" t="s">
        <v>164</v>
      </c>
      <c r="N208" t="s">
        <v>400</v>
      </c>
      <c r="O208">
        <v>117.49942</v>
      </c>
      <c r="P208">
        <v>0.41499999999999998</v>
      </c>
      <c r="Q208">
        <v>29108.350147999983</v>
      </c>
      <c r="R208" t="s">
        <v>1183</v>
      </c>
    </row>
    <row r="209" spans="8:18" x14ac:dyDescent="0.25">
      <c r="H209" t="s">
        <v>1095</v>
      </c>
      <c r="I209">
        <v>160.50319999999999</v>
      </c>
      <c r="J209">
        <v>0.69500000000000006</v>
      </c>
      <c r="K209">
        <v>32163.978252000001</v>
      </c>
      <c r="L209" t="s">
        <v>164</v>
      </c>
      <c r="N209" t="s">
        <v>436</v>
      </c>
      <c r="O209">
        <v>108.42140000000001</v>
      </c>
      <c r="P209">
        <v>0.41499999999999998</v>
      </c>
      <c r="Q209">
        <v>29216.771547999982</v>
      </c>
      <c r="R209" t="s">
        <v>1183</v>
      </c>
    </row>
    <row r="210" spans="8:18" x14ac:dyDescent="0.25">
      <c r="H210" t="s">
        <v>853</v>
      </c>
      <c r="I210">
        <v>158.0754</v>
      </c>
      <c r="J210">
        <v>0.69500000000000006</v>
      </c>
      <c r="K210">
        <v>32322.053652000002</v>
      </c>
      <c r="L210" t="s">
        <v>164</v>
      </c>
      <c r="N210" t="s">
        <v>387</v>
      </c>
      <c r="O210">
        <v>117.49942</v>
      </c>
      <c r="P210">
        <v>0.41499999999999998</v>
      </c>
      <c r="Q210">
        <v>29334.270967999983</v>
      </c>
      <c r="R210" t="s">
        <v>1183</v>
      </c>
    </row>
    <row r="211" spans="8:18" x14ac:dyDescent="0.25">
      <c r="H211" t="s">
        <v>1073</v>
      </c>
      <c r="I211">
        <v>158.0754</v>
      </c>
      <c r="J211">
        <v>0.69500000000000006</v>
      </c>
      <c r="K211">
        <v>32480.129052000004</v>
      </c>
      <c r="L211" t="s">
        <v>164</v>
      </c>
      <c r="N211" t="s">
        <v>689</v>
      </c>
      <c r="O211">
        <v>108.42140000000001</v>
      </c>
      <c r="P211">
        <v>0.41499999999999998</v>
      </c>
      <c r="Q211">
        <v>29442.692367999982</v>
      </c>
      <c r="R211" t="s">
        <v>1183</v>
      </c>
    </row>
    <row r="212" spans="8:18" x14ac:dyDescent="0.25">
      <c r="H212" t="s">
        <v>1025</v>
      </c>
      <c r="I212">
        <v>172.82886000000002</v>
      </c>
      <c r="J212">
        <v>0.69900000000000018</v>
      </c>
      <c r="K212">
        <v>32652.957912000005</v>
      </c>
      <c r="L212" t="s">
        <v>164</v>
      </c>
      <c r="N212" t="s">
        <v>676</v>
      </c>
      <c r="O212">
        <v>108.42140000000001</v>
      </c>
      <c r="P212">
        <v>0.41499999999999998</v>
      </c>
      <c r="Q212">
        <v>29551.113767999981</v>
      </c>
      <c r="R212" t="s">
        <v>1183</v>
      </c>
    </row>
    <row r="213" spans="8:18" x14ac:dyDescent="0.25">
      <c r="H213" t="s">
        <v>799</v>
      </c>
      <c r="I213">
        <v>172.82397999999998</v>
      </c>
      <c r="J213">
        <v>0.70000000000000007</v>
      </c>
      <c r="K213">
        <v>32825.781892000006</v>
      </c>
      <c r="L213" t="s">
        <v>164</v>
      </c>
      <c r="N213" t="s">
        <v>424</v>
      </c>
      <c r="O213">
        <v>108.42140000000001</v>
      </c>
      <c r="P213">
        <v>0.41499999999999998</v>
      </c>
      <c r="Q213">
        <v>29659.53516799998</v>
      </c>
      <c r="R213" t="s">
        <v>1183</v>
      </c>
    </row>
    <row r="214" spans="8:18" x14ac:dyDescent="0.25">
      <c r="H214" t="s">
        <v>974</v>
      </c>
      <c r="I214">
        <v>198.34271999999999</v>
      </c>
      <c r="J214">
        <v>0.70000000000000007</v>
      </c>
      <c r="K214">
        <v>33024.124612000007</v>
      </c>
      <c r="L214" t="s">
        <v>164</v>
      </c>
      <c r="N214" t="s">
        <v>395</v>
      </c>
      <c r="O214">
        <v>173.15338</v>
      </c>
      <c r="P214">
        <v>0.41499999999999998</v>
      </c>
      <c r="Q214">
        <v>29832.68854799998</v>
      </c>
      <c r="R214" t="s">
        <v>1183</v>
      </c>
    </row>
    <row r="215" spans="8:18" x14ac:dyDescent="0.25">
      <c r="H215" t="s">
        <v>1038</v>
      </c>
      <c r="I215">
        <v>172.56412</v>
      </c>
      <c r="J215">
        <v>0.70000000000000007</v>
      </c>
      <c r="K215">
        <v>33196.68873200001</v>
      </c>
      <c r="L215" t="s">
        <v>165</v>
      </c>
      <c r="N215" t="s">
        <v>418</v>
      </c>
      <c r="O215">
        <v>173.15338</v>
      </c>
      <c r="P215">
        <v>0.41499999999999998</v>
      </c>
      <c r="Q215">
        <v>30005.84192799998</v>
      </c>
      <c r="R215" t="s">
        <v>1183</v>
      </c>
    </row>
    <row r="216" spans="8:18" x14ac:dyDescent="0.25">
      <c r="H216" t="s">
        <v>1039</v>
      </c>
      <c r="I216">
        <v>172.71784</v>
      </c>
      <c r="J216">
        <v>0.70000000000000007</v>
      </c>
      <c r="K216">
        <v>33369.406572000007</v>
      </c>
      <c r="L216" t="s">
        <v>165</v>
      </c>
      <c r="N216" t="s">
        <v>583</v>
      </c>
      <c r="O216">
        <v>117.49942</v>
      </c>
      <c r="P216">
        <v>0.41499999999999998</v>
      </c>
      <c r="Q216">
        <v>30123.34134799998</v>
      </c>
      <c r="R216" t="s">
        <v>1183</v>
      </c>
    </row>
    <row r="217" spans="8:18" x14ac:dyDescent="0.25">
      <c r="H217" t="s">
        <v>818</v>
      </c>
      <c r="I217">
        <v>198.64771999999999</v>
      </c>
      <c r="J217">
        <v>0.70000000000000007</v>
      </c>
      <c r="K217">
        <v>33568.054292000008</v>
      </c>
      <c r="L217" t="s">
        <v>165</v>
      </c>
      <c r="N217" t="s">
        <v>645</v>
      </c>
      <c r="O217">
        <v>156.8432</v>
      </c>
      <c r="P217">
        <v>0.41500000000000004</v>
      </c>
      <c r="Q217">
        <v>30280.184547999979</v>
      </c>
      <c r="R217" t="s">
        <v>1183</v>
      </c>
    </row>
    <row r="218" spans="8:18" x14ac:dyDescent="0.25">
      <c r="H218" t="s">
        <v>1007</v>
      </c>
      <c r="I218">
        <v>172.67147999999997</v>
      </c>
      <c r="J218">
        <v>0.70000000000000007</v>
      </c>
      <c r="K218">
        <v>33740.725772000005</v>
      </c>
      <c r="L218" t="s">
        <v>165</v>
      </c>
      <c r="N218" t="s">
        <v>667</v>
      </c>
      <c r="O218">
        <v>159.96639999999999</v>
      </c>
      <c r="P218">
        <v>0.41500000000000004</v>
      </c>
      <c r="Q218">
        <v>30440.15094799998</v>
      </c>
      <c r="R218" t="s">
        <v>1183</v>
      </c>
    </row>
    <row r="219" spans="8:18" x14ac:dyDescent="0.25">
      <c r="H219" t="s">
        <v>798</v>
      </c>
      <c r="I219">
        <v>172.67147999999997</v>
      </c>
      <c r="J219">
        <v>0.70000000000000007</v>
      </c>
      <c r="K219">
        <v>33913.397252000002</v>
      </c>
      <c r="L219" t="s">
        <v>165</v>
      </c>
      <c r="N219" t="s">
        <v>596</v>
      </c>
      <c r="O219">
        <v>172.24814000000001</v>
      </c>
      <c r="P219">
        <v>0.42000000000000004</v>
      </c>
      <c r="Q219">
        <v>30612.39908799998</v>
      </c>
      <c r="R219" t="s">
        <v>1183</v>
      </c>
    </row>
    <row r="220" spans="8:18" x14ac:dyDescent="0.25">
      <c r="H220" t="s">
        <v>842</v>
      </c>
      <c r="I220">
        <v>198.59281999999999</v>
      </c>
      <c r="J220">
        <v>0.70000000000000007</v>
      </c>
      <c r="K220">
        <v>34111.990072000001</v>
      </c>
      <c r="L220" t="s">
        <v>165</v>
      </c>
      <c r="N220" t="s">
        <v>660</v>
      </c>
      <c r="O220">
        <v>155.489</v>
      </c>
      <c r="P220">
        <v>0.42000000000000004</v>
      </c>
      <c r="Q220">
        <v>30767.888087999982</v>
      </c>
      <c r="R220" t="s">
        <v>1183</v>
      </c>
    </row>
    <row r="221" spans="8:18" x14ac:dyDescent="0.25">
      <c r="H221" t="s">
        <v>806</v>
      </c>
      <c r="I221">
        <v>198.28782000000001</v>
      </c>
      <c r="J221">
        <v>0.70000000000000007</v>
      </c>
      <c r="K221">
        <v>34310.277891999998</v>
      </c>
      <c r="L221" t="s">
        <v>165</v>
      </c>
      <c r="N221" t="s">
        <v>576</v>
      </c>
      <c r="O221">
        <v>172.2945</v>
      </c>
      <c r="P221">
        <v>0.42000000000000004</v>
      </c>
      <c r="Q221">
        <v>30940.182587999981</v>
      </c>
      <c r="R221" t="s">
        <v>1183</v>
      </c>
    </row>
    <row r="222" spans="8:18" x14ac:dyDescent="0.25">
      <c r="H222" t="s">
        <v>1008</v>
      </c>
      <c r="I222">
        <v>172.82397999999998</v>
      </c>
      <c r="J222">
        <v>0.70000000000000007</v>
      </c>
      <c r="K222">
        <v>34483.101871999999</v>
      </c>
      <c r="L222" t="s">
        <v>165</v>
      </c>
      <c r="N222" t="s">
        <v>706</v>
      </c>
      <c r="O222">
        <v>158.08760000000001</v>
      </c>
      <c r="P222">
        <v>0.42499999999999993</v>
      </c>
      <c r="Q222">
        <v>31098.27018799998</v>
      </c>
      <c r="R222" t="s">
        <v>1183</v>
      </c>
    </row>
    <row r="223" spans="8:18" x14ac:dyDescent="0.25">
      <c r="H223" t="s">
        <v>1013</v>
      </c>
      <c r="I223">
        <v>198.28782000000001</v>
      </c>
      <c r="J223">
        <v>0.70000000000000007</v>
      </c>
      <c r="K223">
        <v>34681.389691999997</v>
      </c>
      <c r="L223" t="s">
        <v>165</v>
      </c>
      <c r="N223" t="s">
        <v>321</v>
      </c>
      <c r="O223">
        <v>119.5356</v>
      </c>
      <c r="P223">
        <v>0.42499999999999993</v>
      </c>
      <c r="Q223">
        <v>31217.80578799998</v>
      </c>
      <c r="R223" t="s">
        <v>1183</v>
      </c>
    </row>
    <row r="224" spans="8:18" x14ac:dyDescent="0.25">
      <c r="H224" t="s">
        <v>989</v>
      </c>
      <c r="I224">
        <v>198.34271999999999</v>
      </c>
      <c r="J224">
        <v>0.70000000000000007</v>
      </c>
      <c r="K224">
        <v>34879.732411999998</v>
      </c>
      <c r="L224" t="s">
        <v>165</v>
      </c>
      <c r="N224" t="s">
        <v>431</v>
      </c>
      <c r="O224">
        <v>158.08760000000001</v>
      </c>
      <c r="P224">
        <v>0.42499999999999993</v>
      </c>
      <c r="Q224">
        <v>31375.893387999979</v>
      </c>
      <c r="R224" t="s">
        <v>1183</v>
      </c>
    </row>
    <row r="225" spans="8:18" x14ac:dyDescent="0.25">
      <c r="H225" t="s">
        <v>855</v>
      </c>
      <c r="I225">
        <v>160.34460000000001</v>
      </c>
      <c r="J225">
        <v>0.70499999999999996</v>
      </c>
      <c r="K225">
        <v>35040.077011999994</v>
      </c>
      <c r="L225" t="s">
        <v>165</v>
      </c>
      <c r="N225" t="s">
        <v>451</v>
      </c>
      <c r="O225">
        <v>158.08760000000001</v>
      </c>
      <c r="P225">
        <v>0.42499999999999993</v>
      </c>
      <c r="Q225">
        <v>31533.980987999978</v>
      </c>
      <c r="R225" t="s">
        <v>1183</v>
      </c>
    </row>
    <row r="226" spans="8:18" x14ac:dyDescent="0.25">
      <c r="H226" t="s">
        <v>991</v>
      </c>
      <c r="I226">
        <v>172.82886000000002</v>
      </c>
      <c r="J226">
        <v>0.70499999999999996</v>
      </c>
      <c r="K226">
        <v>35212.905871999996</v>
      </c>
      <c r="L226" t="s">
        <v>165</v>
      </c>
      <c r="N226" t="s">
        <v>319</v>
      </c>
      <c r="O226">
        <v>74.395599999999988</v>
      </c>
      <c r="P226">
        <v>0.42499999999999993</v>
      </c>
      <c r="Q226">
        <v>31608.376587999977</v>
      </c>
      <c r="R226" t="s">
        <v>1183</v>
      </c>
    </row>
    <row r="227" spans="8:18" x14ac:dyDescent="0.25">
      <c r="H227" t="s">
        <v>1057</v>
      </c>
      <c r="I227">
        <v>160.34460000000001</v>
      </c>
      <c r="J227">
        <v>0.70499999999999996</v>
      </c>
      <c r="K227">
        <v>35373.250471999992</v>
      </c>
      <c r="L227" t="s">
        <v>165</v>
      </c>
      <c r="N227" t="s">
        <v>363</v>
      </c>
      <c r="O227">
        <v>108.7264</v>
      </c>
      <c r="P227">
        <v>0.42499999999999993</v>
      </c>
      <c r="Q227">
        <v>31717.102987999977</v>
      </c>
      <c r="R227" t="s">
        <v>1183</v>
      </c>
    </row>
    <row r="228" spans="8:18" x14ac:dyDescent="0.25">
      <c r="H228" t="s">
        <v>1075</v>
      </c>
      <c r="I228">
        <v>160.34460000000001</v>
      </c>
      <c r="J228">
        <v>0.70499999999999996</v>
      </c>
      <c r="K228">
        <v>35533.595071999989</v>
      </c>
      <c r="L228" t="s">
        <v>165</v>
      </c>
      <c r="N228" t="s">
        <v>683</v>
      </c>
      <c r="O228">
        <v>158.08760000000001</v>
      </c>
      <c r="P228">
        <v>0.42499999999999993</v>
      </c>
      <c r="Q228">
        <v>31875.190587999976</v>
      </c>
      <c r="R228" t="s">
        <v>1183</v>
      </c>
    </row>
    <row r="229" spans="8:18" x14ac:dyDescent="0.25">
      <c r="H229" t="s">
        <v>973</v>
      </c>
      <c r="I229">
        <v>180.00489999999999</v>
      </c>
      <c r="J229">
        <v>0.70500000000000007</v>
      </c>
      <c r="K229">
        <v>35713.599971999989</v>
      </c>
      <c r="L229" t="s">
        <v>165</v>
      </c>
      <c r="N229" t="s">
        <v>332</v>
      </c>
      <c r="O229">
        <v>108.7264</v>
      </c>
      <c r="P229">
        <v>0.42499999999999993</v>
      </c>
      <c r="Q229">
        <v>31983.916987999975</v>
      </c>
      <c r="R229" t="s">
        <v>1183</v>
      </c>
    </row>
    <row r="230" spans="8:18" x14ac:dyDescent="0.25">
      <c r="H230" t="s">
        <v>739</v>
      </c>
      <c r="I230">
        <v>110.91019999999999</v>
      </c>
      <c r="J230">
        <v>0.70500000000000007</v>
      </c>
      <c r="K230">
        <v>35824.510171999988</v>
      </c>
      <c r="L230" t="s">
        <v>165</v>
      </c>
      <c r="N230" t="s">
        <v>348</v>
      </c>
      <c r="O230">
        <v>118.5474</v>
      </c>
      <c r="P230">
        <v>0.42499999999999993</v>
      </c>
      <c r="Q230">
        <v>32102.464387999975</v>
      </c>
      <c r="R230" t="s">
        <v>1183</v>
      </c>
    </row>
    <row r="231" spans="8:18" x14ac:dyDescent="0.25">
      <c r="H231" t="s">
        <v>748</v>
      </c>
      <c r="I231">
        <v>110.91019999999999</v>
      </c>
      <c r="J231">
        <v>0.70500000000000007</v>
      </c>
      <c r="K231">
        <v>35935.420371999986</v>
      </c>
      <c r="L231" t="s">
        <v>165</v>
      </c>
      <c r="N231" t="s">
        <v>335</v>
      </c>
      <c r="O231">
        <v>118.5474</v>
      </c>
      <c r="P231">
        <v>0.42499999999999993</v>
      </c>
      <c r="Q231">
        <v>32221.011787999974</v>
      </c>
      <c r="R231" t="s">
        <v>1183</v>
      </c>
    </row>
    <row r="232" spans="8:18" x14ac:dyDescent="0.25">
      <c r="H232" t="s">
        <v>972</v>
      </c>
      <c r="I232">
        <v>224.34214</v>
      </c>
      <c r="J232">
        <v>0.70500000000000007</v>
      </c>
      <c r="K232">
        <v>36159.762511999987</v>
      </c>
      <c r="L232" t="s">
        <v>165</v>
      </c>
      <c r="N232" t="s">
        <v>351</v>
      </c>
      <c r="O232">
        <v>108.7264</v>
      </c>
      <c r="P232">
        <v>0.42499999999999993</v>
      </c>
      <c r="Q232">
        <v>32329.738187999974</v>
      </c>
      <c r="R232" t="s">
        <v>1184</v>
      </c>
    </row>
    <row r="233" spans="8:18" x14ac:dyDescent="0.25">
      <c r="H233" t="s">
        <v>801</v>
      </c>
      <c r="I233">
        <v>176.48886000000002</v>
      </c>
      <c r="J233">
        <v>0.70500000000000007</v>
      </c>
      <c r="K233">
        <v>36336.251371999984</v>
      </c>
      <c r="L233" t="s">
        <v>165</v>
      </c>
      <c r="N233" t="s">
        <v>339</v>
      </c>
      <c r="O233">
        <v>74.395599999999988</v>
      </c>
      <c r="P233">
        <v>0.42499999999999993</v>
      </c>
      <c r="Q233">
        <v>32404.133787999974</v>
      </c>
      <c r="R233" t="s">
        <v>1184</v>
      </c>
    </row>
    <row r="234" spans="8:18" x14ac:dyDescent="0.25">
      <c r="H234" t="s">
        <v>802</v>
      </c>
      <c r="I234">
        <v>224.34214</v>
      </c>
      <c r="J234">
        <v>0.70500000000000007</v>
      </c>
      <c r="K234">
        <v>36560.593511999985</v>
      </c>
      <c r="L234" t="s">
        <v>162</v>
      </c>
      <c r="N234" t="s">
        <v>352</v>
      </c>
      <c r="O234">
        <v>74.395599999999988</v>
      </c>
      <c r="P234">
        <v>0.42499999999999993</v>
      </c>
      <c r="Q234">
        <v>32478.529387999974</v>
      </c>
      <c r="R234" t="s">
        <v>1184</v>
      </c>
    </row>
    <row r="235" spans="8:18" x14ac:dyDescent="0.25">
      <c r="H235" t="s">
        <v>749</v>
      </c>
      <c r="I235">
        <v>120.71899999999999</v>
      </c>
      <c r="J235">
        <v>0.70500000000000007</v>
      </c>
      <c r="K235">
        <v>36681.312511999982</v>
      </c>
      <c r="L235" t="s">
        <v>162</v>
      </c>
      <c r="N235" t="s">
        <v>388</v>
      </c>
      <c r="O235">
        <v>172.82886000000002</v>
      </c>
      <c r="P235">
        <v>0.42499999999999999</v>
      </c>
      <c r="Q235">
        <v>32651.358247999975</v>
      </c>
      <c r="R235" t="s">
        <v>1184</v>
      </c>
    </row>
    <row r="236" spans="8:18" x14ac:dyDescent="0.25">
      <c r="H236" t="s">
        <v>789</v>
      </c>
      <c r="I236">
        <v>170.27784</v>
      </c>
      <c r="J236">
        <v>0.71000000000000008</v>
      </c>
      <c r="K236">
        <v>36851.590351999985</v>
      </c>
      <c r="L236" t="s">
        <v>162</v>
      </c>
      <c r="N236" t="s">
        <v>412</v>
      </c>
      <c r="O236">
        <v>172.82886000000002</v>
      </c>
      <c r="P236">
        <v>0.42499999999999999</v>
      </c>
      <c r="Q236">
        <v>32824.187107999976</v>
      </c>
      <c r="R236" t="s">
        <v>1184</v>
      </c>
    </row>
    <row r="237" spans="8:18" x14ac:dyDescent="0.25">
      <c r="H237" t="s">
        <v>852</v>
      </c>
      <c r="I237">
        <v>198.18167999999997</v>
      </c>
      <c r="J237">
        <v>0.71000000000000008</v>
      </c>
      <c r="K237">
        <v>37049.772031999986</v>
      </c>
      <c r="L237" t="s">
        <v>162</v>
      </c>
      <c r="N237" t="s">
        <v>457</v>
      </c>
      <c r="O237">
        <v>172.7398</v>
      </c>
      <c r="P237">
        <v>0.42499999999999999</v>
      </c>
      <c r="Q237">
        <v>32996.926907999979</v>
      </c>
      <c r="R237" t="s">
        <v>1184</v>
      </c>
    </row>
    <row r="238" spans="8:18" x14ac:dyDescent="0.25">
      <c r="H238" t="s">
        <v>1002</v>
      </c>
      <c r="I238">
        <v>170.44863999999998</v>
      </c>
      <c r="J238">
        <v>0.71000000000000008</v>
      </c>
      <c r="K238">
        <v>37220.220671999989</v>
      </c>
      <c r="L238" t="s">
        <v>162</v>
      </c>
      <c r="N238" t="s">
        <v>605</v>
      </c>
      <c r="O238">
        <v>160.34460000000001</v>
      </c>
      <c r="P238">
        <v>0.42500000000000004</v>
      </c>
      <c r="Q238">
        <v>33157.271507999976</v>
      </c>
      <c r="R238" t="s">
        <v>1184</v>
      </c>
    </row>
    <row r="239" spans="8:18" x14ac:dyDescent="0.25">
      <c r="H239" t="s">
        <v>790</v>
      </c>
      <c r="I239">
        <v>170.44863999999998</v>
      </c>
      <c r="J239">
        <v>0.71000000000000008</v>
      </c>
      <c r="K239">
        <v>37390.669311999991</v>
      </c>
      <c r="L239" t="s">
        <v>162</v>
      </c>
      <c r="N239" t="s">
        <v>536</v>
      </c>
      <c r="O239">
        <v>175.66658000000001</v>
      </c>
      <c r="P239">
        <v>0.42500000000000004</v>
      </c>
      <c r="Q239">
        <v>33332.938087999974</v>
      </c>
      <c r="R239" t="s">
        <v>1184</v>
      </c>
    </row>
    <row r="240" spans="8:18" x14ac:dyDescent="0.25">
      <c r="H240" t="s">
        <v>830</v>
      </c>
      <c r="I240">
        <v>173.30832000000001</v>
      </c>
      <c r="J240">
        <v>0.71000000000000008</v>
      </c>
      <c r="K240">
        <v>37563.977631999987</v>
      </c>
      <c r="L240" t="s">
        <v>162</v>
      </c>
      <c r="N240" t="s">
        <v>485</v>
      </c>
      <c r="O240">
        <v>160.34460000000001</v>
      </c>
      <c r="P240">
        <v>0.42500000000000004</v>
      </c>
      <c r="Q240">
        <v>33493.28268799997</v>
      </c>
      <c r="R240" t="s">
        <v>1184</v>
      </c>
    </row>
    <row r="241" spans="8:18" x14ac:dyDescent="0.25">
      <c r="H241" t="s">
        <v>828</v>
      </c>
      <c r="I241">
        <v>198.23779999999999</v>
      </c>
      <c r="J241">
        <v>0.71000000000000008</v>
      </c>
      <c r="K241">
        <v>37762.21543199999</v>
      </c>
      <c r="L241" t="s">
        <v>166</v>
      </c>
      <c r="N241" t="s">
        <v>248</v>
      </c>
      <c r="O241">
        <v>136.88400000000001</v>
      </c>
      <c r="P241">
        <v>0.42500000000000004</v>
      </c>
      <c r="Q241">
        <v>33630.166687999968</v>
      </c>
      <c r="R241" t="s">
        <v>1184</v>
      </c>
    </row>
    <row r="242" spans="8:18" x14ac:dyDescent="0.25">
      <c r="H242" t="s">
        <v>831</v>
      </c>
      <c r="I242">
        <v>173.48034000000001</v>
      </c>
      <c r="J242">
        <v>0.71000000000000008</v>
      </c>
      <c r="K242">
        <v>37935.695771999992</v>
      </c>
      <c r="L242" t="s">
        <v>166</v>
      </c>
      <c r="N242" t="s">
        <v>625</v>
      </c>
      <c r="O242">
        <v>160.34460000000001</v>
      </c>
      <c r="P242">
        <v>0.42500000000000004</v>
      </c>
      <c r="Q242">
        <v>33790.511287999965</v>
      </c>
      <c r="R242" t="s">
        <v>1184</v>
      </c>
    </row>
    <row r="243" spans="8:18" x14ac:dyDescent="0.25">
      <c r="H243" t="s">
        <v>1001</v>
      </c>
      <c r="I243">
        <v>170.27784</v>
      </c>
      <c r="J243">
        <v>0.71000000000000008</v>
      </c>
      <c r="K243">
        <v>38105.973611999994</v>
      </c>
      <c r="L243" t="s">
        <v>166</v>
      </c>
      <c r="N243" t="s">
        <v>515</v>
      </c>
      <c r="O243">
        <v>175.66658000000001</v>
      </c>
      <c r="P243">
        <v>0.42500000000000004</v>
      </c>
      <c r="Q243">
        <v>33966.177867999962</v>
      </c>
      <c r="R243" t="s">
        <v>1184</v>
      </c>
    </row>
    <row r="244" spans="8:18" x14ac:dyDescent="0.25">
      <c r="H244" t="s">
        <v>984</v>
      </c>
      <c r="I244">
        <v>222.47554</v>
      </c>
      <c r="J244">
        <v>0.71499999999999997</v>
      </c>
      <c r="K244">
        <v>38328.449151999994</v>
      </c>
      <c r="L244" t="s">
        <v>166</v>
      </c>
      <c r="N244" t="s">
        <v>504</v>
      </c>
      <c r="O244">
        <v>160.34460000000001</v>
      </c>
      <c r="P244">
        <v>0.42500000000000004</v>
      </c>
      <c r="Q244">
        <v>34126.522467999959</v>
      </c>
      <c r="R244" t="s">
        <v>1184</v>
      </c>
    </row>
    <row r="245" spans="8:18" x14ac:dyDescent="0.25">
      <c r="H245" t="s">
        <v>815</v>
      </c>
      <c r="I245">
        <v>173.15338</v>
      </c>
      <c r="J245">
        <v>0.71499999999999997</v>
      </c>
      <c r="K245">
        <v>38501.602531999997</v>
      </c>
      <c r="L245" t="s">
        <v>166</v>
      </c>
      <c r="N245" t="s">
        <v>561</v>
      </c>
      <c r="O245">
        <v>172.61291999999997</v>
      </c>
      <c r="P245">
        <v>0.43000000000000005</v>
      </c>
      <c r="Q245">
        <v>34299.135387999959</v>
      </c>
      <c r="R245" t="s">
        <v>1184</v>
      </c>
    </row>
    <row r="246" spans="8:18" x14ac:dyDescent="0.25">
      <c r="H246" t="s">
        <v>985</v>
      </c>
      <c r="I246">
        <v>173.15338</v>
      </c>
      <c r="J246">
        <v>0.71499999999999997</v>
      </c>
      <c r="K246">
        <v>38674.755912000001</v>
      </c>
      <c r="L246" t="s">
        <v>166</v>
      </c>
      <c r="N246" t="s">
        <v>562</v>
      </c>
      <c r="O246">
        <v>172.66172</v>
      </c>
      <c r="P246">
        <v>0.43000000000000005</v>
      </c>
      <c r="Q246">
        <v>34471.797107999955</v>
      </c>
      <c r="R246" t="s">
        <v>1184</v>
      </c>
    </row>
    <row r="247" spans="8:18" x14ac:dyDescent="0.25">
      <c r="H247" t="s">
        <v>816</v>
      </c>
      <c r="I247">
        <v>222.48041999999998</v>
      </c>
      <c r="J247">
        <v>0.71499999999999997</v>
      </c>
      <c r="K247">
        <v>38897.236332</v>
      </c>
      <c r="L247" t="s">
        <v>166</v>
      </c>
      <c r="N247" t="s">
        <v>648</v>
      </c>
      <c r="O247">
        <v>155.12299999999999</v>
      </c>
      <c r="P247">
        <v>0.43000000000000005</v>
      </c>
      <c r="Q247">
        <v>34626.920107999955</v>
      </c>
      <c r="R247" t="s">
        <v>1184</v>
      </c>
    </row>
    <row r="248" spans="8:18" x14ac:dyDescent="0.25">
      <c r="H248" t="s">
        <v>1103</v>
      </c>
      <c r="I248">
        <v>159.96639999999999</v>
      </c>
      <c r="J248">
        <v>0.71499999999999997</v>
      </c>
      <c r="K248">
        <v>39057.202731999998</v>
      </c>
      <c r="L248" t="s">
        <v>163</v>
      </c>
      <c r="N248" t="s">
        <v>355</v>
      </c>
      <c r="O248">
        <v>134.59039999999999</v>
      </c>
      <c r="P248">
        <v>0.43499999999999994</v>
      </c>
      <c r="Q248">
        <v>34761.510507999956</v>
      </c>
      <c r="R248" t="s">
        <v>1184</v>
      </c>
    </row>
    <row r="249" spans="8:18" x14ac:dyDescent="0.25">
      <c r="H249" t="s">
        <v>850</v>
      </c>
      <c r="I249">
        <v>228.38888</v>
      </c>
      <c r="J249">
        <v>0.71900000000000008</v>
      </c>
      <c r="K249">
        <v>39285.591611999997</v>
      </c>
      <c r="L249" t="s">
        <v>163</v>
      </c>
      <c r="N249" t="s">
        <v>326</v>
      </c>
      <c r="O249">
        <v>118.4498</v>
      </c>
      <c r="P249">
        <v>0.43499999999999994</v>
      </c>
      <c r="Q249">
        <v>34879.960307999958</v>
      </c>
      <c r="R249" t="s">
        <v>1184</v>
      </c>
    </row>
    <row r="250" spans="8:18" x14ac:dyDescent="0.25">
      <c r="H250" t="s">
        <v>1098</v>
      </c>
      <c r="I250">
        <v>154.7936</v>
      </c>
      <c r="J250">
        <v>0.72000000000000008</v>
      </c>
      <c r="K250">
        <v>39440.385211999994</v>
      </c>
      <c r="L250" t="s">
        <v>163</v>
      </c>
      <c r="N250" t="s">
        <v>701</v>
      </c>
      <c r="O250">
        <v>157.4288</v>
      </c>
      <c r="P250">
        <v>0.43499999999999994</v>
      </c>
      <c r="Q250">
        <v>35037.389107999959</v>
      </c>
      <c r="R250" t="s">
        <v>1184</v>
      </c>
    </row>
    <row r="251" spans="8:18" x14ac:dyDescent="0.25">
      <c r="H251" t="s">
        <v>841</v>
      </c>
      <c r="I251">
        <v>172.82397999999998</v>
      </c>
      <c r="J251">
        <v>0.72000000000000008</v>
      </c>
      <c r="K251">
        <v>39613.209191999995</v>
      </c>
      <c r="L251" t="s">
        <v>163</v>
      </c>
      <c r="N251" t="s">
        <v>425</v>
      </c>
      <c r="O251">
        <v>157.4288</v>
      </c>
      <c r="P251">
        <v>0.43499999999999994</v>
      </c>
      <c r="Q251">
        <v>35194.817907999961</v>
      </c>
      <c r="R251" t="s">
        <v>1184</v>
      </c>
    </row>
    <row r="252" spans="8:18" x14ac:dyDescent="0.25">
      <c r="H252" t="s">
        <v>1088</v>
      </c>
      <c r="I252">
        <v>154.7936</v>
      </c>
      <c r="J252">
        <v>0.72000000000000008</v>
      </c>
      <c r="K252">
        <v>39768.002791999992</v>
      </c>
      <c r="L252" t="s">
        <v>163</v>
      </c>
      <c r="N252" t="s">
        <v>446</v>
      </c>
      <c r="O252">
        <v>157.4288</v>
      </c>
      <c r="P252">
        <v>0.43499999999999994</v>
      </c>
      <c r="Q252">
        <v>35352.246707999962</v>
      </c>
      <c r="R252" t="s">
        <v>1184</v>
      </c>
    </row>
    <row r="253" spans="8:18" x14ac:dyDescent="0.25">
      <c r="H253" t="s">
        <v>1135</v>
      </c>
      <c r="I253">
        <v>154.78139999999999</v>
      </c>
      <c r="J253">
        <v>0.72000000000000008</v>
      </c>
      <c r="K253">
        <v>39922.784191999992</v>
      </c>
      <c r="L253" t="s">
        <v>163</v>
      </c>
      <c r="N253" t="s">
        <v>340</v>
      </c>
      <c r="O253">
        <v>118.4498</v>
      </c>
      <c r="P253">
        <v>0.43499999999999994</v>
      </c>
      <c r="Q253">
        <v>35470.696507999965</v>
      </c>
      <c r="R253" t="s">
        <v>1184</v>
      </c>
    </row>
    <row r="254" spans="8:18" x14ac:dyDescent="0.25">
      <c r="H254" t="s">
        <v>840</v>
      </c>
      <c r="I254">
        <v>172.67147999999997</v>
      </c>
      <c r="J254">
        <v>0.72000000000000008</v>
      </c>
      <c r="K254">
        <v>40095.455671999989</v>
      </c>
      <c r="L254" t="s">
        <v>163</v>
      </c>
      <c r="N254" t="s">
        <v>334</v>
      </c>
      <c r="O254">
        <v>120.25539999999999</v>
      </c>
      <c r="P254">
        <v>0.43499999999999994</v>
      </c>
      <c r="Q254">
        <v>35590.951907999966</v>
      </c>
      <c r="R254" t="s">
        <v>1184</v>
      </c>
    </row>
    <row r="255" spans="8:18" x14ac:dyDescent="0.25">
      <c r="H255" t="s">
        <v>1126</v>
      </c>
      <c r="I255">
        <v>154.9034</v>
      </c>
      <c r="J255">
        <v>0.72000000000000008</v>
      </c>
      <c r="K255">
        <v>40250.359071999992</v>
      </c>
      <c r="L255" t="s">
        <v>163</v>
      </c>
      <c r="N255" t="s">
        <v>677</v>
      </c>
      <c r="O255">
        <v>157.4288</v>
      </c>
      <c r="P255">
        <v>0.43499999999999994</v>
      </c>
      <c r="Q255">
        <v>35748.380707999968</v>
      </c>
      <c r="R255" t="s">
        <v>1184</v>
      </c>
    </row>
    <row r="256" spans="8:18" x14ac:dyDescent="0.25">
      <c r="H256" t="s">
        <v>820</v>
      </c>
      <c r="I256">
        <v>198.34271999999999</v>
      </c>
      <c r="J256">
        <v>0.72000000000000008</v>
      </c>
      <c r="K256">
        <v>40448.701791999993</v>
      </c>
      <c r="L256" t="s">
        <v>163</v>
      </c>
      <c r="N256" t="s">
        <v>328</v>
      </c>
      <c r="O256">
        <v>110.91019999999999</v>
      </c>
      <c r="P256">
        <v>0.435</v>
      </c>
      <c r="Q256">
        <v>35859.290907999966</v>
      </c>
      <c r="R256" t="s">
        <v>1184</v>
      </c>
    </row>
    <row r="257" spans="8:18" x14ac:dyDescent="0.25">
      <c r="H257" t="s">
        <v>844</v>
      </c>
      <c r="I257">
        <v>198.28782000000001</v>
      </c>
      <c r="J257">
        <v>0.72000000000000008</v>
      </c>
      <c r="K257">
        <v>40646.98961199999</v>
      </c>
      <c r="L257" t="s">
        <v>163</v>
      </c>
      <c r="N257" t="s">
        <v>476</v>
      </c>
      <c r="O257">
        <v>175.93620000000001</v>
      </c>
      <c r="P257">
        <v>0.43500000000000005</v>
      </c>
      <c r="Q257">
        <v>36035.227107999963</v>
      </c>
      <c r="R257" t="s">
        <v>1184</v>
      </c>
    </row>
    <row r="258" spans="8:18" x14ac:dyDescent="0.25">
      <c r="H258" t="s">
        <v>1118</v>
      </c>
      <c r="I258">
        <v>155.12299999999999</v>
      </c>
      <c r="J258">
        <v>0.72000000000000008</v>
      </c>
      <c r="K258">
        <v>40802.11261199999</v>
      </c>
      <c r="L258" t="s">
        <v>163</v>
      </c>
      <c r="N258" t="s">
        <v>405</v>
      </c>
      <c r="O258">
        <v>175.93620000000001</v>
      </c>
      <c r="P258">
        <v>0.43500000000000005</v>
      </c>
      <c r="Q258">
        <v>36211.163307999959</v>
      </c>
      <c r="R258" t="s">
        <v>1184</v>
      </c>
    </row>
    <row r="259" spans="8:18" x14ac:dyDescent="0.25">
      <c r="H259" t="s">
        <v>1134</v>
      </c>
      <c r="I259">
        <v>159.84440000000001</v>
      </c>
      <c r="J259">
        <v>0.72000000000000008</v>
      </c>
      <c r="K259">
        <v>40961.957011999992</v>
      </c>
      <c r="L259" t="s">
        <v>163</v>
      </c>
      <c r="N259" t="s">
        <v>662</v>
      </c>
      <c r="O259">
        <v>160.86920000000001</v>
      </c>
      <c r="P259">
        <v>0.43500000000000005</v>
      </c>
      <c r="Q259">
        <v>36372.03250799996</v>
      </c>
      <c r="R259" t="s">
        <v>1184</v>
      </c>
    </row>
    <row r="260" spans="8:18" x14ac:dyDescent="0.25">
      <c r="H260" t="s">
        <v>1143</v>
      </c>
      <c r="I260">
        <v>154.9034</v>
      </c>
      <c r="J260">
        <v>0.72000000000000008</v>
      </c>
      <c r="K260">
        <v>41116.860411999995</v>
      </c>
      <c r="L260" t="s">
        <v>163</v>
      </c>
      <c r="N260" t="s">
        <v>402</v>
      </c>
      <c r="O260">
        <v>172.29571999999999</v>
      </c>
      <c r="P260">
        <v>0.44</v>
      </c>
      <c r="Q260">
        <v>36544.328227999962</v>
      </c>
      <c r="R260" t="s">
        <v>1184</v>
      </c>
    </row>
    <row r="261" spans="8:18" x14ac:dyDescent="0.25">
      <c r="H261" t="s">
        <v>975</v>
      </c>
      <c r="I261">
        <v>224.03713999999999</v>
      </c>
      <c r="J261">
        <v>0.72499999999999998</v>
      </c>
      <c r="K261">
        <v>41340.897551999995</v>
      </c>
      <c r="L261" t="s">
        <v>163</v>
      </c>
      <c r="N261" t="s">
        <v>437</v>
      </c>
      <c r="O261">
        <v>160.33239999999998</v>
      </c>
      <c r="P261">
        <v>0.44</v>
      </c>
      <c r="Q261">
        <v>36704.660627999961</v>
      </c>
      <c r="R261" t="s">
        <v>1184</v>
      </c>
    </row>
    <row r="262" spans="8:18" x14ac:dyDescent="0.25">
      <c r="H262" t="s">
        <v>976</v>
      </c>
      <c r="I262">
        <v>172.82886000000002</v>
      </c>
      <c r="J262">
        <v>0.72499999999999998</v>
      </c>
      <c r="K262">
        <v>41513.726411999996</v>
      </c>
      <c r="L262" t="s">
        <v>163</v>
      </c>
      <c r="N262" t="s">
        <v>415</v>
      </c>
      <c r="O262">
        <v>172.24814000000001</v>
      </c>
      <c r="P262">
        <v>0.44</v>
      </c>
      <c r="Q262">
        <v>36876.908767999965</v>
      </c>
      <c r="R262" t="s">
        <v>1184</v>
      </c>
    </row>
    <row r="263" spans="8:18" x14ac:dyDescent="0.25">
      <c r="H263" t="s">
        <v>804</v>
      </c>
      <c r="I263">
        <v>172.82886000000002</v>
      </c>
      <c r="J263">
        <v>0.72499999999999998</v>
      </c>
      <c r="K263">
        <v>41686.555271999998</v>
      </c>
      <c r="L263" t="s">
        <v>163</v>
      </c>
      <c r="N263" t="s">
        <v>458</v>
      </c>
      <c r="O263">
        <v>172.203</v>
      </c>
      <c r="P263">
        <v>0.44</v>
      </c>
      <c r="Q263">
        <v>37049.111767999966</v>
      </c>
      <c r="R263" t="s">
        <v>1184</v>
      </c>
    </row>
    <row r="264" spans="8:18" x14ac:dyDescent="0.25">
      <c r="H264" t="s">
        <v>805</v>
      </c>
      <c r="I264">
        <v>224.03713999999999</v>
      </c>
      <c r="J264">
        <v>0.72499999999999998</v>
      </c>
      <c r="K264">
        <v>41910.592411999998</v>
      </c>
      <c r="L264" t="s">
        <v>163</v>
      </c>
      <c r="N264" t="s">
        <v>389</v>
      </c>
      <c r="O264">
        <v>172.2945</v>
      </c>
      <c r="P264">
        <v>0.44</v>
      </c>
      <c r="Q264">
        <v>37221.40626799997</v>
      </c>
      <c r="R264" t="s">
        <v>1184</v>
      </c>
    </row>
    <row r="265" spans="8:18" x14ac:dyDescent="0.25">
      <c r="H265" t="s">
        <v>819</v>
      </c>
      <c r="I265">
        <v>224.34214</v>
      </c>
      <c r="J265">
        <v>0.72500000000000009</v>
      </c>
      <c r="K265">
        <v>42134.934551999999</v>
      </c>
      <c r="L265" t="s">
        <v>163</v>
      </c>
      <c r="N265" t="s">
        <v>690</v>
      </c>
      <c r="O265">
        <v>160.33239999999998</v>
      </c>
      <c r="P265">
        <v>0.44</v>
      </c>
      <c r="Q265">
        <v>37381.738667999969</v>
      </c>
      <c r="R265" t="s">
        <v>1184</v>
      </c>
    </row>
    <row r="266" spans="8:18" x14ac:dyDescent="0.25">
      <c r="H266" t="s">
        <v>738</v>
      </c>
      <c r="I266">
        <v>136.88400000000001</v>
      </c>
      <c r="J266">
        <v>0.72500000000000009</v>
      </c>
      <c r="K266">
        <v>42271.818551999997</v>
      </c>
      <c r="L266" t="s">
        <v>163</v>
      </c>
      <c r="N266" t="s">
        <v>584</v>
      </c>
      <c r="O266">
        <v>172.24814000000001</v>
      </c>
      <c r="P266">
        <v>0.44</v>
      </c>
      <c r="Q266">
        <v>37553.986807999972</v>
      </c>
      <c r="R266" t="s">
        <v>1184</v>
      </c>
    </row>
    <row r="267" spans="8:18" x14ac:dyDescent="0.25">
      <c r="H267" t="s">
        <v>1021</v>
      </c>
      <c r="I267">
        <v>224.34214</v>
      </c>
      <c r="J267">
        <v>0.72500000000000009</v>
      </c>
      <c r="K267">
        <v>42496.160691999998</v>
      </c>
      <c r="L267" t="s">
        <v>163</v>
      </c>
      <c r="N267" t="s">
        <v>585</v>
      </c>
      <c r="O267">
        <v>172.29571999999999</v>
      </c>
      <c r="P267">
        <v>0.44</v>
      </c>
      <c r="Q267">
        <v>37726.282527999974</v>
      </c>
      <c r="R267" t="s">
        <v>1184</v>
      </c>
    </row>
    <row r="268" spans="8:18" x14ac:dyDescent="0.25">
      <c r="H268" t="s">
        <v>1017</v>
      </c>
      <c r="I268">
        <v>175.55311999999998</v>
      </c>
      <c r="J268">
        <v>0.72900000000000009</v>
      </c>
      <c r="K268">
        <v>42671.713811999995</v>
      </c>
      <c r="L268" t="s">
        <v>163</v>
      </c>
      <c r="N268" t="s">
        <v>401</v>
      </c>
      <c r="O268">
        <v>172.24814000000001</v>
      </c>
      <c r="P268">
        <v>0.44</v>
      </c>
      <c r="Q268">
        <v>37898.530667999978</v>
      </c>
      <c r="R268" t="s">
        <v>1184</v>
      </c>
    </row>
    <row r="269" spans="8:18" x14ac:dyDescent="0.25">
      <c r="H269" t="s">
        <v>949</v>
      </c>
      <c r="I269">
        <v>228.26566</v>
      </c>
      <c r="J269">
        <v>0.72900000000000009</v>
      </c>
      <c r="K269">
        <v>42899.979471999992</v>
      </c>
      <c r="L269" t="s">
        <v>163</v>
      </c>
      <c r="N269" t="s">
        <v>516</v>
      </c>
      <c r="O269">
        <v>172.17982000000001</v>
      </c>
      <c r="P269">
        <v>0.44000000000000006</v>
      </c>
      <c r="Q269">
        <v>38070.710487999975</v>
      </c>
      <c r="R269" t="s">
        <v>1184</v>
      </c>
    </row>
    <row r="270" spans="8:18" x14ac:dyDescent="0.25">
      <c r="H270" t="s">
        <v>1104</v>
      </c>
      <c r="I270">
        <v>154.67160000000001</v>
      </c>
      <c r="J270">
        <v>0.73</v>
      </c>
      <c r="K270">
        <v>154.67160000000001</v>
      </c>
      <c r="L270" t="s">
        <v>155</v>
      </c>
      <c r="N270" t="s">
        <v>496</v>
      </c>
      <c r="O270">
        <v>160.89359999999999</v>
      </c>
      <c r="P270">
        <v>0.44000000000000006</v>
      </c>
      <c r="Q270">
        <v>38231.604087999978</v>
      </c>
      <c r="R270" t="s">
        <v>1184</v>
      </c>
    </row>
    <row r="271" spans="8:18" x14ac:dyDescent="0.25">
      <c r="H271" t="s">
        <v>1058</v>
      </c>
      <c r="I271">
        <v>154.87899999999999</v>
      </c>
      <c r="J271">
        <v>0.73</v>
      </c>
      <c r="K271">
        <v>309.55060000000003</v>
      </c>
      <c r="L271" t="s">
        <v>155</v>
      </c>
      <c r="N271" t="s">
        <v>539</v>
      </c>
      <c r="O271">
        <v>172.10906</v>
      </c>
      <c r="P271">
        <v>0.44000000000000006</v>
      </c>
      <c r="Q271">
        <v>38403.713147999981</v>
      </c>
      <c r="R271" t="s">
        <v>1185</v>
      </c>
    </row>
    <row r="272" spans="8:18" x14ac:dyDescent="0.25">
      <c r="H272" t="s">
        <v>1115</v>
      </c>
      <c r="I272">
        <v>154.67160000000001</v>
      </c>
      <c r="J272">
        <v>0.73</v>
      </c>
      <c r="K272">
        <v>464.22220000000004</v>
      </c>
      <c r="L272" t="s">
        <v>155</v>
      </c>
      <c r="N272" t="s">
        <v>528</v>
      </c>
      <c r="O272">
        <v>172.61291999999997</v>
      </c>
      <c r="P272">
        <v>0.44000000000000006</v>
      </c>
      <c r="Q272">
        <v>38576.32606799998</v>
      </c>
      <c r="R272" t="s">
        <v>1185</v>
      </c>
    </row>
    <row r="273" spans="8:18" x14ac:dyDescent="0.25">
      <c r="H273" t="s">
        <v>1067</v>
      </c>
      <c r="I273">
        <v>159.85659999999999</v>
      </c>
      <c r="J273">
        <v>0.73</v>
      </c>
      <c r="K273">
        <v>624.0788</v>
      </c>
      <c r="L273" t="s">
        <v>155</v>
      </c>
      <c r="N273" t="s">
        <v>617</v>
      </c>
      <c r="O273">
        <v>160.89359999999999</v>
      </c>
      <c r="P273">
        <v>0.44000000000000006</v>
      </c>
      <c r="Q273">
        <v>38737.219667999983</v>
      </c>
      <c r="R273" t="s">
        <v>1185</v>
      </c>
    </row>
    <row r="274" spans="8:18" x14ac:dyDescent="0.25">
      <c r="H274" t="s">
        <v>1078</v>
      </c>
      <c r="I274">
        <v>154.87899999999999</v>
      </c>
      <c r="J274">
        <v>0.73</v>
      </c>
      <c r="K274">
        <v>778.95780000000002</v>
      </c>
      <c r="L274" t="s">
        <v>155</v>
      </c>
      <c r="N274" t="s">
        <v>529</v>
      </c>
      <c r="O274">
        <v>172.66172</v>
      </c>
      <c r="P274">
        <v>0.44000000000000006</v>
      </c>
      <c r="Q274">
        <v>38909.88138799998</v>
      </c>
      <c r="R274" t="s">
        <v>1185</v>
      </c>
    </row>
    <row r="275" spans="8:18" x14ac:dyDescent="0.25">
      <c r="H275" t="s">
        <v>1068</v>
      </c>
      <c r="I275">
        <v>154.8058</v>
      </c>
      <c r="J275">
        <v>0.73</v>
      </c>
      <c r="K275">
        <v>933.7636</v>
      </c>
      <c r="L275" t="s">
        <v>155</v>
      </c>
      <c r="N275" t="s">
        <v>343</v>
      </c>
      <c r="O275">
        <v>75.420400000000001</v>
      </c>
      <c r="P275">
        <v>0.44499999999999995</v>
      </c>
      <c r="Q275">
        <v>38985.301787999982</v>
      </c>
      <c r="R275" t="s">
        <v>1185</v>
      </c>
    </row>
    <row r="276" spans="8:18" x14ac:dyDescent="0.25">
      <c r="H276" t="s">
        <v>1028</v>
      </c>
      <c r="I276">
        <v>200.61192</v>
      </c>
      <c r="J276">
        <v>0.73000000000000009</v>
      </c>
      <c r="K276">
        <v>1134.3755200000001</v>
      </c>
      <c r="L276" t="s">
        <v>155</v>
      </c>
      <c r="N276" t="s">
        <v>323</v>
      </c>
      <c r="O276">
        <v>75.420400000000001</v>
      </c>
      <c r="P276">
        <v>0.44499999999999995</v>
      </c>
      <c r="Q276">
        <v>39060.722187999985</v>
      </c>
      <c r="R276" t="s">
        <v>1185</v>
      </c>
    </row>
    <row r="277" spans="8:18" x14ac:dyDescent="0.25">
      <c r="H277" t="s">
        <v>833</v>
      </c>
      <c r="I277">
        <v>170.44863999999998</v>
      </c>
      <c r="J277">
        <v>0.73000000000000009</v>
      </c>
      <c r="K277">
        <v>1304.8241600000001</v>
      </c>
      <c r="L277" t="s">
        <v>155</v>
      </c>
      <c r="N277" t="s">
        <v>356</v>
      </c>
      <c r="O277">
        <v>75.420400000000001</v>
      </c>
      <c r="P277">
        <v>0.44499999999999995</v>
      </c>
      <c r="Q277">
        <v>39136.142587999988</v>
      </c>
      <c r="R277" t="s">
        <v>1185</v>
      </c>
    </row>
    <row r="278" spans="8:18" x14ac:dyDescent="0.25">
      <c r="H278" t="s">
        <v>832</v>
      </c>
      <c r="I278">
        <v>170.27784</v>
      </c>
      <c r="J278">
        <v>0.73000000000000009</v>
      </c>
      <c r="K278">
        <v>1475.1020000000001</v>
      </c>
      <c r="L278" t="s">
        <v>155</v>
      </c>
      <c r="N278" t="s">
        <v>325</v>
      </c>
      <c r="O278">
        <v>118.4132</v>
      </c>
      <c r="P278">
        <v>0.44499999999999995</v>
      </c>
      <c r="Q278">
        <v>39254.555787999991</v>
      </c>
      <c r="R278" t="s">
        <v>1185</v>
      </c>
    </row>
    <row r="279" spans="8:18" x14ac:dyDescent="0.25">
      <c r="H279" t="s">
        <v>1051</v>
      </c>
      <c r="I279">
        <v>200.58874</v>
      </c>
      <c r="J279">
        <v>0.73000000000000009</v>
      </c>
      <c r="K279">
        <v>1675.69074</v>
      </c>
      <c r="L279" t="s">
        <v>155</v>
      </c>
      <c r="N279" t="s">
        <v>366</v>
      </c>
      <c r="O279">
        <v>134.4196</v>
      </c>
      <c r="P279">
        <v>0.44499999999999995</v>
      </c>
      <c r="Q279">
        <v>39388.975387999992</v>
      </c>
      <c r="R279" t="s">
        <v>1185</v>
      </c>
    </row>
    <row r="280" spans="8:18" x14ac:dyDescent="0.25">
      <c r="H280" t="s">
        <v>1047</v>
      </c>
      <c r="I280">
        <v>228.262</v>
      </c>
      <c r="J280">
        <v>0.73499999999999999</v>
      </c>
      <c r="K280">
        <v>1903.9527399999999</v>
      </c>
      <c r="L280" t="s">
        <v>155</v>
      </c>
      <c r="N280" t="s">
        <v>647</v>
      </c>
      <c r="O280">
        <v>160.50319999999999</v>
      </c>
      <c r="P280">
        <v>0.44500000000000001</v>
      </c>
      <c r="Q280">
        <v>39549.478587999991</v>
      </c>
      <c r="R280" t="s">
        <v>1185</v>
      </c>
    </row>
    <row r="281" spans="8:18" x14ac:dyDescent="0.25">
      <c r="H281" t="s">
        <v>829</v>
      </c>
      <c r="I281">
        <v>222.47554</v>
      </c>
      <c r="J281">
        <v>0.73499999999999999</v>
      </c>
      <c r="K281">
        <v>2126.4282800000001</v>
      </c>
      <c r="L281" t="s">
        <v>155</v>
      </c>
      <c r="N281" t="s">
        <v>275</v>
      </c>
      <c r="O281">
        <v>108.64099999999999</v>
      </c>
      <c r="P281">
        <v>0.44500000000000001</v>
      </c>
      <c r="Q281">
        <v>39658.119587999994</v>
      </c>
      <c r="R281" t="s">
        <v>1185</v>
      </c>
    </row>
    <row r="282" spans="8:18" x14ac:dyDescent="0.25">
      <c r="H282" t="s">
        <v>1032</v>
      </c>
      <c r="I282">
        <v>222.47554</v>
      </c>
      <c r="J282">
        <v>0.73499999999999999</v>
      </c>
      <c r="K282">
        <v>2348.90382</v>
      </c>
      <c r="L282" t="s">
        <v>155</v>
      </c>
      <c r="N282" t="s">
        <v>668</v>
      </c>
      <c r="O282">
        <v>160.50319999999999</v>
      </c>
      <c r="P282">
        <v>0.44500000000000001</v>
      </c>
      <c r="Q282">
        <v>39818.622787999993</v>
      </c>
      <c r="R282" t="s">
        <v>1185</v>
      </c>
    </row>
    <row r="283" spans="8:18" x14ac:dyDescent="0.25">
      <c r="H283" t="s">
        <v>1097</v>
      </c>
      <c r="I283">
        <v>160.62519999999998</v>
      </c>
      <c r="J283">
        <v>0.7350000000000001</v>
      </c>
      <c r="K283">
        <v>2509.5290199999999</v>
      </c>
      <c r="L283" t="s">
        <v>155</v>
      </c>
      <c r="N283" t="s">
        <v>273</v>
      </c>
      <c r="O283">
        <v>118.4498</v>
      </c>
      <c r="P283">
        <v>0.44500000000000001</v>
      </c>
      <c r="Q283">
        <v>39937.072587999995</v>
      </c>
      <c r="R283" t="s">
        <v>1185</v>
      </c>
    </row>
    <row r="284" spans="8:18" x14ac:dyDescent="0.25">
      <c r="H284" t="s">
        <v>1142</v>
      </c>
      <c r="I284">
        <v>160.34460000000001</v>
      </c>
      <c r="J284">
        <v>0.7350000000000001</v>
      </c>
      <c r="K284">
        <v>2669.8736199999998</v>
      </c>
      <c r="L284" t="s">
        <v>155</v>
      </c>
      <c r="N284" t="s">
        <v>251</v>
      </c>
      <c r="O284">
        <v>108.64099999999999</v>
      </c>
      <c r="P284">
        <v>0.44500000000000001</v>
      </c>
      <c r="Q284">
        <v>40045.713587999999</v>
      </c>
      <c r="R284" t="s">
        <v>1185</v>
      </c>
    </row>
    <row r="285" spans="8:18" x14ac:dyDescent="0.25">
      <c r="H285" t="s">
        <v>1127</v>
      </c>
      <c r="I285">
        <v>160.34460000000001</v>
      </c>
      <c r="J285">
        <v>0.7350000000000001</v>
      </c>
      <c r="K285">
        <v>2830.2182199999997</v>
      </c>
      <c r="L285" t="s">
        <v>155</v>
      </c>
      <c r="N285" t="s">
        <v>260</v>
      </c>
      <c r="O285">
        <v>108.64099999999999</v>
      </c>
      <c r="P285">
        <v>0.44500000000000001</v>
      </c>
      <c r="Q285">
        <v>40154.354588000002</v>
      </c>
      <c r="R285" t="s">
        <v>1185</v>
      </c>
    </row>
    <row r="286" spans="8:18" x14ac:dyDescent="0.25">
      <c r="H286" t="s">
        <v>1089</v>
      </c>
      <c r="I286">
        <v>160.62519999999998</v>
      </c>
      <c r="J286">
        <v>0.7350000000000001</v>
      </c>
      <c r="K286">
        <v>2990.8434199999997</v>
      </c>
      <c r="L286" t="s">
        <v>155</v>
      </c>
      <c r="N286" t="s">
        <v>261</v>
      </c>
      <c r="O286">
        <v>118.4498</v>
      </c>
      <c r="P286">
        <v>0.44500000000000001</v>
      </c>
      <c r="Q286">
        <v>40272.804388000004</v>
      </c>
      <c r="R286" t="s">
        <v>1185</v>
      </c>
    </row>
    <row r="287" spans="8:18" x14ac:dyDescent="0.25">
      <c r="H287" t="s">
        <v>1027</v>
      </c>
      <c r="I287">
        <v>175.66658000000001</v>
      </c>
      <c r="J287">
        <v>0.7390000000000001</v>
      </c>
      <c r="K287">
        <v>3166.5099999999998</v>
      </c>
      <c r="L287" t="s">
        <v>155</v>
      </c>
      <c r="N287" t="s">
        <v>438</v>
      </c>
      <c r="O287">
        <v>154.92779999999999</v>
      </c>
      <c r="P287">
        <v>0.44999999999999996</v>
      </c>
      <c r="Q287">
        <v>40427.732188000002</v>
      </c>
      <c r="R287" t="s">
        <v>1185</v>
      </c>
    </row>
    <row r="288" spans="8:18" x14ac:dyDescent="0.25">
      <c r="H288" t="s">
        <v>992</v>
      </c>
      <c r="I288">
        <v>204.00108</v>
      </c>
      <c r="J288">
        <v>0.74</v>
      </c>
      <c r="K288">
        <v>3370.5110799999998</v>
      </c>
      <c r="L288" t="s">
        <v>155</v>
      </c>
      <c r="N288" t="s">
        <v>691</v>
      </c>
      <c r="O288">
        <v>154.92779999999999</v>
      </c>
      <c r="P288">
        <v>0.44999999999999996</v>
      </c>
      <c r="Q288">
        <v>40582.659987999999</v>
      </c>
      <c r="R288" t="s">
        <v>1185</v>
      </c>
    </row>
    <row r="289" spans="8:18" x14ac:dyDescent="0.25">
      <c r="H289" t="s">
        <v>977</v>
      </c>
      <c r="I289">
        <v>204.00108</v>
      </c>
      <c r="J289">
        <v>0.74</v>
      </c>
      <c r="K289">
        <v>3574.5121599999998</v>
      </c>
      <c r="L289" t="s">
        <v>155</v>
      </c>
      <c r="N289" t="s">
        <v>678</v>
      </c>
      <c r="O289">
        <v>155.12299999999999</v>
      </c>
      <c r="P289">
        <v>0.44999999999999996</v>
      </c>
      <c r="Q289">
        <v>40737.782987999999</v>
      </c>
      <c r="R289" t="s">
        <v>1185</v>
      </c>
    </row>
    <row r="290" spans="8:18" x14ac:dyDescent="0.25">
      <c r="H290" t="s">
        <v>1016</v>
      </c>
      <c r="I290">
        <v>203.94618</v>
      </c>
      <c r="J290">
        <v>0.74</v>
      </c>
      <c r="K290">
        <v>3778.4583399999997</v>
      </c>
      <c r="L290" t="s">
        <v>155</v>
      </c>
      <c r="N290" t="s">
        <v>426</v>
      </c>
      <c r="O290">
        <v>155.12299999999999</v>
      </c>
      <c r="P290">
        <v>0.44999999999999996</v>
      </c>
      <c r="Q290">
        <v>40892.905987999999</v>
      </c>
      <c r="R290" t="s">
        <v>1185</v>
      </c>
    </row>
    <row r="291" spans="8:18" x14ac:dyDescent="0.25">
      <c r="H291" t="s">
        <v>810</v>
      </c>
      <c r="I291">
        <v>203.94618</v>
      </c>
      <c r="J291">
        <v>0.74</v>
      </c>
      <c r="K291">
        <v>3982.4045199999996</v>
      </c>
      <c r="L291" t="s">
        <v>155</v>
      </c>
      <c r="N291" t="s">
        <v>704</v>
      </c>
      <c r="O291">
        <v>155.12299999999999</v>
      </c>
      <c r="P291">
        <v>0.44999999999999996</v>
      </c>
      <c r="Q291">
        <v>41048.028987999998</v>
      </c>
      <c r="R291" t="s">
        <v>1185</v>
      </c>
    </row>
    <row r="292" spans="8:18" x14ac:dyDescent="0.25">
      <c r="H292" t="s">
        <v>1040</v>
      </c>
      <c r="I292">
        <v>173.54987999999997</v>
      </c>
      <c r="J292">
        <v>0.7400000000000001</v>
      </c>
      <c r="K292">
        <v>4155.9543999999996</v>
      </c>
      <c r="L292" t="s">
        <v>155</v>
      </c>
      <c r="N292" t="s">
        <v>636</v>
      </c>
      <c r="O292">
        <v>155.12299999999999</v>
      </c>
      <c r="P292">
        <v>0.44999999999999996</v>
      </c>
      <c r="Q292">
        <v>41203.151987999998</v>
      </c>
      <c r="R292" t="s">
        <v>1185</v>
      </c>
    </row>
    <row r="293" spans="8:18" x14ac:dyDescent="0.25">
      <c r="H293" t="s">
        <v>1041</v>
      </c>
      <c r="I293">
        <v>173.70115999999999</v>
      </c>
      <c r="J293">
        <v>0.7400000000000001</v>
      </c>
      <c r="K293">
        <v>4329.6555599999992</v>
      </c>
      <c r="L293" t="s">
        <v>155</v>
      </c>
      <c r="N293" t="s">
        <v>449</v>
      </c>
      <c r="O293">
        <v>155.12299999999999</v>
      </c>
      <c r="P293">
        <v>0.44999999999999996</v>
      </c>
      <c r="Q293">
        <v>41358.274987999997</v>
      </c>
      <c r="R293" t="s">
        <v>1185</v>
      </c>
    </row>
    <row r="294" spans="8:18" x14ac:dyDescent="0.25">
      <c r="H294" t="s">
        <v>994</v>
      </c>
      <c r="I294">
        <v>175.66658000000001</v>
      </c>
      <c r="J294">
        <v>0.745</v>
      </c>
      <c r="K294">
        <v>4505.3221399999993</v>
      </c>
      <c r="L294" t="s">
        <v>155</v>
      </c>
      <c r="N294" t="s">
        <v>486</v>
      </c>
      <c r="O294">
        <v>155.489</v>
      </c>
      <c r="P294">
        <v>0.45000000000000007</v>
      </c>
      <c r="Q294">
        <v>41513.763987999999</v>
      </c>
      <c r="R294" t="s">
        <v>1185</v>
      </c>
    </row>
    <row r="295" spans="8:18" x14ac:dyDescent="0.25">
      <c r="H295" t="s">
        <v>1059</v>
      </c>
      <c r="I295">
        <v>160.35679999999999</v>
      </c>
      <c r="J295">
        <v>0.745</v>
      </c>
      <c r="K295">
        <v>4665.6789399999989</v>
      </c>
      <c r="L295" t="s">
        <v>155</v>
      </c>
      <c r="N295" t="s">
        <v>497</v>
      </c>
      <c r="O295">
        <v>155.4402</v>
      </c>
      <c r="P295">
        <v>0.45000000000000007</v>
      </c>
      <c r="Q295">
        <v>41669.204187999996</v>
      </c>
      <c r="R295" t="s">
        <v>1185</v>
      </c>
    </row>
    <row r="296" spans="8:18" x14ac:dyDescent="0.25">
      <c r="H296" t="s">
        <v>857</v>
      </c>
      <c r="I296">
        <v>160.35679999999999</v>
      </c>
      <c r="J296">
        <v>0.745</v>
      </c>
      <c r="K296">
        <v>4826.0357399999984</v>
      </c>
      <c r="L296" t="s">
        <v>155</v>
      </c>
      <c r="N296" t="s">
        <v>606</v>
      </c>
      <c r="O296">
        <v>155.489</v>
      </c>
      <c r="P296">
        <v>0.45000000000000007</v>
      </c>
      <c r="Q296">
        <v>41824.693187999997</v>
      </c>
      <c r="R296" t="s">
        <v>1185</v>
      </c>
    </row>
    <row r="297" spans="8:18" x14ac:dyDescent="0.25">
      <c r="H297" t="s">
        <v>1024</v>
      </c>
      <c r="I297">
        <v>224.03713999999999</v>
      </c>
      <c r="J297">
        <v>0.745</v>
      </c>
      <c r="K297">
        <v>5050.0728799999988</v>
      </c>
      <c r="L297" t="s">
        <v>155</v>
      </c>
      <c r="N297" t="s">
        <v>618</v>
      </c>
      <c r="O297">
        <v>155.4402</v>
      </c>
      <c r="P297">
        <v>0.45000000000000007</v>
      </c>
      <c r="Q297">
        <v>41980.133387999995</v>
      </c>
      <c r="R297" t="s">
        <v>1185</v>
      </c>
    </row>
    <row r="298" spans="8:18" x14ac:dyDescent="0.25">
      <c r="H298" t="s">
        <v>934</v>
      </c>
      <c r="I298">
        <v>158.0754</v>
      </c>
      <c r="J298">
        <v>0.745</v>
      </c>
      <c r="K298">
        <v>5208.1482799999985</v>
      </c>
      <c r="L298" t="s">
        <v>155</v>
      </c>
      <c r="N298" t="s">
        <v>629</v>
      </c>
      <c r="O298">
        <v>155.489</v>
      </c>
      <c r="P298">
        <v>0.45000000000000007</v>
      </c>
      <c r="Q298">
        <v>42135.622387999996</v>
      </c>
      <c r="R298" t="s">
        <v>1185</v>
      </c>
    </row>
    <row r="299" spans="8:18" x14ac:dyDescent="0.25">
      <c r="H299" t="s">
        <v>821</v>
      </c>
      <c r="I299">
        <v>224.03713999999999</v>
      </c>
      <c r="J299">
        <v>0.745</v>
      </c>
      <c r="K299">
        <v>5432.1854199999989</v>
      </c>
      <c r="L299" t="s">
        <v>155</v>
      </c>
      <c r="N299" t="s">
        <v>507</v>
      </c>
      <c r="O299">
        <v>155.489</v>
      </c>
      <c r="P299">
        <v>0.45000000000000007</v>
      </c>
      <c r="Q299">
        <v>42291.111387999998</v>
      </c>
      <c r="R299" t="s">
        <v>1186</v>
      </c>
    </row>
    <row r="300" spans="8:18" x14ac:dyDescent="0.25">
      <c r="H300" t="s">
        <v>1077</v>
      </c>
      <c r="I300">
        <v>160.35679999999999</v>
      </c>
      <c r="J300">
        <v>0.745</v>
      </c>
      <c r="K300">
        <v>5592.5422199999985</v>
      </c>
      <c r="L300" t="s">
        <v>155</v>
      </c>
      <c r="N300" t="s">
        <v>359</v>
      </c>
      <c r="O300">
        <v>134.9442</v>
      </c>
      <c r="P300">
        <v>0.45499999999999996</v>
      </c>
      <c r="Q300">
        <v>42426.055587999996</v>
      </c>
      <c r="R300" t="s">
        <v>1186</v>
      </c>
    </row>
    <row r="301" spans="8:18" x14ac:dyDescent="0.25">
      <c r="H301" t="s">
        <v>1105</v>
      </c>
      <c r="I301">
        <v>160.50319999999999</v>
      </c>
      <c r="J301">
        <v>0.745</v>
      </c>
      <c r="K301">
        <v>5753.0454199999986</v>
      </c>
      <c r="L301" t="s">
        <v>155</v>
      </c>
      <c r="N301" t="s">
        <v>277</v>
      </c>
      <c r="O301">
        <v>110.4344</v>
      </c>
      <c r="P301">
        <v>0.45499999999999996</v>
      </c>
      <c r="Q301">
        <v>42536.489987999994</v>
      </c>
      <c r="R301" t="s">
        <v>1186</v>
      </c>
    </row>
    <row r="302" spans="8:18" x14ac:dyDescent="0.25">
      <c r="H302" t="s">
        <v>942</v>
      </c>
      <c r="I302">
        <v>160.28359999999998</v>
      </c>
      <c r="J302">
        <v>0.745</v>
      </c>
      <c r="K302">
        <v>5913.3290199999983</v>
      </c>
      <c r="L302" t="s">
        <v>155</v>
      </c>
      <c r="N302" t="s">
        <v>597</v>
      </c>
      <c r="O302">
        <v>172.10906</v>
      </c>
      <c r="P302">
        <v>0.46000000000000008</v>
      </c>
      <c r="Q302">
        <v>42708.599047999996</v>
      </c>
      <c r="R302" t="s">
        <v>1186</v>
      </c>
    </row>
    <row r="303" spans="8:18" x14ac:dyDescent="0.25">
      <c r="H303" t="s">
        <v>750</v>
      </c>
      <c r="I303">
        <v>108.64099999999999</v>
      </c>
      <c r="J303">
        <v>0.74500000000000011</v>
      </c>
      <c r="K303">
        <v>6021.9700199999979</v>
      </c>
      <c r="L303" t="s">
        <v>155</v>
      </c>
      <c r="N303" t="s">
        <v>578</v>
      </c>
      <c r="O303">
        <v>172.17982000000001</v>
      </c>
      <c r="P303">
        <v>0.46000000000000008</v>
      </c>
      <c r="Q303">
        <v>42880.778867999994</v>
      </c>
      <c r="R303" t="s">
        <v>1186</v>
      </c>
    </row>
    <row r="304" spans="8:18" x14ac:dyDescent="0.25">
      <c r="H304" t="s">
        <v>751</v>
      </c>
      <c r="I304">
        <v>118.4498</v>
      </c>
      <c r="J304">
        <v>0.74500000000000011</v>
      </c>
      <c r="K304">
        <v>6140.4198199999983</v>
      </c>
      <c r="L304" t="s">
        <v>155</v>
      </c>
      <c r="N304" t="s">
        <v>269</v>
      </c>
      <c r="O304">
        <v>108.64099999999999</v>
      </c>
      <c r="P304">
        <v>0.46499999999999997</v>
      </c>
      <c r="Q304">
        <v>42989.419867999997</v>
      </c>
      <c r="R304" t="s">
        <v>1186</v>
      </c>
    </row>
    <row r="305" spans="8:18" x14ac:dyDescent="0.25">
      <c r="H305" t="s">
        <v>741</v>
      </c>
      <c r="I305">
        <v>108.64099999999999</v>
      </c>
      <c r="J305">
        <v>0.74500000000000011</v>
      </c>
      <c r="K305">
        <v>6249.0608199999979</v>
      </c>
      <c r="L305" t="s">
        <v>155</v>
      </c>
      <c r="N305" t="s">
        <v>679</v>
      </c>
      <c r="O305">
        <v>160.34460000000001</v>
      </c>
      <c r="P305">
        <v>0.46499999999999997</v>
      </c>
      <c r="Q305">
        <v>43149.764467999994</v>
      </c>
      <c r="R305" t="s">
        <v>1186</v>
      </c>
    </row>
    <row r="306" spans="8:18" x14ac:dyDescent="0.25">
      <c r="H306" t="s">
        <v>793</v>
      </c>
      <c r="I306">
        <v>172.71784</v>
      </c>
      <c r="J306">
        <v>0.75</v>
      </c>
      <c r="K306">
        <v>6421.7786599999981</v>
      </c>
      <c r="L306" t="s">
        <v>155</v>
      </c>
      <c r="N306" t="s">
        <v>703</v>
      </c>
      <c r="O306">
        <v>160.34460000000001</v>
      </c>
      <c r="P306">
        <v>0.46499999999999997</v>
      </c>
      <c r="Q306">
        <v>43310.109067999991</v>
      </c>
      <c r="R306" t="s">
        <v>1186</v>
      </c>
    </row>
    <row r="307" spans="8:18" x14ac:dyDescent="0.25">
      <c r="H307" t="s">
        <v>1004</v>
      </c>
      <c r="I307">
        <v>172.71784</v>
      </c>
      <c r="J307">
        <v>0.75</v>
      </c>
      <c r="K307">
        <v>6594.4964999999984</v>
      </c>
      <c r="L307" t="s">
        <v>155</v>
      </c>
      <c r="N307" t="s">
        <v>391</v>
      </c>
      <c r="O307">
        <v>175.66658000000001</v>
      </c>
      <c r="P307">
        <v>0.46499999999999997</v>
      </c>
      <c r="Q307">
        <v>43485.775647999988</v>
      </c>
      <c r="R307" t="s">
        <v>1186</v>
      </c>
    </row>
    <row r="308" spans="8:18" x14ac:dyDescent="0.25">
      <c r="H308" t="s">
        <v>792</v>
      </c>
      <c r="I308">
        <v>172.56412</v>
      </c>
      <c r="J308">
        <v>0.75</v>
      </c>
      <c r="K308">
        <v>6767.0606199999984</v>
      </c>
      <c r="L308" t="s">
        <v>156</v>
      </c>
      <c r="N308" t="s">
        <v>448</v>
      </c>
      <c r="O308">
        <v>160.34460000000001</v>
      </c>
      <c r="P308">
        <v>0.46499999999999997</v>
      </c>
      <c r="Q308">
        <v>43646.120247999985</v>
      </c>
      <c r="R308" t="s">
        <v>1186</v>
      </c>
    </row>
    <row r="309" spans="8:18" x14ac:dyDescent="0.25">
      <c r="H309" t="s">
        <v>1003</v>
      </c>
      <c r="I309">
        <v>172.56412</v>
      </c>
      <c r="J309">
        <v>0.75</v>
      </c>
      <c r="K309">
        <v>6939.6247399999984</v>
      </c>
      <c r="L309" t="s">
        <v>156</v>
      </c>
      <c r="N309" t="s">
        <v>427</v>
      </c>
      <c r="O309">
        <v>160.34460000000001</v>
      </c>
      <c r="P309">
        <v>0.46499999999999997</v>
      </c>
      <c r="Q309">
        <v>43806.464847999981</v>
      </c>
      <c r="R309" t="s">
        <v>1187</v>
      </c>
    </row>
    <row r="310" spans="8:18" x14ac:dyDescent="0.25">
      <c r="H310" t="s">
        <v>963</v>
      </c>
      <c r="I310">
        <v>198.59281999999999</v>
      </c>
      <c r="J310">
        <v>0.75000000000000011</v>
      </c>
      <c r="K310">
        <v>7138.2175599999982</v>
      </c>
      <c r="L310" t="s">
        <v>156</v>
      </c>
      <c r="N310" t="s">
        <v>414</v>
      </c>
      <c r="O310">
        <v>175.66658000000001</v>
      </c>
      <c r="P310">
        <v>0.46499999999999997</v>
      </c>
      <c r="Q310">
        <v>43982.131427999979</v>
      </c>
      <c r="R310" t="s">
        <v>1187</v>
      </c>
    </row>
    <row r="311" spans="8:18" x14ac:dyDescent="0.25">
      <c r="H311" t="s">
        <v>944</v>
      </c>
      <c r="I311">
        <v>198.64771999999999</v>
      </c>
      <c r="J311">
        <v>0.75000000000000011</v>
      </c>
      <c r="K311">
        <v>7336.8652799999982</v>
      </c>
      <c r="L311" t="s">
        <v>156</v>
      </c>
      <c r="N311" t="s">
        <v>459</v>
      </c>
      <c r="O311">
        <v>175.64339999999999</v>
      </c>
      <c r="P311">
        <v>0.46499999999999997</v>
      </c>
      <c r="Q311">
        <v>44157.77482799998</v>
      </c>
      <c r="R311" t="s">
        <v>1187</v>
      </c>
    </row>
    <row r="312" spans="8:18" x14ac:dyDescent="0.25">
      <c r="H312" t="s">
        <v>936</v>
      </c>
      <c r="I312">
        <v>160.34460000000001</v>
      </c>
      <c r="J312">
        <v>0.755</v>
      </c>
      <c r="K312">
        <v>7497.2098799999985</v>
      </c>
      <c r="L312" t="s">
        <v>156</v>
      </c>
      <c r="N312" t="s">
        <v>538</v>
      </c>
      <c r="O312">
        <v>175.55311999999998</v>
      </c>
      <c r="P312">
        <v>0.46500000000000008</v>
      </c>
      <c r="Q312">
        <v>44333.327947999976</v>
      </c>
      <c r="R312" t="s">
        <v>1187</v>
      </c>
    </row>
    <row r="313" spans="8:18" x14ac:dyDescent="0.25">
      <c r="H313" t="s">
        <v>847</v>
      </c>
      <c r="I313">
        <v>203.94618</v>
      </c>
      <c r="J313">
        <v>0.76</v>
      </c>
      <c r="K313">
        <v>7701.1560599999984</v>
      </c>
      <c r="L313" t="s">
        <v>156</v>
      </c>
      <c r="N313" t="s">
        <v>250</v>
      </c>
      <c r="O313">
        <v>134.3708</v>
      </c>
      <c r="P313">
        <v>0.46500000000000008</v>
      </c>
      <c r="Q313">
        <v>44467.698747999973</v>
      </c>
      <c r="R313" t="s">
        <v>1187</v>
      </c>
    </row>
    <row r="314" spans="8:18" x14ac:dyDescent="0.25">
      <c r="H314" t="s">
        <v>823</v>
      </c>
      <c r="I314">
        <v>204.00108</v>
      </c>
      <c r="J314">
        <v>0.76</v>
      </c>
      <c r="K314">
        <v>7905.1571399999984</v>
      </c>
      <c r="L314" t="s">
        <v>156</v>
      </c>
      <c r="N314" t="s">
        <v>608</v>
      </c>
      <c r="O314">
        <v>160.89359999999999</v>
      </c>
      <c r="P314">
        <v>0.46500000000000008</v>
      </c>
      <c r="Q314">
        <v>44628.592347999976</v>
      </c>
      <c r="R314" t="s">
        <v>1187</v>
      </c>
    </row>
    <row r="315" spans="8:18" x14ac:dyDescent="0.25">
      <c r="H315" t="s">
        <v>955</v>
      </c>
      <c r="I315">
        <v>173.48034000000001</v>
      </c>
      <c r="J315">
        <v>0.76000000000000012</v>
      </c>
      <c r="K315">
        <v>8078.6374799999985</v>
      </c>
      <c r="L315" t="s">
        <v>156</v>
      </c>
      <c r="N315" t="s">
        <v>627</v>
      </c>
      <c r="O315">
        <v>160.89359999999999</v>
      </c>
      <c r="P315">
        <v>0.46500000000000008</v>
      </c>
      <c r="Q315">
        <v>44789.48594799998</v>
      </c>
      <c r="R315" t="s">
        <v>1187</v>
      </c>
    </row>
    <row r="316" spans="8:18" x14ac:dyDescent="0.25">
      <c r="H316" t="s">
        <v>952</v>
      </c>
      <c r="I316">
        <v>198.23779999999999</v>
      </c>
      <c r="J316">
        <v>0.76000000000000012</v>
      </c>
      <c r="K316">
        <v>8276.8752799999984</v>
      </c>
      <c r="L316" t="s">
        <v>156</v>
      </c>
      <c r="N316" t="s">
        <v>517</v>
      </c>
      <c r="O316">
        <v>175.57141999999999</v>
      </c>
      <c r="P316">
        <v>0.46500000000000008</v>
      </c>
      <c r="Q316">
        <v>44965.05736799998</v>
      </c>
      <c r="R316" t="s">
        <v>1187</v>
      </c>
    </row>
    <row r="317" spans="8:18" x14ac:dyDescent="0.25">
      <c r="H317" t="s">
        <v>970</v>
      </c>
      <c r="I317">
        <v>198.18167999999997</v>
      </c>
      <c r="J317">
        <v>0.76000000000000012</v>
      </c>
      <c r="K317">
        <v>8475.0569599999981</v>
      </c>
      <c r="L317" t="s">
        <v>156</v>
      </c>
      <c r="N317" t="s">
        <v>487</v>
      </c>
      <c r="O317">
        <v>160.89359999999999</v>
      </c>
      <c r="P317">
        <v>0.46500000000000008</v>
      </c>
      <c r="Q317">
        <v>45125.950967999983</v>
      </c>
      <c r="R317" t="s">
        <v>1187</v>
      </c>
    </row>
    <row r="318" spans="8:18" x14ac:dyDescent="0.25">
      <c r="H318" t="s">
        <v>954</v>
      </c>
      <c r="I318">
        <v>173.30832000000001</v>
      </c>
      <c r="J318">
        <v>0.76000000000000012</v>
      </c>
      <c r="K318">
        <v>8648.3652799999982</v>
      </c>
      <c r="L318" t="s">
        <v>156</v>
      </c>
      <c r="N318" t="s">
        <v>506</v>
      </c>
      <c r="O318">
        <v>160.89359999999999</v>
      </c>
      <c r="P318">
        <v>0.46500000000000008</v>
      </c>
      <c r="Q318">
        <v>45286.844567999986</v>
      </c>
      <c r="R318" t="s">
        <v>1188</v>
      </c>
    </row>
    <row r="319" spans="8:18" x14ac:dyDescent="0.25">
      <c r="H319" t="s">
        <v>809</v>
      </c>
      <c r="I319">
        <v>228.262</v>
      </c>
      <c r="J319">
        <v>0.76500000000000001</v>
      </c>
      <c r="K319">
        <v>8876.6272799999988</v>
      </c>
      <c r="L319" t="s">
        <v>156</v>
      </c>
      <c r="N319" t="s">
        <v>650</v>
      </c>
      <c r="O319">
        <v>155.12299999999999</v>
      </c>
      <c r="P319">
        <v>0.47000000000000008</v>
      </c>
      <c r="Q319">
        <v>45441.967567999985</v>
      </c>
      <c r="R319" t="s">
        <v>1188</v>
      </c>
    </row>
    <row r="320" spans="8:18" x14ac:dyDescent="0.25">
      <c r="H320" t="s">
        <v>979</v>
      </c>
      <c r="I320">
        <v>175.66658000000001</v>
      </c>
      <c r="J320">
        <v>0.76500000000000001</v>
      </c>
      <c r="K320">
        <v>9052.2938599999979</v>
      </c>
      <c r="L320" t="s">
        <v>156</v>
      </c>
      <c r="N320" t="s">
        <v>347</v>
      </c>
      <c r="O320">
        <v>110.91019999999999</v>
      </c>
      <c r="P320">
        <v>0.47499999999999992</v>
      </c>
      <c r="Q320">
        <v>45552.877767999984</v>
      </c>
      <c r="R320" t="s">
        <v>1188</v>
      </c>
    </row>
    <row r="321" spans="8:18" x14ac:dyDescent="0.25">
      <c r="H321" t="s">
        <v>978</v>
      </c>
      <c r="I321">
        <v>228.26566</v>
      </c>
      <c r="J321">
        <v>0.76500000000000001</v>
      </c>
      <c r="K321">
        <v>9280.5595199999971</v>
      </c>
      <c r="L321" t="s">
        <v>156</v>
      </c>
      <c r="N321" t="s">
        <v>360</v>
      </c>
      <c r="O321">
        <v>110.91019999999999</v>
      </c>
      <c r="P321">
        <v>0.47499999999999992</v>
      </c>
      <c r="Q321">
        <v>45663.787967999982</v>
      </c>
      <c r="R321" t="s">
        <v>1188</v>
      </c>
    </row>
    <row r="322" spans="8:18" x14ac:dyDescent="0.25">
      <c r="H322" t="s">
        <v>808</v>
      </c>
      <c r="I322">
        <v>175.66658000000001</v>
      </c>
      <c r="J322">
        <v>0.76500000000000001</v>
      </c>
      <c r="K322">
        <v>9456.2260999999962</v>
      </c>
      <c r="L322" t="s">
        <v>157</v>
      </c>
      <c r="N322" t="s">
        <v>344</v>
      </c>
      <c r="O322">
        <v>120.71899999999999</v>
      </c>
      <c r="P322">
        <v>0.47499999999999992</v>
      </c>
      <c r="Q322">
        <v>45784.50696799998</v>
      </c>
      <c r="R322" t="s">
        <v>1188</v>
      </c>
    </row>
    <row r="323" spans="8:18" x14ac:dyDescent="0.25">
      <c r="H323" t="s">
        <v>740</v>
      </c>
      <c r="I323">
        <v>134.3708</v>
      </c>
      <c r="J323">
        <v>0.76500000000000012</v>
      </c>
      <c r="K323">
        <v>9590.5968999999968</v>
      </c>
      <c r="L323" t="s">
        <v>157</v>
      </c>
      <c r="N323" t="s">
        <v>327</v>
      </c>
      <c r="O323">
        <v>110.89800000000001</v>
      </c>
      <c r="P323">
        <v>0.47499999999999992</v>
      </c>
      <c r="Q323">
        <v>45895.404967999981</v>
      </c>
      <c r="R323" t="s">
        <v>1188</v>
      </c>
    </row>
    <row r="324" spans="8:18" x14ac:dyDescent="0.25">
      <c r="H324" t="s">
        <v>951</v>
      </c>
      <c r="I324">
        <v>228.38888</v>
      </c>
      <c r="J324">
        <v>0.76900000000000013</v>
      </c>
      <c r="K324">
        <v>9818.9857799999972</v>
      </c>
      <c r="L324" t="s">
        <v>157</v>
      </c>
      <c r="N324" t="s">
        <v>330</v>
      </c>
      <c r="O324">
        <v>120.71899999999999</v>
      </c>
      <c r="P324">
        <v>0.47499999999999992</v>
      </c>
      <c r="Q324">
        <v>46016.123967999978</v>
      </c>
      <c r="R324" t="s">
        <v>1188</v>
      </c>
    </row>
    <row r="325" spans="8:18" x14ac:dyDescent="0.25">
      <c r="H325" t="s">
        <v>835</v>
      </c>
      <c r="I325">
        <v>172.56412</v>
      </c>
      <c r="J325">
        <v>0.77</v>
      </c>
      <c r="K325">
        <v>9991.5498999999982</v>
      </c>
      <c r="L325" t="s">
        <v>157</v>
      </c>
      <c r="N325" t="s">
        <v>331</v>
      </c>
      <c r="O325">
        <v>108.64099999999999</v>
      </c>
      <c r="P325">
        <v>0.47500000000000003</v>
      </c>
      <c r="Q325">
        <v>46124.764967999981</v>
      </c>
      <c r="R325" t="s">
        <v>1188</v>
      </c>
    </row>
    <row r="326" spans="8:18" x14ac:dyDescent="0.25">
      <c r="H326" t="s">
        <v>1117</v>
      </c>
      <c r="I326">
        <v>154.7936</v>
      </c>
      <c r="J326">
        <v>0.77</v>
      </c>
      <c r="K326">
        <v>10146.343499999999</v>
      </c>
      <c r="L326" t="s">
        <v>157</v>
      </c>
      <c r="N326" t="s">
        <v>586</v>
      </c>
      <c r="O326">
        <v>172.61291999999997</v>
      </c>
      <c r="P326">
        <v>0.48</v>
      </c>
      <c r="Q326">
        <v>46297.377887999981</v>
      </c>
      <c r="R326" t="s">
        <v>1188</v>
      </c>
    </row>
    <row r="327" spans="8:18" x14ac:dyDescent="0.25">
      <c r="H327" t="s">
        <v>1106</v>
      </c>
      <c r="I327">
        <v>154.7936</v>
      </c>
      <c r="J327">
        <v>0.77</v>
      </c>
      <c r="K327">
        <v>10301.1371</v>
      </c>
      <c r="L327" t="s">
        <v>157</v>
      </c>
      <c r="N327" t="s">
        <v>439</v>
      </c>
      <c r="O327">
        <v>160.89359999999999</v>
      </c>
      <c r="P327">
        <v>0.48</v>
      </c>
      <c r="Q327">
        <v>46458.271487999984</v>
      </c>
      <c r="R327" t="s">
        <v>1188</v>
      </c>
    </row>
    <row r="328" spans="8:18" x14ac:dyDescent="0.25">
      <c r="H328" t="s">
        <v>1060</v>
      </c>
      <c r="I328">
        <v>154.9034</v>
      </c>
      <c r="J328">
        <v>0.77</v>
      </c>
      <c r="K328">
        <v>10456.040499999999</v>
      </c>
      <c r="L328" t="s">
        <v>157</v>
      </c>
      <c r="N328" t="s">
        <v>416</v>
      </c>
      <c r="O328">
        <v>172.10906</v>
      </c>
      <c r="P328">
        <v>0.48</v>
      </c>
      <c r="Q328">
        <v>46630.380547999986</v>
      </c>
      <c r="R328" t="s">
        <v>1188</v>
      </c>
    </row>
    <row r="329" spans="8:18" x14ac:dyDescent="0.25">
      <c r="H329" t="s">
        <v>1079</v>
      </c>
      <c r="I329">
        <v>154.9034</v>
      </c>
      <c r="J329">
        <v>0.77</v>
      </c>
      <c r="K329">
        <v>10610.943899999998</v>
      </c>
      <c r="L329" t="s">
        <v>157</v>
      </c>
      <c r="N329" t="s">
        <v>404</v>
      </c>
      <c r="O329">
        <v>172.66172</v>
      </c>
      <c r="P329">
        <v>0.48</v>
      </c>
      <c r="Q329">
        <v>46803.042267999983</v>
      </c>
      <c r="R329" t="s">
        <v>1188</v>
      </c>
    </row>
    <row r="330" spans="8:18" x14ac:dyDescent="0.25">
      <c r="H330" t="s">
        <v>1069</v>
      </c>
      <c r="I330">
        <v>159.84440000000001</v>
      </c>
      <c r="J330">
        <v>0.77</v>
      </c>
      <c r="K330">
        <v>10770.788299999998</v>
      </c>
      <c r="L330" t="s">
        <v>157</v>
      </c>
      <c r="N330" t="s">
        <v>692</v>
      </c>
      <c r="O330">
        <v>160.89359999999999</v>
      </c>
      <c r="P330">
        <v>0.48</v>
      </c>
      <c r="Q330">
        <v>46963.935867999986</v>
      </c>
      <c r="R330" t="s">
        <v>1188</v>
      </c>
    </row>
    <row r="331" spans="8:18" x14ac:dyDescent="0.25">
      <c r="H331" t="s">
        <v>892</v>
      </c>
      <c r="I331">
        <v>199.28699999999998</v>
      </c>
      <c r="J331">
        <v>0.77</v>
      </c>
      <c r="K331">
        <v>10970.075299999999</v>
      </c>
      <c r="L331" t="s">
        <v>157</v>
      </c>
      <c r="N331" t="s">
        <v>403</v>
      </c>
      <c r="O331">
        <v>172.61291999999997</v>
      </c>
      <c r="P331">
        <v>0.48</v>
      </c>
      <c r="Q331">
        <v>47136.548787999986</v>
      </c>
      <c r="R331" t="s">
        <v>1188</v>
      </c>
    </row>
    <row r="332" spans="8:18" x14ac:dyDescent="0.25">
      <c r="H332" t="s">
        <v>1070</v>
      </c>
      <c r="I332">
        <v>154.78139999999999</v>
      </c>
      <c r="J332">
        <v>0.77</v>
      </c>
      <c r="K332">
        <v>11124.856699999998</v>
      </c>
      <c r="L332" t="s">
        <v>157</v>
      </c>
      <c r="N332" t="s">
        <v>460</v>
      </c>
      <c r="O332">
        <v>172.49579999999997</v>
      </c>
      <c r="P332">
        <v>0.48</v>
      </c>
      <c r="Q332">
        <v>47309.044587999982</v>
      </c>
      <c r="R332" t="s">
        <v>1188</v>
      </c>
    </row>
    <row r="333" spans="8:18" x14ac:dyDescent="0.25">
      <c r="H333" t="s">
        <v>836</v>
      </c>
      <c r="I333">
        <v>172.71784</v>
      </c>
      <c r="J333">
        <v>0.77</v>
      </c>
      <c r="K333">
        <v>11297.574539999998</v>
      </c>
      <c r="L333" t="s">
        <v>157</v>
      </c>
      <c r="N333" t="s">
        <v>392</v>
      </c>
      <c r="O333">
        <v>172.17982000000001</v>
      </c>
      <c r="P333">
        <v>0.48</v>
      </c>
      <c r="Q333">
        <v>47481.22440799998</v>
      </c>
      <c r="R333" t="s">
        <v>1188</v>
      </c>
    </row>
    <row r="334" spans="8:18" x14ac:dyDescent="0.25">
      <c r="H334" t="s">
        <v>881</v>
      </c>
      <c r="I334">
        <v>199.28699999999998</v>
      </c>
      <c r="J334">
        <v>0.77</v>
      </c>
      <c r="K334">
        <v>11496.861539999998</v>
      </c>
      <c r="L334" t="s">
        <v>157</v>
      </c>
      <c r="N334" t="s">
        <v>587</v>
      </c>
      <c r="O334">
        <v>172.66172</v>
      </c>
      <c r="P334">
        <v>0.48</v>
      </c>
      <c r="Q334">
        <v>47653.886127999976</v>
      </c>
      <c r="R334" t="s">
        <v>1188</v>
      </c>
    </row>
    <row r="335" spans="8:18" x14ac:dyDescent="0.25">
      <c r="H335" t="s">
        <v>961</v>
      </c>
      <c r="I335">
        <v>172.82397999999998</v>
      </c>
      <c r="J335">
        <v>0.77000000000000013</v>
      </c>
      <c r="K335">
        <v>11669.685519999997</v>
      </c>
      <c r="L335" t="s">
        <v>157</v>
      </c>
      <c r="N335" t="s">
        <v>329</v>
      </c>
      <c r="O335">
        <v>120.69460000000001</v>
      </c>
      <c r="P335">
        <v>0.48499999999999993</v>
      </c>
      <c r="Q335">
        <v>47774.580727999979</v>
      </c>
      <c r="R335" t="s">
        <v>1188</v>
      </c>
    </row>
    <row r="336" spans="8:18" x14ac:dyDescent="0.25">
      <c r="H336" t="s">
        <v>946</v>
      </c>
      <c r="I336">
        <v>198.34271999999999</v>
      </c>
      <c r="J336">
        <v>0.77000000000000013</v>
      </c>
      <c r="K336">
        <v>11868.028239999998</v>
      </c>
      <c r="L336" t="s">
        <v>157</v>
      </c>
      <c r="N336" t="s">
        <v>670</v>
      </c>
      <c r="O336">
        <v>160.62519999999998</v>
      </c>
      <c r="P336">
        <v>0.48499999999999999</v>
      </c>
      <c r="Q336">
        <v>47935.205927999981</v>
      </c>
      <c r="R336" t="s">
        <v>1188</v>
      </c>
    </row>
    <row r="337" spans="8:18" x14ac:dyDescent="0.25">
      <c r="H337" t="s">
        <v>960</v>
      </c>
      <c r="I337">
        <v>172.67147999999997</v>
      </c>
      <c r="J337">
        <v>0.77000000000000013</v>
      </c>
      <c r="K337">
        <v>12040.699719999997</v>
      </c>
      <c r="L337" t="s">
        <v>157</v>
      </c>
      <c r="N337" t="s">
        <v>649</v>
      </c>
      <c r="O337">
        <v>160.86920000000001</v>
      </c>
      <c r="P337">
        <v>0.48499999999999999</v>
      </c>
      <c r="Q337">
        <v>48096.075127999982</v>
      </c>
      <c r="R337" t="s">
        <v>1188</v>
      </c>
    </row>
    <row r="338" spans="8:18" x14ac:dyDescent="0.25">
      <c r="H338" t="s">
        <v>965</v>
      </c>
      <c r="I338">
        <v>198.28782000000001</v>
      </c>
      <c r="J338">
        <v>0.77000000000000013</v>
      </c>
      <c r="K338">
        <v>12238.987539999996</v>
      </c>
      <c r="L338" t="s">
        <v>158</v>
      </c>
      <c r="N338" t="s">
        <v>693</v>
      </c>
      <c r="O338">
        <v>155.4402</v>
      </c>
      <c r="P338">
        <v>0.49</v>
      </c>
      <c r="Q338">
        <v>48251.515327999979</v>
      </c>
      <c r="R338" t="s">
        <v>1188</v>
      </c>
    </row>
    <row r="339" spans="8:18" x14ac:dyDescent="0.25">
      <c r="H339" t="s">
        <v>1009</v>
      </c>
      <c r="I339">
        <v>224.34214</v>
      </c>
      <c r="J339">
        <v>0.77500000000000002</v>
      </c>
      <c r="K339">
        <v>12463.329679999997</v>
      </c>
      <c r="L339" t="s">
        <v>158</v>
      </c>
      <c r="N339" t="s">
        <v>440</v>
      </c>
      <c r="O339">
        <v>155.4402</v>
      </c>
      <c r="P339">
        <v>0.49</v>
      </c>
      <c r="Q339">
        <v>48406.955527999977</v>
      </c>
      <c r="R339" t="s">
        <v>1188</v>
      </c>
    </row>
    <row r="340" spans="8:18" x14ac:dyDescent="0.25">
      <c r="H340" t="s">
        <v>962</v>
      </c>
      <c r="I340">
        <v>224.34214</v>
      </c>
      <c r="J340">
        <v>0.77500000000000002</v>
      </c>
      <c r="K340">
        <v>12687.671819999998</v>
      </c>
      <c r="L340" t="s">
        <v>158</v>
      </c>
      <c r="N340" t="s">
        <v>428</v>
      </c>
      <c r="O340">
        <v>155.489</v>
      </c>
      <c r="P340">
        <v>0.49</v>
      </c>
      <c r="Q340">
        <v>48562.444527999978</v>
      </c>
      <c r="R340" t="s">
        <v>1188</v>
      </c>
    </row>
    <row r="341" spans="8:18" x14ac:dyDescent="0.25">
      <c r="H341" t="s">
        <v>1050</v>
      </c>
      <c r="I341">
        <v>228.38888</v>
      </c>
      <c r="J341">
        <v>0.77500000000000002</v>
      </c>
      <c r="K341">
        <v>12916.060699999998</v>
      </c>
      <c r="L341" t="s">
        <v>158</v>
      </c>
      <c r="N341" t="s">
        <v>450</v>
      </c>
      <c r="O341">
        <v>155.489</v>
      </c>
      <c r="P341">
        <v>0.49</v>
      </c>
      <c r="Q341">
        <v>48717.93352799998</v>
      </c>
      <c r="R341" t="s">
        <v>1188</v>
      </c>
    </row>
    <row r="342" spans="8:18" x14ac:dyDescent="0.25">
      <c r="H342" t="s">
        <v>1030</v>
      </c>
      <c r="I342">
        <v>175.57141999999999</v>
      </c>
      <c r="J342">
        <v>0.77900000000000014</v>
      </c>
      <c r="K342">
        <v>13091.632119999998</v>
      </c>
      <c r="L342" t="s">
        <v>158</v>
      </c>
      <c r="N342" t="s">
        <v>638</v>
      </c>
      <c r="O342">
        <v>155.489</v>
      </c>
      <c r="P342">
        <v>0.49</v>
      </c>
      <c r="Q342">
        <v>48873.422527999981</v>
      </c>
      <c r="R342" t="s">
        <v>1188</v>
      </c>
    </row>
    <row r="343" spans="8:18" x14ac:dyDescent="0.25">
      <c r="H343" t="s">
        <v>462</v>
      </c>
      <c r="I343">
        <v>199.28699999999998</v>
      </c>
      <c r="J343">
        <v>0.77999999999999992</v>
      </c>
      <c r="K343">
        <v>13290.919119999999</v>
      </c>
      <c r="L343" t="s">
        <v>158</v>
      </c>
      <c r="N343" t="s">
        <v>680</v>
      </c>
      <c r="O343">
        <v>155.489</v>
      </c>
      <c r="P343">
        <v>0.49</v>
      </c>
      <c r="Q343">
        <v>49028.911527999982</v>
      </c>
      <c r="R343" t="s">
        <v>1188</v>
      </c>
    </row>
    <row r="344" spans="8:18" x14ac:dyDescent="0.25">
      <c r="H344" t="s">
        <v>468</v>
      </c>
      <c r="I344">
        <v>199.28699999999998</v>
      </c>
      <c r="J344">
        <v>0.77999999999999992</v>
      </c>
      <c r="K344">
        <v>13490.206119999999</v>
      </c>
      <c r="L344" t="s">
        <v>158</v>
      </c>
      <c r="N344" t="s">
        <v>705</v>
      </c>
      <c r="O344">
        <v>155.489</v>
      </c>
      <c r="P344">
        <v>0.49</v>
      </c>
      <c r="Q344">
        <v>49184.400527999984</v>
      </c>
      <c r="R344" t="s">
        <v>1188</v>
      </c>
    </row>
    <row r="345" spans="8:18" x14ac:dyDescent="0.25">
      <c r="H345" t="s">
        <v>552</v>
      </c>
      <c r="I345">
        <v>200.61192</v>
      </c>
      <c r="J345">
        <v>0.78</v>
      </c>
      <c r="K345">
        <v>13690.818039999998</v>
      </c>
      <c r="L345" t="s">
        <v>158</v>
      </c>
      <c r="N345" t="s">
        <v>469</v>
      </c>
      <c r="O345">
        <v>169.68979999999999</v>
      </c>
      <c r="P345">
        <v>0.49000000000000005</v>
      </c>
      <c r="Q345">
        <v>49354.090327999984</v>
      </c>
      <c r="R345" t="s">
        <v>1188</v>
      </c>
    </row>
    <row r="346" spans="8:18" x14ac:dyDescent="0.25">
      <c r="H346" t="s">
        <v>546</v>
      </c>
      <c r="I346">
        <v>200.61192</v>
      </c>
      <c r="J346">
        <v>0.78</v>
      </c>
      <c r="K346">
        <v>13891.429959999998</v>
      </c>
      <c r="L346" t="s">
        <v>158</v>
      </c>
      <c r="N346" t="s">
        <v>464</v>
      </c>
      <c r="O346">
        <v>115.80240000000001</v>
      </c>
      <c r="P346">
        <v>0.495</v>
      </c>
      <c r="Q346">
        <v>49469.892727999984</v>
      </c>
      <c r="R346" t="s">
        <v>1188</v>
      </c>
    </row>
    <row r="347" spans="8:18" x14ac:dyDescent="0.25">
      <c r="H347" t="s">
        <v>569</v>
      </c>
      <c r="I347">
        <v>200.58874</v>
      </c>
      <c r="J347">
        <v>0.78</v>
      </c>
      <c r="K347">
        <v>14092.018699999997</v>
      </c>
      <c r="L347" t="s">
        <v>158</v>
      </c>
      <c r="N347" t="s">
        <v>362</v>
      </c>
      <c r="O347">
        <v>136.88400000000001</v>
      </c>
      <c r="P347">
        <v>0.495</v>
      </c>
      <c r="Q347">
        <v>49606.776727999983</v>
      </c>
      <c r="R347" t="s">
        <v>1188</v>
      </c>
    </row>
    <row r="348" spans="8:18" x14ac:dyDescent="0.25">
      <c r="H348" t="s">
        <v>381</v>
      </c>
      <c r="I348">
        <v>200.58874</v>
      </c>
      <c r="J348">
        <v>0.78</v>
      </c>
      <c r="K348">
        <v>14292.607439999996</v>
      </c>
      <c r="L348" t="s">
        <v>158</v>
      </c>
      <c r="N348" t="s">
        <v>265</v>
      </c>
      <c r="O348">
        <v>119.5356</v>
      </c>
      <c r="P348">
        <v>0.495</v>
      </c>
      <c r="Q348">
        <v>49726.312327999985</v>
      </c>
      <c r="R348" t="s">
        <v>1188</v>
      </c>
    </row>
    <row r="349" spans="8:18" x14ac:dyDescent="0.25">
      <c r="H349" t="s">
        <v>523</v>
      </c>
      <c r="I349">
        <v>170.27784</v>
      </c>
      <c r="J349">
        <v>0.78000000000000014</v>
      </c>
      <c r="K349">
        <v>14462.885279999997</v>
      </c>
      <c r="L349" t="s">
        <v>158</v>
      </c>
      <c r="N349" t="s">
        <v>1104</v>
      </c>
      <c r="O349">
        <v>154.67160000000001</v>
      </c>
      <c r="P349">
        <v>0.73</v>
      </c>
      <c r="Q349">
        <v>154.67160000000001</v>
      </c>
      <c r="R349" t="s">
        <v>1177</v>
      </c>
    </row>
    <row r="350" spans="8:18" x14ac:dyDescent="0.25">
      <c r="H350" t="s">
        <v>524</v>
      </c>
      <c r="I350">
        <v>170.44863999999998</v>
      </c>
      <c r="J350">
        <v>0.78000000000000014</v>
      </c>
      <c r="K350">
        <v>14633.333919999997</v>
      </c>
      <c r="L350" t="s">
        <v>158</v>
      </c>
      <c r="N350" t="s">
        <v>1058</v>
      </c>
      <c r="O350">
        <v>154.87899999999999</v>
      </c>
      <c r="P350">
        <v>0.73</v>
      </c>
      <c r="Q350">
        <v>309.55060000000003</v>
      </c>
      <c r="R350" t="s">
        <v>1177</v>
      </c>
    </row>
    <row r="351" spans="8:18" x14ac:dyDescent="0.25">
      <c r="H351" t="s">
        <v>553</v>
      </c>
      <c r="I351">
        <v>175.57141999999999</v>
      </c>
      <c r="J351">
        <v>0.78500000000000003</v>
      </c>
      <c r="K351">
        <v>14808.905339999998</v>
      </c>
      <c r="L351" t="s">
        <v>158</v>
      </c>
      <c r="N351" t="s">
        <v>1115</v>
      </c>
      <c r="O351">
        <v>154.67160000000001</v>
      </c>
      <c r="P351">
        <v>0.73</v>
      </c>
      <c r="Q351">
        <v>464.22220000000004</v>
      </c>
      <c r="R351" t="s">
        <v>1177</v>
      </c>
    </row>
    <row r="352" spans="8:18" x14ac:dyDescent="0.25">
      <c r="H352" t="s">
        <v>390</v>
      </c>
      <c r="I352">
        <v>228.26566</v>
      </c>
      <c r="J352">
        <v>0.78500000000000003</v>
      </c>
      <c r="K352">
        <v>15037.170999999997</v>
      </c>
      <c r="L352" t="s">
        <v>158</v>
      </c>
      <c r="N352" t="s">
        <v>1067</v>
      </c>
      <c r="O352">
        <v>159.85659999999999</v>
      </c>
      <c r="P352">
        <v>0.73</v>
      </c>
      <c r="Q352">
        <v>624.0788</v>
      </c>
      <c r="R352" t="s">
        <v>1177</v>
      </c>
    </row>
    <row r="353" spans="8:18" x14ac:dyDescent="0.25">
      <c r="H353" t="s">
        <v>607</v>
      </c>
      <c r="I353">
        <v>160.34460000000001</v>
      </c>
      <c r="J353">
        <v>0.78500000000000003</v>
      </c>
      <c r="K353">
        <v>15197.515599999997</v>
      </c>
      <c r="L353" t="s">
        <v>158</v>
      </c>
      <c r="N353" t="s">
        <v>1078</v>
      </c>
      <c r="O353">
        <v>154.87899999999999</v>
      </c>
      <c r="P353">
        <v>0.73</v>
      </c>
      <c r="Q353">
        <v>778.95780000000002</v>
      </c>
      <c r="R353" t="s">
        <v>1177</v>
      </c>
    </row>
    <row r="354" spans="8:18" x14ac:dyDescent="0.25">
      <c r="H354" t="s">
        <v>429</v>
      </c>
      <c r="I354">
        <v>160.34460000000001</v>
      </c>
      <c r="J354">
        <v>0.78500000000000003</v>
      </c>
      <c r="K354">
        <v>15357.860199999997</v>
      </c>
      <c r="L354" t="s">
        <v>158</v>
      </c>
      <c r="N354" t="s">
        <v>1068</v>
      </c>
      <c r="O354">
        <v>154.8058</v>
      </c>
      <c r="P354">
        <v>0.73</v>
      </c>
      <c r="Q354">
        <v>933.7636</v>
      </c>
      <c r="R354" t="s">
        <v>1177</v>
      </c>
    </row>
    <row r="355" spans="8:18" x14ac:dyDescent="0.25">
      <c r="H355" t="s">
        <v>577</v>
      </c>
      <c r="I355">
        <v>228.26566</v>
      </c>
      <c r="J355">
        <v>0.78500000000000003</v>
      </c>
      <c r="K355">
        <v>15586.125859999996</v>
      </c>
      <c r="L355" t="s">
        <v>158</v>
      </c>
      <c r="N355" t="s">
        <v>1028</v>
      </c>
      <c r="O355">
        <v>200.61192</v>
      </c>
      <c r="P355">
        <v>0.73000000000000009</v>
      </c>
      <c r="Q355">
        <v>1134.3755200000001</v>
      </c>
      <c r="R355" t="s">
        <v>1177</v>
      </c>
    </row>
    <row r="356" spans="8:18" x14ac:dyDescent="0.25">
      <c r="H356" t="s">
        <v>628</v>
      </c>
      <c r="I356">
        <v>160.34460000000001</v>
      </c>
      <c r="J356">
        <v>0.78500000000000003</v>
      </c>
      <c r="K356">
        <v>15746.470459999997</v>
      </c>
      <c r="L356" t="s">
        <v>158</v>
      </c>
      <c r="N356" t="s">
        <v>1051</v>
      </c>
      <c r="O356">
        <v>200.58874</v>
      </c>
      <c r="P356">
        <v>0.73000000000000009</v>
      </c>
      <c r="Q356">
        <v>1334.96426</v>
      </c>
      <c r="R356" t="s">
        <v>1177</v>
      </c>
    </row>
    <row r="357" spans="8:18" x14ac:dyDescent="0.25">
      <c r="H357" t="s">
        <v>571</v>
      </c>
      <c r="I357">
        <v>222.48041999999998</v>
      </c>
      <c r="J357">
        <v>0.78500000000000003</v>
      </c>
      <c r="K357">
        <v>15968.950879999997</v>
      </c>
      <c r="L357" t="s">
        <v>158</v>
      </c>
      <c r="N357" t="s">
        <v>1032</v>
      </c>
      <c r="O357">
        <v>222.47554</v>
      </c>
      <c r="P357">
        <v>0.73499999999999999</v>
      </c>
      <c r="Q357">
        <v>1557.4397999999999</v>
      </c>
      <c r="R357" t="s">
        <v>1177</v>
      </c>
    </row>
    <row r="358" spans="8:18" x14ac:dyDescent="0.25">
      <c r="H358" t="s">
        <v>541</v>
      </c>
      <c r="I358">
        <v>222.48041999999998</v>
      </c>
      <c r="J358">
        <v>0.78500000000000003</v>
      </c>
      <c r="K358">
        <v>16191.431299999997</v>
      </c>
      <c r="L358" t="s">
        <v>158</v>
      </c>
      <c r="N358" t="s">
        <v>1047</v>
      </c>
      <c r="O358">
        <v>228.262</v>
      </c>
      <c r="P358">
        <v>0.73499999999999999</v>
      </c>
      <c r="Q358">
        <v>1785.7017999999998</v>
      </c>
      <c r="R358" t="s">
        <v>1177</v>
      </c>
    </row>
    <row r="359" spans="8:18" x14ac:dyDescent="0.25">
      <c r="H359" t="s">
        <v>661</v>
      </c>
      <c r="I359">
        <v>160.62519999999998</v>
      </c>
      <c r="J359">
        <v>0.78500000000000003</v>
      </c>
      <c r="K359">
        <v>16352.056499999997</v>
      </c>
      <c r="L359" t="s">
        <v>160</v>
      </c>
      <c r="N359" t="s">
        <v>829</v>
      </c>
      <c r="O359">
        <v>222.47554</v>
      </c>
      <c r="P359">
        <v>0.73499999999999999</v>
      </c>
      <c r="Q359">
        <v>2008.1773399999997</v>
      </c>
      <c r="R359" t="s">
        <v>1177</v>
      </c>
    </row>
    <row r="360" spans="8:18" x14ac:dyDescent="0.25">
      <c r="H360" t="s">
        <v>456</v>
      </c>
      <c r="I360">
        <v>198.92100000000002</v>
      </c>
      <c r="J360">
        <v>0.78999999999999992</v>
      </c>
      <c r="K360">
        <v>16550.977499999997</v>
      </c>
      <c r="L360" t="s">
        <v>160</v>
      </c>
      <c r="N360" s="288" t="s">
        <v>955</v>
      </c>
      <c r="O360" s="288">
        <v>343.92898000000002</v>
      </c>
      <c r="P360" s="288">
        <v>0.7350000000000001</v>
      </c>
      <c r="Q360" s="288">
        <v>2352.1063199999999</v>
      </c>
      <c r="R360" s="288" t="s">
        <v>1178</v>
      </c>
    </row>
    <row r="361" spans="8:18" x14ac:dyDescent="0.25">
      <c r="H361" t="s">
        <v>442</v>
      </c>
      <c r="I361">
        <v>160.69839999999999</v>
      </c>
      <c r="J361">
        <v>0.78999999999999992</v>
      </c>
      <c r="K361">
        <v>16711.675899999998</v>
      </c>
      <c r="L361" t="s">
        <v>160</v>
      </c>
      <c r="N361" t="s">
        <v>1127</v>
      </c>
      <c r="O361">
        <v>160.34460000000001</v>
      </c>
      <c r="P361">
        <v>0.7350000000000001</v>
      </c>
      <c r="Q361">
        <v>2512.4509199999998</v>
      </c>
      <c r="R361" t="s">
        <v>1177</v>
      </c>
    </row>
    <row r="362" spans="8:18" x14ac:dyDescent="0.25">
      <c r="H362" t="s">
        <v>465</v>
      </c>
      <c r="I362">
        <v>198.92100000000002</v>
      </c>
      <c r="J362">
        <v>0.78999999999999992</v>
      </c>
      <c r="K362">
        <v>16910.596899999997</v>
      </c>
      <c r="L362" t="s">
        <v>160</v>
      </c>
      <c r="N362" t="s">
        <v>954</v>
      </c>
      <c r="O362">
        <v>343.58616000000001</v>
      </c>
      <c r="P362">
        <v>0.7350000000000001</v>
      </c>
      <c r="Q362">
        <v>2856.0370799999996</v>
      </c>
      <c r="R362" t="s">
        <v>1177</v>
      </c>
    </row>
    <row r="363" spans="8:18" x14ac:dyDescent="0.25">
      <c r="H363" t="s">
        <v>1005</v>
      </c>
      <c r="I363">
        <v>173.54987999999997</v>
      </c>
      <c r="J363">
        <v>0.79</v>
      </c>
      <c r="K363">
        <v>17084.146779999995</v>
      </c>
      <c r="L363" t="s">
        <v>160</v>
      </c>
      <c r="N363" t="s">
        <v>1142</v>
      </c>
      <c r="O363">
        <v>160.34460000000001</v>
      </c>
      <c r="P363">
        <v>0.7350000000000001</v>
      </c>
      <c r="Q363">
        <v>3016.3816799999995</v>
      </c>
      <c r="R363" t="s">
        <v>1177</v>
      </c>
    </row>
    <row r="364" spans="8:18" x14ac:dyDescent="0.25">
      <c r="H364" t="s">
        <v>422</v>
      </c>
      <c r="I364">
        <v>152.60980000000001</v>
      </c>
      <c r="J364">
        <v>0.79</v>
      </c>
      <c r="K364">
        <v>17236.756579999994</v>
      </c>
      <c r="L364" t="s">
        <v>160</v>
      </c>
      <c r="N364" t="s">
        <v>1089</v>
      </c>
      <c r="O364">
        <v>160.62519999999998</v>
      </c>
      <c r="P364">
        <v>0.7350000000000001</v>
      </c>
      <c r="Q364">
        <v>3177.0068799999995</v>
      </c>
      <c r="R364" t="s">
        <v>1177</v>
      </c>
    </row>
    <row r="365" spans="8:18" x14ac:dyDescent="0.25">
      <c r="H365" t="s">
        <v>1006</v>
      </c>
      <c r="I365">
        <v>173.70115999999999</v>
      </c>
      <c r="J365">
        <v>0.79</v>
      </c>
      <c r="K365">
        <v>17410.457739999994</v>
      </c>
      <c r="L365" t="s">
        <v>160</v>
      </c>
      <c r="N365" t="s">
        <v>1097</v>
      </c>
      <c r="O365">
        <v>160.62519999999998</v>
      </c>
      <c r="P365">
        <v>0.7350000000000001</v>
      </c>
      <c r="Q365">
        <v>3337.6320799999994</v>
      </c>
      <c r="R365" t="s">
        <v>1177</v>
      </c>
    </row>
    <row r="366" spans="8:18" x14ac:dyDescent="0.25">
      <c r="H366" t="s">
        <v>871</v>
      </c>
      <c r="I366">
        <v>152.60980000000001</v>
      </c>
      <c r="J366">
        <v>0.79</v>
      </c>
      <c r="K366">
        <v>17563.067539999993</v>
      </c>
      <c r="L366" t="s">
        <v>160</v>
      </c>
      <c r="N366" t="s">
        <v>1027</v>
      </c>
      <c r="O366">
        <v>175.66658000000001</v>
      </c>
      <c r="P366">
        <v>0.7390000000000001</v>
      </c>
      <c r="Q366">
        <v>3513.2986599999995</v>
      </c>
      <c r="R366" t="s">
        <v>1177</v>
      </c>
    </row>
    <row r="367" spans="8:18" x14ac:dyDescent="0.25">
      <c r="H367" t="s">
        <v>374</v>
      </c>
      <c r="I367">
        <v>173.54987999999997</v>
      </c>
      <c r="J367">
        <v>0.79</v>
      </c>
      <c r="K367">
        <v>17736.617419999991</v>
      </c>
      <c r="L367" t="s">
        <v>160</v>
      </c>
      <c r="N367" t="s">
        <v>1016</v>
      </c>
      <c r="O367">
        <v>203.94618</v>
      </c>
      <c r="P367">
        <v>0.74</v>
      </c>
      <c r="Q367">
        <v>3717.2448399999994</v>
      </c>
      <c r="R367" t="s">
        <v>1177</v>
      </c>
    </row>
    <row r="368" spans="8:18" x14ac:dyDescent="0.25">
      <c r="H368" t="s">
        <v>433</v>
      </c>
      <c r="I368">
        <v>156.5016</v>
      </c>
      <c r="J368">
        <v>0.79</v>
      </c>
      <c r="K368">
        <v>17893.119019999991</v>
      </c>
      <c r="L368" t="s">
        <v>160</v>
      </c>
      <c r="N368" t="s">
        <v>992</v>
      </c>
      <c r="O368">
        <v>204.00108</v>
      </c>
      <c r="P368">
        <v>0.74</v>
      </c>
      <c r="Q368">
        <v>3921.2459199999994</v>
      </c>
      <c r="R368" t="s">
        <v>1177</v>
      </c>
    </row>
    <row r="369" spans="8:18" x14ac:dyDescent="0.25">
      <c r="H369" t="s">
        <v>375</v>
      </c>
      <c r="I369">
        <v>173.70115999999999</v>
      </c>
      <c r="J369">
        <v>0.79</v>
      </c>
      <c r="K369">
        <v>18066.820179999992</v>
      </c>
      <c r="L369" t="s">
        <v>160</v>
      </c>
      <c r="N369" t="s">
        <v>977</v>
      </c>
      <c r="O369">
        <v>204.00108</v>
      </c>
      <c r="P369">
        <v>0.74</v>
      </c>
      <c r="Q369">
        <v>4125.2469999999994</v>
      </c>
      <c r="R369" t="s">
        <v>1177</v>
      </c>
    </row>
    <row r="370" spans="8:18" x14ac:dyDescent="0.25">
      <c r="H370" t="s">
        <v>862</v>
      </c>
      <c r="I370">
        <v>152.53659999999999</v>
      </c>
      <c r="J370">
        <v>0.79</v>
      </c>
      <c r="K370">
        <v>18219.356779999991</v>
      </c>
      <c r="L370" t="s">
        <v>160</v>
      </c>
      <c r="N370" t="s">
        <v>810</v>
      </c>
      <c r="O370">
        <v>203.94618</v>
      </c>
      <c r="P370">
        <v>0.74</v>
      </c>
      <c r="Q370">
        <v>4329.1931799999993</v>
      </c>
      <c r="R370" t="s">
        <v>1177</v>
      </c>
    </row>
    <row r="371" spans="8:18" x14ac:dyDescent="0.25">
      <c r="H371" t="s">
        <v>938</v>
      </c>
      <c r="I371">
        <v>160.35679999999999</v>
      </c>
      <c r="J371">
        <v>0.79499999999999993</v>
      </c>
      <c r="K371">
        <v>18379.713579999992</v>
      </c>
      <c r="L371" t="s">
        <v>160</v>
      </c>
      <c r="N371" t="s">
        <v>1041</v>
      </c>
      <c r="O371">
        <v>173.70115999999999</v>
      </c>
      <c r="P371">
        <v>0.7400000000000001</v>
      </c>
      <c r="Q371">
        <v>4502.8943399999989</v>
      </c>
      <c r="R371" t="s">
        <v>1177</v>
      </c>
    </row>
    <row r="372" spans="8:18" x14ac:dyDescent="0.25">
      <c r="H372" t="s">
        <v>1012</v>
      </c>
      <c r="I372">
        <v>224.03713999999999</v>
      </c>
      <c r="J372">
        <v>0.79500000000000004</v>
      </c>
      <c r="K372">
        <v>18603.750719999993</v>
      </c>
      <c r="L372" t="s">
        <v>160</v>
      </c>
      <c r="N372" t="s">
        <v>1040</v>
      </c>
      <c r="O372">
        <v>173.54987999999997</v>
      </c>
      <c r="P372">
        <v>0.7400000000000001</v>
      </c>
      <c r="Q372">
        <v>4676.4442199999985</v>
      </c>
      <c r="R372" t="s">
        <v>1177</v>
      </c>
    </row>
    <row r="373" spans="8:18" x14ac:dyDescent="0.25">
      <c r="H373" t="s">
        <v>964</v>
      </c>
      <c r="I373">
        <v>224.03713999999999</v>
      </c>
      <c r="J373">
        <v>0.79500000000000004</v>
      </c>
      <c r="K373">
        <v>18827.787859999993</v>
      </c>
      <c r="L373" t="s">
        <v>160</v>
      </c>
      <c r="N373" t="s">
        <v>1059</v>
      </c>
      <c r="O373">
        <v>160.35679999999999</v>
      </c>
      <c r="P373">
        <v>0.745</v>
      </c>
      <c r="Q373">
        <v>4836.8010199999981</v>
      </c>
      <c r="R373" t="s">
        <v>1177</v>
      </c>
    </row>
    <row r="374" spans="8:18" x14ac:dyDescent="0.25">
      <c r="H374" t="s">
        <v>882</v>
      </c>
      <c r="I374">
        <v>224.34579999999997</v>
      </c>
      <c r="J374">
        <v>0.79500000000000004</v>
      </c>
      <c r="K374">
        <v>19052.133659999992</v>
      </c>
      <c r="L374" t="s">
        <v>160</v>
      </c>
      <c r="N374" t="s">
        <v>1077</v>
      </c>
      <c r="O374">
        <v>160.35679999999999</v>
      </c>
      <c r="P374">
        <v>0.745</v>
      </c>
      <c r="Q374">
        <v>4997.1578199999976</v>
      </c>
      <c r="R374" t="s">
        <v>1177</v>
      </c>
    </row>
    <row r="375" spans="8:18" x14ac:dyDescent="0.25">
      <c r="H375" t="s">
        <v>891</v>
      </c>
      <c r="I375">
        <v>224.34579999999997</v>
      </c>
      <c r="J375">
        <v>0.79500000000000004</v>
      </c>
      <c r="K375">
        <v>19276.479459999991</v>
      </c>
      <c r="L375" t="s">
        <v>160</v>
      </c>
      <c r="N375" t="s">
        <v>934</v>
      </c>
      <c r="O375">
        <v>158.0754</v>
      </c>
      <c r="P375">
        <v>0.745</v>
      </c>
      <c r="Q375">
        <v>5155.2332199999973</v>
      </c>
      <c r="R375" t="s">
        <v>1177</v>
      </c>
    </row>
    <row r="376" spans="8:18" x14ac:dyDescent="0.25">
      <c r="H376" t="s">
        <v>860</v>
      </c>
      <c r="I376">
        <v>155.17179999999999</v>
      </c>
      <c r="J376">
        <v>0.79999999999999993</v>
      </c>
      <c r="K376">
        <v>19431.651259999991</v>
      </c>
      <c r="L376" t="s">
        <v>160</v>
      </c>
      <c r="N376" t="s">
        <v>1105</v>
      </c>
      <c r="O376">
        <v>160.50319999999999</v>
      </c>
      <c r="P376">
        <v>0.745</v>
      </c>
      <c r="Q376">
        <v>5315.7364199999975</v>
      </c>
      <c r="R376" t="s">
        <v>1177</v>
      </c>
    </row>
    <row r="377" spans="8:18" x14ac:dyDescent="0.25">
      <c r="H377" t="s">
        <v>869</v>
      </c>
      <c r="I377">
        <v>155.0864</v>
      </c>
      <c r="J377">
        <v>0.79999999999999993</v>
      </c>
      <c r="K377">
        <v>19586.737659999992</v>
      </c>
      <c r="L377" t="s">
        <v>161</v>
      </c>
      <c r="N377" t="s">
        <v>994</v>
      </c>
      <c r="O377">
        <v>175.66658000000001</v>
      </c>
      <c r="P377">
        <v>0.745</v>
      </c>
      <c r="Q377">
        <v>5491.4029999999975</v>
      </c>
      <c r="R377" t="s">
        <v>1177</v>
      </c>
    </row>
    <row r="378" spans="8:18" x14ac:dyDescent="0.25">
      <c r="H378" t="s">
        <v>880</v>
      </c>
      <c r="I378">
        <v>155.17179999999999</v>
      </c>
      <c r="J378">
        <v>0.79999999999999993</v>
      </c>
      <c r="K378">
        <v>19741.909459999992</v>
      </c>
      <c r="L378" t="s">
        <v>161</v>
      </c>
      <c r="N378" t="s">
        <v>942</v>
      </c>
      <c r="O378">
        <v>160.28359999999998</v>
      </c>
      <c r="P378">
        <v>0.745</v>
      </c>
      <c r="Q378">
        <v>5651.6865999999973</v>
      </c>
      <c r="R378" t="s">
        <v>1177</v>
      </c>
    </row>
    <row r="379" spans="8:18" x14ac:dyDescent="0.25">
      <c r="H379" t="s">
        <v>825</v>
      </c>
      <c r="I379">
        <v>200.61192</v>
      </c>
      <c r="J379">
        <v>0.8</v>
      </c>
      <c r="K379">
        <v>19942.521379999991</v>
      </c>
      <c r="L379" t="s">
        <v>161</v>
      </c>
      <c r="N379" t="s">
        <v>821</v>
      </c>
      <c r="O379">
        <v>224.03713999999999</v>
      </c>
      <c r="P379">
        <v>0.745</v>
      </c>
      <c r="Q379">
        <v>5875.7237399999976</v>
      </c>
      <c r="R379" t="s">
        <v>1177</v>
      </c>
    </row>
    <row r="380" spans="8:18" x14ac:dyDescent="0.25">
      <c r="H380" t="s">
        <v>851</v>
      </c>
      <c r="I380">
        <v>200.58874</v>
      </c>
      <c r="J380">
        <v>0.8</v>
      </c>
      <c r="K380">
        <v>20143.11011999999</v>
      </c>
      <c r="L380" t="s">
        <v>161</v>
      </c>
      <c r="N380" t="s">
        <v>857</v>
      </c>
      <c r="O380">
        <v>160.35679999999999</v>
      </c>
      <c r="P380">
        <v>0.745</v>
      </c>
      <c r="Q380">
        <v>6036.0805399999972</v>
      </c>
      <c r="R380" t="s">
        <v>1177</v>
      </c>
    </row>
    <row r="381" spans="8:18" x14ac:dyDescent="0.25">
      <c r="H381" t="s">
        <v>903</v>
      </c>
      <c r="I381">
        <v>222.72319999999999</v>
      </c>
      <c r="J381">
        <v>0.80500000000000005</v>
      </c>
      <c r="K381">
        <v>20365.833319999991</v>
      </c>
      <c r="L381" t="s">
        <v>161</v>
      </c>
      <c r="N381" t="s">
        <v>1024</v>
      </c>
      <c r="O381">
        <v>224.03713999999999</v>
      </c>
      <c r="P381">
        <v>0.745</v>
      </c>
      <c r="Q381">
        <v>6260.1176799999976</v>
      </c>
      <c r="R381" t="s">
        <v>1177</v>
      </c>
    </row>
    <row r="382" spans="8:18" x14ac:dyDescent="0.25">
      <c r="H382" t="s">
        <v>889</v>
      </c>
      <c r="I382">
        <v>222.72319999999999</v>
      </c>
      <c r="J382">
        <v>0.80500000000000005</v>
      </c>
      <c r="K382">
        <v>20588.556519999991</v>
      </c>
      <c r="L382" t="s">
        <v>161</v>
      </c>
      <c r="N382" t="s">
        <v>751</v>
      </c>
      <c r="O382">
        <v>118.4498</v>
      </c>
      <c r="P382">
        <v>0.74500000000000011</v>
      </c>
      <c r="Q382">
        <v>6378.5674799999979</v>
      </c>
      <c r="R382" t="s">
        <v>1177</v>
      </c>
    </row>
    <row r="383" spans="8:18" x14ac:dyDescent="0.25">
      <c r="H383" t="s">
        <v>813</v>
      </c>
      <c r="I383">
        <v>228.38888</v>
      </c>
      <c r="J383">
        <v>0.80500000000000005</v>
      </c>
      <c r="K383">
        <v>20816.94539999999</v>
      </c>
      <c r="L383" t="s">
        <v>161</v>
      </c>
      <c r="N383" t="s">
        <v>750</v>
      </c>
      <c r="O383">
        <v>108.64099999999999</v>
      </c>
      <c r="P383">
        <v>0.74500000000000011</v>
      </c>
      <c r="Q383">
        <v>6487.2084799999975</v>
      </c>
      <c r="R383" t="s">
        <v>1177</v>
      </c>
    </row>
    <row r="384" spans="8:18" x14ac:dyDescent="0.25">
      <c r="H384" t="s">
        <v>981</v>
      </c>
      <c r="I384">
        <v>228.38888</v>
      </c>
      <c r="J384">
        <v>0.80500000000000005</v>
      </c>
      <c r="K384">
        <v>21045.334279999988</v>
      </c>
      <c r="L384" t="s">
        <v>161</v>
      </c>
      <c r="N384" t="s">
        <v>741</v>
      </c>
      <c r="O384">
        <v>108.64099999999999</v>
      </c>
      <c r="P384">
        <v>0.74500000000000011</v>
      </c>
      <c r="Q384">
        <v>6595.8494799999971</v>
      </c>
      <c r="R384" t="s">
        <v>1178</v>
      </c>
    </row>
    <row r="385" spans="8:18" x14ac:dyDescent="0.25">
      <c r="H385" t="s">
        <v>812</v>
      </c>
      <c r="I385">
        <v>175.55311999999998</v>
      </c>
      <c r="J385">
        <v>0.80500000000000005</v>
      </c>
      <c r="K385">
        <v>21220.887399999989</v>
      </c>
      <c r="L385" t="s">
        <v>161</v>
      </c>
      <c r="N385" t="s">
        <v>1004</v>
      </c>
      <c r="O385">
        <v>172.71784</v>
      </c>
      <c r="P385">
        <v>0.75</v>
      </c>
      <c r="Q385">
        <v>6768.5673199999974</v>
      </c>
      <c r="R385" t="s">
        <v>1178</v>
      </c>
    </row>
    <row r="386" spans="8:18" x14ac:dyDescent="0.25">
      <c r="H386" t="s">
        <v>982</v>
      </c>
      <c r="I386">
        <v>175.57141999999999</v>
      </c>
      <c r="J386">
        <v>0.80500000000000005</v>
      </c>
      <c r="K386">
        <v>21396.458819999989</v>
      </c>
      <c r="L386" t="s">
        <v>161</v>
      </c>
      <c r="N386" t="s">
        <v>793</v>
      </c>
      <c r="O386">
        <v>172.71784</v>
      </c>
      <c r="P386">
        <v>0.75</v>
      </c>
      <c r="Q386">
        <v>6941.2851599999976</v>
      </c>
      <c r="R386" t="s">
        <v>1178</v>
      </c>
    </row>
    <row r="387" spans="8:18" x14ac:dyDescent="0.25">
      <c r="H387" t="s">
        <v>873</v>
      </c>
      <c r="I387">
        <v>155.11079999999998</v>
      </c>
      <c r="J387">
        <v>0.80999999999999994</v>
      </c>
      <c r="K387">
        <v>21551.569619999987</v>
      </c>
      <c r="L387" t="s">
        <v>161</v>
      </c>
      <c r="N387" t="s">
        <v>792</v>
      </c>
      <c r="O387">
        <v>172.56412</v>
      </c>
      <c r="P387">
        <v>0.75</v>
      </c>
      <c r="Q387">
        <v>7113.8492799999976</v>
      </c>
      <c r="R387" t="s">
        <v>1178</v>
      </c>
    </row>
    <row r="388" spans="8:18" x14ac:dyDescent="0.25">
      <c r="H388" t="s">
        <v>863</v>
      </c>
      <c r="I388">
        <v>152.32919999999999</v>
      </c>
      <c r="J388">
        <v>0.80999999999999994</v>
      </c>
      <c r="K388">
        <v>21703.898819999988</v>
      </c>
      <c r="L388" t="s">
        <v>161</v>
      </c>
      <c r="N388" t="s">
        <v>1003</v>
      </c>
      <c r="O388">
        <v>172.56412</v>
      </c>
      <c r="P388">
        <v>0.75</v>
      </c>
      <c r="Q388">
        <v>7286.4133999999976</v>
      </c>
      <c r="R388" t="s">
        <v>1178</v>
      </c>
    </row>
    <row r="389" spans="8:18" x14ac:dyDescent="0.25">
      <c r="H389" t="s">
        <v>854</v>
      </c>
      <c r="I389">
        <v>155.11079999999998</v>
      </c>
      <c r="J389">
        <v>0.80999999999999994</v>
      </c>
      <c r="K389">
        <v>21859.009619999986</v>
      </c>
      <c r="L389" t="s">
        <v>161</v>
      </c>
      <c r="N389" t="s">
        <v>963</v>
      </c>
      <c r="O389">
        <v>198.59281999999999</v>
      </c>
      <c r="P389">
        <v>0.75000000000000011</v>
      </c>
      <c r="Q389">
        <v>7485.0062199999975</v>
      </c>
      <c r="R389" t="s">
        <v>1178</v>
      </c>
    </row>
    <row r="390" spans="8:18" x14ac:dyDescent="0.25">
      <c r="H390" t="s">
        <v>864</v>
      </c>
      <c r="I390">
        <v>148.42519999999999</v>
      </c>
      <c r="J390">
        <v>0.80999999999999994</v>
      </c>
      <c r="K390">
        <v>22007.434819999988</v>
      </c>
      <c r="L390" t="s">
        <v>161</v>
      </c>
      <c r="N390" t="s">
        <v>944</v>
      </c>
      <c r="O390">
        <v>198.64771999999999</v>
      </c>
      <c r="P390">
        <v>0.75000000000000011</v>
      </c>
      <c r="Q390">
        <v>7683.6539399999974</v>
      </c>
      <c r="R390" t="s">
        <v>1178</v>
      </c>
    </row>
    <row r="391" spans="8:18" x14ac:dyDescent="0.25">
      <c r="H391" t="s">
        <v>948</v>
      </c>
      <c r="I391">
        <v>204.00108</v>
      </c>
      <c r="J391">
        <v>0.81</v>
      </c>
      <c r="K391">
        <v>22211.435899999989</v>
      </c>
      <c r="L391" t="s">
        <v>159</v>
      </c>
      <c r="N391" t="s">
        <v>936</v>
      </c>
      <c r="O391">
        <v>160.34460000000001</v>
      </c>
      <c r="P391">
        <v>0.755</v>
      </c>
      <c r="Q391">
        <v>7843.9985399999978</v>
      </c>
      <c r="R391" t="s">
        <v>1178</v>
      </c>
    </row>
    <row r="392" spans="8:18" x14ac:dyDescent="0.25">
      <c r="H392" t="s">
        <v>839</v>
      </c>
      <c r="I392">
        <v>173.70115999999999</v>
      </c>
      <c r="J392">
        <v>0.81</v>
      </c>
      <c r="K392">
        <v>22385.13705999999</v>
      </c>
      <c r="L392" t="s">
        <v>159</v>
      </c>
      <c r="N392" t="s">
        <v>862</v>
      </c>
      <c r="O392">
        <v>300.96179999999998</v>
      </c>
      <c r="P392">
        <v>0.755</v>
      </c>
      <c r="Q392">
        <v>8144.9603399999978</v>
      </c>
      <c r="R392" t="s">
        <v>1178</v>
      </c>
    </row>
    <row r="393" spans="8:18" x14ac:dyDescent="0.25">
      <c r="H393" t="s">
        <v>838</v>
      </c>
      <c r="I393">
        <v>173.54987999999997</v>
      </c>
      <c r="J393">
        <v>0.81</v>
      </c>
      <c r="K393">
        <v>22558.686939999989</v>
      </c>
      <c r="L393" t="s">
        <v>159</v>
      </c>
      <c r="N393" t="s">
        <v>433</v>
      </c>
      <c r="O393">
        <v>308.83079999999995</v>
      </c>
      <c r="P393">
        <v>0.755</v>
      </c>
      <c r="Q393">
        <v>8453.7911399999975</v>
      </c>
      <c r="R393" t="s">
        <v>1178</v>
      </c>
    </row>
    <row r="394" spans="8:18" x14ac:dyDescent="0.25">
      <c r="H394" t="s">
        <v>967</v>
      </c>
      <c r="I394">
        <v>203.94618</v>
      </c>
      <c r="J394">
        <v>0.81</v>
      </c>
      <c r="K394">
        <v>22762.633119999988</v>
      </c>
      <c r="L394" t="s">
        <v>159</v>
      </c>
      <c r="N394" t="s">
        <v>847</v>
      </c>
      <c r="O394">
        <v>203.94618</v>
      </c>
      <c r="P394">
        <v>0.76</v>
      </c>
      <c r="Q394">
        <v>8657.7373199999984</v>
      </c>
      <c r="R394" t="s">
        <v>1178</v>
      </c>
    </row>
    <row r="395" spans="8:18" x14ac:dyDescent="0.25">
      <c r="H395" t="s">
        <v>879</v>
      </c>
      <c r="I395">
        <v>160.28359999999998</v>
      </c>
      <c r="J395">
        <v>0.81500000000000006</v>
      </c>
      <c r="K395">
        <v>22922.916719999987</v>
      </c>
      <c r="L395" t="s">
        <v>159</v>
      </c>
      <c r="N395" t="s">
        <v>823</v>
      </c>
      <c r="O395">
        <v>204.00108</v>
      </c>
      <c r="P395">
        <v>0.76</v>
      </c>
      <c r="Q395">
        <v>8861.7383999999984</v>
      </c>
      <c r="R395" t="s">
        <v>1178</v>
      </c>
    </row>
    <row r="396" spans="8:18" x14ac:dyDescent="0.25">
      <c r="H396" t="s">
        <v>883</v>
      </c>
      <c r="I396">
        <v>223.97980000000001</v>
      </c>
      <c r="J396">
        <v>0.81500000000000006</v>
      </c>
      <c r="K396">
        <v>23146.896519999988</v>
      </c>
      <c r="L396" t="s">
        <v>159</v>
      </c>
      <c r="N396" t="s">
        <v>970</v>
      </c>
      <c r="O396">
        <v>198.18167999999997</v>
      </c>
      <c r="P396">
        <v>0.76000000000000012</v>
      </c>
      <c r="Q396">
        <v>9059.9200799999981</v>
      </c>
      <c r="R396" t="s">
        <v>1178</v>
      </c>
    </row>
    <row r="397" spans="8:18" x14ac:dyDescent="0.25">
      <c r="H397" t="s">
        <v>894</v>
      </c>
      <c r="I397">
        <v>223.97980000000001</v>
      </c>
      <c r="J397">
        <v>0.81500000000000006</v>
      </c>
      <c r="K397">
        <v>23370.876319999988</v>
      </c>
      <c r="L397" t="s">
        <v>159</v>
      </c>
      <c r="N397" t="s">
        <v>952</v>
      </c>
      <c r="O397">
        <v>198.23779999999999</v>
      </c>
      <c r="P397">
        <v>0.76000000000000012</v>
      </c>
      <c r="Q397">
        <v>9258.1578799999988</v>
      </c>
      <c r="R397" t="s">
        <v>1179</v>
      </c>
    </row>
    <row r="398" spans="8:18" x14ac:dyDescent="0.25">
      <c r="H398" t="s">
        <v>870</v>
      </c>
      <c r="I398">
        <v>158.0754</v>
      </c>
      <c r="J398">
        <v>0.81500000000000006</v>
      </c>
      <c r="K398">
        <v>23528.95171999999</v>
      </c>
      <c r="L398" t="s">
        <v>159</v>
      </c>
      <c r="N398" t="s">
        <v>809</v>
      </c>
      <c r="O398">
        <v>228.262</v>
      </c>
      <c r="P398">
        <v>0.76500000000000001</v>
      </c>
      <c r="Q398">
        <v>9486.4198799999995</v>
      </c>
      <c r="R398" t="s">
        <v>1179</v>
      </c>
    </row>
    <row r="399" spans="8:18" x14ac:dyDescent="0.25">
      <c r="H399" t="s">
        <v>957</v>
      </c>
      <c r="I399">
        <v>172.71784</v>
      </c>
      <c r="J399">
        <v>0.82000000000000006</v>
      </c>
      <c r="K399">
        <v>23701.669559999991</v>
      </c>
      <c r="L399" t="s">
        <v>159</v>
      </c>
      <c r="N399" t="s">
        <v>978</v>
      </c>
      <c r="O399">
        <v>228.26566</v>
      </c>
      <c r="P399">
        <v>0.76500000000000001</v>
      </c>
      <c r="Q399">
        <v>9714.6855399999986</v>
      </c>
      <c r="R399" t="s">
        <v>1179</v>
      </c>
    </row>
    <row r="400" spans="8:18" x14ac:dyDescent="0.25">
      <c r="H400" t="s">
        <v>956</v>
      </c>
      <c r="I400">
        <v>172.56412</v>
      </c>
      <c r="J400">
        <v>0.82000000000000006</v>
      </c>
      <c r="K400">
        <v>23874.23367999999</v>
      </c>
      <c r="L400" t="s">
        <v>159</v>
      </c>
      <c r="N400" t="s">
        <v>979</v>
      </c>
      <c r="O400">
        <v>175.66658000000001</v>
      </c>
      <c r="P400">
        <v>0.76500000000000001</v>
      </c>
      <c r="Q400">
        <v>9890.3521199999977</v>
      </c>
      <c r="R400" t="s">
        <v>1179</v>
      </c>
    </row>
    <row r="401" spans="8:18" x14ac:dyDescent="0.25">
      <c r="H401" t="s">
        <v>1029</v>
      </c>
      <c r="I401">
        <v>228.38888</v>
      </c>
      <c r="J401">
        <v>0.82500000000000007</v>
      </c>
      <c r="K401">
        <v>24102.622559999989</v>
      </c>
      <c r="L401" t="s">
        <v>159</v>
      </c>
      <c r="N401" t="s">
        <v>808</v>
      </c>
      <c r="O401">
        <v>175.66658000000001</v>
      </c>
      <c r="P401">
        <v>0.76500000000000001</v>
      </c>
      <c r="Q401">
        <v>10066.018699999997</v>
      </c>
      <c r="R401" t="s">
        <v>1179</v>
      </c>
    </row>
    <row r="402" spans="8:18" x14ac:dyDescent="0.25">
      <c r="H402" t="s">
        <v>872</v>
      </c>
      <c r="I402">
        <v>160.34460000000001</v>
      </c>
      <c r="J402">
        <v>0.82500000000000007</v>
      </c>
      <c r="K402">
        <v>24262.967159999989</v>
      </c>
      <c r="L402" t="s">
        <v>159</v>
      </c>
      <c r="N402" t="s">
        <v>740</v>
      </c>
      <c r="O402">
        <v>134.3708</v>
      </c>
      <c r="P402">
        <v>0.76500000000000012</v>
      </c>
      <c r="Q402">
        <v>10200.389499999997</v>
      </c>
      <c r="R402" t="s">
        <v>1179</v>
      </c>
    </row>
    <row r="403" spans="8:18" x14ac:dyDescent="0.25">
      <c r="H403" t="s">
        <v>826</v>
      </c>
      <c r="I403">
        <v>228.38888</v>
      </c>
      <c r="J403">
        <v>0.82500000000000007</v>
      </c>
      <c r="K403">
        <v>24491.356039999988</v>
      </c>
      <c r="L403" t="s">
        <v>159</v>
      </c>
      <c r="N403" t="s">
        <v>951</v>
      </c>
      <c r="O403">
        <v>228.38888</v>
      </c>
      <c r="P403">
        <v>0.76900000000000013</v>
      </c>
      <c r="Q403">
        <v>10428.778379999998</v>
      </c>
      <c r="R403" t="s">
        <v>1179</v>
      </c>
    </row>
    <row r="404" spans="8:18" x14ac:dyDescent="0.25">
      <c r="H404" t="s">
        <v>884</v>
      </c>
      <c r="I404">
        <v>204.81359999999998</v>
      </c>
      <c r="J404">
        <v>0.83</v>
      </c>
      <c r="K404">
        <v>24696.169639999989</v>
      </c>
      <c r="L404" t="s">
        <v>159</v>
      </c>
      <c r="N404" t="s">
        <v>835</v>
      </c>
      <c r="O404">
        <v>172.56412</v>
      </c>
      <c r="P404">
        <v>0.77</v>
      </c>
      <c r="Q404">
        <v>10601.342499999999</v>
      </c>
      <c r="R404" t="s">
        <v>1179</v>
      </c>
    </row>
    <row r="405" spans="8:18" x14ac:dyDescent="0.25">
      <c r="H405" t="s">
        <v>898</v>
      </c>
      <c r="I405">
        <v>204.81359999999998</v>
      </c>
      <c r="J405">
        <v>0.83</v>
      </c>
      <c r="K405">
        <v>24900.98323999999</v>
      </c>
      <c r="L405" t="s">
        <v>159</v>
      </c>
      <c r="N405" t="s">
        <v>1060</v>
      </c>
      <c r="O405">
        <v>154.9034</v>
      </c>
      <c r="P405">
        <v>0.77</v>
      </c>
      <c r="Q405">
        <v>10756.245899999998</v>
      </c>
      <c r="R405" t="s">
        <v>1179</v>
      </c>
    </row>
    <row r="406" spans="8:18" x14ac:dyDescent="0.25">
      <c r="H406" t="s">
        <v>1015</v>
      </c>
      <c r="I406">
        <v>228.262</v>
      </c>
      <c r="J406">
        <v>0.83499999999999996</v>
      </c>
      <c r="K406">
        <v>25129.245239999989</v>
      </c>
      <c r="L406" t="s">
        <v>159</v>
      </c>
      <c r="N406" t="s">
        <v>836</v>
      </c>
      <c r="O406">
        <v>172.71784</v>
      </c>
      <c r="P406">
        <v>0.77</v>
      </c>
      <c r="Q406">
        <v>10928.963739999997</v>
      </c>
      <c r="R406" t="s">
        <v>1179</v>
      </c>
    </row>
    <row r="407" spans="8:18" x14ac:dyDescent="0.25">
      <c r="H407" t="s">
        <v>966</v>
      </c>
      <c r="I407">
        <v>228.262</v>
      </c>
      <c r="J407">
        <v>0.83499999999999996</v>
      </c>
      <c r="K407">
        <v>25357.507239999988</v>
      </c>
      <c r="L407" t="s">
        <v>164</v>
      </c>
      <c r="N407" t="s">
        <v>881</v>
      </c>
      <c r="O407">
        <v>199.28699999999998</v>
      </c>
      <c r="P407">
        <v>0.77</v>
      </c>
      <c r="Q407">
        <v>11128.250739999998</v>
      </c>
      <c r="R407" t="s">
        <v>1179</v>
      </c>
    </row>
    <row r="408" spans="8:18" x14ac:dyDescent="0.25">
      <c r="H408" t="s">
        <v>940</v>
      </c>
      <c r="I408">
        <v>160.34460000000001</v>
      </c>
      <c r="J408">
        <v>0.83499999999999996</v>
      </c>
      <c r="K408">
        <v>25517.851839999988</v>
      </c>
      <c r="L408" t="s">
        <v>164</v>
      </c>
      <c r="N408" t="s">
        <v>1069</v>
      </c>
      <c r="O408">
        <v>159.84440000000001</v>
      </c>
      <c r="P408">
        <v>0.77</v>
      </c>
      <c r="Q408">
        <v>11288.095139999998</v>
      </c>
      <c r="R408" t="s">
        <v>1179</v>
      </c>
    </row>
    <row r="409" spans="8:18" x14ac:dyDescent="0.25">
      <c r="H409" t="s">
        <v>905</v>
      </c>
      <c r="I409">
        <v>199.28699999999998</v>
      </c>
      <c r="J409">
        <v>0.84</v>
      </c>
      <c r="K409">
        <v>25717.138839999989</v>
      </c>
      <c r="L409" t="s">
        <v>164</v>
      </c>
      <c r="N409" t="s">
        <v>1070</v>
      </c>
      <c r="O409">
        <v>154.78139999999999</v>
      </c>
      <c r="P409">
        <v>0.77</v>
      </c>
      <c r="Q409">
        <v>11442.876539999997</v>
      </c>
      <c r="R409" t="s">
        <v>1179</v>
      </c>
    </row>
    <row r="410" spans="8:18" x14ac:dyDescent="0.25">
      <c r="H410" t="s">
        <v>932</v>
      </c>
      <c r="I410">
        <v>160.69839999999999</v>
      </c>
      <c r="J410">
        <v>0.84</v>
      </c>
      <c r="K410">
        <v>25877.83723999999</v>
      </c>
      <c r="L410" t="s">
        <v>164</v>
      </c>
      <c r="N410" t="s">
        <v>1117</v>
      </c>
      <c r="O410">
        <v>154.7936</v>
      </c>
      <c r="P410">
        <v>0.77</v>
      </c>
      <c r="Q410">
        <v>11597.670139999998</v>
      </c>
      <c r="R410" t="s">
        <v>1179</v>
      </c>
    </row>
    <row r="411" spans="8:18" x14ac:dyDescent="0.25">
      <c r="H411" t="s">
        <v>791</v>
      </c>
      <c r="I411">
        <v>199.28699999999998</v>
      </c>
      <c r="J411">
        <v>0.84</v>
      </c>
      <c r="K411">
        <v>26077.12423999999</v>
      </c>
      <c r="L411" t="s">
        <v>164</v>
      </c>
      <c r="N411" t="s">
        <v>1079</v>
      </c>
      <c r="O411">
        <v>154.9034</v>
      </c>
      <c r="P411">
        <v>0.77</v>
      </c>
      <c r="Q411">
        <v>11752.573539999998</v>
      </c>
      <c r="R411" t="s">
        <v>1179</v>
      </c>
    </row>
    <row r="412" spans="8:18" x14ac:dyDescent="0.25">
      <c r="H412" t="s">
        <v>924</v>
      </c>
      <c r="I412">
        <v>156.5016</v>
      </c>
      <c r="J412">
        <v>0.84000000000000008</v>
      </c>
      <c r="K412">
        <v>26233.62583999999</v>
      </c>
      <c r="L412" t="s">
        <v>164</v>
      </c>
      <c r="N412" t="s">
        <v>1106</v>
      </c>
      <c r="O412">
        <v>154.7936</v>
      </c>
      <c r="P412">
        <v>0.77</v>
      </c>
      <c r="Q412">
        <v>11907.367139999998</v>
      </c>
      <c r="R412" t="s">
        <v>1179</v>
      </c>
    </row>
    <row r="413" spans="8:18" x14ac:dyDescent="0.25">
      <c r="H413" t="s">
        <v>925</v>
      </c>
      <c r="I413">
        <v>152.53659999999999</v>
      </c>
      <c r="J413">
        <v>0.84000000000000008</v>
      </c>
      <c r="K413">
        <v>26386.162439999989</v>
      </c>
      <c r="L413" t="s">
        <v>164</v>
      </c>
      <c r="N413" t="s">
        <v>892</v>
      </c>
      <c r="O413">
        <v>199.28699999999998</v>
      </c>
      <c r="P413">
        <v>0.77</v>
      </c>
      <c r="Q413">
        <v>12106.654139999999</v>
      </c>
      <c r="R413" t="s">
        <v>1180</v>
      </c>
    </row>
    <row r="414" spans="8:18" x14ac:dyDescent="0.25">
      <c r="H414" t="s">
        <v>914</v>
      </c>
      <c r="I414">
        <v>152.60980000000001</v>
      </c>
      <c r="J414">
        <v>0.84000000000000008</v>
      </c>
      <c r="K414">
        <v>26538.772239999988</v>
      </c>
      <c r="L414" t="s">
        <v>164</v>
      </c>
      <c r="N414" t="s">
        <v>946</v>
      </c>
      <c r="O414">
        <v>198.34271999999999</v>
      </c>
      <c r="P414">
        <v>0.77000000000000013</v>
      </c>
      <c r="Q414">
        <v>12304.996859999999</v>
      </c>
      <c r="R414" t="s">
        <v>1180</v>
      </c>
    </row>
    <row r="415" spans="8:18" x14ac:dyDescent="0.25">
      <c r="H415" t="s">
        <v>935</v>
      </c>
      <c r="I415">
        <v>152.60980000000001</v>
      </c>
      <c r="J415">
        <v>0.84000000000000008</v>
      </c>
      <c r="K415">
        <v>26691.382039999986</v>
      </c>
      <c r="L415" t="s">
        <v>164</v>
      </c>
      <c r="N415" t="s">
        <v>960</v>
      </c>
      <c r="O415">
        <v>172.67147999999997</v>
      </c>
      <c r="P415">
        <v>0.77000000000000013</v>
      </c>
      <c r="Q415">
        <v>12477.66834</v>
      </c>
      <c r="R415" t="s">
        <v>1180</v>
      </c>
    </row>
    <row r="416" spans="8:18" x14ac:dyDescent="0.25">
      <c r="H416" t="s">
        <v>987</v>
      </c>
      <c r="I416">
        <v>224.34214</v>
      </c>
      <c r="J416">
        <v>0.84500000000000008</v>
      </c>
      <c r="K416">
        <v>26915.724179999987</v>
      </c>
      <c r="L416" t="s">
        <v>164</v>
      </c>
      <c r="N416" t="s">
        <v>961</v>
      </c>
      <c r="O416">
        <v>172.82397999999998</v>
      </c>
      <c r="P416">
        <v>0.77000000000000013</v>
      </c>
      <c r="Q416">
        <v>12650.492319999999</v>
      </c>
      <c r="R416" t="s">
        <v>1180</v>
      </c>
    </row>
    <row r="417" spans="8:18" x14ac:dyDescent="0.25">
      <c r="H417" t="s">
        <v>933</v>
      </c>
      <c r="I417">
        <v>155.0864</v>
      </c>
      <c r="J417">
        <v>0.85</v>
      </c>
      <c r="K417">
        <v>27070.810579999987</v>
      </c>
      <c r="L417" t="s">
        <v>164</v>
      </c>
      <c r="N417" t="s">
        <v>965</v>
      </c>
      <c r="O417">
        <v>198.28782000000001</v>
      </c>
      <c r="P417">
        <v>0.77000000000000013</v>
      </c>
      <c r="Q417">
        <v>12848.780139999999</v>
      </c>
      <c r="R417" t="s">
        <v>1180</v>
      </c>
    </row>
    <row r="418" spans="8:18" x14ac:dyDescent="0.25">
      <c r="H418" t="s">
        <v>845</v>
      </c>
      <c r="I418">
        <v>199.28699999999998</v>
      </c>
      <c r="J418">
        <v>0.85</v>
      </c>
      <c r="K418">
        <v>27270.097579999987</v>
      </c>
      <c r="L418" t="s">
        <v>164</v>
      </c>
      <c r="N418" t="s">
        <v>1050</v>
      </c>
      <c r="O418">
        <v>228.38888</v>
      </c>
      <c r="P418">
        <v>0.77500000000000002</v>
      </c>
      <c r="Q418">
        <v>13077.169019999999</v>
      </c>
      <c r="R418" t="s">
        <v>1180</v>
      </c>
    </row>
    <row r="419" spans="8:18" x14ac:dyDescent="0.25">
      <c r="H419" t="s">
        <v>913</v>
      </c>
      <c r="I419">
        <v>199.28699999999998</v>
      </c>
      <c r="J419">
        <v>0.85</v>
      </c>
      <c r="K419">
        <v>27469.384579999987</v>
      </c>
      <c r="L419" t="s">
        <v>164</v>
      </c>
      <c r="N419" t="s">
        <v>962</v>
      </c>
      <c r="O419">
        <v>224.34214</v>
      </c>
      <c r="P419">
        <v>0.77500000000000002</v>
      </c>
      <c r="Q419">
        <v>13301.51116</v>
      </c>
      <c r="R419" t="s">
        <v>1180</v>
      </c>
    </row>
    <row r="420" spans="8:18" x14ac:dyDescent="0.25">
      <c r="H420" t="s">
        <v>943</v>
      </c>
      <c r="I420">
        <v>155.17179999999999</v>
      </c>
      <c r="J420">
        <v>0.85</v>
      </c>
      <c r="K420">
        <v>27624.556379999987</v>
      </c>
      <c r="L420" t="s">
        <v>164</v>
      </c>
      <c r="N420" t="s">
        <v>1009</v>
      </c>
      <c r="O420">
        <v>224.34214</v>
      </c>
      <c r="P420">
        <v>0.77500000000000002</v>
      </c>
      <c r="Q420">
        <v>13525.853300000001</v>
      </c>
      <c r="R420" t="s">
        <v>1180</v>
      </c>
    </row>
    <row r="421" spans="8:18" x14ac:dyDescent="0.25">
      <c r="H421" t="s">
        <v>922</v>
      </c>
      <c r="I421">
        <v>155.17179999999999</v>
      </c>
      <c r="J421">
        <v>0.85</v>
      </c>
      <c r="K421">
        <v>27779.728179999987</v>
      </c>
      <c r="L421" t="s">
        <v>164</v>
      </c>
      <c r="N421" t="s">
        <v>1030</v>
      </c>
      <c r="O421">
        <v>175.57141999999999</v>
      </c>
      <c r="P421">
        <v>0.77900000000000014</v>
      </c>
      <c r="Q421">
        <v>13701.424720000001</v>
      </c>
      <c r="R421" t="s">
        <v>1180</v>
      </c>
    </row>
    <row r="422" spans="8:18" x14ac:dyDescent="0.25">
      <c r="H422" t="s">
        <v>865</v>
      </c>
      <c r="I422">
        <v>159.85659999999999</v>
      </c>
      <c r="J422">
        <v>0.85</v>
      </c>
      <c r="K422">
        <v>27939.584779999986</v>
      </c>
      <c r="L422" t="s">
        <v>164</v>
      </c>
      <c r="N422" t="s">
        <v>468</v>
      </c>
      <c r="O422">
        <v>199.28699999999998</v>
      </c>
      <c r="P422">
        <v>0.77999999999999992</v>
      </c>
      <c r="Q422">
        <v>13900.711720000001</v>
      </c>
      <c r="R422" t="s">
        <v>1180</v>
      </c>
    </row>
    <row r="423" spans="8:18" x14ac:dyDescent="0.25">
      <c r="H423" t="s">
        <v>875</v>
      </c>
      <c r="I423">
        <v>154.87899999999999</v>
      </c>
      <c r="J423">
        <v>0.85</v>
      </c>
      <c r="K423">
        <v>28094.463779999987</v>
      </c>
      <c r="L423" t="s">
        <v>164</v>
      </c>
      <c r="N423" t="s">
        <v>462</v>
      </c>
      <c r="O423">
        <v>199.28699999999998</v>
      </c>
      <c r="P423">
        <v>0.77999999999999992</v>
      </c>
      <c r="Q423">
        <v>14099.998720000001</v>
      </c>
      <c r="R423" t="s">
        <v>1180</v>
      </c>
    </row>
    <row r="424" spans="8:18" x14ac:dyDescent="0.25">
      <c r="H424" t="s">
        <v>866</v>
      </c>
      <c r="I424">
        <v>154.8058</v>
      </c>
      <c r="J424">
        <v>0.85</v>
      </c>
      <c r="K424">
        <v>28249.269579999986</v>
      </c>
      <c r="L424" t="s">
        <v>164</v>
      </c>
      <c r="N424" t="s">
        <v>569</v>
      </c>
      <c r="O424">
        <v>200.58874</v>
      </c>
      <c r="P424">
        <v>0.78</v>
      </c>
      <c r="Q424">
        <v>14300.587460000001</v>
      </c>
      <c r="R424" t="s">
        <v>1180</v>
      </c>
    </row>
    <row r="425" spans="8:18" x14ac:dyDescent="0.25">
      <c r="H425" t="s">
        <v>856</v>
      </c>
      <c r="I425">
        <v>154.87899999999999</v>
      </c>
      <c r="J425">
        <v>0.85</v>
      </c>
      <c r="K425">
        <v>28404.148579999986</v>
      </c>
      <c r="L425" t="s">
        <v>164</v>
      </c>
      <c r="N425" t="s">
        <v>546</v>
      </c>
      <c r="O425">
        <v>200.61192</v>
      </c>
      <c r="P425">
        <v>0.78</v>
      </c>
      <c r="Q425">
        <v>14501.19938</v>
      </c>
      <c r="R425" t="s">
        <v>1180</v>
      </c>
    </row>
    <row r="426" spans="8:18" x14ac:dyDescent="0.25">
      <c r="H426" t="s">
        <v>969</v>
      </c>
      <c r="I426">
        <v>200.58874</v>
      </c>
      <c r="J426">
        <v>0.85000000000000009</v>
      </c>
      <c r="K426">
        <v>28604.737319999986</v>
      </c>
      <c r="L426" t="s">
        <v>164</v>
      </c>
      <c r="N426" t="s">
        <v>552</v>
      </c>
      <c r="O426">
        <v>200.61192</v>
      </c>
      <c r="P426">
        <v>0.78</v>
      </c>
      <c r="Q426">
        <v>14701.811299999999</v>
      </c>
      <c r="R426" t="s">
        <v>1180</v>
      </c>
    </row>
    <row r="427" spans="8:18" x14ac:dyDescent="0.25">
      <c r="H427" t="s">
        <v>950</v>
      </c>
      <c r="I427">
        <v>200.61192</v>
      </c>
      <c r="J427">
        <v>0.85000000000000009</v>
      </c>
      <c r="K427">
        <v>28805.349239999985</v>
      </c>
      <c r="L427" t="s">
        <v>164</v>
      </c>
      <c r="N427" t="s">
        <v>381</v>
      </c>
      <c r="O427">
        <v>200.58874</v>
      </c>
      <c r="P427">
        <v>0.78</v>
      </c>
      <c r="Q427">
        <v>14902.400039999999</v>
      </c>
      <c r="R427" t="s">
        <v>1180</v>
      </c>
    </row>
    <row r="428" spans="8:18" x14ac:dyDescent="0.25">
      <c r="H428" t="s">
        <v>897</v>
      </c>
      <c r="I428">
        <v>228.24979999999999</v>
      </c>
      <c r="J428">
        <v>0.85499999999999998</v>
      </c>
      <c r="K428">
        <v>29033.599039999986</v>
      </c>
      <c r="L428" t="s">
        <v>164</v>
      </c>
      <c r="N428" t="s">
        <v>541</v>
      </c>
      <c r="O428">
        <v>222.48041999999998</v>
      </c>
      <c r="P428">
        <v>0.78500000000000003</v>
      </c>
      <c r="Q428">
        <v>15124.880459999998</v>
      </c>
      <c r="R428" t="s">
        <v>1180</v>
      </c>
    </row>
    <row r="429" spans="8:18" x14ac:dyDescent="0.25">
      <c r="H429" t="s">
        <v>885</v>
      </c>
      <c r="I429">
        <v>228.24979999999999</v>
      </c>
      <c r="J429">
        <v>0.85499999999999998</v>
      </c>
      <c r="K429">
        <v>29261.848839999988</v>
      </c>
      <c r="L429" t="s">
        <v>164</v>
      </c>
      <c r="N429" t="s">
        <v>577</v>
      </c>
      <c r="O429">
        <v>228.26566</v>
      </c>
      <c r="P429">
        <v>0.78500000000000003</v>
      </c>
      <c r="Q429">
        <v>15353.146119999998</v>
      </c>
      <c r="R429" t="s">
        <v>1180</v>
      </c>
    </row>
    <row r="430" spans="8:18" x14ac:dyDescent="0.25">
      <c r="H430" t="s">
        <v>997</v>
      </c>
      <c r="I430">
        <v>222.47554</v>
      </c>
      <c r="J430">
        <v>0.85500000000000009</v>
      </c>
      <c r="K430">
        <v>29484.324379999987</v>
      </c>
      <c r="L430" t="s">
        <v>164</v>
      </c>
      <c r="N430" t="s">
        <v>571</v>
      </c>
      <c r="O430">
        <v>222.48041999999998</v>
      </c>
      <c r="P430">
        <v>0.78500000000000003</v>
      </c>
      <c r="Q430">
        <v>15575.626539999997</v>
      </c>
      <c r="R430" t="s">
        <v>1180</v>
      </c>
    </row>
    <row r="431" spans="8:18" x14ac:dyDescent="0.25">
      <c r="H431" t="s">
        <v>927</v>
      </c>
      <c r="I431">
        <v>148.42519999999999</v>
      </c>
      <c r="J431">
        <v>0.86</v>
      </c>
      <c r="K431">
        <v>29632.749579999989</v>
      </c>
      <c r="L431" t="s">
        <v>164</v>
      </c>
      <c r="N431" t="s">
        <v>429</v>
      </c>
      <c r="O431">
        <v>160.34460000000001</v>
      </c>
      <c r="P431">
        <v>0.78500000000000003</v>
      </c>
      <c r="Q431">
        <v>15735.971139999998</v>
      </c>
      <c r="R431" t="s">
        <v>1180</v>
      </c>
    </row>
    <row r="432" spans="8:18" x14ac:dyDescent="0.25">
      <c r="H432" t="s">
        <v>937</v>
      </c>
      <c r="I432">
        <v>155.11079999999998</v>
      </c>
      <c r="J432">
        <v>0.86</v>
      </c>
      <c r="K432">
        <v>29787.860379999987</v>
      </c>
      <c r="L432" t="s">
        <v>164</v>
      </c>
      <c r="N432" t="s">
        <v>390</v>
      </c>
      <c r="O432">
        <v>228.26566</v>
      </c>
      <c r="P432">
        <v>0.78500000000000003</v>
      </c>
      <c r="Q432">
        <v>15964.236799999997</v>
      </c>
      <c r="R432" t="s">
        <v>1180</v>
      </c>
    </row>
    <row r="433" spans="8:18" x14ac:dyDescent="0.25">
      <c r="H433" t="s">
        <v>916</v>
      </c>
      <c r="I433">
        <v>155.11079999999998</v>
      </c>
      <c r="J433">
        <v>0.86</v>
      </c>
      <c r="K433">
        <v>29942.971179999986</v>
      </c>
      <c r="L433" t="s">
        <v>164</v>
      </c>
      <c r="N433" t="s">
        <v>553</v>
      </c>
      <c r="O433">
        <v>175.57141999999999</v>
      </c>
      <c r="P433">
        <v>0.78500000000000003</v>
      </c>
      <c r="Q433">
        <v>16139.808219999997</v>
      </c>
      <c r="R433" t="s">
        <v>1180</v>
      </c>
    </row>
    <row r="434" spans="8:18" x14ac:dyDescent="0.25">
      <c r="H434" t="s">
        <v>926</v>
      </c>
      <c r="I434">
        <v>152.32919999999999</v>
      </c>
      <c r="J434">
        <v>0.86</v>
      </c>
      <c r="K434">
        <v>30095.300379999986</v>
      </c>
      <c r="L434" t="s">
        <v>165</v>
      </c>
      <c r="N434" t="s">
        <v>607</v>
      </c>
      <c r="O434">
        <v>160.34460000000001</v>
      </c>
      <c r="P434">
        <v>0.78500000000000003</v>
      </c>
      <c r="Q434">
        <v>16300.152819999998</v>
      </c>
      <c r="R434" t="s">
        <v>1181</v>
      </c>
    </row>
    <row r="435" spans="8:18" x14ac:dyDescent="0.25">
      <c r="H435" t="s">
        <v>807</v>
      </c>
      <c r="I435">
        <v>198.92100000000002</v>
      </c>
      <c r="J435">
        <v>0.86</v>
      </c>
      <c r="K435">
        <v>30294.221379999984</v>
      </c>
      <c r="L435" t="s">
        <v>165</v>
      </c>
      <c r="N435" t="s">
        <v>661</v>
      </c>
      <c r="O435">
        <v>160.62519999999998</v>
      </c>
      <c r="P435">
        <v>0.78500000000000003</v>
      </c>
      <c r="Q435">
        <v>16460.778019999998</v>
      </c>
      <c r="R435" t="s">
        <v>1181</v>
      </c>
    </row>
    <row r="436" spans="8:18" x14ac:dyDescent="0.25">
      <c r="H436" t="s">
        <v>907</v>
      </c>
      <c r="I436">
        <v>198.92100000000002</v>
      </c>
      <c r="J436">
        <v>0.86</v>
      </c>
      <c r="K436">
        <v>30493.142379999983</v>
      </c>
      <c r="L436" t="s">
        <v>165</v>
      </c>
      <c r="N436" t="s">
        <v>628</v>
      </c>
      <c r="O436">
        <v>160.34460000000001</v>
      </c>
      <c r="P436">
        <v>0.78500000000000003</v>
      </c>
      <c r="Q436">
        <v>16621.122619999998</v>
      </c>
      <c r="R436" t="s">
        <v>1181</v>
      </c>
    </row>
    <row r="437" spans="8:18" x14ac:dyDescent="0.25">
      <c r="H437" t="s">
        <v>959</v>
      </c>
      <c r="I437">
        <v>173.70115999999999</v>
      </c>
      <c r="J437">
        <v>0.8600000000000001</v>
      </c>
      <c r="K437">
        <v>30666.843539999983</v>
      </c>
      <c r="L437" t="s">
        <v>165</v>
      </c>
      <c r="N437" t="s">
        <v>456</v>
      </c>
      <c r="O437">
        <v>198.92100000000002</v>
      </c>
      <c r="P437">
        <v>0.78999999999999992</v>
      </c>
      <c r="Q437">
        <v>16820.043619999997</v>
      </c>
      <c r="R437" t="s">
        <v>1181</v>
      </c>
    </row>
    <row r="438" spans="8:18" x14ac:dyDescent="0.25">
      <c r="H438" t="s">
        <v>958</v>
      </c>
      <c r="I438">
        <v>173.54987999999997</v>
      </c>
      <c r="J438">
        <v>0.8600000000000001</v>
      </c>
      <c r="K438">
        <v>30840.393419999982</v>
      </c>
      <c r="L438" t="s">
        <v>165</v>
      </c>
      <c r="N438" t="s">
        <v>465</v>
      </c>
      <c r="O438">
        <v>198.92100000000002</v>
      </c>
      <c r="P438">
        <v>0.78999999999999992</v>
      </c>
      <c r="Q438">
        <v>17018.964619999995</v>
      </c>
      <c r="R438" t="s">
        <v>1181</v>
      </c>
    </row>
    <row r="439" spans="8:18" x14ac:dyDescent="0.25">
      <c r="H439" t="s">
        <v>874</v>
      </c>
      <c r="I439">
        <v>160.35679999999999</v>
      </c>
      <c r="J439">
        <v>0.86499999999999999</v>
      </c>
      <c r="K439">
        <v>31000.750219999984</v>
      </c>
      <c r="L439" t="s">
        <v>165</v>
      </c>
      <c r="N439" t="s">
        <v>442</v>
      </c>
      <c r="O439">
        <v>160.69839999999999</v>
      </c>
      <c r="P439">
        <v>0.78999999999999992</v>
      </c>
      <c r="Q439">
        <v>17179.663019999996</v>
      </c>
      <c r="R439" t="s">
        <v>1181</v>
      </c>
    </row>
    <row r="440" spans="8:18" x14ac:dyDescent="0.25">
      <c r="H440" t="s">
        <v>904</v>
      </c>
      <c r="I440">
        <v>224.34579999999997</v>
      </c>
      <c r="J440">
        <v>0.8650000000000001</v>
      </c>
      <c r="K440">
        <v>31225.096019999983</v>
      </c>
      <c r="L440" t="s">
        <v>165</v>
      </c>
      <c r="N440" t="s">
        <v>375</v>
      </c>
      <c r="O440">
        <v>173.70115999999999</v>
      </c>
      <c r="P440">
        <v>0.79</v>
      </c>
      <c r="Q440">
        <v>17353.364179999997</v>
      </c>
      <c r="R440" t="s">
        <v>1181</v>
      </c>
    </row>
    <row r="441" spans="8:18" x14ac:dyDescent="0.25">
      <c r="H441" t="s">
        <v>990</v>
      </c>
      <c r="I441">
        <v>224.03713999999999</v>
      </c>
      <c r="J441">
        <v>0.8650000000000001</v>
      </c>
      <c r="K441">
        <v>31449.133159999983</v>
      </c>
      <c r="L441" t="s">
        <v>165</v>
      </c>
      <c r="N441" t="s">
        <v>374</v>
      </c>
      <c r="O441">
        <v>173.54987999999997</v>
      </c>
      <c r="P441">
        <v>0.79</v>
      </c>
      <c r="Q441">
        <v>17526.914059999996</v>
      </c>
      <c r="R441" t="s">
        <v>1181</v>
      </c>
    </row>
    <row r="442" spans="8:18" x14ac:dyDescent="0.25">
      <c r="H442" t="s">
        <v>915</v>
      </c>
      <c r="I442">
        <v>158.0754</v>
      </c>
      <c r="J442">
        <v>0.8650000000000001</v>
      </c>
      <c r="K442">
        <v>31607.208559999985</v>
      </c>
      <c r="L442" t="s">
        <v>165</v>
      </c>
      <c r="N442" t="s">
        <v>422</v>
      </c>
      <c r="O442">
        <v>152.60980000000001</v>
      </c>
      <c r="P442">
        <v>0.79</v>
      </c>
      <c r="Q442">
        <v>17679.523859999994</v>
      </c>
      <c r="R442" t="s">
        <v>1181</v>
      </c>
    </row>
    <row r="443" spans="8:18" x14ac:dyDescent="0.25">
      <c r="H443" t="s">
        <v>794</v>
      </c>
      <c r="I443">
        <v>224.34579999999997</v>
      </c>
      <c r="J443">
        <v>0.8650000000000001</v>
      </c>
      <c r="K443">
        <v>31831.554359999984</v>
      </c>
      <c r="L443" t="s">
        <v>165</v>
      </c>
      <c r="N443" t="s">
        <v>871</v>
      </c>
      <c r="O443">
        <v>152.60980000000001</v>
      </c>
      <c r="P443">
        <v>0.79</v>
      </c>
      <c r="Q443">
        <v>17832.133659999992</v>
      </c>
      <c r="R443" t="s">
        <v>1181</v>
      </c>
    </row>
    <row r="444" spans="8:18" x14ac:dyDescent="0.25">
      <c r="H444" t="s">
        <v>923</v>
      </c>
      <c r="I444">
        <v>160.28359999999998</v>
      </c>
      <c r="J444">
        <v>0.8650000000000001</v>
      </c>
      <c r="K444">
        <v>31991.837959999983</v>
      </c>
      <c r="L444" t="s">
        <v>165</v>
      </c>
      <c r="N444" t="s">
        <v>1005</v>
      </c>
      <c r="O444">
        <v>173.54987999999997</v>
      </c>
      <c r="P444">
        <v>0.79</v>
      </c>
      <c r="Q444">
        <v>18005.683539999991</v>
      </c>
      <c r="R444" t="s">
        <v>1181</v>
      </c>
    </row>
    <row r="445" spans="8:18" x14ac:dyDescent="0.25">
      <c r="H445" t="s">
        <v>901</v>
      </c>
      <c r="I445">
        <v>202.1662</v>
      </c>
      <c r="J445">
        <v>0.87</v>
      </c>
      <c r="K445">
        <v>32194.004159999982</v>
      </c>
      <c r="L445" t="s">
        <v>165</v>
      </c>
      <c r="N445" t="s">
        <v>1006</v>
      </c>
      <c r="O445">
        <v>173.70115999999999</v>
      </c>
      <c r="P445">
        <v>0.79</v>
      </c>
      <c r="Q445">
        <v>18179.384699999991</v>
      </c>
      <c r="R445" t="s">
        <v>1181</v>
      </c>
    </row>
    <row r="446" spans="8:18" x14ac:dyDescent="0.25">
      <c r="H446" t="s">
        <v>886</v>
      </c>
      <c r="I446">
        <v>202.1662</v>
      </c>
      <c r="J446">
        <v>0.87</v>
      </c>
      <c r="K446">
        <v>32396.170359999982</v>
      </c>
      <c r="L446" t="s">
        <v>165</v>
      </c>
      <c r="N446" t="s">
        <v>938</v>
      </c>
      <c r="O446">
        <v>160.35679999999999</v>
      </c>
      <c r="P446">
        <v>0.79499999999999993</v>
      </c>
      <c r="Q446">
        <v>18339.741499999993</v>
      </c>
      <c r="R446" t="s">
        <v>1181</v>
      </c>
    </row>
    <row r="447" spans="8:18" x14ac:dyDescent="0.25">
      <c r="H447" t="s">
        <v>968</v>
      </c>
      <c r="I447">
        <v>228.38888</v>
      </c>
      <c r="J447">
        <v>0.875</v>
      </c>
      <c r="K447">
        <v>32624.55923999998</v>
      </c>
      <c r="L447" t="s">
        <v>165</v>
      </c>
      <c r="N447" t="s">
        <v>882</v>
      </c>
      <c r="O447">
        <v>224.34579999999997</v>
      </c>
      <c r="P447">
        <v>0.79500000000000004</v>
      </c>
      <c r="Q447">
        <v>18564.087299999992</v>
      </c>
      <c r="R447" t="s">
        <v>1181</v>
      </c>
    </row>
    <row r="448" spans="8:18" x14ac:dyDescent="0.25">
      <c r="H448" t="s">
        <v>1018</v>
      </c>
      <c r="I448">
        <v>228.38888</v>
      </c>
      <c r="J448">
        <v>0.875</v>
      </c>
      <c r="K448">
        <v>32852.948119999979</v>
      </c>
      <c r="L448" t="s">
        <v>165</v>
      </c>
      <c r="N448" t="s">
        <v>964</v>
      </c>
      <c r="O448">
        <v>224.03713999999999</v>
      </c>
      <c r="P448">
        <v>0.79500000000000004</v>
      </c>
      <c r="Q448">
        <v>18788.124439999992</v>
      </c>
      <c r="R448" t="s">
        <v>1181</v>
      </c>
    </row>
    <row r="449" spans="8:18" x14ac:dyDescent="0.25">
      <c r="H449" t="s">
        <v>848</v>
      </c>
      <c r="I449">
        <v>222.72319999999999</v>
      </c>
      <c r="J449">
        <v>0.87500000000000011</v>
      </c>
      <c r="K449">
        <v>33075.671319999979</v>
      </c>
      <c r="L449" t="s">
        <v>162</v>
      </c>
      <c r="N449" t="s">
        <v>891</v>
      </c>
      <c r="O449">
        <v>224.34579999999997</v>
      </c>
      <c r="P449">
        <v>0.79500000000000004</v>
      </c>
      <c r="Q449">
        <v>19012.470239999991</v>
      </c>
      <c r="R449" t="s">
        <v>1181</v>
      </c>
    </row>
    <row r="450" spans="8:18" x14ac:dyDescent="0.25">
      <c r="H450" t="s">
        <v>912</v>
      </c>
      <c r="I450">
        <v>222.72319999999999</v>
      </c>
      <c r="J450">
        <v>0.87500000000000011</v>
      </c>
      <c r="K450">
        <v>33298.39451999998</v>
      </c>
      <c r="L450" t="s">
        <v>162</v>
      </c>
      <c r="N450" t="s">
        <v>1012</v>
      </c>
      <c r="O450">
        <v>224.03713999999999</v>
      </c>
      <c r="P450">
        <v>0.79500000000000004</v>
      </c>
      <c r="Q450">
        <v>19236.507379999992</v>
      </c>
      <c r="R450" t="s">
        <v>1181</v>
      </c>
    </row>
    <row r="451" spans="8:18" x14ac:dyDescent="0.25">
      <c r="H451" t="s">
        <v>917</v>
      </c>
      <c r="I451">
        <v>160.34460000000001</v>
      </c>
      <c r="J451">
        <v>0.87500000000000011</v>
      </c>
      <c r="K451">
        <v>33458.739119999977</v>
      </c>
      <c r="L451" t="s">
        <v>162</v>
      </c>
      <c r="N451" t="s">
        <v>880</v>
      </c>
      <c r="O451">
        <v>155.17179999999999</v>
      </c>
      <c r="P451">
        <v>0.79999999999999993</v>
      </c>
      <c r="Q451">
        <v>19391.679179999992</v>
      </c>
      <c r="R451" t="s">
        <v>1182</v>
      </c>
    </row>
    <row r="452" spans="8:18" x14ac:dyDescent="0.25">
      <c r="H452" t="s">
        <v>906</v>
      </c>
      <c r="I452">
        <v>223.97980000000001</v>
      </c>
      <c r="J452">
        <v>0.88500000000000012</v>
      </c>
      <c r="K452">
        <v>33682.718919999978</v>
      </c>
      <c r="L452" t="s">
        <v>162</v>
      </c>
      <c r="N452" t="s">
        <v>860</v>
      </c>
      <c r="O452">
        <v>155.17179999999999</v>
      </c>
      <c r="P452">
        <v>0.79999999999999993</v>
      </c>
      <c r="Q452">
        <v>19546.850979999992</v>
      </c>
      <c r="R452" t="s">
        <v>1182</v>
      </c>
    </row>
    <row r="453" spans="8:18" x14ac:dyDescent="0.25">
      <c r="H453" t="s">
        <v>811</v>
      </c>
      <c r="I453">
        <v>223.97980000000001</v>
      </c>
      <c r="J453">
        <v>0.88500000000000012</v>
      </c>
      <c r="K453">
        <v>33906.698719999978</v>
      </c>
      <c r="L453" t="s">
        <v>162</v>
      </c>
      <c r="N453" t="s">
        <v>869</v>
      </c>
      <c r="O453">
        <v>155.0864</v>
      </c>
      <c r="P453">
        <v>0.79999999999999993</v>
      </c>
      <c r="Q453">
        <v>19701.937379999992</v>
      </c>
      <c r="R453" t="s">
        <v>1182</v>
      </c>
    </row>
    <row r="454" spans="8:18" x14ac:dyDescent="0.25">
      <c r="H454" t="s">
        <v>867</v>
      </c>
      <c r="I454">
        <v>159.84440000000001</v>
      </c>
      <c r="J454">
        <v>0.89</v>
      </c>
      <c r="K454">
        <v>34066.54311999998</v>
      </c>
      <c r="L454" t="s">
        <v>162</v>
      </c>
      <c r="N454" t="s">
        <v>825</v>
      </c>
      <c r="O454">
        <v>200.61192</v>
      </c>
      <c r="P454">
        <v>0.8</v>
      </c>
      <c r="Q454">
        <v>19902.549299999991</v>
      </c>
      <c r="R454" t="s">
        <v>1182</v>
      </c>
    </row>
    <row r="455" spans="8:18" x14ac:dyDescent="0.25">
      <c r="H455" t="s">
        <v>878</v>
      </c>
      <c r="I455">
        <v>154.9034</v>
      </c>
      <c r="J455">
        <v>0.89</v>
      </c>
      <c r="K455">
        <v>34221.446519999983</v>
      </c>
      <c r="L455" t="s">
        <v>162</v>
      </c>
      <c r="N455" t="s">
        <v>851</v>
      </c>
      <c r="O455">
        <v>200.58874</v>
      </c>
      <c r="P455">
        <v>0.8</v>
      </c>
      <c r="Q455">
        <v>20103.138039999991</v>
      </c>
      <c r="R455" t="s">
        <v>1182</v>
      </c>
    </row>
    <row r="456" spans="8:18" x14ac:dyDescent="0.25">
      <c r="H456" t="s">
        <v>858</v>
      </c>
      <c r="I456">
        <v>154.9034</v>
      </c>
      <c r="J456">
        <v>0.89</v>
      </c>
      <c r="K456">
        <v>34376.349919999986</v>
      </c>
      <c r="L456" t="s">
        <v>166</v>
      </c>
      <c r="N456" t="s">
        <v>924</v>
      </c>
      <c r="O456">
        <v>308.83079999999995</v>
      </c>
      <c r="P456">
        <v>0.80500000000000005</v>
      </c>
      <c r="Q456">
        <v>20411.96883999999</v>
      </c>
      <c r="R456" t="s">
        <v>1182</v>
      </c>
    </row>
    <row r="457" spans="8:18" x14ac:dyDescent="0.25">
      <c r="H457" t="s">
        <v>868</v>
      </c>
      <c r="I457">
        <v>154.78139999999999</v>
      </c>
      <c r="J457">
        <v>0.89</v>
      </c>
      <c r="K457">
        <v>34531.131319999986</v>
      </c>
      <c r="L457" t="s">
        <v>166</v>
      </c>
      <c r="N457" t="s">
        <v>925</v>
      </c>
      <c r="O457">
        <v>300.96179999999998</v>
      </c>
      <c r="P457">
        <v>0.80500000000000005</v>
      </c>
      <c r="Q457">
        <v>20712.930639999991</v>
      </c>
      <c r="R457" t="s">
        <v>1182</v>
      </c>
    </row>
    <row r="458" spans="8:18" x14ac:dyDescent="0.25">
      <c r="H458" t="s">
        <v>887</v>
      </c>
      <c r="I458">
        <v>229.25019999999998</v>
      </c>
      <c r="J458">
        <v>0.89500000000000002</v>
      </c>
      <c r="K458">
        <v>34760.381519999988</v>
      </c>
      <c r="L458" t="s">
        <v>166</v>
      </c>
      <c r="N458" t="s">
        <v>903</v>
      </c>
      <c r="O458">
        <v>222.72319999999999</v>
      </c>
      <c r="P458">
        <v>0.80500000000000005</v>
      </c>
      <c r="Q458">
        <v>20935.653839999992</v>
      </c>
      <c r="R458" t="s">
        <v>1182</v>
      </c>
    </row>
    <row r="459" spans="8:18" x14ac:dyDescent="0.25">
      <c r="H459" t="s">
        <v>900</v>
      </c>
      <c r="I459">
        <v>229.25019999999998</v>
      </c>
      <c r="J459">
        <v>0.89500000000000002</v>
      </c>
      <c r="K459">
        <v>34989.63171999999</v>
      </c>
      <c r="L459" t="s">
        <v>166</v>
      </c>
      <c r="N459" t="s">
        <v>981</v>
      </c>
      <c r="O459">
        <v>228.38888</v>
      </c>
      <c r="P459">
        <v>0.80500000000000005</v>
      </c>
      <c r="Q459">
        <v>21164.04271999999</v>
      </c>
      <c r="R459" t="s">
        <v>1182</v>
      </c>
    </row>
    <row r="460" spans="8:18" x14ac:dyDescent="0.25">
      <c r="H460" t="s">
        <v>822</v>
      </c>
      <c r="I460">
        <v>204.81359999999998</v>
      </c>
      <c r="J460">
        <v>0.89999999999999991</v>
      </c>
      <c r="K460">
        <v>35194.445319999992</v>
      </c>
      <c r="L460" t="s">
        <v>166</v>
      </c>
      <c r="N460" t="s">
        <v>813</v>
      </c>
      <c r="O460">
        <v>228.38888</v>
      </c>
      <c r="P460">
        <v>0.80500000000000005</v>
      </c>
      <c r="Q460">
        <v>21392.431599999989</v>
      </c>
      <c r="R460" t="s">
        <v>1182</v>
      </c>
    </row>
    <row r="461" spans="8:18" x14ac:dyDescent="0.25">
      <c r="H461" t="s">
        <v>909</v>
      </c>
      <c r="I461">
        <v>204.81359999999998</v>
      </c>
      <c r="J461">
        <v>0.89999999999999991</v>
      </c>
      <c r="K461">
        <v>35399.258919999993</v>
      </c>
      <c r="L461" t="s">
        <v>166</v>
      </c>
      <c r="N461" t="s">
        <v>982</v>
      </c>
      <c r="O461">
        <v>175.57141999999999</v>
      </c>
      <c r="P461">
        <v>0.80500000000000005</v>
      </c>
      <c r="Q461">
        <v>21568.003019999989</v>
      </c>
      <c r="R461" t="s">
        <v>1182</v>
      </c>
    </row>
    <row r="462" spans="8:18" x14ac:dyDescent="0.25">
      <c r="H462" t="s">
        <v>918</v>
      </c>
      <c r="I462">
        <v>154.87899999999999</v>
      </c>
      <c r="J462">
        <v>0.9</v>
      </c>
      <c r="K462">
        <v>35554.137919999994</v>
      </c>
      <c r="L462" t="s">
        <v>163</v>
      </c>
      <c r="N462" t="s">
        <v>812</v>
      </c>
      <c r="O462">
        <v>175.55311999999998</v>
      </c>
      <c r="P462">
        <v>0.80500000000000005</v>
      </c>
      <c r="Q462">
        <v>21743.55613999999</v>
      </c>
      <c r="R462" t="s">
        <v>1182</v>
      </c>
    </row>
    <row r="463" spans="8:18" x14ac:dyDescent="0.25">
      <c r="H463" t="s">
        <v>928</v>
      </c>
      <c r="I463">
        <v>159.85659999999999</v>
      </c>
      <c r="J463">
        <v>0.9</v>
      </c>
      <c r="K463">
        <v>35713.994519999993</v>
      </c>
      <c r="L463" t="s">
        <v>163</v>
      </c>
      <c r="N463" t="s">
        <v>889</v>
      </c>
      <c r="O463">
        <v>222.72319999999999</v>
      </c>
      <c r="P463">
        <v>0.80500000000000005</v>
      </c>
      <c r="Q463">
        <v>21966.27933999999</v>
      </c>
      <c r="R463" t="s">
        <v>1182</v>
      </c>
    </row>
    <row r="464" spans="8:18" x14ac:dyDescent="0.25">
      <c r="H464" t="s">
        <v>939</v>
      </c>
      <c r="I464">
        <v>154.87899999999999</v>
      </c>
      <c r="J464">
        <v>0.9</v>
      </c>
      <c r="K464">
        <v>35868.873519999994</v>
      </c>
      <c r="L464" t="s">
        <v>163</v>
      </c>
      <c r="N464" t="s">
        <v>873</v>
      </c>
      <c r="O464">
        <v>155.11079999999998</v>
      </c>
      <c r="P464">
        <v>0.80999999999999994</v>
      </c>
      <c r="Q464">
        <v>22121.390139999989</v>
      </c>
      <c r="R464" t="s">
        <v>1183</v>
      </c>
    </row>
    <row r="465" spans="8:18" x14ac:dyDescent="0.25">
      <c r="H465" t="s">
        <v>929</v>
      </c>
      <c r="I465">
        <v>154.8058</v>
      </c>
      <c r="J465">
        <v>0.9</v>
      </c>
      <c r="K465">
        <v>36023.679319999996</v>
      </c>
      <c r="L465" t="s">
        <v>163</v>
      </c>
      <c r="N465" t="s">
        <v>854</v>
      </c>
      <c r="O465">
        <v>155.11079999999998</v>
      </c>
      <c r="P465">
        <v>0.80999999999999994</v>
      </c>
      <c r="Q465">
        <v>22276.500939999987</v>
      </c>
      <c r="R465" t="s">
        <v>1183</v>
      </c>
    </row>
    <row r="466" spans="8:18" x14ac:dyDescent="0.25">
      <c r="H466" t="s">
        <v>993</v>
      </c>
      <c r="I466">
        <v>228.26566</v>
      </c>
      <c r="J466">
        <v>0.90500000000000003</v>
      </c>
      <c r="K466">
        <v>36251.944979999993</v>
      </c>
      <c r="L466" t="s">
        <v>163</v>
      </c>
      <c r="N466" t="s">
        <v>838</v>
      </c>
      <c r="O466">
        <v>173.54987999999997</v>
      </c>
      <c r="P466">
        <v>0.81</v>
      </c>
      <c r="Q466">
        <v>22450.050819999986</v>
      </c>
      <c r="R466" t="s">
        <v>1183</v>
      </c>
    </row>
    <row r="467" spans="8:18" x14ac:dyDescent="0.25">
      <c r="H467" t="s">
        <v>877</v>
      </c>
      <c r="I467">
        <v>160.34460000000001</v>
      </c>
      <c r="J467">
        <v>0.90500000000000003</v>
      </c>
      <c r="K467">
        <v>36412.28957999999</v>
      </c>
      <c r="L467" t="s">
        <v>163</v>
      </c>
      <c r="N467" t="s">
        <v>967</v>
      </c>
      <c r="O467">
        <v>203.94618</v>
      </c>
      <c r="P467">
        <v>0.81</v>
      </c>
      <c r="Q467">
        <v>22653.996999999985</v>
      </c>
      <c r="R467" t="s">
        <v>1183</v>
      </c>
    </row>
    <row r="468" spans="8:18" x14ac:dyDescent="0.25">
      <c r="H468" t="s">
        <v>919</v>
      </c>
      <c r="I468">
        <v>160.35679999999999</v>
      </c>
      <c r="J468">
        <v>0.91500000000000004</v>
      </c>
      <c r="K468">
        <v>36572.646379999991</v>
      </c>
      <c r="L468" t="s">
        <v>163</v>
      </c>
      <c r="N468" t="s">
        <v>839</v>
      </c>
      <c r="O468">
        <v>173.70115999999999</v>
      </c>
      <c r="P468">
        <v>0.81</v>
      </c>
      <c r="Q468">
        <v>22827.698159999985</v>
      </c>
      <c r="R468" t="s">
        <v>1183</v>
      </c>
    </row>
    <row r="469" spans="8:18" x14ac:dyDescent="0.25">
      <c r="H469" t="s">
        <v>824</v>
      </c>
      <c r="I469">
        <v>228.24979999999999</v>
      </c>
      <c r="J469">
        <v>0.92500000000000004</v>
      </c>
      <c r="K469">
        <v>36800.896179999989</v>
      </c>
      <c r="L469" t="s">
        <v>163</v>
      </c>
      <c r="N469" t="s">
        <v>948</v>
      </c>
      <c r="O469">
        <v>204.00108</v>
      </c>
      <c r="P469">
        <v>0.81</v>
      </c>
      <c r="Q469">
        <v>23031.699239999987</v>
      </c>
      <c r="R469" t="s">
        <v>1183</v>
      </c>
    </row>
    <row r="470" spans="8:18" x14ac:dyDescent="0.25">
      <c r="H470" t="s">
        <v>908</v>
      </c>
      <c r="I470">
        <v>228.24979999999999</v>
      </c>
      <c r="J470">
        <v>0.92500000000000004</v>
      </c>
      <c r="K470">
        <v>37029.145979999987</v>
      </c>
      <c r="L470" t="s">
        <v>163</v>
      </c>
      <c r="N470" t="s">
        <v>883</v>
      </c>
      <c r="O470">
        <v>223.97980000000001</v>
      </c>
      <c r="P470">
        <v>0.81500000000000006</v>
      </c>
      <c r="Q470">
        <v>23255.679039999988</v>
      </c>
      <c r="R470" t="s">
        <v>1183</v>
      </c>
    </row>
    <row r="471" spans="8:18" x14ac:dyDescent="0.25">
      <c r="H471" t="s">
        <v>834</v>
      </c>
      <c r="I471">
        <v>202.1662</v>
      </c>
      <c r="J471">
        <v>0.94</v>
      </c>
      <c r="K471">
        <v>37231.312179999986</v>
      </c>
      <c r="L471" t="s">
        <v>163</v>
      </c>
      <c r="N471" t="s">
        <v>894</v>
      </c>
      <c r="O471">
        <v>223.97980000000001</v>
      </c>
      <c r="P471">
        <v>0.81500000000000006</v>
      </c>
      <c r="Q471">
        <v>23479.658839999989</v>
      </c>
      <c r="R471" t="s">
        <v>1183</v>
      </c>
    </row>
    <row r="472" spans="8:18" x14ac:dyDescent="0.25">
      <c r="H472" t="s">
        <v>911</v>
      </c>
      <c r="I472">
        <v>202.1662</v>
      </c>
      <c r="J472">
        <v>0.94</v>
      </c>
      <c r="K472">
        <v>37433.478379999986</v>
      </c>
      <c r="L472" t="s">
        <v>163</v>
      </c>
      <c r="N472" t="s">
        <v>879</v>
      </c>
      <c r="O472">
        <v>160.28359999999998</v>
      </c>
      <c r="P472">
        <v>0.81500000000000006</v>
      </c>
      <c r="Q472">
        <v>23639.942439999988</v>
      </c>
      <c r="R472" t="s">
        <v>1183</v>
      </c>
    </row>
    <row r="473" spans="8:18" x14ac:dyDescent="0.25">
      <c r="H473" t="s">
        <v>941</v>
      </c>
      <c r="I473">
        <v>154.9034</v>
      </c>
      <c r="J473">
        <v>0.94000000000000006</v>
      </c>
      <c r="K473">
        <v>37588.381779999989</v>
      </c>
      <c r="L473" t="s">
        <v>163</v>
      </c>
      <c r="N473" t="s">
        <v>870</v>
      </c>
      <c r="O473">
        <v>158.0754</v>
      </c>
      <c r="P473">
        <v>0.81500000000000006</v>
      </c>
      <c r="Q473">
        <v>23798.01783999999</v>
      </c>
      <c r="R473" t="s">
        <v>1183</v>
      </c>
    </row>
    <row r="474" spans="8:18" x14ac:dyDescent="0.25">
      <c r="H474" t="s">
        <v>920</v>
      </c>
      <c r="I474">
        <v>154.9034</v>
      </c>
      <c r="J474">
        <v>0.94000000000000006</v>
      </c>
      <c r="K474">
        <v>37743.285179999992</v>
      </c>
      <c r="L474" t="s">
        <v>163</v>
      </c>
      <c r="N474" t="s">
        <v>957</v>
      </c>
      <c r="O474">
        <v>172.71784</v>
      </c>
      <c r="P474">
        <v>0.82000000000000006</v>
      </c>
      <c r="Q474">
        <v>23970.735679999991</v>
      </c>
      <c r="R474" t="s">
        <v>1183</v>
      </c>
    </row>
    <row r="475" spans="8:18" x14ac:dyDescent="0.25">
      <c r="H475" t="s">
        <v>931</v>
      </c>
      <c r="I475">
        <v>154.78139999999999</v>
      </c>
      <c r="J475">
        <v>0.94000000000000006</v>
      </c>
      <c r="K475">
        <v>37898.066579999992</v>
      </c>
      <c r="L475" t="s">
        <v>163</v>
      </c>
      <c r="N475" t="s">
        <v>956</v>
      </c>
      <c r="O475">
        <v>172.56412</v>
      </c>
      <c r="P475">
        <v>0.82000000000000006</v>
      </c>
      <c r="Q475">
        <v>24143.29979999999</v>
      </c>
      <c r="R475" t="s">
        <v>1183</v>
      </c>
    </row>
    <row r="476" spans="8:18" x14ac:dyDescent="0.25">
      <c r="H476" t="s">
        <v>930</v>
      </c>
      <c r="I476">
        <v>159.84440000000001</v>
      </c>
      <c r="J476">
        <v>0.94000000000000006</v>
      </c>
      <c r="K476">
        <v>38057.910979999993</v>
      </c>
      <c r="L476" t="s">
        <v>163</v>
      </c>
      <c r="N476" t="s">
        <v>872</v>
      </c>
      <c r="O476">
        <v>160.34460000000001</v>
      </c>
      <c r="P476">
        <v>0.82500000000000007</v>
      </c>
      <c r="Q476">
        <v>24303.64439999999</v>
      </c>
      <c r="R476" t="s">
        <v>1183</v>
      </c>
    </row>
    <row r="477" spans="8:18" x14ac:dyDescent="0.25">
      <c r="H477" t="s">
        <v>995</v>
      </c>
      <c r="I477">
        <v>228.38888</v>
      </c>
      <c r="J477">
        <v>0.94500000000000006</v>
      </c>
      <c r="K477">
        <v>38286.299859999992</v>
      </c>
      <c r="L477" t="s">
        <v>163</v>
      </c>
      <c r="N477" t="s">
        <v>826</v>
      </c>
      <c r="O477">
        <v>228.38888</v>
      </c>
      <c r="P477">
        <v>0.82500000000000007</v>
      </c>
      <c r="Q477">
        <v>24532.033279999989</v>
      </c>
      <c r="R477" t="s">
        <v>1183</v>
      </c>
    </row>
    <row r="478" spans="8:18" x14ac:dyDescent="0.25">
      <c r="H478" t="s">
        <v>921</v>
      </c>
      <c r="I478">
        <v>160.34460000000001</v>
      </c>
      <c r="J478">
        <v>0.95500000000000007</v>
      </c>
      <c r="K478">
        <v>38446.644459999989</v>
      </c>
      <c r="L478" t="s">
        <v>163</v>
      </c>
      <c r="N478" t="s">
        <v>1029</v>
      </c>
      <c r="O478">
        <v>228.38888</v>
      </c>
      <c r="P478">
        <v>0.82500000000000007</v>
      </c>
      <c r="Q478">
        <v>24760.422159999987</v>
      </c>
      <c r="R478" t="s">
        <v>1183</v>
      </c>
    </row>
    <row r="479" spans="8:18" x14ac:dyDescent="0.25">
      <c r="H479" t="s">
        <v>910</v>
      </c>
      <c r="I479">
        <v>229.25019999999998</v>
      </c>
      <c r="J479">
        <v>0.96500000000000008</v>
      </c>
      <c r="K479">
        <v>38675.894659999991</v>
      </c>
      <c r="L479" t="s">
        <v>163</v>
      </c>
      <c r="N479" t="s">
        <v>884</v>
      </c>
      <c r="O479">
        <v>204.81359999999998</v>
      </c>
      <c r="P479">
        <v>0.83</v>
      </c>
      <c r="Q479">
        <v>24965.235759999989</v>
      </c>
      <c r="R479" t="s">
        <v>1183</v>
      </c>
    </row>
    <row r="480" spans="8:18" x14ac:dyDescent="0.25">
      <c r="H480" t="s">
        <v>837</v>
      </c>
      <c r="I480">
        <v>229.25019999999998</v>
      </c>
      <c r="J480">
        <v>0.96500000000000008</v>
      </c>
      <c r="K480">
        <v>38905.144859999993</v>
      </c>
      <c r="L480" t="s">
        <v>163</v>
      </c>
      <c r="N480" t="s">
        <v>898</v>
      </c>
      <c r="O480">
        <v>204.81359999999998</v>
      </c>
      <c r="P480">
        <v>0.83</v>
      </c>
      <c r="Q480">
        <v>25170.04935999999</v>
      </c>
      <c r="R480" t="s">
        <v>1184</v>
      </c>
    </row>
    <row r="481" spans="8:18" x14ac:dyDescent="0.25">
      <c r="H481" t="s">
        <v>320</v>
      </c>
      <c r="I481">
        <v>109.75119999999998</v>
      </c>
      <c r="J481">
        <v>0.27499999999999997</v>
      </c>
      <c r="K481">
        <v>109.75119999999998</v>
      </c>
      <c r="L481" t="s">
        <v>155</v>
      </c>
      <c r="N481" t="s">
        <v>940</v>
      </c>
      <c r="O481">
        <v>160.34460000000001</v>
      </c>
      <c r="P481">
        <v>0.83499999999999996</v>
      </c>
      <c r="Q481">
        <v>25330.39395999999</v>
      </c>
      <c r="R481" t="s">
        <v>1184</v>
      </c>
    </row>
    <row r="482" spans="8:18" x14ac:dyDescent="0.25">
      <c r="H482" t="s">
        <v>479</v>
      </c>
      <c r="I482">
        <v>169.68979999999999</v>
      </c>
      <c r="J482">
        <v>0.32</v>
      </c>
      <c r="K482">
        <v>279.44099999999997</v>
      </c>
      <c r="L482" t="s">
        <v>155</v>
      </c>
      <c r="N482" t="s">
        <v>1015</v>
      </c>
      <c r="O482">
        <v>228.262</v>
      </c>
      <c r="P482">
        <v>0.83499999999999996</v>
      </c>
      <c r="Q482">
        <v>25558.655959999989</v>
      </c>
      <c r="R482" t="s">
        <v>1184</v>
      </c>
    </row>
    <row r="483" spans="8:18" x14ac:dyDescent="0.25">
      <c r="H483" t="s">
        <v>411</v>
      </c>
      <c r="I483">
        <v>169.68979999999999</v>
      </c>
      <c r="J483">
        <v>0.32</v>
      </c>
      <c r="K483">
        <v>449.13079999999997</v>
      </c>
      <c r="L483" t="s">
        <v>155</v>
      </c>
      <c r="N483" t="s">
        <v>966</v>
      </c>
      <c r="O483">
        <v>228.262</v>
      </c>
      <c r="P483">
        <v>0.83499999999999996</v>
      </c>
      <c r="Q483">
        <v>25786.917959999988</v>
      </c>
      <c r="R483" t="s">
        <v>1184</v>
      </c>
    </row>
    <row r="484" spans="8:18" x14ac:dyDescent="0.25">
      <c r="H484" t="s">
        <v>554</v>
      </c>
      <c r="I484">
        <v>169.78129999999999</v>
      </c>
      <c r="J484">
        <v>0.32000000000000006</v>
      </c>
      <c r="K484">
        <v>618.91210000000001</v>
      </c>
      <c r="L484" t="s">
        <v>155</v>
      </c>
      <c r="N484" t="s">
        <v>932</v>
      </c>
      <c r="O484">
        <v>160.69839999999999</v>
      </c>
      <c r="P484">
        <v>0.84</v>
      </c>
      <c r="Q484">
        <v>25947.616359999989</v>
      </c>
      <c r="R484" t="s">
        <v>1184</v>
      </c>
    </row>
    <row r="485" spans="8:18" x14ac:dyDescent="0.25">
      <c r="H485" t="s">
        <v>572</v>
      </c>
      <c r="I485">
        <v>169.73493999999999</v>
      </c>
      <c r="J485">
        <v>0.32000000000000006</v>
      </c>
      <c r="K485">
        <v>788.64704000000006</v>
      </c>
      <c r="L485" t="s">
        <v>155</v>
      </c>
      <c r="N485" t="s">
        <v>905</v>
      </c>
      <c r="O485">
        <v>199.28699999999998</v>
      </c>
      <c r="P485">
        <v>0.84</v>
      </c>
      <c r="Q485">
        <v>26146.903359999989</v>
      </c>
      <c r="R485" t="s">
        <v>1184</v>
      </c>
    </row>
    <row r="486" spans="8:18" x14ac:dyDescent="0.25">
      <c r="H486" t="s">
        <v>471</v>
      </c>
      <c r="I486">
        <v>115.80240000000001</v>
      </c>
      <c r="J486">
        <v>0.32499999999999996</v>
      </c>
      <c r="K486">
        <v>904.4494400000001</v>
      </c>
      <c r="L486" t="s">
        <v>155</v>
      </c>
      <c r="N486" t="s">
        <v>791</v>
      </c>
      <c r="O486">
        <v>199.28699999999998</v>
      </c>
      <c r="P486">
        <v>0.84</v>
      </c>
      <c r="Q486">
        <v>26346.19035999999</v>
      </c>
      <c r="R486" t="s">
        <v>1184</v>
      </c>
    </row>
    <row r="487" spans="8:18" x14ac:dyDescent="0.25">
      <c r="H487" t="s">
        <v>369</v>
      </c>
      <c r="I487">
        <v>115.80240000000001</v>
      </c>
      <c r="J487">
        <v>0.32499999999999996</v>
      </c>
      <c r="K487">
        <v>1020.2518400000001</v>
      </c>
      <c r="L487" t="s">
        <v>155</v>
      </c>
      <c r="N487" t="s">
        <v>914</v>
      </c>
      <c r="O487">
        <v>152.60980000000001</v>
      </c>
      <c r="P487">
        <v>0.84000000000000008</v>
      </c>
      <c r="Q487">
        <v>26498.800159999988</v>
      </c>
      <c r="R487" t="s">
        <v>1184</v>
      </c>
    </row>
    <row r="488" spans="8:18" x14ac:dyDescent="0.25">
      <c r="H488" t="s">
        <v>548</v>
      </c>
      <c r="I488">
        <v>116.20988</v>
      </c>
      <c r="J488">
        <v>0.32500000000000001</v>
      </c>
      <c r="K488">
        <v>1136.4617200000002</v>
      </c>
      <c r="L488" t="s">
        <v>155</v>
      </c>
      <c r="N488" t="s">
        <v>935</v>
      </c>
      <c r="O488">
        <v>152.60980000000001</v>
      </c>
      <c r="P488">
        <v>0.84000000000000008</v>
      </c>
      <c r="Q488">
        <v>26651.409959999986</v>
      </c>
      <c r="R488" t="s">
        <v>1184</v>
      </c>
    </row>
    <row r="489" spans="8:18" x14ac:dyDescent="0.25">
      <c r="H489" t="s">
        <v>566</v>
      </c>
      <c r="I489">
        <v>116.16108</v>
      </c>
      <c r="J489">
        <v>0.32500000000000001</v>
      </c>
      <c r="K489">
        <v>1252.6228000000003</v>
      </c>
      <c r="L489" t="s">
        <v>155</v>
      </c>
      <c r="N489" t="s">
        <v>987</v>
      </c>
      <c r="O489">
        <v>224.34214</v>
      </c>
      <c r="P489">
        <v>0.84500000000000008</v>
      </c>
      <c r="Q489">
        <v>26875.752099999987</v>
      </c>
      <c r="R489" t="s">
        <v>1184</v>
      </c>
    </row>
    <row r="490" spans="8:18" x14ac:dyDescent="0.25">
      <c r="H490" t="s">
        <v>654</v>
      </c>
      <c r="I490">
        <v>107.95779999999999</v>
      </c>
      <c r="J490">
        <v>0.32500000000000001</v>
      </c>
      <c r="K490">
        <v>1360.5806000000002</v>
      </c>
      <c r="L490" t="s">
        <v>155</v>
      </c>
      <c r="N490" t="s">
        <v>933</v>
      </c>
      <c r="O490">
        <v>155.0864</v>
      </c>
      <c r="P490">
        <v>0.85</v>
      </c>
      <c r="Q490">
        <v>27030.838499999987</v>
      </c>
      <c r="R490" t="s">
        <v>1184</v>
      </c>
    </row>
    <row r="491" spans="8:18" x14ac:dyDescent="0.25">
      <c r="H491" t="s">
        <v>555</v>
      </c>
      <c r="I491">
        <v>173.02649999999997</v>
      </c>
      <c r="J491">
        <v>0.33</v>
      </c>
      <c r="K491">
        <v>1533.6071000000002</v>
      </c>
      <c r="L491" t="s">
        <v>155</v>
      </c>
      <c r="N491" t="s">
        <v>875</v>
      </c>
      <c r="O491">
        <v>154.87899999999999</v>
      </c>
      <c r="P491">
        <v>0.85</v>
      </c>
      <c r="Q491">
        <v>27185.717499999988</v>
      </c>
      <c r="R491" t="s">
        <v>1184</v>
      </c>
    </row>
    <row r="492" spans="8:18" x14ac:dyDescent="0.25">
      <c r="H492" t="s">
        <v>663</v>
      </c>
      <c r="I492">
        <v>152.60980000000001</v>
      </c>
      <c r="J492">
        <v>0.33000000000000007</v>
      </c>
      <c r="K492">
        <v>1686.2169000000001</v>
      </c>
      <c r="L492" t="s">
        <v>155</v>
      </c>
      <c r="N492" t="s">
        <v>866</v>
      </c>
      <c r="O492">
        <v>154.8058</v>
      </c>
      <c r="P492">
        <v>0.85</v>
      </c>
      <c r="Q492">
        <v>27340.523299999986</v>
      </c>
      <c r="R492" t="s">
        <v>1184</v>
      </c>
    </row>
    <row r="493" spans="8:18" x14ac:dyDescent="0.25">
      <c r="H493" t="s">
        <v>655</v>
      </c>
      <c r="I493">
        <v>160.64959999999999</v>
      </c>
      <c r="J493">
        <v>0.33500000000000002</v>
      </c>
      <c r="K493">
        <v>1846.8665000000001</v>
      </c>
      <c r="L493" t="s">
        <v>155</v>
      </c>
      <c r="N493" t="s">
        <v>845</v>
      </c>
      <c r="O493">
        <v>199.28699999999998</v>
      </c>
      <c r="P493">
        <v>0.85</v>
      </c>
      <c r="Q493">
        <v>27539.810299999986</v>
      </c>
      <c r="R493" t="s">
        <v>1184</v>
      </c>
    </row>
    <row r="494" spans="8:18" x14ac:dyDescent="0.25">
      <c r="H494" t="s">
        <v>376</v>
      </c>
      <c r="I494">
        <v>175.93620000000001</v>
      </c>
      <c r="J494">
        <v>0.33500000000000002</v>
      </c>
      <c r="K494">
        <v>2022.8027000000002</v>
      </c>
      <c r="L494" t="s">
        <v>155</v>
      </c>
      <c r="N494" t="s">
        <v>865</v>
      </c>
      <c r="O494">
        <v>159.85659999999999</v>
      </c>
      <c r="P494">
        <v>0.85</v>
      </c>
      <c r="Q494">
        <v>27699.666899999986</v>
      </c>
      <c r="R494" t="s">
        <v>1184</v>
      </c>
    </row>
    <row r="495" spans="8:18" x14ac:dyDescent="0.25">
      <c r="H495" t="s">
        <v>470</v>
      </c>
      <c r="I495">
        <v>175.93620000000001</v>
      </c>
      <c r="J495">
        <v>0.33500000000000002</v>
      </c>
      <c r="K495">
        <v>2198.7389000000003</v>
      </c>
      <c r="L495" t="s">
        <v>155</v>
      </c>
      <c r="N495" t="s">
        <v>922</v>
      </c>
      <c r="O495">
        <v>155.17179999999999</v>
      </c>
      <c r="P495">
        <v>0.85</v>
      </c>
      <c r="Q495">
        <v>27854.838699999986</v>
      </c>
      <c r="R495" t="s">
        <v>1184</v>
      </c>
    </row>
    <row r="496" spans="8:18" x14ac:dyDescent="0.25">
      <c r="H496" t="s">
        <v>520</v>
      </c>
      <c r="I496">
        <v>173.02649999999997</v>
      </c>
      <c r="J496">
        <v>0.34</v>
      </c>
      <c r="K496">
        <v>2371.7654000000002</v>
      </c>
      <c r="L496" t="s">
        <v>155</v>
      </c>
      <c r="N496" t="s">
        <v>856</v>
      </c>
      <c r="O496">
        <v>154.87899999999999</v>
      </c>
      <c r="P496">
        <v>0.85</v>
      </c>
      <c r="Q496">
        <v>28009.717699999987</v>
      </c>
      <c r="R496" t="s">
        <v>1184</v>
      </c>
    </row>
    <row r="497" spans="8:18" x14ac:dyDescent="0.25">
      <c r="H497" t="s">
        <v>563</v>
      </c>
      <c r="I497">
        <v>169.72640000000001</v>
      </c>
      <c r="J497">
        <v>0.34</v>
      </c>
      <c r="K497">
        <v>2541.4918000000002</v>
      </c>
      <c r="L497" t="s">
        <v>155</v>
      </c>
      <c r="N497" t="s">
        <v>943</v>
      </c>
      <c r="O497">
        <v>155.17179999999999</v>
      </c>
      <c r="P497">
        <v>0.85</v>
      </c>
      <c r="Q497">
        <v>28164.889499999987</v>
      </c>
      <c r="R497" t="s">
        <v>1184</v>
      </c>
    </row>
    <row r="498" spans="8:18" x14ac:dyDescent="0.25">
      <c r="H498" t="s">
        <v>564</v>
      </c>
      <c r="I498">
        <v>169.966252</v>
      </c>
      <c r="J498">
        <v>0.34</v>
      </c>
      <c r="K498">
        <v>2711.4580520000004</v>
      </c>
      <c r="L498" t="s">
        <v>155</v>
      </c>
      <c r="N498" t="s">
        <v>913</v>
      </c>
      <c r="O498">
        <v>199.28699999999998</v>
      </c>
      <c r="P498">
        <v>0.85</v>
      </c>
      <c r="Q498">
        <v>28364.176499999987</v>
      </c>
      <c r="R498" t="s">
        <v>1184</v>
      </c>
    </row>
    <row r="499" spans="8:18" x14ac:dyDescent="0.25">
      <c r="H499" t="s">
        <v>490</v>
      </c>
      <c r="I499">
        <v>160.21039999999999</v>
      </c>
      <c r="J499">
        <v>0.34</v>
      </c>
      <c r="K499">
        <v>2871.6684520000003</v>
      </c>
      <c r="L499" t="s">
        <v>155</v>
      </c>
      <c r="N499" t="s">
        <v>969</v>
      </c>
      <c r="O499">
        <v>200.58874</v>
      </c>
      <c r="P499">
        <v>0.85000000000000009</v>
      </c>
      <c r="Q499">
        <v>28564.765239999986</v>
      </c>
      <c r="R499" t="s">
        <v>1184</v>
      </c>
    </row>
    <row r="500" spans="8:18" x14ac:dyDescent="0.25">
      <c r="H500" t="s">
        <v>611</v>
      </c>
      <c r="I500">
        <v>160.21039999999999</v>
      </c>
      <c r="J500">
        <v>0.34</v>
      </c>
      <c r="K500">
        <v>3031.8788520000003</v>
      </c>
      <c r="L500" t="s">
        <v>155</v>
      </c>
      <c r="N500" t="s">
        <v>950</v>
      </c>
      <c r="O500">
        <v>200.61192</v>
      </c>
      <c r="P500">
        <v>0.85000000000000009</v>
      </c>
      <c r="Q500">
        <v>28765.377159999985</v>
      </c>
      <c r="R500" t="s">
        <v>1184</v>
      </c>
    </row>
    <row r="501" spans="8:18" x14ac:dyDescent="0.25">
      <c r="H501" t="s">
        <v>556</v>
      </c>
      <c r="I501">
        <v>116.20988</v>
      </c>
      <c r="J501">
        <v>0.34499999999999997</v>
      </c>
      <c r="K501">
        <v>3148.0887320000002</v>
      </c>
      <c r="L501" t="s">
        <v>155</v>
      </c>
      <c r="N501" t="s">
        <v>897</v>
      </c>
      <c r="O501">
        <v>228.24979999999999</v>
      </c>
      <c r="P501">
        <v>0.85499999999999998</v>
      </c>
      <c r="Q501">
        <v>28993.626959999987</v>
      </c>
      <c r="R501" t="s">
        <v>1184</v>
      </c>
    </row>
    <row r="502" spans="8:18" x14ac:dyDescent="0.25">
      <c r="H502" t="s">
        <v>255</v>
      </c>
      <c r="I502">
        <v>119.76739999999999</v>
      </c>
      <c r="J502">
        <v>0.34499999999999997</v>
      </c>
      <c r="K502">
        <v>3267.8561320000003</v>
      </c>
      <c r="L502" t="s">
        <v>155</v>
      </c>
      <c r="N502" t="s">
        <v>885</v>
      </c>
      <c r="O502">
        <v>228.24979999999999</v>
      </c>
      <c r="P502">
        <v>0.85499999999999998</v>
      </c>
      <c r="Q502">
        <v>29221.876759999988</v>
      </c>
      <c r="R502" t="s">
        <v>1184</v>
      </c>
    </row>
    <row r="503" spans="8:18" x14ac:dyDescent="0.25">
      <c r="H503" t="s">
        <v>264</v>
      </c>
      <c r="I503">
        <v>119.76739999999999</v>
      </c>
      <c r="J503">
        <v>0.34499999999999997</v>
      </c>
      <c r="K503">
        <v>3387.6235320000005</v>
      </c>
      <c r="L503" t="s">
        <v>155</v>
      </c>
      <c r="N503" t="s">
        <v>997</v>
      </c>
      <c r="O503">
        <v>222.47554</v>
      </c>
      <c r="P503">
        <v>0.85500000000000009</v>
      </c>
      <c r="Q503">
        <v>29444.352299999988</v>
      </c>
      <c r="R503" t="s">
        <v>1184</v>
      </c>
    </row>
    <row r="504" spans="8:18" x14ac:dyDescent="0.25">
      <c r="H504" t="s">
        <v>266</v>
      </c>
      <c r="I504">
        <v>109.75119999999998</v>
      </c>
      <c r="J504">
        <v>0.34499999999999997</v>
      </c>
      <c r="K504">
        <v>3497.3747320000007</v>
      </c>
      <c r="L504" t="s">
        <v>155</v>
      </c>
      <c r="N504" t="s">
        <v>916</v>
      </c>
      <c r="O504">
        <v>155.11079999999998</v>
      </c>
      <c r="P504">
        <v>0.86</v>
      </c>
      <c r="Q504">
        <v>29599.463099999986</v>
      </c>
      <c r="R504" t="s">
        <v>1184</v>
      </c>
    </row>
    <row r="505" spans="8:18" x14ac:dyDescent="0.25">
      <c r="H505" t="s">
        <v>378</v>
      </c>
      <c r="I505">
        <v>117.47380000000001</v>
      </c>
      <c r="J505">
        <v>0.34499999999999997</v>
      </c>
      <c r="K505">
        <v>3614.8485320000009</v>
      </c>
      <c r="L505" t="s">
        <v>155</v>
      </c>
      <c r="N505" t="s">
        <v>807</v>
      </c>
      <c r="O505">
        <v>198.92100000000002</v>
      </c>
      <c r="P505">
        <v>0.86</v>
      </c>
      <c r="Q505">
        <v>29798.384099999985</v>
      </c>
      <c r="R505" t="s">
        <v>1185</v>
      </c>
    </row>
    <row r="506" spans="8:18" x14ac:dyDescent="0.25">
      <c r="H506" t="s">
        <v>473</v>
      </c>
      <c r="I506">
        <v>117.47380000000001</v>
      </c>
      <c r="J506">
        <v>0.34499999999999997</v>
      </c>
      <c r="K506">
        <v>3732.3223320000011</v>
      </c>
      <c r="L506" t="s">
        <v>155</v>
      </c>
      <c r="N506" t="s">
        <v>937</v>
      </c>
      <c r="O506">
        <v>155.11079999999998</v>
      </c>
      <c r="P506">
        <v>0.86</v>
      </c>
      <c r="Q506">
        <v>29953.494899999983</v>
      </c>
      <c r="R506" t="s">
        <v>1185</v>
      </c>
    </row>
    <row r="507" spans="8:18" x14ac:dyDescent="0.25">
      <c r="H507" t="s">
        <v>417</v>
      </c>
      <c r="I507">
        <v>173.1302</v>
      </c>
      <c r="J507">
        <v>0.34500000000000003</v>
      </c>
      <c r="K507">
        <v>3905.4525320000012</v>
      </c>
      <c r="L507" t="s">
        <v>155</v>
      </c>
      <c r="N507" t="s">
        <v>907</v>
      </c>
      <c r="O507">
        <v>198.92100000000002</v>
      </c>
      <c r="P507">
        <v>0.86</v>
      </c>
      <c r="Q507">
        <v>30152.415899999982</v>
      </c>
      <c r="R507" t="s">
        <v>1185</v>
      </c>
    </row>
    <row r="508" spans="8:18" x14ac:dyDescent="0.25">
      <c r="H508" t="s">
        <v>567</v>
      </c>
      <c r="I508">
        <v>117.45062</v>
      </c>
      <c r="J508">
        <v>0.34500000000000003</v>
      </c>
      <c r="K508">
        <v>4022.9031520000012</v>
      </c>
      <c r="L508" t="s">
        <v>155</v>
      </c>
      <c r="N508" t="s">
        <v>958</v>
      </c>
      <c r="O508">
        <v>173.54987999999997</v>
      </c>
      <c r="P508">
        <v>0.8600000000000001</v>
      </c>
      <c r="Q508">
        <v>30325.96577999998</v>
      </c>
      <c r="R508" t="s">
        <v>1185</v>
      </c>
    </row>
    <row r="509" spans="8:18" x14ac:dyDescent="0.25">
      <c r="H509" t="s">
        <v>478</v>
      </c>
      <c r="I509">
        <v>173.1302</v>
      </c>
      <c r="J509">
        <v>0.34500000000000003</v>
      </c>
      <c r="K509">
        <v>4196.0333520000013</v>
      </c>
      <c r="L509" t="s">
        <v>155</v>
      </c>
      <c r="N509" t="s">
        <v>959</v>
      </c>
      <c r="O509">
        <v>173.70115999999999</v>
      </c>
      <c r="P509">
        <v>0.8600000000000001</v>
      </c>
      <c r="Q509">
        <v>30499.666939999981</v>
      </c>
      <c r="R509" t="s">
        <v>1185</v>
      </c>
    </row>
    <row r="510" spans="8:18" x14ac:dyDescent="0.25">
      <c r="H510" t="s">
        <v>656</v>
      </c>
      <c r="I510">
        <v>108.32380000000001</v>
      </c>
      <c r="J510">
        <v>0.34500000000000003</v>
      </c>
      <c r="K510">
        <v>4304.3571520000014</v>
      </c>
      <c r="L510" t="s">
        <v>155</v>
      </c>
      <c r="N510" t="s">
        <v>874</v>
      </c>
      <c r="O510">
        <v>160.35679999999999</v>
      </c>
      <c r="P510">
        <v>0.86499999999999999</v>
      </c>
      <c r="Q510">
        <v>30660.023739999982</v>
      </c>
      <c r="R510" t="s">
        <v>1185</v>
      </c>
    </row>
    <row r="511" spans="8:18" x14ac:dyDescent="0.25">
      <c r="H511" t="s">
        <v>549</v>
      </c>
      <c r="I511">
        <v>117.49942</v>
      </c>
      <c r="J511">
        <v>0.34500000000000003</v>
      </c>
      <c r="K511">
        <v>4421.8565720000015</v>
      </c>
      <c r="L511" t="s">
        <v>155</v>
      </c>
      <c r="N511" t="s">
        <v>923</v>
      </c>
      <c r="O511">
        <v>160.28359999999998</v>
      </c>
      <c r="P511">
        <v>0.8650000000000001</v>
      </c>
      <c r="Q511">
        <v>30820.307339999981</v>
      </c>
      <c r="R511" t="s">
        <v>1185</v>
      </c>
    </row>
    <row r="512" spans="8:18" x14ac:dyDescent="0.25">
      <c r="H512" t="s">
        <v>530</v>
      </c>
      <c r="I512">
        <v>169.72640000000001</v>
      </c>
      <c r="J512">
        <v>0.35000000000000003</v>
      </c>
      <c r="K512">
        <v>4591.582972000002</v>
      </c>
      <c r="L512" t="s">
        <v>155</v>
      </c>
      <c r="N512" t="s">
        <v>990</v>
      </c>
      <c r="O512">
        <v>224.03713999999999</v>
      </c>
      <c r="P512">
        <v>0.8650000000000001</v>
      </c>
      <c r="Q512">
        <v>31044.344479999982</v>
      </c>
      <c r="R512" t="s">
        <v>1185</v>
      </c>
    </row>
    <row r="513" spans="8:18" x14ac:dyDescent="0.25">
      <c r="H513" t="s">
        <v>557</v>
      </c>
      <c r="I513">
        <v>174.43194</v>
      </c>
      <c r="J513">
        <v>0.35000000000000003</v>
      </c>
      <c r="K513">
        <v>4766.0149120000024</v>
      </c>
      <c r="L513" t="s">
        <v>155</v>
      </c>
      <c r="N513" t="s">
        <v>794</v>
      </c>
      <c r="O513">
        <v>224.34579999999997</v>
      </c>
      <c r="P513">
        <v>0.8650000000000001</v>
      </c>
      <c r="Q513">
        <v>31268.690279999981</v>
      </c>
      <c r="R513" t="s">
        <v>1185</v>
      </c>
    </row>
    <row r="514" spans="8:18" x14ac:dyDescent="0.25">
      <c r="H514" t="s">
        <v>542</v>
      </c>
      <c r="I514">
        <v>169.73493999999999</v>
      </c>
      <c r="J514">
        <v>0.35000000000000003</v>
      </c>
      <c r="K514">
        <v>4935.7498520000026</v>
      </c>
      <c r="L514" t="s">
        <v>155</v>
      </c>
      <c r="N514" t="s">
        <v>904</v>
      </c>
      <c r="O514">
        <v>224.34579999999997</v>
      </c>
      <c r="P514">
        <v>0.8650000000000001</v>
      </c>
      <c r="Q514">
        <v>31493.03607999998</v>
      </c>
      <c r="R514" t="s">
        <v>1185</v>
      </c>
    </row>
    <row r="515" spans="8:18" x14ac:dyDescent="0.25">
      <c r="H515" t="s">
        <v>531</v>
      </c>
      <c r="I515">
        <v>169.966252</v>
      </c>
      <c r="J515">
        <v>0.35000000000000003</v>
      </c>
      <c r="K515">
        <v>5105.7161040000028</v>
      </c>
      <c r="L515" t="s">
        <v>155</v>
      </c>
      <c r="N515" t="s">
        <v>915</v>
      </c>
      <c r="O515">
        <v>158.0754</v>
      </c>
      <c r="P515">
        <v>0.8650000000000001</v>
      </c>
      <c r="Q515">
        <v>31651.111479999981</v>
      </c>
      <c r="R515" t="s">
        <v>1185</v>
      </c>
    </row>
    <row r="516" spans="8:18" x14ac:dyDescent="0.25">
      <c r="H516" t="s">
        <v>518</v>
      </c>
      <c r="I516">
        <v>169.78129999999999</v>
      </c>
      <c r="J516">
        <v>0.35000000000000003</v>
      </c>
      <c r="K516">
        <v>5275.4974040000025</v>
      </c>
      <c r="L516" t="s">
        <v>155</v>
      </c>
      <c r="N516" t="s">
        <v>901</v>
      </c>
      <c r="O516">
        <v>202.1662</v>
      </c>
      <c r="P516">
        <v>0.87</v>
      </c>
      <c r="Q516">
        <v>31853.277679999981</v>
      </c>
      <c r="R516" t="s">
        <v>1185</v>
      </c>
    </row>
    <row r="517" spans="8:18" x14ac:dyDescent="0.25">
      <c r="H517" t="s">
        <v>510</v>
      </c>
      <c r="I517">
        <v>116.20988</v>
      </c>
      <c r="J517">
        <v>0.35499999999999998</v>
      </c>
      <c r="K517">
        <v>5391.7072840000028</v>
      </c>
      <c r="L517" t="s">
        <v>155</v>
      </c>
      <c r="N517" t="s">
        <v>886</v>
      </c>
      <c r="O517">
        <v>202.1662</v>
      </c>
      <c r="P517">
        <v>0.87</v>
      </c>
      <c r="Q517">
        <v>32055.443879999981</v>
      </c>
      <c r="R517" t="s">
        <v>1185</v>
      </c>
    </row>
    <row r="518" spans="8:18" x14ac:dyDescent="0.25">
      <c r="H518" t="s">
        <v>278</v>
      </c>
      <c r="I518">
        <v>108.7264</v>
      </c>
      <c r="J518">
        <v>0.35499999999999998</v>
      </c>
      <c r="K518">
        <v>5500.4336840000024</v>
      </c>
      <c r="L518" t="s">
        <v>155</v>
      </c>
      <c r="N518" t="s">
        <v>1018</v>
      </c>
      <c r="O518">
        <v>228.38888</v>
      </c>
      <c r="P518">
        <v>0.875</v>
      </c>
      <c r="Q518">
        <v>32283.832759999979</v>
      </c>
      <c r="R518" t="s">
        <v>1185</v>
      </c>
    </row>
    <row r="519" spans="8:18" x14ac:dyDescent="0.25">
      <c r="H519" t="s">
        <v>253</v>
      </c>
      <c r="I519">
        <v>108.7264</v>
      </c>
      <c r="J519">
        <v>0.35499999999999998</v>
      </c>
      <c r="K519">
        <v>5609.1600840000019</v>
      </c>
      <c r="L519" t="s">
        <v>155</v>
      </c>
      <c r="N519" t="s">
        <v>968</v>
      </c>
      <c r="O519">
        <v>228.38888</v>
      </c>
      <c r="P519">
        <v>0.875</v>
      </c>
      <c r="Q519">
        <v>32512.221639999978</v>
      </c>
      <c r="R519" t="s">
        <v>1185</v>
      </c>
    </row>
    <row r="520" spans="8:18" x14ac:dyDescent="0.25">
      <c r="H520" t="s">
        <v>254</v>
      </c>
      <c r="I520">
        <v>74.395599999999988</v>
      </c>
      <c r="J520">
        <v>0.35499999999999998</v>
      </c>
      <c r="K520">
        <v>5683.5556840000017</v>
      </c>
      <c r="L520" t="s">
        <v>155</v>
      </c>
      <c r="N520" t="s">
        <v>848</v>
      </c>
      <c r="O520">
        <v>222.72319999999999</v>
      </c>
      <c r="P520">
        <v>0.87500000000000011</v>
      </c>
      <c r="Q520">
        <v>32734.944839999978</v>
      </c>
      <c r="R520" t="s">
        <v>1185</v>
      </c>
    </row>
    <row r="521" spans="8:18" x14ac:dyDescent="0.25">
      <c r="H521" t="s">
        <v>501</v>
      </c>
      <c r="I521">
        <v>106.42060000000001</v>
      </c>
      <c r="J521">
        <v>0.35499999999999998</v>
      </c>
      <c r="K521">
        <v>5789.9762840000021</v>
      </c>
      <c r="L521" t="s">
        <v>155</v>
      </c>
      <c r="N521" t="s">
        <v>912</v>
      </c>
      <c r="O521">
        <v>222.72319999999999</v>
      </c>
      <c r="P521">
        <v>0.87500000000000011</v>
      </c>
      <c r="Q521">
        <v>32957.668039999975</v>
      </c>
      <c r="R521" t="s">
        <v>1186</v>
      </c>
    </row>
    <row r="522" spans="8:18" x14ac:dyDescent="0.25">
      <c r="H522" t="s">
        <v>267</v>
      </c>
      <c r="I522">
        <v>74.395599999999988</v>
      </c>
      <c r="J522">
        <v>0.35499999999999998</v>
      </c>
      <c r="K522">
        <v>5864.371884000002</v>
      </c>
      <c r="L522" t="s">
        <v>155</v>
      </c>
      <c r="N522" t="s">
        <v>917</v>
      </c>
      <c r="O522">
        <v>160.34460000000001</v>
      </c>
      <c r="P522">
        <v>0.87500000000000011</v>
      </c>
      <c r="Q522">
        <v>33118.012639999972</v>
      </c>
      <c r="R522" t="s">
        <v>1186</v>
      </c>
    </row>
    <row r="523" spans="8:18" x14ac:dyDescent="0.25">
      <c r="H523" t="s">
        <v>262</v>
      </c>
      <c r="I523">
        <v>108.7264</v>
      </c>
      <c r="J523">
        <v>0.35499999999999998</v>
      </c>
      <c r="K523">
        <v>5973.0982840000015</v>
      </c>
      <c r="L523" t="s">
        <v>155</v>
      </c>
      <c r="N523" t="s">
        <v>811</v>
      </c>
      <c r="O523">
        <v>223.97980000000001</v>
      </c>
      <c r="P523">
        <v>0.88500000000000012</v>
      </c>
      <c r="Q523">
        <v>33341.992439999973</v>
      </c>
      <c r="R523" t="s">
        <v>1186</v>
      </c>
    </row>
    <row r="524" spans="8:18" x14ac:dyDescent="0.25">
      <c r="H524" t="s">
        <v>521</v>
      </c>
      <c r="I524">
        <v>116.20988</v>
      </c>
      <c r="J524">
        <v>0.35499999999999998</v>
      </c>
      <c r="K524">
        <v>6089.3081640000019</v>
      </c>
      <c r="L524" t="s">
        <v>155</v>
      </c>
      <c r="N524" t="s">
        <v>906</v>
      </c>
      <c r="O524">
        <v>223.97980000000001</v>
      </c>
      <c r="P524">
        <v>0.88500000000000012</v>
      </c>
      <c r="Q524">
        <v>33565.972239999974</v>
      </c>
      <c r="R524" t="s">
        <v>1186</v>
      </c>
    </row>
    <row r="525" spans="8:18" x14ac:dyDescent="0.25">
      <c r="H525" t="s">
        <v>622</v>
      </c>
      <c r="I525">
        <v>106.42060000000001</v>
      </c>
      <c r="J525">
        <v>0.35499999999999998</v>
      </c>
      <c r="K525">
        <v>6195.7287640000022</v>
      </c>
      <c r="L525" t="s">
        <v>155</v>
      </c>
      <c r="N525" t="s">
        <v>868</v>
      </c>
      <c r="O525">
        <v>154.78139999999999</v>
      </c>
      <c r="P525">
        <v>0.89</v>
      </c>
      <c r="Q525">
        <v>33720.753639999974</v>
      </c>
      <c r="R525" t="s">
        <v>1186</v>
      </c>
    </row>
    <row r="526" spans="8:18" x14ac:dyDescent="0.25">
      <c r="H526" t="s">
        <v>276</v>
      </c>
      <c r="I526">
        <v>118.5474</v>
      </c>
      <c r="J526">
        <v>0.35499999999999998</v>
      </c>
      <c r="K526">
        <v>6314.2761640000026</v>
      </c>
      <c r="L526" t="s">
        <v>155</v>
      </c>
      <c r="N526" t="s">
        <v>867</v>
      </c>
      <c r="O526">
        <v>159.84440000000001</v>
      </c>
      <c r="P526">
        <v>0.89</v>
      </c>
      <c r="Q526">
        <v>33880.598039999975</v>
      </c>
      <c r="R526" t="s">
        <v>1186</v>
      </c>
    </row>
    <row r="527" spans="8:18" x14ac:dyDescent="0.25">
      <c r="H527" t="s">
        <v>491</v>
      </c>
      <c r="I527">
        <v>106.42060000000001</v>
      </c>
      <c r="J527">
        <v>0.35499999999999998</v>
      </c>
      <c r="K527">
        <v>6420.696764000003</v>
      </c>
      <c r="L527" t="s">
        <v>155</v>
      </c>
      <c r="N527" t="s">
        <v>858</v>
      </c>
      <c r="O527">
        <v>154.9034</v>
      </c>
      <c r="P527">
        <v>0.89</v>
      </c>
      <c r="Q527">
        <v>34035.501439999978</v>
      </c>
      <c r="R527" t="s">
        <v>1187</v>
      </c>
    </row>
    <row r="528" spans="8:18" x14ac:dyDescent="0.25">
      <c r="H528" t="s">
        <v>245</v>
      </c>
      <c r="I528">
        <v>74.395599999999988</v>
      </c>
      <c r="J528">
        <v>0.35499999999999998</v>
      </c>
      <c r="K528">
        <v>6495.0923640000028</v>
      </c>
      <c r="L528" t="s">
        <v>155</v>
      </c>
      <c r="N528" t="s">
        <v>878</v>
      </c>
      <c r="O528">
        <v>154.9034</v>
      </c>
      <c r="P528">
        <v>0.89</v>
      </c>
      <c r="Q528">
        <v>34190.404839999981</v>
      </c>
      <c r="R528" t="s">
        <v>1187</v>
      </c>
    </row>
    <row r="529" spans="8:18" x14ac:dyDescent="0.25">
      <c r="H529" t="s">
        <v>263</v>
      </c>
      <c r="I529">
        <v>118.5474</v>
      </c>
      <c r="J529">
        <v>0.35499999999999998</v>
      </c>
      <c r="K529">
        <v>6613.6397640000032</v>
      </c>
      <c r="L529" t="s">
        <v>155</v>
      </c>
      <c r="N529" t="s">
        <v>900</v>
      </c>
      <c r="O529">
        <v>229.25019999999998</v>
      </c>
      <c r="P529">
        <v>0.89500000000000002</v>
      </c>
      <c r="Q529">
        <v>34419.655039999983</v>
      </c>
      <c r="R529" t="s">
        <v>1187</v>
      </c>
    </row>
    <row r="530" spans="8:18" x14ac:dyDescent="0.25">
      <c r="H530" t="s">
        <v>480</v>
      </c>
      <c r="I530">
        <v>106.42060000000001</v>
      </c>
      <c r="J530">
        <v>0.35499999999999998</v>
      </c>
      <c r="K530">
        <v>6720.0603640000036</v>
      </c>
      <c r="L530" t="s">
        <v>155</v>
      </c>
      <c r="N530" t="s">
        <v>887</v>
      </c>
      <c r="O530">
        <v>229.25019999999998</v>
      </c>
      <c r="P530">
        <v>0.89500000000000002</v>
      </c>
      <c r="Q530">
        <v>34648.905239999985</v>
      </c>
      <c r="R530" t="s">
        <v>1187</v>
      </c>
    </row>
    <row r="531" spans="8:18" x14ac:dyDescent="0.25">
      <c r="H531" t="s">
        <v>664</v>
      </c>
      <c r="I531">
        <v>157.99</v>
      </c>
      <c r="J531">
        <v>0.35499999999999998</v>
      </c>
      <c r="K531">
        <v>6878.0503640000034</v>
      </c>
      <c r="L531" t="s">
        <v>155</v>
      </c>
      <c r="N531" t="s">
        <v>822</v>
      </c>
      <c r="O531">
        <v>204.81359999999998</v>
      </c>
      <c r="P531">
        <v>0.89999999999999991</v>
      </c>
      <c r="Q531">
        <v>34853.718839999987</v>
      </c>
      <c r="R531" t="s">
        <v>1187</v>
      </c>
    </row>
    <row r="532" spans="8:18" x14ac:dyDescent="0.25">
      <c r="H532" t="s">
        <v>600</v>
      </c>
      <c r="I532">
        <v>106.42060000000001</v>
      </c>
      <c r="J532">
        <v>0.35499999999999998</v>
      </c>
      <c r="K532">
        <v>6984.4709640000037</v>
      </c>
      <c r="L532" t="s">
        <v>155</v>
      </c>
      <c r="N532" t="s">
        <v>909</v>
      </c>
      <c r="O532">
        <v>204.81359999999998</v>
      </c>
      <c r="P532">
        <v>0.89999999999999991</v>
      </c>
      <c r="Q532">
        <v>35058.532439999988</v>
      </c>
      <c r="R532" t="s">
        <v>1187</v>
      </c>
    </row>
    <row r="533" spans="8:18" x14ac:dyDescent="0.25">
      <c r="H533" t="s">
        <v>533</v>
      </c>
      <c r="I533">
        <v>116.16108</v>
      </c>
      <c r="J533">
        <v>0.35499999999999998</v>
      </c>
      <c r="K533">
        <v>7100.6320440000036</v>
      </c>
      <c r="L533" t="s">
        <v>155</v>
      </c>
      <c r="N533" t="s">
        <v>918</v>
      </c>
      <c r="O533">
        <v>154.87899999999999</v>
      </c>
      <c r="P533">
        <v>0.9</v>
      </c>
      <c r="Q533">
        <v>35213.411439999989</v>
      </c>
      <c r="R533" t="s">
        <v>1188</v>
      </c>
    </row>
    <row r="534" spans="8:18" x14ac:dyDescent="0.25">
      <c r="H534" t="s">
        <v>612</v>
      </c>
      <c r="I534">
        <v>106.42060000000001</v>
      </c>
      <c r="J534">
        <v>0.35499999999999998</v>
      </c>
      <c r="K534">
        <v>7207.052644000004</v>
      </c>
      <c r="L534" t="s">
        <v>155</v>
      </c>
      <c r="N534" t="s">
        <v>929</v>
      </c>
      <c r="O534">
        <v>154.8058</v>
      </c>
      <c r="P534">
        <v>0.9</v>
      </c>
      <c r="Q534">
        <v>35368.217239999991</v>
      </c>
      <c r="R534" t="s">
        <v>1188</v>
      </c>
    </row>
    <row r="535" spans="8:18" x14ac:dyDescent="0.25">
      <c r="H535" t="s">
        <v>472</v>
      </c>
      <c r="I535">
        <v>172.7398</v>
      </c>
      <c r="J535">
        <v>0.35500000000000004</v>
      </c>
      <c r="K535">
        <v>7379.7924440000043</v>
      </c>
      <c r="L535" t="s">
        <v>155</v>
      </c>
      <c r="N535" t="s">
        <v>928</v>
      </c>
      <c r="O535">
        <v>159.85659999999999</v>
      </c>
      <c r="P535">
        <v>0.9</v>
      </c>
      <c r="Q535">
        <v>35528.07383999999</v>
      </c>
      <c r="R535" t="s">
        <v>1188</v>
      </c>
    </row>
    <row r="536" spans="8:18" x14ac:dyDescent="0.25">
      <c r="H536" t="s">
        <v>382</v>
      </c>
      <c r="I536">
        <v>172.7398</v>
      </c>
      <c r="J536">
        <v>0.35500000000000004</v>
      </c>
      <c r="K536">
        <v>7552.5322440000045</v>
      </c>
      <c r="L536" t="s">
        <v>155</v>
      </c>
      <c r="N536" t="s">
        <v>939</v>
      </c>
      <c r="O536">
        <v>154.87899999999999</v>
      </c>
      <c r="P536">
        <v>0.9</v>
      </c>
      <c r="Q536">
        <v>35682.952839999991</v>
      </c>
      <c r="R536" t="s">
        <v>1188</v>
      </c>
    </row>
    <row r="537" spans="8:18" x14ac:dyDescent="0.25">
      <c r="H537" t="s">
        <v>499</v>
      </c>
      <c r="I537">
        <v>152.6464</v>
      </c>
      <c r="J537">
        <v>0.36</v>
      </c>
      <c r="K537">
        <v>7705.1786440000042</v>
      </c>
      <c r="L537" t="s">
        <v>155</v>
      </c>
      <c r="N537" t="s">
        <v>993</v>
      </c>
      <c r="O537">
        <v>228.26566</v>
      </c>
      <c r="P537">
        <v>0.90500000000000003</v>
      </c>
      <c r="Q537">
        <v>35911.218499999988</v>
      </c>
      <c r="R537" t="s">
        <v>1188</v>
      </c>
    </row>
    <row r="538" spans="8:18" x14ac:dyDescent="0.25">
      <c r="H538" t="s">
        <v>609</v>
      </c>
      <c r="I538">
        <v>152.65859999999998</v>
      </c>
      <c r="J538">
        <v>0.36</v>
      </c>
      <c r="K538">
        <v>7857.8372440000039</v>
      </c>
      <c r="L538" t="s">
        <v>155</v>
      </c>
      <c r="N538" t="s">
        <v>877</v>
      </c>
      <c r="O538">
        <v>160.34460000000001</v>
      </c>
      <c r="P538">
        <v>0.90500000000000003</v>
      </c>
      <c r="Q538">
        <v>36071.563099999985</v>
      </c>
      <c r="R538" t="s">
        <v>1188</v>
      </c>
    </row>
    <row r="539" spans="8:18" x14ac:dyDescent="0.25">
      <c r="H539" t="s">
        <v>509</v>
      </c>
      <c r="I539">
        <v>152.65859999999998</v>
      </c>
      <c r="J539">
        <v>0.36</v>
      </c>
      <c r="K539">
        <v>8010.4958440000037</v>
      </c>
      <c r="L539" t="s">
        <v>155</v>
      </c>
      <c r="N539" t="s">
        <v>919</v>
      </c>
      <c r="O539">
        <v>160.35679999999999</v>
      </c>
      <c r="P539">
        <v>0.91500000000000004</v>
      </c>
      <c r="Q539">
        <v>36231.919899999986</v>
      </c>
      <c r="R539" t="s">
        <v>1188</v>
      </c>
    </row>
    <row r="540" spans="8:18" x14ac:dyDescent="0.25">
      <c r="H540" t="s">
        <v>498</v>
      </c>
      <c r="I540">
        <v>158.09979999999999</v>
      </c>
      <c r="J540">
        <v>0.36</v>
      </c>
      <c r="K540">
        <v>8168.5956440000036</v>
      </c>
      <c r="L540" t="s">
        <v>155</v>
      </c>
      <c r="N540" t="s">
        <v>908</v>
      </c>
      <c r="O540">
        <v>228.24979999999999</v>
      </c>
      <c r="P540">
        <v>0.92500000000000004</v>
      </c>
      <c r="Q540">
        <v>36460.169699999984</v>
      </c>
      <c r="R540" t="s">
        <v>1188</v>
      </c>
    </row>
    <row r="541" spans="8:18" x14ac:dyDescent="0.25">
      <c r="H541" t="s">
        <v>631</v>
      </c>
      <c r="I541">
        <v>152.65859999999998</v>
      </c>
      <c r="J541">
        <v>0.36</v>
      </c>
      <c r="K541">
        <v>8321.2542440000034</v>
      </c>
      <c r="L541" t="s">
        <v>155</v>
      </c>
      <c r="N541" t="s">
        <v>824</v>
      </c>
      <c r="O541">
        <v>228.24979999999999</v>
      </c>
      <c r="P541">
        <v>0.92500000000000004</v>
      </c>
      <c r="Q541">
        <v>36688.419499999982</v>
      </c>
      <c r="R541" t="s">
        <v>1188</v>
      </c>
    </row>
    <row r="542" spans="8:18" x14ac:dyDescent="0.25">
      <c r="H542" t="s">
        <v>619</v>
      </c>
      <c r="I542">
        <v>158.09979999999999</v>
      </c>
      <c r="J542">
        <v>0.36</v>
      </c>
      <c r="K542">
        <v>8479.3540440000033</v>
      </c>
      <c r="L542" t="s">
        <v>156</v>
      </c>
      <c r="N542" t="s">
        <v>911</v>
      </c>
      <c r="O542">
        <v>202.1662</v>
      </c>
      <c r="P542">
        <v>0.94</v>
      </c>
      <c r="Q542">
        <v>36890.585699999981</v>
      </c>
      <c r="R542" t="s">
        <v>1188</v>
      </c>
    </row>
    <row r="543" spans="8:18" x14ac:dyDescent="0.25">
      <c r="H543" t="s">
        <v>488</v>
      </c>
      <c r="I543">
        <v>152.65859999999998</v>
      </c>
      <c r="J543">
        <v>0.36</v>
      </c>
      <c r="K543">
        <v>8632.012644000004</v>
      </c>
      <c r="L543" t="s">
        <v>156</v>
      </c>
      <c r="N543" t="s">
        <v>834</v>
      </c>
      <c r="O543">
        <v>202.1662</v>
      </c>
      <c r="P543">
        <v>0.94</v>
      </c>
      <c r="Q543">
        <v>37092.751899999981</v>
      </c>
      <c r="R543" t="s">
        <v>1188</v>
      </c>
    </row>
    <row r="544" spans="8:18" x14ac:dyDescent="0.25">
      <c r="H544" t="s">
        <v>620</v>
      </c>
      <c r="I544">
        <v>152.6464</v>
      </c>
      <c r="J544">
        <v>0.36</v>
      </c>
      <c r="K544">
        <v>8784.6590440000036</v>
      </c>
      <c r="L544" t="s">
        <v>156</v>
      </c>
      <c r="N544" t="s">
        <v>920</v>
      </c>
      <c r="O544">
        <v>154.9034</v>
      </c>
      <c r="P544">
        <v>0.94000000000000006</v>
      </c>
      <c r="Q544">
        <v>37247.655299999984</v>
      </c>
      <c r="R544" t="s">
        <v>1188</v>
      </c>
    </row>
    <row r="545" spans="8:18" x14ac:dyDescent="0.25">
      <c r="H545" t="s">
        <v>613</v>
      </c>
      <c r="I545">
        <v>162.18680000000001</v>
      </c>
      <c r="J545">
        <v>0.36000000000000004</v>
      </c>
      <c r="K545">
        <v>8946.8458440000031</v>
      </c>
      <c r="L545" t="s">
        <v>156</v>
      </c>
      <c r="N545" t="s">
        <v>930</v>
      </c>
      <c r="O545">
        <v>159.84440000000001</v>
      </c>
      <c r="P545">
        <v>0.94000000000000006</v>
      </c>
      <c r="Q545">
        <v>37407.499699999986</v>
      </c>
      <c r="R545" t="s">
        <v>1188</v>
      </c>
    </row>
    <row r="546" spans="8:18" x14ac:dyDescent="0.25">
      <c r="H546" t="s">
        <v>522</v>
      </c>
      <c r="I546">
        <v>174.43194</v>
      </c>
      <c r="J546">
        <v>0.36000000000000004</v>
      </c>
      <c r="K546">
        <v>9121.2777840000035</v>
      </c>
      <c r="L546" t="s">
        <v>156</v>
      </c>
      <c r="N546" t="s">
        <v>941</v>
      </c>
      <c r="O546">
        <v>154.9034</v>
      </c>
      <c r="P546">
        <v>0.94000000000000006</v>
      </c>
      <c r="Q546">
        <v>37562.403099999989</v>
      </c>
      <c r="R546" t="s">
        <v>1188</v>
      </c>
    </row>
    <row r="547" spans="8:18" x14ac:dyDescent="0.25">
      <c r="H547" t="s">
        <v>492</v>
      </c>
      <c r="I547">
        <v>162.18680000000001</v>
      </c>
      <c r="J547">
        <v>0.36000000000000004</v>
      </c>
      <c r="K547">
        <v>9283.464584000003</v>
      </c>
      <c r="L547" t="s">
        <v>156</v>
      </c>
      <c r="N547" t="s">
        <v>931</v>
      </c>
      <c r="O547">
        <v>154.78139999999999</v>
      </c>
      <c r="P547">
        <v>0.94000000000000006</v>
      </c>
      <c r="Q547">
        <v>37717.184499999988</v>
      </c>
      <c r="R547" t="s">
        <v>1188</v>
      </c>
    </row>
    <row r="548" spans="8:18" x14ac:dyDescent="0.25">
      <c r="H548" t="s">
        <v>257</v>
      </c>
      <c r="I548">
        <v>118.4498</v>
      </c>
      <c r="J548">
        <v>0.36499999999999999</v>
      </c>
      <c r="K548">
        <v>9401.9143840000033</v>
      </c>
      <c r="L548" t="s">
        <v>156</v>
      </c>
      <c r="N548" t="s">
        <v>995</v>
      </c>
      <c r="O548">
        <v>228.38888</v>
      </c>
      <c r="P548">
        <v>0.94500000000000006</v>
      </c>
      <c r="Q548">
        <v>37945.573379999987</v>
      </c>
      <c r="R548" t="s">
        <v>1188</v>
      </c>
    </row>
    <row r="549" spans="8:18" x14ac:dyDescent="0.25">
      <c r="H549" t="s">
        <v>558</v>
      </c>
      <c r="I549">
        <v>117.49942</v>
      </c>
      <c r="J549">
        <v>0.36499999999999999</v>
      </c>
      <c r="K549">
        <v>9519.4138040000034</v>
      </c>
      <c r="L549" t="s">
        <v>156</v>
      </c>
      <c r="N549" t="s">
        <v>921</v>
      </c>
      <c r="O549">
        <v>160.34460000000001</v>
      </c>
      <c r="P549">
        <v>0.95500000000000007</v>
      </c>
      <c r="Q549">
        <v>38105.917979999984</v>
      </c>
      <c r="R549" t="s">
        <v>1188</v>
      </c>
    </row>
    <row r="550" spans="8:18" x14ac:dyDescent="0.25">
      <c r="H550" t="s">
        <v>657</v>
      </c>
      <c r="I550">
        <v>156.8432</v>
      </c>
      <c r="J550">
        <v>0.36499999999999999</v>
      </c>
      <c r="K550">
        <v>9676.2570040000028</v>
      </c>
      <c r="L550" t="s">
        <v>156</v>
      </c>
      <c r="N550" t="s">
        <v>910</v>
      </c>
      <c r="O550">
        <v>229.25019999999998</v>
      </c>
      <c r="P550">
        <v>0.96500000000000008</v>
      </c>
      <c r="Q550">
        <v>38335.168179999986</v>
      </c>
      <c r="R550" t="s">
        <v>1188</v>
      </c>
    </row>
    <row r="551" spans="8:18" x14ac:dyDescent="0.25">
      <c r="H551" t="s">
        <v>244</v>
      </c>
      <c r="I551">
        <v>134.59039999999999</v>
      </c>
      <c r="J551">
        <v>0.36499999999999999</v>
      </c>
      <c r="K551">
        <v>9810.8474040000019</v>
      </c>
      <c r="L551" t="s">
        <v>156</v>
      </c>
      <c r="N551" t="s">
        <v>837</v>
      </c>
      <c r="O551">
        <v>229.25019999999998</v>
      </c>
      <c r="P551">
        <v>0.96500000000000008</v>
      </c>
      <c r="Q551">
        <v>38564.418379999988</v>
      </c>
      <c r="R551" t="s">
        <v>1188</v>
      </c>
    </row>
    <row r="552" spans="8:18" x14ac:dyDescent="0.25">
      <c r="H552" t="s">
        <v>268</v>
      </c>
      <c r="I552">
        <v>118.4498</v>
      </c>
      <c r="J552">
        <v>0.36499999999999999</v>
      </c>
      <c r="K552">
        <v>9929.2972040000022</v>
      </c>
      <c r="L552" t="s">
        <v>156</v>
      </c>
      <c r="N552" t="s">
        <v>859</v>
      </c>
      <c r="O552">
        <v>160.89359999999999</v>
      </c>
      <c r="P552">
        <v>0.505</v>
      </c>
      <c r="Q552">
        <v>160.89359999999999</v>
      </c>
      <c r="R552" t="s">
        <v>1177</v>
      </c>
    </row>
    <row r="553" spans="8:18" x14ac:dyDescent="0.25">
      <c r="H553" t="s">
        <v>481</v>
      </c>
      <c r="I553">
        <v>160.23480000000001</v>
      </c>
      <c r="J553">
        <v>0.36500000000000005</v>
      </c>
      <c r="K553">
        <v>10089.532004000002</v>
      </c>
      <c r="L553" t="s">
        <v>156</v>
      </c>
      <c r="N553" t="s">
        <v>1128</v>
      </c>
      <c r="O553">
        <v>160.89359999999999</v>
      </c>
      <c r="P553">
        <v>0.505</v>
      </c>
      <c r="Q553">
        <v>321.78719999999998</v>
      </c>
      <c r="R553" t="s">
        <v>1177</v>
      </c>
    </row>
    <row r="554" spans="8:18" x14ac:dyDescent="0.25">
      <c r="H554" t="s">
        <v>601</v>
      </c>
      <c r="I554">
        <v>160.23480000000001</v>
      </c>
      <c r="J554">
        <v>0.36500000000000005</v>
      </c>
      <c r="K554">
        <v>10249.766804000003</v>
      </c>
      <c r="L554" t="s">
        <v>156</v>
      </c>
      <c r="N554" t="s">
        <v>876</v>
      </c>
      <c r="O554">
        <v>160.89359999999999</v>
      </c>
      <c r="P554">
        <v>0.505</v>
      </c>
      <c r="Q554">
        <v>482.68079999999998</v>
      </c>
      <c r="R554" t="s">
        <v>1177</v>
      </c>
    </row>
    <row r="555" spans="8:18" x14ac:dyDescent="0.25">
      <c r="H555" t="s">
        <v>621</v>
      </c>
      <c r="I555">
        <v>160.23480000000001</v>
      </c>
      <c r="J555">
        <v>0.36500000000000005</v>
      </c>
      <c r="K555">
        <v>10410.001604000003</v>
      </c>
      <c r="L555" t="s">
        <v>156</v>
      </c>
      <c r="N555" t="s">
        <v>758</v>
      </c>
      <c r="O555">
        <v>120.25539999999999</v>
      </c>
      <c r="P555">
        <v>0.505</v>
      </c>
      <c r="Q555">
        <v>602.93619999999999</v>
      </c>
      <c r="R555" t="s">
        <v>1177</v>
      </c>
    </row>
    <row r="556" spans="8:18" x14ac:dyDescent="0.25">
      <c r="H556" t="s">
        <v>500</v>
      </c>
      <c r="I556">
        <v>160.23480000000001</v>
      </c>
      <c r="J556">
        <v>0.36500000000000005</v>
      </c>
      <c r="K556">
        <v>10570.236404000003</v>
      </c>
      <c r="L556" t="s">
        <v>156</v>
      </c>
      <c r="N556" t="s">
        <v>888</v>
      </c>
      <c r="O556">
        <v>175.93620000000001</v>
      </c>
      <c r="P556">
        <v>0.505</v>
      </c>
      <c r="Q556">
        <v>778.87239999999997</v>
      </c>
      <c r="R556" t="s">
        <v>1177</v>
      </c>
    </row>
    <row r="557" spans="8:18" x14ac:dyDescent="0.25">
      <c r="H557" t="s">
        <v>511</v>
      </c>
      <c r="I557">
        <v>180.00489999999999</v>
      </c>
      <c r="J557">
        <v>0.36500000000000005</v>
      </c>
      <c r="K557">
        <v>10750.241304000003</v>
      </c>
      <c r="L557" t="s">
        <v>156</v>
      </c>
      <c r="N557" t="s">
        <v>849</v>
      </c>
      <c r="O557">
        <v>175.55311999999998</v>
      </c>
      <c r="P557">
        <v>0.505</v>
      </c>
      <c r="Q557">
        <v>954.42552000000001</v>
      </c>
      <c r="R557" t="s">
        <v>1177</v>
      </c>
    </row>
    <row r="558" spans="8:18" x14ac:dyDescent="0.25">
      <c r="H558" t="s">
        <v>532</v>
      </c>
      <c r="I558">
        <v>176.48886000000002</v>
      </c>
      <c r="J558">
        <v>0.36500000000000005</v>
      </c>
      <c r="K558">
        <v>10926.730164000002</v>
      </c>
      <c r="L558" t="s">
        <v>156</v>
      </c>
      <c r="N558" t="s">
        <v>890</v>
      </c>
      <c r="O558">
        <v>175.93620000000001</v>
      </c>
      <c r="P558">
        <v>0.505</v>
      </c>
      <c r="Q558">
        <v>1130.3617200000001</v>
      </c>
      <c r="R558" t="s">
        <v>1177</v>
      </c>
    </row>
    <row r="559" spans="8:18" x14ac:dyDescent="0.25">
      <c r="H559" t="s">
        <v>475</v>
      </c>
      <c r="I559">
        <v>172.203</v>
      </c>
      <c r="J559">
        <v>0.37</v>
      </c>
      <c r="K559">
        <v>11098.933164000002</v>
      </c>
      <c r="L559" t="s">
        <v>156</v>
      </c>
      <c r="N559" t="s">
        <v>827</v>
      </c>
      <c r="O559">
        <v>175.57141999999999</v>
      </c>
      <c r="P559">
        <v>0.505</v>
      </c>
      <c r="Q559">
        <v>1305.9331400000001</v>
      </c>
      <c r="R559" t="s">
        <v>1177</v>
      </c>
    </row>
    <row r="560" spans="8:18" x14ac:dyDescent="0.25">
      <c r="H560" t="s">
        <v>386</v>
      </c>
      <c r="I560">
        <v>172.203</v>
      </c>
      <c r="J560">
        <v>0.37</v>
      </c>
      <c r="K560">
        <v>11271.136164000001</v>
      </c>
      <c r="L560" t="s">
        <v>156</v>
      </c>
      <c r="N560" t="s">
        <v>1141</v>
      </c>
      <c r="O560">
        <v>160.89359999999999</v>
      </c>
      <c r="P560">
        <v>0.505</v>
      </c>
      <c r="Q560">
        <v>1466.82674</v>
      </c>
      <c r="R560" t="s">
        <v>1177</v>
      </c>
    </row>
    <row r="561" spans="8:18" x14ac:dyDescent="0.25">
      <c r="H561" t="s">
        <v>568</v>
      </c>
      <c r="I561">
        <v>172.24814000000001</v>
      </c>
      <c r="J561">
        <v>0.37000000000000005</v>
      </c>
      <c r="K561">
        <v>11443.384304000001</v>
      </c>
      <c r="L561" t="s">
        <v>156</v>
      </c>
      <c r="N561" t="s">
        <v>756</v>
      </c>
      <c r="O561">
        <v>110.91019999999999</v>
      </c>
      <c r="P561">
        <v>0.505</v>
      </c>
      <c r="Q561">
        <v>1577.73694</v>
      </c>
      <c r="R561" t="s">
        <v>1177</v>
      </c>
    </row>
    <row r="562" spans="8:18" x14ac:dyDescent="0.25">
      <c r="H562" t="s">
        <v>579</v>
      </c>
      <c r="I562">
        <v>169.78129999999999</v>
      </c>
      <c r="J562">
        <v>0.37000000000000005</v>
      </c>
      <c r="K562">
        <v>11613.165604000002</v>
      </c>
      <c r="L562" t="s">
        <v>156</v>
      </c>
      <c r="N562" t="s">
        <v>1109</v>
      </c>
      <c r="O562">
        <v>160.64959999999999</v>
      </c>
      <c r="P562">
        <v>0.505</v>
      </c>
      <c r="Q562">
        <v>1738.38654</v>
      </c>
      <c r="R562" t="s">
        <v>1177</v>
      </c>
    </row>
    <row r="563" spans="8:18" x14ac:dyDescent="0.25">
      <c r="H563" t="s">
        <v>550</v>
      </c>
      <c r="I563">
        <v>172.2945</v>
      </c>
      <c r="J563">
        <v>0.37000000000000005</v>
      </c>
      <c r="K563">
        <v>11785.460104000002</v>
      </c>
      <c r="L563" t="s">
        <v>156</v>
      </c>
      <c r="N563" t="s">
        <v>902</v>
      </c>
      <c r="O563">
        <v>173.1302</v>
      </c>
      <c r="P563">
        <v>0.51500000000000001</v>
      </c>
      <c r="Q563">
        <v>1911.51674</v>
      </c>
      <c r="R563" t="s">
        <v>1177</v>
      </c>
    </row>
    <row r="564" spans="8:18" x14ac:dyDescent="0.25">
      <c r="H564" t="s">
        <v>599</v>
      </c>
      <c r="I564">
        <v>169.73493999999999</v>
      </c>
      <c r="J564">
        <v>0.37000000000000005</v>
      </c>
      <c r="K564">
        <v>11955.195044000002</v>
      </c>
      <c r="L564" t="s">
        <v>157</v>
      </c>
      <c r="N564" t="s">
        <v>783</v>
      </c>
      <c r="O564">
        <v>108.64099999999999</v>
      </c>
      <c r="P564">
        <v>0.51500000000000001</v>
      </c>
      <c r="Q564">
        <v>2020.1577400000001</v>
      </c>
      <c r="R564" t="s">
        <v>1177</v>
      </c>
    </row>
    <row r="565" spans="8:18" x14ac:dyDescent="0.25">
      <c r="H565" t="s">
        <v>512</v>
      </c>
      <c r="I565">
        <v>117.49942</v>
      </c>
      <c r="J565">
        <v>0.375</v>
      </c>
      <c r="K565">
        <v>12072.694464000002</v>
      </c>
      <c r="L565" t="s">
        <v>157</v>
      </c>
      <c r="N565" t="s">
        <v>778</v>
      </c>
      <c r="O565">
        <v>118.4498</v>
      </c>
      <c r="P565">
        <v>0.51500000000000001</v>
      </c>
      <c r="Q565">
        <v>2138.60754</v>
      </c>
      <c r="R565" t="s">
        <v>1177</v>
      </c>
    </row>
    <row r="566" spans="8:18" x14ac:dyDescent="0.25">
      <c r="H566" t="s">
        <v>592</v>
      </c>
      <c r="I566">
        <v>116.16108</v>
      </c>
      <c r="J566">
        <v>0.375</v>
      </c>
      <c r="K566">
        <v>12188.855544000002</v>
      </c>
      <c r="L566" t="s">
        <v>157</v>
      </c>
      <c r="N566" t="s">
        <v>754</v>
      </c>
      <c r="O566">
        <v>118.4132</v>
      </c>
      <c r="P566">
        <v>0.51500000000000001</v>
      </c>
      <c r="Q566">
        <v>2257.0207399999999</v>
      </c>
      <c r="R566" t="s">
        <v>1177</v>
      </c>
    </row>
    <row r="567" spans="8:18" x14ac:dyDescent="0.25">
      <c r="H567" t="s">
        <v>256</v>
      </c>
      <c r="I567">
        <v>75.420400000000001</v>
      </c>
      <c r="J567">
        <v>0.375</v>
      </c>
      <c r="K567">
        <v>12264.275944000003</v>
      </c>
      <c r="L567" t="s">
        <v>157</v>
      </c>
      <c r="N567" t="s">
        <v>781</v>
      </c>
      <c r="O567">
        <v>108.64099999999999</v>
      </c>
      <c r="P567">
        <v>0.51500000000000001</v>
      </c>
      <c r="Q567">
        <v>2365.66174</v>
      </c>
      <c r="R567" t="s">
        <v>1177</v>
      </c>
    </row>
    <row r="568" spans="8:18" x14ac:dyDescent="0.25">
      <c r="H568" t="s">
        <v>503</v>
      </c>
      <c r="I568">
        <v>108.42140000000001</v>
      </c>
      <c r="J568">
        <v>0.375</v>
      </c>
      <c r="K568">
        <v>12372.697344000002</v>
      </c>
      <c r="L568" t="s">
        <v>157</v>
      </c>
      <c r="N568" t="s">
        <v>775</v>
      </c>
      <c r="O568">
        <v>108.64099999999999</v>
      </c>
      <c r="P568">
        <v>0.51500000000000001</v>
      </c>
      <c r="Q568">
        <v>2474.3027400000001</v>
      </c>
      <c r="R568" t="s">
        <v>1177</v>
      </c>
    </row>
    <row r="569" spans="8:18" x14ac:dyDescent="0.25">
      <c r="H569" t="s">
        <v>602</v>
      </c>
      <c r="I569">
        <v>108.42140000000001</v>
      </c>
      <c r="J569">
        <v>0.375</v>
      </c>
      <c r="K569">
        <v>12481.118744000001</v>
      </c>
      <c r="L569" t="s">
        <v>157</v>
      </c>
      <c r="N569" t="s">
        <v>895</v>
      </c>
      <c r="O569">
        <v>117.47380000000001</v>
      </c>
      <c r="P569">
        <v>0.51500000000000001</v>
      </c>
      <c r="Q569">
        <v>2591.7765400000003</v>
      </c>
      <c r="R569" t="s">
        <v>1177</v>
      </c>
    </row>
    <row r="570" spans="8:18" x14ac:dyDescent="0.25">
      <c r="H570" t="s">
        <v>252</v>
      </c>
      <c r="I570">
        <v>134.4196</v>
      </c>
      <c r="J570">
        <v>0.375</v>
      </c>
      <c r="K570">
        <v>12615.538344000001</v>
      </c>
      <c r="L570" t="s">
        <v>157</v>
      </c>
      <c r="N570" t="s">
        <v>777</v>
      </c>
      <c r="O570">
        <v>118.4498</v>
      </c>
      <c r="P570">
        <v>0.51500000000000001</v>
      </c>
      <c r="Q570">
        <v>2710.2263400000002</v>
      </c>
      <c r="R570" t="s">
        <v>1177</v>
      </c>
    </row>
    <row r="571" spans="8:18" x14ac:dyDescent="0.25">
      <c r="H571" t="s">
        <v>644</v>
      </c>
      <c r="I571">
        <v>107.95779999999999</v>
      </c>
      <c r="J571">
        <v>0.375</v>
      </c>
      <c r="K571">
        <v>12723.496144000001</v>
      </c>
      <c r="L571" t="s">
        <v>157</v>
      </c>
      <c r="N571" t="s">
        <v>776</v>
      </c>
      <c r="O571">
        <v>118.4498</v>
      </c>
      <c r="P571">
        <v>0.52500000000000002</v>
      </c>
      <c r="Q571">
        <v>2828.67614</v>
      </c>
      <c r="R571" t="s">
        <v>1177</v>
      </c>
    </row>
    <row r="572" spans="8:18" x14ac:dyDescent="0.25">
      <c r="H572" t="s">
        <v>482</v>
      </c>
      <c r="I572">
        <v>108.42140000000001</v>
      </c>
      <c r="J572">
        <v>0.375</v>
      </c>
      <c r="K572">
        <v>12831.917544</v>
      </c>
      <c r="L572" t="s">
        <v>157</v>
      </c>
      <c r="N572" t="s">
        <v>893</v>
      </c>
      <c r="O572">
        <v>172.7398</v>
      </c>
      <c r="P572">
        <v>0.52500000000000002</v>
      </c>
      <c r="Q572">
        <v>3001.4159399999999</v>
      </c>
      <c r="R572" t="s">
        <v>1177</v>
      </c>
    </row>
    <row r="573" spans="8:18" x14ac:dyDescent="0.25">
      <c r="H573" t="s">
        <v>535</v>
      </c>
      <c r="I573">
        <v>117.45062</v>
      </c>
      <c r="J573">
        <v>0.375</v>
      </c>
      <c r="K573">
        <v>12949.368164</v>
      </c>
      <c r="L573" t="s">
        <v>157</v>
      </c>
      <c r="N573" t="s">
        <v>1119</v>
      </c>
      <c r="O573">
        <v>157.99</v>
      </c>
      <c r="P573">
        <v>0.52500000000000002</v>
      </c>
      <c r="Q573">
        <v>3159.4059399999996</v>
      </c>
      <c r="R573" t="s">
        <v>1177</v>
      </c>
    </row>
    <row r="574" spans="8:18" x14ac:dyDescent="0.25">
      <c r="H574" t="s">
        <v>614</v>
      </c>
      <c r="I574">
        <v>108.42140000000001</v>
      </c>
      <c r="J574">
        <v>0.375</v>
      </c>
      <c r="K574">
        <v>13057.789563999999</v>
      </c>
      <c r="L574" t="s">
        <v>157</v>
      </c>
      <c r="N574" t="s">
        <v>786</v>
      </c>
      <c r="O574">
        <v>134.3708</v>
      </c>
      <c r="P574">
        <v>0.53500000000000003</v>
      </c>
      <c r="Q574">
        <v>3293.7767399999998</v>
      </c>
      <c r="R574" t="s">
        <v>1177</v>
      </c>
    </row>
    <row r="575" spans="8:18" x14ac:dyDescent="0.25">
      <c r="H575" t="s">
        <v>573</v>
      </c>
      <c r="I575">
        <v>116.20988</v>
      </c>
      <c r="J575">
        <v>0.375</v>
      </c>
      <c r="K575">
        <v>13173.999443999999</v>
      </c>
      <c r="L575" t="s">
        <v>157</v>
      </c>
      <c r="N575" t="s">
        <v>1111</v>
      </c>
      <c r="O575">
        <v>156.8432</v>
      </c>
      <c r="P575">
        <v>0.53500000000000003</v>
      </c>
      <c r="Q575">
        <v>3450.6199399999996</v>
      </c>
      <c r="R575" t="s">
        <v>1177</v>
      </c>
    </row>
    <row r="576" spans="8:18" x14ac:dyDescent="0.25">
      <c r="H576" t="s">
        <v>270</v>
      </c>
      <c r="I576">
        <v>75.420400000000001</v>
      </c>
      <c r="J576">
        <v>0.375</v>
      </c>
      <c r="K576">
        <v>13249.419844</v>
      </c>
      <c r="L576" t="s">
        <v>157</v>
      </c>
      <c r="N576" t="s">
        <v>899</v>
      </c>
      <c r="O576">
        <v>172.203</v>
      </c>
      <c r="P576">
        <v>0.54</v>
      </c>
      <c r="Q576">
        <v>3622.8229399999996</v>
      </c>
      <c r="R576" t="s">
        <v>1177</v>
      </c>
    </row>
    <row r="577" spans="8:18" x14ac:dyDescent="0.25">
      <c r="H577" t="s">
        <v>247</v>
      </c>
      <c r="I577">
        <v>75.420400000000001</v>
      </c>
      <c r="J577">
        <v>0.375</v>
      </c>
      <c r="K577">
        <v>13324.840244000001</v>
      </c>
      <c r="L577" t="s">
        <v>157</v>
      </c>
      <c r="N577" t="s">
        <v>757</v>
      </c>
      <c r="O577">
        <v>108.64099999999999</v>
      </c>
      <c r="P577">
        <v>0.54500000000000004</v>
      </c>
      <c r="Q577">
        <v>3731.4639399999996</v>
      </c>
      <c r="R577" t="s">
        <v>1177</v>
      </c>
    </row>
    <row r="578" spans="8:18" x14ac:dyDescent="0.25">
      <c r="H578" t="s">
        <v>624</v>
      </c>
      <c r="I578">
        <v>108.42140000000001</v>
      </c>
      <c r="J578">
        <v>0.375</v>
      </c>
      <c r="K578">
        <v>13433.261644</v>
      </c>
      <c r="L578" t="s">
        <v>157</v>
      </c>
      <c r="N578" t="s">
        <v>1083</v>
      </c>
      <c r="O578">
        <v>160.64959999999999</v>
      </c>
      <c r="P578">
        <v>0.55500000000000005</v>
      </c>
      <c r="Q578">
        <v>3892.1135399999998</v>
      </c>
      <c r="R578" t="s">
        <v>1177</v>
      </c>
    </row>
    <row r="579" spans="8:18" x14ac:dyDescent="0.25">
      <c r="H579" t="s">
        <v>525</v>
      </c>
      <c r="I579">
        <v>117.49942</v>
      </c>
      <c r="J579">
        <v>0.375</v>
      </c>
      <c r="K579">
        <v>13550.761064</v>
      </c>
      <c r="L579" t="s">
        <v>157</v>
      </c>
      <c r="N579" t="s">
        <v>755</v>
      </c>
      <c r="O579">
        <v>120.69460000000001</v>
      </c>
      <c r="P579">
        <v>0.55500000000000005</v>
      </c>
      <c r="Q579">
        <v>4012.8081399999996</v>
      </c>
      <c r="R579" t="s">
        <v>1177</v>
      </c>
    </row>
    <row r="580" spans="8:18" x14ac:dyDescent="0.25">
      <c r="H580" t="s">
        <v>493</v>
      </c>
      <c r="I580">
        <v>108.42140000000001</v>
      </c>
      <c r="J580">
        <v>0.375</v>
      </c>
      <c r="K580">
        <v>13659.182464</v>
      </c>
      <c r="L580" t="s">
        <v>157</v>
      </c>
      <c r="N580" t="s">
        <v>797</v>
      </c>
      <c r="O580">
        <v>169.72640000000001</v>
      </c>
      <c r="P580">
        <v>0.55999999999999994</v>
      </c>
      <c r="Q580">
        <v>4182.5345399999997</v>
      </c>
      <c r="R580" t="s">
        <v>1177</v>
      </c>
    </row>
    <row r="581" spans="8:18" x14ac:dyDescent="0.25">
      <c r="H581" t="s">
        <v>519</v>
      </c>
      <c r="I581">
        <v>173.15338</v>
      </c>
      <c r="J581">
        <v>0.37500000000000006</v>
      </c>
      <c r="K581">
        <v>13832.335843999999</v>
      </c>
      <c r="L581" t="s">
        <v>157</v>
      </c>
      <c r="N581" t="s">
        <v>800</v>
      </c>
      <c r="O581">
        <v>169.966252</v>
      </c>
      <c r="P581">
        <v>0.55999999999999994</v>
      </c>
      <c r="Q581">
        <v>4352.5007919999998</v>
      </c>
      <c r="R581" t="s">
        <v>1177</v>
      </c>
    </row>
    <row r="582" spans="8:18" x14ac:dyDescent="0.25">
      <c r="H582" t="s">
        <v>540</v>
      </c>
      <c r="I582">
        <v>173.15338</v>
      </c>
      <c r="J582">
        <v>0.37500000000000006</v>
      </c>
      <c r="K582">
        <v>14005.489223999999</v>
      </c>
      <c r="L582" t="s">
        <v>157</v>
      </c>
      <c r="N582" t="s">
        <v>1114</v>
      </c>
      <c r="O582">
        <v>160.50319999999999</v>
      </c>
      <c r="P582">
        <v>0.56500000000000006</v>
      </c>
      <c r="Q582">
        <v>4513.0039919999999</v>
      </c>
      <c r="R582" t="s">
        <v>1177</v>
      </c>
    </row>
    <row r="583" spans="8:18" x14ac:dyDescent="0.25">
      <c r="H583" t="s">
        <v>658</v>
      </c>
      <c r="I583">
        <v>155.12299999999999</v>
      </c>
      <c r="J583">
        <v>0.38</v>
      </c>
      <c r="K583">
        <v>14160.612223999999</v>
      </c>
      <c r="L583" t="s">
        <v>157</v>
      </c>
      <c r="N583" t="s">
        <v>896</v>
      </c>
      <c r="O583">
        <v>175.64339999999999</v>
      </c>
      <c r="P583">
        <v>0.56500000000000006</v>
      </c>
      <c r="Q583">
        <v>4688.6473919999999</v>
      </c>
      <c r="R583" t="s">
        <v>1177</v>
      </c>
    </row>
    <row r="584" spans="8:18" x14ac:dyDescent="0.25">
      <c r="H584" t="s">
        <v>580</v>
      </c>
      <c r="I584">
        <v>173.02649999999997</v>
      </c>
      <c r="J584">
        <v>0.38</v>
      </c>
      <c r="K584">
        <v>14333.638723999999</v>
      </c>
      <c r="L584" t="s">
        <v>157</v>
      </c>
      <c r="N584" t="s">
        <v>370</v>
      </c>
      <c r="O584">
        <v>174.43194</v>
      </c>
      <c r="P584">
        <v>0.56999999999999995</v>
      </c>
      <c r="Q584">
        <v>4863.0793320000002</v>
      </c>
      <c r="R584" t="s">
        <v>1177</v>
      </c>
    </row>
    <row r="585" spans="8:18" x14ac:dyDescent="0.25">
      <c r="H585" t="s">
        <v>432</v>
      </c>
      <c r="I585">
        <v>160.21039999999999</v>
      </c>
      <c r="J585">
        <v>0.38</v>
      </c>
      <c r="K585">
        <v>14493.849123999998</v>
      </c>
      <c r="L585" t="s">
        <v>157</v>
      </c>
      <c r="N585" t="s">
        <v>353</v>
      </c>
      <c r="O585">
        <v>109.75119999999998</v>
      </c>
      <c r="P585">
        <v>0.57500000000000007</v>
      </c>
      <c r="Q585">
        <v>4972.8305319999999</v>
      </c>
      <c r="R585" t="s">
        <v>1177</v>
      </c>
    </row>
    <row r="586" spans="8:18" x14ac:dyDescent="0.25">
      <c r="H586" t="s">
        <v>684</v>
      </c>
      <c r="I586">
        <v>160.21039999999999</v>
      </c>
      <c r="J586">
        <v>0.38</v>
      </c>
      <c r="K586">
        <v>14654.059523999998</v>
      </c>
      <c r="L586" t="s">
        <v>157</v>
      </c>
      <c r="N586" t="s">
        <v>337</v>
      </c>
      <c r="O586">
        <v>119.5356</v>
      </c>
      <c r="P586">
        <v>0.57500000000000007</v>
      </c>
      <c r="Q586">
        <v>5092.3661320000001</v>
      </c>
      <c r="R586" t="s">
        <v>1177</v>
      </c>
    </row>
    <row r="587" spans="8:18" x14ac:dyDescent="0.25">
      <c r="H587" t="s">
        <v>396</v>
      </c>
      <c r="I587">
        <v>173.02649999999997</v>
      </c>
      <c r="J587">
        <v>0.38</v>
      </c>
      <c r="K587">
        <v>14827.086023999998</v>
      </c>
      <c r="L587" t="s">
        <v>157</v>
      </c>
      <c r="N587" t="s">
        <v>641</v>
      </c>
      <c r="O587">
        <v>157.99</v>
      </c>
      <c r="P587">
        <v>0.57500000000000007</v>
      </c>
      <c r="Q587">
        <v>5250.3561319999999</v>
      </c>
      <c r="R587" t="s">
        <v>1177</v>
      </c>
    </row>
    <row r="588" spans="8:18" x14ac:dyDescent="0.25">
      <c r="H588" t="s">
        <v>653</v>
      </c>
      <c r="I588">
        <v>152.60980000000001</v>
      </c>
      <c r="J588">
        <v>0.38</v>
      </c>
      <c r="K588">
        <v>14979.695823999999</v>
      </c>
      <c r="L588" t="s">
        <v>157</v>
      </c>
      <c r="N588" t="s">
        <v>338</v>
      </c>
      <c r="O588">
        <v>109.75119999999998</v>
      </c>
      <c r="P588">
        <v>0.57500000000000007</v>
      </c>
      <c r="Q588">
        <v>5360.1073319999996</v>
      </c>
      <c r="R588" t="s">
        <v>1177</v>
      </c>
    </row>
    <row r="589" spans="8:18" x14ac:dyDescent="0.25">
      <c r="H589" t="s">
        <v>333</v>
      </c>
      <c r="I589">
        <v>110.4344</v>
      </c>
      <c r="J589">
        <v>0.38500000000000001</v>
      </c>
      <c r="K589">
        <v>15090.130223999999</v>
      </c>
      <c r="L589" t="s">
        <v>157</v>
      </c>
      <c r="N589" t="s">
        <v>590</v>
      </c>
      <c r="O589">
        <v>176.48886000000002</v>
      </c>
      <c r="P589">
        <v>0.57750000000000001</v>
      </c>
      <c r="Q589">
        <v>5536.596192</v>
      </c>
      <c r="R589" t="s">
        <v>1177</v>
      </c>
    </row>
    <row r="590" spans="8:18" x14ac:dyDescent="0.25">
      <c r="H590" t="s">
        <v>642</v>
      </c>
      <c r="I590">
        <v>160.64959999999999</v>
      </c>
      <c r="J590">
        <v>0.38500000000000001</v>
      </c>
      <c r="K590">
        <v>15250.779823999999</v>
      </c>
      <c r="L590" t="s">
        <v>157</v>
      </c>
      <c r="N590" t="s">
        <v>467</v>
      </c>
      <c r="O590">
        <v>172.49579999999997</v>
      </c>
      <c r="P590">
        <v>0.58000000000000007</v>
      </c>
      <c r="Q590">
        <v>5709.0919919999997</v>
      </c>
      <c r="R590" t="s">
        <v>1177</v>
      </c>
    </row>
    <row r="591" spans="8:18" x14ac:dyDescent="0.25">
      <c r="H591" t="s">
        <v>508</v>
      </c>
      <c r="I591">
        <v>158.08760000000001</v>
      </c>
      <c r="J591">
        <v>0.38500000000000001</v>
      </c>
      <c r="K591">
        <v>15408.867424</v>
      </c>
      <c r="L591" t="s">
        <v>157</v>
      </c>
      <c r="N591" t="s">
        <v>547</v>
      </c>
      <c r="O591">
        <v>169.78129999999999</v>
      </c>
      <c r="P591">
        <v>0.58250000000000002</v>
      </c>
      <c r="Q591">
        <v>5878.8732919999993</v>
      </c>
      <c r="R591" t="s">
        <v>1177</v>
      </c>
    </row>
    <row r="592" spans="8:18" x14ac:dyDescent="0.25">
      <c r="H592" t="s">
        <v>489</v>
      </c>
      <c r="I592">
        <v>158.08760000000001</v>
      </c>
      <c r="J592">
        <v>0.38500000000000001</v>
      </c>
      <c r="K592">
        <v>15566.955024000001</v>
      </c>
      <c r="L592" t="s">
        <v>158</v>
      </c>
      <c r="N592" t="s">
        <v>383</v>
      </c>
      <c r="O592">
        <v>169.73493999999999</v>
      </c>
      <c r="P592">
        <v>0.58250000000000002</v>
      </c>
      <c r="Q592">
        <v>6048.6082319999996</v>
      </c>
      <c r="R592" t="s">
        <v>1177</v>
      </c>
    </row>
    <row r="593" spans="8:18" x14ac:dyDescent="0.25">
      <c r="H593" t="s">
        <v>246</v>
      </c>
      <c r="I593">
        <v>134.9442</v>
      </c>
      <c r="J593">
        <v>0.38500000000000001</v>
      </c>
      <c r="K593">
        <v>15701.899224000001</v>
      </c>
      <c r="L593" t="s">
        <v>158</v>
      </c>
      <c r="N593" t="s">
        <v>350</v>
      </c>
      <c r="O593">
        <v>110.4344</v>
      </c>
      <c r="P593">
        <v>0.58499999999999996</v>
      </c>
      <c r="Q593">
        <v>6159.0426319999997</v>
      </c>
      <c r="R593" t="s">
        <v>1177</v>
      </c>
    </row>
    <row r="594" spans="8:18" x14ac:dyDescent="0.25">
      <c r="H594" t="s">
        <v>630</v>
      </c>
      <c r="I594">
        <v>158.08760000000001</v>
      </c>
      <c r="J594">
        <v>0.38500000000000001</v>
      </c>
      <c r="K594">
        <v>15859.986824000001</v>
      </c>
      <c r="L594" t="s">
        <v>158</v>
      </c>
      <c r="N594" t="s">
        <v>364</v>
      </c>
      <c r="O594">
        <v>108.7264</v>
      </c>
      <c r="P594">
        <v>0.58499999999999996</v>
      </c>
      <c r="Q594">
        <v>6267.7690319999992</v>
      </c>
      <c r="R594" t="s">
        <v>1177</v>
      </c>
    </row>
    <row r="595" spans="8:18" x14ac:dyDescent="0.25">
      <c r="H595" t="s">
        <v>610</v>
      </c>
      <c r="I595">
        <v>158.08760000000001</v>
      </c>
      <c r="J595">
        <v>0.38500000000000001</v>
      </c>
      <c r="K595">
        <v>16018.074424000002</v>
      </c>
      <c r="L595" t="s">
        <v>158</v>
      </c>
      <c r="N595" t="s">
        <v>371</v>
      </c>
      <c r="O595">
        <v>117.49942</v>
      </c>
      <c r="P595">
        <v>0.58499999999999996</v>
      </c>
      <c r="Q595">
        <v>6385.2684519999993</v>
      </c>
      <c r="R595" t="s">
        <v>1177</v>
      </c>
    </row>
    <row r="596" spans="8:18" x14ac:dyDescent="0.25">
      <c r="H596" t="s">
        <v>513</v>
      </c>
      <c r="I596">
        <v>172.82886000000002</v>
      </c>
      <c r="J596">
        <v>0.38500000000000006</v>
      </c>
      <c r="K596">
        <v>16190.903284000002</v>
      </c>
      <c r="L596" t="s">
        <v>158</v>
      </c>
      <c r="N596" t="s">
        <v>349</v>
      </c>
      <c r="O596">
        <v>120.25539999999999</v>
      </c>
      <c r="P596">
        <v>0.58499999999999996</v>
      </c>
      <c r="Q596">
        <v>6505.5238519999994</v>
      </c>
      <c r="R596" t="s">
        <v>1177</v>
      </c>
    </row>
    <row r="597" spans="8:18" x14ac:dyDescent="0.25">
      <c r="H597" t="s">
        <v>534</v>
      </c>
      <c r="I597">
        <v>172.82886000000002</v>
      </c>
      <c r="J597">
        <v>0.38500000000000006</v>
      </c>
      <c r="K597">
        <v>16363.732144000001</v>
      </c>
      <c r="L597" t="s">
        <v>158</v>
      </c>
      <c r="N597" t="s">
        <v>635</v>
      </c>
      <c r="O597">
        <v>156.8432</v>
      </c>
      <c r="P597">
        <v>0.58500000000000008</v>
      </c>
      <c r="Q597">
        <v>6662.3670519999996</v>
      </c>
      <c r="R597" t="s">
        <v>1177</v>
      </c>
    </row>
    <row r="598" spans="8:18" x14ac:dyDescent="0.25">
      <c r="H598" t="s">
        <v>589</v>
      </c>
      <c r="I598">
        <v>169.966252</v>
      </c>
      <c r="J598">
        <v>0.39</v>
      </c>
      <c r="K598">
        <v>16533.698396</v>
      </c>
      <c r="L598" t="s">
        <v>158</v>
      </c>
      <c r="N598" t="s">
        <v>686</v>
      </c>
      <c r="O598">
        <v>300.96179999999998</v>
      </c>
      <c r="P598">
        <v>0.58500000000000008</v>
      </c>
      <c r="Q598">
        <v>6963.3288519999996</v>
      </c>
      <c r="R598" t="s">
        <v>1177</v>
      </c>
    </row>
    <row r="599" spans="8:18" x14ac:dyDescent="0.25">
      <c r="H599" t="s">
        <v>461</v>
      </c>
      <c r="I599">
        <v>169.68979999999999</v>
      </c>
      <c r="J599">
        <v>0.39</v>
      </c>
      <c r="K599">
        <v>16703.388196</v>
      </c>
      <c r="L599" t="s">
        <v>158</v>
      </c>
      <c r="N599" t="s">
        <v>685</v>
      </c>
      <c r="O599">
        <v>308.83079999999995</v>
      </c>
      <c r="P599">
        <v>0.58500000000000008</v>
      </c>
      <c r="Q599">
        <v>7272.1596519999994</v>
      </c>
      <c r="R599" t="s">
        <v>1177</v>
      </c>
    </row>
    <row r="600" spans="8:18" x14ac:dyDescent="0.25">
      <c r="H600" t="s">
        <v>407</v>
      </c>
      <c r="I600">
        <v>169.966252</v>
      </c>
      <c r="J600">
        <v>0.39</v>
      </c>
      <c r="K600">
        <v>16873.354447999998</v>
      </c>
      <c r="L600" t="s">
        <v>158</v>
      </c>
      <c r="N600" t="s">
        <v>377</v>
      </c>
      <c r="O600">
        <v>116.16108</v>
      </c>
      <c r="P600">
        <v>0.58750000000000002</v>
      </c>
      <c r="Q600">
        <v>7388.3207319999992</v>
      </c>
      <c r="R600" t="s">
        <v>1178</v>
      </c>
    </row>
    <row r="601" spans="8:18" x14ac:dyDescent="0.25">
      <c r="H601" t="s">
        <v>559</v>
      </c>
      <c r="I601">
        <v>172.24814000000001</v>
      </c>
      <c r="J601">
        <v>0.39</v>
      </c>
      <c r="K601">
        <v>17045.602587999998</v>
      </c>
      <c r="L601" t="s">
        <v>158</v>
      </c>
      <c r="N601" t="s">
        <v>543</v>
      </c>
      <c r="O601">
        <v>116.20988</v>
      </c>
      <c r="P601">
        <v>0.58750000000000002</v>
      </c>
      <c r="Q601">
        <v>7504.5306119999996</v>
      </c>
      <c r="R601" t="s">
        <v>1178</v>
      </c>
    </row>
    <row r="602" spans="8:18" x14ac:dyDescent="0.25">
      <c r="H602" t="s">
        <v>420</v>
      </c>
      <c r="I602">
        <v>169.73493999999999</v>
      </c>
      <c r="J602">
        <v>0.39</v>
      </c>
      <c r="K602">
        <v>17215.337527999996</v>
      </c>
      <c r="L602" t="s">
        <v>158</v>
      </c>
      <c r="N602" t="s">
        <v>598</v>
      </c>
      <c r="O602">
        <v>173.15338</v>
      </c>
      <c r="P602">
        <v>0.58750000000000002</v>
      </c>
      <c r="Q602">
        <v>7677.6839919999993</v>
      </c>
      <c r="R602" t="s">
        <v>1178</v>
      </c>
    </row>
    <row r="603" spans="8:18" x14ac:dyDescent="0.25">
      <c r="H603" t="s">
        <v>394</v>
      </c>
      <c r="I603">
        <v>169.78129999999999</v>
      </c>
      <c r="J603">
        <v>0.39</v>
      </c>
      <c r="K603">
        <v>17385.118827999995</v>
      </c>
      <c r="L603" t="s">
        <v>158</v>
      </c>
      <c r="N603" t="s">
        <v>341</v>
      </c>
      <c r="O603">
        <v>118.4132</v>
      </c>
      <c r="P603">
        <v>0.59499999999999997</v>
      </c>
      <c r="Q603">
        <v>7796.0971919999993</v>
      </c>
      <c r="R603" t="s">
        <v>1178</v>
      </c>
    </row>
    <row r="604" spans="8:18" x14ac:dyDescent="0.25">
      <c r="H604" t="s">
        <v>588</v>
      </c>
      <c r="I604">
        <v>169.72640000000001</v>
      </c>
      <c r="J604">
        <v>0.39</v>
      </c>
      <c r="K604">
        <v>17554.845227999995</v>
      </c>
      <c r="L604" t="s">
        <v>158</v>
      </c>
      <c r="N604" t="s">
        <v>357</v>
      </c>
      <c r="O604">
        <v>108.64099999999999</v>
      </c>
      <c r="P604">
        <v>0.59499999999999997</v>
      </c>
      <c r="Q604">
        <v>7904.7381919999989</v>
      </c>
      <c r="R604" t="s">
        <v>1178</v>
      </c>
    </row>
    <row r="605" spans="8:18" x14ac:dyDescent="0.25">
      <c r="H605" t="s">
        <v>560</v>
      </c>
      <c r="I605">
        <v>172.29571999999999</v>
      </c>
      <c r="J605">
        <v>0.39</v>
      </c>
      <c r="K605">
        <v>17727.140947999993</v>
      </c>
      <c r="L605" t="s">
        <v>158</v>
      </c>
      <c r="N605" t="s">
        <v>342</v>
      </c>
      <c r="O605">
        <v>108.64099999999999</v>
      </c>
      <c r="P605">
        <v>0.59499999999999997</v>
      </c>
      <c r="Q605">
        <v>8013.3791919999985</v>
      </c>
      <c r="R605" t="s">
        <v>1178</v>
      </c>
    </row>
    <row r="606" spans="8:18" x14ac:dyDescent="0.25">
      <c r="H606" t="s">
        <v>406</v>
      </c>
      <c r="I606">
        <v>169.72640000000001</v>
      </c>
      <c r="J606">
        <v>0.39</v>
      </c>
      <c r="K606">
        <v>17896.867347999992</v>
      </c>
      <c r="L606" t="s">
        <v>158</v>
      </c>
      <c r="N606" t="s">
        <v>354</v>
      </c>
      <c r="O606">
        <v>134.3708</v>
      </c>
      <c r="P606">
        <v>0.59500000000000008</v>
      </c>
      <c r="Q606">
        <v>8147.7499919999982</v>
      </c>
      <c r="R606" t="s">
        <v>1178</v>
      </c>
    </row>
    <row r="607" spans="8:18" x14ac:dyDescent="0.25">
      <c r="H607" t="s">
        <v>384</v>
      </c>
      <c r="I607">
        <v>116.20988</v>
      </c>
      <c r="J607">
        <v>0.39499999999999996</v>
      </c>
      <c r="K607">
        <v>18013.077227999991</v>
      </c>
      <c r="L607" t="s">
        <v>158</v>
      </c>
      <c r="N607" t="s">
        <v>274</v>
      </c>
      <c r="O607">
        <v>118.4498</v>
      </c>
      <c r="P607">
        <v>0.59500000000000008</v>
      </c>
      <c r="Q607">
        <v>8266.1997919999976</v>
      </c>
      <c r="R607" t="s">
        <v>1178</v>
      </c>
    </row>
    <row r="608" spans="8:18" x14ac:dyDescent="0.25">
      <c r="H608" t="s">
        <v>434</v>
      </c>
      <c r="I608">
        <v>106.42060000000001</v>
      </c>
      <c r="J608">
        <v>0.39499999999999996</v>
      </c>
      <c r="K608">
        <v>18119.497827999992</v>
      </c>
      <c r="L608" t="s">
        <v>158</v>
      </c>
      <c r="N608" t="s">
        <v>593</v>
      </c>
      <c r="O608">
        <v>172.82886000000002</v>
      </c>
      <c r="P608">
        <v>0.59750000000000003</v>
      </c>
      <c r="Q608">
        <v>8439.0286519999972</v>
      </c>
      <c r="R608" t="s">
        <v>1178</v>
      </c>
    </row>
    <row r="609" spans="8:18" x14ac:dyDescent="0.25">
      <c r="H609" t="s">
        <v>632</v>
      </c>
      <c r="I609">
        <v>107.95779999999999</v>
      </c>
      <c r="J609">
        <v>0.39499999999999996</v>
      </c>
      <c r="K609">
        <v>18227.455627999992</v>
      </c>
      <c r="L609" t="s">
        <v>158</v>
      </c>
      <c r="N609" t="s">
        <v>466</v>
      </c>
      <c r="O609">
        <v>175.93620000000001</v>
      </c>
      <c r="P609">
        <v>0.60499999999999998</v>
      </c>
      <c r="Q609">
        <v>8614.9648519999973</v>
      </c>
      <c r="R609" t="s">
        <v>1178</v>
      </c>
    </row>
    <row r="610" spans="8:18" x14ac:dyDescent="0.25">
      <c r="H610" t="s">
        <v>700</v>
      </c>
      <c r="I610">
        <v>106.42060000000001</v>
      </c>
      <c r="J610">
        <v>0.39499999999999996</v>
      </c>
      <c r="K610">
        <v>18333.876227999994</v>
      </c>
      <c r="L610" t="s">
        <v>158</v>
      </c>
      <c r="N610" t="s">
        <v>669</v>
      </c>
      <c r="O610">
        <v>160.86920000000001</v>
      </c>
      <c r="P610">
        <v>0.60499999999999998</v>
      </c>
      <c r="Q610">
        <v>8775.8340519999965</v>
      </c>
      <c r="R610" t="s">
        <v>1178</v>
      </c>
    </row>
    <row r="611" spans="8:18" x14ac:dyDescent="0.25">
      <c r="H611" t="s">
        <v>687</v>
      </c>
      <c r="I611">
        <v>106.42060000000001</v>
      </c>
      <c r="J611">
        <v>0.39499999999999996</v>
      </c>
      <c r="K611">
        <v>18440.296827999995</v>
      </c>
      <c r="L611" t="s">
        <v>158</v>
      </c>
      <c r="N611" t="s">
        <v>365</v>
      </c>
      <c r="O611">
        <v>134.4196</v>
      </c>
      <c r="P611">
        <v>0.60500000000000009</v>
      </c>
      <c r="Q611">
        <v>8910.2536519999958</v>
      </c>
      <c r="R611" t="s">
        <v>1178</v>
      </c>
    </row>
    <row r="612" spans="8:18" x14ac:dyDescent="0.25">
      <c r="H612" t="s">
        <v>581</v>
      </c>
      <c r="I612">
        <v>116.20988</v>
      </c>
      <c r="J612">
        <v>0.39499999999999996</v>
      </c>
      <c r="K612">
        <v>18556.506707999994</v>
      </c>
      <c r="L612" t="s">
        <v>158</v>
      </c>
      <c r="N612" t="s">
        <v>379</v>
      </c>
      <c r="O612">
        <v>117.45062</v>
      </c>
      <c r="P612">
        <v>0.60750000000000004</v>
      </c>
      <c r="Q612">
        <v>9027.7042719999954</v>
      </c>
      <c r="R612" t="s">
        <v>1178</v>
      </c>
    </row>
    <row r="613" spans="8:18" x14ac:dyDescent="0.25">
      <c r="H613" t="s">
        <v>421</v>
      </c>
      <c r="I613">
        <v>106.42060000000001</v>
      </c>
      <c r="J613">
        <v>0.39499999999999996</v>
      </c>
      <c r="K613">
        <v>18662.927307999995</v>
      </c>
      <c r="L613" t="s">
        <v>158</v>
      </c>
      <c r="N613" t="s">
        <v>544</v>
      </c>
      <c r="O613">
        <v>117.49942</v>
      </c>
      <c r="P613">
        <v>0.60750000000000004</v>
      </c>
      <c r="Q613">
        <v>9145.2036919999955</v>
      </c>
      <c r="R613" t="s">
        <v>1178</v>
      </c>
    </row>
    <row r="614" spans="8:18" x14ac:dyDescent="0.25">
      <c r="H614" t="s">
        <v>445</v>
      </c>
      <c r="I614">
        <v>106.42060000000001</v>
      </c>
      <c r="J614">
        <v>0.39499999999999996</v>
      </c>
      <c r="K614">
        <v>18769.347907999996</v>
      </c>
      <c r="L614" t="s">
        <v>158</v>
      </c>
      <c r="N614" t="s">
        <v>373</v>
      </c>
      <c r="O614">
        <v>172.29571999999999</v>
      </c>
      <c r="P614">
        <v>0.61</v>
      </c>
      <c r="Q614">
        <v>9317.4994119999956</v>
      </c>
      <c r="R614" t="s">
        <v>1178</v>
      </c>
    </row>
    <row r="615" spans="8:18" x14ac:dyDescent="0.25">
      <c r="H615" t="s">
        <v>453</v>
      </c>
      <c r="I615">
        <v>115.80240000000001</v>
      </c>
      <c r="J615">
        <v>0.39499999999999996</v>
      </c>
      <c r="K615">
        <v>18885.150307999997</v>
      </c>
      <c r="L615" t="s">
        <v>158</v>
      </c>
      <c r="N615" t="s">
        <v>372</v>
      </c>
      <c r="O615">
        <v>172.24814000000001</v>
      </c>
      <c r="P615">
        <v>0.61</v>
      </c>
      <c r="Q615">
        <v>9489.7475519999953</v>
      </c>
      <c r="R615" t="s">
        <v>1178</v>
      </c>
    </row>
    <row r="616" spans="8:18" x14ac:dyDescent="0.25">
      <c r="H616" t="s">
        <v>397</v>
      </c>
      <c r="I616">
        <v>116.20988</v>
      </c>
      <c r="J616">
        <v>0.39499999999999996</v>
      </c>
      <c r="K616">
        <v>19001.360187999995</v>
      </c>
      <c r="L616" t="s">
        <v>158</v>
      </c>
      <c r="N616" t="s">
        <v>637</v>
      </c>
      <c r="O616">
        <v>160.50319999999999</v>
      </c>
      <c r="P616">
        <v>0.61499999999999999</v>
      </c>
      <c r="Q616">
        <v>9650.2507519999945</v>
      </c>
      <c r="R616" t="s">
        <v>1178</v>
      </c>
    </row>
    <row r="617" spans="8:18" x14ac:dyDescent="0.25">
      <c r="H617" t="s">
        <v>410</v>
      </c>
      <c r="I617">
        <v>116.16108</v>
      </c>
      <c r="J617">
        <v>0.39499999999999996</v>
      </c>
      <c r="K617">
        <v>19117.521267999997</v>
      </c>
      <c r="L617" t="s">
        <v>158</v>
      </c>
      <c r="N617" t="s">
        <v>1035</v>
      </c>
      <c r="O617">
        <v>343.92898000000002</v>
      </c>
      <c r="P617">
        <v>0.6150000000000001</v>
      </c>
      <c r="Q617">
        <v>9994.1797319999951</v>
      </c>
      <c r="R617" t="s">
        <v>1178</v>
      </c>
    </row>
    <row r="618" spans="8:18" x14ac:dyDescent="0.25">
      <c r="H618" t="s">
        <v>673</v>
      </c>
      <c r="I618">
        <v>106.42060000000001</v>
      </c>
      <c r="J618">
        <v>0.39499999999999996</v>
      </c>
      <c r="K618">
        <v>19223.941867999998</v>
      </c>
      <c r="L618" t="s">
        <v>158</v>
      </c>
      <c r="N618" t="s">
        <v>1034</v>
      </c>
      <c r="O618">
        <v>343.58616000000001</v>
      </c>
      <c r="P618">
        <v>0.6150000000000001</v>
      </c>
      <c r="Q618">
        <v>10337.765891999996</v>
      </c>
      <c r="R618" t="s">
        <v>1178</v>
      </c>
    </row>
    <row r="619" spans="8:18" x14ac:dyDescent="0.25">
      <c r="H619" t="s">
        <v>575</v>
      </c>
      <c r="I619">
        <v>117.49942</v>
      </c>
      <c r="J619">
        <v>0.39500000000000002</v>
      </c>
      <c r="K619">
        <v>19341.441287999998</v>
      </c>
      <c r="L619" t="s">
        <v>158</v>
      </c>
      <c r="N619" t="s">
        <v>358</v>
      </c>
      <c r="O619">
        <v>134.3708</v>
      </c>
      <c r="P619">
        <v>0.6150000000000001</v>
      </c>
      <c r="Q619">
        <v>10472.136691999996</v>
      </c>
      <c r="R619" t="s">
        <v>1179</v>
      </c>
    </row>
    <row r="620" spans="8:18" x14ac:dyDescent="0.25">
      <c r="H620" t="s">
        <v>603</v>
      </c>
      <c r="I620">
        <v>157.4288</v>
      </c>
      <c r="J620">
        <v>0.39500000000000002</v>
      </c>
      <c r="K620">
        <v>19498.870088</v>
      </c>
      <c r="L620" t="s">
        <v>158</v>
      </c>
      <c r="N620" t="s">
        <v>409</v>
      </c>
      <c r="O620">
        <v>224.34214</v>
      </c>
      <c r="P620">
        <v>0.61900000000000011</v>
      </c>
      <c r="Q620">
        <v>10696.478831999997</v>
      </c>
      <c r="R620" t="s">
        <v>1179</v>
      </c>
    </row>
    <row r="621" spans="8:18" x14ac:dyDescent="0.25">
      <c r="H621" t="s">
        <v>594</v>
      </c>
      <c r="I621">
        <v>117.45062</v>
      </c>
      <c r="J621">
        <v>0.39500000000000002</v>
      </c>
      <c r="K621">
        <v>19616.320707999999</v>
      </c>
      <c r="L621" t="s">
        <v>158</v>
      </c>
      <c r="N621" t="s">
        <v>695</v>
      </c>
      <c r="O621">
        <v>160.69839999999999</v>
      </c>
      <c r="P621">
        <v>0.62</v>
      </c>
      <c r="Q621">
        <v>10857.177231999996</v>
      </c>
      <c r="R621" t="s">
        <v>1179</v>
      </c>
    </row>
    <row r="622" spans="8:18" x14ac:dyDescent="0.25">
      <c r="H622" t="s">
        <v>659</v>
      </c>
      <c r="I622">
        <v>160.50319999999999</v>
      </c>
      <c r="J622">
        <v>0.39500000000000002</v>
      </c>
      <c r="K622">
        <v>19776.823907999998</v>
      </c>
      <c r="L622" t="s">
        <v>158</v>
      </c>
      <c r="N622" t="s">
        <v>633</v>
      </c>
      <c r="O622">
        <v>152.1584</v>
      </c>
      <c r="P622">
        <v>0.62000000000000011</v>
      </c>
      <c r="Q622">
        <v>11009.335631999997</v>
      </c>
      <c r="R622" t="s">
        <v>1179</v>
      </c>
    </row>
    <row r="623" spans="8:18" x14ac:dyDescent="0.25">
      <c r="H623" t="s">
        <v>502</v>
      </c>
      <c r="I623">
        <v>157.4288</v>
      </c>
      <c r="J623">
        <v>0.39500000000000002</v>
      </c>
      <c r="K623">
        <v>19934.252708</v>
      </c>
      <c r="L623" t="s">
        <v>158</v>
      </c>
      <c r="N623" t="s">
        <v>699</v>
      </c>
      <c r="O623">
        <v>152.60980000000001</v>
      </c>
      <c r="P623">
        <v>0.62000000000000011</v>
      </c>
      <c r="Q623">
        <v>11161.945431999997</v>
      </c>
      <c r="R623" t="s">
        <v>1179</v>
      </c>
    </row>
    <row r="624" spans="8:18" x14ac:dyDescent="0.25">
      <c r="H624" t="s">
        <v>483</v>
      </c>
      <c r="I624">
        <v>157.4288</v>
      </c>
      <c r="J624">
        <v>0.39500000000000002</v>
      </c>
      <c r="K624">
        <v>20091.681508000001</v>
      </c>
      <c r="L624" t="s">
        <v>158</v>
      </c>
      <c r="N624" t="s">
        <v>674</v>
      </c>
      <c r="O624">
        <v>152.60980000000001</v>
      </c>
      <c r="P624">
        <v>0.62000000000000011</v>
      </c>
      <c r="Q624">
        <v>11314.555231999997</v>
      </c>
      <c r="R624" t="s">
        <v>1179</v>
      </c>
    </row>
    <row r="625" spans="8:18" x14ac:dyDescent="0.25">
      <c r="H625" t="s">
        <v>393</v>
      </c>
      <c r="I625">
        <v>175.64339999999999</v>
      </c>
      <c r="J625">
        <v>0.39500000000000002</v>
      </c>
      <c r="K625">
        <v>20267.324908000002</v>
      </c>
      <c r="L625" t="s">
        <v>158</v>
      </c>
      <c r="N625" t="s">
        <v>643</v>
      </c>
      <c r="O625">
        <v>152.1584</v>
      </c>
      <c r="P625">
        <v>0.62000000000000011</v>
      </c>
      <c r="Q625">
        <v>11466.713631999997</v>
      </c>
      <c r="R625" t="s">
        <v>1179</v>
      </c>
    </row>
    <row r="626" spans="8:18" x14ac:dyDescent="0.25">
      <c r="H626" t="s">
        <v>665</v>
      </c>
      <c r="I626">
        <v>157.99</v>
      </c>
      <c r="J626">
        <v>0.39500000000000002</v>
      </c>
      <c r="K626">
        <v>20425.314908000004</v>
      </c>
      <c r="L626" t="s">
        <v>158</v>
      </c>
      <c r="N626" t="s">
        <v>666</v>
      </c>
      <c r="O626">
        <v>107.95779999999999</v>
      </c>
      <c r="P626">
        <v>0.62500000000000011</v>
      </c>
      <c r="Q626">
        <v>11574.671431999997</v>
      </c>
      <c r="R626" t="s">
        <v>1179</v>
      </c>
    </row>
    <row r="627" spans="8:18" x14ac:dyDescent="0.25">
      <c r="H627" t="s">
        <v>646</v>
      </c>
      <c r="I627">
        <v>108.32380000000001</v>
      </c>
      <c r="J627">
        <v>0.39500000000000002</v>
      </c>
      <c r="K627">
        <v>20533.638708000002</v>
      </c>
      <c r="L627" t="s">
        <v>158</v>
      </c>
      <c r="N627" t="s">
        <v>565</v>
      </c>
      <c r="O627">
        <v>176.48886000000002</v>
      </c>
      <c r="P627">
        <v>0.62900000000000011</v>
      </c>
      <c r="Q627">
        <v>11751.160291999997</v>
      </c>
      <c r="R627" t="s">
        <v>1179</v>
      </c>
    </row>
    <row r="628" spans="8:18" x14ac:dyDescent="0.25">
      <c r="H628" t="s">
        <v>623</v>
      </c>
      <c r="I628">
        <v>157.4288</v>
      </c>
      <c r="J628">
        <v>0.39500000000000002</v>
      </c>
      <c r="K628">
        <v>20691.067508000004</v>
      </c>
      <c r="L628" t="s">
        <v>158</v>
      </c>
      <c r="N628" t="s">
        <v>419</v>
      </c>
      <c r="O628">
        <v>222.48041999999998</v>
      </c>
      <c r="P628">
        <v>0.62900000000000011</v>
      </c>
      <c r="Q628">
        <v>11973.640711999997</v>
      </c>
      <c r="R628" t="s">
        <v>1179</v>
      </c>
    </row>
    <row r="629" spans="8:18" x14ac:dyDescent="0.25">
      <c r="H629" t="s">
        <v>671</v>
      </c>
      <c r="I629">
        <v>160.62519999999998</v>
      </c>
      <c r="J629">
        <v>0.39500000000000002</v>
      </c>
      <c r="K629">
        <v>20851.692708000002</v>
      </c>
      <c r="L629" t="s">
        <v>158</v>
      </c>
      <c r="N629" t="s">
        <v>696</v>
      </c>
      <c r="O629">
        <v>155.0864</v>
      </c>
      <c r="P629">
        <v>0.63</v>
      </c>
      <c r="Q629">
        <v>12128.727111999997</v>
      </c>
      <c r="R629" t="s">
        <v>1179</v>
      </c>
    </row>
    <row r="630" spans="8:18" x14ac:dyDescent="0.25">
      <c r="H630" t="s">
        <v>474</v>
      </c>
      <c r="I630">
        <v>175.64339999999999</v>
      </c>
      <c r="J630">
        <v>0.39500000000000002</v>
      </c>
      <c r="K630">
        <v>21027.336108000003</v>
      </c>
      <c r="L630" t="s">
        <v>160</v>
      </c>
      <c r="N630" t="s">
        <v>640</v>
      </c>
      <c r="O630">
        <v>154.7936</v>
      </c>
      <c r="P630">
        <v>0.63</v>
      </c>
      <c r="Q630">
        <v>12283.520711999998</v>
      </c>
      <c r="R630" t="s">
        <v>1179</v>
      </c>
    </row>
    <row r="631" spans="8:18" x14ac:dyDescent="0.25">
      <c r="H631" t="s">
        <v>324</v>
      </c>
      <c r="I631">
        <v>108.64099999999999</v>
      </c>
      <c r="J631">
        <v>0.39500000000000002</v>
      </c>
      <c r="K631">
        <v>21135.977108000003</v>
      </c>
      <c r="L631" t="s">
        <v>160</v>
      </c>
      <c r="N631" t="s">
        <v>652</v>
      </c>
      <c r="O631">
        <v>154.7936</v>
      </c>
      <c r="P631">
        <v>0.63</v>
      </c>
      <c r="Q631">
        <v>12438.314311999999</v>
      </c>
      <c r="R631" t="s">
        <v>1179</v>
      </c>
    </row>
    <row r="632" spans="8:18" x14ac:dyDescent="0.25">
      <c r="H632" t="s">
        <v>367</v>
      </c>
      <c r="I632">
        <v>173.02649999999997</v>
      </c>
      <c r="J632">
        <v>0.39999999999999997</v>
      </c>
      <c r="K632">
        <v>21309.003608000003</v>
      </c>
      <c r="L632" t="s">
        <v>160</v>
      </c>
      <c r="N632" t="s">
        <v>707</v>
      </c>
      <c r="O632">
        <v>155.17179999999999</v>
      </c>
      <c r="P632">
        <v>0.63</v>
      </c>
      <c r="Q632">
        <v>12593.486111999999</v>
      </c>
      <c r="R632" t="s">
        <v>1179</v>
      </c>
    </row>
    <row r="633" spans="8:18" x14ac:dyDescent="0.25">
      <c r="H633" t="s">
        <v>639</v>
      </c>
      <c r="I633">
        <v>152.60980000000001</v>
      </c>
      <c r="J633">
        <v>0.4</v>
      </c>
      <c r="K633">
        <v>21461.613408000001</v>
      </c>
      <c r="L633" t="s">
        <v>160</v>
      </c>
      <c r="N633" t="s">
        <v>682</v>
      </c>
      <c r="O633">
        <v>155.17179999999999</v>
      </c>
      <c r="P633">
        <v>0.63</v>
      </c>
      <c r="Q633">
        <v>12748.657911999999</v>
      </c>
      <c r="R633" t="s">
        <v>1179</v>
      </c>
    </row>
    <row r="634" spans="8:18" x14ac:dyDescent="0.25">
      <c r="H634" t="s">
        <v>399</v>
      </c>
      <c r="I634">
        <v>174.43194</v>
      </c>
      <c r="J634">
        <v>0.4</v>
      </c>
      <c r="K634">
        <v>21636.045348</v>
      </c>
      <c r="L634" t="s">
        <v>160</v>
      </c>
      <c r="N634" t="s">
        <v>672</v>
      </c>
      <c r="O634">
        <v>152.60980000000001</v>
      </c>
      <c r="P634">
        <v>0.63</v>
      </c>
      <c r="Q634">
        <v>12901.267711999999</v>
      </c>
      <c r="R634" t="s">
        <v>1179</v>
      </c>
    </row>
    <row r="635" spans="8:18" x14ac:dyDescent="0.25">
      <c r="H635" t="s">
        <v>435</v>
      </c>
      <c r="I635">
        <v>162.18680000000001</v>
      </c>
      <c r="J635">
        <v>0.4</v>
      </c>
      <c r="K635">
        <v>21798.232147999999</v>
      </c>
      <c r="L635" t="s">
        <v>160</v>
      </c>
      <c r="N635" t="s">
        <v>591</v>
      </c>
      <c r="O635">
        <v>198.59281999999999</v>
      </c>
      <c r="P635">
        <v>0.63000000000000012</v>
      </c>
      <c r="Q635">
        <v>13099.860531999999</v>
      </c>
      <c r="R635" t="s">
        <v>1179</v>
      </c>
    </row>
    <row r="636" spans="8:18" x14ac:dyDescent="0.25">
      <c r="H636" t="s">
        <v>494</v>
      </c>
      <c r="I636">
        <v>160.33239999999998</v>
      </c>
      <c r="J636">
        <v>0.4</v>
      </c>
      <c r="K636">
        <v>21958.564547999998</v>
      </c>
      <c r="L636" t="s">
        <v>160</v>
      </c>
      <c r="N636" t="s">
        <v>574</v>
      </c>
      <c r="O636">
        <v>198.64771999999999</v>
      </c>
      <c r="P636">
        <v>0.63000000000000012</v>
      </c>
      <c r="Q636">
        <v>13298.508252</v>
      </c>
      <c r="R636" t="s">
        <v>1179</v>
      </c>
    </row>
    <row r="637" spans="8:18" x14ac:dyDescent="0.25">
      <c r="H637" t="s">
        <v>527</v>
      </c>
      <c r="I637">
        <v>172.29571999999999</v>
      </c>
      <c r="J637">
        <v>0.4</v>
      </c>
      <c r="K637">
        <v>22130.860267999997</v>
      </c>
      <c r="L637" t="s">
        <v>160</v>
      </c>
      <c r="N637" t="s">
        <v>545</v>
      </c>
      <c r="O637">
        <v>172.2945</v>
      </c>
      <c r="P637">
        <v>0.63250000000000006</v>
      </c>
      <c r="Q637">
        <v>13470.802752</v>
      </c>
      <c r="R637" t="s">
        <v>1180</v>
      </c>
    </row>
    <row r="638" spans="8:18" x14ac:dyDescent="0.25">
      <c r="H638" t="s">
        <v>537</v>
      </c>
      <c r="I638">
        <v>172.24814000000001</v>
      </c>
      <c r="J638">
        <v>0.4</v>
      </c>
      <c r="K638">
        <v>22303.108407999996</v>
      </c>
      <c r="L638" t="s">
        <v>160</v>
      </c>
      <c r="N638" t="s">
        <v>380</v>
      </c>
      <c r="O638">
        <v>172.24814000000001</v>
      </c>
      <c r="P638">
        <v>0.63250000000000006</v>
      </c>
      <c r="Q638">
        <v>13643.050891999999</v>
      </c>
      <c r="R638" t="s">
        <v>1180</v>
      </c>
    </row>
    <row r="639" spans="8:18" x14ac:dyDescent="0.25">
      <c r="H639" t="s">
        <v>582</v>
      </c>
      <c r="I639">
        <v>174.43194</v>
      </c>
      <c r="J639">
        <v>0.4</v>
      </c>
      <c r="K639">
        <v>22477.540347999995</v>
      </c>
      <c r="L639" t="s">
        <v>160</v>
      </c>
      <c r="N639" t="s">
        <v>345</v>
      </c>
      <c r="O639">
        <v>120.71899999999999</v>
      </c>
      <c r="P639">
        <v>0.63500000000000001</v>
      </c>
      <c r="Q639">
        <v>13763.769891999998</v>
      </c>
      <c r="R639" t="s">
        <v>1180</v>
      </c>
    </row>
    <row r="640" spans="8:18" x14ac:dyDescent="0.25">
      <c r="H640" t="s">
        <v>452</v>
      </c>
      <c r="I640">
        <v>152.65859999999998</v>
      </c>
      <c r="J640">
        <v>0.4</v>
      </c>
      <c r="K640">
        <v>22630.198947999994</v>
      </c>
      <c r="L640" t="s">
        <v>160</v>
      </c>
      <c r="N640" t="s">
        <v>1064</v>
      </c>
      <c r="O640">
        <v>300.96179999999998</v>
      </c>
      <c r="P640">
        <v>0.63500000000000001</v>
      </c>
      <c r="Q640">
        <v>14064.731691999998</v>
      </c>
      <c r="R640" t="s">
        <v>1180</v>
      </c>
    </row>
    <row r="641" spans="8:18" x14ac:dyDescent="0.25">
      <c r="H641" t="s">
        <v>681</v>
      </c>
      <c r="I641">
        <v>152.65859999999998</v>
      </c>
      <c r="J641">
        <v>0.4</v>
      </c>
      <c r="K641">
        <v>22782.857547999993</v>
      </c>
      <c r="L641" t="s">
        <v>160</v>
      </c>
      <c r="N641" t="s">
        <v>1063</v>
      </c>
      <c r="O641">
        <v>308.83079999999995</v>
      </c>
      <c r="P641">
        <v>0.63500000000000001</v>
      </c>
      <c r="Q641">
        <v>14373.562491999997</v>
      </c>
      <c r="R641" t="s">
        <v>1180</v>
      </c>
    </row>
    <row r="642" spans="8:18" x14ac:dyDescent="0.25">
      <c r="H642" t="s">
        <v>526</v>
      </c>
      <c r="I642">
        <v>172.24814000000001</v>
      </c>
      <c r="J642">
        <v>0.4</v>
      </c>
      <c r="K642">
        <v>22955.105687999992</v>
      </c>
      <c r="L642" t="s">
        <v>160</v>
      </c>
      <c r="N642" t="s">
        <v>346</v>
      </c>
      <c r="O642">
        <v>110.91019999999999</v>
      </c>
      <c r="P642">
        <v>0.63500000000000001</v>
      </c>
      <c r="Q642">
        <v>14484.472691999998</v>
      </c>
      <c r="R642" t="s">
        <v>1180</v>
      </c>
    </row>
    <row r="643" spans="8:18" x14ac:dyDescent="0.25">
      <c r="H643" t="s">
        <v>441</v>
      </c>
      <c r="I643">
        <v>158.09979999999999</v>
      </c>
      <c r="J643">
        <v>0.4</v>
      </c>
      <c r="K643">
        <v>23113.205487999992</v>
      </c>
      <c r="L643" t="s">
        <v>160</v>
      </c>
      <c r="N643" t="s">
        <v>361</v>
      </c>
      <c r="O643">
        <v>110.91019999999999</v>
      </c>
      <c r="P643">
        <v>0.63500000000000001</v>
      </c>
      <c r="Q643">
        <v>14595.382891999998</v>
      </c>
      <c r="R643" t="s">
        <v>1180</v>
      </c>
    </row>
    <row r="644" spans="8:18" x14ac:dyDescent="0.25">
      <c r="H644" t="s">
        <v>514</v>
      </c>
      <c r="I644">
        <v>172.2945</v>
      </c>
      <c r="J644">
        <v>0.4</v>
      </c>
      <c r="K644">
        <v>23285.499987999992</v>
      </c>
      <c r="L644" t="s">
        <v>160</v>
      </c>
      <c r="N644" t="s">
        <v>595</v>
      </c>
      <c r="O644">
        <v>175.66658000000001</v>
      </c>
      <c r="P644">
        <v>0.63749999999999996</v>
      </c>
      <c r="Q644">
        <v>14771.049471999997</v>
      </c>
      <c r="R644" t="s">
        <v>1180</v>
      </c>
    </row>
    <row r="645" spans="8:18" x14ac:dyDescent="0.25">
      <c r="H645" t="s">
        <v>443</v>
      </c>
      <c r="I645">
        <v>152.6464</v>
      </c>
      <c r="J645">
        <v>0.4</v>
      </c>
      <c r="K645">
        <v>23438.146387999994</v>
      </c>
      <c r="L645" t="s">
        <v>160</v>
      </c>
      <c r="N645" t="s">
        <v>843</v>
      </c>
      <c r="O645">
        <v>224.03713999999999</v>
      </c>
      <c r="P645">
        <v>0.63900000000000012</v>
      </c>
      <c r="Q645">
        <v>14995.086611999997</v>
      </c>
      <c r="R645" t="s">
        <v>1180</v>
      </c>
    </row>
    <row r="646" spans="8:18" x14ac:dyDescent="0.25">
      <c r="H646" t="s">
        <v>708</v>
      </c>
      <c r="I646">
        <v>152.65859999999998</v>
      </c>
      <c r="J646">
        <v>0.4</v>
      </c>
      <c r="K646">
        <v>23590.804987999993</v>
      </c>
      <c r="L646" t="s">
        <v>160</v>
      </c>
      <c r="N646" t="s">
        <v>1019</v>
      </c>
      <c r="O646">
        <v>173.15338</v>
      </c>
      <c r="P646">
        <v>0.63900000000000012</v>
      </c>
      <c r="Q646">
        <v>15168.239991999997</v>
      </c>
      <c r="R646" t="s">
        <v>1180</v>
      </c>
    </row>
    <row r="647" spans="8:18" x14ac:dyDescent="0.25">
      <c r="H647" t="s">
        <v>688</v>
      </c>
      <c r="I647">
        <v>162.18680000000001</v>
      </c>
      <c r="J647">
        <v>0.4</v>
      </c>
      <c r="K647">
        <v>23752.991787999992</v>
      </c>
      <c r="L647" t="s">
        <v>160</v>
      </c>
      <c r="N647" t="s">
        <v>1138</v>
      </c>
      <c r="O647">
        <v>155.11079999999998</v>
      </c>
      <c r="P647">
        <v>0.64</v>
      </c>
      <c r="Q647">
        <v>15323.350791999997</v>
      </c>
      <c r="R647" t="s">
        <v>1180</v>
      </c>
    </row>
    <row r="648" spans="8:18" x14ac:dyDescent="0.25">
      <c r="H648" t="s">
        <v>430</v>
      </c>
      <c r="I648">
        <v>152.65859999999998</v>
      </c>
      <c r="J648">
        <v>0.4</v>
      </c>
      <c r="K648">
        <v>23905.650387999991</v>
      </c>
      <c r="L648" t="s">
        <v>160</v>
      </c>
      <c r="N648" t="s">
        <v>1031</v>
      </c>
      <c r="O648">
        <v>198.23779999999999</v>
      </c>
      <c r="P648">
        <v>0.64</v>
      </c>
      <c r="Q648">
        <v>15521.588591999998</v>
      </c>
      <c r="R648" t="s">
        <v>1180</v>
      </c>
    </row>
    <row r="649" spans="8:18" x14ac:dyDescent="0.25">
      <c r="H649" t="s">
        <v>694</v>
      </c>
      <c r="I649">
        <v>158.09979999999999</v>
      </c>
      <c r="J649">
        <v>0.4</v>
      </c>
      <c r="K649">
        <v>24063.750187999991</v>
      </c>
      <c r="L649" t="s">
        <v>160</v>
      </c>
      <c r="N649" t="s">
        <v>1084</v>
      </c>
      <c r="O649">
        <v>154.13480000000001</v>
      </c>
      <c r="P649">
        <v>0.64</v>
      </c>
      <c r="Q649">
        <v>15675.723391999998</v>
      </c>
      <c r="R649" t="s">
        <v>1180</v>
      </c>
    </row>
    <row r="650" spans="8:18" x14ac:dyDescent="0.25">
      <c r="H650" t="s">
        <v>615</v>
      </c>
      <c r="I650">
        <v>160.33239999999998</v>
      </c>
      <c r="J650">
        <v>0.4</v>
      </c>
      <c r="K650">
        <v>24224.08258799999</v>
      </c>
      <c r="L650" t="s">
        <v>160</v>
      </c>
      <c r="N650" t="s">
        <v>1053</v>
      </c>
      <c r="O650">
        <v>198.18167999999997</v>
      </c>
      <c r="P650">
        <v>0.64</v>
      </c>
      <c r="Q650">
        <v>15873.905071999998</v>
      </c>
      <c r="R650" t="s">
        <v>1180</v>
      </c>
    </row>
    <row r="651" spans="8:18" x14ac:dyDescent="0.25">
      <c r="H651" t="s">
        <v>697</v>
      </c>
      <c r="I651">
        <v>152.6464</v>
      </c>
      <c r="J651">
        <v>0.4</v>
      </c>
      <c r="K651">
        <v>24376.728987999992</v>
      </c>
      <c r="L651" t="s">
        <v>160</v>
      </c>
      <c r="N651" t="s">
        <v>1122</v>
      </c>
      <c r="O651">
        <v>155.11079999999998</v>
      </c>
      <c r="P651">
        <v>0.64</v>
      </c>
      <c r="Q651">
        <v>16029.015871999998</v>
      </c>
      <c r="R651" t="s">
        <v>1180</v>
      </c>
    </row>
    <row r="652" spans="8:18" x14ac:dyDescent="0.25">
      <c r="H652" t="s">
        <v>272</v>
      </c>
      <c r="I652">
        <v>110.91019999999999</v>
      </c>
      <c r="J652">
        <v>0.40499999999999997</v>
      </c>
      <c r="K652">
        <v>24487.63918799999</v>
      </c>
      <c r="L652" t="s">
        <v>160</v>
      </c>
      <c r="N652" t="s">
        <v>1094</v>
      </c>
      <c r="O652">
        <v>154.13480000000001</v>
      </c>
      <c r="P652">
        <v>0.64</v>
      </c>
      <c r="Q652">
        <v>16183.150671999998</v>
      </c>
      <c r="R652" t="s">
        <v>1180</v>
      </c>
    </row>
    <row r="653" spans="8:18" x14ac:dyDescent="0.25">
      <c r="H653" t="s">
        <v>423</v>
      </c>
      <c r="I653">
        <v>160.23480000000001</v>
      </c>
      <c r="J653">
        <v>0.40499999999999997</v>
      </c>
      <c r="K653">
        <v>24647.873987999988</v>
      </c>
      <c r="L653" t="s">
        <v>160</v>
      </c>
      <c r="N653" t="s">
        <v>1113</v>
      </c>
      <c r="O653">
        <v>108.32380000000001</v>
      </c>
      <c r="P653">
        <v>0.64500000000000002</v>
      </c>
      <c r="Q653">
        <v>16291.474471999998</v>
      </c>
      <c r="R653" t="s">
        <v>1180</v>
      </c>
    </row>
    <row r="654" spans="8:18" x14ac:dyDescent="0.25">
      <c r="H654" t="s">
        <v>249</v>
      </c>
      <c r="I654">
        <v>110.91019999999999</v>
      </c>
      <c r="J654">
        <v>0.40499999999999997</v>
      </c>
      <c r="K654">
        <v>24758.784187999987</v>
      </c>
      <c r="L654" t="s">
        <v>160</v>
      </c>
      <c r="N654" t="s">
        <v>1136</v>
      </c>
      <c r="O654">
        <v>158.0754</v>
      </c>
      <c r="P654">
        <v>0.64500000000000013</v>
      </c>
      <c r="Q654">
        <v>16449.549872</v>
      </c>
      <c r="R654" t="s">
        <v>1180</v>
      </c>
    </row>
    <row r="655" spans="8:18" x14ac:dyDescent="0.25">
      <c r="H655" t="s">
        <v>444</v>
      </c>
      <c r="I655">
        <v>160.23480000000001</v>
      </c>
      <c r="J655">
        <v>0.40499999999999997</v>
      </c>
      <c r="K655">
        <v>24919.018987999985</v>
      </c>
      <c r="L655" t="s">
        <v>161</v>
      </c>
      <c r="N655" t="s">
        <v>1144</v>
      </c>
      <c r="O655">
        <v>160.28359999999998</v>
      </c>
      <c r="P655">
        <v>0.64500000000000013</v>
      </c>
      <c r="Q655">
        <v>16609.833471999998</v>
      </c>
      <c r="R655" t="s">
        <v>1180</v>
      </c>
    </row>
    <row r="656" spans="8:18" x14ac:dyDescent="0.25">
      <c r="H656" t="s">
        <v>454</v>
      </c>
      <c r="I656">
        <v>175.93620000000001</v>
      </c>
      <c r="J656">
        <v>0.40499999999999997</v>
      </c>
      <c r="K656">
        <v>25094.955187999985</v>
      </c>
      <c r="L656" t="s">
        <v>161</v>
      </c>
      <c r="N656" t="s">
        <v>1129</v>
      </c>
      <c r="O656">
        <v>160.28359999999998</v>
      </c>
      <c r="P656">
        <v>0.64500000000000013</v>
      </c>
      <c r="Q656">
        <v>16770.117071999997</v>
      </c>
      <c r="R656" t="s">
        <v>1180</v>
      </c>
    </row>
    <row r="657" spans="8:18" x14ac:dyDescent="0.25">
      <c r="H657" t="s">
        <v>675</v>
      </c>
      <c r="I657">
        <v>160.23480000000001</v>
      </c>
      <c r="J657">
        <v>0.40499999999999997</v>
      </c>
      <c r="K657">
        <v>25255.189987999984</v>
      </c>
      <c r="L657" t="s">
        <v>161</v>
      </c>
      <c r="N657" t="s">
        <v>1082</v>
      </c>
      <c r="O657">
        <v>157.99</v>
      </c>
      <c r="P657">
        <v>0.64500000000000013</v>
      </c>
      <c r="Q657">
        <v>16928.107071999999</v>
      </c>
      <c r="R657" t="s">
        <v>1180</v>
      </c>
    </row>
    <row r="658" spans="8:18" x14ac:dyDescent="0.25">
      <c r="H658" t="s">
        <v>385</v>
      </c>
      <c r="I658">
        <v>180.00489999999999</v>
      </c>
      <c r="J658">
        <v>0.40499999999999997</v>
      </c>
      <c r="K658">
        <v>25435.194887999984</v>
      </c>
      <c r="L658" t="s">
        <v>161</v>
      </c>
      <c r="N658" t="s">
        <v>1092</v>
      </c>
      <c r="O658">
        <v>157.99</v>
      </c>
      <c r="P658">
        <v>0.64500000000000013</v>
      </c>
      <c r="Q658">
        <v>17086.097072</v>
      </c>
      <c r="R658" t="s">
        <v>1180</v>
      </c>
    </row>
    <row r="659" spans="8:18" x14ac:dyDescent="0.25">
      <c r="H659" t="s">
        <v>258</v>
      </c>
      <c r="I659">
        <v>110.91019999999999</v>
      </c>
      <c r="J659">
        <v>0.40499999999999997</v>
      </c>
      <c r="K659">
        <v>25546.105087999982</v>
      </c>
      <c r="L659" t="s">
        <v>161</v>
      </c>
      <c r="N659" t="s">
        <v>745</v>
      </c>
      <c r="O659">
        <v>119.5356</v>
      </c>
      <c r="P659">
        <v>0.64500000000000013</v>
      </c>
      <c r="Q659">
        <v>17205.632672</v>
      </c>
      <c r="R659" t="s">
        <v>1180</v>
      </c>
    </row>
    <row r="660" spans="8:18" x14ac:dyDescent="0.25">
      <c r="H660" t="s">
        <v>271</v>
      </c>
      <c r="I660">
        <v>120.71899999999999</v>
      </c>
      <c r="J660">
        <v>0.40499999999999997</v>
      </c>
      <c r="K660">
        <v>25666.824087999983</v>
      </c>
      <c r="L660" t="s">
        <v>161</v>
      </c>
      <c r="N660" t="s">
        <v>1099</v>
      </c>
      <c r="O660">
        <v>160.62519999999998</v>
      </c>
      <c r="P660">
        <v>0.64500000000000013</v>
      </c>
      <c r="Q660">
        <v>17366.257871999998</v>
      </c>
      <c r="R660" t="s">
        <v>1180</v>
      </c>
    </row>
    <row r="661" spans="8:18" x14ac:dyDescent="0.25">
      <c r="H661" t="s">
        <v>408</v>
      </c>
      <c r="I661">
        <v>176.48886000000002</v>
      </c>
      <c r="J661">
        <v>0.40499999999999997</v>
      </c>
      <c r="K661">
        <v>25843.312947999984</v>
      </c>
      <c r="L661" t="s">
        <v>161</v>
      </c>
      <c r="N661" t="s">
        <v>1121</v>
      </c>
      <c r="O661">
        <v>158.0754</v>
      </c>
      <c r="P661">
        <v>0.64500000000000013</v>
      </c>
      <c r="Q661">
        <v>17524.333272</v>
      </c>
      <c r="R661" t="s">
        <v>1180</v>
      </c>
    </row>
    <row r="662" spans="8:18" x14ac:dyDescent="0.25">
      <c r="H662" t="s">
        <v>259</v>
      </c>
      <c r="I662">
        <v>120.71899999999999</v>
      </c>
      <c r="J662">
        <v>0.40499999999999997</v>
      </c>
      <c r="K662">
        <v>25964.031947999985</v>
      </c>
      <c r="L662" t="s">
        <v>161</v>
      </c>
      <c r="N662" t="s">
        <v>1091</v>
      </c>
      <c r="O662">
        <v>160.62519999999998</v>
      </c>
      <c r="P662">
        <v>0.64500000000000013</v>
      </c>
      <c r="Q662">
        <v>17684.958471999998</v>
      </c>
      <c r="R662" t="s">
        <v>1180</v>
      </c>
    </row>
    <row r="663" spans="8:18" x14ac:dyDescent="0.25">
      <c r="H663" t="s">
        <v>698</v>
      </c>
      <c r="I663">
        <v>160.23480000000001</v>
      </c>
      <c r="J663">
        <v>0.40499999999999997</v>
      </c>
      <c r="K663">
        <v>26124.266747999984</v>
      </c>
      <c r="L663" t="s">
        <v>161</v>
      </c>
      <c r="N663" t="s">
        <v>744</v>
      </c>
      <c r="O663">
        <v>109.75119999999998</v>
      </c>
      <c r="P663">
        <v>0.64500000000000013</v>
      </c>
      <c r="Q663">
        <v>17794.709671999997</v>
      </c>
      <c r="R663" t="s">
        <v>1180</v>
      </c>
    </row>
    <row r="664" spans="8:18" x14ac:dyDescent="0.25">
      <c r="H664" t="s">
        <v>651</v>
      </c>
      <c r="I664">
        <v>157.99</v>
      </c>
      <c r="J664">
        <v>0.40500000000000003</v>
      </c>
      <c r="K664">
        <v>26282.256747999985</v>
      </c>
      <c r="L664" t="s">
        <v>161</v>
      </c>
      <c r="N664" t="s">
        <v>735</v>
      </c>
      <c r="O664">
        <v>109.75119999999998</v>
      </c>
      <c r="P664">
        <v>0.64500000000000013</v>
      </c>
      <c r="Q664">
        <v>17904.460871999996</v>
      </c>
      <c r="R664" t="s">
        <v>1180</v>
      </c>
    </row>
    <row r="665" spans="8:18" x14ac:dyDescent="0.25">
      <c r="H665" t="s">
        <v>495</v>
      </c>
      <c r="I665">
        <v>154.92779999999999</v>
      </c>
      <c r="J665">
        <v>0.41000000000000003</v>
      </c>
      <c r="K665">
        <v>26437.184547999987</v>
      </c>
      <c r="L665" t="s">
        <v>161</v>
      </c>
      <c r="N665" t="s">
        <v>1011</v>
      </c>
      <c r="O665">
        <v>172.82886000000002</v>
      </c>
      <c r="P665">
        <v>0.64900000000000013</v>
      </c>
      <c r="Q665">
        <v>18077.289731999997</v>
      </c>
      <c r="R665" t="s">
        <v>1180</v>
      </c>
    </row>
    <row r="666" spans="8:18" x14ac:dyDescent="0.25">
      <c r="H666" t="s">
        <v>604</v>
      </c>
      <c r="I666">
        <v>155.12299999999999</v>
      </c>
      <c r="J666">
        <v>0.41000000000000003</v>
      </c>
      <c r="K666">
        <v>26592.307547999986</v>
      </c>
      <c r="L666" t="s">
        <v>161</v>
      </c>
      <c r="N666" t="s">
        <v>1043</v>
      </c>
      <c r="O666">
        <v>172.82397999999998</v>
      </c>
      <c r="P666">
        <v>0.65</v>
      </c>
      <c r="Q666">
        <v>18250.113711999998</v>
      </c>
      <c r="R666" t="s">
        <v>1181</v>
      </c>
    </row>
    <row r="667" spans="8:18" x14ac:dyDescent="0.25">
      <c r="H667" t="s">
        <v>616</v>
      </c>
      <c r="I667">
        <v>154.92779999999999</v>
      </c>
      <c r="J667">
        <v>0.41000000000000003</v>
      </c>
      <c r="K667">
        <v>26747.235347999987</v>
      </c>
      <c r="L667" t="s">
        <v>161</v>
      </c>
      <c r="N667" t="s">
        <v>795</v>
      </c>
      <c r="O667">
        <v>172.61291999999997</v>
      </c>
      <c r="P667">
        <v>0.65</v>
      </c>
      <c r="Q667">
        <v>18422.726631999998</v>
      </c>
      <c r="R667" t="s">
        <v>1181</v>
      </c>
    </row>
    <row r="668" spans="8:18" x14ac:dyDescent="0.25">
      <c r="H668" t="s">
        <v>398</v>
      </c>
      <c r="I668">
        <v>172.49579999999997</v>
      </c>
      <c r="J668">
        <v>0.41000000000000003</v>
      </c>
      <c r="K668">
        <v>26919.731147999988</v>
      </c>
      <c r="L668" t="s">
        <v>161</v>
      </c>
      <c r="N668" t="s">
        <v>1023</v>
      </c>
      <c r="O668">
        <v>198.34271999999999</v>
      </c>
      <c r="P668">
        <v>0.65</v>
      </c>
      <c r="Q668">
        <v>18621.069351999999</v>
      </c>
      <c r="R668" t="s">
        <v>1181</v>
      </c>
    </row>
    <row r="669" spans="8:18" x14ac:dyDescent="0.25">
      <c r="H669" t="s">
        <v>477</v>
      </c>
      <c r="I669">
        <v>172.49579999999997</v>
      </c>
      <c r="J669">
        <v>0.41000000000000003</v>
      </c>
      <c r="K669">
        <v>27092.226947999989</v>
      </c>
      <c r="L669" t="s">
        <v>161</v>
      </c>
      <c r="N669" t="s">
        <v>1042</v>
      </c>
      <c r="O669">
        <v>172.67147999999997</v>
      </c>
      <c r="P669">
        <v>0.65</v>
      </c>
      <c r="Q669">
        <v>18793.740832</v>
      </c>
      <c r="R669" t="s">
        <v>1181</v>
      </c>
    </row>
    <row r="670" spans="8:18" x14ac:dyDescent="0.25">
      <c r="H670" t="s">
        <v>551</v>
      </c>
      <c r="I670">
        <v>172.17982000000001</v>
      </c>
      <c r="J670">
        <v>0.41000000000000003</v>
      </c>
      <c r="K670">
        <v>27264.40676799999</v>
      </c>
      <c r="L670" t="s">
        <v>161</v>
      </c>
      <c r="N670" t="s">
        <v>1046</v>
      </c>
      <c r="O670">
        <v>198.28782000000001</v>
      </c>
      <c r="P670">
        <v>0.65</v>
      </c>
      <c r="Q670">
        <v>18992.028652000001</v>
      </c>
      <c r="R670" t="s">
        <v>1181</v>
      </c>
    </row>
    <row r="671" spans="8:18" x14ac:dyDescent="0.25">
      <c r="H671" t="s">
        <v>484</v>
      </c>
      <c r="I671">
        <v>155.12299999999999</v>
      </c>
      <c r="J671">
        <v>0.41000000000000003</v>
      </c>
      <c r="K671">
        <v>27419.529767999989</v>
      </c>
      <c r="L671" t="s">
        <v>161</v>
      </c>
      <c r="N671" t="s">
        <v>796</v>
      </c>
      <c r="O671">
        <v>172.66172</v>
      </c>
      <c r="P671">
        <v>0.65</v>
      </c>
      <c r="Q671">
        <v>19164.690372000001</v>
      </c>
      <c r="R671" t="s">
        <v>1181</v>
      </c>
    </row>
    <row r="672" spans="8:18" x14ac:dyDescent="0.25">
      <c r="H672" t="s">
        <v>570</v>
      </c>
      <c r="I672">
        <v>172.10906</v>
      </c>
      <c r="J672">
        <v>0.41000000000000003</v>
      </c>
      <c r="K672">
        <v>27591.638827999988</v>
      </c>
      <c r="L672" t="s">
        <v>161</v>
      </c>
      <c r="N672" t="s">
        <v>1090</v>
      </c>
      <c r="O672">
        <v>160.86920000000001</v>
      </c>
      <c r="P672">
        <v>0.65500000000000003</v>
      </c>
      <c r="Q672">
        <v>19325.559572000002</v>
      </c>
      <c r="R672" t="s">
        <v>1181</v>
      </c>
    </row>
    <row r="673" spans="8:18" x14ac:dyDescent="0.25">
      <c r="H673" t="s">
        <v>505</v>
      </c>
      <c r="I673">
        <v>155.12299999999999</v>
      </c>
      <c r="J673">
        <v>0.41000000000000003</v>
      </c>
      <c r="K673">
        <v>27746.761827999988</v>
      </c>
      <c r="L673" t="s">
        <v>161</v>
      </c>
      <c r="N673" t="s">
        <v>782</v>
      </c>
      <c r="O673">
        <v>136.88400000000001</v>
      </c>
      <c r="P673">
        <v>0.65500000000000003</v>
      </c>
      <c r="Q673">
        <v>19462.443572000004</v>
      </c>
      <c r="R673" t="s">
        <v>1181</v>
      </c>
    </row>
    <row r="674" spans="8:18" x14ac:dyDescent="0.25">
      <c r="H674" t="s">
        <v>626</v>
      </c>
      <c r="I674">
        <v>155.12299999999999</v>
      </c>
      <c r="J674">
        <v>0.41000000000000003</v>
      </c>
      <c r="K674">
        <v>27901.884827999987</v>
      </c>
      <c r="L674" t="s">
        <v>161</v>
      </c>
      <c r="N674" t="s">
        <v>753</v>
      </c>
      <c r="O674">
        <v>120.25539999999999</v>
      </c>
      <c r="P674">
        <v>0.65500000000000003</v>
      </c>
      <c r="Q674">
        <v>19582.698972000002</v>
      </c>
      <c r="R674" t="s">
        <v>1181</v>
      </c>
    </row>
    <row r="675" spans="8:18" x14ac:dyDescent="0.25">
      <c r="H675" t="s">
        <v>336</v>
      </c>
      <c r="I675">
        <v>119.76739999999999</v>
      </c>
      <c r="J675">
        <v>0.41499999999999992</v>
      </c>
      <c r="K675">
        <v>28021.652227999988</v>
      </c>
      <c r="L675" t="s">
        <v>161</v>
      </c>
      <c r="N675" t="s">
        <v>743</v>
      </c>
      <c r="O675">
        <v>108.7264</v>
      </c>
      <c r="P675">
        <v>0.65500000000000003</v>
      </c>
      <c r="Q675">
        <v>19691.425372000002</v>
      </c>
      <c r="R675" t="s">
        <v>1181</v>
      </c>
    </row>
    <row r="676" spans="8:18" x14ac:dyDescent="0.25">
      <c r="H676" t="s">
        <v>368</v>
      </c>
      <c r="I676">
        <v>116.20988</v>
      </c>
      <c r="J676">
        <v>0.41499999999999992</v>
      </c>
      <c r="K676">
        <v>28137.862107999987</v>
      </c>
      <c r="L676" t="s">
        <v>161</v>
      </c>
      <c r="N676" t="s">
        <v>752</v>
      </c>
      <c r="O676">
        <v>110.4344</v>
      </c>
      <c r="P676">
        <v>0.65500000000000003</v>
      </c>
      <c r="Q676">
        <v>19801.859772</v>
      </c>
      <c r="R676" t="s">
        <v>1181</v>
      </c>
    </row>
    <row r="677" spans="8:18" x14ac:dyDescent="0.25">
      <c r="H677" t="s">
        <v>322</v>
      </c>
      <c r="I677">
        <v>119.76739999999999</v>
      </c>
      <c r="J677">
        <v>0.41499999999999992</v>
      </c>
      <c r="K677">
        <v>28257.629507999987</v>
      </c>
      <c r="L677" t="s">
        <v>161</v>
      </c>
      <c r="N677" t="s">
        <v>1137</v>
      </c>
      <c r="O677">
        <v>160.34460000000001</v>
      </c>
      <c r="P677">
        <v>0.65500000000000014</v>
      </c>
      <c r="Q677">
        <v>19962.204372</v>
      </c>
      <c r="R677" t="s">
        <v>1181</v>
      </c>
    </row>
    <row r="678" spans="8:18" x14ac:dyDescent="0.25">
      <c r="H678" t="s">
        <v>463</v>
      </c>
      <c r="I678">
        <v>173.1302</v>
      </c>
      <c r="J678">
        <v>0.41499999999999998</v>
      </c>
      <c r="K678">
        <v>28430.759707999987</v>
      </c>
      <c r="L678" t="s">
        <v>159</v>
      </c>
      <c r="N678" t="s">
        <v>1123</v>
      </c>
      <c r="O678">
        <v>160.34460000000001</v>
      </c>
      <c r="P678">
        <v>0.65500000000000014</v>
      </c>
      <c r="Q678">
        <v>20122.548972000001</v>
      </c>
      <c r="R678" t="s">
        <v>1181</v>
      </c>
    </row>
    <row r="679" spans="8:18" x14ac:dyDescent="0.25">
      <c r="H679" t="s">
        <v>447</v>
      </c>
      <c r="I679">
        <v>108.42140000000001</v>
      </c>
      <c r="J679">
        <v>0.41499999999999998</v>
      </c>
      <c r="K679">
        <v>28539.181107999986</v>
      </c>
      <c r="L679" t="s">
        <v>159</v>
      </c>
      <c r="N679" t="s">
        <v>1000</v>
      </c>
      <c r="O679">
        <v>343.92898000000002</v>
      </c>
      <c r="P679">
        <v>0.66500000000000004</v>
      </c>
      <c r="Q679">
        <v>20466.477952000001</v>
      </c>
      <c r="R679" t="s">
        <v>1181</v>
      </c>
    </row>
    <row r="680" spans="8:18" x14ac:dyDescent="0.25">
      <c r="H680" t="s">
        <v>455</v>
      </c>
      <c r="I680">
        <v>117.47380000000001</v>
      </c>
      <c r="J680">
        <v>0.41499999999999998</v>
      </c>
      <c r="K680">
        <v>28656.654907999986</v>
      </c>
      <c r="L680" t="s">
        <v>159</v>
      </c>
      <c r="N680" t="s">
        <v>746</v>
      </c>
      <c r="O680">
        <v>108.64099999999999</v>
      </c>
      <c r="P680">
        <v>0.66500000000000004</v>
      </c>
      <c r="Q680">
        <v>20575.118952000001</v>
      </c>
      <c r="R680" t="s">
        <v>1181</v>
      </c>
    </row>
    <row r="681" spans="8:18" x14ac:dyDescent="0.25">
      <c r="H681" t="s">
        <v>634</v>
      </c>
      <c r="I681">
        <v>108.32380000000001</v>
      </c>
      <c r="J681">
        <v>0.41499999999999998</v>
      </c>
      <c r="K681">
        <v>28764.978707999984</v>
      </c>
      <c r="L681" t="s">
        <v>159</v>
      </c>
      <c r="N681" t="s">
        <v>747</v>
      </c>
      <c r="O681">
        <v>118.4132</v>
      </c>
      <c r="P681">
        <v>0.66500000000000004</v>
      </c>
      <c r="Q681">
        <v>20693.532152</v>
      </c>
      <c r="R681" t="s">
        <v>1181</v>
      </c>
    </row>
    <row r="682" spans="8:18" x14ac:dyDescent="0.25">
      <c r="H682" t="s">
        <v>702</v>
      </c>
      <c r="I682">
        <v>108.42140000000001</v>
      </c>
      <c r="J682">
        <v>0.41499999999999998</v>
      </c>
      <c r="K682">
        <v>28873.400107999983</v>
      </c>
      <c r="L682" t="s">
        <v>159</v>
      </c>
      <c r="N682" t="s">
        <v>787</v>
      </c>
      <c r="O682">
        <v>343.58616000000001</v>
      </c>
      <c r="P682">
        <v>0.66500000000000004</v>
      </c>
      <c r="Q682">
        <v>21037.118311999999</v>
      </c>
      <c r="R682" t="s">
        <v>1181</v>
      </c>
    </row>
    <row r="683" spans="8:18" x14ac:dyDescent="0.25">
      <c r="H683" t="s">
        <v>413</v>
      </c>
      <c r="I683">
        <v>117.45062</v>
      </c>
      <c r="J683">
        <v>0.41499999999999998</v>
      </c>
      <c r="K683">
        <v>28990.850727999983</v>
      </c>
      <c r="L683" t="s">
        <v>159</v>
      </c>
      <c r="N683" t="s">
        <v>737</v>
      </c>
      <c r="O683">
        <v>108.64099999999999</v>
      </c>
      <c r="P683">
        <v>0.66500000000000004</v>
      </c>
      <c r="Q683">
        <v>21145.759311999998</v>
      </c>
      <c r="R683" t="s">
        <v>1181</v>
      </c>
    </row>
    <row r="684" spans="8:18" x14ac:dyDescent="0.25">
      <c r="H684" t="s">
        <v>400</v>
      </c>
      <c r="I684">
        <v>117.49942</v>
      </c>
      <c r="J684">
        <v>0.41499999999999998</v>
      </c>
      <c r="K684">
        <v>29108.350147999983</v>
      </c>
      <c r="L684" t="s">
        <v>159</v>
      </c>
      <c r="N684" t="s">
        <v>788</v>
      </c>
      <c r="O684">
        <v>343.92898000000002</v>
      </c>
      <c r="P684">
        <v>0.66500000000000004</v>
      </c>
      <c r="Q684">
        <v>21489.688291999999</v>
      </c>
      <c r="R684" t="s">
        <v>1181</v>
      </c>
    </row>
    <row r="685" spans="8:18" x14ac:dyDescent="0.25">
      <c r="H685" t="s">
        <v>436</v>
      </c>
      <c r="I685">
        <v>108.42140000000001</v>
      </c>
      <c r="J685">
        <v>0.41499999999999998</v>
      </c>
      <c r="K685">
        <v>29216.771547999982</v>
      </c>
      <c r="L685" t="s">
        <v>159</v>
      </c>
      <c r="N685" t="s">
        <v>999</v>
      </c>
      <c r="O685">
        <v>343.58616000000001</v>
      </c>
      <c r="P685">
        <v>0.66500000000000004</v>
      </c>
      <c r="Q685">
        <v>21833.274451999998</v>
      </c>
      <c r="R685" t="s">
        <v>1182</v>
      </c>
    </row>
    <row r="686" spans="8:18" x14ac:dyDescent="0.25">
      <c r="H686" t="s">
        <v>387</v>
      </c>
      <c r="I686">
        <v>117.49942</v>
      </c>
      <c r="J686">
        <v>0.41499999999999998</v>
      </c>
      <c r="K686">
        <v>29334.270967999983</v>
      </c>
      <c r="L686" t="s">
        <v>159</v>
      </c>
      <c r="N686" t="s">
        <v>734</v>
      </c>
      <c r="O686">
        <v>134.3708</v>
      </c>
      <c r="P686">
        <v>0.66500000000000015</v>
      </c>
      <c r="Q686">
        <v>21967.645251999998</v>
      </c>
      <c r="R686" t="s">
        <v>1182</v>
      </c>
    </row>
    <row r="687" spans="8:18" x14ac:dyDescent="0.25">
      <c r="H687" t="s">
        <v>689</v>
      </c>
      <c r="I687">
        <v>108.42140000000001</v>
      </c>
      <c r="J687">
        <v>0.41499999999999998</v>
      </c>
      <c r="K687">
        <v>29442.692367999982</v>
      </c>
      <c r="L687" t="s">
        <v>159</v>
      </c>
      <c r="N687" t="s">
        <v>1085</v>
      </c>
      <c r="O687">
        <v>159.96639999999999</v>
      </c>
      <c r="P687">
        <v>0.66500000000000015</v>
      </c>
      <c r="Q687">
        <v>22127.611652</v>
      </c>
      <c r="R687" t="s">
        <v>1182</v>
      </c>
    </row>
    <row r="688" spans="8:18" x14ac:dyDescent="0.25">
      <c r="H688" t="s">
        <v>676</v>
      </c>
      <c r="I688">
        <v>108.42140000000001</v>
      </c>
      <c r="J688">
        <v>0.41499999999999998</v>
      </c>
      <c r="K688">
        <v>29551.113767999981</v>
      </c>
      <c r="L688" t="s">
        <v>159</v>
      </c>
      <c r="N688" t="s">
        <v>1093</v>
      </c>
      <c r="O688">
        <v>159.96639999999999</v>
      </c>
      <c r="P688">
        <v>0.66500000000000015</v>
      </c>
      <c r="Q688">
        <v>22287.578052000001</v>
      </c>
      <c r="R688" t="s">
        <v>1182</v>
      </c>
    </row>
    <row r="689" spans="8:18" x14ac:dyDescent="0.25">
      <c r="H689" t="s">
        <v>424</v>
      </c>
      <c r="I689">
        <v>108.42140000000001</v>
      </c>
      <c r="J689">
        <v>0.41499999999999998</v>
      </c>
      <c r="K689">
        <v>29659.53516799998</v>
      </c>
      <c r="L689" t="s">
        <v>159</v>
      </c>
      <c r="N689" t="s">
        <v>945</v>
      </c>
      <c r="O689">
        <v>224.34214</v>
      </c>
      <c r="P689">
        <v>0.66900000000000015</v>
      </c>
      <c r="Q689">
        <v>22511.920192000001</v>
      </c>
      <c r="R689" t="s">
        <v>1182</v>
      </c>
    </row>
    <row r="690" spans="8:18" x14ac:dyDescent="0.25">
      <c r="H690" t="s">
        <v>395</v>
      </c>
      <c r="I690">
        <v>173.15338</v>
      </c>
      <c r="J690">
        <v>0.41499999999999998</v>
      </c>
      <c r="K690">
        <v>29832.68854799998</v>
      </c>
      <c r="L690" t="s">
        <v>159</v>
      </c>
      <c r="N690" t="s">
        <v>1110</v>
      </c>
      <c r="O690">
        <v>152.1584</v>
      </c>
      <c r="P690">
        <v>0.67</v>
      </c>
      <c r="Q690">
        <v>22664.078592000002</v>
      </c>
      <c r="R690" t="s">
        <v>1182</v>
      </c>
    </row>
    <row r="691" spans="8:18" x14ac:dyDescent="0.25">
      <c r="H691" t="s">
        <v>418</v>
      </c>
      <c r="I691">
        <v>173.15338</v>
      </c>
      <c r="J691">
        <v>0.41499999999999998</v>
      </c>
      <c r="K691">
        <v>30005.84192799998</v>
      </c>
      <c r="L691" t="s">
        <v>159</v>
      </c>
      <c r="N691" t="s">
        <v>1074</v>
      </c>
      <c r="O691">
        <v>152.60980000000001</v>
      </c>
      <c r="P691">
        <v>0.67</v>
      </c>
      <c r="Q691">
        <v>22816.688392</v>
      </c>
      <c r="R691" t="s">
        <v>1182</v>
      </c>
    </row>
    <row r="692" spans="8:18" x14ac:dyDescent="0.25">
      <c r="H692" t="s">
        <v>583</v>
      </c>
      <c r="I692">
        <v>117.49942</v>
      </c>
      <c r="J692">
        <v>0.41499999999999998</v>
      </c>
      <c r="K692">
        <v>30123.34134799998</v>
      </c>
      <c r="L692" t="s">
        <v>159</v>
      </c>
      <c r="N692" t="s">
        <v>1054</v>
      </c>
      <c r="O692">
        <v>152.60980000000001</v>
      </c>
      <c r="P692">
        <v>0.67</v>
      </c>
      <c r="Q692">
        <v>22969.298191999998</v>
      </c>
      <c r="R692" t="s">
        <v>1182</v>
      </c>
    </row>
    <row r="693" spans="8:18" x14ac:dyDescent="0.25">
      <c r="H693" t="s">
        <v>645</v>
      </c>
      <c r="I693">
        <v>156.8432</v>
      </c>
      <c r="J693">
        <v>0.41500000000000004</v>
      </c>
      <c r="K693">
        <v>30280.184547999979</v>
      </c>
      <c r="L693" t="s">
        <v>159</v>
      </c>
      <c r="N693" t="s">
        <v>1100</v>
      </c>
      <c r="O693">
        <v>152.1584</v>
      </c>
      <c r="P693">
        <v>0.67</v>
      </c>
      <c r="Q693">
        <v>23121.456591999999</v>
      </c>
      <c r="R693" t="s">
        <v>1182</v>
      </c>
    </row>
    <row r="694" spans="8:18" x14ac:dyDescent="0.25">
      <c r="H694" t="s">
        <v>667</v>
      </c>
      <c r="I694">
        <v>159.96639999999999</v>
      </c>
      <c r="J694">
        <v>0.41500000000000004</v>
      </c>
      <c r="K694">
        <v>30440.15094799998</v>
      </c>
      <c r="L694" t="s">
        <v>159</v>
      </c>
      <c r="N694" t="s">
        <v>1071</v>
      </c>
      <c r="O694">
        <v>160.69839999999999</v>
      </c>
      <c r="P694">
        <v>0.67</v>
      </c>
      <c r="Q694">
        <v>23282.154992</v>
      </c>
      <c r="R694" t="s">
        <v>1182</v>
      </c>
    </row>
    <row r="695" spans="8:18" x14ac:dyDescent="0.25">
      <c r="H695" t="s">
        <v>596</v>
      </c>
      <c r="I695">
        <v>172.24814000000001</v>
      </c>
      <c r="J695">
        <v>0.42000000000000004</v>
      </c>
      <c r="K695">
        <v>30612.39908799998</v>
      </c>
      <c r="L695" t="s">
        <v>159</v>
      </c>
      <c r="N695" t="s">
        <v>814</v>
      </c>
      <c r="O695">
        <v>172.10906</v>
      </c>
      <c r="P695">
        <v>0.67249999999999999</v>
      </c>
      <c r="Q695">
        <v>23454.264051999999</v>
      </c>
      <c r="R695" t="s">
        <v>1182</v>
      </c>
    </row>
    <row r="696" spans="8:18" x14ac:dyDescent="0.25">
      <c r="H696" t="s">
        <v>660</v>
      </c>
      <c r="I696">
        <v>155.489</v>
      </c>
      <c r="J696">
        <v>0.42000000000000004</v>
      </c>
      <c r="K696">
        <v>30767.888087999982</v>
      </c>
      <c r="L696" t="s">
        <v>159</v>
      </c>
      <c r="N696" t="s">
        <v>980</v>
      </c>
      <c r="O696">
        <v>172.17982000000001</v>
      </c>
      <c r="P696">
        <v>0.67249999999999999</v>
      </c>
      <c r="Q696">
        <v>23626.443872</v>
      </c>
      <c r="R696" t="s">
        <v>1182</v>
      </c>
    </row>
    <row r="697" spans="8:18" x14ac:dyDescent="0.25">
      <c r="H697" t="s">
        <v>576</v>
      </c>
      <c r="I697">
        <v>172.2945</v>
      </c>
      <c r="J697">
        <v>0.42000000000000004</v>
      </c>
      <c r="K697">
        <v>30940.182587999981</v>
      </c>
      <c r="L697" t="s">
        <v>159</v>
      </c>
      <c r="N697" t="s">
        <v>1044</v>
      </c>
      <c r="O697">
        <v>224.34214</v>
      </c>
      <c r="P697">
        <v>0.67500000000000004</v>
      </c>
      <c r="Q697">
        <v>23850.786012</v>
      </c>
      <c r="R697" t="s">
        <v>1182</v>
      </c>
    </row>
    <row r="698" spans="8:18" x14ac:dyDescent="0.25">
      <c r="H698" t="s">
        <v>706</v>
      </c>
      <c r="I698">
        <v>158.08760000000001</v>
      </c>
      <c r="J698">
        <v>0.42499999999999993</v>
      </c>
      <c r="K698">
        <v>31098.27018799998</v>
      </c>
      <c r="L698" t="s">
        <v>159</v>
      </c>
      <c r="N698" t="s">
        <v>779</v>
      </c>
      <c r="O698">
        <v>118.4498</v>
      </c>
      <c r="P698">
        <v>0.67500000000000004</v>
      </c>
      <c r="Q698">
        <v>23969.235811999999</v>
      </c>
      <c r="R698" t="s">
        <v>1182</v>
      </c>
    </row>
    <row r="699" spans="8:18" x14ac:dyDescent="0.25">
      <c r="H699" t="s">
        <v>321</v>
      </c>
      <c r="I699">
        <v>119.5356</v>
      </c>
      <c r="J699">
        <v>0.42499999999999993</v>
      </c>
      <c r="K699">
        <v>31217.80578799998</v>
      </c>
      <c r="L699" t="s">
        <v>159</v>
      </c>
      <c r="N699" t="s">
        <v>780</v>
      </c>
      <c r="O699">
        <v>108.64099999999999</v>
      </c>
      <c r="P699">
        <v>0.67500000000000004</v>
      </c>
      <c r="Q699">
        <v>24077.876811999999</v>
      </c>
      <c r="R699" t="s">
        <v>1182</v>
      </c>
    </row>
    <row r="700" spans="8:18" x14ac:dyDescent="0.25">
      <c r="H700" t="s">
        <v>431</v>
      </c>
      <c r="I700">
        <v>158.08760000000001</v>
      </c>
      <c r="J700">
        <v>0.42499999999999993</v>
      </c>
      <c r="K700">
        <v>31375.893387999979</v>
      </c>
      <c r="L700" t="s">
        <v>159</v>
      </c>
      <c r="N700" t="s">
        <v>784</v>
      </c>
      <c r="O700">
        <v>108.64099999999999</v>
      </c>
      <c r="P700">
        <v>0.67500000000000004</v>
      </c>
      <c r="Q700">
        <v>24186.517811999998</v>
      </c>
      <c r="R700" t="s">
        <v>1182</v>
      </c>
    </row>
    <row r="701" spans="8:18" x14ac:dyDescent="0.25">
      <c r="H701" t="s">
        <v>451</v>
      </c>
      <c r="I701">
        <v>158.08760000000001</v>
      </c>
      <c r="J701">
        <v>0.42499999999999993</v>
      </c>
      <c r="K701">
        <v>31533.980987999978</v>
      </c>
      <c r="L701" t="s">
        <v>159</v>
      </c>
      <c r="N701" t="s">
        <v>742</v>
      </c>
      <c r="O701">
        <v>134.4196</v>
      </c>
      <c r="P701">
        <v>0.67500000000000016</v>
      </c>
      <c r="Q701">
        <v>24320.937411999999</v>
      </c>
      <c r="R701" t="s">
        <v>1182</v>
      </c>
    </row>
    <row r="702" spans="8:18" x14ac:dyDescent="0.25">
      <c r="H702" t="s">
        <v>319</v>
      </c>
      <c r="I702">
        <v>74.395599999999988</v>
      </c>
      <c r="J702">
        <v>0.42499999999999993</v>
      </c>
      <c r="K702">
        <v>31608.376587999977</v>
      </c>
      <c r="L702" t="s">
        <v>159</v>
      </c>
      <c r="N702" t="s">
        <v>1049</v>
      </c>
      <c r="O702">
        <v>175.55311999999998</v>
      </c>
      <c r="P702">
        <v>0.67749999999999999</v>
      </c>
      <c r="Q702">
        <v>24496.490532</v>
      </c>
      <c r="R702" t="s">
        <v>1182</v>
      </c>
    </row>
    <row r="703" spans="8:18" x14ac:dyDescent="0.25">
      <c r="H703" t="s">
        <v>363</v>
      </c>
      <c r="I703">
        <v>108.7264</v>
      </c>
      <c r="J703">
        <v>0.42499999999999993</v>
      </c>
      <c r="K703">
        <v>31717.102987999977</v>
      </c>
      <c r="L703" t="s">
        <v>159</v>
      </c>
      <c r="N703" t="s">
        <v>846</v>
      </c>
      <c r="O703">
        <v>228.262</v>
      </c>
      <c r="P703">
        <v>0.67900000000000005</v>
      </c>
      <c r="Q703">
        <v>24724.752531999999</v>
      </c>
      <c r="R703" t="s">
        <v>1183</v>
      </c>
    </row>
    <row r="704" spans="8:18" x14ac:dyDescent="0.25">
      <c r="H704" t="s">
        <v>683</v>
      </c>
      <c r="I704">
        <v>158.08760000000001</v>
      </c>
      <c r="J704">
        <v>0.42499999999999993</v>
      </c>
      <c r="K704">
        <v>31875.190587999976</v>
      </c>
      <c r="L704" t="s">
        <v>159</v>
      </c>
      <c r="N704" t="s">
        <v>953</v>
      </c>
      <c r="O704">
        <v>222.47554</v>
      </c>
      <c r="P704">
        <v>0.67900000000000016</v>
      </c>
      <c r="Q704">
        <v>24947.228071999998</v>
      </c>
      <c r="R704" t="s">
        <v>1183</v>
      </c>
    </row>
    <row r="705" spans="8:18" x14ac:dyDescent="0.25">
      <c r="H705" t="s">
        <v>332</v>
      </c>
      <c r="I705">
        <v>108.7264</v>
      </c>
      <c r="J705">
        <v>0.42499999999999993</v>
      </c>
      <c r="K705">
        <v>31983.916987999975</v>
      </c>
      <c r="L705" t="s">
        <v>159</v>
      </c>
      <c r="N705" t="s">
        <v>1022</v>
      </c>
      <c r="O705">
        <v>180.00489999999999</v>
      </c>
      <c r="P705">
        <v>0.67900000000000016</v>
      </c>
      <c r="Q705">
        <v>25127.232971999998</v>
      </c>
      <c r="R705" t="s">
        <v>1183</v>
      </c>
    </row>
    <row r="706" spans="8:18" x14ac:dyDescent="0.25">
      <c r="H706" t="s">
        <v>348</v>
      </c>
      <c r="I706">
        <v>118.5474</v>
      </c>
      <c r="J706">
        <v>0.42499999999999993</v>
      </c>
      <c r="K706">
        <v>32102.464387999975</v>
      </c>
      <c r="L706" t="s">
        <v>159</v>
      </c>
      <c r="N706" t="s">
        <v>1010</v>
      </c>
      <c r="O706">
        <v>198.59281999999999</v>
      </c>
      <c r="P706">
        <v>0.68</v>
      </c>
      <c r="Q706">
        <v>25325.825792</v>
      </c>
      <c r="R706" t="s">
        <v>1183</v>
      </c>
    </row>
    <row r="707" spans="8:18" x14ac:dyDescent="0.25">
      <c r="H707" t="s">
        <v>335</v>
      </c>
      <c r="I707">
        <v>118.5474</v>
      </c>
      <c r="J707">
        <v>0.42499999999999993</v>
      </c>
      <c r="K707">
        <v>32221.011787999974</v>
      </c>
      <c r="L707" t="s">
        <v>159</v>
      </c>
      <c r="N707" t="s">
        <v>1120</v>
      </c>
      <c r="O707">
        <v>154.7936</v>
      </c>
      <c r="P707">
        <v>0.68</v>
      </c>
      <c r="Q707">
        <v>25480.619392000001</v>
      </c>
      <c r="R707" t="s">
        <v>1183</v>
      </c>
    </row>
    <row r="708" spans="8:18" x14ac:dyDescent="0.25">
      <c r="H708" t="s">
        <v>351</v>
      </c>
      <c r="I708">
        <v>108.7264</v>
      </c>
      <c r="J708">
        <v>0.42499999999999993</v>
      </c>
      <c r="K708">
        <v>32329.738187999974</v>
      </c>
      <c r="L708" t="s">
        <v>164</v>
      </c>
      <c r="N708" t="s">
        <v>1072</v>
      </c>
      <c r="O708">
        <v>155.0864</v>
      </c>
      <c r="P708">
        <v>0.68</v>
      </c>
      <c r="Q708">
        <v>25635.705792000001</v>
      </c>
      <c r="R708" t="s">
        <v>1183</v>
      </c>
    </row>
    <row r="709" spans="8:18" x14ac:dyDescent="0.25">
      <c r="H709" t="s">
        <v>339</v>
      </c>
      <c r="I709">
        <v>74.395599999999988</v>
      </c>
      <c r="J709">
        <v>0.42499999999999993</v>
      </c>
      <c r="K709">
        <v>32404.133787999974</v>
      </c>
      <c r="L709" t="s">
        <v>164</v>
      </c>
      <c r="N709" t="s">
        <v>971</v>
      </c>
      <c r="O709">
        <v>198.64771999999999</v>
      </c>
      <c r="P709">
        <v>0.68</v>
      </c>
      <c r="Q709">
        <v>25834.353512000002</v>
      </c>
      <c r="R709" t="s">
        <v>1183</v>
      </c>
    </row>
    <row r="710" spans="8:18" x14ac:dyDescent="0.25">
      <c r="H710" t="s">
        <v>352</v>
      </c>
      <c r="I710">
        <v>74.395599999999988</v>
      </c>
      <c r="J710">
        <v>0.42499999999999993</v>
      </c>
      <c r="K710">
        <v>32478.529387999974</v>
      </c>
      <c r="L710" t="s">
        <v>164</v>
      </c>
      <c r="N710" t="s">
        <v>803</v>
      </c>
      <c r="O710">
        <v>198.59281999999999</v>
      </c>
      <c r="P710">
        <v>0.68</v>
      </c>
      <c r="Q710">
        <v>26032.946332000003</v>
      </c>
      <c r="R710" t="s">
        <v>1183</v>
      </c>
    </row>
    <row r="711" spans="8:18" x14ac:dyDescent="0.25">
      <c r="H711" t="s">
        <v>388</v>
      </c>
      <c r="I711">
        <v>172.82886000000002</v>
      </c>
      <c r="J711">
        <v>0.42499999999999999</v>
      </c>
      <c r="K711">
        <v>32651.358247999975</v>
      </c>
      <c r="L711" t="s">
        <v>164</v>
      </c>
      <c r="N711" t="s">
        <v>1140</v>
      </c>
      <c r="O711">
        <v>154.87899999999999</v>
      </c>
      <c r="P711">
        <v>0.68</v>
      </c>
      <c r="Q711">
        <v>26187.825332000004</v>
      </c>
      <c r="R711" t="s">
        <v>1183</v>
      </c>
    </row>
    <row r="712" spans="8:18" x14ac:dyDescent="0.25">
      <c r="H712" t="s">
        <v>412</v>
      </c>
      <c r="I712">
        <v>172.82886000000002</v>
      </c>
      <c r="J712">
        <v>0.42499999999999999</v>
      </c>
      <c r="K712">
        <v>32824.187107999976</v>
      </c>
      <c r="L712" t="s">
        <v>164</v>
      </c>
      <c r="N712" t="s">
        <v>1096</v>
      </c>
      <c r="O712">
        <v>154.67160000000001</v>
      </c>
      <c r="P712">
        <v>0.68</v>
      </c>
      <c r="Q712">
        <v>26342.496932000005</v>
      </c>
      <c r="R712" t="s">
        <v>1183</v>
      </c>
    </row>
    <row r="713" spans="8:18" x14ac:dyDescent="0.25">
      <c r="H713" t="s">
        <v>457</v>
      </c>
      <c r="I713">
        <v>172.7398</v>
      </c>
      <c r="J713">
        <v>0.42499999999999999</v>
      </c>
      <c r="K713">
        <v>32996.926907999979</v>
      </c>
      <c r="L713" t="s">
        <v>164</v>
      </c>
      <c r="N713" t="s">
        <v>1124</v>
      </c>
      <c r="O713">
        <v>154.87899999999999</v>
      </c>
      <c r="P713">
        <v>0.68</v>
      </c>
      <c r="Q713">
        <v>26497.375932000006</v>
      </c>
      <c r="R713" t="s">
        <v>1183</v>
      </c>
    </row>
    <row r="714" spans="8:18" x14ac:dyDescent="0.25">
      <c r="H714" t="s">
        <v>605</v>
      </c>
      <c r="I714">
        <v>160.34460000000001</v>
      </c>
      <c r="J714">
        <v>0.42500000000000004</v>
      </c>
      <c r="K714">
        <v>33157.271507999976</v>
      </c>
      <c r="L714" t="s">
        <v>164</v>
      </c>
      <c r="N714" t="s">
        <v>1086</v>
      </c>
      <c r="O714">
        <v>154.67160000000001</v>
      </c>
      <c r="P714">
        <v>0.68</v>
      </c>
      <c r="Q714">
        <v>26652.047532000008</v>
      </c>
      <c r="R714" t="s">
        <v>1183</v>
      </c>
    </row>
    <row r="715" spans="8:18" x14ac:dyDescent="0.25">
      <c r="H715" t="s">
        <v>536</v>
      </c>
      <c r="I715">
        <v>175.66658000000001</v>
      </c>
      <c r="J715">
        <v>0.42500000000000004</v>
      </c>
      <c r="K715">
        <v>33332.938087999974</v>
      </c>
      <c r="L715" t="s">
        <v>164</v>
      </c>
      <c r="N715" t="s">
        <v>1081</v>
      </c>
      <c r="O715">
        <v>155.17179999999999</v>
      </c>
      <c r="P715">
        <v>0.68</v>
      </c>
      <c r="Q715">
        <v>26807.219332000008</v>
      </c>
      <c r="R715" t="s">
        <v>1183</v>
      </c>
    </row>
    <row r="716" spans="8:18" x14ac:dyDescent="0.25">
      <c r="H716" t="s">
        <v>485</v>
      </c>
      <c r="I716">
        <v>160.34460000000001</v>
      </c>
      <c r="J716">
        <v>0.42500000000000004</v>
      </c>
      <c r="K716">
        <v>33493.28268799997</v>
      </c>
      <c r="L716" t="s">
        <v>164</v>
      </c>
      <c r="N716" t="s">
        <v>1116</v>
      </c>
      <c r="O716">
        <v>155.12299999999999</v>
      </c>
      <c r="P716">
        <v>0.68</v>
      </c>
      <c r="Q716">
        <v>26962.342332000007</v>
      </c>
      <c r="R716" t="s">
        <v>1183</v>
      </c>
    </row>
    <row r="717" spans="8:18" x14ac:dyDescent="0.25">
      <c r="H717" t="s">
        <v>248</v>
      </c>
      <c r="I717">
        <v>136.88400000000001</v>
      </c>
      <c r="J717">
        <v>0.42500000000000004</v>
      </c>
      <c r="K717">
        <v>33630.166687999968</v>
      </c>
      <c r="L717" t="s">
        <v>164</v>
      </c>
      <c r="N717" t="s">
        <v>986</v>
      </c>
      <c r="O717">
        <v>198.64771999999999</v>
      </c>
      <c r="P717">
        <v>0.68</v>
      </c>
      <c r="Q717">
        <v>27160.990052000008</v>
      </c>
      <c r="R717" t="s">
        <v>1183</v>
      </c>
    </row>
    <row r="718" spans="8:18" x14ac:dyDescent="0.25">
      <c r="H718" t="s">
        <v>625</v>
      </c>
      <c r="I718">
        <v>160.34460000000001</v>
      </c>
      <c r="J718">
        <v>0.42500000000000004</v>
      </c>
      <c r="K718">
        <v>33790.511287999965</v>
      </c>
      <c r="L718" t="s">
        <v>164</v>
      </c>
      <c r="N718" t="s">
        <v>1061</v>
      </c>
      <c r="O718">
        <v>155.17179999999999</v>
      </c>
      <c r="P718">
        <v>0.68</v>
      </c>
      <c r="Q718">
        <v>27316.161852000008</v>
      </c>
      <c r="R718" t="s">
        <v>1183</v>
      </c>
    </row>
    <row r="719" spans="8:18" x14ac:dyDescent="0.25">
      <c r="H719" t="s">
        <v>515</v>
      </c>
      <c r="I719">
        <v>175.66658000000001</v>
      </c>
      <c r="J719">
        <v>0.42500000000000004</v>
      </c>
      <c r="K719">
        <v>33966.177867999962</v>
      </c>
      <c r="L719" t="s">
        <v>164</v>
      </c>
      <c r="N719" t="s">
        <v>1132</v>
      </c>
      <c r="O719">
        <v>159.85659999999999</v>
      </c>
      <c r="P719">
        <v>0.68</v>
      </c>
      <c r="Q719">
        <v>27476.018452000008</v>
      </c>
      <c r="R719" t="s">
        <v>1183</v>
      </c>
    </row>
    <row r="720" spans="8:18" x14ac:dyDescent="0.25">
      <c r="H720" t="s">
        <v>504</v>
      </c>
      <c r="I720">
        <v>160.34460000000001</v>
      </c>
      <c r="J720">
        <v>0.42500000000000004</v>
      </c>
      <c r="K720">
        <v>34126.522467999959</v>
      </c>
      <c r="L720" t="s">
        <v>164</v>
      </c>
      <c r="N720" t="s">
        <v>1107</v>
      </c>
      <c r="O720">
        <v>154.7936</v>
      </c>
      <c r="P720">
        <v>0.68</v>
      </c>
      <c r="Q720">
        <v>27630.812052000008</v>
      </c>
      <c r="R720" t="s">
        <v>1183</v>
      </c>
    </row>
    <row r="721" spans="8:18" x14ac:dyDescent="0.25">
      <c r="H721" t="s">
        <v>561</v>
      </c>
      <c r="I721">
        <v>172.61291999999997</v>
      </c>
      <c r="J721">
        <v>0.43000000000000005</v>
      </c>
      <c r="K721">
        <v>34299.135387999959</v>
      </c>
      <c r="L721" t="s">
        <v>164</v>
      </c>
      <c r="N721" t="s">
        <v>1133</v>
      </c>
      <c r="O721">
        <v>154.8058</v>
      </c>
      <c r="P721">
        <v>0.68</v>
      </c>
      <c r="Q721">
        <v>27785.617852000007</v>
      </c>
      <c r="R721" t="s">
        <v>1183</v>
      </c>
    </row>
    <row r="722" spans="8:18" x14ac:dyDescent="0.25">
      <c r="H722" t="s">
        <v>562</v>
      </c>
      <c r="I722">
        <v>172.66172</v>
      </c>
      <c r="J722">
        <v>0.43000000000000005</v>
      </c>
      <c r="K722">
        <v>34471.797107999955</v>
      </c>
      <c r="L722" t="s">
        <v>164</v>
      </c>
      <c r="N722" t="s">
        <v>1052</v>
      </c>
      <c r="O722">
        <v>222.48041999999998</v>
      </c>
      <c r="P722">
        <v>0.68499999999999994</v>
      </c>
      <c r="Q722">
        <v>28008.098272000007</v>
      </c>
      <c r="R722" t="s">
        <v>1183</v>
      </c>
    </row>
    <row r="723" spans="8:18" x14ac:dyDescent="0.25">
      <c r="H723" t="s">
        <v>648</v>
      </c>
      <c r="I723">
        <v>155.12299999999999</v>
      </c>
      <c r="J723">
        <v>0.43000000000000005</v>
      </c>
      <c r="K723">
        <v>34626.920107999955</v>
      </c>
      <c r="L723" t="s">
        <v>164</v>
      </c>
      <c r="N723" t="s">
        <v>830</v>
      </c>
      <c r="O723">
        <v>343.58616000000001</v>
      </c>
      <c r="P723">
        <v>0.68500000000000005</v>
      </c>
      <c r="Q723">
        <v>28351.684432000005</v>
      </c>
      <c r="R723" t="s">
        <v>1177</v>
      </c>
    </row>
    <row r="724" spans="8:18" x14ac:dyDescent="0.25">
      <c r="H724" t="s">
        <v>355</v>
      </c>
      <c r="I724">
        <v>134.59039999999999</v>
      </c>
      <c r="J724">
        <v>0.43499999999999994</v>
      </c>
      <c r="K724">
        <v>34761.510507999956</v>
      </c>
      <c r="L724" t="s">
        <v>164</v>
      </c>
      <c r="N724" t="s">
        <v>831</v>
      </c>
      <c r="O724">
        <v>343.92898000000002</v>
      </c>
      <c r="P724">
        <v>0.68500000000000005</v>
      </c>
      <c r="Q724">
        <v>28695.613412000006</v>
      </c>
      <c r="R724" t="s">
        <v>1184</v>
      </c>
    </row>
    <row r="725" spans="8:18" x14ac:dyDescent="0.25">
      <c r="H725" t="s">
        <v>326</v>
      </c>
      <c r="I725">
        <v>118.4498</v>
      </c>
      <c r="J725">
        <v>0.43499999999999994</v>
      </c>
      <c r="K725">
        <v>34879.960307999958</v>
      </c>
      <c r="L725" t="s">
        <v>164</v>
      </c>
      <c r="N725" t="s">
        <v>988</v>
      </c>
      <c r="O725">
        <v>180.00489999999999</v>
      </c>
      <c r="P725">
        <v>0.68500000000000005</v>
      </c>
      <c r="Q725">
        <v>28875.618312000006</v>
      </c>
      <c r="R725" t="s">
        <v>1184</v>
      </c>
    </row>
    <row r="726" spans="8:18" x14ac:dyDescent="0.25">
      <c r="H726" t="s">
        <v>701</v>
      </c>
      <c r="I726">
        <v>157.4288</v>
      </c>
      <c r="J726">
        <v>0.43499999999999994</v>
      </c>
      <c r="K726">
        <v>35037.389107999959</v>
      </c>
      <c r="L726" t="s">
        <v>164</v>
      </c>
      <c r="N726" t="s">
        <v>736</v>
      </c>
      <c r="O726">
        <v>134.3708</v>
      </c>
      <c r="P726">
        <v>0.68500000000000016</v>
      </c>
      <c r="Q726">
        <v>29009.989112000007</v>
      </c>
      <c r="R726" t="s">
        <v>1184</v>
      </c>
    </row>
    <row r="727" spans="8:18" x14ac:dyDescent="0.25">
      <c r="H727" t="s">
        <v>425</v>
      </c>
      <c r="I727">
        <v>157.4288</v>
      </c>
      <c r="J727">
        <v>0.43499999999999994</v>
      </c>
      <c r="K727">
        <v>35194.817907999961</v>
      </c>
      <c r="L727" t="s">
        <v>164</v>
      </c>
      <c r="N727" t="s">
        <v>1014</v>
      </c>
      <c r="O727">
        <v>175.66658000000001</v>
      </c>
      <c r="P727">
        <v>0.68900000000000006</v>
      </c>
      <c r="Q727">
        <v>29185.655692000008</v>
      </c>
      <c r="R727" t="s">
        <v>1184</v>
      </c>
    </row>
    <row r="728" spans="8:18" x14ac:dyDescent="0.25">
      <c r="H728" t="s">
        <v>446</v>
      </c>
      <c r="I728">
        <v>157.4288</v>
      </c>
      <c r="J728">
        <v>0.43499999999999994</v>
      </c>
      <c r="K728">
        <v>35352.246707999962</v>
      </c>
      <c r="L728" t="s">
        <v>164</v>
      </c>
      <c r="N728" t="s">
        <v>947</v>
      </c>
      <c r="O728">
        <v>224.03713999999999</v>
      </c>
      <c r="P728">
        <v>0.68900000000000017</v>
      </c>
      <c r="Q728">
        <v>29409.692832000008</v>
      </c>
      <c r="R728" t="s">
        <v>1184</v>
      </c>
    </row>
    <row r="729" spans="8:18" x14ac:dyDescent="0.25">
      <c r="H729" t="s">
        <v>340</v>
      </c>
      <c r="I729">
        <v>118.4498</v>
      </c>
      <c r="J729">
        <v>0.43499999999999994</v>
      </c>
      <c r="K729">
        <v>35470.696507999965</v>
      </c>
      <c r="L729" t="s">
        <v>164</v>
      </c>
      <c r="N729" t="s">
        <v>1033</v>
      </c>
      <c r="O729">
        <v>173.15338</v>
      </c>
      <c r="P729">
        <v>0.68900000000000017</v>
      </c>
      <c r="Q729">
        <v>29582.846212000008</v>
      </c>
      <c r="R729" t="s">
        <v>1184</v>
      </c>
    </row>
    <row r="730" spans="8:18" x14ac:dyDescent="0.25">
      <c r="H730" t="s">
        <v>334</v>
      </c>
      <c r="I730">
        <v>120.25539999999999</v>
      </c>
      <c r="J730">
        <v>0.43499999999999994</v>
      </c>
      <c r="K730">
        <v>35590.951907999966</v>
      </c>
      <c r="L730" t="s">
        <v>164</v>
      </c>
      <c r="N730" t="s">
        <v>1026</v>
      </c>
      <c r="O730">
        <v>204.00108</v>
      </c>
      <c r="P730">
        <v>0.69000000000000006</v>
      </c>
      <c r="Q730">
        <v>29786.847292000006</v>
      </c>
      <c r="R730" t="s">
        <v>1184</v>
      </c>
    </row>
    <row r="731" spans="8:18" x14ac:dyDescent="0.25">
      <c r="H731" t="s">
        <v>677</v>
      </c>
      <c r="I731">
        <v>157.4288</v>
      </c>
      <c r="J731">
        <v>0.43499999999999994</v>
      </c>
      <c r="K731">
        <v>35748.380707999968</v>
      </c>
      <c r="L731" t="s">
        <v>164</v>
      </c>
      <c r="N731" t="s">
        <v>996</v>
      </c>
      <c r="O731">
        <v>198.23779999999999</v>
      </c>
      <c r="P731">
        <v>0.69000000000000006</v>
      </c>
      <c r="Q731">
        <v>29985.085092000005</v>
      </c>
      <c r="R731" t="s">
        <v>1184</v>
      </c>
    </row>
    <row r="732" spans="8:18" x14ac:dyDescent="0.25">
      <c r="H732" t="s">
        <v>328</v>
      </c>
      <c r="I732">
        <v>110.91019999999999</v>
      </c>
      <c r="J732">
        <v>0.435</v>
      </c>
      <c r="K732">
        <v>35859.290907999966</v>
      </c>
      <c r="L732" t="s">
        <v>164</v>
      </c>
      <c r="N732" t="s">
        <v>1102</v>
      </c>
      <c r="O732">
        <v>154.13480000000001</v>
      </c>
      <c r="P732">
        <v>0.69000000000000006</v>
      </c>
      <c r="Q732">
        <v>30139.219892000005</v>
      </c>
      <c r="R732" t="s">
        <v>1184</v>
      </c>
    </row>
    <row r="733" spans="8:18" x14ac:dyDescent="0.25">
      <c r="H733" t="s">
        <v>476</v>
      </c>
      <c r="I733">
        <v>175.93620000000001</v>
      </c>
      <c r="J733">
        <v>0.43500000000000005</v>
      </c>
      <c r="K733">
        <v>36035.227107999963</v>
      </c>
      <c r="L733" t="s">
        <v>164</v>
      </c>
      <c r="N733" t="s">
        <v>1048</v>
      </c>
      <c r="O733">
        <v>203.94618</v>
      </c>
      <c r="P733">
        <v>0.69000000000000006</v>
      </c>
      <c r="Q733">
        <v>30343.166072000004</v>
      </c>
      <c r="R733" t="s">
        <v>1184</v>
      </c>
    </row>
    <row r="734" spans="8:18" x14ac:dyDescent="0.25">
      <c r="H734" t="s">
        <v>405</v>
      </c>
      <c r="I734">
        <v>175.93620000000001</v>
      </c>
      <c r="J734">
        <v>0.43500000000000005</v>
      </c>
      <c r="K734">
        <v>36211.163307999959</v>
      </c>
      <c r="L734" t="s">
        <v>164</v>
      </c>
      <c r="N734" t="s">
        <v>1112</v>
      </c>
      <c r="O734">
        <v>154.13480000000001</v>
      </c>
      <c r="P734">
        <v>0.69000000000000006</v>
      </c>
      <c r="Q734">
        <v>30497.300872000003</v>
      </c>
      <c r="R734" t="s">
        <v>1184</v>
      </c>
    </row>
    <row r="735" spans="8:18" x14ac:dyDescent="0.25">
      <c r="H735" t="s">
        <v>662</v>
      </c>
      <c r="I735">
        <v>160.86920000000001</v>
      </c>
      <c r="J735">
        <v>0.43500000000000005</v>
      </c>
      <c r="K735">
        <v>36372.03250799996</v>
      </c>
      <c r="L735" t="s">
        <v>164</v>
      </c>
      <c r="N735" t="s">
        <v>983</v>
      </c>
      <c r="O735">
        <v>198.23779999999999</v>
      </c>
      <c r="P735">
        <v>0.69000000000000006</v>
      </c>
      <c r="Q735">
        <v>30695.538672000002</v>
      </c>
      <c r="R735" t="s">
        <v>1184</v>
      </c>
    </row>
    <row r="736" spans="8:18" x14ac:dyDescent="0.25">
      <c r="H736" t="s">
        <v>402</v>
      </c>
      <c r="I736">
        <v>172.29571999999999</v>
      </c>
      <c r="J736">
        <v>0.44</v>
      </c>
      <c r="K736">
        <v>36544.328227999962</v>
      </c>
      <c r="L736" t="s">
        <v>164</v>
      </c>
      <c r="N736" t="s">
        <v>1076</v>
      </c>
      <c r="O736">
        <v>155.11079999999998</v>
      </c>
      <c r="P736">
        <v>0.69000000000000006</v>
      </c>
      <c r="Q736">
        <v>30850.649472000001</v>
      </c>
      <c r="R736" t="s">
        <v>1184</v>
      </c>
    </row>
    <row r="737" spans="8:18" x14ac:dyDescent="0.25">
      <c r="H737" t="s">
        <v>437</v>
      </c>
      <c r="I737">
        <v>160.33239999999998</v>
      </c>
      <c r="J737">
        <v>0.44</v>
      </c>
      <c r="K737">
        <v>36704.660627999961</v>
      </c>
      <c r="L737" t="s">
        <v>164</v>
      </c>
      <c r="N737" t="s">
        <v>1020</v>
      </c>
      <c r="O737">
        <v>198.18167999999997</v>
      </c>
      <c r="P737">
        <v>0.69000000000000006</v>
      </c>
      <c r="Q737">
        <v>31048.831152000002</v>
      </c>
      <c r="R737" t="s">
        <v>1184</v>
      </c>
    </row>
    <row r="738" spans="8:18" x14ac:dyDescent="0.25">
      <c r="H738" t="s">
        <v>415</v>
      </c>
      <c r="I738">
        <v>172.24814000000001</v>
      </c>
      <c r="J738">
        <v>0.44</v>
      </c>
      <c r="K738">
        <v>36876.908767999965</v>
      </c>
      <c r="L738" t="s">
        <v>164</v>
      </c>
      <c r="N738" t="s">
        <v>817</v>
      </c>
      <c r="O738">
        <v>198.18167999999997</v>
      </c>
      <c r="P738">
        <v>0.69000000000000006</v>
      </c>
      <c r="Q738">
        <v>31247.012832000004</v>
      </c>
      <c r="R738" t="s">
        <v>1184</v>
      </c>
    </row>
    <row r="739" spans="8:18" x14ac:dyDescent="0.25">
      <c r="H739" t="s">
        <v>458</v>
      </c>
      <c r="I739">
        <v>172.203</v>
      </c>
      <c r="J739">
        <v>0.44</v>
      </c>
      <c r="K739">
        <v>37049.111767999966</v>
      </c>
      <c r="L739" t="s">
        <v>164</v>
      </c>
      <c r="N739" t="s">
        <v>1056</v>
      </c>
      <c r="O739">
        <v>155.11079999999998</v>
      </c>
      <c r="P739">
        <v>0.69000000000000006</v>
      </c>
      <c r="Q739">
        <v>31402.123632000003</v>
      </c>
      <c r="R739" t="s">
        <v>1184</v>
      </c>
    </row>
    <row r="740" spans="8:18" x14ac:dyDescent="0.25">
      <c r="H740" t="s">
        <v>389</v>
      </c>
      <c r="I740">
        <v>172.2945</v>
      </c>
      <c r="J740">
        <v>0.44</v>
      </c>
      <c r="K740">
        <v>37221.40626799997</v>
      </c>
      <c r="L740" t="s">
        <v>164</v>
      </c>
      <c r="N740" t="s">
        <v>1045</v>
      </c>
      <c r="O740">
        <v>224.03713999999999</v>
      </c>
      <c r="P740">
        <v>0.69499999999999995</v>
      </c>
      <c r="Q740">
        <v>31626.160772000003</v>
      </c>
      <c r="R740" t="s">
        <v>1184</v>
      </c>
    </row>
    <row r="741" spans="8:18" x14ac:dyDescent="0.25">
      <c r="H741" t="s">
        <v>690</v>
      </c>
      <c r="I741">
        <v>160.33239999999998</v>
      </c>
      <c r="J741">
        <v>0.44</v>
      </c>
      <c r="K741">
        <v>37381.738667999969</v>
      </c>
      <c r="L741" t="s">
        <v>164</v>
      </c>
      <c r="N741" t="s">
        <v>1080</v>
      </c>
      <c r="O741">
        <v>160.28359999999998</v>
      </c>
      <c r="P741">
        <v>0.69499999999999995</v>
      </c>
      <c r="Q741">
        <v>31786.444372000002</v>
      </c>
      <c r="R741" t="s">
        <v>1184</v>
      </c>
    </row>
    <row r="742" spans="8:18" x14ac:dyDescent="0.25">
      <c r="H742" t="s">
        <v>584</v>
      </c>
      <c r="I742">
        <v>172.24814000000001</v>
      </c>
      <c r="J742">
        <v>0.44</v>
      </c>
      <c r="K742">
        <v>37553.986807999972</v>
      </c>
      <c r="L742" t="s">
        <v>164</v>
      </c>
      <c r="N742" t="s">
        <v>1108</v>
      </c>
      <c r="O742">
        <v>160.62519999999998</v>
      </c>
      <c r="P742">
        <v>0.69499999999999995</v>
      </c>
      <c r="Q742">
        <v>31947.069572</v>
      </c>
      <c r="R742" t="s">
        <v>1184</v>
      </c>
    </row>
    <row r="743" spans="8:18" x14ac:dyDescent="0.25">
      <c r="H743" t="s">
        <v>585</v>
      </c>
      <c r="I743">
        <v>172.29571999999999</v>
      </c>
      <c r="J743">
        <v>0.44</v>
      </c>
      <c r="K743">
        <v>37726.282527999974</v>
      </c>
      <c r="L743" t="s">
        <v>164</v>
      </c>
      <c r="N743" t="s">
        <v>998</v>
      </c>
      <c r="O743">
        <v>173.15338</v>
      </c>
      <c r="P743">
        <v>0.69499999999999995</v>
      </c>
      <c r="Q743">
        <v>32120.222952</v>
      </c>
      <c r="R743" t="s">
        <v>1184</v>
      </c>
    </row>
    <row r="744" spans="8:18" x14ac:dyDescent="0.25">
      <c r="H744" t="s">
        <v>401</v>
      </c>
      <c r="I744">
        <v>172.24814000000001</v>
      </c>
      <c r="J744">
        <v>0.44</v>
      </c>
      <c r="K744">
        <v>37898.530667999978</v>
      </c>
      <c r="L744" t="s">
        <v>164</v>
      </c>
      <c r="N744" t="s">
        <v>861</v>
      </c>
      <c r="O744">
        <v>160.28359999999998</v>
      </c>
      <c r="P744">
        <v>0.69499999999999995</v>
      </c>
      <c r="Q744">
        <v>32280.506551999999</v>
      </c>
      <c r="R744" t="s">
        <v>1184</v>
      </c>
    </row>
    <row r="745" spans="8:18" x14ac:dyDescent="0.25">
      <c r="H745" t="s">
        <v>516</v>
      </c>
      <c r="I745">
        <v>172.17982000000001</v>
      </c>
      <c r="J745">
        <v>0.44000000000000006</v>
      </c>
      <c r="K745">
        <v>38070.710487999975</v>
      </c>
      <c r="L745" t="s">
        <v>164</v>
      </c>
      <c r="N745" t="s">
        <v>1062</v>
      </c>
      <c r="O745">
        <v>160.28359999999998</v>
      </c>
      <c r="P745">
        <v>0.69499999999999995</v>
      </c>
      <c r="Q745">
        <v>32440.790151999998</v>
      </c>
      <c r="R745" t="s">
        <v>1184</v>
      </c>
    </row>
    <row r="746" spans="8:18" x14ac:dyDescent="0.25">
      <c r="H746" t="s">
        <v>496</v>
      </c>
      <c r="I746">
        <v>160.89359999999999</v>
      </c>
      <c r="J746">
        <v>0.44000000000000006</v>
      </c>
      <c r="K746">
        <v>38231.604087999978</v>
      </c>
      <c r="L746" t="s">
        <v>164</v>
      </c>
      <c r="N746" t="s">
        <v>785</v>
      </c>
      <c r="O746">
        <v>134.3708</v>
      </c>
      <c r="P746">
        <v>0.69500000000000006</v>
      </c>
      <c r="Q746">
        <v>32575.160951999998</v>
      </c>
      <c r="R746" t="s">
        <v>1184</v>
      </c>
    </row>
    <row r="747" spans="8:18" x14ac:dyDescent="0.25">
      <c r="H747" t="s">
        <v>539</v>
      </c>
      <c r="I747">
        <v>172.10906</v>
      </c>
      <c r="J747">
        <v>0.44000000000000006</v>
      </c>
      <c r="K747">
        <v>38403.713147999981</v>
      </c>
      <c r="L747" t="s">
        <v>165</v>
      </c>
      <c r="N747" t="s">
        <v>1073</v>
      </c>
      <c r="O747">
        <v>158.0754</v>
      </c>
      <c r="P747">
        <v>0.69500000000000006</v>
      </c>
      <c r="Q747">
        <v>32733.236352</v>
      </c>
      <c r="R747" t="s">
        <v>1184</v>
      </c>
    </row>
    <row r="748" spans="8:18" x14ac:dyDescent="0.25">
      <c r="H748" t="s">
        <v>528</v>
      </c>
      <c r="I748">
        <v>172.61291999999997</v>
      </c>
      <c r="J748">
        <v>0.44000000000000006</v>
      </c>
      <c r="K748">
        <v>38576.32606799998</v>
      </c>
      <c r="L748" t="s">
        <v>165</v>
      </c>
      <c r="N748" t="s">
        <v>1055</v>
      </c>
      <c r="O748">
        <v>158.0754</v>
      </c>
      <c r="P748">
        <v>0.69500000000000006</v>
      </c>
      <c r="Q748">
        <v>32891.311752000001</v>
      </c>
      <c r="R748" t="s">
        <v>1184</v>
      </c>
    </row>
    <row r="749" spans="8:18" x14ac:dyDescent="0.25">
      <c r="H749" t="s">
        <v>617</v>
      </c>
      <c r="I749">
        <v>160.89359999999999</v>
      </c>
      <c r="J749">
        <v>0.44000000000000006</v>
      </c>
      <c r="K749">
        <v>38737.219667999983</v>
      </c>
      <c r="L749" t="s">
        <v>165</v>
      </c>
      <c r="N749" t="s">
        <v>1139</v>
      </c>
      <c r="O749">
        <v>160.35679999999999</v>
      </c>
      <c r="P749">
        <v>0.69500000000000006</v>
      </c>
      <c r="Q749">
        <v>33051.668552000003</v>
      </c>
      <c r="R749" t="s">
        <v>1184</v>
      </c>
    </row>
    <row r="750" spans="8:18" x14ac:dyDescent="0.25">
      <c r="H750" t="s">
        <v>529</v>
      </c>
      <c r="I750">
        <v>172.66172</v>
      </c>
      <c r="J750">
        <v>0.44000000000000006</v>
      </c>
      <c r="K750">
        <v>38909.88138799998</v>
      </c>
      <c r="L750" t="s">
        <v>165</v>
      </c>
      <c r="N750" t="s">
        <v>1087</v>
      </c>
      <c r="O750">
        <v>160.50319999999999</v>
      </c>
      <c r="P750">
        <v>0.69500000000000006</v>
      </c>
      <c r="Q750">
        <v>33212.171752000002</v>
      </c>
      <c r="R750" t="s">
        <v>1184</v>
      </c>
    </row>
    <row r="751" spans="8:18" x14ac:dyDescent="0.25">
      <c r="H751" t="s">
        <v>343</v>
      </c>
      <c r="I751">
        <v>75.420400000000001</v>
      </c>
      <c r="J751">
        <v>0.44499999999999995</v>
      </c>
      <c r="K751">
        <v>38985.301787999982</v>
      </c>
      <c r="L751" t="s">
        <v>165</v>
      </c>
      <c r="N751" t="s">
        <v>1125</v>
      </c>
      <c r="O751">
        <v>160.35679999999999</v>
      </c>
      <c r="P751">
        <v>0.69500000000000006</v>
      </c>
      <c r="Q751">
        <v>33372.528552000003</v>
      </c>
      <c r="R751" t="s">
        <v>1185</v>
      </c>
    </row>
    <row r="752" spans="8:18" x14ac:dyDescent="0.25">
      <c r="H752" t="s">
        <v>323</v>
      </c>
      <c r="I752">
        <v>75.420400000000001</v>
      </c>
      <c r="J752">
        <v>0.44499999999999995</v>
      </c>
      <c r="K752">
        <v>39060.722187999985</v>
      </c>
      <c r="L752" t="s">
        <v>165</v>
      </c>
      <c r="N752" t="s">
        <v>1095</v>
      </c>
      <c r="O752">
        <v>160.50319999999999</v>
      </c>
      <c r="P752">
        <v>0.69500000000000006</v>
      </c>
      <c r="Q752">
        <v>33533.031752000003</v>
      </c>
      <c r="R752" t="s">
        <v>1185</v>
      </c>
    </row>
    <row r="753" spans="8:18" x14ac:dyDescent="0.25">
      <c r="H753" t="s">
        <v>356</v>
      </c>
      <c r="I753">
        <v>75.420400000000001</v>
      </c>
      <c r="J753">
        <v>0.44499999999999995</v>
      </c>
      <c r="K753">
        <v>39136.142587999988</v>
      </c>
      <c r="L753" t="s">
        <v>165</v>
      </c>
      <c r="N753" t="s">
        <v>1101</v>
      </c>
      <c r="O753">
        <v>157.99</v>
      </c>
      <c r="P753">
        <v>0.69500000000000006</v>
      </c>
      <c r="Q753">
        <v>33691.021752000001</v>
      </c>
      <c r="R753" t="s">
        <v>1185</v>
      </c>
    </row>
    <row r="754" spans="8:18" x14ac:dyDescent="0.25">
      <c r="H754" t="s">
        <v>325</v>
      </c>
      <c r="I754">
        <v>118.4132</v>
      </c>
      <c r="J754">
        <v>0.44499999999999995</v>
      </c>
      <c r="K754">
        <v>39254.555787999991</v>
      </c>
      <c r="L754" t="s">
        <v>165</v>
      </c>
      <c r="N754" t="s">
        <v>853</v>
      </c>
      <c r="O754">
        <v>158.0754</v>
      </c>
      <c r="P754">
        <v>0.69500000000000006</v>
      </c>
      <c r="Q754">
        <v>33849.097152000002</v>
      </c>
      <c r="R754" t="s">
        <v>1185</v>
      </c>
    </row>
    <row r="755" spans="8:18" x14ac:dyDescent="0.25">
      <c r="H755" t="s">
        <v>366</v>
      </c>
      <c r="I755">
        <v>134.4196</v>
      </c>
      <c r="J755">
        <v>0.44499999999999995</v>
      </c>
      <c r="K755">
        <v>39388.975387999992</v>
      </c>
      <c r="L755" t="s">
        <v>165</v>
      </c>
      <c r="N755" t="s">
        <v>1025</v>
      </c>
      <c r="O755">
        <v>172.82886000000002</v>
      </c>
      <c r="P755">
        <v>0.69900000000000018</v>
      </c>
      <c r="Q755">
        <v>34021.926012000004</v>
      </c>
      <c r="R755" t="s">
        <v>1185</v>
      </c>
    </row>
    <row r="756" spans="8:18" x14ac:dyDescent="0.25">
      <c r="H756" t="s">
        <v>647</v>
      </c>
      <c r="I756">
        <v>160.50319999999999</v>
      </c>
      <c r="J756">
        <v>0.44500000000000001</v>
      </c>
      <c r="K756">
        <v>39549.478587999991</v>
      </c>
      <c r="L756" t="s">
        <v>165</v>
      </c>
      <c r="N756" t="s">
        <v>989</v>
      </c>
      <c r="O756">
        <v>198.34271999999999</v>
      </c>
      <c r="P756">
        <v>0.70000000000000007</v>
      </c>
      <c r="Q756">
        <v>34220.268732000004</v>
      </c>
      <c r="R756" t="s">
        <v>1185</v>
      </c>
    </row>
    <row r="757" spans="8:18" x14ac:dyDescent="0.25">
      <c r="H757" t="s">
        <v>275</v>
      </c>
      <c r="I757">
        <v>108.64099999999999</v>
      </c>
      <c r="J757">
        <v>0.44500000000000001</v>
      </c>
      <c r="K757">
        <v>39658.119587999994</v>
      </c>
      <c r="L757" t="s">
        <v>165</v>
      </c>
      <c r="N757" t="s">
        <v>1008</v>
      </c>
      <c r="O757">
        <v>172.82397999999998</v>
      </c>
      <c r="P757">
        <v>0.70000000000000007</v>
      </c>
      <c r="Q757">
        <v>34393.092712000005</v>
      </c>
      <c r="R757" t="s">
        <v>1185</v>
      </c>
    </row>
    <row r="758" spans="8:18" x14ac:dyDescent="0.25">
      <c r="H758" t="s">
        <v>668</v>
      </c>
      <c r="I758">
        <v>160.50319999999999</v>
      </c>
      <c r="J758">
        <v>0.44500000000000001</v>
      </c>
      <c r="K758">
        <v>39818.622787999993</v>
      </c>
      <c r="L758" t="s">
        <v>165</v>
      </c>
      <c r="N758" t="s">
        <v>798</v>
      </c>
      <c r="O758">
        <v>172.67147999999997</v>
      </c>
      <c r="P758">
        <v>0.70000000000000007</v>
      </c>
      <c r="Q758">
        <v>34565.764192000002</v>
      </c>
      <c r="R758" t="s">
        <v>1185</v>
      </c>
    </row>
    <row r="759" spans="8:18" x14ac:dyDescent="0.25">
      <c r="H759" t="s">
        <v>273</v>
      </c>
      <c r="I759">
        <v>118.4498</v>
      </c>
      <c r="J759">
        <v>0.44500000000000001</v>
      </c>
      <c r="K759">
        <v>39937.072587999995</v>
      </c>
      <c r="L759" t="s">
        <v>165</v>
      </c>
      <c r="N759" t="s">
        <v>1013</v>
      </c>
      <c r="O759">
        <v>198.28782000000001</v>
      </c>
      <c r="P759">
        <v>0.70000000000000007</v>
      </c>
      <c r="Q759">
        <v>34764.052012</v>
      </c>
      <c r="R759" t="s">
        <v>1185</v>
      </c>
    </row>
    <row r="760" spans="8:18" x14ac:dyDescent="0.25">
      <c r="H760" t="s">
        <v>251</v>
      </c>
      <c r="I760">
        <v>108.64099999999999</v>
      </c>
      <c r="J760">
        <v>0.44500000000000001</v>
      </c>
      <c r="K760">
        <v>40045.713587999999</v>
      </c>
      <c r="L760" t="s">
        <v>165</v>
      </c>
      <c r="N760" t="s">
        <v>799</v>
      </c>
      <c r="O760">
        <v>172.82397999999998</v>
      </c>
      <c r="P760">
        <v>0.70000000000000007</v>
      </c>
      <c r="Q760">
        <v>34936.875992000001</v>
      </c>
      <c r="R760" t="s">
        <v>1185</v>
      </c>
    </row>
    <row r="761" spans="8:18" x14ac:dyDescent="0.25">
      <c r="H761" t="s">
        <v>260</v>
      </c>
      <c r="I761">
        <v>108.64099999999999</v>
      </c>
      <c r="J761">
        <v>0.44500000000000001</v>
      </c>
      <c r="K761">
        <v>40154.354588000002</v>
      </c>
      <c r="L761" t="s">
        <v>165</v>
      </c>
      <c r="N761" t="s">
        <v>842</v>
      </c>
      <c r="O761">
        <v>198.59281999999999</v>
      </c>
      <c r="P761">
        <v>0.70000000000000007</v>
      </c>
      <c r="Q761">
        <v>35135.468811999999</v>
      </c>
      <c r="R761" t="s">
        <v>1185</v>
      </c>
    </row>
    <row r="762" spans="8:18" x14ac:dyDescent="0.25">
      <c r="H762" t="s">
        <v>261</v>
      </c>
      <c r="I762">
        <v>118.4498</v>
      </c>
      <c r="J762">
        <v>0.44500000000000001</v>
      </c>
      <c r="K762">
        <v>40272.804388000004</v>
      </c>
      <c r="L762" t="s">
        <v>165</v>
      </c>
      <c r="N762" t="s">
        <v>818</v>
      </c>
      <c r="O762">
        <v>198.64771999999999</v>
      </c>
      <c r="P762">
        <v>0.70000000000000007</v>
      </c>
      <c r="Q762">
        <v>35334.116532</v>
      </c>
      <c r="R762" t="s">
        <v>1185</v>
      </c>
    </row>
    <row r="763" spans="8:18" x14ac:dyDescent="0.25">
      <c r="H763" t="s">
        <v>438</v>
      </c>
      <c r="I763">
        <v>154.92779999999999</v>
      </c>
      <c r="J763">
        <v>0.44999999999999996</v>
      </c>
      <c r="K763">
        <v>40427.732188000002</v>
      </c>
      <c r="L763" t="s">
        <v>165</v>
      </c>
      <c r="N763" t="s">
        <v>1038</v>
      </c>
      <c r="O763">
        <v>172.56412</v>
      </c>
      <c r="P763">
        <v>0.70000000000000007</v>
      </c>
      <c r="Q763">
        <v>35506.680652000003</v>
      </c>
      <c r="R763" t="s">
        <v>1185</v>
      </c>
    </row>
    <row r="764" spans="8:18" x14ac:dyDescent="0.25">
      <c r="H764" t="s">
        <v>691</v>
      </c>
      <c r="I764">
        <v>154.92779999999999</v>
      </c>
      <c r="J764">
        <v>0.44999999999999996</v>
      </c>
      <c r="K764">
        <v>40582.659987999999</v>
      </c>
      <c r="L764" t="s">
        <v>165</v>
      </c>
      <c r="N764" t="s">
        <v>974</v>
      </c>
      <c r="O764">
        <v>198.34271999999999</v>
      </c>
      <c r="P764">
        <v>0.70000000000000007</v>
      </c>
      <c r="Q764">
        <v>35705.023372000003</v>
      </c>
      <c r="R764" t="s">
        <v>1185</v>
      </c>
    </row>
    <row r="765" spans="8:18" x14ac:dyDescent="0.25">
      <c r="H765" t="s">
        <v>678</v>
      </c>
      <c r="I765">
        <v>155.12299999999999</v>
      </c>
      <c r="J765">
        <v>0.44999999999999996</v>
      </c>
      <c r="K765">
        <v>40737.782987999999</v>
      </c>
      <c r="L765" t="s">
        <v>165</v>
      </c>
      <c r="N765" t="s">
        <v>1039</v>
      </c>
      <c r="O765">
        <v>172.71784</v>
      </c>
      <c r="P765">
        <v>0.70000000000000007</v>
      </c>
      <c r="Q765">
        <v>35877.741212000001</v>
      </c>
      <c r="R765" t="s">
        <v>1185</v>
      </c>
    </row>
    <row r="766" spans="8:18" x14ac:dyDescent="0.25">
      <c r="H766" t="s">
        <v>426</v>
      </c>
      <c r="I766">
        <v>155.12299999999999</v>
      </c>
      <c r="J766">
        <v>0.44999999999999996</v>
      </c>
      <c r="K766">
        <v>40892.905987999999</v>
      </c>
      <c r="L766" t="s">
        <v>165</v>
      </c>
      <c r="N766" t="s">
        <v>1007</v>
      </c>
      <c r="O766">
        <v>172.67147999999997</v>
      </c>
      <c r="P766">
        <v>0.70000000000000007</v>
      </c>
      <c r="Q766">
        <v>36050.412691999998</v>
      </c>
      <c r="R766" t="s">
        <v>1185</v>
      </c>
    </row>
    <row r="767" spans="8:18" x14ac:dyDescent="0.25">
      <c r="H767" t="s">
        <v>704</v>
      </c>
      <c r="I767">
        <v>155.12299999999999</v>
      </c>
      <c r="J767">
        <v>0.44999999999999996</v>
      </c>
      <c r="K767">
        <v>41048.028987999998</v>
      </c>
      <c r="L767" t="s">
        <v>165</v>
      </c>
      <c r="N767" t="s">
        <v>806</v>
      </c>
      <c r="O767">
        <v>198.28782000000001</v>
      </c>
      <c r="P767">
        <v>0.70000000000000007</v>
      </c>
      <c r="Q767">
        <v>36248.700511999996</v>
      </c>
      <c r="R767" t="s">
        <v>1185</v>
      </c>
    </row>
    <row r="768" spans="8:18" x14ac:dyDescent="0.25">
      <c r="H768" t="s">
        <v>636</v>
      </c>
      <c r="I768">
        <v>155.12299999999999</v>
      </c>
      <c r="J768">
        <v>0.44999999999999996</v>
      </c>
      <c r="K768">
        <v>41203.151987999998</v>
      </c>
      <c r="L768" t="s">
        <v>165</v>
      </c>
      <c r="N768" t="s">
        <v>855</v>
      </c>
      <c r="O768">
        <v>160.34460000000001</v>
      </c>
      <c r="P768">
        <v>0.70499999999999996</v>
      </c>
      <c r="Q768">
        <v>36409.045111999993</v>
      </c>
      <c r="R768" t="s">
        <v>1185</v>
      </c>
    </row>
    <row r="769" spans="8:18" x14ac:dyDescent="0.25">
      <c r="H769" t="s">
        <v>449</v>
      </c>
      <c r="I769">
        <v>155.12299999999999</v>
      </c>
      <c r="J769">
        <v>0.44999999999999996</v>
      </c>
      <c r="K769">
        <v>41358.274987999997</v>
      </c>
      <c r="L769" t="s">
        <v>165</v>
      </c>
      <c r="N769" t="s">
        <v>1057</v>
      </c>
      <c r="O769">
        <v>160.34460000000001</v>
      </c>
      <c r="P769">
        <v>0.70499999999999996</v>
      </c>
      <c r="Q769">
        <v>36569.389711999989</v>
      </c>
      <c r="R769" t="s">
        <v>1185</v>
      </c>
    </row>
    <row r="770" spans="8:18" x14ac:dyDescent="0.25">
      <c r="H770" t="s">
        <v>486</v>
      </c>
      <c r="I770">
        <v>155.489</v>
      </c>
      <c r="J770">
        <v>0.45000000000000007</v>
      </c>
      <c r="K770">
        <v>41513.763987999999</v>
      </c>
      <c r="L770" t="s">
        <v>165</v>
      </c>
      <c r="N770" t="s">
        <v>1075</v>
      </c>
      <c r="O770">
        <v>160.34460000000001</v>
      </c>
      <c r="P770">
        <v>0.70499999999999996</v>
      </c>
      <c r="Q770">
        <v>36729.734311999986</v>
      </c>
      <c r="R770" t="s">
        <v>1185</v>
      </c>
    </row>
    <row r="771" spans="8:18" x14ac:dyDescent="0.25">
      <c r="H771" t="s">
        <v>497</v>
      </c>
      <c r="I771">
        <v>155.4402</v>
      </c>
      <c r="J771">
        <v>0.45000000000000007</v>
      </c>
      <c r="K771">
        <v>41669.204187999996</v>
      </c>
      <c r="L771" t="s">
        <v>165</v>
      </c>
      <c r="N771" t="s">
        <v>991</v>
      </c>
      <c r="O771">
        <v>172.82886000000002</v>
      </c>
      <c r="P771">
        <v>0.70499999999999996</v>
      </c>
      <c r="Q771">
        <v>36902.563171999987</v>
      </c>
      <c r="R771" t="s">
        <v>1186</v>
      </c>
    </row>
    <row r="772" spans="8:18" x14ac:dyDescent="0.25">
      <c r="H772" t="s">
        <v>606</v>
      </c>
      <c r="I772">
        <v>155.489</v>
      </c>
      <c r="J772">
        <v>0.45000000000000007</v>
      </c>
      <c r="K772">
        <v>41824.693187999997</v>
      </c>
      <c r="L772" t="s">
        <v>165</v>
      </c>
      <c r="N772" t="s">
        <v>739</v>
      </c>
      <c r="O772">
        <v>110.91019999999999</v>
      </c>
      <c r="P772">
        <v>0.70500000000000007</v>
      </c>
      <c r="Q772">
        <v>37013.473371999986</v>
      </c>
      <c r="R772" t="s">
        <v>1186</v>
      </c>
    </row>
    <row r="773" spans="8:18" x14ac:dyDescent="0.25">
      <c r="H773" t="s">
        <v>618</v>
      </c>
      <c r="I773">
        <v>155.4402</v>
      </c>
      <c r="J773">
        <v>0.45000000000000007</v>
      </c>
      <c r="K773">
        <v>41980.133387999995</v>
      </c>
      <c r="L773" t="s">
        <v>165</v>
      </c>
      <c r="N773" t="s">
        <v>748</v>
      </c>
      <c r="O773">
        <v>110.91019999999999</v>
      </c>
      <c r="P773">
        <v>0.70500000000000007</v>
      </c>
      <c r="Q773">
        <v>37124.383571999984</v>
      </c>
      <c r="R773" t="s">
        <v>1186</v>
      </c>
    </row>
    <row r="774" spans="8:18" x14ac:dyDescent="0.25">
      <c r="H774" t="s">
        <v>629</v>
      </c>
      <c r="I774">
        <v>155.489</v>
      </c>
      <c r="J774">
        <v>0.45000000000000007</v>
      </c>
      <c r="K774">
        <v>42135.622387999996</v>
      </c>
      <c r="L774" t="s">
        <v>165</v>
      </c>
      <c r="N774" t="s">
        <v>972</v>
      </c>
      <c r="O774">
        <v>224.34214</v>
      </c>
      <c r="P774">
        <v>0.70500000000000007</v>
      </c>
      <c r="Q774">
        <v>37348.725711999985</v>
      </c>
      <c r="R774" t="s">
        <v>1186</v>
      </c>
    </row>
    <row r="775" spans="8:18" x14ac:dyDescent="0.25">
      <c r="H775" t="s">
        <v>507</v>
      </c>
      <c r="I775">
        <v>155.489</v>
      </c>
      <c r="J775">
        <v>0.45000000000000007</v>
      </c>
      <c r="K775">
        <v>42291.111387999998</v>
      </c>
      <c r="L775" t="s">
        <v>162</v>
      </c>
      <c r="N775" t="s">
        <v>802</v>
      </c>
      <c r="O775">
        <v>224.34214</v>
      </c>
      <c r="P775">
        <v>0.70500000000000007</v>
      </c>
      <c r="Q775">
        <v>37573.067851999986</v>
      </c>
      <c r="R775" t="s">
        <v>1186</v>
      </c>
    </row>
    <row r="776" spans="8:18" x14ac:dyDescent="0.25">
      <c r="H776" t="s">
        <v>359</v>
      </c>
      <c r="I776">
        <v>134.9442</v>
      </c>
      <c r="J776">
        <v>0.45499999999999996</v>
      </c>
      <c r="K776">
        <v>42426.055587999996</v>
      </c>
      <c r="L776" t="s">
        <v>162</v>
      </c>
      <c r="N776" t="s">
        <v>973</v>
      </c>
      <c r="O776">
        <v>180.00489999999999</v>
      </c>
      <c r="P776">
        <v>0.70500000000000007</v>
      </c>
      <c r="Q776">
        <v>37753.072751999985</v>
      </c>
      <c r="R776" t="s">
        <v>1186</v>
      </c>
    </row>
    <row r="777" spans="8:18" x14ac:dyDescent="0.25">
      <c r="H777" t="s">
        <v>277</v>
      </c>
      <c r="I777">
        <v>110.4344</v>
      </c>
      <c r="J777">
        <v>0.45499999999999996</v>
      </c>
      <c r="K777">
        <v>42536.489987999994</v>
      </c>
      <c r="L777" t="s">
        <v>162</v>
      </c>
      <c r="N777" t="s">
        <v>749</v>
      </c>
      <c r="O777">
        <v>120.71899999999999</v>
      </c>
      <c r="P777">
        <v>0.70500000000000007</v>
      </c>
      <c r="Q777">
        <v>37873.791751999983</v>
      </c>
      <c r="R777" t="s">
        <v>1186</v>
      </c>
    </row>
    <row r="778" spans="8:18" x14ac:dyDescent="0.25">
      <c r="H778" t="s">
        <v>597</v>
      </c>
      <c r="I778">
        <v>172.10906</v>
      </c>
      <c r="J778">
        <v>0.46000000000000008</v>
      </c>
      <c r="K778">
        <v>42708.599047999996</v>
      </c>
      <c r="L778" t="s">
        <v>162</v>
      </c>
      <c r="N778" t="s">
        <v>801</v>
      </c>
      <c r="O778">
        <v>176.48886000000002</v>
      </c>
      <c r="P778">
        <v>0.70500000000000007</v>
      </c>
      <c r="Q778">
        <v>38050.28061199998</v>
      </c>
      <c r="R778" t="s">
        <v>1186</v>
      </c>
    </row>
    <row r="779" spans="8:18" x14ac:dyDescent="0.25">
      <c r="H779" t="s">
        <v>578</v>
      </c>
      <c r="I779">
        <v>172.17982000000001</v>
      </c>
      <c r="J779">
        <v>0.46000000000000008</v>
      </c>
      <c r="K779">
        <v>42880.778867999994</v>
      </c>
      <c r="L779" t="s">
        <v>162</v>
      </c>
      <c r="N779" t="s">
        <v>828</v>
      </c>
      <c r="O779">
        <v>198.23779999999999</v>
      </c>
      <c r="P779">
        <v>0.71000000000000008</v>
      </c>
      <c r="Q779">
        <v>38248.518411999983</v>
      </c>
      <c r="R779" t="s">
        <v>1187</v>
      </c>
    </row>
    <row r="780" spans="8:18" x14ac:dyDescent="0.25">
      <c r="H780" t="s">
        <v>269</v>
      </c>
      <c r="I780">
        <v>108.64099999999999</v>
      </c>
      <c r="J780">
        <v>0.46499999999999997</v>
      </c>
      <c r="K780">
        <v>42989.419867999997</v>
      </c>
      <c r="L780" t="s">
        <v>162</v>
      </c>
      <c r="N780" t="s">
        <v>852</v>
      </c>
      <c r="O780">
        <v>198.18167999999997</v>
      </c>
      <c r="P780">
        <v>0.71000000000000008</v>
      </c>
      <c r="Q780">
        <v>38446.700091999985</v>
      </c>
      <c r="R780" t="s">
        <v>1187</v>
      </c>
    </row>
    <row r="781" spans="8:18" x14ac:dyDescent="0.25">
      <c r="H781" t="s">
        <v>679</v>
      </c>
      <c r="I781">
        <v>160.34460000000001</v>
      </c>
      <c r="J781">
        <v>0.46499999999999997</v>
      </c>
      <c r="K781">
        <v>43149.764467999994</v>
      </c>
      <c r="L781" t="s">
        <v>162</v>
      </c>
      <c r="N781" t="s">
        <v>815</v>
      </c>
      <c r="O781">
        <v>173.15338</v>
      </c>
      <c r="P781">
        <v>0.71499999999999997</v>
      </c>
      <c r="Q781">
        <v>38619.853471999988</v>
      </c>
      <c r="R781" t="s">
        <v>1187</v>
      </c>
    </row>
    <row r="782" spans="8:18" x14ac:dyDescent="0.25">
      <c r="H782" t="s">
        <v>703</v>
      </c>
      <c r="I782">
        <v>160.34460000000001</v>
      </c>
      <c r="J782">
        <v>0.46499999999999997</v>
      </c>
      <c r="K782">
        <v>43310.109067999991</v>
      </c>
      <c r="L782" t="s">
        <v>162</v>
      </c>
      <c r="N782" t="s">
        <v>984</v>
      </c>
      <c r="O782">
        <v>222.47554</v>
      </c>
      <c r="P782">
        <v>0.71499999999999997</v>
      </c>
      <c r="Q782">
        <v>38842.329011999987</v>
      </c>
      <c r="R782" t="s">
        <v>1187</v>
      </c>
    </row>
    <row r="783" spans="8:18" x14ac:dyDescent="0.25">
      <c r="H783" t="s">
        <v>391</v>
      </c>
      <c r="I783">
        <v>175.66658000000001</v>
      </c>
      <c r="J783">
        <v>0.46499999999999997</v>
      </c>
      <c r="K783">
        <v>43485.775647999988</v>
      </c>
      <c r="L783" t="s">
        <v>162</v>
      </c>
      <c r="N783" t="s">
        <v>816</v>
      </c>
      <c r="O783">
        <v>222.48041999999998</v>
      </c>
      <c r="P783">
        <v>0.71499999999999997</v>
      </c>
      <c r="Q783">
        <v>39064.809431999987</v>
      </c>
      <c r="R783" t="s">
        <v>1187</v>
      </c>
    </row>
    <row r="784" spans="8:18" x14ac:dyDescent="0.25">
      <c r="H784" t="s">
        <v>448</v>
      </c>
      <c r="I784">
        <v>160.34460000000001</v>
      </c>
      <c r="J784">
        <v>0.46499999999999997</v>
      </c>
      <c r="K784">
        <v>43646.120247999985</v>
      </c>
      <c r="L784" t="s">
        <v>162</v>
      </c>
      <c r="N784" t="s">
        <v>985</v>
      </c>
      <c r="O784">
        <v>173.15338</v>
      </c>
      <c r="P784">
        <v>0.71499999999999997</v>
      </c>
      <c r="Q784">
        <v>39237.962811999991</v>
      </c>
      <c r="R784" t="s">
        <v>1187</v>
      </c>
    </row>
    <row r="785" spans="8:18" x14ac:dyDescent="0.25">
      <c r="H785" t="s">
        <v>427</v>
      </c>
      <c r="I785">
        <v>160.34460000000001</v>
      </c>
      <c r="J785">
        <v>0.46499999999999997</v>
      </c>
      <c r="K785">
        <v>43806.464847999981</v>
      </c>
      <c r="L785" t="s">
        <v>166</v>
      </c>
      <c r="N785" t="s">
        <v>1103</v>
      </c>
      <c r="O785">
        <v>159.96639999999999</v>
      </c>
      <c r="P785">
        <v>0.71499999999999997</v>
      </c>
      <c r="Q785">
        <v>39397.929211999988</v>
      </c>
      <c r="R785" t="s">
        <v>1188</v>
      </c>
    </row>
    <row r="786" spans="8:18" x14ac:dyDescent="0.25">
      <c r="H786" t="s">
        <v>414</v>
      </c>
      <c r="I786">
        <v>175.66658000000001</v>
      </c>
      <c r="J786">
        <v>0.46499999999999997</v>
      </c>
      <c r="K786">
        <v>43982.131427999979</v>
      </c>
      <c r="L786" t="s">
        <v>166</v>
      </c>
      <c r="N786" t="s">
        <v>850</v>
      </c>
      <c r="O786">
        <v>228.38888</v>
      </c>
      <c r="P786">
        <v>0.71900000000000008</v>
      </c>
      <c r="Q786">
        <v>39626.318091999987</v>
      </c>
      <c r="R786" t="s">
        <v>1188</v>
      </c>
    </row>
    <row r="787" spans="8:18" x14ac:dyDescent="0.25">
      <c r="H787" t="s">
        <v>459</v>
      </c>
      <c r="I787">
        <v>175.64339999999999</v>
      </c>
      <c r="J787">
        <v>0.46499999999999997</v>
      </c>
      <c r="K787">
        <v>44157.77482799998</v>
      </c>
      <c r="L787" t="s">
        <v>166</v>
      </c>
      <c r="N787" t="s">
        <v>844</v>
      </c>
      <c r="O787">
        <v>198.28782000000001</v>
      </c>
      <c r="P787">
        <v>0.72000000000000008</v>
      </c>
      <c r="Q787">
        <v>39824.605911999985</v>
      </c>
      <c r="R787" t="s">
        <v>1188</v>
      </c>
    </row>
    <row r="788" spans="8:18" x14ac:dyDescent="0.25">
      <c r="H788" t="s">
        <v>538</v>
      </c>
      <c r="I788">
        <v>175.55311999999998</v>
      </c>
      <c r="J788">
        <v>0.46500000000000008</v>
      </c>
      <c r="K788">
        <v>44333.327947999976</v>
      </c>
      <c r="L788" t="s">
        <v>166</v>
      </c>
      <c r="N788" t="s">
        <v>1126</v>
      </c>
      <c r="O788">
        <v>154.9034</v>
      </c>
      <c r="P788">
        <v>0.72000000000000008</v>
      </c>
      <c r="Q788">
        <v>39979.509311999987</v>
      </c>
      <c r="R788" t="s">
        <v>1188</v>
      </c>
    </row>
    <row r="789" spans="8:18" x14ac:dyDescent="0.25">
      <c r="H789" t="s">
        <v>250</v>
      </c>
      <c r="I789">
        <v>134.3708</v>
      </c>
      <c r="J789">
        <v>0.46500000000000008</v>
      </c>
      <c r="K789">
        <v>44467.698747999973</v>
      </c>
      <c r="L789" t="s">
        <v>166</v>
      </c>
      <c r="N789" t="s">
        <v>841</v>
      </c>
      <c r="O789">
        <v>172.82397999999998</v>
      </c>
      <c r="P789">
        <v>0.72000000000000008</v>
      </c>
      <c r="Q789">
        <v>40152.333291999988</v>
      </c>
      <c r="R789" t="s">
        <v>1188</v>
      </c>
    </row>
    <row r="790" spans="8:18" x14ac:dyDescent="0.25">
      <c r="H790" t="s">
        <v>608</v>
      </c>
      <c r="I790">
        <v>160.89359999999999</v>
      </c>
      <c r="J790">
        <v>0.46500000000000008</v>
      </c>
      <c r="K790">
        <v>44628.592347999976</v>
      </c>
      <c r="L790" t="s">
        <v>166</v>
      </c>
      <c r="N790" t="s">
        <v>1134</v>
      </c>
      <c r="O790">
        <v>159.84440000000001</v>
      </c>
      <c r="P790">
        <v>0.72000000000000008</v>
      </c>
      <c r="Q790">
        <v>40312.17769199999</v>
      </c>
      <c r="R790" t="s">
        <v>1188</v>
      </c>
    </row>
    <row r="791" spans="8:18" x14ac:dyDescent="0.25">
      <c r="H791" t="s">
        <v>627</v>
      </c>
      <c r="I791">
        <v>160.89359999999999</v>
      </c>
      <c r="J791">
        <v>0.46500000000000008</v>
      </c>
      <c r="K791">
        <v>44789.48594799998</v>
      </c>
      <c r="L791" t="s">
        <v>166</v>
      </c>
      <c r="N791" t="s">
        <v>1098</v>
      </c>
      <c r="O791">
        <v>154.7936</v>
      </c>
      <c r="P791">
        <v>0.72000000000000008</v>
      </c>
      <c r="Q791">
        <v>40466.971291999987</v>
      </c>
      <c r="R791" t="s">
        <v>1188</v>
      </c>
    </row>
    <row r="792" spans="8:18" x14ac:dyDescent="0.25">
      <c r="H792" t="s">
        <v>517</v>
      </c>
      <c r="I792">
        <v>175.57141999999999</v>
      </c>
      <c r="J792">
        <v>0.46500000000000008</v>
      </c>
      <c r="K792">
        <v>44965.05736799998</v>
      </c>
      <c r="L792" t="s">
        <v>166</v>
      </c>
      <c r="N792" t="s">
        <v>1118</v>
      </c>
      <c r="O792">
        <v>155.12299999999999</v>
      </c>
      <c r="P792">
        <v>0.72000000000000008</v>
      </c>
      <c r="Q792">
        <v>40622.094291999987</v>
      </c>
      <c r="R792" t="s">
        <v>1188</v>
      </c>
    </row>
    <row r="793" spans="8:18" x14ac:dyDescent="0.25">
      <c r="H793" t="s">
        <v>487</v>
      </c>
      <c r="I793">
        <v>160.89359999999999</v>
      </c>
      <c r="J793">
        <v>0.46500000000000008</v>
      </c>
      <c r="K793">
        <v>45125.950967999983</v>
      </c>
      <c r="L793" t="s">
        <v>166</v>
      </c>
      <c r="N793" t="s">
        <v>1135</v>
      </c>
      <c r="O793">
        <v>154.78139999999999</v>
      </c>
      <c r="P793">
        <v>0.72000000000000008</v>
      </c>
      <c r="Q793">
        <v>40776.875691999987</v>
      </c>
      <c r="R793" t="s">
        <v>1188</v>
      </c>
    </row>
    <row r="794" spans="8:18" x14ac:dyDescent="0.25">
      <c r="H794" t="s">
        <v>506</v>
      </c>
      <c r="I794">
        <v>160.89359999999999</v>
      </c>
      <c r="J794">
        <v>0.46500000000000008</v>
      </c>
      <c r="K794">
        <v>45286.844567999986</v>
      </c>
      <c r="L794" t="s">
        <v>163</v>
      </c>
      <c r="N794" t="s">
        <v>840</v>
      </c>
      <c r="O794">
        <v>172.67147999999997</v>
      </c>
      <c r="P794">
        <v>0.72000000000000008</v>
      </c>
      <c r="Q794">
        <v>40949.547171999984</v>
      </c>
      <c r="R794" t="s">
        <v>1188</v>
      </c>
    </row>
    <row r="795" spans="8:18" x14ac:dyDescent="0.25">
      <c r="H795" t="s">
        <v>650</v>
      </c>
      <c r="I795">
        <v>155.12299999999999</v>
      </c>
      <c r="J795">
        <v>0.47000000000000008</v>
      </c>
      <c r="K795">
        <v>45441.967567999985</v>
      </c>
      <c r="L795" t="s">
        <v>163</v>
      </c>
      <c r="N795" t="s">
        <v>1088</v>
      </c>
      <c r="O795">
        <v>154.7936</v>
      </c>
      <c r="P795">
        <v>0.72000000000000008</v>
      </c>
      <c r="Q795">
        <v>41104.340771999981</v>
      </c>
      <c r="R795" t="s">
        <v>1188</v>
      </c>
    </row>
    <row r="796" spans="8:18" x14ac:dyDescent="0.25">
      <c r="H796" t="s">
        <v>347</v>
      </c>
      <c r="I796">
        <v>110.91019999999999</v>
      </c>
      <c r="J796">
        <v>0.47499999999999992</v>
      </c>
      <c r="K796">
        <v>45552.877767999984</v>
      </c>
      <c r="L796" t="s">
        <v>163</v>
      </c>
      <c r="N796" t="s">
        <v>820</v>
      </c>
      <c r="O796">
        <v>198.34271999999999</v>
      </c>
      <c r="P796">
        <v>0.72000000000000008</v>
      </c>
      <c r="Q796">
        <v>41302.683491999982</v>
      </c>
      <c r="R796" t="s">
        <v>1188</v>
      </c>
    </row>
    <row r="797" spans="8:18" x14ac:dyDescent="0.25">
      <c r="H797" t="s">
        <v>360</v>
      </c>
      <c r="I797">
        <v>110.91019999999999</v>
      </c>
      <c r="J797">
        <v>0.47499999999999992</v>
      </c>
      <c r="K797">
        <v>45663.787967999982</v>
      </c>
      <c r="L797" t="s">
        <v>163</v>
      </c>
      <c r="N797" t="s">
        <v>1143</v>
      </c>
      <c r="O797">
        <v>154.9034</v>
      </c>
      <c r="P797">
        <v>0.72000000000000008</v>
      </c>
      <c r="Q797">
        <v>41457.586891999985</v>
      </c>
      <c r="R797" t="s">
        <v>1188</v>
      </c>
    </row>
    <row r="798" spans="8:18" x14ac:dyDescent="0.25">
      <c r="H798" t="s">
        <v>344</v>
      </c>
      <c r="I798">
        <v>120.71899999999999</v>
      </c>
      <c r="J798">
        <v>0.47499999999999992</v>
      </c>
      <c r="K798">
        <v>45784.50696799998</v>
      </c>
      <c r="L798" t="s">
        <v>163</v>
      </c>
      <c r="N798" t="s">
        <v>804</v>
      </c>
      <c r="O798">
        <v>172.82886000000002</v>
      </c>
      <c r="P798">
        <v>0.72499999999999998</v>
      </c>
      <c r="Q798">
        <v>41630.415751999986</v>
      </c>
      <c r="R798" t="s">
        <v>1188</v>
      </c>
    </row>
    <row r="799" spans="8:18" x14ac:dyDescent="0.25">
      <c r="H799" t="s">
        <v>327</v>
      </c>
      <c r="I799">
        <v>110.89800000000001</v>
      </c>
      <c r="J799">
        <v>0.47499999999999992</v>
      </c>
      <c r="K799">
        <v>45895.404967999981</v>
      </c>
      <c r="L799" t="s">
        <v>163</v>
      </c>
      <c r="N799" t="s">
        <v>975</v>
      </c>
      <c r="O799">
        <v>224.03713999999999</v>
      </c>
      <c r="P799">
        <v>0.72499999999999998</v>
      </c>
      <c r="Q799">
        <v>41854.452891999987</v>
      </c>
      <c r="R799" t="s">
        <v>1188</v>
      </c>
    </row>
    <row r="800" spans="8:18" x14ac:dyDescent="0.25">
      <c r="H800" t="s">
        <v>330</v>
      </c>
      <c r="I800">
        <v>120.71899999999999</v>
      </c>
      <c r="J800">
        <v>0.47499999999999992</v>
      </c>
      <c r="K800">
        <v>46016.123967999978</v>
      </c>
      <c r="L800" t="s">
        <v>163</v>
      </c>
      <c r="N800" t="s">
        <v>805</v>
      </c>
      <c r="O800">
        <v>224.03713999999999</v>
      </c>
      <c r="P800">
        <v>0.72499999999999998</v>
      </c>
      <c r="Q800">
        <v>42078.490031999987</v>
      </c>
      <c r="R800" t="s">
        <v>1188</v>
      </c>
    </row>
    <row r="801" spans="8:18" x14ac:dyDescent="0.25">
      <c r="H801" t="s">
        <v>331</v>
      </c>
      <c r="I801">
        <v>108.64099999999999</v>
      </c>
      <c r="J801">
        <v>0.47500000000000003</v>
      </c>
      <c r="K801">
        <v>46124.764967999981</v>
      </c>
      <c r="L801" t="s">
        <v>163</v>
      </c>
      <c r="N801" t="s">
        <v>976</v>
      </c>
      <c r="O801">
        <v>172.82886000000002</v>
      </c>
      <c r="P801">
        <v>0.72499999999999998</v>
      </c>
      <c r="Q801">
        <v>42251.318891999988</v>
      </c>
      <c r="R801" t="s">
        <v>1188</v>
      </c>
    </row>
    <row r="802" spans="8:18" x14ac:dyDescent="0.25">
      <c r="H802" t="s">
        <v>586</v>
      </c>
      <c r="I802">
        <v>172.61291999999997</v>
      </c>
      <c r="J802">
        <v>0.48</v>
      </c>
      <c r="K802">
        <v>46297.377887999981</v>
      </c>
      <c r="L802" t="s">
        <v>163</v>
      </c>
      <c r="N802" t="s">
        <v>738</v>
      </c>
      <c r="O802">
        <v>136.88400000000001</v>
      </c>
      <c r="P802">
        <v>0.72500000000000009</v>
      </c>
      <c r="Q802">
        <v>42388.202891999987</v>
      </c>
      <c r="R802" t="s">
        <v>1188</v>
      </c>
    </row>
    <row r="803" spans="8:18" x14ac:dyDescent="0.25">
      <c r="H803" t="s">
        <v>439</v>
      </c>
      <c r="I803">
        <v>160.89359999999999</v>
      </c>
      <c r="J803">
        <v>0.48</v>
      </c>
      <c r="K803">
        <v>46458.271487999984</v>
      </c>
      <c r="L803" t="s">
        <v>163</v>
      </c>
      <c r="N803" t="s">
        <v>1021</v>
      </c>
      <c r="O803">
        <v>224.34214</v>
      </c>
      <c r="P803">
        <v>0.72500000000000009</v>
      </c>
      <c r="Q803">
        <v>42612.545031999987</v>
      </c>
      <c r="R803" t="s">
        <v>1188</v>
      </c>
    </row>
    <row r="804" spans="8:18" x14ac:dyDescent="0.25">
      <c r="H804" t="s">
        <v>416</v>
      </c>
      <c r="I804">
        <v>172.10906</v>
      </c>
      <c r="J804">
        <v>0.48</v>
      </c>
      <c r="K804">
        <v>46630.380547999986</v>
      </c>
      <c r="L804" t="s">
        <v>163</v>
      </c>
      <c r="N804" t="s">
        <v>819</v>
      </c>
      <c r="O804">
        <v>224.34214</v>
      </c>
      <c r="P804">
        <v>0.72500000000000009</v>
      </c>
      <c r="Q804">
        <v>42836.887171999988</v>
      </c>
      <c r="R804" t="s">
        <v>1188</v>
      </c>
    </row>
    <row r="805" spans="8:18" x14ac:dyDescent="0.25">
      <c r="H805" t="s">
        <v>404</v>
      </c>
      <c r="I805">
        <v>172.66172</v>
      </c>
      <c r="J805">
        <v>0.48</v>
      </c>
      <c r="K805">
        <v>46803.042267999983</v>
      </c>
      <c r="L805" t="s">
        <v>163</v>
      </c>
      <c r="N805" t="s">
        <v>949</v>
      </c>
      <c r="O805">
        <v>228.26566</v>
      </c>
      <c r="P805">
        <v>0.72900000000000009</v>
      </c>
      <c r="Q805">
        <v>43065.152831999985</v>
      </c>
      <c r="R805" t="s">
        <v>1188</v>
      </c>
    </row>
    <row r="806" spans="8:18" x14ac:dyDescent="0.25">
      <c r="H806" t="s">
        <v>692</v>
      </c>
      <c r="I806">
        <v>160.89359999999999</v>
      </c>
      <c r="J806">
        <v>0.48</v>
      </c>
      <c r="K806">
        <v>46963.935867999986</v>
      </c>
      <c r="L806" t="s">
        <v>163</v>
      </c>
      <c r="N806" t="s">
        <v>1017</v>
      </c>
      <c r="O806">
        <v>175.55311999999998</v>
      </c>
      <c r="P806">
        <v>0.72900000000000009</v>
      </c>
      <c r="Q806">
        <v>43240.705951999982</v>
      </c>
      <c r="R806" t="s">
        <v>1188</v>
      </c>
    </row>
    <row r="807" spans="8:18" x14ac:dyDescent="0.25">
      <c r="H807" t="s">
        <v>403</v>
      </c>
      <c r="I807">
        <v>172.61291999999997</v>
      </c>
      <c r="J807">
        <v>0.48</v>
      </c>
      <c r="K807">
        <v>47136.548787999986</v>
      </c>
      <c r="L807" t="s">
        <v>163</v>
      </c>
      <c r="N807" t="s">
        <v>279</v>
      </c>
      <c r="R807" t="s">
        <v>1149</v>
      </c>
    </row>
    <row r="808" spans="8:18" x14ac:dyDescent="0.25">
      <c r="H808" t="s">
        <v>460</v>
      </c>
      <c r="I808">
        <v>172.49579999999997</v>
      </c>
      <c r="J808">
        <v>0.48</v>
      </c>
      <c r="K808">
        <v>47309.044587999982</v>
      </c>
      <c r="L808" t="s">
        <v>163</v>
      </c>
      <c r="N808" t="s">
        <v>280</v>
      </c>
      <c r="R808" t="s">
        <v>1149</v>
      </c>
    </row>
    <row r="809" spans="8:18" x14ac:dyDescent="0.25">
      <c r="H809" t="s">
        <v>392</v>
      </c>
      <c r="I809">
        <v>172.17982000000001</v>
      </c>
      <c r="J809">
        <v>0.48</v>
      </c>
      <c r="K809">
        <v>47481.22440799998</v>
      </c>
      <c r="L809" t="s">
        <v>163</v>
      </c>
      <c r="N809" t="s">
        <v>281</v>
      </c>
      <c r="R809" t="s">
        <v>1149</v>
      </c>
    </row>
    <row r="810" spans="8:18" x14ac:dyDescent="0.25">
      <c r="H810" t="s">
        <v>587</v>
      </c>
      <c r="I810">
        <v>172.66172</v>
      </c>
      <c r="J810">
        <v>0.48</v>
      </c>
      <c r="K810">
        <v>47653.886127999976</v>
      </c>
      <c r="L810" t="s">
        <v>163</v>
      </c>
      <c r="N810" t="s">
        <v>282</v>
      </c>
      <c r="R810" t="s">
        <v>1149</v>
      </c>
    </row>
    <row r="811" spans="8:18" x14ac:dyDescent="0.25">
      <c r="H811" t="s">
        <v>329</v>
      </c>
      <c r="I811">
        <v>120.69460000000001</v>
      </c>
      <c r="J811">
        <v>0.48499999999999993</v>
      </c>
      <c r="K811">
        <v>47774.580727999979</v>
      </c>
      <c r="L811" t="s">
        <v>163</v>
      </c>
      <c r="N811" t="s">
        <v>283</v>
      </c>
      <c r="R811" t="s">
        <v>1149</v>
      </c>
    </row>
    <row r="812" spans="8:18" x14ac:dyDescent="0.25">
      <c r="H812" t="s">
        <v>670</v>
      </c>
      <c r="I812">
        <v>160.62519999999998</v>
      </c>
      <c r="J812">
        <v>0.48499999999999999</v>
      </c>
      <c r="K812">
        <v>47935.205927999981</v>
      </c>
      <c r="L812" t="s">
        <v>163</v>
      </c>
      <c r="N812" t="s">
        <v>284</v>
      </c>
      <c r="R812" t="s">
        <v>1149</v>
      </c>
    </row>
    <row r="813" spans="8:18" x14ac:dyDescent="0.25">
      <c r="H813" t="s">
        <v>649</v>
      </c>
      <c r="I813">
        <v>160.86920000000001</v>
      </c>
      <c r="J813">
        <v>0.48499999999999999</v>
      </c>
      <c r="K813">
        <v>48096.075127999982</v>
      </c>
      <c r="L813" t="s">
        <v>163</v>
      </c>
      <c r="N813" t="s">
        <v>285</v>
      </c>
      <c r="R813" t="s">
        <v>1149</v>
      </c>
    </row>
    <row r="814" spans="8:18" x14ac:dyDescent="0.25">
      <c r="H814" t="s">
        <v>693</v>
      </c>
      <c r="I814">
        <v>155.4402</v>
      </c>
      <c r="J814">
        <v>0.49</v>
      </c>
      <c r="K814">
        <v>48251.515327999979</v>
      </c>
      <c r="L814" t="s">
        <v>163</v>
      </c>
      <c r="N814" t="s">
        <v>286</v>
      </c>
      <c r="R814" t="s">
        <v>1149</v>
      </c>
    </row>
    <row r="815" spans="8:18" x14ac:dyDescent="0.25">
      <c r="H815" t="s">
        <v>440</v>
      </c>
      <c r="I815">
        <v>155.4402</v>
      </c>
      <c r="J815">
        <v>0.49</v>
      </c>
      <c r="K815">
        <v>48406.955527999977</v>
      </c>
      <c r="L815" t="s">
        <v>163</v>
      </c>
      <c r="N815" t="s">
        <v>759</v>
      </c>
      <c r="R815" t="s">
        <v>1149</v>
      </c>
    </row>
    <row r="816" spans="8:18" x14ac:dyDescent="0.25">
      <c r="H816" t="s">
        <v>428</v>
      </c>
      <c r="I816">
        <v>155.489</v>
      </c>
      <c r="J816">
        <v>0.49</v>
      </c>
      <c r="K816">
        <v>48562.444527999978</v>
      </c>
      <c r="L816" t="s">
        <v>163</v>
      </c>
      <c r="N816" t="s">
        <v>760</v>
      </c>
      <c r="R816" t="s">
        <v>1149</v>
      </c>
    </row>
    <row r="817" spans="8:18" x14ac:dyDescent="0.25">
      <c r="H817" t="s">
        <v>450</v>
      </c>
      <c r="I817">
        <v>155.489</v>
      </c>
      <c r="J817">
        <v>0.49</v>
      </c>
      <c r="K817">
        <v>48717.93352799998</v>
      </c>
      <c r="L817" t="s">
        <v>163</v>
      </c>
      <c r="N817" t="s">
        <v>287</v>
      </c>
      <c r="R817" t="s">
        <v>1149</v>
      </c>
    </row>
    <row r="818" spans="8:18" x14ac:dyDescent="0.25">
      <c r="H818" t="s">
        <v>638</v>
      </c>
      <c r="I818">
        <v>155.489</v>
      </c>
      <c r="J818">
        <v>0.49</v>
      </c>
      <c r="K818">
        <v>48873.422527999981</v>
      </c>
      <c r="L818" t="s">
        <v>163</v>
      </c>
      <c r="N818" t="s">
        <v>761</v>
      </c>
      <c r="R818" t="s">
        <v>1149</v>
      </c>
    </row>
    <row r="819" spans="8:18" x14ac:dyDescent="0.25">
      <c r="H819" t="s">
        <v>680</v>
      </c>
      <c r="I819">
        <v>155.489</v>
      </c>
      <c r="J819">
        <v>0.49</v>
      </c>
      <c r="K819">
        <v>49028.911527999982</v>
      </c>
      <c r="L819" t="s">
        <v>163</v>
      </c>
      <c r="N819" t="s">
        <v>762</v>
      </c>
      <c r="R819" t="s">
        <v>1149</v>
      </c>
    </row>
    <row r="820" spans="8:18" x14ac:dyDescent="0.25">
      <c r="H820" t="s">
        <v>705</v>
      </c>
      <c r="I820">
        <v>155.489</v>
      </c>
      <c r="J820">
        <v>0.49</v>
      </c>
      <c r="K820">
        <v>49184.400527999984</v>
      </c>
      <c r="L820" t="s">
        <v>163</v>
      </c>
      <c r="N820" t="s">
        <v>763</v>
      </c>
      <c r="R820" t="s">
        <v>1149</v>
      </c>
    </row>
    <row r="821" spans="8:18" x14ac:dyDescent="0.25">
      <c r="H821" t="s">
        <v>469</v>
      </c>
      <c r="I821">
        <v>169.68979999999999</v>
      </c>
      <c r="J821">
        <v>0.49000000000000005</v>
      </c>
      <c r="K821">
        <v>49354.090327999984</v>
      </c>
      <c r="L821" t="s">
        <v>163</v>
      </c>
      <c r="N821" t="s">
        <v>764</v>
      </c>
      <c r="R821" t="s">
        <v>1149</v>
      </c>
    </row>
    <row r="822" spans="8:18" x14ac:dyDescent="0.25">
      <c r="H822" t="s">
        <v>464</v>
      </c>
      <c r="I822">
        <v>115.80240000000001</v>
      </c>
      <c r="J822">
        <v>0.495</v>
      </c>
      <c r="K822">
        <v>49469.892727999984</v>
      </c>
      <c r="L822" t="s">
        <v>163</v>
      </c>
      <c r="N822" t="s">
        <v>765</v>
      </c>
      <c r="R822" t="s">
        <v>1149</v>
      </c>
    </row>
    <row r="823" spans="8:18" x14ac:dyDescent="0.25">
      <c r="H823" t="s">
        <v>362</v>
      </c>
      <c r="I823">
        <v>136.88400000000001</v>
      </c>
      <c r="J823">
        <v>0.495</v>
      </c>
      <c r="K823">
        <v>49606.776727999983</v>
      </c>
      <c r="L823" t="s">
        <v>163</v>
      </c>
      <c r="N823" t="s">
        <v>288</v>
      </c>
      <c r="R823" t="s">
        <v>1149</v>
      </c>
    </row>
    <row r="824" spans="8:18" x14ac:dyDescent="0.25">
      <c r="H824" t="s">
        <v>265</v>
      </c>
      <c r="I824">
        <v>119.5356</v>
      </c>
      <c r="J824">
        <v>0.495</v>
      </c>
      <c r="K824">
        <v>49726.312327999985</v>
      </c>
      <c r="L824" t="s">
        <v>163</v>
      </c>
      <c r="N824" t="s">
        <v>766</v>
      </c>
      <c r="R824" t="s">
        <v>1149</v>
      </c>
    </row>
    <row r="825" spans="8:18" x14ac:dyDescent="0.25">
      <c r="H825" t="s">
        <v>279</v>
      </c>
      <c r="L825" t="s">
        <v>1149</v>
      </c>
      <c r="N825" t="s">
        <v>767</v>
      </c>
      <c r="R825" t="s">
        <v>1149</v>
      </c>
    </row>
    <row r="826" spans="8:18" x14ac:dyDescent="0.25">
      <c r="H826" t="s">
        <v>280</v>
      </c>
      <c r="L826" t="s">
        <v>1149</v>
      </c>
      <c r="N826" t="s">
        <v>289</v>
      </c>
      <c r="R826" t="s">
        <v>1149</v>
      </c>
    </row>
    <row r="827" spans="8:18" x14ac:dyDescent="0.25">
      <c r="H827" t="s">
        <v>281</v>
      </c>
      <c r="L827" t="s">
        <v>1149</v>
      </c>
      <c r="N827" t="s">
        <v>290</v>
      </c>
      <c r="R827" t="s">
        <v>1149</v>
      </c>
    </row>
    <row r="828" spans="8:18" x14ac:dyDescent="0.25">
      <c r="H828" t="s">
        <v>282</v>
      </c>
      <c r="L828" t="s">
        <v>1149</v>
      </c>
      <c r="N828" t="s">
        <v>768</v>
      </c>
      <c r="R828" t="s">
        <v>1149</v>
      </c>
    </row>
    <row r="829" spans="8:18" x14ac:dyDescent="0.25">
      <c r="H829" t="s">
        <v>283</v>
      </c>
      <c r="L829" t="s">
        <v>1149</v>
      </c>
      <c r="N829" t="s">
        <v>291</v>
      </c>
      <c r="R829" t="s">
        <v>1149</v>
      </c>
    </row>
    <row r="830" spans="8:18" x14ac:dyDescent="0.25">
      <c r="H830" t="s">
        <v>284</v>
      </c>
      <c r="L830" t="s">
        <v>1149</v>
      </c>
      <c r="N830" t="s">
        <v>292</v>
      </c>
      <c r="R830" t="s">
        <v>1149</v>
      </c>
    </row>
    <row r="831" spans="8:18" x14ac:dyDescent="0.25">
      <c r="H831" t="s">
        <v>285</v>
      </c>
      <c r="L831" t="s">
        <v>1149</v>
      </c>
      <c r="N831" t="s">
        <v>293</v>
      </c>
      <c r="R831" t="s">
        <v>1149</v>
      </c>
    </row>
    <row r="832" spans="8:18" x14ac:dyDescent="0.25">
      <c r="H832" t="s">
        <v>286</v>
      </c>
      <c r="L832" t="s">
        <v>1149</v>
      </c>
      <c r="N832" t="s">
        <v>294</v>
      </c>
      <c r="R832" t="s">
        <v>1149</v>
      </c>
    </row>
    <row r="833" spans="8:18" x14ac:dyDescent="0.25">
      <c r="H833" t="s">
        <v>759</v>
      </c>
      <c r="L833" t="s">
        <v>1149</v>
      </c>
      <c r="N833" t="s">
        <v>295</v>
      </c>
      <c r="R833" t="s">
        <v>1149</v>
      </c>
    </row>
    <row r="834" spans="8:18" x14ac:dyDescent="0.25">
      <c r="H834" t="s">
        <v>760</v>
      </c>
      <c r="L834" t="s">
        <v>1149</v>
      </c>
      <c r="N834" t="s">
        <v>296</v>
      </c>
      <c r="R834" t="s">
        <v>1149</v>
      </c>
    </row>
    <row r="835" spans="8:18" x14ac:dyDescent="0.25">
      <c r="H835" t="s">
        <v>287</v>
      </c>
      <c r="L835" t="s">
        <v>1149</v>
      </c>
      <c r="N835" t="s">
        <v>769</v>
      </c>
      <c r="R835" t="s">
        <v>1149</v>
      </c>
    </row>
    <row r="836" spans="8:18" x14ac:dyDescent="0.25">
      <c r="H836" t="s">
        <v>761</v>
      </c>
      <c r="L836" t="s">
        <v>1149</v>
      </c>
      <c r="N836" t="s">
        <v>297</v>
      </c>
      <c r="R836" t="s">
        <v>1149</v>
      </c>
    </row>
    <row r="837" spans="8:18" x14ac:dyDescent="0.25">
      <c r="H837" t="s">
        <v>762</v>
      </c>
      <c r="L837" t="s">
        <v>1149</v>
      </c>
      <c r="N837" t="s">
        <v>298</v>
      </c>
      <c r="R837" t="s">
        <v>1149</v>
      </c>
    </row>
    <row r="838" spans="8:18" x14ac:dyDescent="0.25">
      <c r="H838" t="s">
        <v>763</v>
      </c>
      <c r="L838" t="s">
        <v>1149</v>
      </c>
      <c r="N838" t="s">
        <v>299</v>
      </c>
      <c r="R838" t="s">
        <v>1149</v>
      </c>
    </row>
    <row r="839" spans="8:18" x14ac:dyDescent="0.25">
      <c r="H839" t="s">
        <v>764</v>
      </c>
      <c r="L839" t="s">
        <v>1149</v>
      </c>
      <c r="N839" t="s">
        <v>300</v>
      </c>
      <c r="R839" t="s">
        <v>1149</v>
      </c>
    </row>
    <row r="840" spans="8:18" x14ac:dyDescent="0.25">
      <c r="H840" t="s">
        <v>765</v>
      </c>
      <c r="L840" t="s">
        <v>1149</v>
      </c>
      <c r="N840" t="s">
        <v>301</v>
      </c>
      <c r="R840" t="s">
        <v>1149</v>
      </c>
    </row>
    <row r="841" spans="8:18" x14ac:dyDescent="0.25">
      <c r="H841" t="s">
        <v>288</v>
      </c>
      <c r="L841" t="s">
        <v>1149</v>
      </c>
      <c r="N841" t="s">
        <v>302</v>
      </c>
      <c r="R841" t="s">
        <v>1149</v>
      </c>
    </row>
    <row r="842" spans="8:18" x14ac:dyDescent="0.25">
      <c r="H842" t="s">
        <v>766</v>
      </c>
      <c r="L842" t="s">
        <v>1149</v>
      </c>
      <c r="N842" t="s">
        <v>303</v>
      </c>
      <c r="R842" t="s">
        <v>1149</v>
      </c>
    </row>
    <row r="843" spans="8:18" x14ac:dyDescent="0.25">
      <c r="H843" t="s">
        <v>767</v>
      </c>
      <c r="L843" t="s">
        <v>1149</v>
      </c>
      <c r="N843" t="s">
        <v>304</v>
      </c>
      <c r="R843" t="s">
        <v>1149</v>
      </c>
    </row>
    <row r="844" spans="8:18" x14ac:dyDescent="0.25">
      <c r="H844" t="s">
        <v>289</v>
      </c>
      <c r="L844" t="s">
        <v>1149</v>
      </c>
      <c r="N844" t="s">
        <v>305</v>
      </c>
      <c r="R844" t="s">
        <v>1149</v>
      </c>
    </row>
    <row r="845" spans="8:18" x14ac:dyDescent="0.25">
      <c r="H845" t="s">
        <v>290</v>
      </c>
      <c r="L845" t="s">
        <v>1149</v>
      </c>
      <c r="N845" t="s">
        <v>306</v>
      </c>
      <c r="R845" t="s">
        <v>1149</v>
      </c>
    </row>
    <row r="846" spans="8:18" x14ac:dyDescent="0.25">
      <c r="H846" t="s">
        <v>768</v>
      </c>
      <c r="L846" t="s">
        <v>1149</v>
      </c>
      <c r="N846" t="s">
        <v>307</v>
      </c>
      <c r="R846" t="s">
        <v>1149</v>
      </c>
    </row>
    <row r="847" spans="8:18" x14ac:dyDescent="0.25">
      <c r="H847" t="s">
        <v>291</v>
      </c>
      <c r="L847" t="s">
        <v>1149</v>
      </c>
      <c r="N847" t="s">
        <v>308</v>
      </c>
      <c r="R847" t="s">
        <v>1149</v>
      </c>
    </row>
    <row r="848" spans="8:18" x14ac:dyDescent="0.25">
      <c r="H848" t="s">
        <v>292</v>
      </c>
      <c r="L848" t="s">
        <v>1149</v>
      </c>
      <c r="N848" t="s">
        <v>309</v>
      </c>
      <c r="R848" t="s">
        <v>1149</v>
      </c>
    </row>
    <row r="849" spans="8:18" x14ac:dyDescent="0.25">
      <c r="H849" t="s">
        <v>293</v>
      </c>
      <c r="L849" t="s">
        <v>1149</v>
      </c>
      <c r="N849" t="s">
        <v>310</v>
      </c>
      <c r="R849" t="s">
        <v>1149</v>
      </c>
    </row>
    <row r="850" spans="8:18" x14ac:dyDescent="0.25">
      <c r="H850" t="s">
        <v>294</v>
      </c>
      <c r="L850" t="s">
        <v>1149</v>
      </c>
      <c r="N850" t="s">
        <v>311</v>
      </c>
      <c r="R850" t="s">
        <v>1149</v>
      </c>
    </row>
    <row r="851" spans="8:18" x14ac:dyDescent="0.25">
      <c r="H851" t="s">
        <v>295</v>
      </c>
      <c r="L851" t="s">
        <v>1149</v>
      </c>
      <c r="N851" t="s">
        <v>770</v>
      </c>
      <c r="R851" t="s">
        <v>1149</v>
      </c>
    </row>
    <row r="852" spans="8:18" x14ac:dyDescent="0.25">
      <c r="H852" t="s">
        <v>296</v>
      </c>
      <c r="L852" t="s">
        <v>1149</v>
      </c>
      <c r="N852" t="s">
        <v>771</v>
      </c>
      <c r="R852" t="s">
        <v>1149</v>
      </c>
    </row>
    <row r="853" spans="8:18" x14ac:dyDescent="0.25">
      <c r="H853" t="s">
        <v>769</v>
      </c>
      <c r="L853" t="s">
        <v>1149</v>
      </c>
      <c r="N853" t="s">
        <v>312</v>
      </c>
      <c r="R853" t="s">
        <v>1149</v>
      </c>
    </row>
    <row r="854" spans="8:18" x14ac:dyDescent="0.25">
      <c r="H854" t="s">
        <v>297</v>
      </c>
      <c r="L854" t="s">
        <v>1149</v>
      </c>
      <c r="N854" t="s">
        <v>313</v>
      </c>
      <c r="R854" t="s">
        <v>1149</v>
      </c>
    </row>
    <row r="855" spans="8:18" x14ac:dyDescent="0.25">
      <c r="H855" t="s">
        <v>298</v>
      </c>
      <c r="L855" t="s">
        <v>1149</v>
      </c>
      <c r="N855" t="s">
        <v>772</v>
      </c>
      <c r="R855" t="s">
        <v>1149</v>
      </c>
    </row>
    <row r="856" spans="8:18" x14ac:dyDescent="0.25">
      <c r="H856" t="s">
        <v>299</v>
      </c>
      <c r="L856" t="s">
        <v>1149</v>
      </c>
      <c r="N856" t="s">
        <v>773</v>
      </c>
      <c r="R856" t="s">
        <v>1149</v>
      </c>
    </row>
    <row r="857" spans="8:18" x14ac:dyDescent="0.25">
      <c r="H857" t="s">
        <v>300</v>
      </c>
      <c r="L857" t="s">
        <v>1149</v>
      </c>
      <c r="N857" t="s">
        <v>774</v>
      </c>
      <c r="R857" t="s">
        <v>1149</v>
      </c>
    </row>
    <row r="858" spans="8:18" x14ac:dyDescent="0.25">
      <c r="H858" t="s">
        <v>301</v>
      </c>
      <c r="L858" t="s">
        <v>1149</v>
      </c>
      <c r="N858" t="s">
        <v>314</v>
      </c>
      <c r="R858" t="s">
        <v>1149</v>
      </c>
    </row>
    <row r="859" spans="8:18" x14ac:dyDescent="0.25">
      <c r="H859" t="s">
        <v>302</v>
      </c>
      <c r="L859" t="s">
        <v>1149</v>
      </c>
      <c r="N859" t="s">
        <v>315</v>
      </c>
      <c r="R859" t="s">
        <v>1149</v>
      </c>
    </row>
    <row r="860" spans="8:18" x14ac:dyDescent="0.25">
      <c r="H860" t="s">
        <v>303</v>
      </c>
      <c r="L860" t="s">
        <v>1149</v>
      </c>
      <c r="N860" t="s">
        <v>316</v>
      </c>
      <c r="R860" t="s">
        <v>1149</v>
      </c>
    </row>
    <row r="861" spans="8:18" x14ac:dyDescent="0.25">
      <c r="H861" t="s">
        <v>304</v>
      </c>
      <c r="L861" t="s">
        <v>1149</v>
      </c>
      <c r="N861" t="s">
        <v>317</v>
      </c>
      <c r="R861" t="s">
        <v>1149</v>
      </c>
    </row>
    <row r="862" spans="8:18" x14ac:dyDescent="0.25">
      <c r="H862" t="s">
        <v>305</v>
      </c>
      <c r="L862" t="s">
        <v>1149</v>
      </c>
      <c r="N862" t="s">
        <v>318</v>
      </c>
      <c r="R862" t="s">
        <v>1149</v>
      </c>
    </row>
    <row r="863" spans="8:18" x14ac:dyDescent="0.25">
      <c r="H863" t="s">
        <v>306</v>
      </c>
      <c r="L863" t="s">
        <v>1149</v>
      </c>
    </row>
    <row r="864" spans="8:18" x14ac:dyDescent="0.25">
      <c r="H864" t="s">
        <v>307</v>
      </c>
      <c r="L864" t="s">
        <v>1149</v>
      </c>
    </row>
    <row r="865" spans="8:12" x14ac:dyDescent="0.25">
      <c r="H865" t="s">
        <v>308</v>
      </c>
      <c r="L865" t="s">
        <v>1149</v>
      </c>
    </row>
    <row r="866" spans="8:12" x14ac:dyDescent="0.25">
      <c r="H866" t="s">
        <v>309</v>
      </c>
      <c r="L866" t="s">
        <v>1149</v>
      </c>
    </row>
    <row r="867" spans="8:12" x14ac:dyDescent="0.25">
      <c r="H867" t="s">
        <v>310</v>
      </c>
      <c r="L867" t="s">
        <v>1149</v>
      </c>
    </row>
    <row r="868" spans="8:12" x14ac:dyDescent="0.25">
      <c r="H868" t="s">
        <v>311</v>
      </c>
      <c r="L868" t="s">
        <v>1149</v>
      </c>
    </row>
    <row r="869" spans="8:12" x14ac:dyDescent="0.25">
      <c r="H869" t="s">
        <v>770</v>
      </c>
      <c r="L869" t="s">
        <v>1149</v>
      </c>
    </row>
    <row r="870" spans="8:12" x14ac:dyDescent="0.25">
      <c r="H870" t="s">
        <v>771</v>
      </c>
      <c r="L870" t="s">
        <v>1149</v>
      </c>
    </row>
    <row r="871" spans="8:12" x14ac:dyDescent="0.25">
      <c r="H871" t="s">
        <v>312</v>
      </c>
      <c r="L871" t="s">
        <v>1149</v>
      </c>
    </row>
    <row r="872" spans="8:12" x14ac:dyDescent="0.25">
      <c r="H872" t="s">
        <v>313</v>
      </c>
      <c r="L872" t="s">
        <v>1149</v>
      </c>
    </row>
    <row r="873" spans="8:12" x14ac:dyDescent="0.25">
      <c r="H873" t="s">
        <v>772</v>
      </c>
      <c r="L873" t="s">
        <v>1149</v>
      </c>
    </row>
    <row r="874" spans="8:12" x14ac:dyDescent="0.25">
      <c r="H874" t="s">
        <v>773</v>
      </c>
      <c r="L874" t="s">
        <v>1149</v>
      </c>
    </row>
    <row r="875" spans="8:12" x14ac:dyDescent="0.25">
      <c r="H875" t="s">
        <v>774</v>
      </c>
      <c r="L875" t="s">
        <v>1149</v>
      </c>
    </row>
    <row r="876" spans="8:12" x14ac:dyDescent="0.25">
      <c r="H876" t="s">
        <v>314</v>
      </c>
      <c r="L876" t="s">
        <v>1149</v>
      </c>
    </row>
    <row r="877" spans="8:12" x14ac:dyDescent="0.25">
      <c r="H877" t="s">
        <v>315</v>
      </c>
      <c r="L877" t="s">
        <v>1149</v>
      </c>
    </row>
    <row r="878" spans="8:12" x14ac:dyDescent="0.25">
      <c r="H878" t="s">
        <v>316</v>
      </c>
      <c r="L878" t="s">
        <v>1149</v>
      </c>
    </row>
    <row r="879" spans="8:12" x14ac:dyDescent="0.25">
      <c r="H879" t="s">
        <v>317</v>
      </c>
      <c r="L879" t="s">
        <v>1149</v>
      </c>
    </row>
    <row r="880" spans="8:12" x14ac:dyDescent="0.25">
      <c r="H880" t="s">
        <v>318</v>
      </c>
      <c r="L880" t="s">
        <v>1149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4718F-03D9-4E77-8C06-42F348699FB4}">
  <sheetPr>
    <pageSetUpPr fitToPage="1"/>
  </sheetPr>
  <dimension ref="A9:L877"/>
  <sheetViews>
    <sheetView showGridLines="0" view="pageBreakPreview" topLeftCell="A143" zoomScale="85" zoomScaleNormal="100" zoomScaleSheetLayoutView="85" workbookViewId="0">
      <selection activeCell="C19" sqref="C19:D162"/>
    </sheetView>
  </sheetViews>
  <sheetFormatPr defaultRowHeight="15" x14ac:dyDescent="0.25"/>
  <cols>
    <col min="1" max="1" width="16" style="79" bestFit="1" customWidth="1"/>
    <col min="2" max="2" width="16.140625" style="191" bestFit="1" customWidth="1"/>
    <col min="3" max="3" width="22.85546875" style="192" bestFit="1" customWidth="1"/>
    <col min="4" max="5" width="11.5703125" style="192" bestFit="1" customWidth="1"/>
    <col min="6" max="6" width="12.28515625" style="79" bestFit="1" customWidth="1"/>
    <col min="7" max="8" width="14.28515625" style="192" bestFit="1" customWidth="1"/>
    <col min="9" max="9" width="16.28515625" style="79" bestFit="1" customWidth="1"/>
    <col min="10" max="10" width="18.28515625" style="79" bestFit="1" customWidth="1"/>
    <col min="11" max="11" width="28.85546875" style="79" bestFit="1" customWidth="1"/>
    <col min="12" max="12" width="24.7109375" style="79" bestFit="1" customWidth="1"/>
    <col min="13" max="16384" width="9.140625" style="79"/>
  </cols>
  <sheetData>
    <row r="9" spans="12:12" x14ac:dyDescent="0.25">
      <c r="L9" s="79" t="s">
        <v>1177</v>
      </c>
    </row>
    <row r="10" spans="12:12" x14ac:dyDescent="0.25">
      <c r="L10" s="79" t="s">
        <v>1165</v>
      </c>
    </row>
    <row r="11" spans="12:12" x14ac:dyDescent="0.25">
      <c r="L11" s="79">
        <f>COUNT(B18:B162)</f>
        <v>144</v>
      </c>
    </row>
    <row r="12" spans="12:12" x14ac:dyDescent="0.25">
      <c r="L12" s="79" t="s">
        <v>1164</v>
      </c>
    </row>
    <row r="13" spans="12:12" x14ac:dyDescent="0.25">
      <c r="L13" s="79" t="s">
        <v>1301</v>
      </c>
    </row>
    <row r="14" spans="12:12" x14ac:dyDescent="0.25">
      <c r="L14" s="226">
        <f>GETPIVOTDATA("Sum of TOTAL UNIT VALUE (SEMI FINISHED)",'PROJECT SUMMARY DASH'!$A$1,"SELLING PHASE NAME","R 1")</f>
        <v>1066546981.5490874</v>
      </c>
    </row>
    <row r="18" spans="1:11" s="160" customFormat="1" ht="60" x14ac:dyDescent="0.25">
      <c r="A18" s="237" t="s">
        <v>733</v>
      </c>
      <c r="B18" s="237" t="s">
        <v>1303</v>
      </c>
      <c r="C18" s="237" t="s">
        <v>713</v>
      </c>
      <c r="D18" s="237" t="s">
        <v>1302</v>
      </c>
      <c r="E18" s="289" t="s">
        <v>1151</v>
      </c>
      <c r="F18" s="289" t="s">
        <v>1152</v>
      </c>
      <c r="G18" s="237" t="s">
        <v>1298</v>
      </c>
      <c r="H18" s="237" t="s">
        <v>1299</v>
      </c>
      <c r="I18" s="237" t="s">
        <v>1300</v>
      </c>
      <c r="J18"/>
      <c r="K18" s="290" t="str">
        <f>Table1[[#Headers],[NO. OF BEDROOMS]]</f>
        <v>NO. OF BEDROOMS</v>
      </c>
    </row>
    <row r="19" spans="1:11" x14ac:dyDescent="0.25">
      <c r="A19" s="121" t="s">
        <v>245</v>
      </c>
      <c r="B19" s="122">
        <v>44275</v>
      </c>
      <c r="C19" s="191">
        <v>75</v>
      </c>
      <c r="D19" s="191">
        <v>23.808399999999999</v>
      </c>
      <c r="E19" s="122">
        <v>347858.58029999997</v>
      </c>
      <c r="F19" s="122">
        <v>311821.10432550003</v>
      </c>
      <c r="G19" s="122">
        <v>3868483.5803</v>
      </c>
      <c r="H19" s="122">
        <v>4205983.5802999996</v>
      </c>
      <c r="I19" s="122">
        <v>4430983.5802999996</v>
      </c>
      <c r="J19"/>
      <c r="K19" s="79" t="str">
        <f>VLOOKUP(A19,Table1[[Unit Number]:[NO. OF BEDROOMS]],2,FALSE)</f>
        <v>1 BEDROOM (STUDIO)</v>
      </c>
    </row>
    <row r="20" spans="1:11" x14ac:dyDescent="0.25">
      <c r="A20" s="121" t="s">
        <v>253</v>
      </c>
      <c r="B20" s="122">
        <v>44275</v>
      </c>
      <c r="C20" s="191">
        <v>110</v>
      </c>
      <c r="D20" s="191"/>
      <c r="E20" s="122">
        <v>0</v>
      </c>
      <c r="F20" s="122">
        <v>413971.25000000006</v>
      </c>
      <c r="G20" s="122">
        <v>5070250</v>
      </c>
      <c r="H20" s="122">
        <v>5565250</v>
      </c>
      <c r="I20" s="122">
        <v>5895250</v>
      </c>
      <c r="J20"/>
      <c r="K20" s="79" t="str">
        <f>VLOOKUP(A20,Table1[[Unit Number]:[NO. OF BEDROOMS]],2,FALSE)</f>
        <v>2 BEDROOM</v>
      </c>
    </row>
    <row r="21" spans="1:11" x14ac:dyDescent="0.25">
      <c r="A21" s="121" t="s">
        <v>254</v>
      </c>
      <c r="B21" s="122">
        <v>44275</v>
      </c>
      <c r="C21" s="191">
        <v>75</v>
      </c>
      <c r="D21" s="191">
        <v>23.808399999999999</v>
      </c>
      <c r="E21" s="122">
        <v>347858.58029999997</v>
      </c>
      <c r="F21" s="122">
        <v>311821.10432550003</v>
      </c>
      <c r="G21" s="122">
        <v>3868483.5803</v>
      </c>
      <c r="H21" s="122">
        <v>4205983.5802999996</v>
      </c>
      <c r="I21" s="122">
        <v>4430983.5802999996</v>
      </c>
      <c r="J21"/>
      <c r="K21" s="79" t="str">
        <f>VLOOKUP(A21,Table1[[Unit Number]:[NO. OF BEDROOMS]],2,FALSE)</f>
        <v>1 BEDROOM (STUDIO)</v>
      </c>
    </row>
    <row r="22" spans="1:11" x14ac:dyDescent="0.25">
      <c r="A22" s="121" t="s">
        <v>255</v>
      </c>
      <c r="B22" s="122">
        <v>44225</v>
      </c>
      <c r="C22" s="191">
        <v>121</v>
      </c>
      <c r="D22" s="191">
        <v>31.613900000000001</v>
      </c>
      <c r="E22" s="122">
        <v>461381.16007500002</v>
      </c>
      <c r="F22" s="122">
        <v>494071.52360637498</v>
      </c>
      <c r="G22" s="122">
        <v>6012606.1600749996</v>
      </c>
      <c r="H22" s="122">
        <v>6557106.1600749996</v>
      </c>
      <c r="I22" s="122">
        <v>6920106.1600749996</v>
      </c>
      <c r="J22"/>
      <c r="K22" s="79" t="str">
        <f>VLOOKUP(A22,Table1[[Unit Number]:[NO. OF BEDROOMS]],2,FALSE)</f>
        <v>2 BEDROOM</v>
      </c>
    </row>
    <row r="23" spans="1:11" x14ac:dyDescent="0.25">
      <c r="A23" s="121" t="s">
        <v>750</v>
      </c>
      <c r="B23" s="122">
        <v>46225</v>
      </c>
      <c r="C23" s="191">
        <v>110</v>
      </c>
      <c r="D23" s="191"/>
      <c r="E23" s="122">
        <v>0</v>
      </c>
      <c r="F23" s="122">
        <v>432203.75000000006</v>
      </c>
      <c r="G23" s="122">
        <v>5284750</v>
      </c>
      <c r="H23" s="122">
        <v>5779750</v>
      </c>
      <c r="I23" s="122">
        <v>6109750</v>
      </c>
      <c r="J23"/>
      <c r="K23" s="79" t="str">
        <f>VLOOKUP(A23,Table1[[Unit Number]:[NO. OF BEDROOMS]],2,FALSE)</f>
        <v>2 BEDROOM</v>
      </c>
    </row>
    <row r="24" spans="1:11" x14ac:dyDescent="0.25">
      <c r="A24" s="121" t="s">
        <v>751</v>
      </c>
      <c r="B24" s="122">
        <v>46225</v>
      </c>
      <c r="C24" s="191">
        <v>119</v>
      </c>
      <c r="D24" s="191"/>
      <c r="E24" s="122">
        <v>0</v>
      </c>
      <c r="F24" s="122">
        <v>467565.87500000006</v>
      </c>
      <c r="G24" s="122">
        <v>5700775</v>
      </c>
      <c r="H24" s="122">
        <v>6236275</v>
      </c>
      <c r="I24" s="122">
        <v>6593275</v>
      </c>
      <c r="J24"/>
      <c r="K24" s="79" t="str">
        <f>VLOOKUP(A24,Table1[[Unit Number]:[NO. OF BEDROOMS]],2,FALSE)</f>
        <v>2 BEDROOM</v>
      </c>
    </row>
    <row r="25" spans="1:11" x14ac:dyDescent="0.25">
      <c r="A25" s="121" t="s">
        <v>262</v>
      </c>
      <c r="B25" s="122">
        <v>44275</v>
      </c>
      <c r="C25" s="191">
        <v>110</v>
      </c>
      <c r="D25" s="191"/>
      <c r="E25" s="122">
        <v>0</v>
      </c>
      <c r="F25" s="122">
        <v>413971.25000000006</v>
      </c>
      <c r="G25" s="122">
        <v>5070250</v>
      </c>
      <c r="H25" s="122">
        <v>5565250</v>
      </c>
      <c r="I25" s="122">
        <v>5895250</v>
      </c>
      <c r="J25"/>
      <c r="K25" s="79" t="str">
        <f>VLOOKUP(A25,Table1[[Unit Number]:[NO. OF BEDROOMS]],2,FALSE)</f>
        <v>2 BEDROOM</v>
      </c>
    </row>
    <row r="26" spans="1:11" x14ac:dyDescent="0.25">
      <c r="A26" s="121" t="s">
        <v>263</v>
      </c>
      <c r="B26" s="122">
        <v>44275</v>
      </c>
      <c r="C26" s="191">
        <v>120</v>
      </c>
      <c r="D26" s="191"/>
      <c r="E26" s="122">
        <v>0</v>
      </c>
      <c r="F26" s="122">
        <v>451605.00000000006</v>
      </c>
      <c r="G26" s="122">
        <v>5513000</v>
      </c>
      <c r="H26" s="122">
        <v>6053000</v>
      </c>
      <c r="I26" s="122">
        <v>6413000</v>
      </c>
      <c r="J26"/>
      <c r="K26" s="79" t="str">
        <f>VLOOKUP(A26,Table1[[Unit Number]:[NO. OF BEDROOMS]],2,FALSE)</f>
        <v>2 BEDROOM</v>
      </c>
    </row>
    <row r="27" spans="1:11" x14ac:dyDescent="0.25">
      <c r="A27" s="121" t="s">
        <v>264</v>
      </c>
      <c r="B27" s="122">
        <v>44225</v>
      </c>
      <c r="C27" s="191">
        <v>121</v>
      </c>
      <c r="D27" s="191">
        <v>31.614699999999999</v>
      </c>
      <c r="E27" s="122">
        <v>461392.83547499997</v>
      </c>
      <c r="F27" s="122">
        <v>494072.51601537497</v>
      </c>
      <c r="G27" s="122">
        <v>6012617.8354749996</v>
      </c>
      <c r="H27" s="122">
        <v>6557117.8354749996</v>
      </c>
      <c r="I27" s="122">
        <v>6920117.8354749996</v>
      </c>
      <c r="J27"/>
      <c r="K27" s="79" t="str">
        <f>VLOOKUP(A27,Table1[[Unit Number]:[NO. OF BEDROOMS]],2,FALSE)</f>
        <v>2 BEDROOM</v>
      </c>
    </row>
    <row r="28" spans="1:11" x14ac:dyDescent="0.25">
      <c r="A28" s="121" t="s">
        <v>266</v>
      </c>
      <c r="B28" s="122">
        <v>44225</v>
      </c>
      <c r="C28" s="191">
        <v>111</v>
      </c>
      <c r="D28" s="191">
        <v>50.540100000000002</v>
      </c>
      <c r="E28" s="122">
        <v>737594.85442500003</v>
      </c>
      <c r="F28" s="122">
        <v>479958.43762612506</v>
      </c>
      <c r="G28" s="122">
        <v>5846569.854425</v>
      </c>
      <c r="H28" s="122">
        <v>6346069.854425</v>
      </c>
      <c r="I28" s="122">
        <v>6679069.854425</v>
      </c>
      <c r="J28"/>
      <c r="K28" s="79" t="str">
        <f>VLOOKUP(A28,Table1[[Unit Number]:[NO. OF BEDROOMS]],2,FALSE)</f>
        <v>2 BEDROOM</v>
      </c>
    </row>
    <row r="29" spans="1:11" x14ac:dyDescent="0.25">
      <c r="A29" s="121" t="s">
        <v>267</v>
      </c>
      <c r="B29" s="122">
        <v>44275</v>
      </c>
      <c r="C29" s="191">
        <v>75</v>
      </c>
      <c r="D29" s="191">
        <v>23.830100000000002</v>
      </c>
      <c r="E29" s="122">
        <v>348175.63357500004</v>
      </c>
      <c r="F29" s="122">
        <v>311848.05385387503</v>
      </c>
      <c r="G29" s="122">
        <v>3868800.6335749999</v>
      </c>
      <c r="H29" s="122">
        <v>4206300.6335749999</v>
      </c>
      <c r="I29" s="122">
        <v>4431300.6335749999</v>
      </c>
      <c r="J29"/>
      <c r="K29" s="79" t="str">
        <f>VLOOKUP(A29,Table1[[Unit Number]:[NO. OF BEDROOMS]],2,FALSE)</f>
        <v>1 BEDROOM (STUDIO)</v>
      </c>
    </row>
    <row r="30" spans="1:11" x14ac:dyDescent="0.25">
      <c r="A30" s="121" t="s">
        <v>754</v>
      </c>
      <c r="B30" s="122">
        <v>45075</v>
      </c>
      <c r="C30" s="191">
        <v>119</v>
      </c>
      <c r="D30" s="191"/>
      <c r="E30" s="122">
        <v>0</v>
      </c>
      <c r="F30" s="122">
        <v>455933.62500000006</v>
      </c>
      <c r="G30" s="122">
        <v>5563925</v>
      </c>
      <c r="H30" s="122">
        <v>6099425</v>
      </c>
      <c r="I30" s="122">
        <v>6456425</v>
      </c>
      <c r="J30"/>
      <c r="K30" s="79" t="str">
        <f>VLOOKUP(A30,Table1[[Unit Number]:[NO. OF BEDROOMS]],2,FALSE)</f>
        <v>2 BEDROOM</v>
      </c>
    </row>
    <row r="31" spans="1:11" x14ac:dyDescent="0.25">
      <c r="A31" s="121" t="s">
        <v>755</v>
      </c>
      <c r="B31" s="122">
        <v>45275</v>
      </c>
      <c r="C31" s="191">
        <v>122</v>
      </c>
      <c r="D31" s="191"/>
      <c r="E31" s="122">
        <v>0</v>
      </c>
      <c r="F31" s="122">
        <v>469501.75000000006</v>
      </c>
      <c r="G31" s="122">
        <v>5723550</v>
      </c>
      <c r="H31" s="122">
        <v>6272550</v>
      </c>
      <c r="I31" s="122">
        <v>6638550</v>
      </c>
      <c r="J31"/>
      <c r="K31" s="79" t="str">
        <f>VLOOKUP(A31,Table1[[Unit Number]:[NO. OF BEDROOMS]],2,FALSE)</f>
        <v>2 BEDROOM</v>
      </c>
    </row>
    <row r="32" spans="1:11" x14ac:dyDescent="0.25">
      <c r="A32" s="121" t="s">
        <v>756</v>
      </c>
      <c r="B32" s="122">
        <v>45025</v>
      </c>
      <c r="C32" s="191">
        <v>112</v>
      </c>
      <c r="D32" s="191"/>
      <c r="E32" s="122">
        <v>0</v>
      </c>
      <c r="F32" s="122">
        <v>428638.00000000006</v>
      </c>
      <c r="G32" s="122">
        <v>5242800</v>
      </c>
      <c r="H32" s="122">
        <v>5746800</v>
      </c>
      <c r="I32" s="122">
        <v>6082800</v>
      </c>
      <c r="J32"/>
      <c r="K32" s="79" t="str">
        <f>VLOOKUP(A32,Table1[[Unit Number]:[NO. OF BEDROOMS]],2,FALSE)</f>
        <v>2 BEDROOM</v>
      </c>
    </row>
    <row r="33" spans="1:11" x14ac:dyDescent="0.25">
      <c r="A33" s="121" t="s">
        <v>757</v>
      </c>
      <c r="B33" s="122">
        <v>45225</v>
      </c>
      <c r="C33" s="191">
        <v>110</v>
      </c>
      <c r="D33" s="191"/>
      <c r="E33" s="122">
        <v>0</v>
      </c>
      <c r="F33" s="122">
        <v>422853.75000000006</v>
      </c>
      <c r="G33" s="122">
        <v>5174750</v>
      </c>
      <c r="H33" s="122">
        <v>5669750</v>
      </c>
      <c r="I33" s="122">
        <v>5999750</v>
      </c>
      <c r="J33"/>
      <c r="K33" s="79" t="str">
        <f>VLOOKUP(A33,Table1[[Unit Number]:[NO. OF BEDROOMS]],2,FALSE)</f>
        <v>2 BEDROOM</v>
      </c>
    </row>
    <row r="34" spans="1:11" x14ac:dyDescent="0.25">
      <c r="A34" s="121" t="s">
        <v>276</v>
      </c>
      <c r="B34" s="122">
        <v>44275</v>
      </c>
      <c r="C34" s="191">
        <v>120</v>
      </c>
      <c r="D34" s="191"/>
      <c r="E34" s="122">
        <v>0</v>
      </c>
      <c r="F34" s="122">
        <v>451605.00000000006</v>
      </c>
      <c r="G34" s="122">
        <v>5513000</v>
      </c>
      <c r="H34" s="122">
        <v>6053000</v>
      </c>
      <c r="I34" s="122">
        <v>6413000</v>
      </c>
      <c r="J34"/>
      <c r="K34" s="79" t="str">
        <f>VLOOKUP(A34,Table1[[Unit Number]:[NO. OF BEDROOMS]],2,FALSE)</f>
        <v>2 BEDROOM</v>
      </c>
    </row>
    <row r="35" spans="1:11" x14ac:dyDescent="0.25">
      <c r="A35" s="121" t="s">
        <v>758</v>
      </c>
      <c r="B35" s="122">
        <v>45025</v>
      </c>
      <c r="C35" s="191">
        <v>121</v>
      </c>
      <c r="D35" s="191"/>
      <c r="E35" s="122">
        <v>0</v>
      </c>
      <c r="F35" s="122">
        <v>463082.12500000006</v>
      </c>
      <c r="G35" s="122">
        <v>5648025</v>
      </c>
      <c r="H35" s="122">
        <v>6192525</v>
      </c>
      <c r="I35" s="122">
        <v>6555525</v>
      </c>
      <c r="J35"/>
      <c r="K35" s="79" t="str">
        <f>VLOOKUP(A35,Table1[[Unit Number]:[NO. OF BEDROOMS]],2,FALSE)</f>
        <v>2 BEDROOM</v>
      </c>
    </row>
    <row r="36" spans="1:11" x14ac:dyDescent="0.25">
      <c r="A36" s="121" t="s">
        <v>278</v>
      </c>
      <c r="B36" s="122">
        <v>44275</v>
      </c>
      <c r="C36" s="191">
        <v>110</v>
      </c>
      <c r="D36" s="191"/>
      <c r="E36" s="122">
        <v>0</v>
      </c>
      <c r="F36" s="122">
        <v>413971.25000000006</v>
      </c>
      <c r="G36" s="122">
        <v>5070250</v>
      </c>
      <c r="H36" s="122">
        <v>5565250</v>
      </c>
      <c r="I36" s="122">
        <v>5895250</v>
      </c>
      <c r="J36"/>
      <c r="K36" s="79" t="str">
        <f>VLOOKUP(A36,Table1[[Unit Number]:[NO. OF BEDROOMS]],2,FALSE)</f>
        <v>2 BEDROOM</v>
      </c>
    </row>
    <row r="37" spans="1:11" x14ac:dyDescent="0.25">
      <c r="A37" s="121" t="s">
        <v>320</v>
      </c>
      <c r="B37" s="122">
        <v>43875</v>
      </c>
      <c r="C37" s="191">
        <v>111</v>
      </c>
      <c r="D37" s="191">
        <v>50.540100000000002</v>
      </c>
      <c r="E37" s="122">
        <v>731757.47287499998</v>
      </c>
      <c r="F37" s="122">
        <v>476160.01019437501</v>
      </c>
      <c r="G37" s="122">
        <v>5801882.472875</v>
      </c>
      <c r="H37" s="122">
        <v>6301382.472875</v>
      </c>
      <c r="I37" s="122">
        <v>6634382.472875</v>
      </c>
      <c r="J37"/>
      <c r="K37" s="79" t="str">
        <f>VLOOKUP(A37,Table1[[Unit Number]:[NO. OF BEDROOMS]],2,FALSE)</f>
        <v>2 BEDROOM</v>
      </c>
    </row>
    <row r="38" spans="1:11" x14ac:dyDescent="0.25">
      <c r="A38" s="121" t="s">
        <v>775</v>
      </c>
      <c r="B38" s="122">
        <v>45075</v>
      </c>
      <c r="C38" s="191">
        <v>110</v>
      </c>
      <c r="D38" s="191"/>
      <c r="E38" s="122">
        <v>0</v>
      </c>
      <c r="F38" s="122">
        <v>421451.25000000006</v>
      </c>
      <c r="G38" s="122">
        <v>5158250</v>
      </c>
      <c r="H38" s="122">
        <v>5653250</v>
      </c>
      <c r="I38" s="122">
        <v>5983250</v>
      </c>
      <c r="J38"/>
      <c r="K38" s="79" t="str">
        <f>VLOOKUP(A38,Table1[[Unit Number]:[NO. OF BEDROOMS]],2,FALSE)</f>
        <v>2 BEDROOM</v>
      </c>
    </row>
    <row r="39" spans="1:11" x14ac:dyDescent="0.25">
      <c r="A39" s="121" t="s">
        <v>776</v>
      </c>
      <c r="B39" s="122">
        <v>45125</v>
      </c>
      <c r="C39" s="191">
        <v>119</v>
      </c>
      <c r="D39" s="191"/>
      <c r="E39" s="122">
        <v>0</v>
      </c>
      <c r="F39" s="122">
        <v>456439.37500000006</v>
      </c>
      <c r="G39" s="122">
        <v>5569875</v>
      </c>
      <c r="H39" s="122">
        <v>6105375</v>
      </c>
      <c r="I39" s="122">
        <v>6462375</v>
      </c>
      <c r="J39"/>
      <c r="K39" s="79" t="str">
        <f>VLOOKUP(A39,Table1[[Unit Number]:[NO. OF BEDROOMS]],2,FALSE)</f>
        <v>2 BEDROOM</v>
      </c>
    </row>
    <row r="40" spans="1:11" x14ac:dyDescent="0.25">
      <c r="A40" s="121" t="s">
        <v>777</v>
      </c>
      <c r="B40" s="122">
        <v>45075</v>
      </c>
      <c r="C40" s="191">
        <v>119</v>
      </c>
      <c r="D40" s="191"/>
      <c r="E40" s="122">
        <v>0</v>
      </c>
      <c r="F40" s="122">
        <v>455933.62500000006</v>
      </c>
      <c r="G40" s="122">
        <v>5563925</v>
      </c>
      <c r="H40" s="122">
        <v>6099425</v>
      </c>
      <c r="I40" s="122">
        <v>6456425</v>
      </c>
      <c r="J40"/>
      <c r="K40" s="79" t="str">
        <f>VLOOKUP(A40,Table1[[Unit Number]:[NO. OF BEDROOMS]],2,FALSE)</f>
        <v>2 BEDROOM</v>
      </c>
    </row>
    <row r="41" spans="1:11" x14ac:dyDescent="0.25">
      <c r="A41" s="121" t="s">
        <v>337</v>
      </c>
      <c r="B41" s="122">
        <v>45375</v>
      </c>
      <c r="C41" s="191">
        <v>121</v>
      </c>
      <c r="D41" s="191">
        <v>50.705300000000001</v>
      </c>
      <c r="E41" s="122">
        <v>759248.48587500001</v>
      </c>
      <c r="F41" s="122">
        <v>531217.99629937508</v>
      </c>
      <c r="G41" s="122">
        <v>6449623.4858750002</v>
      </c>
      <c r="H41" s="122">
        <v>6994123.4858750002</v>
      </c>
      <c r="I41" s="122">
        <v>7357123.4858750002</v>
      </c>
      <c r="J41"/>
      <c r="K41" s="79" t="str">
        <f>VLOOKUP(A41,Table1[[Unit Number]:[NO. OF BEDROOMS]],2,FALSE)</f>
        <v>2 BEDROOM</v>
      </c>
    </row>
    <row r="42" spans="1:11" x14ac:dyDescent="0.25">
      <c r="A42" s="121" t="s">
        <v>338</v>
      </c>
      <c r="B42" s="122">
        <v>45375</v>
      </c>
      <c r="C42" s="191">
        <v>111</v>
      </c>
      <c r="D42" s="191">
        <v>50.503900000000002</v>
      </c>
      <c r="E42" s="122">
        <v>756232.77262499998</v>
      </c>
      <c r="F42" s="122">
        <v>492392.91067312506</v>
      </c>
      <c r="G42" s="122">
        <v>5992857.7726250002</v>
      </c>
      <c r="H42" s="122">
        <v>6492357.7726250002</v>
      </c>
      <c r="I42" s="122">
        <v>6825357.7726250002</v>
      </c>
      <c r="J42"/>
      <c r="K42" s="79" t="str">
        <f>VLOOKUP(A42,Table1[[Unit Number]:[NO. OF BEDROOMS]],2,FALSE)</f>
        <v>2 BEDROOM</v>
      </c>
    </row>
    <row r="43" spans="1:11" x14ac:dyDescent="0.25">
      <c r="A43" s="121" t="s">
        <v>778</v>
      </c>
      <c r="B43" s="122">
        <v>45075</v>
      </c>
      <c r="C43" s="191">
        <v>119</v>
      </c>
      <c r="D43" s="191"/>
      <c r="E43" s="122">
        <v>0</v>
      </c>
      <c r="F43" s="122">
        <v>455933.62500000006</v>
      </c>
      <c r="G43" s="122">
        <v>5563925</v>
      </c>
      <c r="H43" s="122">
        <v>6099425</v>
      </c>
      <c r="I43" s="122">
        <v>6456425</v>
      </c>
      <c r="J43"/>
      <c r="K43" s="79" t="str">
        <f>VLOOKUP(A43,Table1[[Unit Number]:[NO. OF BEDROOMS]],2,FALSE)</f>
        <v>2 BEDROOM</v>
      </c>
    </row>
    <row r="44" spans="1:11" x14ac:dyDescent="0.25">
      <c r="A44" s="121" t="s">
        <v>781</v>
      </c>
      <c r="B44" s="122">
        <v>45075</v>
      </c>
      <c r="C44" s="191">
        <v>110</v>
      </c>
      <c r="D44" s="191"/>
      <c r="E44" s="122">
        <v>0</v>
      </c>
      <c r="F44" s="122">
        <v>421451.25000000006</v>
      </c>
      <c r="G44" s="122">
        <v>5158250</v>
      </c>
      <c r="H44" s="122">
        <v>5653250</v>
      </c>
      <c r="I44" s="122">
        <v>5983250</v>
      </c>
      <c r="J44"/>
      <c r="K44" s="79" t="str">
        <f>VLOOKUP(A44,Table1[[Unit Number]:[NO. OF BEDROOMS]],2,FALSE)</f>
        <v>2 BEDROOM</v>
      </c>
    </row>
    <row r="45" spans="1:11" x14ac:dyDescent="0.25">
      <c r="A45" s="121" t="s">
        <v>349</v>
      </c>
      <c r="B45" s="122">
        <v>45425</v>
      </c>
      <c r="C45" s="191">
        <v>121</v>
      </c>
      <c r="D45" s="191"/>
      <c r="E45" s="122">
        <v>0</v>
      </c>
      <c r="F45" s="122">
        <v>467196.12500000006</v>
      </c>
      <c r="G45" s="122">
        <v>5696425</v>
      </c>
      <c r="H45" s="122">
        <v>6240925</v>
      </c>
      <c r="I45" s="122">
        <v>6603925</v>
      </c>
      <c r="J45"/>
      <c r="K45" s="79" t="str">
        <f>VLOOKUP(A45,Table1[[Unit Number]:[NO. OF BEDROOMS]],2,FALSE)</f>
        <v>2 BEDROOM</v>
      </c>
    </row>
    <row r="46" spans="1:11" x14ac:dyDescent="0.25">
      <c r="A46" s="121" t="s">
        <v>350</v>
      </c>
      <c r="B46" s="122">
        <v>45425</v>
      </c>
      <c r="C46" s="191">
        <v>111</v>
      </c>
      <c r="D46" s="191"/>
      <c r="E46" s="122">
        <v>0</v>
      </c>
      <c r="F46" s="122">
        <v>428584.87500000006</v>
      </c>
      <c r="G46" s="122">
        <v>5242175</v>
      </c>
      <c r="H46" s="122">
        <v>5741675</v>
      </c>
      <c r="I46" s="122">
        <v>6074675</v>
      </c>
      <c r="J46"/>
      <c r="K46" s="79" t="str">
        <f>VLOOKUP(A46,Table1[[Unit Number]:[NO. OF BEDROOMS]],2,FALSE)</f>
        <v>2 BEDROOM</v>
      </c>
    </row>
    <row r="47" spans="1:11" x14ac:dyDescent="0.25">
      <c r="A47" s="121" t="s">
        <v>353</v>
      </c>
      <c r="B47" s="122">
        <v>45375</v>
      </c>
      <c r="C47" s="191">
        <v>111</v>
      </c>
      <c r="D47" s="191">
        <v>50.507800000000003</v>
      </c>
      <c r="E47" s="122">
        <v>756291.17025000008</v>
      </c>
      <c r="F47" s="122">
        <v>492397.87447125005</v>
      </c>
      <c r="G47" s="122">
        <v>5992916.1702500004</v>
      </c>
      <c r="H47" s="122">
        <v>6492416.1702500004</v>
      </c>
      <c r="I47" s="122">
        <v>6825416.1702500004</v>
      </c>
      <c r="J47"/>
      <c r="K47" s="79" t="str">
        <f>VLOOKUP(A47,Table1[[Unit Number]:[NO. OF BEDROOMS]],2,FALSE)</f>
        <v>2 BEDROOM</v>
      </c>
    </row>
    <row r="48" spans="1:11" x14ac:dyDescent="0.25">
      <c r="A48" s="121" t="s">
        <v>783</v>
      </c>
      <c r="B48" s="122">
        <v>45075</v>
      </c>
      <c r="C48" s="191">
        <v>110</v>
      </c>
      <c r="D48" s="191"/>
      <c r="E48" s="122">
        <v>0</v>
      </c>
      <c r="F48" s="122">
        <v>421451.25000000006</v>
      </c>
      <c r="G48" s="122">
        <v>5158250</v>
      </c>
      <c r="H48" s="122">
        <v>5653250</v>
      </c>
      <c r="I48" s="122">
        <v>5983250</v>
      </c>
      <c r="J48"/>
      <c r="K48" s="79" t="str">
        <f>VLOOKUP(A48,Table1[[Unit Number]:[NO. OF BEDROOMS]],2,FALSE)</f>
        <v>2 BEDROOM</v>
      </c>
    </row>
    <row r="49" spans="1:11" x14ac:dyDescent="0.25">
      <c r="A49" s="121" t="s">
        <v>786</v>
      </c>
      <c r="B49" s="122">
        <v>45175</v>
      </c>
      <c r="C49" s="191">
        <v>135</v>
      </c>
      <c r="D49" s="191"/>
      <c r="E49" s="122">
        <v>0</v>
      </c>
      <c r="F49" s="122">
        <v>518383.12500000006</v>
      </c>
      <c r="G49" s="122">
        <v>6298625</v>
      </c>
      <c r="H49" s="122">
        <v>6906125</v>
      </c>
      <c r="I49" s="122">
        <v>7311125</v>
      </c>
      <c r="J49"/>
      <c r="K49" s="79" t="str">
        <f>VLOOKUP(A49,Table1[[Unit Number]:[NO. OF BEDROOMS]],2,FALSE)</f>
        <v>2 BEDROOM</v>
      </c>
    </row>
    <row r="50" spans="1:11" x14ac:dyDescent="0.25">
      <c r="A50" s="121" t="s">
        <v>364</v>
      </c>
      <c r="B50" s="122">
        <v>45425</v>
      </c>
      <c r="C50" s="191">
        <v>110</v>
      </c>
      <c r="D50" s="191"/>
      <c r="E50" s="122">
        <v>0</v>
      </c>
      <c r="F50" s="122">
        <v>424723.75000000006</v>
      </c>
      <c r="G50" s="122">
        <v>5196750</v>
      </c>
      <c r="H50" s="122">
        <v>5691750</v>
      </c>
      <c r="I50" s="122">
        <v>6021750</v>
      </c>
      <c r="J50"/>
      <c r="K50" s="79" t="str">
        <f>VLOOKUP(A50,Table1[[Unit Number]:[NO. OF BEDROOMS]],2,FALSE)</f>
        <v>2 BEDROOM</v>
      </c>
    </row>
    <row r="51" spans="1:11" x14ac:dyDescent="0.25">
      <c r="A51" s="121" t="s">
        <v>369</v>
      </c>
      <c r="B51" s="122">
        <v>44125</v>
      </c>
      <c r="C51" s="191">
        <v>116</v>
      </c>
      <c r="D51" s="191">
        <v>62.601799999999997</v>
      </c>
      <c r="E51" s="122">
        <v>911560.46025</v>
      </c>
      <c r="F51" s="122">
        <v>512555.13912125002</v>
      </c>
      <c r="G51" s="122">
        <v>6230060.4602499995</v>
      </c>
      <c r="H51" s="122">
        <v>6752060.4602499995</v>
      </c>
      <c r="I51" s="122">
        <v>7100060.4602499995</v>
      </c>
      <c r="J51"/>
      <c r="K51" s="79" t="str">
        <f>VLOOKUP(A51,Table1[[Unit Number]:[NO. OF BEDROOMS]],2,FALSE)</f>
        <v>2 BEDROOM</v>
      </c>
    </row>
    <row r="52" spans="1:11" x14ac:dyDescent="0.25">
      <c r="A52" s="121" t="s">
        <v>370</v>
      </c>
      <c r="B52" s="122">
        <v>45350</v>
      </c>
      <c r="C52" s="191">
        <v>174</v>
      </c>
      <c r="D52" s="191"/>
      <c r="E52" s="122">
        <v>0</v>
      </c>
      <c r="F52" s="122">
        <v>670726.5</v>
      </c>
      <c r="G52" s="122">
        <v>8090900</v>
      </c>
      <c r="H52" s="122">
        <v>8873900</v>
      </c>
      <c r="I52" s="122">
        <v>9395900</v>
      </c>
      <c r="J52"/>
      <c r="K52" s="79" t="str">
        <f>VLOOKUP(A52,Table1[[Unit Number]:[NO. OF BEDROOMS]],2,FALSE)</f>
        <v>3 BEDROOM</v>
      </c>
    </row>
    <row r="53" spans="1:11" x14ac:dyDescent="0.25">
      <c r="A53" s="121" t="s">
        <v>371</v>
      </c>
      <c r="B53" s="122">
        <v>45425</v>
      </c>
      <c r="C53" s="191">
        <v>117</v>
      </c>
      <c r="D53" s="191"/>
      <c r="E53" s="122">
        <v>0</v>
      </c>
      <c r="F53" s="122">
        <v>451751.62500000006</v>
      </c>
      <c r="G53" s="122">
        <v>5514725</v>
      </c>
      <c r="H53" s="122">
        <v>6041225</v>
      </c>
      <c r="I53" s="122">
        <v>6392225</v>
      </c>
      <c r="J53"/>
      <c r="K53" s="79" t="str">
        <f>VLOOKUP(A53,Table1[[Unit Number]:[NO. OF BEDROOMS]],2,FALSE)</f>
        <v>2 BEDROOM</v>
      </c>
    </row>
    <row r="54" spans="1:11" x14ac:dyDescent="0.25">
      <c r="A54" s="121" t="s">
        <v>376</v>
      </c>
      <c r="B54" s="122">
        <v>44175</v>
      </c>
      <c r="C54" s="191">
        <v>176</v>
      </c>
      <c r="D54" s="191">
        <v>83.296199999999999</v>
      </c>
      <c r="E54" s="122">
        <v>1214271.17955</v>
      </c>
      <c r="F54" s="122">
        <v>764071.05026175</v>
      </c>
      <c r="G54" s="122">
        <v>9189071.1795499995</v>
      </c>
      <c r="H54" s="122">
        <v>9981071.1795499995</v>
      </c>
      <c r="I54" s="122">
        <v>10509071.17955</v>
      </c>
      <c r="J54"/>
      <c r="K54" s="79" t="str">
        <f>VLOOKUP(A54,Table1[[Unit Number]:[NO. OF BEDROOMS]],2,FALSE)</f>
        <v>3 BEDROOM</v>
      </c>
    </row>
    <row r="55" spans="1:11" x14ac:dyDescent="0.25">
      <c r="A55" s="121" t="s">
        <v>797</v>
      </c>
      <c r="B55" s="122">
        <v>45300</v>
      </c>
      <c r="C55" s="191">
        <v>170</v>
      </c>
      <c r="D55" s="191"/>
      <c r="E55" s="122">
        <v>0</v>
      </c>
      <c r="F55" s="122">
        <v>654585</v>
      </c>
      <c r="G55" s="122">
        <v>7901000</v>
      </c>
      <c r="H55" s="122">
        <v>8666000</v>
      </c>
      <c r="I55" s="122">
        <v>9176000</v>
      </c>
      <c r="J55"/>
      <c r="K55" s="79" t="str">
        <f>VLOOKUP(A55,Table1[[Unit Number]:[NO. OF BEDROOMS]],2,FALSE)</f>
        <v>3 BEDROOM</v>
      </c>
    </row>
    <row r="56" spans="1:11" x14ac:dyDescent="0.25">
      <c r="A56" s="121" t="s">
        <v>800</v>
      </c>
      <c r="B56" s="122">
        <v>45300</v>
      </c>
      <c r="C56" s="191">
        <v>170</v>
      </c>
      <c r="D56" s="191"/>
      <c r="E56" s="122">
        <v>0</v>
      </c>
      <c r="F56" s="122">
        <v>654585</v>
      </c>
      <c r="G56" s="122">
        <v>7901000</v>
      </c>
      <c r="H56" s="122">
        <v>8666000</v>
      </c>
      <c r="I56" s="122">
        <v>9176000</v>
      </c>
      <c r="J56"/>
      <c r="K56" s="79" t="str">
        <f>VLOOKUP(A56,Table1[[Unit Number]:[NO. OF BEDROOMS]],2,FALSE)</f>
        <v>3 BEDROOM</v>
      </c>
    </row>
    <row r="57" spans="1:11" x14ac:dyDescent="0.25">
      <c r="A57" s="121" t="s">
        <v>378</v>
      </c>
      <c r="B57" s="122">
        <v>44225</v>
      </c>
      <c r="C57" s="191">
        <v>117</v>
      </c>
      <c r="D57" s="191"/>
      <c r="E57" s="122">
        <v>0</v>
      </c>
      <c r="F57" s="122">
        <v>439817.62500000006</v>
      </c>
      <c r="G57" s="122">
        <v>5374325</v>
      </c>
      <c r="H57" s="122">
        <v>5900825</v>
      </c>
      <c r="I57" s="122">
        <v>6251825</v>
      </c>
      <c r="J57"/>
      <c r="K57" s="79" t="str">
        <f>VLOOKUP(A57,Table1[[Unit Number]:[NO. OF BEDROOMS]],2,FALSE)</f>
        <v>2 BEDROOM</v>
      </c>
    </row>
    <row r="58" spans="1:11" x14ac:dyDescent="0.25">
      <c r="A58" s="121" t="s">
        <v>810</v>
      </c>
      <c r="B58" s="122">
        <v>46200</v>
      </c>
      <c r="C58" s="191">
        <v>204</v>
      </c>
      <c r="D58" s="191"/>
      <c r="E58" s="122">
        <v>0</v>
      </c>
      <c r="F58" s="122">
        <v>801108</v>
      </c>
      <c r="G58" s="122">
        <v>9624800</v>
      </c>
      <c r="H58" s="122">
        <v>10542800</v>
      </c>
      <c r="I58" s="122">
        <v>11154800</v>
      </c>
      <c r="J58"/>
      <c r="K58" s="79" t="str">
        <f>VLOOKUP(A58,Table1[[Unit Number]:[NO. OF BEDROOMS]],2,FALSE)</f>
        <v>3 BEDROOM</v>
      </c>
    </row>
    <row r="59" spans="1:11" x14ac:dyDescent="0.25">
      <c r="A59" s="121" t="s">
        <v>382</v>
      </c>
      <c r="B59" s="122">
        <v>44275</v>
      </c>
      <c r="C59" s="191">
        <v>173</v>
      </c>
      <c r="D59" s="191"/>
      <c r="E59" s="122">
        <v>0</v>
      </c>
      <c r="F59" s="122">
        <v>651063.875</v>
      </c>
      <c r="G59" s="122">
        <v>7859575</v>
      </c>
      <c r="H59" s="122">
        <v>8638075</v>
      </c>
      <c r="I59" s="122">
        <v>9157075</v>
      </c>
      <c r="J59"/>
      <c r="K59" s="79" t="str">
        <f>VLOOKUP(A59,Table1[[Unit Number]:[NO. OF BEDROOMS]],2,FALSE)</f>
        <v>3 BEDROOM</v>
      </c>
    </row>
    <row r="60" spans="1:11" x14ac:dyDescent="0.25">
      <c r="A60" s="121" t="s">
        <v>383</v>
      </c>
      <c r="B60" s="122">
        <v>45412.5</v>
      </c>
      <c r="C60" s="191">
        <v>170</v>
      </c>
      <c r="D60" s="191"/>
      <c r="E60" s="122">
        <v>0</v>
      </c>
      <c r="F60" s="122">
        <v>656210.625</v>
      </c>
      <c r="G60" s="122">
        <v>7920125</v>
      </c>
      <c r="H60" s="122">
        <v>8685125</v>
      </c>
      <c r="I60" s="122">
        <v>9195125</v>
      </c>
      <c r="J60"/>
      <c r="K60" s="79" t="str">
        <f>VLOOKUP(A60,Table1[[Unit Number]:[NO. OF BEDROOMS]],2,FALSE)</f>
        <v>3 BEDROOM</v>
      </c>
    </row>
    <row r="61" spans="1:11" x14ac:dyDescent="0.25">
      <c r="A61" s="121" t="s">
        <v>821</v>
      </c>
      <c r="B61" s="122">
        <v>46225</v>
      </c>
      <c r="C61" s="191">
        <v>224</v>
      </c>
      <c r="D61" s="191"/>
      <c r="E61" s="122">
        <v>0</v>
      </c>
      <c r="F61" s="122">
        <v>880124.00000000012</v>
      </c>
      <c r="G61" s="122">
        <v>10554400</v>
      </c>
      <c r="H61" s="122">
        <v>11562400</v>
      </c>
      <c r="I61" s="122">
        <v>12234400</v>
      </c>
      <c r="J61"/>
      <c r="K61" s="79" t="str">
        <f>VLOOKUP(A61,Table1[[Unit Number]:[NO. OF BEDROOMS]],2,FALSE)</f>
        <v>3 BEDROOM + LIVING</v>
      </c>
    </row>
    <row r="62" spans="1:11" x14ac:dyDescent="0.25">
      <c r="A62" s="121" t="s">
        <v>827</v>
      </c>
      <c r="B62" s="122">
        <v>45025</v>
      </c>
      <c r="C62" s="191">
        <v>176</v>
      </c>
      <c r="D62" s="191"/>
      <c r="E62" s="122">
        <v>0</v>
      </c>
      <c r="F62" s="122">
        <v>673574</v>
      </c>
      <c r="G62" s="122">
        <v>8124400</v>
      </c>
      <c r="H62" s="122">
        <v>8916400</v>
      </c>
      <c r="I62" s="122">
        <v>9444400</v>
      </c>
      <c r="J62"/>
      <c r="K62" s="79" t="str">
        <f>VLOOKUP(A62,Table1[[Unit Number]:[NO. OF BEDROOMS]],2,FALSE)</f>
        <v>3 BEDROOM</v>
      </c>
    </row>
    <row r="63" spans="1:11" x14ac:dyDescent="0.25">
      <c r="A63" s="121" t="s">
        <v>829</v>
      </c>
      <c r="B63" s="122">
        <v>46175</v>
      </c>
      <c r="C63" s="191">
        <v>222</v>
      </c>
      <c r="D63" s="191"/>
      <c r="E63" s="122">
        <v>0</v>
      </c>
      <c r="F63" s="122">
        <v>871322.25000000012</v>
      </c>
      <c r="G63" s="122">
        <v>10450850</v>
      </c>
      <c r="H63" s="122">
        <v>11449850</v>
      </c>
      <c r="I63" s="122">
        <v>12115850</v>
      </c>
      <c r="J63"/>
      <c r="K63" s="79" t="str">
        <f>VLOOKUP(A63,Table1[[Unit Number]:[NO. OF BEDROOMS]],2,FALSE)</f>
        <v>3 BEDROOM + LIVING</v>
      </c>
    </row>
    <row r="64" spans="1:11" x14ac:dyDescent="0.25">
      <c r="A64" s="121" t="s">
        <v>830</v>
      </c>
      <c r="B64" s="122">
        <v>45925</v>
      </c>
      <c r="C64" s="191">
        <v>344</v>
      </c>
      <c r="D64" s="191">
        <v>97.868200000000002</v>
      </c>
      <c r="E64" s="122">
        <v>1483217.0380500001</v>
      </c>
      <c r="F64" s="122">
        <v>1468920.4482342501</v>
      </c>
      <c r="G64" s="122">
        <v>17481417.03805</v>
      </c>
      <c r="H64" s="122">
        <v>19029417.03805</v>
      </c>
      <c r="I64" s="122">
        <v>20061417.03805</v>
      </c>
      <c r="J64"/>
      <c r="K64" s="79" t="str">
        <f>VLOOKUP(A64,Table1[[Unit Number]:[NO. OF BEDROOMS]],2,FALSE)</f>
        <v>3 BEDROOM + LIVING (DUPLEX)</v>
      </c>
    </row>
    <row r="65" spans="1:11" x14ac:dyDescent="0.25">
      <c r="A65" s="121" t="s">
        <v>411</v>
      </c>
      <c r="B65" s="122">
        <v>44100</v>
      </c>
      <c r="C65" s="191">
        <v>170</v>
      </c>
      <c r="D65" s="191"/>
      <c r="E65" s="122">
        <v>0</v>
      </c>
      <c r="F65" s="122">
        <v>637245</v>
      </c>
      <c r="G65" s="122">
        <v>7697000</v>
      </c>
      <c r="H65" s="122">
        <v>8462000</v>
      </c>
      <c r="I65" s="122">
        <v>8972000</v>
      </c>
      <c r="J65"/>
      <c r="K65" s="79" t="str">
        <f>VLOOKUP(A65,Table1[[Unit Number]:[NO. OF BEDROOMS]],2,FALSE)</f>
        <v>3 BEDROOM</v>
      </c>
    </row>
    <row r="66" spans="1:11" x14ac:dyDescent="0.25">
      <c r="A66" s="121" t="s">
        <v>849</v>
      </c>
      <c r="B66" s="122">
        <v>45025</v>
      </c>
      <c r="C66" s="191">
        <v>176</v>
      </c>
      <c r="D66" s="191"/>
      <c r="E66" s="122">
        <v>0</v>
      </c>
      <c r="F66" s="122">
        <v>673574</v>
      </c>
      <c r="G66" s="122">
        <v>8124400</v>
      </c>
      <c r="H66" s="122">
        <v>8916400</v>
      </c>
      <c r="I66" s="122">
        <v>9444400</v>
      </c>
      <c r="J66"/>
      <c r="K66" s="79" t="str">
        <f>VLOOKUP(A66,Table1[[Unit Number]:[NO. OF BEDROOMS]],2,FALSE)</f>
        <v>3 BEDROOM</v>
      </c>
    </row>
    <row r="67" spans="1:11" x14ac:dyDescent="0.25">
      <c r="A67" s="121" t="s">
        <v>417</v>
      </c>
      <c r="B67" s="122">
        <v>44225</v>
      </c>
      <c r="C67" s="191">
        <v>173</v>
      </c>
      <c r="D67" s="191"/>
      <c r="E67" s="122">
        <v>0</v>
      </c>
      <c r="F67" s="122">
        <v>650328.625</v>
      </c>
      <c r="G67" s="122">
        <v>7850925</v>
      </c>
      <c r="H67" s="122">
        <v>8629425</v>
      </c>
      <c r="I67" s="122">
        <v>9148425</v>
      </c>
      <c r="J67"/>
      <c r="K67" s="79" t="str">
        <f>VLOOKUP(A67,Table1[[Unit Number]:[NO. OF BEDROOMS]],2,FALSE)</f>
        <v>3 BEDROOM</v>
      </c>
    </row>
    <row r="68" spans="1:11" x14ac:dyDescent="0.25">
      <c r="A68" s="121" t="s">
        <v>857</v>
      </c>
      <c r="B68" s="122">
        <v>46225</v>
      </c>
      <c r="C68" s="191">
        <v>160</v>
      </c>
      <c r="D68" s="191"/>
      <c r="E68" s="122">
        <v>0</v>
      </c>
      <c r="F68" s="122">
        <v>628660</v>
      </c>
      <c r="G68" s="122">
        <v>7596000</v>
      </c>
      <c r="H68" s="122">
        <v>8316000</v>
      </c>
      <c r="I68" s="122">
        <v>8796000</v>
      </c>
      <c r="J68"/>
      <c r="K68" s="79" t="str">
        <f>VLOOKUP(A68,Table1[[Unit Number]:[NO. OF BEDROOMS]],2,FALSE)</f>
        <v>3 BEDROOM</v>
      </c>
    </row>
    <row r="69" spans="1:11" x14ac:dyDescent="0.25">
      <c r="A69" s="121" t="s">
        <v>859</v>
      </c>
      <c r="B69" s="122">
        <v>45025</v>
      </c>
      <c r="C69" s="191">
        <v>161</v>
      </c>
      <c r="D69" s="191"/>
      <c r="E69" s="122">
        <v>0</v>
      </c>
      <c r="F69" s="122">
        <v>616167.125</v>
      </c>
      <c r="G69" s="122">
        <v>7449025</v>
      </c>
      <c r="H69" s="122">
        <v>8173525</v>
      </c>
      <c r="I69" s="122">
        <v>8656525</v>
      </c>
      <c r="J69"/>
      <c r="K69" s="79" t="str">
        <f>VLOOKUP(A69,Table1[[Unit Number]:[NO. OF BEDROOMS]],2,FALSE)</f>
        <v>3 BEDROOM</v>
      </c>
    </row>
    <row r="70" spans="1:11" x14ac:dyDescent="0.25">
      <c r="A70" s="121" t="s">
        <v>876</v>
      </c>
      <c r="B70" s="122">
        <v>45025</v>
      </c>
      <c r="C70" s="191">
        <v>161</v>
      </c>
      <c r="D70" s="191"/>
      <c r="E70" s="122">
        <v>0</v>
      </c>
      <c r="F70" s="122">
        <v>616167.125</v>
      </c>
      <c r="G70" s="122">
        <v>7449025</v>
      </c>
      <c r="H70" s="122">
        <v>8173525</v>
      </c>
      <c r="I70" s="122">
        <v>8656525</v>
      </c>
      <c r="J70"/>
      <c r="K70" s="79" t="str">
        <f>VLOOKUP(A70,Table1[[Unit Number]:[NO. OF BEDROOMS]],2,FALSE)</f>
        <v>3 BEDROOM</v>
      </c>
    </row>
    <row r="71" spans="1:11" x14ac:dyDescent="0.25">
      <c r="A71" s="121" t="s">
        <v>888</v>
      </c>
      <c r="B71" s="122">
        <v>45025</v>
      </c>
      <c r="C71" s="191">
        <v>176</v>
      </c>
      <c r="D71" s="191"/>
      <c r="E71" s="122">
        <v>0</v>
      </c>
      <c r="F71" s="122">
        <v>673574</v>
      </c>
      <c r="G71" s="122">
        <v>8124400</v>
      </c>
      <c r="H71" s="122">
        <v>8916400</v>
      </c>
      <c r="I71" s="122">
        <v>9444400</v>
      </c>
      <c r="J71"/>
      <c r="K71" s="79" t="str">
        <f>VLOOKUP(A71,Table1[[Unit Number]:[NO. OF BEDROOMS]],2,FALSE)</f>
        <v>3 BEDROOM</v>
      </c>
    </row>
    <row r="72" spans="1:11" x14ac:dyDescent="0.25">
      <c r="A72" s="121" t="s">
        <v>890</v>
      </c>
      <c r="B72" s="122">
        <v>45025</v>
      </c>
      <c r="C72" s="191">
        <v>176</v>
      </c>
      <c r="D72" s="191">
        <v>80.513400000000004</v>
      </c>
      <c r="E72" s="122">
        <v>1196288.2255500001</v>
      </c>
      <c r="F72" s="122">
        <v>775258.49917175004</v>
      </c>
      <c r="G72" s="122">
        <v>9320688.2255499996</v>
      </c>
      <c r="H72" s="122">
        <v>10112688.22555</v>
      </c>
      <c r="I72" s="122">
        <v>10640688.22555</v>
      </c>
      <c r="J72"/>
      <c r="K72" s="79" t="str">
        <f>VLOOKUP(A72,Table1[[Unit Number]:[NO. OF BEDROOMS]],2,FALSE)</f>
        <v>3 BEDROOM</v>
      </c>
    </row>
    <row r="73" spans="1:11" x14ac:dyDescent="0.25">
      <c r="A73" s="121" t="s">
        <v>893</v>
      </c>
      <c r="B73" s="122">
        <v>45125</v>
      </c>
      <c r="C73" s="191">
        <v>173</v>
      </c>
      <c r="D73" s="191"/>
      <c r="E73" s="122">
        <v>0</v>
      </c>
      <c r="F73" s="122">
        <v>663563.125</v>
      </c>
      <c r="G73" s="122">
        <v>8006625</v>
      </c>
      <c r="H73" s="122">
        <v>8785125</v>
      </c>
      <c r="I73" s="122">
        <v>9304125</v>
      </c>
      <c r="J73"/>
      <c r="K73" s="79" t="str">
        <f>VLOOKUP(A73,Table1[[Unit Number]:[NO. OF BEDROOMS]],2,FALSE)</f>
        <v>3 BEDROOM</v>
      </c>
    </row>
    <row r="74" spans="1:11" x14ac:dyDescent="0.25">
      <c r="A74" s="121" t="s">
        <v>895</v>
      </c>
      <c r="B74" s="122">
        <v>45075</v>
      </c>
      <c r="C74" s="191">
        <v>117</v>
      </c>
      <c r="D74" s="191"/>
      <c r="E74" s="122">
        <v>0</v>
      </c>
      <c r="F74" s="122">
        <v>448270.87500000006</v>
      </c>
      <c r="G74" s="122">
        <v>5473775</v>
      </c>
      <c r="H74" s="122">
        <v>6000275</v>
      </c>
      <c r="I74" s="122">
        <v>6351275</v>
      </c>
      <c r="J74"/>
      <c r="K74" s="79" t="str">
        <f>VLOOKUP(A74,Table1[[Unit Number]:[NO. OF BEDROOMS]],2,FALSE)</f>
        <v>2 BEDROOM</v>
      </c>
    </row>
    <row r="75" spans="1:11" x14ac:dyDescent="0.25">
      <c r="A75" s="121" t="s">
        <v>896</v>
      </c>
      <c r="B75" s="122">
        <v>45325</v>
      </c>
      <c r="C75" s="191">
        <v>176</v>
      </c>
      <c r="D75" s="191"/>
      <c r="E75" s="122">
        <v>0</v>
      </c>
      <c r="F75" s="122">
        <v>678062</v>
      </c>
      <c r="G75" s="122">
        <v>8177200</v>
      </c>
      <c r="H75" s="122">
        <v>8969200</v>
      </c>
      <c r="I75" s="122">
        <v>9497200</v>
      </c>
      <c r="J75"/>
      <c r="K75" s="79" t="str">
        <f>VLOOKUP(A75,Table1[[Unit Number]:[NO. OF BEDROOMS]],2,FALSE)</f>
        <v>3 BEDROOM</v>
      </c>
    </row>
    <row r="76" spans="1:11" x14ac:dyDescent="0.25">
      <c r="A76" s="121" t="s">
        <v>899</v>
      </c>
      <c r="B76" s="122">
        <v>45200</v>
      </c>
      <c r="C76" s="191">
        <v>172</v>
      </c>
      <c r="D76" s="191"/>
      <c r="E76" s="122">
        <v>0</v>
      </c>
      <c r="F76" s="122">
        <v>660824</v>
      </c>
      <c r="G76" s="122">
        <v>7974400</v>
      </c>
      <c r="H76" s="122">
        <v>8748400</v>
      </c>
      <c r="I76" s="122">
        <v>9264400</v>
      </c>
      <c r="J76"/>
      <c r="K76" s="79" t="str">
        <f>VLOOKUP(A76,Table1[[Unit Number]:[NO. OF BEDROOMS]],2,FALSE)</f>
        <v>3 BEDROOM</v>
      </c>
    </row>
    <row r="77" spans="1:11" x14ac:dyDescent="0.25">
      <c r="A77" s="121" t="s">
        <v>467</v>
      </c>
      <c r="B77" s="122">
        <v>45400</v>
      </c>
      <c r="C77" s="191">
        <v>172</v>
      </c>
      <c r="D77" s="191"/>
      <c r="E77" s="122">
        <v>0</v>
      </c>
      <c r="F77" s="122">
        <v>663748</v>
      </c>
      <c r="G77" s="122">
        <v>8008800</v>
      </c>
      <c r="H77" s="122">
        <v>8782800</v>
      </c>
      <c r="I77" s="122">
        <v>9298800</v>
      </c>
      <c r="J77"/>
      <c r="K77" s="79" t="str">
        <f>VLOOKUP(A77,Table1[[Unit Number]:[NO. OF BEDROOMS]],2,FALSE)</f>
        <v>3 BEDROOM</v>
      </c>
    </row>
    <row r="78" spans="1:11" x14ac:dyDescent="0.25">
      <c r="A78" s="121" t="s">
        <v>902</v>
      </c>
      <c r="B78" s="122">
        <v>45075</v>
      </c>
      <c r="C78" s="191">
        <v>173</v>
      </c>
      <c r="D78" s="191"/>
      <c r="E78" s="122">
        <v>0</v>
      </c>
      <c r="F78" s="122">
        <v>662827.875</v>
      </c>
      <c r="G78" s="122">
        <v>7997975</v>
      </c>
      <c r="H78" s="122">
        <v>8776475</v>
      </c>
      <c r="I78" s="122">
        <v>9295475</v>
      </c>
      <c r="J78"/>
      <c r="K78" s="79" t="str">
        <f>VLOOKUP(A78,Table1[[Unit Number]:[NO. OF BEDROOMS]],2,FALSE)</f>
        <v>3 BEDROOM</v>
      </c>
    </row>
    <row r="79" spans="1:11" x14ac:dyDescent="0.25">
      <c r="A79" s="121" t="s">
        <v>470</v>
      </c>
      <c r="B79" s="122">
        <v>44175</v>
      </c>
      <c r="C79" s="191">
        <v>176</v>
      </c>
      <c r="D79" s="191">
        <v>82.528400000000005</v>
      </c>
      <c r="E79" s="122">
        <v>1203078.3831</v>
      </c>
      <c r="F79" s="122">
        <v>763119.66256349999</v>
      </c>
      <c r="G79" s="122">
        <v>9177878.3830999993</v>
      </c>
      <c r="H79" s="122">
        <v>9969878.3830999993</v>
      </c>
      <c r="I79" s="122">
        <v>10497878.383099999</v>
      </c>
      <c r="J79"/>
      <c r="K79" s="79" t="str">
        <f>VLOOKUP(A79,Table1[[Unit Number]:[NO. OF BEDROOMS]],2,FALSE)</f>
        <v>3 BEDROOM</v>
      </c>
    </row>
    <row r="80" spans="1:11" x14ac:dyDescent="0.25">
      <c r="A80" s="121" t="s">
        <v>471</v>
      </c>
      <c r="B80" s="122">
        <v>44125</v>
      </c>
      <c r="C80" s="191">
        <v>116</v>
      </c>
      <c r="D80" s="191">
        <v>62.468000000000004</v>
      </c>
      <c r="E80" s="122">
        <v>909612.16500000004</v>
      </c>
      <c r="F80" s="122">
        <v>512389.53402500006</v>
      </c>
      <c r="G80" s="122">
        <v>6228112.165</v>
      </c>
      <c r="H80" s="122">
        <v>6750112.165</v>
      </c>
      <c r="I80" s="122">
        <v>7098112.165</v>
      </c>
      <c r="J80"/>
      <c r="K80" s="79" t="str">
        <f>VLOOKUP(A80,Table1[[Unit Number]:[NO. OF BEDROOMS]],2,FALSE)</f>
        <v>3 BEDROOM</v>
      </c>
    </row>
    <row r="81" spans="1:11" x14ac:dyDescent="0.25">
      <c r="A81" s="121" t="s">
        <v>472</v>
      </c>
      <c r="B81" s="122">
        <v>44275</v>
      </c>
      <c r="C81" s="191">
        <v>173</v>
      </c>
      <c r="D81" s="191"/>
      <c r="E81" s="122">
        <v>0</v>
      </c>
      <c r="F81" s="122">
        <v>651063.875</v>
      </c>
      <c r="G81" s="122">
        <v>7859575</v>
      </c>
      <c r="H81" s="122">
        <v>8638075</v>
      </c>
      <c r="I81" s="122">
        <v>9157075</v>
      </c>
      <c r="J81"/>
      <c r="K81" s="79" t="str">
        <f>VLOOKUP(A81,Table1[[Unit Number]:[NO. OF BEDROOMS]],2,FALSE)</f>
        <v>3 BEDROOM</v>
      </c>
    </row>
    <row r="82" spans="1:11" x14ac:dyDescent="0.25">
      <c r="A82" s="121" t="s">
        <v>473</v>
      </c>
      <c r="B82" s="122">
        <v>44225</v>
      </c>
      <c r="C82" s="191">
        <v>117</v>
      </c>
      <c r="D82" s="191"/>
      <c r="E82" s="122">
        <v>0</v>
      </c>
      <c r="F82" s="122">
        <v>439817.62500000006</v>
      </c>
      <c r="G82" s="122">
        <v>5374325</v>
      </c>
      <c r="H82" s="122">
        <v>5900825</v>
      </c>
      <c r="I82" s="122">
        <v>6251825</v>
      </c>
      <c r="J82"/>
      <c r="K82" s="79" t="str">
        <f>VLOOKUP(A82,Table1[[Unit Number]:[NO. OF BEDROOMS]],2,FALSE)</f>
        <v>2 BEDROOM</v>
      </c>
    </row>
    <row r="83" spans="1:11" x14ac:dyDescent="0.25">
      <c r="A83" s="121" t="s">
        <v>478</v>
      </c>
      <c r="B83" s="122">
        <v>44225</v>
      </c>
      <c r="C83" s="191">
        <v>173</v>
      </c>
      <c r="D83" s="191"/>
      <c r="E83" s="122">
        <v>0</v>
      </c>
      <c r="F83" s="122">
        <v>650328.625</v>
      </c>
      <c r="G83" s="122">
        <v>7850925</v>
      </c>
      <c r="H83" s="122">
        <v>8629425</v>
      </c>
      <c r="I83" s="122">
        <v>9148425</v>
      </c>
      <c r="J83"/>
      <c r="K83" s="79" t="str">
        <f>VLOOKUP(A83,Table1[[Unit Number]:[NO. OF BEDROOMS]],2,FALSE)</f>
        <v>3 BEDROOM</v>
      </c>
    </row>
    <row r="84" spans="1:11" x14ac:dyDescent="0.25">
      <c r="A84" s="121" t="s">
        <v>479</v>
      </c>
      <c r="B84" s="122">
        <v>44100</v>
      </c>
      <c r="C84" s="191">
        <v>170</v>
      </c>
      <c r="D84" s="191"/>
      <c r="E84" s="122">
        <v>0</v>
      </c>
      <c r="F84" s="122">
        <v>637245</v>
      </c>
      <c r="G84" s="122">
        <v>7697000</v>
      </c>
      <c r="H84" s="122">
        <v>8462000</v>
      </c>
      <c r="I84" s="122">
        <v>8972000</v>
      </c>
      <c r="J84"/>
      <c r="K84" s="79" t="str">
        <f>VLOOKUP(A84,Table1[[Unit Number]:[NO. OF BEDROOMS]],2,FALSE)</f>
        <v>3 BEDROOM</v>
      </c>
    </row>
    <row r="85" spans="1:11" x14ac:dyDescent="0.25">
      <c r="A85" s="121" t="s">
        <v>480</v>
      </c>
      <c r="B85" s="122">
        <v>44275</v>
      </c>
      <c r="C85" s="191">
        <v>106</v>
      </c>
      <c r="D85" s="191">
        <v>66.0976</v>
      </c>
      <c r="E85" s="122">
        <v>965735.50919999997</v>
      </c>
      <c r="F85" s="122">
        <v>481005.26828200003</v>
      </c>
      <c r="G85" s="122">
        <v>5858885.5092000002</v>
      </c>
      <c r="H85" s="122">
        <v>6335885.5092000002</v>
      </c>
      <c r="I85" s="122">
        <v>6653885.5092000002</v>
      </c>
      <c r="J85"/>
      <c r="K85" s="79" t="str">
        <f>VLOOKUP(A85,Table1[[Unit Number]:[NO. OF BEDROOMS]],2,FALSE)</f>
        <v>2 BEDROOM</v>
      </c>
    </row>
    <row r="86" spans="1:11" x14ac:dyDescent="0.25">
      <c r="A86" s="121" t="s">
        <v>490</v>
      </c>
      <c r="B86" s="122">
        <v>44200</v>
      </c>
      <c r="C86" s="191">
        <v>160</v>
      </c>
      <c r="D86" s="191">
        <v>81.224599999999995</v>
      </c>
      <c r="E86" s="122">
        <v>1184742.0156</v>
      </c>
      <c r="F86" s="122">
        <v>701823.07132600003</v>
      </c>
      <c r="G86" s="122">
        <v>8456742.0155999996</v>
      </c>
      <c r="H86" s="122">
        <v>9176742.0155999996</v>
      </c>
      <c r="I86" s="122">
        <v>9656742.0155999996</v>
      </c>
      <c r="J86"/>
      <c r="K86" s="79" t="str">
        <f>VLOOKUP(A86,Table1[[Unit Number]:[NO. OF BEDROOMS]],2,FALSE)</f>
        <v>3 BEDROOM</v>
      </c>
    </row>
    <row r="87" spans="1:11" x14ac:dyDescent="0.25">
      <c r="A87" s="121" t="s">
        <v>491</v>
      </c>
      <c r="B87" s="122">
        <v>44275</v>
      </c>
      <c r="C87" s="191">
        <v>106</v>
      </c>
      <c r="D87" s="191">
        <v>66.334900000000005</v>
      </c>
      <c r="E87" s="122">
        <v>969202.64017500007</v>
      </c>
      <c r="F87" s="122">
        <v>481299.97441487503</v>
      </c>
      <c r="G87" s="122">
        <v>5862352.6401749998</v>
      </c>
      <c r="H87" s="122">
        <v>6339352.6401749998</v>
      </c>
      <c r="I87" s="122">
        <v>6657352.6401749998</v>
      </c>
      <c r="J87"/>
      <c r="K87" s="79" t="str">
        <f>VLOOKUP(A87,Table1[[Unit Number]:[NO. OF BEDROOMS]],2,FALSE)</f>
        <v>2 BEDROOM</v>
      </c>
    </row>
    <row r="88" spans="1:11" x14ac:dyDescent="0.25">
      <c r="A88" s="121" t="s">
        <v>498</v>
      </c>
      <c r="B88" s="122">
        <v>44300</v>
      </c>
      <c r="C88" s="191">
        <v>158</v>
      </c>
      <c r="D88" s="191"/>
      <c r="E88" s="122">
        <v>0</v>
      </c>
      <c r="F88" s="122">
        <v>594949</v>
      </c>
      <c r="G88" s="122">
        <v>7199400</v>
      </c>
      <c r="H88" s="122">
        <v>7910400</v>
      </c>
      <c r="I88" s="122">
        <v>8384400</v>
      </c>
      <c r="J88"/>
      <c r="K88" s="79" t="str">
        <f>VLOOKUP(A88,Table1[[Unit Number]:[NO. OF BEDROOMS]],2,FALSE)</f>
        <v>3 BEDROOM</v>
      </c>
    </row>
    <row r="89" spans="1:11" x14ac:dyDescent="0.25">
      <c r="A89" s="121" t="s">
        <v>499</v>
      </c>
      <c r="B89" s="122">
        <v>44300</v>
      </c>
      <c r="C89" s="191">
        <v>153</v>
      </c>
      <c r="D89" s="191"/>
      <c r="E89" s="122">
        <v>0</v>
      </c>
      <c r="F89" s="122">
        <v>576121.5</v>
      </c>
      <c r="G89" s="122">
        <v>6977900</v>
      </c>
      <c r="H89" s="122">
        <v>7666400</v>
      </c>
      <c r="I89" s="122">
        <v>8125400</v>
      </c>
      <c r="J89"/>
      <c r="K89" s="79" t="str">
        <f>VLOOKUP(A89,Table1[[Unit Number]:[NO. OF BEDROOMS]],2,FALSE)</f>
        <v>3 BEDROOM</v>
      </c>
    </row>
    <row r="90" spans="1:11" x14ac:dyDescent="0.25">
      <c r="A90" s="121" t="s">
        <v>934</v>
      </c>
      <c r="B90" s="122">
        <v>46225</v>
      </c>
      <c r="C90" s="191">
        <v>158</v>
      </c>
      <c r="D90" s="191">
        <v>84.036199999999994</v>
      </c>
      <c r="E90" s="122">
        <v>1281909.2038499999</v>
      </c>
      <c r="F90" s="122">
        <v>729764.03232725</v>
      </c>
      <c r="G90" s="122">
        <v>8785459.2038499992</v>
      </c>
      <c r="H90" s="122">
        <v>9496459.2038499992</v>
      </c>
      <c r="I90" s="122">
        <v>9970459.2038499992</v>
      </c>
      <c r="J90"/>
      <c r="K90" s="79" t="str">
        <f>VLOOKUP(A90,Table1[[Unit Number]:[NO. OF BEDROOMS]],2,FALSE)</f>
        <v>3 BEDROOM</v>
      </c>
    </row>
    <row r="91" spans="1:11" x14ac:dyDescent="0.25">
      <c r="A91" s="121" t="s">
        <v>501</v>
      </c>
      <c r="B91" s="122">
        <v>44275</v>
      </c>
      <c r="C91" s="191">
        <v>106</v>
      </c>
      <c r="D91" s="191">
        <v>67.096199999999996</v>
      </c>
      <c r="E91" s="122">
        <v>980325.80414999998</v>
      </c>
      <c r="F91" s="122">
        <v>482245.44335275004</v>
      </c>
      <c r="G91" s="122">
        <v>5873475.8041500002</v>
      </c>
      <c r="H91" s="122">
        <v>6350475.8041500002</v>
      </c>
      <c r="I91" s="122">
        <v>6668475.8041500002</v>
      </c>
      <c r="J91"/>
      <c r="K91" s="79" t="str">
        <f>VLOOKUP(A91,Table1[[Unit Number]:[NO. OF BEDROOMS]],2,FALSE)</f>
        <v>2 BEDROOM</v>
      </c>
    </row>
    <row r="92" spans="1:11" x14ac:dyDescent="0.25">
      <c r="A92" s="121" t="s">
        <v>942</v>
      </c>
      <c r="B92" s="122">
        <v>46225</v>
      </c>
      <c r="C92" s="191">
        <v>160</v>
      </c>
      <c r="D92" s="191"/>
      <c r="E92" s="122">
        <v>0</v>
      </c>
      <c r="F92" s="122">
        <v>628660</v>
      </c>
      <c r="G92" s="122">
        <v>7596000</v>
      </c>
      <c r="H92" s="122">
        <v>8316000</v>
      </c>
      <c r="I92" s="122">
        <v>8796000</v>
      </c>
      <c r="J92"/>
      <c r="K92" s="79" t="str">
        <f>VLOOKUP(A92,Table1[[Unit Number]:[NO. OF BEDROOMS]],2,FALSE)</f>
        <v>3 BEDROOM</v>
      </c>
    </row>
    <row r="93" spans="1:11" x14ac:dyDescent="0.25">
      <c r="A93" s="121" t="s">
        <v>509</v>
      </c>
      <c r="B93" s="122">
        <v>44300</v>
      </c>
      <c r="C93" s="191">
        <v>153</v>
      </c>
      <c r="D93" s="191"/>
      <c r="E93" s="122">
        <v>0</v>
      </c>
      <c r="F93" s="122">
        <v>576121.5</v>
      </c>
      <c r="G93" s="122">
        <v>6977900</v>
      </c>
      <c r="H93" s="122">
        <v>7666400</v>
      </c>
      <c r="I93" s="122">
        <v>8125400</v>
      </c>
      <c r="J93"/>
      <c r="K93" s="79" t="str">
        <f>VLOOKUP(A93,Table1[[Unit Number]:[NO. OF BEDROOMS]],2,FALSE)</f>
        <v>3 BEDROOM</v>
      </c>
    </row>
    <row r="94" spans="1:11" x14ac:dyDescent="0.25">
      <c r="A94" s="121" t="s">
        <v>510</v>
      </c>
      <c r="B94" s="122">
        <v>44275</v>
      </c>
      <c r="C94" s="191">
        <v>116</v>
      </c>
      <c r="D94" s="191">
        <v>63.664700000000003</v>
      </c>
      <c r="E94" s="122">
        <v>930189.01552500005</v>
      </c>
      <c r="F94" s="122">
        <v>515617.56631962507</v>
      </c>
      <c r="G94" s="122">
        <v>6266089.0155250002</v>
      </c>
      <c r="H94" s="122">
        <v>6788089.0155250002</v>
      </c>
      <c r="I94" s="122">
        <v>7136089.0155250002</v>
      </c>
      <c r="J94"/>
      <c r="K94" s="79" t="str">
        <f>VLOOKUP(A94,Table1[[Unit Number]:[NO. OF BEDROOMS]],2,FALSE)</f>
        <v>2 BEDROOM</v>
      </c>
    </row>
    <row r="95" spans="1:11" x14ac:dyDescent="0.25">
      <c r="A95" s="121" t="s">
        <v>518</v>
      </c>
      <c r="B95" s="122">
        <v>44250</v>
      </c>
      <c r="C95" s="191">
        <v>170</v>
      </c>
      <c r="D95" s="191"/>
      <c r="E95" s="122">
        <v>0</v>
      </c>
      <c r="F95" s="122">
        <v>639412.5</v>
      </c>
      <c r="G95" s="122">
        <v>7722500</v>
      </c>
      <c r="H95" s="122">
        <v>8487500</v>
      </c>
      <c r="I95" s="122">
        <v>8997500</v>
      </c>
      <c r="J95"/>
      <c r="K95" s="79" t="str">
        <f>VLOOKUP(A95,Table1[[Unit Number]:[NO. OF BEDROOMS]],2,FALSE)</f>
        <v>3 BEDROOM</v>
      </c>
    </row>
    <row r="96" spans="1:11" x14ac:dyDescent="0.25">
      <c r="A96" s="121" t="s">
        <v>520</v>
      </c>
      <c r="B96" s="122">
        <v>44200</v>
      </c>
      <c r="C96" s="191">
        <v>173</v>
      </c>
      <c r="D96" s="191">
        <v>80.092500000000001</v>
      </c>
      <c r="E96" s="122">
        <v>1168229.2050000001</v>
      </c>
      <c r="F96" s="122">
        <v>749260.48242500005</v>
      </c>
      <c r="G96" s="122">
        <v>9014829.2050000001</v>
      </c>
      <c r="H96" s="122">
        <v>9793329.2050000001</v>
      </c>
      <c r="I96" s="122">
        <v>10312329.205</v>
      </c>
      <c r="J96"/>
      <c r="K96" s="79" t="str">
        <f>VLOOKUP(A96,Table1[[Unit Number]:[NO. OF BEDROOMS]],2,FALSE)</f>
        <v>3 BEDROOM</v>
      </c>
    </row>
    <row r="97" spans="1:11" x14ac:dyDescent="0.25">
      <c r="A97" s="121" t="s">
        <v>954</v>
      </c>
      <c r="B97" s="122">
        <v>46175</v>
      </c>
      <c r="C97" s="191">
        <v>344</v>
      </c>
      <c r="D97" s="191">
        <v>97.868200000000002</v>
      </c>
      <c r="E97" s="122">
        <v>1491291.1645500001</v>
      </c>
      <c r="F97" s="122">
        <v>1476916.7489867499</v>
      </c>
      <c r="G97" s="122">
        <v>17575491.164549999</v>
      </c>
      <c r="H97" s="122">
        <v>19123491.164549999</v>
      </c>
      <c r="I97" s="122">
        <v>20155491.164549999</v>
      </c>
      <c r="J97"/>
      <c r="K97" s="79" t="str">
        <f>VLOOKUP(A97,Table1[[Unit Number]:[NO. OF BEDROOMS]],2,FALSE)</f>
        <v>3 BEDROOM + LIVING (DUPLEX)</v>
      </c>
    </row>
    <row r="98" spans="1:11" x14ac:dyDescent="0.25">
      <c r="A98" s="121" t="s">
        <v>521</v>
      </c>
      <c r="B98" s="122">
        <v>44275</v>
      </c>
      <c r="C98" s="191">
        <v>116</v>
      </c>
      <c r="D98" s="191">
        <v>63.675199999999997</v>
      </c>
      <c r="E98" s="122">
        <v>930342.42839999998</v>
      </c>
      <c r="F98" s="122">
        <v>515630.60641399998</v>
      </c>
      <c r="G98" s="122">
        <v>6266242.4284000006</v>
      </c>
      <c r="H98" s="122">
        <v>6788242.4283999996</v>
      </c>
      <c r="I98" s="122">
        <v>7136242.4284000006</v>
      </c>
      <c r="J98"/>
      <c r="K98" s="79" t="str">
        <f>VLOOKUP(A98,Table1[[Unit Number]:[NO. OF BEDROOMS]],2,FALSE)</f>
        <v>2 BEDROOM</v>
      </c>
    </row>
    <row r="99" spans="1:11" x14ac:dyDescent="0.25">
      <c r="A99" s="121" t="s">
        <v>530</v>
      </c>
      <c r="B99" s="122">
        <v>44250</v>
      </c>
      <c r="C99" s="191">
        <v>170</v>
      </c>
      <c r="D99" s="191"/>
      <c r="E99" s="122">
        <v>0</v>
      </c>
      <c r="F99" s="122">
        <v>639412.5</v>
      </c>
      <c r="G99" s="122">
        <v>7722500</v>
      </c>
      <c r="H99" s="122">
        <v>8487500</v>
      </c>
      <c r="I99" s="122">
        <v>8997500</v>
      </c>
      <c r="J99"/>
      <c r="K99" s="79" t="str">
        <f>VLOOKUP(A99,Table1[[Unit Number]:[NO. OF BEDROOMS]],2,FALSE)</f>
        <v>3 BEDROOM</v>
      </c>
    </row>
    <row r="100" spans="1:11" x14ac:dyDescent="0.25">
      <c r="A100" s="121" t="s">
        <v>531</v>
      </c>
      <c r="B100" s="122">
        <v>44250</v>
      </c>
      <c r="C100" s="191">
        <v>170</v>
      </c>
      <c r="D100" s="191"/>
      <c r="E100" s="122">
        <v>0</v>
      </c>
      <c r="F100" s="122">
        <v>639412.5</v>
      </c>
      <c r="G100" s="122">
        <v>7722500</v>
      </c>
      <c r="H100" s="122">
        <v>8487500</v>
      </c>
      <c r="I100" s="122">
        <v>8997500</v>
      </c>
      <c r="J100"/>
      <c r="K100" s="79" t="str">
        <f>VLOOKUP(A100,Table1[[Unit Number]:[NO. OF BEDROOMS]],2,FALSE)</f>
        <v>3 BEDROOM</v>
      </c>
    </row>
    <row r="101" spans="1:11" x14ac:dyDescent="0.25">
      <c r="A101" s="121" t="s">
        <v>533</v>
      </c>
      <c r="B101" s="122">
        <v>44275</v>
      </c>
      <c r="C101" s="191">
        <v>116</v>
      </c>
      <c r="D101" s="191">
        <v>63.702300000000001</v>
      </c>
      <c r="E101" s="122">
        <v>930738.37972500001</v>
      </c>
      <c r="F101" s="122">
        <v>515664.26227662503</v>
      </c>
      <c r="G101" s="122">
        <v>6266638.3797249999</v>
      </c>
      <c r="H101" s="122">
        <v>6788638.3797249999</v>
      </c>
      <c r="I101" s="122">
        <v>7136638.3797249999</v>
      </c>
      <c r="J101"/>
      <c r="K101" s="79" t="str">
        <f>VLOOKUP(A101,Table1[[Unit Number]:[NO. OF BEDROOMS]],2,FALSE)</f>
        <v>2 BEDROOM</v>
      </c>
    </row>
    <row r="102" spans="1:11" x14ac:dyDescent="0.25">
      <c r="A102" s="121" t="s">
        <v>542</v>
      </c>
      <c r="B102" s="122">
        <v>44250</v>
      </c>
      <c r="C102" s="191">
        <v>170</v>
      </c>
      <c r="D102" s="191"/>
      <c r="E102" s="122">
        <v>0</v>
      </c>
      <c r="F102" s="122">
        <v>639412.5</v>
      </c>
      <c r="G102" s="122">
        <v>7722500</v>
      </c>
      <c r="H102" s="122">
        <v>8487500</v>
      </c>
      <c r="I102" s="122">
        <v>8997500</v>
      </c>
      <c r="J102"/>
      <c r="K102" s="79" t="str">
        <f>VLOOKUP(A102,Table1[[Unit Number]:[NO. OF BEDROOMS]],2,FALSE)</f>
        <v>3 BEDROOM</v>
      </c>
    </row>
    <row r="103" spans="1:11" x14ac:dyDescent="0.25">
      <c r="A103" s="121" t="s">
        <v>977</v>
      </c>
      <c r="B103" s="122">
        <v>46200</v>
      </c>
      <c r="C103" s="191">
        <v>204</v>
      </c>
      <c r="D103" s="191"/>
      <c r="E103" s="122">
        <v>0</v>
      </c>
      <c r="F103" s="122">
        <v>801108</v>
      </c>
      <c r="G103" s="122">
        <v>9624800</v>
      </c>
      <c r="H103" s="122">
        <v>10542800</v>
      </c>
      <c r="I103" s="122">
        <v>11154800</v>
      </c>
      <c r="J103"/>
      <c r="K103" s="79" t="str">
        <f>VLOOKUP(A103,Table1[[Unit Number]:[NO. OF BEDROOMS]],2,FALSE)</f>
        <v>3 BEDROOM</v>
      </c>
    </row>
    <row r="104" spans="1:11" x14ac:dyDescent="0.25">
      <c r="A104" s="121" t="s">
        <v>547</v>
      </c>
      <c r="B104" s="122">
        <v>45412.5</v>
      </c>
      <c r="C104" s="191">
        <v>170</v>
      </c>
      <c r="D104" s="191"/>
      <c r="E104" s="122">
        <v>0</v>
      </c>
      <c r="F104" s="122">
        <v>656210.625</v>
      </c>
      <c r="G104" s="122">
        <v>7920125</v>
      </c>
      <c r="H104" s="122">
        <v>8685125</v>
      </c>
      <c r="I104" s="122">
        <v>9195125</v>
      </c>
      <c r="J104"/>
      <c r="K104" s="79" t="str">
        <f>VLOOKUP(A104,Table1[[Unit Number]:[NO. OF BEDROOMS]],2,FALSE)</f>
        <v>3 BEDROOM</v>
      </c>
    </row>
    <row r="105" spans="1:11" x14ac:dyDescent="0.25">
      <c r="A105" s="121" t="s">
        <v>548</v>
      </c>
      <c r="B105" s="122">
        <v>44125</v>
      </c>
      <c r="C105" s="191">
        <v>116</v>
      </c>
      <c r="D105" s="191">
        <v>61.845599999999997</v>
      </c>
      <c r="E105" s="122">
        <v>900549.24300000002</v>
      </c>
      <c r="F105" s="122">
        <v>511619.18565500004</v>
      </c>
      <c r="G105" s="122">
        <v>6219049.2429999998</v>
      </c>
      <c r="H105" s="122">
        <v>6741049.2429999998</v>
      </c>
      <c r="I105" s="122">
        <v>7089049.2429999998</v>
      </c>
      <c r="J105"/>
      <c r="K105" s="79" t="str">
        <f>VLOOKUP(A105,Table1[[Unit Number]:[NO. OF BEDROOMS]],2,FALSE)</f>
        <v>2 BEDROOM</v>
      </c>
    </row>
    <row r="106" spans="1:11" x14ac:dyDescent="0.25">
      <c r="A106" s="121" t="s">
        <v>549</v>
      </c>
      <c r="B106" s="122">
        <v>44225</v>
      </c>
      <c r="C106" s="191">
        <v>117</v>
      </c>
      <c r="D106" s="191"/>
      <c r="E106" s="122">
        <v>0</v>
      </c>
      <c r="F106" s="122">
        <v>439817.62500000006</v>
      </c>
      <c r="G106" s="122">
        <v>5374325</v>
      </c>
      <c r="H106" s="122">
        <v>5900825</v>
      </c>
      <c r="I106" s="122">
        <v>6251825</v>
      </c>
      <c r="J106"/>
      <c r="K106" s="79" t="str">
        <f>VLOOKUP(A106,Table1[[Unit Number]:[NO. OF BEDROOMS]],2,FALSE)</f>
        <v>2 BEDROOM</v>
      </c>
    </row>
    <row r="107" spans="1:11" x14ac:dyDescent="0.25">
      <c r="A107" s="121" t="s">
        <v>992</v>
      </c>
      <c r="B107" s="122">
        <v>46200</v>
      </c>
      <c r="C107" s="191">
        <v>204</v>
      </c>
      <c r="D107" s="191"/>
      <c r="E107" s="122">
        <v>0</v>
      </c>
      <c r="F107" s="122">
        <v>801108</v>
      </c>
      <c r="G107" s="122">
        <v>9624800</v>
      </c>
      <c r="H107" s="122">
        <v>10542800</v>
      </c>
      <c r="I107" s="122">
        <v>11154800</v>
      </c>
      <c r="J107"/>
      <c r="K107" s="79" t="str">
        <f>VLOOKUP(A107,Table1[[Unit Number]:[NO. OF BEDROOMS]],2,FALSE)</f>
        <v>3 BEDROOM</v>
      </c>
    </row>
    <row r="108" spans="1:11" x14ac:dyDescent="0.25">
      <c r="A108" s="121" t="s">
        <v>994</v>
      </c>
      <c r="B108" s="122">
        <v>46225</v>
      </c>
      <c r="C108" s="191">
        <v>176</v>
      </c>
      <c r="D108" s="191"/>
      <c r="E108" s="122">
        <v>0</v>
      </c>
      <c r="F108" s="122">
        <v>691526</v>
      </c>
      <c r="G108" s="122">
        <v>8335600</v>
      </c>
      <c r="H108" s="122">
        <v>9127600</v>
      </c>
      <c r="I108" s="122">
        <v>9655600</v>
      </c>
      <c r="J108"/>
      <c r="K108" s="79" t="str">
        <f>VLOOKUP(A108,Table1[[Unit Number]:[NO. OF BEDROOMS]],2,FALSE)</f>
        <v>3 BEDROOM</v>
      </c>
    </row>
    <row r="109" spans="1:11" x14ac:dyDescent="0.25">
      <c r="A109" s="121" t="s">
        <v>554</v>
      </c>
      <c r="B109" s="122">
        <v>44100</v>
      </c>
      <c r="C109" s="191">
        <v>170</v>
      </c>
      <c r="D109" s="191"/>
      <c r="E109" s="122">
        <v>0</v>
      </c>
      <c r="F109" s="122">
        <v>637245</v>
      </c>
      <c r="G109" s="122">
        <v>7697000</v>
      </c>
      <c r="H109" s="122">
        <v>8462000</v>
      </c>
      <c r="I109" s="122">
        <v>8972000</v>
      </c>
      <c r="J109"/>
      <c r="K109" s="79" t="str">
        <f>VLOOKUP(A109,Table1[[Unit Number]:[NO. OF BEDROOMS]],2,FALSE)</f>
        <v>3 BEDROOM</v>
      </c>
    </row>
    <row r="110" spans="1:11" x14ac:dyDescent="0.25">
      <c r="A110" s="121" t="s">
        <v>555</v>
      </c>
      <c r="B110" s="122">
        <v>44150</v>
      </c>
      <c r="C110" s="191">
        <v>173</v>
      </c>
      <c r="D110" s="191">
        <v>77.2149</v>
      </c>
      <c r="E110" s="122">
        <v>1124982.4855500001</v>
      </c>
      <c r="F110" s="122">
        <v>744849.26127174997</v>
      </c>
      <c r="G110" s="122">
        <v>8962932.4855499994</v>
      </c>
      <c r="H110" s="122">
        <v>9741432.4855499994</v>
      </c>
      <c r="I110" s="122">
        <v>10260432.485549999</v>
      </c>
      <c r="J110"/>
      <c r="K110" s="79" t="str">
        <f>VLOOKUP(A110,Table1[[Unit Number]:[NO. OF BEDROOMS]],2,FALSE)</f>
        <v>3 BEDROOM</v>
      </c>
    </row>
    <row r="111" spans="1:11" x14ac:dyDescent="0.25">
      <c r="A111" s="121" t="s">
        <v>556</v>
      </c>
      <c r="B111" s="122">
        <v>44225</v>
      </c>
      <c r="C111" s="191">
        <v>116</v>
      </c>
      <c r="D111" s="191">
        <v>61.752000000000002</v>
      </c>
      <c r="E111" s="122">
        <v>901224.12600000005</v>
      </c>
      <c r="F111" s="122">
        <v>512662.55071000004</v>
      </c>
      <c r="G111" s="122">
        <v>6231324.1260000002</v>
      </c>
      <c r="H111" s="122">
        <v>6753324.1260000002</v>
      </c>
      <c r="I111" s="122">
        <v>7101324.1260000002</v>
      </c>
      <c r="J111"/>
      <c r="K111" s="79" t="str">
        <f>VLOOKUP(A111,Table1[[Unit Number]:[NO. OF BEDROOMS]],2,FALSE)</f>
        <v>2 BEDROOM</v>
      </c>
    </row>
    <row r="112" spans="1:11" x14ac:dyDescent="0.25">
      <c r="A112" s="121" t="s">
        <v>557</v>
      </c>
      <c r="B112" s="122">
        <v>44250</v>
      </c>
      <c r="C112" s="191">
        <v>174</v>
      </c>
      <c r="D112" s="191"/>
      <c r="E112" s="122">
        <v>0</v>
      </c>
      <c r="F112" s="122">
        <v>654457.5</v>
      </c>
      <c r="G112" s="122">
        <v>7899500</v>
      </c>
      <c r="H112" s="122">
        <v>8682500</v>
      </c>
      <c r="I112" s="122">
        <v>9204500</v>
      </c>
      <c r="J112"/>
      <c r="K112" s="79" t="str">
        <f>VLOOKUP(A112,Table1[[Unit Number]:[NO. OF BEDROOMS]],2,FALSE)</f>
        <v>3 BEDROOM</v>
      </c>
    </row>
    <row r="113" spans="1:11" x14ac:dyDescent="0.25">
      <c r="A113" s="121" t="s">
        <v>563</v>
      </c>
      <c r="B113" s="122">
        <v>44200</v>
      </c>
      <c r="C113" s="191">
        <v>170</v>
      </c>
      <c r="D113" s="191"/>
      <c r="E113" s="122">
        <v>0</v>
      </c>
      <c r="F113" s="122">
        <v>638690</v>
      </c>
      <c r="G113" s="122">
        <v>7714000</v>
      </c>
      <c r="H113" s="122">
        <v>8479000</v>
      </c>
      <c r="I113" s="122">
        <v>8989000</v>
      </c>
      <c r="J113"/>
      <c r="K113" s="79" t="str">
        <f>VLOOKUP(A113,Table1[[Unit Number]:[NO. OF BEDROOMS]],2,FALSE)</f>
        <v>3 BEDROOM</v>
      </c>
    </row>
    <row r="114" spans="1:11" x14ac:dyDescent="0.25">
      <c r="A114" s="121" t="s">
        <v>564</v>
      </c>
      <c r="B114" s="122">
        <v>44200</v>
      </c>
      <c r="C114" s="191">
        <v>170</v>
      </c>
      <c r="D114" s="191"/>
      <c r="E114" s="122">
        <v>0</v>
      </c>
      <c r="F114" s="122">
        <v>638690</v>
      </c>
      <c r="G114" s="122">
        <v>7714000</v>
      </c>
      <c r="H114" s="122">
        <v>8479000</v>
      </c>
      <c r="I114" s="122">
        <v>8989000</v>
      </c>
      <c r="J114"/>
      <c r="K114" s="79" t="str">
        <f>VLOOKUP(A114,Table1[[Unit Number]:[NO. OF BEDROOMS]],2,FALSE)</f>
        <v>3 BEDROOM</v>
      </c>
    </row>
    <row r="115" spans="1:11" x14ac:dyDescent="0.25">
      <c r="A115" s="121" t="s">
        <v>566</v>
      </c>
      <c r="B115" s="122">
        <v>44125</v>
      </c>
      <c r="C115" s="191">
        <v>116</v>
      </c>
      <c r="D115" s="191">
        <v>61.500599999999999</v>
      </c>
      <c r="E115" s="122">
        <v>895525.61174999992</v>
      </c>
      <c r="F115" s="122">
        <v>511192.17699875007</v>
      </c>
      <c r="G115" s="122">
        <v>6214025.6117500002</v>
      </c>
      <c r="H115" s="122">
        <v>6736025.6117500002</v>
      </c>
      <c r="I115" s="122">
        <v>7084025.6117500002</v>
      </c>
      <c r="J115"/>
      <c r="K115" s="79" t="str">
        <f>VLOOKUP(A115,Table1[[Unit Number]:[NO. OF BEDROOMS]],2,FALSE)</f>
        <v>2 BEDROOM</v>
      </c>
    </row>
    <row r="116" spans="1:11" x14ac:dyDescent="0.25">
      <c r="A116" s="121" t="s">
        <v>567</v>
      </c>
      <c r="B116" s="122">
        <v>44225</v>
      </c>
      <c r="C116" s="191">
        <v>117</v>
      </c>
      <c r="D116" s="191"/>
      <c r="E116" s="122">
        <v>0</v>
      </c>
      <c r="F116" s="122">
        <v>439817.62500000006</v>
      </c>
      <c r="G116" s="122">
        <v>5374325</v>
      </c>
      <c r="H116" s="122">
        <v>5900825</v>
      </c>
      <c r="I116" s="122">
        <v>6251825</v>
      </c>
      <c r="J116"/>
      <c r="K116" s="79" t="str">
        <f>VLOOKUP(A116,Table1[[Unit Number]:[NO. OF BEDROOMS]],2,FALSE)</f>
        <v>2 BEDROOM</v>
      </c>
    </row>
    <row r="117" spans="1:11" x14ac:dyDescent="0.25">
      <c r="A117" s="121" t="s">
        <v>1016</v>
      </c>
      <c r="B117" s="122">
        <v>46200</v>
      </c>
      <c r="C117" s="191">
        <v>204</v>
      </c>
      <c r="D117" s="191"/>
      <c r="E117" s="122">
        <v>0</v>
      </c>
      <c r="F117" s="122">
        <v>801108</v>
      </c>
      <c r="G117" s="122">
        <v>9624800</v>
      </c>
      <c r="H117" s="122">
        <v>10542800</v>
      </c>
      <c r="I117" s="122">
        <v>11154800</v>
      </c>
      <c r="J117"/>
      <c r="K117" s="79" t="str">
        <f>VLOOKUP(A117,Table1[[Unit Number]:[NO. OF BEDROOMS]],2,FALSE)</f>
        <v>3 BEDROOM</v>
      </c>
    </row>
    <row r="118" spans="1:11" x14ac:dyDescent="0.25">
      <c r="A118" s="121" t="s">
        <v>572</v>
      </c>
      <c r="B118" s="122">
        <v>44100</v>
      </c>
      <c r="C118" s="191">
        <v>170</v>
      </c>
      <c r="D118" s="191"/>
      <c r="E118" s="122">
        <v>0</v>
      </c>
      <c r="F118" s="122">
        <v>637245</v>
      </c>
      <c r="G118" s="122">
        <v>7697000</v>
      </c>
      <c r="H118" s="122">
        <v>8462000</v>
      </c>
      <c r="I118" s="122">
        <v>8972000</v>
      </c>
      <c r="J118"/>
      <c r="K118" s="79" t="str">
        <f>VLOOKUP(A118,Table1[[Unit Number]:[NO. OF BEDROOMS]],2,FALSE)</f>
        <v>3 BEDROOM</v>
      </c>
    </row>
    <row r="119" spans="1:11" x14ac:dyDescent="0.25">
      <c r="A119" s="121" t="s">
        <v>1024</v>
      </c>
      <c r="B119" s="122">
        <v>46225</v>
      </c>
      <c r="C119" s="191">
        <v>224</v>
      </c>
      <c r="D119" s="191"/>
      <c r="E119" s="122">
        <v>0</v>
      </c>
      <c r="F119" s="122">
        <v>880124.00000000012</v>
      </c>
      <c r="G119" s="122">
        <v>10554400</v>
      </c>
      <c r="H119" s="122">
        <v>11562400</v>
      </c>
      <c r="I119" s="122">
        <v>12234400</v>
      </c>
      <c r="J119"/>
      <c r="K119" s="79" t="str">
        <f>VLOOKUP(A119,Table1[[Unit Number]:[NO. OF BEDROOMS]],2,FALSE)</f>
        <v>3 BEDROOM + LIVING</v>
      </c>
    </row>
    <row r="120" spans="1:11" x14ac:dyDescent="0.25">
      <c r="A120" s="121" t="s">
        <v>1027</v>
      </c>
      <c r="B120" s="122">
        <v>46195</v>
      </c>
      <c r="C120" s="191">
        <v>176</v>
      </c>
      <c r="D120" s="191"/>
      <c r="E120" s="122">
        <v>0</v>
      </c>
      <c r="F120" s="122">
        <v>691077.20000000007</v>
      </c>
      <c r="G120" s="122">
        <v>8330320</v>
      </c>
      <c r="H120" s="122">
        <v>9122320</v>
      </c>
      <c r="I120" s="122">
        <v>9650320</v>
      </c>
      <c r="J120"/>
      <c r="K120" s="79" t="str">
        <f>VLOOKUP(A120,Table1[[Unit Number]:[NO. OF BEDROOMS]],2,FALSE)</f>
        <v>3 BEDROOM</v>
      </c>
    </row>
    <row r="121" spans="1:11" x14ac:dyDescent="0.25">
      <c r="A121" s="121" t="s">
        <v>1028</v>
      </c>
      <c r="B121" s="122">
        <v>46150</v>
      </c>
      <c r="C121" s="191">
        <v>201</v>
      </c>
      <c r="D121" s="191"/>
      <c r="E121" s="122">
        <v>0</v>
      </c>
      <c r="F121" s="122">
        <v>788472.75</v>
      </c>
      <c r="G121" s="122">
        <v>9476150</v>
      </c>
      <c r="H121" s="122">
        <v>10380650</v>
      </c>
      <c r="I121" s="122">
        <v>10983650</v>
      </c>
      <c r="J121"/>
      <c r="K121" s="79" t="str">
        <f>VLOOKUP(A121,Table1[[Unit Number]:[NO. OF BEDROOMS]],2,FALSE)</f>
        <v>3 BEDROOM</v>
      </c>
    </row>
    <row r="122" spans="1:11" x14ac:dyDescent="0.25">
      <c r="A122" s="121" t="s">
        <v>1032</v>
      </c>
      <c r="B122" s="122">
        <v>46175</v>
      </c>
      <c r="C122" s="191">
        <v>222</v>
      </c>
      <c r="D122" s="191"/>
      <c r="E122" s="122">
        <v>0</v>
      </c>
      <c r="F122" s="122">
        <v>871322.25000000012</v>
      </c>
      <c r="G122" s="122">
        <v>10450850</v>
      </c>
      <c r="H122" s="122">
        <v>11449850</v>
      </c>
      <c r="I122" s="122">
        <v>12115850</v>
      </c>
      <c r="J122"/>
      <c r="K122" s="79" t="str">
        <f>VLOOKUP(A122,Table1[[Unit Number]:[NO. OF BEDROOMS]],2,FALSE)</f>
        <v>3 BEDROOM + LIVING</v>
      </c>
    </row>
    <row r="123" spans="1:11" x14ac:dyDescent="0.25">
      <c r="A123" s="121" t="s">
        <v>1040</v>
      </c>
      <c r="B123" s="122">
        <v>46200</v>
      </c>
      <c r="C123" s="191">
        <v>174</v>
      </c>
      <c r="D123" s="191"/>
      <c r="E123" s="122">
        <v>0</v>
      </c>
      <c r="F123" s="122">
        <v>683298</v>
      </c>
      <c r="G123" s="122">
        <v>8238800</v>
      </c>
      <c r="H123" s="122">
        <v>9021800</v>
      </c>
      <c r="I123" s="122">
        <v>9543800</v>
      </c>
      <c r="J123"/>
      <c r="K123" s="79" t="str">
        <f>VLOOKUP(A123,Table1[[Unit Number]:[NO. OF BEDROOMS]],2,FALSE)</f>
        <v>3 BEDROOM</v>
      </c>
    </row>
    <row r="124" spans="1:11" x14ac:dyDescent="0.25">
      <c r="A124" s="121" t="s">
        <v>1041</v>
      </c>
      <c r="B124" s="122">
        <v>46200</v>
      </c>
      <c r="C124" s="191">
        <v>174</v>
      </c>
      <c r="D124" s="191"/>
      <c r="E124" s="122">
        <v>0</v>
      </c>
      <c r="F124" s="122">
        <v>683298</v>
      </c>
      <c r="G124" s="122">
        <v>8238800</v>
      </c>
      <c r="H124" s="122">
        <v>9021800</v>
      </c>
      <c r="I124" s="122">
        <v>9543800</v>
      </c>
      <c r="J124"/>
      <c r="K124" s="79" t="str">
        <f>VLOOKUP(A124,Table1[[Unit Number]:[NO. OF BEDROOMS]],2,FALSE)</f>
        <v>3 BEDROOM</v>
      </c>
    </row>
    <row r="125" spans="1:11" x14ac:dyDescent="0.25">
      <c r="A125" s="121" t="s">
        <v>590</v>
      </c>
      <c r="B125" s="122">
        <v>45387.5</v>
      </c>
      <c r="C125" s="191">
        <v>176</v>
      </c>
      <c r="D125" s="191">
        <v>81.358699999999999</v>
      </c>
      <c r="E125" s="122">
        <v>1218580.4387625</v>
      </c>
      <c r="F125" s="122">
        <v>782576.33729481266</v>
      </c>
      <c r="G125" s="122">
        <v>9406780.4387625009</v>
      </c>
      <c r="H125" s="122">
        <v>10198780.438762501</v>
      </c>
      <c r="I125" s="122">
        <v>10726780.438762501</v>
      </c>
      <c r="J125"/>
      <c r="K125" s="79" t="str">
        <f>VLOOKUP(A125,Table1[[Unit Number]:[NO. OF BEDROOMS]],2,FALSE)</f>
        <v>3 BEDROOM</v>
      </c>
    </row>
    <row r="126" spans="1:11" x14ac:dyDescent="0.25">
      <c r="A126" s="121" t="s">
        <v>1047</v>
      </c>
      <c r="B126" s="122">
        <v>46175</v>
      </c>
      <c r="C126" s="191">
        <v>228</v>
      </c>
      <c r="D126" s="191"/>
      <c r="E126" s="122">
        <v>0</v>
      </c>
      <c r="F126" s="122">
        <v>894871.50000000012</v>
      </c>
      <c r="G126" s="122">
        <v>10727900</v>
      </c>
      <c r="H126" s="122">
        <v>11753900</v>
      </c>
      <c r="I126" s="122">
        <v>12437900</v>
      </c>
      <c r="J126"/>
      <c r="K126" s="79" t="str">
        <f>VLOOKUP(A126,Table1[[Unit Number]:[NO. OF BEDROOMS]],2,FALSE)</f>
        <v>3 BEDROOM + LIVING</v>
      </c>
    </row>
    <row r="127" spans="1:11" x14ac:dyDescent="0.25">
      <c r="A127" s="121" t="s">
        <v>1051</v>
      </c>
      <c r="B127" s="122">
        <v>46150</v>
      </c>
      <c r="C127" s="191">
        <v>201</v>
      </c>
      <c r="D127" s="191"/>
      <c r="E127" s="122">
        <v>0</v>
      </c>
      <c r="F127" s="122">
        <v>788472.75</v>
      </c>
      <c r="G127" s="122">
        <v>9476150</v>
      </c>
      <c r="H127" s="122">
        <v>10380650</v>
      </c>
      <c r="I127" s="122">
        <v>10983650</v>
      </c>
      <c r="J127"/>
      <c r="K127" s="79" t="str">
        <f>VLOOKUP(A127,Table1[[Unit Number]:[NO. OF BEDROOMS]],2,FALSE)</f>
        <v>3 BEDROOM</v>
      </c>
    </row>
    <row r="128" spans="1:11" x14ac:dyDescent="0.25">
      <c r="A128" s="121" t="s">
        <v>600</v>
      </c>
      <c r="B128" s="122">
        <v>44275</v>
      </c>
      <c r="C128" s="191">
        <v>106</v>
      </c>
      <c r="D128" s="191">
        <v>66.414400000000001</v>
      </c>
      <c r="E128" s="122">
        <v>970364.19480000006</v>
      </c>
      <c r="F128" s="122">
        <v>481398.70655800001</v>
      </c>
      <c r="G128" s="122">
        <v>5863514.1948000006</v>
      </c>
      <c r="H128" s="122">
        <v>6340514.1947999997</v>
      </c>
      <c r="I128" s="122">
        <v>6658514.1948000006</v>
      </c>
      <c r="J128"/>
      <c r="K128" s="79" t="str">
        <f>VLOOKUP(A128,Table1[[Unit Number]:[NO. OF BEDROOMS]],2,FALSE)</f>
        <v>2 BEDROOM</v>
      </c>
    </row>
    <row r="129" spans="1:11" x14ac:dyDescent="0.25">
      <c r="A129" s="121" t="s">
        <v>1058</v>
      </c>
      <c r="B129" s="122">
        <v>46150</v>
      </c>
      <c r="C129" s="191">
        <v>155</v>
      </c>
      <c r="D129" s="191"/>
      <c r="E129" s="122">
        <v>0</v>
      </c>
      <c r="F129" s="122">
        <v>608026.25</v>
      </c>
      <c r="G129" s="122">
        <v>7353250</v>
      </c>
      <c r="H129" s="122">
        <v>8050750</v>
      </c>
      <c r="I129" s="122">
        <v>8515750</v>
      </c>
      <c r="J129"/>
      <c r="K129" s="79" t="str">
        <f>VLOOKUP(A129,Table1[[Unit Number]:[NO. OF BEDROOMS]],2,FALSE)</f>
        <v>3 BEDROOM</v>
      </c>
    </row>
    <row r="130" spans="1:11" x14ac:dyDescent="0.25">
      <c r="A130" s="121" t="s">
        <v>1059</v>
      </c>
      <c r="B130" s="122">
        <v>46225</v>
      </c>
      <c r="C130" s="191">
        <v>160</v>
      </c>
      <c r="D130" s="191"/>
      <c r="E130" s="122">
        <v>0</v>
      </c>
      <c r="F130" s="122">
        <v>628660</v>
      </c>
      <c r="G130" s="122">
        <v>7596000</v>
      </c>
      <c r="H130" s="122">
        <v>8316000</v>
      </c>
      <c r="I130" s="122">
        <v>8796000</v>
      </c>
      <c r="J130"/>
      <c r="K130" s="79" t="str">
        <f>VLOOKUP(A130,Table1[[Unit Number]:[NO. OF BEDROOMS]],2,FALSE)</f>
        <v>3 BEDROOM</v>
      </c>
    </row>
    <row r="131" spans="1:11" x14ac:dyDescent="0.25">
      <c r="A131" s="121" t="s">
        <v>609</v>
      </c>
      <c r="B131" s="122">
        <v>44300</v>
      </c>
      <c r="C131" s="191">
        <v>153</v>
      </c>
      <c r="D131" s="191"/>
      <c r="E131" s="122">
        <v>0</v>
      </c>
      <c r="F131" s="122">
        <v>576121.5</v>
      </c>
      <c r="G131" s="122">
        <v>6977900</v>
      </c>
      <c r="H131" s="122">
        <v>7666400</v>
      </c>
      <c r="I131" s="122">
        <v>8125400</v>
      </c>
      <c r="J131"/>
      <c r="K131" s="79" t="str">
        <f>VLOOKUP(A131,Table1[[Unit Number]:[NO. OF BEDROOMS]],2,FALSE)</f>
        <v>3 BEDROOM</v>
      </c>
    </row>
    <row r="132" spans="1:11" x14ac:dyDescent="0.25">
      <c r="A132" s="121" t="s">
        <v>611</v>
      </c>
      <c r="B132" s="122">
        <v>44200</v>
      </c>
      <c r="C132" s="191">
        <v>160</v>
      </c>
      <c r="D132" s="191">
        <v>81.665000000000006</v>
      </c>
      <c r="E132" s="122">
        <v>1191165.6900000002</v>
      </c>
      <c r="F132" s="122">
        <v>702369.08365000004</v>
      </c>
      <c r="G132" s="122">
        <v>8463165.6899999995</v>
      </c>
      <c r="H132" s="122">
        <v>9183165.6899999995</v>
      </c>
      <c r="I132" s="122">
        <v>9663165.6899999995</v>
      </c>
      <c r="J132"/>
      <c r="K132" s="79" t="str">
        <f>VLOOKUP(A132,Table1[[Unit Number]:[NO. OF BEDROOMS]],2,FALSE)</f>
        <v>3 BEDROOM</v>
      </c>
    </row>
    <row r="133" spans="1:11" x14ac:dyDescent="0.25">
      <c r="A133" s="121" t="s">
        <v>612</v>
      </c>
      <c r="B133" s="122">
        <v>44275</v>
      </c>
      <c r="C133" s="191">
        <v>106</v>
      </c>
      <c r="D133" s="191">
        <v>66.653899999999993</v>
      </c>
      <c r="E133" s="122">
        <v>973863.4694249999</v>
      </c>
      <c r="F133" s="122">
        <v>481696.14490112505</v>
      </c>
      <c r="G133" s="122">
        <v>5867013.4694250003</v>
      </c>
      <c r="H133" s="122">
        <v>6344013.4694250003</v>
      </c>
      <c r="I133" s="122">
        <v>6662013.4694250003</v>
      </c>
      <c r="J133"/>
      <c r="K133" s="79" t="str">
        <f>VLOOKUP(A133,Table1[[Unit Number]:[NO. OF BEDROOMS]],2,FALSE)</f>
        <v>2 BEDROOM</v>
      </c>
    </row>
    <row r="134" spans="1:11" x14ac:dyDescent="0.25">
      <c r="A134" s="121" t="s">
        <v>1067</v>
      </c>
      <c r="B134" s="122">
        <v>46100</v>
      </c>
      <c r="C134" s="191">
        <v>160</v>
      </c>
      <c r="D134" s="191"/>
      <c r="E134" s="122">
        <v>0</v>
      </c>
      <c r="F134" s="122">
        <v>626960</v>
      </c>
      <c r="G134" s="122">
        <v>7576000</v>
      </c>
      <c r="H134" s="122">
        <v>8296000</v>
      </c>
      <c r="I134" s="122">
        <v>8776000</v>
      </c>
      <c r="J134"/>
      <c r="K134" s="79" t="str">
        <f>VLOOKUP(A134,Table1[[Unit Number]:[NO. OF BEDROOMS]],2,FALSE)</f>
        <v>3 BEDROOM</v>
      </c>
    </row>
    <row r="135" spans="1:11" x14ac:dyDescent="0.25">
      <c r="A135" s="121" t="s">
        <v>1068</v>
      </c>
      <c r="B135" s="122">
        <v>46150</v>
      </c>
      <c r="C135" s="191">
        <v>155</v>
      </c>
      <c r="D135" s="191"/>
      <c r="E135" s="122">
        <v>0</v>
      </c>
      <c r="F135" s="122">
        <v>608026.25</v>
      </c>
      <c r="G135" s="122">
        <v>7353250</v>
      </c>
      <c r="H135" s="122">
        <v>8050750</v>
      </c>
      <c r="I135" s="122">
        <v>8515750</v>
      </c>
      <c r="J135"/>
      <c r="K135" s="79" t="str">
        <f>VLOOKUP(A135,Table1[[Unit Number]:[NO. OF BEDROOMS]],2,FALSE)</f>
        <v>3 BEDROOM</v>
      </c>
    </row>
    <row r="136" spans="1:11" x14ac:dyDescent="0.25">
      <c r="A136" s="121" t="s">
        <v>622</v>
      </c>
      <c r="B136" s="122">
        <v>44275</v>
      </c>
      <c r="C136" s="191">
        <v>106</v>
      </c>
      <c r="D136" s="191">
        <v>67.414699999999996</v>
      </c>
      <c r="E136" s="122">
        <v>984979.32802499994</v>
      </c>
      <c r="F136" s="122">
        <v>482640.99288212502</v>
      </c>
      <c r="G136" s="122">
        <v>5878129.3280250002</v>
      </c>
      <c r="H136" s="122">
        <v>6355129.3280250002</v>
      </c>
      <c r="I136" s="122">
        <v>6673129.3280250002</v>
      </c>
      <c r="J136"/>
      <c r="K136" s="79" t="str">
        <f>VLOOKUP(A136,Table1[[Unit Number]:[NO. OF BEDROOMS]],2,FALSE)</f>
        <v>2 BEDROOM</v>
      </c>
    </row>
    <row r="137" spans="1:11" x14ac:dyDescent="0.25">
      <c r="A137" s="121" t="s">
        <v>1077</v>
      </c>
      <c r="B137" s="122">
        <v>46225</v>
      </c>
      <c r="C137" s="191">
        <v>160</v>
      </c>
      <c r="D137" s="191"/>
      <c r="E137" s="122">
        <v>0</v>
      </c>
      <c r="F137" s="122">
        <v>628660</v>
      </c>
      <c r="G137" s="122">
        <v>7596000</v>
      </c>
      <c r="H137" s="122">
        <v>8316000</v>
      </c>
      <c r="I137" s="122">
        <v>8796000</v>
      </c>
      <c r="J137"/>
      <c r="K137" s="79" t="str">
        <f>VLOOKUP(A137,Table1[[Unit Number]:[NO. OF BEDROOMS]],2,FALSE)</f>
        <v>3 BEDROOM</v>
      </c>
    </row>
    <row r="138" spans="1:11" x14ac:dyDescent="0.25">
      <c r="A138" s="121" t="s">
        <v>1078</v>
      </c>
      <c r="B138" s="122">
        <v>46150</v>
      </c>
      <c r="C138" s="191">
        <v>155</v>
      </c>
      <c r="D138" s="191"/>
      <c r="E138" s="122">
        <v>0</v>
      </c>
      <c r="F138" s="122">
        <v>608026.25</v>
      </c>
      <c r="G138" s="122">
        <v>7353250</v>
      </c>
      <c r="H138" s="122">
        <v>8050750</v>
      </c>
      <c r="I138" s="122">
        <v>8515750</v>
      </c>
      <c r="J138"/>
      <c r="K138" s="79" t="str">
        <f>VLOOKUP(A138,Table1[[Unit Number]:[NO. OF BEDROOMS]],2,FALSE)</f>
        <v>3 BEDROOM</v>
      </c>
    </row>
    <row r="139" spans="1:11" x14ac:dyDescent="0.25">
      <c r="A139" s="121" t="s">
        <v>631</v>
      </c>
      <c r="B139" s="122">
        <v>44300</v>
      </c>
      <c r="C139" s="191">
        <v>153</v>
      </c>
      <c r="D139" s="191"/>
      <c r="E139" s="122">
        <v>0</v>
      </c>
      <c r="F139" s="122">
        <v>576121.5</v>
      </c>
      <c r="G139" s="122">
        <v>6977900</v>
      </c>
      <c r="H139" s="122">
        <v>7666400</v>
      </c>
      <c r="I139" s="122">
        <v>8125400</v>
      </c>
      <c r="J139"/>
      <c r="K139" s="79" t="str">
        <f>VLOOKUP(A139,Table1[[Unit Number]:[NO. OF BEDROOMS]],2,FALSE)</f>
        <v>3 BEDROOM</v>
      </c>
    </row>
    <row r="140" spans="1:11" x14ac:dyDescent="0.25">
      <c r="A140" s="121" t="s">
        <v>1083</v>
      </c>
      <c r="B140" s="122">
        <v>45275</v>
      </c>
      <c r="C140" s="191">
        <v>161</v>
      </c>
      <c r="D140" s="191">
        <v>83.961500000000001</v>
      </c>
      <c r="E140" s="122">
        <v>1254447.781125</v>
      </c>
      <c r="F140" s="122">
        <v>726216.436395625</v>
      </c>
      <c r="G140" s="122">
        <v>8743722.7811249997</v>
      </c>
      <c r="H140" s="122">
        <v>9468222.7811249997</v>
      </c>
      <c r="I140" s="122">
        <v>9951222.7811249997</v>
      </c>
      <c r="J140"/>
      <c r="K140" s="79" t="str">
        <f>VLOOKUP(A140,Table1[[Unit Number]:[NO. OF BEDROOMS]],2,FALSE)</f>
        <v>3 BEDROOM</v>
      </c>
    </row>
    <row r="141" spans="1:11" x14ac:dyDescent="0.25">
      <c r="A141" s="121" t="s">
        <v>635</v>
      </c>
      <c r="B141" s="122">
        <v>45425</v>
      </c>
      <c r="C141" s="191">
        <v>157</v>
      </c>
      <c r="D141" s="191"/>
      <c r="E141" s="122">
        <v>0</v>
      </c>
      <c r="F141" s="122">
        <v>606196.625</v>
      </c>
      <c r="G141" s="122">
        <v>7331725</v>
      </c>
      <c r="H141" s="122">
        <v>8038225</v>
      </c>
      <c r="I141" s="122">
        <v>8509225</v>
      </c>
      <c r="J141"/>
      <c r="K141" s="79" t="str">
        <f>VLOOKUP(A141,Table1[[Unit Number]:[NO. OF BEDROOMS]],2,FALSE)</f>
        <v>3 BEDROOM</v>
      </c>
    </row>
    <row r="142" spans="1:11" x14ac:dyDescent="0.25">
      <c r="A142" s="121" t="s">
        <v>1089</v>
      </c>
      <c r="B142" s="122">
        <v>46175</v>
      </c>
      <c r="C142" s="191">
        <v>161</v>
      </c>
      <c r="D142" s="191"/>
      <c r="E142" s="122">
        <v>0</v>
      </c>
      <c r="F142" s="122">
        <v>631904.875</v>
      </c>
      <c r="G142" s="122">
        <v>7634175</v>
      </c>
      <c r="H142" s="122">
        <v>8358675</v>
      </c>
      <c r="I142" s="122">
        <v>8841675</v>
      </c>
      <c r="J142"/>
      <c r="K142" s="79" t="str">
        <f>VLOOKUP(A142,Table1[[Unit Number]:[NO. OF BEDROOMS]],2,FALSE)</f>
        <v>3 BEDROOM</v>
      </c>
    </row>
    <row r="143" spans="1:11" x14ac:dyDescent="0.25">
      <c r="A143" s="121" t="s">
        <v>641</v>
      </c>
      <c r="B143" s="122">
        <v>45375</v>
      </c>
      <c r="C143" s="191">
        <v>158</v>
      </c>
      <c r="D143" s="191"/>
      <c r="E143" s="122">
        <v>0</v>
      </c>
      <c r="F143" s="122">
        <v>609386.25</v>
      </c>
      <c r="G143" s="122">
        <v>7369250</v>
      </c>
      <c r="H143" s="122">
        <v>8080250</v>
      </c>
      <c r="I143" s="122">
        <v>8554250</v>
      </c>
      <c r="J143"/>
      <c r="K143" s="79" t="str">
        <f>VLOOKUP(A143,Table1[[Unit Number]:[NO. OF BEDROOMS]],2,FALSE)</f>
        <v>3 BEDROOM</v>
      </c>
    </row>
    <row r="144" spans="1:11" x14ac:dyDescent="0.25">
      <c r="A144" s="121" t="s">
        <v>1097</v>
      </c>
      <c r="B144" s="122">
        <v>46175</v>
      </c>
      <c r="C144" s="191">
        <v>161</v>
      </c>
      <c r="D144" s="191"/>
      <c r="E144" s="122">
        <v>0</v>
      </c>
      <c r="F144" s="122">
        <v>631904.875</v>
      </c>
      <c r="G144" s="122">
        <v>7634175</v>
      </c>
      <c r="H144" s="122">
        <v>8358675</v>
      </c>
      <c r="I144" s="122">
        <v>8841675</v>
      </c>
      <c r="J144"/>
      <c r="K144" s="79" t="str">
        <f>VLOOKUP(A144,Table1[[Unit Number]:[NO. OF BEDROOMS]],2,FALSE)</f>
        <v>3 BEDROOM</v>
      </c>
    </row>
    <row r="145" spans="1:11" x14ac:dyDescent="0.25">
      <c r="A145" s="121" t="s">
        <v>654</v>
      </c>
      <c r="B145" s="122">
        <v>44125</v>
      </c>
      <c r="C145" s="191">
        <v>108</v>
      </c>
      <c r="D145" s="191">
        <v>67.980199999999996</v>
      </c>
      <c r="E145" s="122">
        <v>989876.68724999996</v>
      </c>
      <c r="F145" s="122">
        <v>489207.01841625001</v>
      </c>
      <c r="G145" s="122">
        <v>5955376.6872499995</v>
      </c>
      <c r="H145" s="122">
        <v>6441376.6872499995</v>
      </c>
      <c r="I145" s="122">
        <v>6765376.6872499995</v>
      </c>
      <c r="J145"/>
      <c r="K145" s="79" t="str">
        <f>VLOOKUP(A145,Table1[[Unit Number]:[NO. OF BEDROOMS]],2,FALSE)</f>
        <v>2 BEDROOM</v>
      </c>
    </row>
    <row r="146" spans="1:11" x14ac:dyDescent="0.25">
      <c r="A146" s="121" t="s">
        <v>655</v>
      </c>
      <c r="B146" s="122">
        <v>44175</v>
      </c>
      <c r="C146" s="191">
        <v>161</v>
      </c>
      <c r="D146" s="191">
        <v>84.652000000000001</v>
      </c>
      <c r="E146" s="122">
        <v>1234035.693</v>
      </c>
      <c r="F146" s="122">
        <v>709427.90890500008</v>
      </c>
      <c r="G146" s="122">
        <v>8546210.693</v>
      </c>
      <c r="H146" s="122">
        <v>9270710.693</v>
      </c>
      <c r="I146" s="122">
        <v>9753710.693</v>
      </c>
      <c r="J146"/>
      <c r="K146" s="79" t="str">
        <f>VLOOKUP(A146,Table1[[Unit Number]:[NO. OF BEDROOMS]],2,FALSE)</f>
        <v>3 BEDROOM</v>
      </c>
    </row>
    <row r="147" spans="1:11" x14ac:dyDescent="0.25">
      <c r="A147" s="121" t="s">
        <v>656</v>
      </c>
      <c r="B147" s="122">
        <v>44225</v>
      </c>
      <c r="C147" s="191">
        <v>108</v>
      </c>
      <c r="D147" s="191"/>
      <c r="E147" s="122">
        <v>0</v>
      </c>
      <c r="F147" s="122">
        <v>405985.50000000006</v>
      </c>
      <c r="G147" s="122">
        <v>4976300</v>
      </c>
      <c r="H147" s="122">
        <v>5462300</v>
      </c>
      <c r="I147" s="122">
        <v>5786300</v>
      </c>
      <c r="J147"/>
      <c r="K147" s="79" t="str">
        <f>VLOOKUP(A147,Table1[[Unit Number]:[NO. OF BEDROOMS]],2,FALSE)</f>
        <v>2 BEDROOM</v>
      </c>
    </row>
    <row r="148" spans="1:11" x14ac:dyDescent="0.25">
      <c r="A148" s="121" t="s">
        <v>1104</v>
      </c>
      <c r="B148" s="122">
        <v>46150</v>
      </c>
      <c r="C148" s="191">
        <v>155</v>
      </c>
      <c r="D148" s="191"/>
      <c r="E148" s="122">
        <v>0</v>
      </c>
      <c r="F148" s="122">
        <v>608026.25</v>
      </c>
      <c r="G148" s="122">
        <v>7353250</v>
      </c>
      <c r="H148" s="122">
        <v>8050750</v>
      </c>
      <c r="I148" s="122">
        <v>8515750</v>
      </c>
      <c r="J148"/>
      <c r="K148" s="79" t="str">
        <f>VLOOKUP(A148,Table1[[Unit Number]:[NO. OF BEDROOMS]],2,FALSE)</f>
        <v>3 BEDROOM</v>
      </c>
    </row>
    <row r="149" spans="1:11" x14ac:dyDescent="0.25">
      <c r="A149" s="121" t="s">
        <v>1105</v>
      </c>
      <c r="B149" s="122">
        <v>46225</v>
      </c>
      <c r="C149" s="191">
        <v>161</v>
      </c>
      <c r="D149" s="191"/>
      <c r="E149" s="122">
        <v>0</v>
      </c>
      <c r="F149" s="122">
        <v>632589.125</v>
      </c>
      <c r="G149" s="122">
        <v>7642225</v>
      </c>
      <c r="H149" s="122">
        <v>8366725</v>
      </c>
      <c r="I149" s="122">
        <v>8849725</v>
      </c>
      <c r="J149"/>
      <c r="K149" s="79" t="str">
        <f>VLOOKUP(A149,Table1[[Unit Number]:[NO. OF BEDROOMS]],2,FALSE)</f>
        <v>3 BEDROOM</v>
      </c>
    </row>
    <row r="150" spans="1:11" x14ac:dyDescent="0.25">
      <c r="A150" s="121" t="s">
        <v>663</v>
      </c>
      <c r="B150" s="122">
        <v>44150</v>
      </c>
      <c r="C150" s="191">
        <v>153</v>
      </c>
      <c r="D150" s="191"/>
      <c r="E150" s="122">
        <v>0</v>
      </c>
      <c r="F150" s="122">
        <v>574170.75</v>
      </c>
      <c r="G150" s="122">
        <v>6954950</v>
      </c>
      <c r="H150" s="122">
        <v>7643450</v>
      </c>
      <c r="I150" s="122">
        <v>8102450</v>
      </c>
      <c r="J150"/>
      <c r="K150" s="79" t="str">
        <f>VLOOKUP(A150,Table1[[Unit Number]:[NO. OF BEDROOMS]],2,FALSE)</f>
        <v>3 BEDROOM</v>
      </c>
    </row>
    <row r="151" spans="1:11" x14ac:dyDescent="0.25">
      <c r="A151" s="121" t="s">
        <v>664</v>
      </c>
      <c r="B151" s="122">
        <v>44275</v>
      </c>
      <c r="C151" s="191">
        <v>158</v>
      </c>
      <c r="D151" s="191"/>
      <c r="E151" s="122">
        <v>0</v>
      </c>
      <c r="F151" s="122">
        <v>594613.25</v>
      </c>
      <c r="G151" s="122">
        <v>7195450</v>
      </c>
      <c r="H151" s="122">
        <v>7906450</v>
      </c>
      <c r="I151" s="122">
        <v>8380450</v>
      </c>
      <c r="J151"/>
      <c r="K151" s="79" t="str">
        <f>VLOOKUP(A151,Table1[[Unit Number]:[NO. OF BEDROOMS]],2,FALSE)</f>
        <v>3 BEDROOM</v>
      </c>
    </row>
    <row r="152" spans="1:11" x14ac:dyDescent="0.25">
      <c r="A152" s="121" t="s">
        <v>1109</v>
      </c>
      <c r="B152" s="122">
        <v>44325</v>
      </c>
      <c r="C152" s="191">
        <v>161</v>
      </c>
      <c r="D152" s="191">
        <v>85.031800000000004</v>
      </c>
      <c r="E152" s="122">
        <v>1243781.3965499999</v>
      </c>
      <c r="F152" s="122">
        <v>712309.04370675003</v>
      </c>
      <c r="G152" s="122">
        <v>8580106.3965499997</v>
      </c>
      <c r="H152" s="122">
        <v>9304606.3965499997</v>
      </c>
      <c r="I152" s="122">
        <v>9787606.3965499997</v>
      </c>
      <c r="J152"/>
      <c r="K152" s="79" t="str">
        <f>VLOOKUP(A152,Table1[[Unit Number]:[NO. OF BEDROOMS]],2,FALSE)</f>
        <v>3 BEDROOM</v>
      </c>
    </row>
    <row r="153" spans="1:11" x14ac:dyDescent="0.25">
      <c r="A153" s="121" t="s">
        <v>1111</v>
      </c>
      <c r="B153" s="122">
        <v>45175</v>
      </c>
      <c r="C153" s="191">
        <v>157</v>
      </c>
      <c r="D153" s="191"/>
      <c r="E153" s="122">
        <v>0</v>
      </c>
      <c r="F153" s="122">
        <v>602860.375</v>
      </c>
      <c r="G153" s="122">
        <v>7292475</v>
      </c>
      <c r="H153" s="122">
        <v>7998975</v>
      </c>
      <c r="I153" s="122">
        <v>8469975</v>
      </c>
      <c r="J153"/>
      <c r="K153" s="79" t="str">
        <f>VLOOKUP(A153,Table1[[Unit Number]:[NO. OF BEDROOMS]],2,FALSE)</f>
        <v>3 BEDROOM</v>
      </c>
    </row>
    <row r="154" spans="1:11" x14ac:dyDescent="0.25">
      <c r="A154" s="121" t="s">
        <v>1114</v>
      </c>
      <c r="B154" s="122">
        <v>45325</v>
      </c>
      <c r="C154" s="191">
        <v>161</v>
      </c>
      <c r="D154" s="191"/>
      <c r="E154" s="122">
        <v>0</v>
      </c>
      <c r="F154" s="122">
        <v>620272.625</v>
      </c>
      <c r="G154" s="122">
        <v>7497325</v>
      </c>
      <c r="H154" s="122">
        <v>8221825</v>
      </c>
      <c r="I154" s="122">
        <v>8704825</v>
      </c>
      <c r="J154"/>
      <c r="K154" s="79" t="str">
        <f>VLOOKUP(A154,Table1[[Unit Number]:[NO. OF BEDROOMS]],2,FALSE)</f>
        <v>3 BEDROOM</v>
      </c>
    </row>
    <row r="155" spans="1:11" x14ac:dyDescent="0.25">
      <c r="A155" s="121" t="s">
        <v>1115</v>
      </c>
      <c r="B155" s="122">
        <v>46150</v>
      </c>
      <c r="C155" s="191">
        <v>155</v>
      </c>
      <c r="D155" s="191"/>
      <c r="E155" s="122">
        <v>0</v>
      </c>
      <c r="F155" s="122">
        <v>608026.25</v>
      </c>
      <c r="G155" s="122">
        <v>7353250</v>
      </c>
      <c r="H155" s="122">
        <v>8050750</v>
      </c>
      <c r="I155" s="122">
        <v>8515750</v>
      </c>
      <c r="J155"/>
      <c r="K155" s="79" t="str">
        <f>VLOOKUP(A155,Table1[[Unit Number]:[NO. OF BEDROOMS]],2,FALSE)</f>
        <v>3 BEDROOM</v>
      </c>
    </row>
    <row r="156" spans="1:11" x14ac:dyDescent="0.25">
      <c r="A156" s="121" t="s">
        <v>1119</v>
      </c>
      <c r="B156" s="122">
        <v>45125</v>
      </c>
      <c r="C156" s="191">
        <v>158</v>
      </c>
      <c r="D156" s="191"/>
      <c r="E156" s="122">
        <v>0</v>
      </c>
      <c r="F156" s="122">
        <v>606028.75</v>
      </c>
      <c r="G156" s="122">
        <v>7329750</v>
      </c>
      <c r="H156" s="122">
        <v>8040750</v>
      </c>
      <c r="I156" s="122">
        <v>8514750</v>
      </c>
      <c r="J156"/>
      <c r="K156" s="79" t="str">
        <f>VLOOKUP(A156,Table1[[Unit Number]:[NO. OF BEDROOMS]],2,FALSE)</f>
        <v>3 BEDROOM</v>
      </c>
    </row>
    <row r="157" spans="1:11" x14ac:dyDescent="0.25">
      <c r="A157" s="121" t="s">
        <v>1127</v>
      </c>
      <c r="B157" s="122">
        <v>46175</v>
      </c>
      <c r="C157" s="191">
        <v>160</v>
      </c>
      <c r="D157" s="191"/>
      <c r="E157" s="122">
        <v>0</v>
      </c>
      <c r="F157" s="122">
        <v>627980</v>
      </c>
      <c r="G157" s="122">
        <v>7588000</v>
      </c>
      <c r="H157" s="122">
        <v>8308000</v>
      </c>
      <c r="I157" s="122">
        <v>8788000</v>
      </c>
      <c r="J157"/>
      <c r="K157" s="79" t="str">
        <f>VLOOKUP(A157,Table1[[Unit Number]:[NO. OF BEDROOMS]],2,FALSE)</f>
        <v>3 BEDROOM</v>
      </c>
    </row>
    <row r="158" spans="1:11" x14ac:dyDescent="0.25">
      <c r="A158" s="121" t="s">
        <v>1128</v>
      </c>
      <c r="B158" s="122">
        <v>45025</v>
      </c>
      <c r="C158" s="191">
        <v>161</v>
      </c>
      <c r="D158" s="191"/>
      <c r="E158" s="122">
        <v>0</v>
      </c>
      <c r="F158" s="122">
        <v>616167.125</v>
      </c>
      <c r="G158" s="122">
        <v>7449025</v>
      </c>
      <c r="H158" s="122">
        <v>8173525</v>
      </c>
      <c r="I158" s="122">
        <v>8656525</v>
      </c>
      <c r="J158"/>
      <c r="K158" s="79" t="str">
        <f>VLOOKUP(A158,Table1[[Unit Number]:[NO. OF BEDROOMS]],2,FALSE)</f>
        <v>3 BEDROOM</v>
      </c>
    </row>
    <row r="159" spans="1:11" x14ac:dyDescent="0.25">
      <c r="A159" s="121" t="s">
        <v>685</v>
      </c>
      <c r="B159" s="122">
        <v>45425</v>
      </c>
      <c r="C159" s="191">
        <v>309</v>
      </c>
      <c r="D159" s="191">
        <v>86.075999999999993</v>
      </c>
      <c r="E159" s="122">
        <v>1290300.7589999998</v>
      </c>
      <c r="F159" s="122">
        <v>1302763.189515</v>
      </c>
      <c r="G159" s="122">
        <v>15526625.759</v>
      </c>
      <c r="H159" s="122">
        <v>16917125.759</v>
      </c>
      <c r="I159" s="122">
        <v>17844125.759</v>
      </c>
      <c r="J159"/>
      <c r="K159" s="79" t="str">
        <f>VLOOKUP(A159,Table1[[Unit Number]:[NO. OF BEDROOMS]],2,FALSE)</f>
        <v>3 BEDROOM + LIVING (DUPLEX)</v>
      </c>
    </row>
    <row r="160" spans="1:11" x14ac:dyDescent="0.25">
      <c r="A160" s="121" t="s">
        <v>686</v>
      </c>
      <c r="B160" s="122">
        <v>45425</v>
      </c>
      <c r="C160" s="191">
        <v>301</v>
      </c>
      <c r="D160" s="191">
        <v>85.509600000000006</v>
      </c>
      <c r="E160" s="122">
        <v>1281810.2814</v>
      </c>
      <c r="F160" s="122">
        <v>1271152.4989190002</v>
      </c>
      <c r="G160" s="122">
        <v>15154735.281400001</v>
      </c>
      <c r="H160" s="122">
        <v>16509235.281400001</v>
      </c>
      <c r="I160" s="122">
        <v>17412235.281399999</v>
      </c>
      <c r="J160"/>
      <c r="K160" s="79" t="str">
        <f>VLOOKUP(A160,Table1[[Unit Number]:[NO. OF BEDROOMS]],2,FALSE)</f>
        <v>3 BEDROOM + LIVING (DUPLEX)</v>
      </c>
    </row>
    <row r="161" spans="1:11" x14ac:dyDescent="0.25">
      <c r="A161" s="121" t="s">
        <v>1141</v>
      </c>
      <c r="B161" s="122">
        <v>45025</v>
      </c>
      <c r="C161" s="191">
        <v>161</v>
      </c>
      <c r="D161" s="191"/>
      <c r="E161" s="122">
        <v>0</v>
      </c>
      <c r="F161" s="122">
        <v>616167.125</v>
      </c>
      <c r="G161" s="122">
        <v>7449025</v>
      </c>
      <c r="H161" s="122">
        <v>8173525</v>
      </c>
      <c r="I161" s="122">
        <v>8656525</v>
      </c>
      <c r="J161"/>
      <c r="K161" s="79" t="str">
        <f>VLOOKUP(A161,Table1[[Unit Number]:[NO. OF BEDROOMS]],2,FALSE)</f>
        <v>3 BEDROOM</v>
      </c>
    </row>
    <row r="162" spans="1:11" x14ac:dyDescent="0.25">
      <c r="A162" s="121" t="s">
        <v>1142</v>
      </c>
      <c r="B162" s="122">
        <v>46175</v>
      </c>
      <c r="C162" s="191">
        <v>160</v>
      </c>
      <c r="D162" s="191"/>
      <c r="E162" s="122">
        <v>0</v>
      </c>
      <c r="F162" s="122">
        <v>627980</v>
      </c>
      <c r="G162" s="122">
        <v>7588000</v>
      </c>
      <c r="H162" s="122">
        <v>8308000</v>
      </c>
      <c r="I162" s="122">
        <v>8788000</v>
      </c>
      <c r="J162"/>
      <c r="K162" s="79" t="str">
        <f>VLOOKUP(A162,Table1[[Unit Number]:[NO. OF BEDROOMS]],2,FALSE)</f>
        <v>3 BEDROOM</v>
      </c>
    </row>
    <row r="163" spans="1:11" x14ac:dyDescent="0.25">
      <c r="A163" s="121" t="s">
        <v>709</v>
      </c>
      <c r="B163" s="122">
        <v>6483357.5</v>
      </c>
      <c r="C163" s="122">
        <v>22116</v>
      </c>
      <c r="D163" s="122">
        <v>2709.5719999999997</v>
      </c>
      <c r="E163" s="122">
        <v>39914011.549087502</v>
      </c>
      <c r="F163" s="122">
        <v>88208493.431672409</v>
      </c>
      <c r="G163" s="122">
        <v>1066546981.5490874</v>
      </c>
      <c r="H163" s="122">
        <v>1166068981.5490875</v>
      </c>
      <c r="I163" s="122">
        <v>1232416981.5490878</v>
      </c>
      <c r="J163"/>
    </row>
    <row r="164" spans="1:11" x14ac:dyDescent="0.25">
      <c r="A164"/>
      <c r="B164"/>
      <c r="C164"/>
      <c r="D164"/>
      <c r="E164"/>
      <c r="F164"/>
      <c r="G164"/>
      <c r="H164"/>
      <c r="I164"/>
      <c r="J164"/>
    </row>
    <row r="165" spans="1:11" x14ac:dyDescent="0.25">
      <c r="A165"/>
      <c r="B165"/>
      <c r="C165"/>
      <c r="D165"/>
      <c r="E165"/>
      <c r="F165"/>
      <c r="G165"/>
      <c r="H165"/>
      <c r="I165"/>
      <c r="J165"/>
    </row>
    <row r="166" spans="1:11" x14ac:dyDescent="0.25">
      <c r="A166"/>
      <c r="B166"/>
      <c r="C166"/>
      <c r="D166"/>
      <c r="E166"/>
      <c r="F166"/>
      <c r="G166"/>
      <c r="H166"/>
      <c r="I166"/>
      <c r="J166"/>
    </row>
    <row r="167" spans="1:11" x14ac:dyDescent="0.25">
      <c r="A167"/>
      <c r="B167"/>
      <c r="C167"/>
      <c r="D167"/>
      <c r="E167"/>
      <c r="F167"/>
      <c r="G167"/>
      <c r="H167"/>
      <c r="I167"/>
      <c r="J167"/>
    </row>
    <row r="168" spans="1:11" x14ac:dyDescent="0.25">
      <c r="A168"/>
      <c r="B168"/>
      <c r="C168"/>
      <c r="D168"/>
      <c r="E168"/>
      <c r="F168"/>
      <c r="G168"/>
      <c r="H168"/>
      <c r="I168"/>
      <c r="J168"/>
    </row>
    <row r="169" spans="1:11" x14ac:dyDescent="0.25">
      <c r="A169"/>
      <c r="B169"/>
      <c r="C169"/>
      <c r="D169"/>
      <c r="E169"/>
      <c r="F169"/>
      <c r="G169"/>
      <c r="H169"/>
      <c r="I169"/>
      <c r="J169"/>
    </row>
    <row r="170" spans="1:11" x14ac:dyDescent="0.25">
      <c r="A170"/>
      <c r="B170"/>
      <c r="C170"/>
      <c r="D170"/>
      <c r="E170"/>
      <c r="F170"/>
      <c r="G170"/>
      <c r="H170"/>
      <c r="I170"/>
      <c r="J170"/>
    </row>
    <row r="171" spans="1:11" x14ac:dyDescent="0.25">
      <c r="A171"/>
      <c r="B171"/>
      <c r="C171"/>
      <c r="D171"/>
      <c r="E171"/>
      <c r="F171"/>
      <c r="G171"/>
      <c r="H171"/>
      <c r="I171"/>
      <c r="J171"/>
    </row>
    <row r="172" spans="1:11" x14ac:dyDescent="0.25">
      <c r="A172"/>
      <c r="B172"/>
      <c r="C172"/>
      <c r="D172"/>
      <c r="E172"/>
      <c r="F172"/>
      <c r="G172"/>
      <c r="H172"/>
      <c r="I172"/>
      <c r="J172"/>
    </row>
    <row r="173" spans="1:11" x14ac:dyDescent="0.25">
      <c r="A173"/>
      <c r="B173"/>
      <c r="C173"/>
      <c r="D173"/>
      <c r="E173"/>
      <c r="F173"/>
      <c r="G173"/>
      <c r="H173"/>
      <c r="I173"/>
      <c r="J173"/>
    </row>
    <row r="174" spans="1:11" x14ac:dyDescent="0.25">
      <c r="A174"/>
      <c r="B174"/>
      <c r="C174"/>
      <c r="D174"/>
      <c r="E174"/>
      <c r="F174"/>
      <c r="G174"/>
      <c r="H174"/>
      <c r="I174"/>
      <c r="J174"/>
    </row>
    <row r="175" spans="1:11" x14ac:dyDescent="0.25">
      <c r="A175"/>
      <c r="B175"/>
      <c r="C175"/>
      <c r="D175"/>
      <c r="E175"/>
      <c r="F175"/>
      <c r="G175"/>
      <c r="H175"/>
      <c r="I175"/>
      <c r="J175"/>
    </row>
    <row r="176" spans="1:11" x14ac:dyDescent="0.25">
      <c r="A176"/>
      <c r="B176"/>
      <c r="C176"/>
      <c r="D176"/>
      <c r="E176"/>
      <c r="F176"/>
      <c r="G176"/>
      <c r="H176"/>
      <c r="I176"/>
      <c r="J176"/>
    </row>
    <row r="177" spans="1:10" x14ac:dyDescent="0.25">
      <c r="A177"/>
      <c r="B177"/>
      <c r="C177"/>
      <c r="D177"/>
      <c r="E177"/>
      <c r="F177"/>
      <c r="G177"/>
      <c r="H177"/>
      <c r="I177"/>
      <c r="J177"/>
    </row>
    <row r="178" spans="1:10" x14ac:dyDescent="0.25">
      <c r="A178"/>
      <c r="B178"/>
      <c r="C178"/>
      <c r="D178"/>
      <c r="E178"/>
      <c r="F178"/>
      <c r="G178"/>
      <c r="H178"/>
      <c r="I178"/>
      <c r="J178"/>
    </row>
    <row r="179" spans="1:10" x14ac:dyDescent="0.25">
      <c r="A179"/>
      <c r="B179"/>
      <c r="C179"/>
      <c r="D179"/>
      <c r="E179"/>
      <c r="F179"/>
      <c r="G179"/>
      <c r="H179"/>
      <c r="I179"/>
      <c r="J179"/>
    </row>
    <row r="180" spans="1:10" x14ac:dyDescent="0.25">
      <c r="A180"/>
      <c r="B180"/>
      <c r="C180"/>
      <c r="D180"/>
      <c r="E180"/>
      <c r="F180"/>
      <c r="G180"/>
      <c r="H180"/>
      <c r="I180"/>
      <c r="J180"/>
    </row>
    <row r="181" spans="1:10" x14ac:dyDescent="0.25">
      <c r="A181"/>
      <c r="B181"/>
      <c r="C181"/>
      <c r="D181"/>
      <c r="E181"/>
      <c r="F181"/>
      <c r="G181"/>
      <c r="H181"/>
      <c r="I181"/>
      <c r="J181"/>
    </row>
    <row r="182" spans="1:10" x14ac:dyDescent="0.25">
      <c r="A182"/>
      <c r="B182"/>
      <c r="C182"/>
      <c r="D182"/>
      <c r="E182"/>
      <c r="F182"/>
      <c r="G182"/>
      <c r="H182"/>
      <c r="I182"/>
      <c r="J182"/>
    </row>
    <row r="183" spans="1:10" x14ac:dyDescent="0.25">
      <c r="A183"/>
      <c r="B183"/>
      <c r="C183"/>
      <c r="D183"/>
      <c r="E183"/>
      <c r="F183"/>
      <c r="G183"/>
      <c r="H183"/>
      <c r="I183"/>
      <c r="J183"/>
    </row>
    <row r="184" spans="1:10" x14ac:dyDescent="0.25">
      <c r="A184"/>
      <c r="B184"/>
      <c r="C184"/>
      <c r="D184"/>
      <c r="E184"/>
      <c r="F184"/>
      <c r="G184"/>
      <c r="H184"/>
      <c r="I184"/>
      <c r="J184"/>
    </row>
    <row r="185" spans="1:10" x14ac:dyDescent="0.25">
      <c r="A185"/>
      <c r="B185"/>
      <c r="C185"/>
      <c r="D185"/>
      <c r="E185"/>
      <c r="F185"/>
      <c r="G185"/>
      <c r="H185"/>
      <c r="I185"/>
      <c r="J185"/>
    </row>
    <row r="186" spans="1:10" x14ac:dyDescent="0.25">
      <c r="A186"/>
      <c r="B186"/>
      <c r="C186"/>
      <c r="D186"/>
      <c r="E186"/>
      <c r="F186"/>
      <c r="G186"/>
      <c r="H186"/>
      <c r="I186"/>
      <c r="J186"/>
    </row>
    <row r="187" spans="1:10" x14ac:dyDescent="0.25">
      <c r="A187"/>
      <c r="B187"/>
      <c r="C187"/>
      <c r="D187"/>
      <c r="E187"/>
      <c r="F187"/>
      <c r="G187"/>
      <c r="H187"/>
      <c r="I187"/>
      <c r="J187"/>
    </row>
    <row r="188" spans="1:10" x14ac:dyDescent="0.25">
      <c r="A188"/>
      <c r="B188"/>
      <c r="C188"/>
      <c r="D188"/>
      <c r="E188"/>
      <c r="F188"/>
      <c r="G188"/>
      <c r="H188"/>
      <c r="I188"/>
      <c r="J188"/>
    </row>
    <row r="189" spans="1:10" x14ac:dyDescent="0.25">
      <c r="A189"/>
      <c r="B189"/>
      <c r="C189"/>
      <c r="D189"/>
      <c r="E189"/>
      <c r="F189"/>
      <c r="G189"/>
      <c r="H189"/>
      <c r="I189"/>
      <c r="J189"/>
    </row>
    <row r="190" spans="1:10" x14ac:dyDescent="0.25">
      <c r="A190"/>
      <c r="B190"/>
      <c r="C190"/>
      <c r="D190"/>
      <c r="E190"/>
      <c r="F190"/>
      <c r="G190"/>
      <c r="H190"/>
      <c r="I190"/>
      <c r="J190"/>
    </row>
    <row r="191" spans="1:10" x14ac:dyDescent="0.25">
      <c r="A191"/>
      <c r="B191"/>
      <c r="C191"/>
      <c r="D191"/>
      <c r="E191"/>
      <c r="F191"/>
      <c r="G191"/>
      <c r="H191"/>
      <c r="I191"/>
      <c r="J191"/>
    </row>
    <row r="192" spans="1:10" x14ac:dyDescent="0.25">
      <c r="A192"/>
      <c r="B192"/>
      <c r="C192"/>
      <c r="D192"/>
      <c r="E192"/>
      <c r="F192"/>
      <c r="G192"/>
      <c r="H192"/>
      <c r="I192"/>
      <c r="J192"/>
    </row>
    <row r="193" spans="1:10" x14ac:dyDescent="0.25">
      <c r="A193"/>
      <c r="B193"/>
      <c r="C193"/>
      <c r="D193"/>
      <c r="E193"/>
      <c r="F193"/>
      <c r="G193"/>
      <c r="H193"/>
      <c r="I193"/>
      <c r="J193"/>
    </row>
    <row r="194" spans="1:10" x14ac:dyDescent="0.25">
      <c r="A194"/>
      <c r="B194"/>
      <c r="C194"/>
      <c r="D194"/>
      <c r="E194"/>
      <c r="F194"/>
      <c r="G194"/>
      <c r="H194"/>
      <c r="I194"/>
      <c r="J194"/>
    </row>
    <row r="195" spans="1:10" x14ac:dyDescent="0.25">
      <c r="A195"/>
      <c r="B195"/>
      <c r="C195"/>
      <c r="D195"/>
      <c r="E195"/>
      <c r="F195"/>
      <c r="G195"/>
      <c r="H195"/>
      <c r="I195"/>
      <c r="J195"/>
    </row>
    <row r="196" spans="1:10" x14ac:dyDescent="0.25">
      <c r="A196"/>
      <c r="B196"/>
      <c r="C196"/>
      <c r="D196"/>
      <c r="E196"/>
      <c r="F196"/>
      <c r="G196"/>
      <c r="H196"/>
      <c r="I196"/>
      <c r="J196"/>
    </row>
    <row r="197" spans="1:10" x14ac:dyDescent="0.25">
      <c r="A197"/>
      <c r="B197"/>
      <c r="C197"/>
      <c r="D197"/>
      <c r="E197"/>
      <c r="F197"/>
      <c r="G197"/>
      <c r="H197"/>
      <c r="I197"/>
      <c r="J197"/>
    </row>
    <row r="198" spans="1:10" x14ac:dyDescent="0.25">
      <c r="A198"/>
      <c r="B198"/>
      <c r="C198"/>
      <c r="D198"/>
      <c r="E198"/>
      <c r="F198"/>
      <c r="G198"/>
      <c r="H198"/>
      <c r="I198"/>
      <c r="J198"/>
    </row>
    <row r="199" spans="1:10" x14ac:dyDescent="0.25">
      <c r="A199"/>
      <c r="B199"/>
      <c r="C199"/>
      <c r="D199"/>
      <c r="E199"/>
      <c r="F199"/>
      <c r="G199"/>
      <c r="H199"/>
      <c r="I199"/>
      <c r="J199"/>
    </row>
    <row r="200" spans="1:10" x14ac:dyDescent="0.25">
      <c r="A200"/>
      <c r="B200"/>
      <c r="C200"/>
      <c r="D200"/>
      <c r="E200"/>
      <c r="F200"/>
      <c r="G200"/>
      <c r="H200"/>
      <c r="I200"/>
      <c r="J200"/>
    </row>
    <row r="201" spans="1:10" x14ac:dyDescent="0.25">
      <c r="A201"/>
      <c r="B201"/>
      <c r="C201"/>
      <c r="D201"/>
      <c r="E201"/>
      <c r="F201"/>
      <c r="G201"/>
      <c r="H201"/>
      <c r="I201"/>
      <c r="J201"/>
    </row>
    <row r="202" spans="1:10" x14ac:dyDescent="0.25">
      <c r="A202"/>
      <c r="B202"/>
      <c r="C202"/>
      <c r="D202"/>
      <c r="E202"/>
      <c r="F202"/>
      <c r="G202"/>
      <c r="H202"/>
      <c r="I202"/>
      <c r="J202"/>
    </row>
    <row r="203" spans="1:10" x14ac:dyDescent="0.25">
      <c r="A203"/>
      <c r="B203"/>
      <c r="C203"/>
      <c r="D203"/>
      <c r="E203"/>
      <c r="F203"/>
      <c r="G203"/>
      <c r="H203"/>
      <c r="I203"/>
      <c r="J203"/>
    </row>
    <row r="204" spans="1:10" x14ac:dyDescent="0.25">
      <c r="A204"/>
      <c r="B204"/>
      <c r="C204"/>
      <c r="D204"/>
      <c r="E204"/>
      <c r="F204"/>
      <c r="G204"/>
      <c r="H204"/>
      <c r="I204"/>
      <c r="J204"/>
    </row>
    <row r="205" spans="1:10" x14ac:dyDescent="0.25">
      <c r="A205"/>
      <c r="B205"/>
      <c r="C205"/>
      <c r="D205"/>
      <c r="E205"/>
      <c r="F205"/>
      <c r="G205"/>
      <c r="H205"/>
      <c r="I205"/>
      <c r="J205"/>
    </row>
    <row r="206" spans="1:10" x14ac:dyDescent="0.25">
      <c r="A206"/>
      <c r="B206"/>
      <c r="C206"/>
      <c r="D206"/>
      <c r="E206"/>
      <c r="F206"/>
      <c r="G206"/>
      <c r="H206"/>
      <c r="I206"/>
      <c r="J206"/>
    </row>
    <row r="207" spans="1:10" x14ac:dyDescent="0.25">
      <c r="A207"/>
      <c r="B207"/>
      <c r="C207"/>
      <c r="D207"/>
      <c r="E207"/>
      <c r="F207"/>
      <c r="G207"/>
      <c r="H207"/>
      <c r="I207"/>
      <c r="J207"/>
    </row>
    <row r="208" spans="1:10" x14ac:dyDescent="0.25">
      <c r="A208"/>
      <c r="B208"/>
      <c r="C208"/>
      <c r="D208"/>
      <c r="E208"/>
      <c r="F208"/>
      <c r="G208"/>
      <c r="H208"/>
      <c r="I208"/>
      <c r="J208"/>
    </row>
    <row r="209" spans="1:10" x14ac:dyDescent="0.25">
      <c r="A209"/>
      <c r="B209"/>
      <c r="C209"/>
      <c r="D209"/>
      <c r="E209"/>
      <c r="F209"/>
      <c r="G209"/>
      <c r="H209"/>
      <c r="I209"/>
      <c r="J209"/>
    </row>
    <row r="210" spans="1:10" x14ac:dyDescent="0.25">
      <c r="A210"/>
      <c r="B210"/>
      <c r="C210"/>
      <c r="D210"/>
      <c r="E210"/>
      <c r="F210"/>
      <c r="G210"/>
      <c r="H210"/>
      <c r="I210"/>
      <c r="J210"/>
    </row>
    <row r="211" spans="1:10" x14ac:dyDescent="0.25">
      <c r="A211"/>
      <c r="B211"/>
      <c r="C211"/>
      <c r="D211"/>
      <c r="E211"/>
      <c r="F211"/>
      <c r="G211"/>
      <c r="H211"/>
      <c r="I211"/>
      <c r="J211"/>
    </row>
    <row r="212" spans="1:10" x14ac:dyDescent="0.25">
      <c r="A212"/>
      <c r="B212"/>
      <c r="C212"/>
      <c r="D212"/>
      <c r="E212"/>
      <c r="F212"/>
      <c r="G212"/>
      <c r="H212"/>
      <c r="I212"/>
      <c r="J212"/>
    </row>
    <row r="213" spans="1:10" x14ac:dyDescent="0.25">
      <c r="A213"/>
      <c r="B213"/>
      <c r="C213"/>
      <c r="D213"/>
      <c r="E213"/>
      <c r="F213"/>
      <c r="G213"/>
      <c r="H213"/>
      <c r="I213"/>
      <c r="J213"/>
    </row>
    <row r="214" spans="1:10" x14ac:dyDescent="0.25">
      <c r="A214"/>
      <c r="B214"/>
      <c r="C214"/>
      <c r="D214"/>
      <c r="E214"/>
      <c r="F214"/>
      <c r="G214"/>
      <c r="H214"/>
      <c r="I214"/>
      <c r="J214"/>
    </row>
    <row r="215" spans="1:10" x14ac:dyDescent="0.25">
      <c r="A215"/>
      <c r="B215"/>
      <c r="C215"/>
      <c r="D215"/>
      <c r="E215"/>
      <c r="F215"/>
      <c r="G215"/>
      <c r="H215"/>
      <c r="I215"/>
      <c r="J215"/>
    </row>
    <row r="216" spans="1:10" x14ac:dyDescent="0.25">
      <c r="A216"/>
      <c r="B216"/>
      <c r="C216"/>
      <c r="D216"/>
      <c r="E216"/>
      <c r="F216"/>
      <c r="G216"/>
      <c r="H216"/>
      <c r="I216"/>
      <c r="J216"/>
    </row>
    <row r="217" spans="1:10" x14ac:dyDescent="0.25">
      <c r="A217"/>
      <c r="B217"/>
      <c r="C217"/>
      <c r="D217"/>
      <c r="E217"/>
      <c r="F217"/>
      <c r="G217"/>
      <c r="H217"/>
      <c r="I217"/>
      <c r="J217"/>
    </row>
    <row r="218" spans="1:10" x14ac:dyDescent="0.25">
      <c r="A218"/>
      <c r="B218"/>
      <c r="C218"/>
      <c r="D218"/>
      <c r="E218"/>
      <c r="F218"/>
      <c r="G218"/>
      <c r="H218"/>
      <c r="I218"/>
      <c r="J218"/>
    </row>
    <row r="219" spans="1:10" x14ac:dyDescent="0.25">
      <c r="A219"/>
      <c r="B219"/>
      <c r="C219"/>
      <c r="D219"/>
      <c r="E219"/>
      <c r="F219"/>
      <c r="G219"/>
      <c r="H219"/>
      <c r="I219"/>
      <c r="J219"/>
    </row>
    <row r="220" spans="1:10" x14ac:dyDescent="0.25">
      <c r="A220"/>
      <c r="B220"/>
      <c r="C220"/>
      <c r="D220"/>
      <c r="E220"/>
      <c r="F220"/>
      <c r="G220"/>
      <c r="H220"/>
      <c r="I220"/>
      <c r="J220"/>
    </row>
    <row r="221" spans="1:10" x14ac:dyDescent="0.25">
      <c r="A221"/>
      <c r="B221"/>
      <c r="C221"/>
      <c r="D221"/>
      <c r="E221"/>
      <c r="F221"/>
      <c r="G221"/>
      <c r="H221"/>
      <c r="I221"/>
      <c r="J221"/>
    </row>
    <row r="222" spans="1:10" x14ac:dyDescent="0.25">
      <c r="A222"/>
      <c r="B222"/>
      <c r="C222"/>
      <c r="D222"/>
      <c r="E222"/>
      <c r="F222"/>
      <c r="G222"/>
      <c r="H222"/>
      <c r="I222"/>
      <c r="J222"/>
    </row>
    <row r="223" spans="1:10" x14ac:dyDescent="0.25">
      <c r="A223"/>
      <c r="B223"/>
      <c r="C223"/>
      <c r="D223"/>
      <c r="E223"/>
      <c r="F223"/>
      <c r="G223"/>
      <c r="H223"/>
      <c r="I223"/>
      <c r="J223"/>
    </row>
    <row r="224" spans="1:10" x14ac:dyDescent="0.25">
      <c r="A224"/>
      <c r="B224"/>
      <c r="C224"/>
      <c r="D224"/>
      <c r="E224"/>
      <c r="F224"/>
      <c r="G224"/>
      <c r="H224"/>
      <c r="I224"/>
      <c r="J224"/>
    </row>
    <row r="225" spans="1:10" x14ac:dyDescent="0.25">
      <c r="A225"/>
      <c r="B225"/>
      <c r="C225"/>
      <c r="D225"/>
      <c r="E225"/>
      <c r="F225"/>
      <c r="G225"/>
      <c r="H225"/>
      <c r="I225"/>
      <c r="J225"/>
    </row>
    <row r="226" spans="1:10" x14ac:dyDescent="0.25">
      <c r="A226"/>
      <c r="B226"/>
      <c r="C226"/>
      <c r="D226"/>
      <c r="E226"/>
      <c r="F226"/>
      <c r="G226"/>
      <c r="H226"/>
      <c r="I226"/>
      <c r="J226"/>
    </row>
    <row r="227" spans="1:10" x14ac:dyDescent="0.25">
      <c r="A227"/>
      <c r="B227"/>
      <c r="C227"/>
      <c r="D227"/>
      <c r="E227"/>
      <c r="F227"/>
      <c r="G227"/>
      <c r="H227"/>
      <c r="I227"/>
      <c r="J227"/>
    </row>
    <row r="228" spans="1:10" x14ac:dyDescent="0.25">
      <c r="A228"/>
      <c r="B228"/>
      <c r="C228"/>
      <c r="D228"/>
      <c r="E228"/>
      <c r="F228"/>
      <c r="G228"/>
      <c r="H228"/>
      <c r="I228"/>
      <c r="J228"/>
    </row>
    <row r="229" spans="1:10" x14ac:dyDescent="0.25">
      <c r="A229"/>
      <c r="B229"/>
      <c r="C229"/>
      <c r="D229"/>
      <c r="E229"/>
      <c r="F229"/>
      <c r="G229"/>
      <c r="H229"/>
      <c r="I229"/>
      <c r="J229"/>
    </row>
    <row r="230" spans="1:10" x14ac:dyDescent="0.25">
      <c r="A230"/>
      <c r="B230"/>
      <c r="C230"/>
      <c r="D230"/>
      <c r="E230"/>
      <c r="F230"/>
      <c r="G230"/>
      <c r="H230"/>
      <c r="I230"/>
      <c r="J230"/>
    </row>
    <row r="231" spans="1:10" x14ac:dyDescent="0.25">
      <c r="A231"/>
      <c r="B231"/>
      <c r="C231"/>
      <c r="D231"/>
      <c r="E231"/>
      <c r="F231"/>
      <c r="G231"/>
      <c r="H231"/>
      <c r="I231"/>
      <c r="J231"/>
    </row>
    <row r="232" spans="1:10" x14ac:dyDescent="0.25">
      <c r="A232"/>
      <c r="B232"/>
      <c r="C232"/>
      <c r="D232"/>
      <c r="E232"/>
      <c r="F232"/>
      <c r="G232"/>
      <c r="H232"/>
      <c r="I232"/>
      <c r="J232"/>
    </row>
    <row r="233" spans="1:10" x14ac:dyDescent="0.25">
      <c r="A233"/>
      <c r="B233"/>
      <c r="C233"/>
      <c r="D233"/>
      <c r="E233"/>
      <c r="F233"/>
      <c r="G233"/>
      <c r="H233"/>
      <c r="I233"/>
      <c r="J233"/>
    </row>
    <row r="234" spans="1:10" x14ac:dyDescent="0.25">
      <c r="A234"/>
      <c r="B234"/>
      <c r="C234"/>
      <c r="D234"/>
      <c r="E234"/>
      <c r="F234"/>
      <c r="G234"/>
      <c r="H234"/>
      <c r="I234"/>
      <c r="J234"/>
    </row>
    <row r="235" spans="1:10" x14ac:dyDescent="0.25">
      <c r="A235"/>
      <c r="B235"/>
      <c r="C235"/>
      <c r="D235"/>
      <c r="E235"/>
      <c r="F235"/>
      <c r="G235"/>
      <c r="H235"/>
      <c r="I235"/>
      <c r="J235"/>
    </row>
    <row r="236" spans="1:10" x14ac:dyDescent="0.25">
      <c r="A236"/>
      <c r="B236"/>
      <c r="C236"/>
      <c r="D236"/>
      <c r="E236"/>
      <c r="F236"/>
      <c r="G236"/>
      <c r="H236"/>
      <c r="I236"/>
      <c r="J236"/>
    </row>
    <row r="237" spans="1:10" x14ac:dyDescent="0.25">
      <c r="A237"/>
      <c r="B237"/>
      <c r="C237"/>
      <c r="D237"/>
      <c r="E237"/>
      <c r="F237"/>
      <c r="G237"/>
      <c r="H237"/>
      <c r="I237"/>
      <c r="J237"/>
    </row>
    <row r="238" spans="1:10" x14ac:dyDescent="0.25">
      <c r="A238"/>
      <c r="B238"/>
      <c r="C238"/>
      <c r="D238"/>
      <c r="E238"/>
      <c r="F238"/>
      <c r="G238"/>
      <c r="H238"/>
      <c r="I238"/>
      <c r="J238"/>
    </row>
    <row r="239" spans="1:10" x14ac:dyDescent="0.25">
      <c r="A239"/>
      <c r="B239"/>
      <c r="C239"/>
      <c r="D239"/>
      <c r="E239"/>
      <c r="F239"/>
      <c r="G239"/>
      <c r="H239"/>
      <c r="I239"/>
      <c r="J239"/>
    </row>
    <row r="240" spans="1:10" x14ac:dyDescent="0.25">
      <c r="A240"/>
      <c r="B240"/>
      <c r="C240"/>
      <c r="D240"/>
      <c r="E240"/>
      <c r="F240"/>
      <c r="G240"/>
      <c r="H240"/>
      <c r="I240"/>
      <c r="J240"/>
    </row>
    <row r="241" spans="1:10" x14ac:dyDescent="0.25">
      <c r="A241"/>
      <c r="B241"/>
      <c r="C241"/>
      <c r="D241"/>
      <c r="E241"/>
      <c r="F241"/>
      <c r="G241"/>
      <c r="H241"/>
      <c r="I241"/>
      <c r="J241"/>
    </row>
    <row r="242" spans="1:10" x14ac:dyDescent="0.25">
      <c r="A242"/>
      <c r="B242"/>
      <c r="C242"/>
      <c r="D242"/>
      <c r="E242"/>
      <c r="F242"/>
      <c r="G242"/>
      <c r="H242"/>
      <c r="I242"/>
      <c r="J242"/>
    </row>
    <row r="243" spans="1:10" x14ac:dyDescent="0.25">
      <c r="A243"/>
      <c r="B243"/>
      <c r="C243"/>
      <c r="D243"/>
      <c r="E243"/>
      <c r="F243"/>
      <c r="G243"/>
      <c r="H243"/>
      <c r="I243"/>
      <c r="J243"/>
    </row>
    <row r="244" spans="1:10" x14ac:dyDescent="0.25">
      <c r="A244"/>
      <c r="B244"/>
      <c r="C244"/>
      <c r="D244"/>
      <c r="E244"/>
      <c r="F244"/>
      <c r="G244"/>
      <c r="H244"/>
      <c r="I244"/>
      <c r="J244"/>
    </row>
    <row r="245" spans="1:10" x14ac:dyDescent="0.25">
      <c r="A245"/>
      <c r="B245"/>
      <c r="C245"/>
      <c r="D245"/>
      <c r="E245"/>
      <c r="F245"/>
      <c r="G245"/>
      <c r="H245"/>
      <c r="I245"/>
      <c r="J245"/>
    </row>
    <row r="246" spans="1:10" x14ac:dyDescent="0.25">
      <c r="A246"/>
      <c r="B246"/>
      <c r="C246"/>
      <c r="D246"/>
      <c r="E246"/>
      <c r="F246"/>
      <c r="G246"/>
      <c r="H246"/>
      <c r="I246"/>
      <c r="J246"/>
    </row>
    <row r="247" spans="1:10" x14ac:dyDescent="0.25">
      <c r="A247"/>
      <c r="B247"/>
      <c r="C247"/>
      <c r="D247"/>
      <c r="E247"/>
      <c r="F247"/>
      <c r="G247"/>
      <c r="H247"/>
      <c r="I247"/>
      <c r="J247"/>
    </row>
    <row r="248" spans="1:10" x14ac:dyDescent="0.25">
      <c r="A248"/>
      <c r="B248"/>
      <c r="C248"/>
      <c r="D248"/>
      <c r="E248"/>
      <c r="F248"/>
      <c r="G248"/>
      <c r="H248"/>
      <c r="I248"/>
      <c r="J248"/>
    </row>
    <row r="249" spans="1:10" x14ac:dyDescent="0.25">
      <c r="A249"/>
      <c r="B249"/>
      <c r="C249"/>
      <c r="D249"/>
      <c r="E249"/>
      <c r="F249"/>
      <c r="G249"/>
      <c r="H249"/>
      <c r="I249"/>
      <c r="J249"/>
    </row>
    <row r="250" spans="1:10" x14ac:dyDescent="0.25">
      <c r="A250"/>
      <c r="B250"/>
      <c r="C250"/>
      <c r="D250"/>
      <c r="E250"/>
      <c r="F250"/>
      <c r="G250"/>
      <c r="H250"/>
      <c r="I250"/>
      <c r="J250"/>
    </row>
    <row r="251" spans="1:10" x14ac:dyDescent="0.25">
      <c r="A251"/>
      <c r="B251"/>
      <c r="C251"/>
      <c r="D251"/>
      <c r="E251"/>
      <c r="F251"/>
      <c r="G251"/>
      <c r="H251"/>
      <c r="I251"/>
      <c r="J251"/>
    </row>
    <row r="252" spans="1:10" x14ac:dyDescent="0.25">
      <c r="A252"/>
      <c r="B252"/>
      <c r="C252"/>
      <c r="D252"/>
      <c r="E252"/>
      <c r="F252"/>
      <c r="G252"/>
      <c r="H252"/>
      <c r="I252"/>
      <c r="J252"/>
    </row>
    <row r="253" spans="1:10" x14ac:dyDescent="0.25">
      <c r="A253"/>
      <c r="B253"/>
      <c r="C253"/>
      <c r="D253"/>
      <c r="E253"/>
      <c r="F253"/>
      <c r="G253"/>
      <c r="H253"/>
      <c r="I253"/>
      <c r="J253"/>
    </row>
    <row r="254" spans="1:10" x14ac:dyDescent="0.25">
      <c r="A254"/>
      <c r="B254"/>
      <c r="C254"/>
      <c r="D254"/>
      <c r="E254"/>
      <c r="F254"/>
      <c r="G254"/>
      <c r="H254"/>
      <c r="I254"/>
      <c r="J254"/>
    </row>
    <row r="255" spans="1:10" x14ac:dyDescent="0.25">
      <c r="A255"/>
      <c r="B255"/>
      <c r="C255"/>
      <c r="D255"/>
      <c r="E255"/>
      <c r="F255"/>
      <c r="G255"/>
      <c r="H255"/>
      <c r="I255"/>
      <c r="J255"/>
    </row>
    <row r="256" spans="1:10" x14ac:dyDescent="0.25">
      <c r="A256"/>
      <c r="B256"/>
      <c r="C256"/>
      <c r="D256"/>
      <c r="E256"/>
      <c r="F256"/>
      <c r="G256"/>
      <c r="H256"/>
      <c r="I256"/>
      <c r="J256"/>
    </row>
    <row r="257" spans="1:10" x14ac:dyDescent="0.25">
      <c r="A257"/>
      <c r="B257"/>
      <c r="C257"/>
      <c r="D257"/>
      <c r="E257"/>
      <c r="F257"/>
      <c r="G257"/>
      <c r="H257"/>
      <c r="I257"/>
      <c r="J257"/>
    </row>
    <row r="258" spans="1:10" x14ac:dyDescent="0.25">
      <c r="A258"/>
      <c r="B258"/>
      <c r="C258"/>
      <c r="D258"/>
      <c r="E258"/>
      <c r="F258"/>
      <c r="G258"/>
      <c r="H258"/>
      <c r="I258"/>
      <c r="J258"/>
    </row>
    <row r="259" spans="1:10" x14ac:dyDescent="0.25">
      <c r="A259"/>
      <c r="B259"/>
      <c r="C259"/>
      <c r="D259"/>
      <c r="E259"/>
      <c r="F259"/>
      <c r="G259"/>
      <c r="H259"/>
      <c r="I259"/>
      <c r="J259"/>
    </row>
    <row r="260" spans="1:10" x14ac:dyDescent="0.25">
      <c r="A260"/>
      <c r="B260"/>
      <c r="C260"/>
      <c r="D260"/>
      <c r="E260"/>
      <c r="F260"/>
      <c r="G260"/>
      <c r="H260"/>
      <c r="I260"/>
      <c r="J260"/>
    </row>
    <row r="261" spans="1:10" x14ac:dyDescent="0.25">
      <c r="A261"/>
      <c r="B261"/>
      <c r="C261"/>
      <c r="D261"/>
      <c r="E261"/>
      <c r="F261"/>
      <c r="G261"/>
      <c r="H261"/>
      <c r="I261"/>
      <c r="J261"/>
    </row>
    <row r="262" spans="1:10" x14ac:dyDescent="0.25">
      <c r="A262"/>
      <c r="B262"/>
      <c r="C262"/>
      <c r="D262"/>
      <c r="E262"/>
      <c r="F262"/>
      <c r="G262"/>
      <c r="H262"/>
      <c r="I262"/>
      <c r="J262"/>
    </row>
    <row r="263" spans="1:10" x14ac:dyDescent="0.25">
      <c r="A263"/>
      <c r="B263"/>
      <c r="C263"/>
      <c r="D263"/>
      <c r="E263"/>
      <c r="F263"/>
      <c r="G263"/>
      <c r="H263"/>
      <c r="I263"/>
      <c r="J263"/>
    </row>
    <row r="264" spans="1:10" x14ac:dyDescent="0.25">
      <c r="A264"/>
      <c r="B264"/>
      <c r="C264"/>
      <c r="D264"/>
      <c r="E264"/>
      <c r="F264"/>
      <c r="G264"/>
      <c r="H264"/>
      <c r="I264"/>
      <c r="J264"/>
    </row>
    <row r="265" spans="1:10" x14ac:dyDescent="0.25">
      <c r="A265"/>
      <c r="B265"/>
      <c r="C265"/>
      <c r="D265"/>
      <c r="E265"/>
      <c r="F265"/>
      <c r="G265"/>
      <c r="H265"/>
      <c r="I265"/>
      <c r="J265"/>
    </row>
    <row r="266" spans="1:10" x14ac:dyDescent="0.25">
      <c r="A266"/>
      <c r="B266"/>
      <c r="C266"/>
      <c r="D266"/>
      <c r="E266"/>
      <c r="F266"/>
      <c r="G266"/>
      <c r="H266"/>
      <c r="I266"/>
      <c r="J266"/>
    </row>
    <row r="267" spans="1:10" x14ac:dyDescent="0.25">
      <c r="A267"/>
      <c r="B267"/>
      <c r="C267"/>
      <c r="D267"/>
      <c r="E267"/>
      <c r="F267"/>
      <c r="G267"/>
      <c r="H267"/>
      <c r="I267"/>
      <c r="J267"/>
    </row>
    <row r="268" spans="1:10" x14ac:dyDescent="0.25">
      <c r="A268"/>
      <c r="B268"/>
      <c r="C268"/>
      <c r="D268"/>
      <c r="E268"/>
      <c r="F268"/>
      <c r="G268"/>
      <c r="H268"/>
      <c r="I268"/>
      <c r="J268"/>
    </row>
    <row r="269" spans="1:10" x14ac:dyDescent="0.25">
      <c r="A269"/>
      <c r="B269"/>
      <c r="C269"/>
      <c r="D269"/>
      <c r="E269"/>
      <c r="F269"/>
      <c r="G269"/>
      <c r="H269"/>
      <c r="I269"/>
      <c r="J269"/>
    </row>
    <row r="270" spans="1:10" x14ac:dyDescent="0.25">
      <c r="A270"/>
      <c r="B270"/>
      <c r="C270"/>
      <c r="D270"/>
      <c r="E270"/>
      <c r="F270"/>
      <c r="G270"/>
      <c r="H270"/>
      <c r="I270"/>
      <c r="J270"/>
    </row>
    <row r="271" spans="1:10" x14ac:dyDescent="0.25">
      <c r="A271"/>
      <c r="B271"/>
      <c r="C271"/>
      <c r="D271"/>
      <c r="E271"/>
      <c r="F271"/>
      <c r="G271"/>
      <c r="H271"/>
      <c r="I271"/>
      <c r="J271"/>
    </row>
    <row r="272" spans="1:10" x14ac:dyDescent="0.25">
      <c r="A272"/>
      <c r="B272"/>
      <c r="C272"/>
      <c r="D272"/>
      <c r="E272"/>
      <c r="F272"/>
      <c r="G272"/>
      <c r="H272"/>
      <c r="I272"/>
      <c r="J272"/>
    </row>
    <row r="273" spans="1:10" x14ac:dyDescent="0.25">
      <c r="A273"/>
      <c r="B273"/>
      <c r="C273"/>
      <c r="D273"/>
      <c r="E273"/>
      <c r="F273"/>
      <c r="G273"/>
      <c r="H273"/>
      <c r="I273"/>
      <c r="J273"/>
    </row>
    <row r="274" spans="1:10" x14ac:dyDescent="0.25">
      <c r="A274"/>
      <c r="B274"/>
      <c r="C274"/>
      <c r="D274"/>
      <c r="E274"/>
      <c r="F274"/>
      <c r="G274"/>
      <c r="H274"/>
      <c r="I274"/>
      <c r="J274"/>
    </row>
    <row r="275" spans="1:10" x14ac:dyDescent="0.25">
      <c r="A275"/>
      <c r="B275"/>
      <c r="C275"/>
      <c r="D275"/>
      <c r="E275"/>
      <c r="F275"/>
      <c r="G275"/>
      <c r="H275"/>
      <c r="I275"/>
      <c r="J275"/>
    </row>
    <row r="276" spans="1:10" x14ac:dyDescent="0.25">
      <c r="A276"/>
      <c r="B276"/>
      <c r="C276"/>
      <c r="D276"/>
      <c r="E276"/>
      <c r="F276"/>
      <c r="G276"/>
      <c r="H276"/>
      <c r="I276"/>
      <c r="J276"/>
    </row>
    <row r="277" spans="1:10" x14ac:dyDescent="0.25">
      <c r="A277"/>
      <c r="B277"/>
      <c r="C277"/>
      <c r="D277"/>
      <c r="E277"/>
      <c r="F277"/>
      <c r="G277"/>
      <c r="H277"/>
      <c r="I277"/>
      <c r="J277"/>
    </row>
    <row r="278" spans="1:10" x14ac:dyDescent="0.25">
      <c r="A278"/>
      <c r="B278"/>
      <c r="C278"/>
      <c r="D278"/>
      <c r="E278"/>
      <c r="F278"/>
      <c r="G278"/>
      <c r="H278"/>
      <c r="I278"/>
      <c r="J278"/>
    </row>
    <row r="279" spans="1:10" x14ac:dyDescent="0.25">
      <c r="A279"/>
      <c r="B279"/>
      <c r="C279"/>
      <c r="D279"/>
      <c r="E279"/>
      <c r="F279"/>
      <c r="G279"/>
      <c r="H279"/>
      <c r="I279"/>
      <c r="J279"/>
    </row>
    <row r="280" spans="1:10" x14ac:dyDescent="0.25">
      <c r="A280"/>
      <c r="B280"/>
      <c r="C280"/>
      <c r="D280"/>
      <c r="E280"/>
      <c r="F280"/>
      <c r="G280"/>
      <c r="H280"/>
      <c r="I280"/>
      <c r="J280"/>
    </row>
    <row r="281" spans="1:10" x14ac:dyDescent="0.25">
      <c r="A281"/>
      <c r="B281"/>
      <c r="C281"/>
      <c r="D281"/>
      <c r="E281"/>
      <c r="F281"/>
      <c r="G281"/>
      <c r="H281"/>
      <c r="I281"/>
      <c r="J281"/>
    </row>
    <row r="282" spans="1:10" x14ac:dyDescent="0.25">
      <c r="A282"/>
      <c r="B282"/>
      <c r="C282"/>
      <c r="D282"/>
      <c r="E282"/>
      <c r="F282"/>
      <c r="G282"/>
      <c r="H282"/>
      <c r="I282"/>
      <c r="J282"/>
    </row>
    <row r="283" spans="1:10" x14ac:dyDescent="0.25">
      <c r="A283"/>
      <c r="B283"/>
      <c r="C283"/>
      <c r="D283"/>
      <c r="E283"/>
      <c r="F283"/>
      <c r="G283"/>
      <c r="H283"/>
      <c r="I283"/>
      <c r="J283"/>
    </row>
    <row r="284" spans="1:10" x14ac:dyDescent="0.25">
      <c r="A284"/>
      <c r="B284"/>
      <c r="C284"/>
      <c r="D284"/>
      <c r="E284"/>
      <c r="F284"/>
      <c r="G284"/>
      <c r="H284"/>
      <c r="I284"/>
      <c r="J284"/>
    </row>
    <row r="285" spans="1:10" x14ac:dyDescent="0.25">
      <c r="A285"/>
      <c r="B285"/>
      <c r="C285"/>
      <c r="D285"/>
      <c r="E285"/>
      <c r="F285"/>
      <c r="G285"/>
      <c r="H285"/>
      <c r="I285"/>
      <c r="J285"/>
    </row>
    <row r="286" spans="1:10" x14ac:dyDescent="0.25">
      <c r="A286"/>
      <c r="B286"/>
      <c r="C286"/>
      <c r="D286"/>
      <c r="E286"/>
      <c r="F286"/>
      <c r="G286"/>
      <c r="H286"/>
      <c r="I286"/>
      <c r="J286"/>
    </row>
    <row r="287" spans="1:10" x14ac:dyDescent="0.25">
      <c r="A287"/>
      <c r="B287"/>
      <c r="C287"/>
      <c r="D287"/>
      <c r="E287"/>
      <c r="F287"/>
      <c r="G287"/>
      <c r="H287"/>
      <c r="I287"/>
      <c r="J287"/>
    </row>
    <row r="288" spans="1:10" x14ac:dyDescent="0.25">
      <c r="A288"/>
      <c r="B288"/>
      <c r="C288"/>
      <c r="D288"/>
      <c r="E288"/>
      <c r="F288"/>
      <c r="G288"/>
      <c r="H288"/>
      <c r="I288"/>
      <c r="J288"/>
    </row>
    <row r="289" spans="1:10" x14ac:dyDescent="0.25">
      <c r="A289"/>
      <c r="B289"/>
      <c r="C289"/>
      <c r="D289"/>
      <c r="E289"/>
      <c r="F289"/>
      <c r="G289"/>
      <c r="H289"/>
      <c r="I289"/>
      <c r="J289"/>
    </row>
    <row r="290" spans="1:10" x14ac:dyDescent="0.25">
      <c r="A290"/>
      <c r="B290"/>
      <c r="C290"/>
      <c r="D290"/>
      <c r="E290"/>
      <c r="F290"/>
      <c r="G290"/>
      <c r="H290"/>
      <c r="I290"/>
      <c r="J290"/>
    </row>
    <row r="291" spans="1:10" x14ac:dyDescent="0.25">
      <c r="A291"/>
      <c r="B291"/>
      <c r="C291"/>
      <c r="D291"/>
      <c r="E291"/>
      <c r="F291"/>
      <c r="G291"/>
      <c r="H291"/>
      <c r="I291"/>
      <c r="J291"/>
    </row>
    <row r="292" spans="1:10" x14ac:dyDescent="0.25">
      <c r="A292"/>
      <c r="B292"/>
      <c r="C292"/>
      <c r="D292"/>
      <c r="E292"/>
      <c r="F292"/>
      <c r="G292"/>
      <c r="H292"/>
      <c r="I292"/>
      <c r="J292"/>
    </row>
    <row r="293" spans="1:10" x14ac:dyDescent="0.25">
      <c r="A293"/>
      <c r="B293"/>
      <c r="C293"/>
      <c r="D293"/>
      <c r="E293"/>
      <c r="F293"/>
      <c r="G293"/>
      <c r="H293"/>
      <c r="I293"/>
      <c r="J293"/>
    </row>
    <row r="294" spans="1:10" x14ac:dyDescent="0.25">
      <c r="A294"/>
      <c r="B294"/>
      <c r="C294"/>
      <c r="D294"/>
      <c r="E294"/>
      <c r="F294"/>
      <c r="G294"/>
      <c r="H294"/>
      <c r="I294"/>
      <c r="J294"/>
    </row>
    <row r="295" spans="1:10" x14ac:dyDescent="0.25">
      <c r="A295"/>
      <c r="B295"/>
      <c r="C295"/>
      <c r="D295"/>
      <c r="E295"/>
      <c r="F295"/>
      <c r="G295"/>
      <c r="H295"/>
      <c r="I295"/>
      <c r="J295"/>
    </row>
    <row r="296" spans="1:10" x14ac:dyDescent="0.25">
      <c r="A296"/>
      <c r="B296"/>
      <c r="C296"/>
      <c r="D296"/>
      <c r="E296"/>
      <c r="F296"/>
      <c r="G296"/>
      <c r="H296"/>
      <c r="I296"/>
      <c r="J296"/>
    </row>
    <row r="297" spans="1:10" x14ac:dyDescent="0.25">
      <c r="A297"/>
      <c r="B297"/>
      <c r="C297"/>
      <c r="D297"/>
      <c r="E297"/>
      <c r="F297"/>
      <c r="G297"/>
      <c r="H297"/>
      <c r="I297"/>
      <c r="J297"/>
    </row>
    <row r="298" spans="1:10" x14ac:dyDescent="0.25">
      <c r="A298"/>
      <c r="B298"/>
      <c r="C298"/>
      <c r="D298"/>
      <c r="E298"/>
      <c r="F298"/>
      <c r="G298"/>
      <c r="H298"/>
      <c r="I298"/>
      <c r="J298"/>
    </row>
    <row r="299" spans="1:10" x14ac:dyDescent="0.25">
      <c r="A299"/>
      <c r="B299"/>
      <c r="C299"/>
      <c r="D299"/>
      <c r="E299"/>
      <c r="F299"/>
      <c r="G299"/>
      <c r="H299"/>
      <c r="I299"/>
      <c r="J299"/>
    </row>
    <row r="300" spans="1:10" x14ac:dyDescent="0.25">
      <c r="A300"/>
      <c r="B300"/>
      <c r="C300"/>
      <c r="D300"/>
      <c r="E300"/>
      <c r="F300"/>
      <c r="G300"/>
      <c r="H300"/>
      <c r="I300"/>
      <c r="J300"/>
    </row>
    <row r="301" spans="1:10" x14ac:dyDescent="0.25">
      <c r="A301"/>
      <c r="B301"/>
      <c r="C301"/>
      <c r="D301"/>
      <c r="E301"/>
      <c r="F301"/>
      <c r="G301"/>
      <c r="H301"/>
      <c r="I301"/>
      <c r="J301"/>
    </row>
    <row r="302" spans="1:10" x14ac:dyDescent="0.25">
      <c r="A302"/>
      <c r="B302"/>
      <c r="C302"/>
      <c r="D302"/>
      <c r="E302"/>
      <c r="F302"/>
      <c r="G302"/>
      <c r="H302"/>
      <c r="I302"/>
      <c r="J302"/>
    </row>
    <row r="303" spans="1:10" x14ac:dyDescent="0.25">
      <c r="A303"/>
      <c r="B303"/>
      <c r="C303"/>
      <c r="D303"/>
      <c r="E303"/>
      <c r="F303"/>
      <c r="G303"/>
      <c r="H303"/>
      <c r="I303"/>
      <c r="J303"/>
    </row>
    <row r="304" spans="1:10" x14ac:dyDescent="0.25">
      <c r="A304"/>
      <c r="B304"/>
      <c r="C304"/>
      <c r="D304"/>
      <c r="E304"/>
      <c r="F304"/>
      <c r="G304"/>
      <c r="H304"/>
      <c r="I304"/>
      <c r="J304"/>
    </row>
    <row r="305" spans="1:10" x14ac:dyDescent="0.25">
      <c r="A305"/>
      <c r="B305"/>
      <c r="C305"/>
      <c r="D305"/>
      <c r="E305"/>
      <c r="F305"/>
      <c r="G305"/>
      <c r="H305"/>
      <c r="I305"/>
      <c r="J305"/>
    </row>
    <row r="306" spans="1:10" x14ac:dyDescent="0.25">
      <c r="A306"/>
      <c r="B306"/>
      <c r="C306"/>
      <c r="D306"/>
      <c r="E306"/>
      <c r="F306"/>
      <c r="G306"/>
      <c r="H306"/>
      <c r="I306"/>
      <c r="J306"/>
    </row>
    <row r="307" spans="1:10" x14ac:dyDescent="0.25">
      <c r="A307"/>
      <c r="B307"/>
      <c r="C307"/>
      <c r="D307"/>
      <c r="E307"/>
      <c r="F307"/>
      <c r="G307"/>
      <c r="H307"/>
      <c r="I307"/>
      <c r="J307"/>
    </row>
    <row r="308" spans="1:10" x14ac:dyDescent="0.25">
      <c r="A308"/>
      <c r="B308"/>
      <c r="C308"/>
      <c r="D308"/>
      <c r="E308"/>
      <c r="F308"/>
      <c r="G308"/>
      <c r="H308"/>
      <c r="I308"/>
    </row>
    <row r="309" spans="1:10" x14ac:dyDescent="0.25">
      <c r="A309"/>
      <c r="B309"/>
      <c r="C309"/>
      <c r="D309"/>
      <c r="E309"/>
      <c r="F309"/>
      <c r="G309"/>
      <c r="H309"/>
      <c r="I309"/>
    </row>
    <row r="310" spans="1:10" x14ac:dyDescent="0.25">
      <c r="A310"/>
      <c r="B310"/>
      <c r="C310"/>
      <c r="D310"/>
      <c r="E310"/>
      <c r="F310"/>
      <c r="G310"/>
      <c r="H310"/>
      <c r="I310"/>
    </row>
    <row r="311" spans="1:10" x14ac:dyDescent="0.25">
      <c r="A311"/>
      <c r="B311"/>
      <c r="C311"/>
      <c r="D311"/>
      <c r="E311"/>
      <c r="F311"/>
      <c r="G311"/>
      <c r="H311"/>
      <c r="I311"/>
    </row>
    <row r="312" spans="1:10" x14ac:dyDescent="0.25">
      <c r="A312"/>
      <c r="B312"/>
      <c r="C312"/>
      <c r="D312"/>
      <c r="E312"/>
      <c r="F312"/>
      <c r="G312"/>
      <c r="H312"/>
      <c r="I312"/>
    </row>
    <row r="313" spans="1:10" x14ac:dyDescent="0.25">
      <c r="A313"/>
      <c r="B313"/>
      <c r="C313"/>
      <c r="D313"/>
      <c r="E313"/>
      <c r="F313"/>
      <c r="G313"/>
      <c r="H313"/>
      <c r="I313"/>
    </row>
    <row r="314" spans="1:10" x14ac:dyDescent="0.25">
      <c r="A314"/>
      <c r="B314"/>
      <c r="C314"/>
      <c r="D314"/>
      <c r="E314"/>
      <c r="F314"/>
      <c r="G314"/>
      <c r="H314"/>
      <c r="I314"/>
    </row>
    <row r="315" spans="1:10" x14ac:dyDescent="0.25">
      <c r="A315"/>
      <c r="B315"/>
      <c r="C315"/>
      <c r="D315"/>
      <c r="E315"/>
      <c r="F315"/>
      <c r="G315"/>
      <c r="H315"/>
      <c r="I315"/>
    </row>
    <row r="316" spans="1:10" x14ac:dyDescent="0.25">
      <c r="A316"/>
      <c r="B316"/>
      <c r="C316"/>
      <c r="D316"/>
      <c r="E316"/>
      <c r="F316"/>
      <c r="G316"/>
      <c r="H316"/>
      <c r="I316"/>
    </row>
    <row r="317" spans="1:10" x14ac:dyDescent="0.25">
      <c r="A317"/>
      <c r="B317"/>
      <c r="C317"/>
      <c r="D317"/>
      <c r="E317"/>
      <c r="F317"/>
      <c r="G317"/>
      <c r="H317"/>
      <c r="I317"/>
    </row>
    <row r="318" spans="1:10" x14ac:dyDescent="0.25">
      <c r="A318"/>
      <c r="B318"/>
      <c r="C318"/>
      <c r="D318"/>
      <c r="E318"/>
      <c r="F318"/>
      <c r="G318"/>
      <c r="H318"/>
      <c r="I318"/>
    </row>
    <row r="319" spans="1:10" x14ac:dyDescent="0.25">
      <c r="A319"/>
      <c r="B319"/>
      <c r="C319"/>
      <c r="D319"/>
      <c r="E319"/>
      <c r="F319"/>
      <c r="G319"/>
      <c r="H319"/>
      <c r="I319"/>
    </row>
    <row r="320" spans="1:10" x14ac:dyDescent="0.25">
      <c r="A320"/>
      <c r="B320"/>
      <c r="C320"/>
      <c r="D320"/>
      <c r="E320"/>
      <c r="F320"/>
      <c r="G320"/>
      <c r="H320"/>
      <c r="I320"/>
    </row>
    <row r="321" spans="1:9" x14ac:dyDescent="0.25">
      <c r="A321"/>
      <c r="B321"/>
      <c r="C321"/>
      <c r="D321"/>
      <c r="E321"/>
      <c r="F321"/>
      <c r="G321"/>
      <c r="H321"/>
      <c r="I321"/>
    </row>
    <row r="322" spans="1:9" x14ac:dyDescent="0.25">
      <c r="A322"/>
      <c r="B322"/>
      <c r="C322"/>
      <c r="D322"/>
      <c r="E322"/>
      <c r="F322"/>
      <c r="G322"/>
      <c r="H322"/>
      <c r="I322"/>
    </row>
    <row r="323" spans="1:9" x14ac:dyDescent="0.25">
      <c r="A323"/>
      <c r="B323"/>
      <c r="C323"/>
      <c r="D323"/>
      <c r="E323"/>
      <c r="F323"/>
      <c r="G323"/>
      <c r="H323"/>
      <c r="I323"/>
    </row>
    <row r="324" spans="1:9" x14ac:dyDescent="0.25">
      <c r="A324"/>
      <c r="B324"/>
      <c r="C324"/>
      <c r="D324"/>
      <c r="E324"/>
      <c r="F324"/>
      <c r="G324"/>
      <c r="H324"/>
      <c r="I324"/>
    </row>
    <row r="325" spans="1:9" x14ac:dyDescent="0.25">
      <c r="A325"/>
      <c r="B325"/>
      <c r="C325"/>
      <c r="D325"/>
      <c r="E325"/>
      <c r="F325"/>
      <c r="G325"/>
      <c r="H325"/>
      <c r="I325"/>
    </row>
    <row r="326" spans="1:9" x14ac:dyDescent="0.25">
      <c r="A326"/>
      <c r="B326"/>
      <c r="C326"/>
      <c r="D326"/>
      <c r="E326"/>
      <c r="F326"/>
      <c r="G326"/>
      <c r="H326"/>
      <c r="I326"/>
    </row>
    <row r="327" spans="1:9" x14ac:dyDescent="0.25">
      <c r="A327"/>
      <c r="B327"/>
      <c r="C327"/>
      <c r="D327"/>
      <c r="E327"/>
      <c r="F327"/>
      <c r="G327"/>
      <c r="H327"/>
      <c r="I327"/>
    </row>
    <row r="328" spans="1:9" x14ac:dyDescent="0.25">
      <c r="A328"/>
      <c r="B328"/>
      <c r="C328"/>
      <c r="D328"/>
      <c r="E328"/>
      <c r="F328"/>
      <c r="G328"/>
      <c r="H328"/>
      <c r="I328"/>
    </row>
    <row r="329" spans="1:9" x14ac:dyDescent="0.25">
      <c r="A329"/>
      <c r="B329"/>
      <c r="C329"/>
      <c r="D329"/>
      <c r="E329"/>
      <c r="F329"/>
      <c r="G329"/>
      <c r="H329"/>
      <c r="I329"/>
    </row>
    <row r="330" spans="1:9" x14ac:dyDescent="0.25">
      <c r="A330"/>
      <c r="B330"/>
      <c r="C330"/>
      <c r="D330"/>
      <c r="E330"/>
      <c r="F330"/>
      <c r="G330"/>
      <c r="H330"/>
      <c r="I330"/>
    </row>
    <row r="331" spans="1:9" x14ac:dyDescent="0.25">
      <c r="A331"/>
      <c r="B331"/>
      <c r="C331"/>
      <c r="D331"/>
      <c r="E331"/>
      <c r="F331"/>
      <c r="G331"/>
      <c r="H331"/>
      <c r="I331"/>
    </row>
    <row r="332" spans="1:9" x14ac:dyDescent="0.25">
      <c r="A332"/>
      <c r="B332"/>
      <c r="C332"/>
      <c r="D332"/>
      <c r="E332"/>
      <c r="F332"/>
      <c r="G332"/>
      <c r="H332"/>
      <c r="I332"/>
    </row>
    <row r="333" spans="1:9" x14ac:dyDescent="0.25">
      <c r="A333"/>
      <c r="B333"/>
      <c r="C333"/>
      <c r="D333"/>
      <c r="E333"/>
      <c r="F333"/>
      <c r="G333"/>
      <c r="H333"/>
      <c r="I333"/>
    </row>
    <row r="334" spans="1:9" x14ac:dyDescent="0.25">
      <c r="A334"/>
      <c r="B334"/>
      <c r="C334"/>
      <c r="D334"/>
      <c r="E334"/>
      <c r="F334"/>
      <c r="G334"/>
      <c r="H334"/>
      <c r="I334"/>
    </row>
    <row r="335" spans="1:9" x14ac:dyDescent="0.25">
      <c r="A335"/>
      <c r="B335"/>
      <c r="C335"/>
      <c r="D335"/>
      <c r="E335"/>
      <c r="F335"/>
      <c r="G335"/>
      <c r="H335"/>
      <c r="I335"/>
    </row>
    <row r="336" spans="1:9" x14ac:dyDescent="0.25">
      <c r="A336"/>
      <c r="B336"/>
      <c r="C336"/>
      <c r="D336"/>
      <c r="E336"/>
      <c r="F336"/>
      <c r="G336"/>
      <c r="H336"/>
      <c r="I336"/>
    </row>
    <row r="337" spans="1:9" x14ac:dyDescent="0.25">
      <c r="A337"/>
      <c r="B337"/>
      <c r="C337"/>
      <c r="D337"/>
      <c r="E337"/>
      <c r="F337"/>
      <c r="G337"/>
      <c r="H337"/>
      <c r="I337"/>
    </row>
    <row r="338" spans="1:9" x14ac:dyDescent="0.25">
      <c r="A338"/>
      <c r="B338"/>
      <c r="C338"/>
      <c r="D338"/>
      <c r="E338"/>
      <c r="F338"/>
      <c r="G338"/>
      <c r="H338"/>
      <c r="I338"/>
    </row>
    <row r="339" spans="1:9" x14ac:dyDescent="0.25">
      <c r="A339"/>
      <c r="B339"/>
      <c r="C339"/>
      <c r="D339"/>
      <c r="E339"/>
      <c r="F339"/>
      <c r="G339"/>
      <c r="H339"/>
      <c r="I339"/>
    </row>
    <row r="340" spans="1:9" x14ac:dyDescent="0.25">
      <c r="A340"/>
      <c r="B340"/>
      <c r="C340"/>
      <c r="D340"/>
      <c r="E340"/>
      <c r="F340"/>
      <c r="G340"/>
      <c r="H340"/>
      <c r="I340"/>
    </row>
    <row r="341" spans="1:9" x14ac:dyDescent="0.25">
      <c r="A341"/>
      <c r="B341"/>
      <c r="C341"/>
      <c r="D341"/>
      <c r="E341"/>
      <c r="F341"/>
      <c r="G341"/>
      <c r="H341"/>
      <c r="I341"/>
    </row>
    <row r="342" spans="1:9" x14ac:dyDescent="0.25">
      <c r="A342"/>
      <c r="B342"/>
      <c r="C342"/>
      <c r="D342"/>
      <c r="E342"/>
      <c r="F342"/>
      <c r="G342"/>
      <c r="H342"/>
      <c r="I342"/>
    </row>
    <row r="343" spans="1:9" x14ac:dyDescent="0.25">
      <c r="A343"/>
      <c r="B343"/>
      <c r="C343"/>
      <c r="D343"/>
      <c r="E343"/>
      <c r="F343"/>
      <c r="G343"/>
      <c r="H343"/>
      <c r="I343"/>
    </row>
    <row r="344" spans="1:9" x14ac:dyDescent="0.25">
      <c r="A344"/>
      <c r="B344"/>
      <c r="C344"/>
      <c r="D344"/>
      <c r="E344"/>
      <c r="F344"/>
      <c r="G344"/>
      <c r="H344"/>
      <c r="I344"/>
    </row>
    <row r="345" spans="1:9" x14ac:dyDescent="0.25">
      <c r="A345"/>
      <c r="B345"/>
      <c r="C345"/>
      <c r="D345"/>
      <c r="E345"/>
      <c r="F345"/>
      <c r="G345"/>
      <c r="H345"/>
      <c r="I345"/>
    </row>
    <row r="346" spans="1:9" x14ac:dyDescent="0.25">
      <c r="A346"/>
      <c r="B346"/>
      <c r="C346"/>
      <c r="D346"/>
      <c r="E346"/>
      <c r="F346"/>
      <c r="G346"/>
      <c r="H346"/>
      <c r="I346"/>
    </row>
    <row r="347" spans="1:9" x14ac:dyDescent="0.25">
      <c r="A347"/>
      <c r="B347"/>
      <c r="C347"/>
      <c r="D347"/>
      <c r="E347"/>
      <c r="F347"/>
      <c r="G347"/>
      <c r="H347"/>
      <c r="I347"/>
    </row>
    <row r="348" spans="1:9" x14ac:dyDescent="0.25">
      <c r="A348"/>
      <c r="B348"/>
      <c r="C348"/>
      <c r="D348"/>
      <c r="E348"/>
      <c r="F348"/>
      <c r="G348"/>
      <c r="H348"/>
      <c r="I348"/>
    </row>
    <row r="349" spans="1:9" x14ac:dyDescent="0.25">
      <c r="A349"/>
      <c r="B349"/>
      <c r="C349"/>
      <c r="D349"/>
      <c r="E349"/>
      <c r="F349"/>
      <c r="G349"/>
      <c r="H349"/>
      <c r="I349"/>
    </row>
    <row r="350" spans="1:9" x14ac:dyDescent="0.25">
      <c r="A350"/>
      <c r="B350"/>
      <c r="C350"/>
      <c r="D350"/>
      <c r="E350"/>
      <c r="F350"/>
      <c r="G350"/>
      <c r="H350"/>
      <c r="I350"/>
    </row>
    <row r="351" spans="1:9" x14ac:dyDescent="0.25">
      <c r="A351"/>
      <c r="B351"/>
      <c r="C351"/>
      <c r="D351"/>
      <c r="E351"/>
      <c r="F351"/>
      <c r="G351"/>
      <c r="H351"/>
      <c r="I351"/>
    </row>
    <row r="352" spans="1:9" x14ac:dyDescent="0.25">
      <c r="A352"/>
      <c r="B352"/>
      <c r="C352"/>
      <c r="D352"/>
      <c r="E352"/>
      <c r="F352"/>
      <c r="G352"/>
      <c r="H352"/>
      <c r="I352"/>
    </row>
    <row r="353" spans="1:9" x14ac:dyDescent="0.25">
      <c r="A353"/>
      <c r="B353"/>
      <c r="C353"/>
      <c r="D353"/>
      <c r="E353"/>
      <c r="F353"/>
      <c r="G353"/>
      <c r="H353"/>
      <c r="I353"/>
    </row>
    <row r="354" spans="1:9" x14ac:dyDescent="0.25">
      <c r="A354"/>
      <c r="B354"/>
      <c r="C354"/>
      <c r="D354"/>
      <c r="E354"/>
      <c r="F354"/>
      <c r="G354"/>
      <c r="H354"/>
      <c r="I354"/>
    </row>
    <row r="355" spans="1:9" x14ac:dyDescent="0.25">
      <c r="A355"/>
      <c r="B355"/>
      <c r="C355"/>
      <c r="D355"/>
      <c r="E355"/>
      <c r="F355"/>
      <c r="G355"/>
      <c r="H355"/>
      <c r="I355"/>
    </row>
    <row r="356" spans="1:9" x14ac:dyDescent="0.25">
      <c r="A356"/>
      <c r="B356"/>
      <c r="C356"/>
      <c r="D356"/>
      <c r="E356"/>
      <c r="F356"/>
      <c r="G356"/>
      <c r="H356"/>
      <c r="I356"/>
    </row>
    <row r="357" spans="1:9" x14ac:dyDescent="0.25">
      <c r="A357"/>
      <c r="B357"/>
      <c r="C357"/>
      <c r="D357"/>
      <c r="E357"/>
      <c r="F357"/>
      <c r="G357"/>
      <c r="H357"/>
      <c r="I357"/>
    </row>
    <row r="358" spans="1:9" x14ac:dyDescent="0.25">
      <c r="A358"/>
      <c r="B358"/>
      <c r="C358"/>
      <c r="D358"/>
      <c r="E358"/>
      <c r="F358"/>
      <c r="G358"/>
      <c r="H358"/>
      <c r="I358"/>
    </row>
    <row r="359" spans="1:9" x14ac:dyDescent="0.25">
      <c r="A359"/>
      <c r="B359"/>
      <c r="C359"/>
      <c r="D359"/>
      <c r="E359"/>
      <c r="F359"/>
      <c r="G359"/>
      <c r="H359"/>
      <c r="I359"/>
    </row>
    <row r="360" spans="1:9" x14ac:dyDescent="0.25">
      <c r="A360"/>
      <c r="B360"/>
      <c r="C360"/>
      <c r="D360"/>
      <c r="E360"/>
      <c r="F360"/>
      <c r="G360"/>
      <c r="H360"/>
      <c r="I360"/>
    </row>
    <row r="361" spans="1:9" x14ac:dyDescent="0.25">
      <c r="A361"/>
      <c r="B361"/>
      <c r="C361"/>
      <c r="D361"/>
      <c r="E361"/>
      <c r="F361"/>
      <c r="G361"/>
      <c r="H361"/>
      <c r="I361"/>
    </row>
    <row r="362" spans="1:9" x14ac:dyDescent="0.25">
      <c r="A362"/>
      <c r="B362"/>
      <c r="C362"/>
      <c r="D362"/>
      <c r="E362"/>
      <c r="F362"/>
      <c r="G362"/>
      <c r="H362"/>
      <c r="I362"/>
    </row>
    <row r="363" spans="1:9" x14ac:dyDescent="0.25">
      <c r="A363"/>
      <c r="B363"/>
      <c r="C363"/>
      <c r="D363"/>
      <c r="E363"/>
      <c r="F363"/>
      <c r="G363"/>
      <c r="H363"/>
      <c r="I363"/>
    </row>
    <row r="364" spans="1:9" x14ac:dyDescent="0.25">
      <c r="A364"/>
      <c r="B364"/>
      <c r="C364"/>
      <c r="D364"/>
      <c r="E364"/>
      <c r="F364"/>
      <c r="G364"/>
      <c r="H364"/>
      <c r="I364"/>
    </row>
    <row r="365" spans="1:9" x14ac:dyDescent="0.25">
      <c r="A365"/>
      <c r="B365"/>
      <c r="C365"/>
      <c r="D365"/>
      <c r="E365"/>
      <c r="F365"/>
      <c r="G365"/>
      <c r="H365"/>
      <c r="I365"/>
    </row>
    <row r="366" spans="1:9" x14ac:dyDescent="0.25">
      <c r="A366"/>
      <c r="B366"/>
      <c r="C366"/>
      <c r="D366"/>
      <c r="E366"/>
      <c r="F366"/>
      <c r="G366"/>
      <c r="H366"/>
      <c r="I366"/>
    </row>
    <row r="367" spans="1:9" x14ac:dyDescent="0.25">
      <c r="A367"/>
      <c r="B367"/>
      <c r="C367"/>
      <c r="D367"/>
      <c r="E367"/>
      <c r="F367"/>
      <c r="G367"/>
      <c r="H367"/>
      <c r="I367"/>
    </row>
    <row r="368" spans="1:9" x14ac:dyDescent="0.25">
      <c r="A368"/>
      <c r="B368"/>
      <c r="C368"/>
      <c r="D368"/>
      <c r="E368"/>
      <c r="F368"/>
      <c r="G368"/>
      <c r="H368"/>
      <c r="I368"/>
    </row>
    <row r="369" spans="1:9" x14ac:dyDescent="0.25">
      <c r="A369"/>
      <c r="B369"/>
      <c r="C369"/>
      <c r="D369"/>
      <c r="E369"/>
      <c r="F369"/>
      <c r="G369"/>
      <c r="H369"/>
      <c r="I369"/>
    </row>
    <row r="370" spans="1:9" x14ac:dyDescent="0.25">
      <c r="A370"/>
      <c r="B370"/>
      <c r="C370"/>
      <c r="D370"/>
      <c r="E370"/>
      <c r="F370"/>
      <c r="G370"/>
      <c r="H370"/>
      <c r="I370"/>
    </row>
    <row r="371" spans="1:9" x14ac:dyDescent="0.25">
      <c r="A371"/>
      <c r="B371"/>
      <c r="C371"/>
      <c r="D371"/>
      <c r="E371"/>
      <c r="F371"/>
      <c r="G371"/>
      <c r="H371"/>
      <c r="I371"/>
    </row>
    <row r="372" spans="1:9" x14ac:dyDescent="0.25">
      <c r="A372"/>
      <c r="B372"/>
      <c r="C372"/>
      <c r="D372"/>
      <c r="E372"/>
      <c r="F372"/>
      <c r="G372"/>
      <c r="H372"/>
      <c r="I372"/>
    </row>
    <row r="373" spans="1:9" x14ac:dyDescent="0.25">
      <c r="A373"/>
      <c r="B373"/>
      <c r="C373"/>
      <c r="D373"/>
      <c r="E373"/>
      <c r="F373"/>
      <c r="G373"/>
      <c r="H373"/>
      <c r="I373"/>
    </row>
    <row r="374" spans="1:9" x14ac:dyDescent="0.25">
      <c r="A374"/>
      <c r="B374"/>
      <c r="C374"/>
      <c r="D374"/>
      <c r="E374"/>
      <c r="F374"/>
      <c r="G374"/>
      <c r="H374"/>
      <c r="I374"/>
    </row>
    <row r="375" spans="1:9" x14ac:dyDescent="0.25">
      <c r="A375"/>
      <c r="B375"/>
      <c r="C375"/>
      <c r="D375"/>
      <c r="E375"/>
      <c r="F375"/>
      <c r="G375"/>
      <c r="H375"/>
      <c r="I375"/>
    </row>
    <row r="376" spans="1:9" x14ac:dyDescent="0.25">
      <c r="A376"/>
      <c r="B376"/>
      <c r="C376"/>
      <c r="D376"/>
      <c r="E376"/>
      <c r="F376"/>
      <c r="G376"/>
      <c r="H376"/>
      <c r="I376"/>
    </row>
    <row r="377" spans="1:9" x14ac:dyDescent="0.25">
      <c r="A377"/>
      <c r="B377"/>
      <c r="C377"/>
      <c r="D377"/>
      <c r="E377"/>
      <c r="F377"/>
      <c r="G377"/>
      <c r="H377"/>
      <c r="I377"/>
    </row>
    <row r="378" spans="1:9" x14ac:dyDescent="0.25">
      <c r="A378"/>
      <c r="B378"/>
      <c r="C378"/>
      <c r="D378"/>
      <c r="E378"/>
      <c r="F378"/>
      <c r="G378"/>
      <c r="H378"/>
      <c r="I378"/>
    </row>
    <row r="379" spans="1:9" x14ac:dyDescent="0.25">
      <c r="A379"/>
      <c r="B379"/>
      <c r="C379"/>
      <c r="D379"/>
      <c r="E379"/>
      <c r="F379"/>
      <c r="G379"/>
      <c r="H379"/>
      <c r="I379"/>
    </row>
    <row r="380" spans="1:9" x14ac:dyDescent="0.25">
      <c r="A380"/>
      <c r="B380"/>
      <c r="C380"/>
      <c r="D380"/>
      <c r="E380"/>
      <c r="F380"/>
      <c r="G380"/>
      <c r="H380"/>
      <c r="I380"/>
    </row>
    <row r="381" spans="1:9" x14ac:dyDescent="0.25">
      <c r="A381"/>
      <c r="B381"/>
      <c r="C381"/>
      <c r="D381"/>
      <c r="E381"/>
      <c r="F381"/>
      <c r="G381"/>
      <c r="H381"/>
      <c r="I381"/>
    </row>
    <row r="382" spans="1:9" x14ac:dyDescent="0.25">
      <c r="A382"/>
      <c r="B382"/>
      <c r="C382"/>
      <c r="D382"/>
      <c r="E382"/>
      <c r="F382"/>
      <c r="G382"/>
      <c r="H382"/>
      <c r="I382"/>
    </row>
    <row r="383" spans="1:9" x14ac:dyDescent="0.25">
      <c r="A383"/>
      <c r="B383"/>
      <c r="C383"/>
      <c r="D383"/>
      <c r="E383"/>
      <c r="F383"/>
      <c r="G383"/>
      <c r="H383"/>
      <c r="I383"/>
    </row>
    <row r="384" spans="1:9" x14ac:dyDescent="0.25">
      <c r="A384"/>
      <c r="B384"/>
      <c r="C384"/>
      <c r="D384"/>
      <c r="E384"/>
      <c r="F384"/>
      <c r="G384"/>
      <c r="H384"/>
      <c r="I384"/>
    </row>
    <row r="385" spans="1:9" x14ac:dyDescent="0.25">
      <c r="A385"/>
      <c r="B385"/>
      <c r="C385"/>
      <c r="D385"/>
      <c r="E385"/>
      <c r="F385"/>
      <c r="G385"/>
      <c r="H385"/>
      <c r="I385"/>
    </row>
    <row r="386" spans="1:9" x14ac:dyDescent="0.25">
      <c r="A386"/>
      <c r="B386"/>
      <c r="C386"/>
      <c r="D386"/>
      <c r="E386"/>
      <c r="F386"/>
      <c r="G386"/>
      <c r="H386"/>
      <c r="I386"/>
    </row>
    <row r="387" spans="1:9" x14ac:dyDescent="0.25">
      <c r="A387"/>
      <c r="B387"/>
      <c r="C387"/>
      <c r="D387"/>
      <c r="E387"/>
      <c r="F387"/>
      <c r="G387"/>
      <c r="H387"/>
      <c r="I387"/>
    </row>
    <row r="388" spans="1:9" x14ac:dyDescent="0.25">
      <c r="A388"/>
      <c r="B388"/>
      <c r="C388"/>
      <c r="D388"/>
      <c r="E388"/>
      <c r="F388"/>
      <c r="G388"/>
      <c r="H388"/>
      <c r="I388"/>
    </row>
    <row r="389" spans="1:9" x14ac:dyDescent="0.25">
      <c r="A389"/>
      <c r="B389"/>
      <c r="C389"/>
      <c r="D389"/>
      <c r="E389"/>
      <c r="F389"/>
      <c r="G389"/>
      <c r="H389"/>
      <c r="I389"/>
    </row>
    <row r="390" spans="1:9" x14ac:dyDescent="0.25">
      <c r="A390"/>
      <c r="B390"/>
      <c r="C390"/>
      <c r="D390"/>
      <c r="E390"/>
      <c r="F390"/>
      <c r="G390"/>
      <c r="H390"/>
      <c r="I390"/>
    </row>
    <row r="391" spans="1:9" x14ac:dyDescent="0.25">
      <c r="A391"/>
      <c r="B391"/>
      <c r="C391"/>
      <c r="D391"/>
      <c r="E391"/>
      <c r="F391"/>
      <c r="G391"/>
      <c r="H391"/>
      <c r="I391"/>
    </row>
    <row r="392" spans="1:9" x14ac:dyDescent="0.25">
      <c r="A392"/>
      <c r="B392"/>
      <c r="C392"/>
      <c r="D392"/>
      <c r="E392"/>
      <c r="F392"/>
      <c r="G392"/>
      <c r="H392"/>
      <c r="I392"/>
    </row>
    <row r="393" spans="1:9" x14ac:dyDescent="0.25">
      <c r="A393"/>
      <c r="B393"/>
      <c r="C393"/>
      <c r="D393"/>
      <c r="E393"/>
      <c r="F393"/>
      <c r="G393"/>
      <c r="H393"/>
      <c r="I393"/>
    </row>
    <row r="394" spans="1:9" x14ac:dyDescent="0.25">
      <c r="A394"/>
      <c r="B394"/>
      <c r="C394"/>
      <c r="D394"/>
      <c r="E394"/>
      <c r="F394"/>
      <c r="G394"/>
      <c r="H394"/>
      <c r="I394"/>
    </row>
    <row r="395" spans="1:9" x14ac:dyDescent="0.25">
      <c r="A395"/>
      <c r="B395"/>
      <c r="C395"/>
      <c r="D395"/>
      <c r="E395"/>
      <c r="F395"/>
      <c r="G395"/>
      <c r="H395"/>
      <c r="I395"/>
    </row>
    <row r="396" spans="1:9" x14ac:dyDescent="0.25">
      <c r="A396"/>
      <c r="B396"/>
      <c r="C396"/>
      <c r="D396"/>
      <c r="E396"/>
      <c r="F396"/>
      <c r="G396"/>
      <c r="H396"/>
      <c r="I396"/>
    </row>
    <row r="397" spans="1:9" x14ac:dyDescent="0.25">
      <c r="A397"/>
      <c r="B397"/>
      <c r="C397"/>
      <c r="D397"/>
      <c r="E397"/>
      <c r="F397"/>
      <c r="G397"/>
      <c r="H397"/>
      <c r="I397"/>
    </row>
    <row r="398" spans="1:9" x14ac:dyDescent="0.25">
      <c r="A398"/>
      <c r="B398"/>
      <c r="C398"/>
      <c r="D398"/>
      <c r="E398"/>
      <c r="F398"/>
      <c r="G398"/>
      <c r="H398"/>
      <c r="I398"/>
    </row>
    <row r="399" spans="1:9" x14ac:dyDescent="0.25">
      <c r="A399"/>
      <c r="B399"/>
      <c r="C399"/>
      <c r="D399"/>
      <c r="E399"/>
      <c r="F399"/>
      <c r="G399"/>
      <c r="H399"/>
      <c r="I399"/>
    </row>
    <row r="400" spans="1:9" x14ac:dyDescent="0.25">
      <c r="A400"/>
      <c r="B400"/>
      <c r="C400"/>
      <c r="D400"/>
      <c r="E400"/>
      <c r="F400"/>
      <c r="G400"/>
      <c r="H400"/>
      <c r="I400"/>
    </row>
    <row r="401" spans="1:9" x14ac:dyDescent="0.25">
      <c r="A401"/>
      <c r="B401"/>
      <c r="C401"/>
      <c r="D401"/>
      <c r="E401"/>
      <c r="F401"/>
      <c r="G401"/>
      <c r="H401"/>
      <c r="I401"/>
    </row>
    <row r="402" spans="1:9" x14ac:dyDescent="0.25">
      <c r="A402"/>
      <c r="B402"/>
      <c r="C402"/>
      <c r="D402"/>
      <c r="E402"/>
      <c r="F402"/>
      <c r="G402"/>
      <c r="H402"/>
      <c r="I402"/>
    </row>
    <row r="403" spans="1:9" x14ac:dyDescent="0.25">
      <c r="A403"/>
      <c r="B403"/>
      <c r="C403"/>
      <c r="D403"/>
      <c r="E403"/>
      <c r="F403"/>
      <c r="G403"/>
      <c r="H403"/>
      <c r="I403"/>
    </row>
    <row r="404" spans="1:9" x14ac:dyDescent="0.25">
      <c r="A404"/>
      <c r="B404"/>
      <c r="C404"/>
      <c r="D404"/>
      <c r="E404"/>
      <c r="F404"/>
      <c r="G404"/>
      <c r="H404"/>
      <c r="I404"/>
    </row>
    <row r="405" spans="1:9" x14ac:dyDescent="0.25">
      <c r="A405"/>
      <c r="B405"/>
      <c r="C405"/>
      <c r="D405"/>
      <c r="E405"/>
      <c r="F405"/>
      <c r="G405"/>
      <c r="H405"/>
      <c r="I405"/>
    </row>
    <row r="406" spans="1:9" x14ac:dyDescent="0.25">
      <c r="A406"/>
      <c r="B406"/>
      <c r="C406"/>
      <c r="D406"/>
      <c r="E406"/>
      <c r="F406"/>
      <c r="G406"/>
      <c r="H406"/>
      <c r="I406"/>
    </row>
    <row r="407" spans="1:9" x14ac:dyDescent="0.25">
      <c r="A407"/>
      <c r="B407"/>
      <c r="C407"/>
      <c r="D407"/>
      <c r="E407"/>
      <c r="F407"/>
      <c r="G407"/>
      <c r="H407"/>
      <c r="I407"/>
    </row>
    <row r="408" spans="1:9" x14ac:dyDescent="0.25">
      <c r="A408"/>
      <c r="B408"/>
      <c r="C408"/>
      <c r="D408"/>
      <c r="E408"/>
      <c r="F408"/>
      <c r="G408"/>
      <c r="H408"/>
      <c r="I408"/>
    </row>
    <row r="409" spans="1:9" x14ac:dyDescent="0.25">
      <c r="A409"/>
      <c r="B409"/>
      <c r="C409"/>
      <c r="D409"/>
      <c r="E409"/>
      <c r="F409"/>
      <c r="G409"/>
      <c r="H409"/>
      <c r="I409"/>
    </row>
    <row r="410" spans="1:9" x14ac:dyDescent="0.25">
      <c r="A410"/>
      <c r="B410"/>
      <c r="C410"/>
      <c r="D410"/>
      <c r="E410"/>
      <c r="F410"/>
      <c r="G410"/>
      <c r="H410"/>
      <c r="I410"/>
    </row>
    <row r="411" spans="1:9" x14ac:dyDescent="0.25">
      <c r="A411"/>
      <c r="B411"/>
      <c r="C411"/>
      <c r="D411"/>
      <c r="E411"/>
      <c r="F411"/>
      <c r="G411"/>
      <c r="H411"/>
      <c r="I411"/>
    </row>
    <row r="412" spans="1:9" x14ac:dyDescent="0.25">
      <c r="A412"/>
      <c r="B412"/>
      <c r="C412"/>
      <c r="D412"/>
      <c r="E412"/>
      <c r="F412"/>
      <c r="G412"/>
      <c r="H412"/>
      <c r="I412"/>
    </row>
    <row r="413" spans="1:9" x14ac:dyDescent="0.25">
      <c r="A413"/>
      <c r="B413"/>
      <c r="C413"/>
      <c r="D413"/>
      <c r="E413"/>
      <c r="F413"/>
      <c r="G413"/>
      <c r="H413"/>
      <c r="I413"/>
    </row>
    <row r="414" spans="1:9" x14ac:dyDescent="0.25">
      <c r="A414"/>
      <c r="B414"/>
      <c r="C414"/>
      <c r="D414"/>
      <c r="E414"/>
      <c r="F414"/>
      <c r="G414"/>
      <c r="H414"/>
      <c r="I414"/>
    </row>
    <row r="415" spans="1:9" x14ac:dyDescent="0.25">
      <c r="A415"/>
      <c r="B415"/>
      <c r="C415"/>
      <c r="D415"/>
      <c r="E415"/>
      <c r="F415"/>
      <c r="G415"/>
      <c r="H415"/>
      <c r="I415"/>
    </row>
    <row r="416" spans="1:9" x14ac:dyDescent="0.25">
      <c r="A416"/>
      <c r="B416"/>
      <c r="C416"/>
      <c r="D416"/>
      <c r="E416"/>
      <c r="F416"/>
      <c r="G416"/>
      <c r="H416"/>
      <c r="I416"/>
    </row>
    <row r="417" spans="1:9" x14ac:dyDescent="0.25">
      <c r="A417"/>
      <c r="B417"/>
      <c r="C417"/>
      <c r="D417"/>
      <c r="E417"/>
      <c r="F417"/>
      <c r="G417"/>
      <c r="H417"/>
      <c r="I417"/>
    </row>
    <row r="418" spans="1:9" x14ac:dyDescent="0.25">
      <c r="A418"/>
      <c r="B418"/>
      <c r="C418"/>
      <c r="D418"/>
      <c r="E418"/>
      <c r="F418"/>
      <c r="G418"/>
      <c r="H418"/>
      <c r="I418"/>
    </row>
    <row r="419" spans="1:9" x14ac:dyDescent="0.25">
      <c r="A419"/>
      <c r="B419"/>
      <c r="C419"/>
      <c r="D419"/>
      <c r="E419"/>
      <c r="F419"/>
      <c r="G419"/>
      <c r="H419"/>
      <c r="I419"/>
    </row>
    <row r="420" spans="1:9" x14ac:dyDescent="0.25">
      <c r="A420"/>
      <c r="B420"/>
      <c r="C420"/>
      <c r="D420"/>
      <c r="E420"/>
      <c r="F420"/>
      <c r="G420"/>
      <c r="H420"/>
      <c r="I420"/>
    </row>
    <row r="421" spans="1:9" x14ac:dyDescent="0.25">
      <c r="A421"/>
      <c r="B421"/>
      <c r="C421"/>
      <c r="D421"/>
      <c r="E421"/>
      <c r="F421"/>
      <c r="G421"/>
      <c r="H421"/>
      <c r="I421"/>
    </row>
    <row r="422" spans="1:9" x14ac:dyDescent="0.25">
      <c r="A422"/>
      <c r="B422"/>
      <c r="C422"/>
      <c r="D422"/>
      <c r="E422"/>
      <c r="F422"/>
      <c r="G422"/>
      <c r="H422"/>
      <c r="I422"/>
    </row>
    <row r="423" spans="1:9" x14ac:dyDescent="0.25">
      <c r="A423"/>
      <c r="B423"/>
      <c r="C423"/>
      <c r="D423"/>
      <c r="E423"/>
      <c r="F423"/>
      <c r="G423"/>
      <c r="H423"/>
      <c r="I423"/>
    </row>
    <row r="424" spans="1:9" x14ac:dyDescent="0.25">
      <c r="A424"/>
      <c r="B424"/>
      <c r="C424"/>
      <c r="D424"/>
      <c r="E424"/>
      <c r="F424"/>
      <c r="G424"/>
      <c r="H424"/>
      <c r="I424"/>
    </row>
    <row r="425" spans="1:9" x14ac:dyDescent="0.25">
      <c r="A425"/>
      <c r="B425"/>
      <c r="C425"/>
      <c r="D425"/>
      <c r="E425"/>
      <c r="F425"/>
      <c r="G425"/>
      <c r="H425"/>
      <c r="I425"/>
    </row>
    <row r="426" spans="1:9" x14ac:dyDescent="0.25">
      <c r="A426"/>
      <c r="B426"/>
      <c r="C426"/>
      <c r="D426"/>
      <c r="E426"/>
      <c r="F426"/>
      <c r="G426"/>
      <c r="H426"/>
      <c r="I426"/>
    </row>
    <row r="427" spans="1:9" x14ac:dyDescent="0.25">
      <c r="A427"/>
      <c r="B427"/>
      <c r="C427"/>
      <c r="D427"/>
      <c r="E427"/>
      <c r="F427"/>
      <c r="G427"/>
      <c r="H427"/>
      <c r="I427"/>
    </row>
    <row r="428" spans="1:9" x14ac:dyDescent="0.25">
      <c r="A428"/>
      <c r="B428"/>
      <c r="C428"/>
      <c r="D428"/>
      <c r="E428"/>
      <c r="F428"/>
      <c r="G428"/>
      <c r="H428"/>
      <c r="I428"/>
    </row>
    <row r="429" spans="1:9" x14ac:dyDescent="0.25">
      <c r="A429"/>
      <c r="B429"/>
      <c r="C429"/>
      <c r="D429"/>
      <c r="E429"/>
      <c r="F429"/>
      <c r="G429"/>
      <c r="H429"/>
      <c r="I429"/>
    </row>
    <row r="430" spans="1:9" x14ac:dyDescent="0.25">
      <c r="A430"/>
      <c r="B430"/>
      <c r="C430"/>
      <c r="D430"/>
      <c r="E430"/>
      <c r="F430"/>
      <c r="G430"/>
      <c r="H430"/>
      <c r="I430"/>
    </row>
    <row r="431" spans="1:9" x14ac:dyDescent="0.25">
      <c r="A431"/>
      <c r="B431"/>
      <c r="C431"/>
      <c r="D431"/>
      <c r="E431"/>
      <c r="F431"/>
      <c r="G431"/>
      <c r="H431"/>
      <c r="I431"/>
    </row>
    <row r="432" spans="1:9" x14ac:dyDescent="0.25">
      <c r="A432"/>
      <c r="B432"/>
      <c r="C432"/>
      <c r="D432"/>
      <c r="E432"/>
      <c r="F432"/>
      <c r="G432"/>
      <c r="H432"/>
      <c r="I432"/>
    </row>
    <row r="433" spans="1:9" x14ac:dyDescent="0.25">
      <c r="A433"/>
      <c r="B433"/>
      <c r="C433"/>
      <c r="D433"/>
      <c r="E433"/>
      <c r="F433"/>
      <c r="G433"/>
      <c r="H433"/>
      <c r="I433"/>
    </row>
    <row r="434" spans="1:9" x14ac:dyDescent="0.25">
      <c r="A434"/>
      <c r="B434"/>
      <c r="C434"/>
      <c r="D434"/>
      <c r="E434"/>
      <c r="F434"/>
      <c r="G434"/>
      <c r="H434"/>
      <c r="I434"/>
    </row>
    <row r="435" spans="1:9" x14ac:dyDescent="0.25">
      <c r="A435"/>
      <c r="B435"/>
      <c r="C435"/>
      <c r="D435"/>
      <c r="E435"/>
      <c r="F435"/>
      <c r="G435"/>
      <c r="H435"/>
      <c r="I435"/>
    </row>
    <row r="436" spans="1:9" x14ac:dyDescent="0.25">
      <c r="A436"/>
      <c r="B436"/>
      <c r="C436"/>
      <c r="D436"/>
      <c r="E436"/>
      <c r="F436"/>
      <c r="G436"/>
      <c r="H436"/>
      <c r="I436"/>
    </row>
    <row r="437" spans="1:9" x14ac:dyDescent="0.25">
      <c r="A437"/>
      <c r="B437"/>
      <c r="C437"/>
      <c r="D437"/>
      <c r="E437"/>
      <c r="F437"/>
      <c r="G437"/>
      <c r="H437"/>
      <c r="I437"/>
    </row>
    <row r="438" spans="1:9" x14ac:dyDescent="0.25">
      <c r="A438"/>
      <c r="B438"/>
      <c r="C438"/>
      <c r="D438"/>
      <c r="E438"/>
      <c r="F438"/>
      <c r="G438"/>
      <c r="H438"/>
      <c r="I438"/>
    </row>
    <row r="439" spans="1:9" x14ac:dyDescent="0.25">
      <c r="A439"/>
      <c r="B439"/>
      <c r="C439"/>
      <c r="D439"/>
      <c r="E439"/>
      <c r="F439"/>
      <c r="G439"/>
      <c r="H439"/>
      <c r="I439"/>
    </row>
    <row r="440" spans="1:9" x14ac:dyDescent="0.25">
      <c r="A440"/>
      <c r="B440"/>
      <c r="C440"/>
      <c r="D440"/>
      <c r="E440"/>
      <c r="F440"/>
      <c r="G440"/>
      <c r="H440"/>
      <c r="I440"/>
    </row>
    <row r="441" spans="1:9" x14ac:dyDescent="0.25">
      <c r="A441"/>
      <c r="B441"/>
      <c r="C441"/>
      <c r="D441"/>
      <c r="E441"/>
      <c r="F441"/>
      <c r="G441"/>
      <c r="H441"/>
      <c r="I441"/>
    </row>
    <row r="442" spans="1:9" x14ac:dyDescent="0.25">
      <c r="A442"/>
      <c r="B442"/>
      <c r="C442"/>
      <c r="D442"/>
      <c r="E442"/>
      <c r="F442"/>
      <c r="G442"/>
      <c r="H442"/>
      <c r="I442"/>
    </row>
    <row r="443" spans="1:9" x14ac:dyDescent="0.25">
      <c r="A443"/>
      <c r="B443"/>
      <c r="C443"/>
      <c r="D443"/>
      <c r="E443"/>
      <c r="F443"/>
      <c r="G443"/>
      <c r="H443"/>
      <c r="I443"/>
    </row>
    <row r="444" spans="1:9" x14ac:dyDescent="0.25">
      <c r="A444"/>
      <c r="B444"/>
      <c r="C444"/>
      <c r="D444"/>
      <c r="E444"/>
      <c r="F444"/>
      <c r="G444"/>
      <c r="H444"/>
      <c r="I444"/>
    </row>
    <row r="445" spans="1:9" x14ac:dyDescent="0.25">
      <c r="A445"/>
      <c r="B445"/>
      <c r="C445"/>
      <c r="D445"/>
      <c r="E445"/>
      <c r="F445"/>
      <c r="G445"/>
      <c r="H445"/>
      <c r="I445"/>
    </row>
    <row r="446" spans="1:9" x14ac:dyDescent="0.25">
      <c r="A446"/>
      <c r="B446"/>
      <c r="C446"/>
      <c r="D446"/>
      <c r="E446"/>
      <c r="F446"/>
      <c r="G446"/>
      <c r="H446"/>
      <c r="I446"/>
    </row>
    <row r="447" spans="1:9" x14ac:dyDescent="0.25">
      <c r="A447"/>
      <c r="B447"/>
      <c r="C447"/>
      <c r="D447"/>
      <c r="E447"/>
      <c r="F447"/>
      <c r="G447"/>
      <c r="H447"/>
      <c r="I447"/>
    </row>
    <row r="448" spans="1:9" x14ac:dyDescent="0.25">
      <c r="A448"/>
      <c r="B448"/>
      <c r="C448"/>
      <c r="D448"/>
      <c r="E448"/>
      <c r="F448"/>
      <c r="G448"/>
      <c r="H448"/>
      <c r="I448"/>
    </row>
    <row r="449" spans="1:9" x14ac:dyDescent="0.25">
      <c r="A449"/>
      <c r="B449"/>
      <c r="C449"/>
      <c r="D449"/>
      <c r="E449"/>
      <c r="F449"/>
      <c r="G449"/>
      <c r="H449"/>
      <c r="I449"/>
    </row>
    <row r="450" spans="1:9" x14ac:dyDescent="0.25">
      <c r="A450"/>
      <c r="B450"/>
      <c r="C450"/>
      <c r="D450"/>
      <c r="E450"/>
      <c r="F450"/>
      <c r="G450"/>
      <c r="H450"/>
      <c r="I450"/>
    </row>
    <row r="451" spans="1:9" x14ac:dyDescent="0.25">
      <c r="A451"/>
      <c r="B451"/>
      <c r="C451"/>
      <c r="D451"/>
      <c r="E451"/>
      <c r="F451"/>
      <c r="G451"/>
      <c r="H451"/>
      <c r="I451"/>
    </row>
    <row r="452" spans="1:9" x14ac:dyDescent="0.25">
      <c r="A452"/>
      <c r="B452"/>
      <c r="C452"/>
      <c r="D452"/>
      <c r="E452"/>
      <c r="F452"/>
      <c r="G452"/>
      <c r="H452"/>
      <c r="I452"/>
    </row>
    <row r="453" spans="1:9" x14ac:dyDescent="0.25">
      <c r="A453"/>
      <c r="B453"/>
      <c r="C453"/>
      <c r="D453"/>
      <c r="E453"/>
      <c r="F453"/>
      <c r="G453"/>
      <c r="H453"/>
      <c r="I453"/>
    </row>
    <row r="454" spans="1:9" x14ac:dyDescent="0.25">
      <c r="A454"/>
      <c r="B454"/>
      <c r="C454"/>
      <c r="D454"/>
      <c r="E454"/>
      <c r="F454"/>
      <c r="G454"/>
      <c r="H454"/>
      <c r="I454"/>
    </row>
    <row r="455" spans="1:9" x14ac:dyDescent="0.25">
      <c r="A455"/>
      <c r="B455"/>
      <c r="C455"/>
      <c r="D455"/>
      <c r="E455"/>
      <c r="F455"/>
      <c r="G455"/>
      <c r="H455"/>
      <c r="I455"/>
    </row>
    <row r="456" spans="1:9" x14ac:dyDescent="0.25">
      <c r="A456"/>
      <c r="B456"/>
      <c r="C456"/>
      <c r="D456"/>
      <c r="E456"/>
      <c r="F456"/>
      <c r="G456"/>
      <c r="H456"/>
      <c r="I456"/>
    </row>
    <row r="457" spans="1:9" x14ac:dyDescent="0.25">
      <c r="A457"/>
      <c r="B457"/>
      <c r="C457"/>
      <c r="D457"/>
      <c r="E457"/>
      <c r="F457"/>
      <c r="G457"/>
      <c r="H457"/>
      <c r="I457"/>
    </row>
    <row r="458" spans="1:9" x14ac:dyDescent="0.25">
      <c r="A458"/>
      <c r="B458"/>
      <c r="C458"/>
      <c r="D458"/>
      <c r="E458"/>
      <c r="F458"/>
      <c r="G458"/>
      <c r="H458"/>
      <c r="I458"/>
    </row>
    <row r="459" spans="1:9" x14ac:dyDescent="0.25">
      <c r="A459"/>
      <c r="B459"/>
      <c r="C459"/>
      <c r="D459"/>
      <c r="E459"/>
      <c r="F459"/>
      <c r="G459"/>
      <c r="H459"/>
      <c r="I459"/>
    </row>
    <row r="460" spans="1:9" x14ac:dyDescent="0.25">
      <c r="A460"/>
      <c r="B460"/>
      <c r="C460"/>
      <c r="D460"/>
      <c r="E460"/>
      <c r="F460"/>
      <c r="G460"/>
      <c r="H460"/>
      <c r="I460"/>
    </row>
    <row r="461" spans="1:9" x14ac:dyDescent="0.25">
      <c r="A461"/>
      <c r="B461"/>
      <c r="C461"/>
      <c r="D461"/>
      <c r="E461"/>
      <c r="F461"/>
      <c r="G461"/>
      <c r="H461"/>
      <c r="I461"/>
    </row>
    <row r="462" spans="1:9" x14ac:dyDescent="0.25">
      <c r="A462"/>
      <c r="B462"/>
      <c r="C462"/>
      <c r="D462"/>
      <c r="E462"/>
      <c r="F462"/>
      <c r="G462"/>
      <c r="H462"/>
      <c r="I462"/>
    </row>
    <row r="463" spans="1:9" x14ac:dyDescent="0.25">
      <c r="A463"/>
      <c r="B463"/>
      <c r="C463"/>
      <c r="D463"/>
      <c r="E463"/>
      <c r="F463"/>
      <c r="G463"/>
      <c r="H463"/>
      <c r="I463"/>
    </row>
    <row r="464" spans="1:9" x14ac:dyDescent="0.25">
      <c r="A464"/>
      <c r="B464"/>
      <c r="C464"/>
      <c r="D464"/>
      <c r="E464"/>
      <c r="F464"/>
      <c r="G464"/>
      <c r="H464"/>
      <c r="I464"/>
    </row>
    <row r="465" spans="1:9" x14ac:dyDescent="0.25">
      <c r="A465"/>
      <c r="B465"/>
      <c r="C465"/>
      <c r="D465"/>
      <c r="E465"/>
      <c r="F465"/>
      <c r="G465"/>
      <c r="H465"/>
      <c r="I465"/>
    </row>
    <row r="466" spans="1:9" x14ac:dyDescent="0.25">
      <c r="A466"/>
      <c r="B466"/>
      <c r="C466"/>
      <c r="D466"/>
      <c r="E466"/>
      <c r="F466"/>
      <c r="G466"/>
      <c r="H466"/>
      <c r="I466"/>
    </row>
    <row r="467" spans="1:9" x14ac:dyDescent="0.25">
      <c r="A467"/>
      <c r="B467"/>
      <c r="C467"/>
      <c r="D467"/>
      <c r="E467"/>
      <c r="F467"/>
      <c r="G467"/>
      <c r="H467"/>
      <c r="I467"/>
    </row>
    <row r="468" spans="1:9" x14ac:dyDescent="0.25">
      <c r="A468"/>
      <c r="B468"/>
      <c r="C468"/>
      <c r="D468"/>
      <c r="E468"/>
      <c r="F468"/>
      <c r="G468"/>
      <c r="H468"/>
      <c r="I468"/>
    </row>
    <row r="469" spans="1:9" x14ac:dyDescent="0.25">
      <c r="A469"/>
      <c r="B469"/>
      <c r="C469"/>
      <c r="D469"/>
      <c r="E469"/>
      <c r="F469"/>
      <c r="G469"/>
      <c r="H469"/>
      <c r="I469"/>
    </row>
    <row r="470" spans="1:9" x14ac:dyDescent="0.25">
      <c r="A470"/>
      <c r="B470"/>
      <c r="C470"/>
      <c r="D470"/>
      <c r="E470"/>
      <c r="F470"/>
      <c r="G470"/>
      <c r="H470"/>
      <c r="I470"/>
    </row>
    <row r="471" spans="1:9" x14ac:dyDescent="0.25">
      <c r="A471"/>
      <c r="B471"/>
      <c r="C471"/>
      <c r="D471"/>
      <c r="E471"/>
      <c r="F471"/>
      <c r="G471"/>
      <c r="H471"/>
      <c r="I471"/>
    </row>
    <row r="472" spans="1:9" x14ac:dyDescent="0.25">
      <c r="A472"/>
      <c r="B472"/>
      <c r="C472"/>
      <c r="D472"/>
      <c r="E472"/>
      <c r="F472"/>
      <c r="G472"/>
      <c r="H472"/>
      <c r="I472"/>
    </row>
    <row r="473" spans="1:9" x14ac:dyDescent="0.25">
      <c r="A473"/>
      <c r="B473"/>
      <c r="C473"/>
      <c r="D473"/>
      <c r="E473"/>
      <c r="F473"/>
      <c r="G473"/>
      <c r="H473"/>
      <c r="I473"/>
    </row>
    <row r="474" spans="1:9" x14ac:dyDescent="0.25">
      <c r="A474"/>
      <c r="B474"/>
      <c r="C474"/>
      <c r="D474"/>
      <c r="E474"/>
      <c r="F474"/>
      <c r="G474"/>
      <c r="H474"/>
      <c r="I474"/>
    </row>
    <row r="475" spans="1:9" x14ac:dyDescent="0.25">
      <c r="A475"/>
      <c r="B475"/>
      <c r="C475"/>
      <c r="D475"/>
      <c r="E475"/>
      <c r="F475"/>
      <c r="G475"/>
      <c r="H475"/>
      <c r="I475"/>
    </row>
    <row r="476" spans="1:9" x14ac:dyDescent="0.25">
      <c r="A476"/>
      <c r="B476"/>
      <c r="C476"/>
      <c r="D476"/>
      <c r="E476"/>
      <c r="F476"/>
      <c r="G476"/>
      <c r="H476"/>
      <c r="I476"/>
    </row>
    <row r="477" spans="1:9" x14ac:dyDescent="0.25">
      <c r="A477"/>
      <c r="B477"/>
      <c r="C477"/>
      <c r="D477"/>
      <c r="E477"/>
      <c r="F477"/>
      <c r="G477"/>
      <c r="H477"/>
      <c r="I477"/>
    </row>
    <row r="478" spans="1:9" x14ac:dyDescent="0.25">
      <c r="A478"/>
      <c r="B478"/>
      <c r="C478"/>
      <c r="D478"/>
      <c r="E478"/>
      <c r="F478"/>
      <c r="G478"/>
      <c r="H478"/>
      <c r="I478"/>
    </row>
    <row r="479" spans="1:9" x14ac:dyDescent="0.25">
      <c r="A479"/>
      <c r="B479"/>
      <c r="C479"/>
      <c r="D479"/>
      <c r="E479"/>
      <c r="F479"/>
      <c r="G479"/>
      <c r="H479"/>
      <c r="I479"/>
    </row>
    <row r="480" spans="1:9" x14ac:dyDescent="0.25">
      <c r="A480"/>
      <c r="B480"/>
      <c r="C480"/>
      <c r="D480"/>
      <c r="E480"/>
      <c r="F480"/>
      <c r="G480"/>
      <c r="H480"/>
      <c r="I480"/>
    </row>
    <row r="481" spans="1:9" x14ac:dyDescent="0.25">
      <c r="A481"/>
      <c r="B481"/>
      <c r="C481"/>
      <c r="D481"/>
      <c r="E481"/>
      <c r="F481"/>
      <c r="G481"/>
      <c r="H481"/>
      <c r="I481"/>
    </row>
    <row r="482" spans="1:9" x14ac:dyDescent="0.25">
      <c r="A482"/>
      <c r="B482"/>
      <c r="C482"/>
      <c r="D482"/>
      <c r="E482"/>
      <c r="F482"/>
      <c r="G482"/>
      <c r="H482"/>
      <c r="I482"/>
    </row>
    <row r="483" spans="1:9" x14ac:dyDescent="0.25">
      <c r="A483"/>
      <c r="B483"/>
      <c r="C483"/>
      <c r="D483"/>
      <c r="E483"/>
      <c r="F483"/>
      <c r="G483"/>
      <c r="H483"/>
      <c r="I483"/>
    </row>
    <row r="484" spans="1:9" x14ac:dyDescent="0.25">
      <c r="A484"/>
      <c r="B484"/>
      <c r="C484"/>
      <c r="D484"/>
      <c r="E484"/>
      <c r="F484"/>
      <c r="G484"/>
      <c r="H484"/>
      <c r="I484"/>
    </row>
    <row r="485" spans="1:9" x14ac:dyDescent="0.25">
      <c r="A485"/>
      <c r="B485"/>
      <c r="C485"/>
      <c r="D485"/>
      <c r="E485"/>
      <c r="F485"/>
      <c r="G485"/>
      <c r="H485"/>
      <c r="I485"/>
    </row>
    <row r="486" spans="1:9" x14ac:dyDescent="0.25">
      <c r="A486"/>
      <c r="B486"/>
      <c r="C486"/>
      <c r="D486"/>
      <c r="E486"/>
      <c r="F486"/>
      <c r="G486"/>
      <c r="H486"/>
      <c r="I486"/>
    </row>
    <row r="487" spans="1:9" x14ac:dyDescent="0.25">
      <c r="A487"/>
      <c r="B487"/>
      <c r="C487"/>
      <c r="D487"/>
      <c r="E487"/>
      <c r="F487"/>
      <c r="G487"/>
      <c r="H487"/>
      <c r="I487"/>
    </row>
    <row r="488" spans="1:9" x14ac:dyDescent="0.25">
      <c r="A488"/>
      <c r="B488"/>
      <c r="C488"/>
      <c r="D488"/>
      <c r="E488"/>
      <c r="F488"/>
      <c r="G488"/>
      <c r="H488"/>
      <c r="I488"/>
    </row>
    <row r="489" spans="1:9" x14ac:dyDescent="0.25">
      <c r="A489"/>
      <c r="B489"/>
      <c r="C489"/>
      <c r="D489"/>
      <c r="E489"/>
      <c r="F489"/>
      <c r="G489"/>
      <c r="H489"/>
      <c r="I489"/>
    </row>
    <row r="490" spans="1:9" x14ac:dyDescent="0.25">
      <c r="A490"/>
      <c r="B490"/>
      <c r="C490"/>
      <c r="D490"/>
      <c r="E490"/>
      <c r="F490"/>
      <c r="G490"/>
      <c r="H490"/>
      <c r="I490"/>
    </row>
    <row r="491" spans="1:9" x14ac:dyDescent="0.25">
      <c r="A491"/>
      <c r="B491"/>
      <c r="C491"/>
      <c r="D491"/>
      <c r="E491"/>
      <c r="F491"/>
      <c r="G491"/>
      <c r="H491"/>
      <c r="I491"/>
    </row>
    <row r="492" spans="1:9" x14ac:dyDescent="0.25">
      <c r="A492"/>
      <c r="B492"/>
      <c r="C492"/>
      <c r="D492"/>
      <c r="E492"/>
      <c r="F492"/>
      <c r="G492"/>
      <c r="H492"/>
      <c r="I492"/>
    </row>
    <row r="493" spans="1:9" x14ac:dyDescent="0.25">
      <c r="A493"/>
      <c r="B493"/>
      <c r="C493"/>
      <c r="D493"/>
      <c r="E493"/>
      <c r="F493"/>
      <c r="G493"/>
      <c r="H493"/>
      <c r="I493"/>
    </row>
    <row r="494" spans="1:9" x14ac:dyDescent="0.25">
      <c r="A494"/>
      <c r="B494"/>
      <c r="C494"/>
      <c r="D494"/>
      <c r="E494"/>
      <c r="F494"/>
      <c r="G494"/>
      <c r="H494"/>
      <c r="I494"/>
    </row>
    <row r="495" spans="1:9" x14ac:dyDescent="0.25">
      <c r="A495"/>
      <c r="B495"/>
      <c r="C495"/>
      <c r="D495"/>
      <c r="E495"/>
      <c r="F495"/>
      <c r="G495"/>
      <c r="H495"/>
      <c r="I495"/>
    </row>
    <row r="496" spans="1:9" x14ac:dyDescent="0.25">
      <c r="A496"/>
      <c r="B496"/>
      <c r="C496"/>
      <c r="D496"/>
      <c r="E496"/>
      <c r="F496"/>
      <c r="G496"/>
      <c r="H496"/>
      <c r="I496"/>
    </row>
    <row r="497" spans="1:9" x14ac:dyDescent="0.25">
      <c r="A497"/>
      <c r="B497"/>
      <c r="C497"/>
      <c r="D497"/>
      <c r="E497"/>
      <c r="F497"/>
      <c r="G497"/>
      <c r="H497"/>
      <c r="I497"/>
    </row>
    <row r="498" spans="1:9" x14ac:dyDescent="0.25">
      <c r="A498"/>
      <c r="B498"/>
      <c r="C498"/>
      <c r="D498"/>
      <c r="E498"/>
      <c r="F498"/>
      <c r="G498"/>
      <c r="H498"/>
      <c r="I498"/>
    </row>
    <row r="499" spans="1:9" x14ac:dyDescent="0.25">
      <c r="A499"/>
      <c r="B499"/>
      <c r="C499"/>
      <c r="D499"/>
      <c r="E499"/>
      <c r="F499"/>
      <c r="G499"/>
      <c r="H499"/>
      <c r="I499"/>
    </row>
    <row r="500" spans="1:9" x14ac:dyDescent="0.25">
      <c r="A500"/>
      <c r="B500"/>
      <c r="C500"/>
      <c r="D500"/>
      <c r="E500"/>
      <c r="F500"/>
      <c r="G500"/>
      <c r="H500"/>
      <c r="I500"/>
    </row>
    <row r="501" spans="1:9" x14ac:dyDescent="0.25">
      <c r="A501"/>
      <c r="B501"/>
      <c r="C501"/>
      <c r="D501"/>
      <c r="E501"/>
      <c r="F501"/>
      <c r="G501"/>
      <c r="H501"/>
      <c r="I501"/>
    </row>
    <row r="502" spans="1:9" x14ac:dyDescent="0.25">
      <c r="A502"/>
      <c r="B502"/>
      <c r="C502"/>
      <c r="D502"/>
      <c r="E502"/>
      <c r="F502"/>
      <c r="G502"/>
      <c r="H502"/>
      <c r="I502"/>
    </row>
    <row r="503" spans="1:9" x14ac:dyDescent="0.25">
      <c r="A503"/>
      <c r="B503"/>
      <c r="C503"/>
      <c r="D503"/>
      <c r="E503"/>
      <c r="F503"/>
      <c r="G503"/>
      <c r="H503"/>
      <c r="I503"/>
    </row>
    <row r="504" spans="1:9" x14ac:dyDescent="0.25">
      <c r="A504"/>
      <c r="B504"/>
      <c r="C504"/>
      <c r="D504"/>
      <c r="E504"/>
      <c r="F504"/>
      <c r="G504"/>
      <c r="H504"/>
      <c r="I504"/>
    </row>
    <row r="505" spans="1:9" x14ac:dyDescent="0.25">
      <c r="A505"/>
      <c r="B505"/>
      <c r="C505"/>
      <c r="D505"/>
      <c r="E505"/>
      <c r="F505"/>
      <c r="G505"/>
      <c r="H505"/>
      <c r="I505"/>
    </row>
    <row r="506" spans="1:9" x14ac:dyDescent="0.25">
      <c r="A506"/>
      <c r="B506"/>
      <c r="C506"/>
      <c r="D506"/>
      <c r="E506"/>
      <c r="F506"/>
      <c r="G506"/>
      <c r="H506"/>
      <c r="I506"/>
    </row>
    <row r="507" spans="1:9" x14ac:dyDescent="0.25">
      <c r="A507"/>
      <c r="B507"/>
      <c r="C507"/>
      <c r="D507"/>
      <c r="E507"/>
      <c r="F507"/>
      <c r="G507"/>
      <c r="H507"/>
      <c r="I507"/>
    </row>
    <row r="508" spans="1:9" x14ac:dyDescent="0.25">
      <c r="A508"/>
      <c r="B508"/>
      <c r="C508"/>
      <c r="D508"/>
      <c r="E508"/>
      <c r="F508"/>
      <c r="G508"/>
      <c r="H508"/>
      <c r="I508"/>
    </row>
    <row r="509" spans="1:9" x14ac:dyDescent="0.25">
      <c r="A509"/>
      <c r="B509"/>
      <c r="C509"/>
      <c r="D509"/>
      <c r="E509"/>
      <c r="F509"/>
      <c r="G509"/>
      <c r="H509"/>
      <c r="I509"/>
    </row>
    <row r="510" spans="1:9" x14ac:dyDescent="0.25">
      <c r="A510"/>
      <c r="B510"/>
      <c r="C510"/>
      <c r="D510"/>
      <c r="E510"/>
      <c r="F510"/>
      <c r="G510"/>
      <c r="H510"/>
      <c r="I510"/>
    </row>
    <row r="511" spans="1:9" x14ac:dyDescent="0.25">
      <c r="A511"/>
      <c r="B511"/>
      <c r="C511"/>
      <c r="D511"/>
      <c r="E511"/>
      <c r="F511"/>
      <c r="G511"/>
      <c r="H511"/>
      <c r="I511"/>
    </row>
    <row r="512" spans="1:9" x14ac:dyDescent="0.25">
      <c r="A512"/>
      <c r="B512"/>
      <c r="C512"/>
      <c r="D512"/>
      <c r="E512"/>
      <c r="F512"/>
      <c r="G512"/>
      <c r="H512"/>
      <c r="I512"/>
    </row>
    <row r="513" spans="1:9" x14ac:dyDescent="0.25">
      <c r="A513"/>
      <c r="B513"/>
      <c r="C513"/>
      <c r="D513"/>
      <c r="E513"/>
      <c r="F513"/>
      <c r="G513"/>
      <c r="H513"/>
      <c r="I513"/>
    </row>
    <row r="514" spans="1:9" x14ac:dyDescent="0.25">
      <c r="A514"/>
      <c r="B514"/>
      <c r="C514"/>
      <c r="D514"/>
      <c r="E514"/>
      <c r="F514"/>
      <c r="G514"/>
      <c r="H514"/>
      <c r="I514"/>
    </row>
    <row r="515" spans="1:9" x14ac:dyDescent="0.25">
      <c r="A515"/>
      <c r="B515"/>
      <c r="C515"/>
      <c r="D515"/>
      <c r="E515"/>
      <c r="F515"/>
      <c r="G515"/>
      <c r="H515"/>
      <c r="I515"/>
    </row>
    <row r="516" spans="1:9" x14ac:dyDescent="0.25">
      <c r="A516"/>
      <c r="B516"/>
      <c r="C516"/>
      <c r="D516"/>
      <c r="E516"/>
      <c r="F516"/>
      <c r="G516"/>
      <c r="H516"/>
      <c r="I516"/>
    </row>
    <row r="517" spans="1:9" x14ac:dyDescent="0.25">
      <c r="A517"/>
      <c r="B517"/>
      <c r="C517"/>
      <c r="D517"/>
      <c r="E517"/>
      <c r="F517"/>
      <c r="G517"/>
      <c r="H517"/>
      <c r="I517"/>
    </row>
    <row r="518" spans="1:9" x14ac:dyDescent="0.25">
      <c r="A518"/>
      <c r="B518"/>
      <c r="C518"/>
      <c r="D518"/>
      <c r="E518"/>
      <c r="F518"/>
      <c r="G518"/>
      <c r="H518"/>
      <c r="I518"/>
    </row>
    <row r="519" spans="1:9" x14ac:dyDescent="0.25">
      <c r="A519"/>
      <c r="B519"/>
      <c r="C519"/>
      <c r="D519"/>
      <c r="E519"/>
      <c r="F519"/>
      <c r="G519"/>
      <c r="H519"/>
      <c r="I519"/>
    </row>
    <row r="520" spans="1:9" x14ac:dyDescent="0.25">
      <c r="A520"/>
      <c r="B520"/>
      <c r="C520"/>
      <c r="D520"/>
      <c r="E520"/>
      <c r="F520"/>
      <c r="G520"/>
      <c r="H520"/>
      <c r="I520"/>
    </row>
    <row r="521" spans="1:9" x14ac:dyDescent="0.25">
      <c r="A521"/>
      <c r="B521"/>
      <c r="C521"/>
      <c r="D521"/>
      <c r="E521"/>
      <c r="F521"/>
      <c r="G521"/>
      <c r="H521"/>
      <c r="I521"/>
    </row>
    <row r="522" spans="1:9" x14ac:dyDescent="0.25">
      <c r="A522"/>
      <c r="B522"/>
      <c r="C522"/>
      <c r="D522"/>
      <c r="E522"/>
      <c r="F522"/>
      <c r="G522"/>
      <c r="H522"/>
      <c r="I522"/>
    </row>
    <row r="523" spans="1:9" x14ac:dyDescent="0.25">
      <c r="A523"/>
      <c r="B523"/>
      <c r="C523"/>
      <c r="D523"/>
      <c r="E523"/>
      <c r="F523"/>
      <c r="G523"/>
      <c r="H523"/>
      <c r="I523"/>
    </row>
    <row r="524" spans="1:9" x14ac:dyDescent="0.25">
      <c r="A524"/>
      <c r="B524"/>
      <c r="C524"/>
      <c r="D524"/>
      <c r="E524"/>
      <c r="F524"/>
      <c r="G524"/>
      <c r="H524"/>
      <c r="I524"/>
    </row>
    <row r="525" spans="1:9" x14ac:dyDescent="0.25">
      <c r="A525"/>
      <c r="B525"/>
      <c r="C525"/>
      <c r="D525"/>
      <c r="E525"/>
      <c r="F525"/>
      <c r="G525"/>
      <c r="H525"/>
      <c r="I525"/>
    </row>
    <row r="526" spans="1:9" x14ac:dyDescent="0.25">
      <c r="A526"/>
      <c r="B526"/>
      <c r="C526"/>
      <c r="D526"/>
      <c r="E526"/>
      <c r="F526"/>
      <c r="G526"/>
      <c r="H526"/>
      <c r="I526"/>
    </row>
    <row r="527" spans="1:9" x14ac:dyDescent="0.25">
      <c r="A527"/>
      <c r="B527"/>
      <c r="C527"/>
      <c r="D527"/>
      <c r="E527"/>
      <c r="F527"/>
      <c r="G527"/>
      <c r="H527"/>
      <c r="I527"/>
    </row>
    <row r="528" spans="1:9" x14ac:dyDescent="0.25">
      <c r="A528"/>
      <c r="B528"/>
      <c r="C528"/>
      <c r="D528"/>
      <c r="E528"/>
      <c r="F528"/>
      <c r="G528"/>
      <c r="H528"/>
      <c r="I528"/>
    </row>
    <row r="529" spans="1:9" x14ac:dyDescent="0.25">
      <c r="A529"/>
      <c r="B529"/>
      <c r="C529"/>
      <c r="D529"/>
      <c r="E529"/>
      <c r="F529"/>
      <c r="G529"/>
      <c r="H529"/>
      <c r="I529"/>
    </row>
    <row r="530" spans="1:9" x14ac:dyDescent="0.25">
      <c r="A530"/>
      <c r="B530"/>
      <c r="C530"/>
      <c r="D530"/>
      <c r="E530"/>
      <c r="F530"/>
      <c r="G530"/>
      <c r="H530"/>
      <c r="I530"/>
    </row>
    <row r="531" spans="1:9" x14ac:dyDescent="0.25">
      <c r="A531"/>
      <c r="B531"/>
      <c r="C531"/>
      <c r="D531"/>
      <c r="E531"/>
      <c r="F531"/>
      <c r="G531"/>
      <c r="H531"/>
      <c r="I531"/>
    </row>
    <row r="532" spans="1:9" x14ac:dyDescent="0.25">
      <c r="A532"/>
      <c r="B532"/>
      <c r="C532"/>
      <c r="D532"/>
      <c r="E532"/>
      <c r="F532"/>
      <c r="G532"/>
      <c r="H532"/>
      <c r="I532"/>
    </row>
    <row r="533" spans="1:9" x14ac:dyDescent="0.25">
      <c r="A533"/>
      <c r="B533"/>
      <c r="C533"/>
      <c r="D533"/>
      <c r="E533"/>
      <c r="F533"/>
      <c r="G533"/>
      <c r="H533"/>
      <c r="I533"/>
    </row>
    <row r="534" spans="1:9" x14ac:dyDescent="0.25">
      <c r="A534"/>
      <c r="B534"/>
      <c r="C534"/>
      <c r="D534"/>
      <c r="E534"/>
      <c r="F534"/>
      <c r="G534"/>
      <c r="H534"/>
      <c r="I534"/>
    </row>
    <row r="535" spans="1:9" x14ac:dyDescent="0.25">
      <c r="A535"/>
      <c r="B535"/>
      <c r="C535"/>
      <c r="D535"/>
      <c r="E535"/>
      <c r="F535"/>
      <c r="G535"/>
      <c r="H535"/>
      <c r="I535"/>
    </row>
    <row r="536" spans="1:9" x14ac:dyDescent="0.25">
      <c r="A536"/>
      <c r="B536"/>
      <c r="C536"/>
      <c r="D536"/>
      <c r="E536"/>
      <c r="F536"/>
      <c r="G536"/>
      <c r="H536"/>
      <c r="I536"/>
    </row>
    <row r="537" spans="1:9" x14ac:dyDescent="0.25">
      <c r="A537"/>
      <c r="B537"/>
      <c r="C537"/>
      <c r="D537"/>
      <c r="E537"/>
      <c r="F537"/>
      <c r="G537"/>
      <c r="H537"/>
      <c r="I537"/>
    </row>
    <row r="538" spans="1:9" x14ac:dyDescent="0.25">
      <c r="A538"/>
      <c r="B538"/>
      <c r="C538"/>
      <c r="D538"/>
      <c r="E538"/>
      <c r="F538"/>
      <c r="G538"/>
      <c r="H538"/>
      <c r="I538"/>
    </row>
    <row r="539" spans="1:9" x14ac:dyDescent="0.25">
      <c r="A539"/>
      <c r="B539"/>
      <c r="C539"/>
      <c r="D539"/>
      <c r="E539"/>
      <c r="F539"/>
      <c r="G539"/>
      <c r="H539"/>
      <c r="I539"/>
    </row>
    <row r="540" spans="1:9" x14ac:dyDescent="0.25">
      <c r="A540"/>
      <c r="B540"/>
      <c r="C540"/>
      <c r="D540"/>
      <c r="E540"/>
      <c r="F540"/>
      <c r="G540"/>
      <c r="H540"/>
      <c r="I540"/>
    </row>
    <row r="541" spans="1:9" x14ac:dyDescent="0.25">
      <c r="A541"/>
      <c r="B541"/>
      <c r="C541"/>
      <c r="D541"/>
      <c r="E541"/>
      <c r="F541"/>
      <c r="G541"/>
      <c r="H541"/>
      <c r="I541"/>
    </row>
    <row r="542" spans="1:9" x14ac:dyDescent="0.25">
      <c r="A542"/>
      <c r="B542"/>
      <c r="C542"/>
      <c r="D542"/>
      <c r="E542"/>
      <c r="F542"/>
      <c r="G542"/>
      <c r="H542"/>
      <c r="I542"/>
    </row>
    <row r="543" spans="1:9" x14ac:dyDescent="0.25">
      <c r="A543"/>
      <c r="B543"/>
      <c r="C543"/>
      <c r="D543"/>
      <c r="E543"/>
      <c r="F543"/>
      <c r="G543"/>
      <c r="H543"/>
      <c r="I543"/>
    </row>
    <row r="544" spans="1:9" x14ac:dyDescent="0.25">
      <c r="A544"/>
      <c r="B544"/>
      <c r="C544"/>
      <c r="D544"/>
      <c r="E544"/>
      <c r="F544"/>
      <c r="G544"/>
      <c r="H544"/>
      <c r="I544"/>
    </row>
    <row r="545" spans="1:9" x14ac:dyDescent="0.25">
      <c r="A545"/>
      <c r="B545"/>
      <c r="C545"/>
      <c r="D545"/>
      <c r="E545"/>
      <c r="F545"/>
      <c r="G545"/>
      <c r="H545"/>
      <c r="I545"/>
    </row>
    <row r="546" spans="1:9" x14ac:dyDescent="0.25">
      <c r="A546"/>
      <c r="B546"/>
      <c r="C546"/>
      <c r="D546"/>
      <c r="E546"/>
      <c r="F546"/>
      <c r="G546"/>
      <c r="H546"/>
      <c r="I546"/>
    </row>
    <row r="547" spans="1:9" x14ac:dyDescent="0.25">
      <c r="A547"/>
      <c r="B547"/>
      <c r="C547"/>
      <c r="D547"/>
      <c r="E547"/>
      <c r="F547"/>
      <c r="G547"/>
      <c r="H547"/>
      <c r="I547"/>
    </row>
    <row r="548" spans="1:9" x14ac:dyDescent="0.25">
      <c r="A548"/>
      <c r="B548"/>
      <c r="C548"/>
      <c r="D548"/>
      <c r="E548"/>
      <c r="F548"/>
      <c r="G548"/>
      <c r="H548"/>
      <c r="I548"/>
    </row>
    <row r="549" spans="1:9" x14ac:dyDescent="0.25">
      <c r="A549"/>
      <c r="B549"/>
      <c r="C549"/>
      <c r="D549"/>
      <c r="E549"/>
      <c r="F549"/>
      <c r="G549"/>
      <c r="H549"/>
      <c r="I549"/>
    </row>
    <row r="550" spans="1:9" x14ac:dyDescent="0.25">
      <c r="A550"/>
      <c r="B550"/>
      <c r="C550"/>
      <c r="D550"/>
      <c r="E550"/>
      <c r="F550"/>
      <c r="G550"/>
      <c r="H550"/>
      <c r="I550"/>
    </row>
    <row r="551" spans="1:9" x14ac:dyDescent="0.25">
      <c r="A551"/>
      <c r="B551"/>
      <c r="C551"/>
      <c r="D551"/>
      <c r="E551"/>
      <c r="F551"/>
      <c r="G551"/>
      <c r="H551"/>
      <c r="I551"/>
    </row>
    <row r="552" spans="1:9" x14ac:dyDescent="0.25">
      <c r="A552"/>
      <c r="B552"/>
      <c r="C552"/>
      <c r="D552"/>
      <c r="E552"/>
      <c r="F552"/>
      <c r="G552"/>
      <c r="H552"/>
      <c r="I552"/>
    </row>
    <row r="553" spans="1:9" x14ac:dyDescent="0.25">
      <c r="A553"/>
      <c r="B553"/>
      <c r="C553"/>
      <c r="D553"/>
      <c r="E553"/>
      <c r="F553"/>
      <c r="G553"/>
      <c r="H553"/>
      <c r="I553"/>
    </row>
    <row r="554" spans="1:9" x14ac:dyDescent="0.25">
      <c r="A554"/>
      <c r="B554"/>
      <c r="C554"/>
      <c r="D554"/>
      <c r="E554"/>
      <c r="F554"/>
      <c r="G554"/>
      <c r="H554"/>
      <c r="I554"/>
    </row>
    <row r="555" spans="1:9" x14ac:dyDescent="0.25">
      <c r="A555"/>
      <c r="B555"/>
      <c r="C555"/>
      <c r="D555"/>
      <c r="E555"/>
      <c r="F555"/>
      <c r="G555"/>
      <c r="H555"/>
      <c r="I555"/>
    </row>
    <row r="556" spans="1:9" x14ac:dyDescent="0.25">
      <c r="A556"/>
      <c r="B556"/>
      <c r="C556"/>
      <c r="D556"/>
      <c r="E556"/>
      <c r="F556"/>
      <c r="G556"/>
      <c r="H556"/>
      <c r="I556"/>
    </row>
    <row r="557" spans="1:9" x14ac:dyDescent="0.25">
      <c r="A557"/>
      <c r="B557"/>
      <c r="C557"/>
      <c r="D557"/>
      <c r="E557"/>
      <c r="F557"/>
      <c r="G557"/>
      <c r="H557"/>
      <c r="I557"/>
    </row>
    <row r="558" spans="1:9" x14ac:dyDescent="0.25">
      <c r="A558"/>
      <c r="B558"/>
      <c r="C558"/>
      <c r="D558"/>
      <c r="E558"/>
      <c r="F558"/>
      <c r="G558"/>
      <c r="H558"/>
      <c r="I558"/>
    </row>
    <row r="559" spans="1:9" x14ac:dyDescent="0.25">
      <c r="A559"/>
      <c r="B559"/>
      <c r="C559"/>
      <c r="D559"/>
      <c r="E559"/>
      <c r="F559"/>
      <c r="G559"/>
      <c r="H559"/>
      <c r="I559"/>
    </row>
    <row r="560" spans="1:9" x14ac:dyDescent="0.25">
      <c r="A560"/>
      <c r="B560"/>
      <c r="C560"/>
      <c r="D560"/>
      <c r="E560"/>
      <c r="F560"/>
      <c r="G560"/>
      <c r="H560"/>
      <c r="I560"/>
    </row>
    <row r="561" spans="1:9" x14ac:dyDescent="0.25">
      <c r="A561"/>
      <c r="B561"/>
      <c r="C561"/>
      <c r="D561"/>
      <c r="E561"/>
      <c r="F561"/>
      <c r="G561"/>
      <c r="H561"/>
      <c r="I561"/>
    </row>
    <row r="562" spans="1:9" x14ac:dyDescent="0.25">
      <c r="A562"/>
      <c r="B562"/>
      <c r="C562"/>
      <c r="D562"/>
      <c r="E562"/>
      <c r="F562"/>
      <c r="G562"/>
      <c r="H562"/>
      <c r="I562"/>
    </row>
    <row r="563" spans="1:9" x14ac:dyDescent="0.25">
      <c r="A563"/>
      <c r="B563"/>
      <c r="C563"/>
      <c r="D563"/>
      <c r="E563"/>
      <c r="F563"/>
      <c r="G563"/>
      <c r="H563"/>
      <c r="I563"/>
    </row>
    <row r="564" spans="1:9" x14ac:dyDescent="0.25">
      <c r="A564"/>
      <c r="B564"/>
      <c r="C564"/>
      <c r="D564"/>
      <c r="E564"/>
      <c r="F564"/>
      <c r="G564"/>
      <c r="H564"/>
      <c r="I564"/>
    </row>
    <row r="565" spans="1:9" x14ac:dyDescent="0.25">
      <c r="A565"/>
      <c r="B565"/>
      <c r="C565"/>
      <c r="D565"/>
      <c r="E565"/>
      <c r="F565"/>
      <c r="G565"/>
      <c r="H565"/>
      <c r="I565"/>
    </row>
    <row r="566" spans="1:9" x14ac:dyDescent="0.25">
      <c r="A566"/>
      <c r="B566"/>
      <c r="C566"/>
      <c r="D566"/>
      <c r="E566"/>
      <c r="F566"/>
      <c r="G566"/>
      <c r="H566"/>
      <c r="I566"/>
    </row>
    <row r="567" spans="1:9" x14ac:dyDescent="0.25">
      <c r="A567"/>
      <c r="B567"/>
      <c r="C567"/>
      <c r="D567"/>
      <c r="E567"/>
      <c r="F567"/>
      <c r="G567"/>
      <c r="H567"/>
      <c r="I567"/>
    </row>
    <row r="568" spans="1:9" x14ac:dyDescent="0.25">
      <c r="A568"/>
      <c r="B568"/>
      <c r="C568"/>
      <c r="D568"/>
      <c r="E568"/>
      <c r="F568"/>
      <c r="G568"/>
      <c r="H568"/>
      <c r="I568"/>
    </row>
    <row r="569" spans="1:9" x14ac:dyDescent="0.25">
      <c r="A569"/>
      <c r="B569"/>
      <c r="C569"/>
      <c r="D569"/>
      <c r="E569"/>
      <c r="F569"/>
      <c r="G569"/>
      <c r="H569"/>
      <c r="I569"/>
    </row>
    <row r="570" spans="1:9" x14ac:dyDescent="0.25">
      <c r="A570"/>
      <c r="B570"/>
      <c r="C570"/>
      <c r="D570"/>
      <c r="E570"/>
      <c r="F570"/>
      <c r="G570"/>
      <c r="H570"/>
      <c r="I570"/>
    </row>
    <row r="571" spans="1:9" x14ac:dyDescent="0.25">
      <c r="A571"/>
      <c r="B571"/>
      <c r="C571"/>
      <c r="D571"/>
      <c r="E571"/>
      <c r="F571"/>
      <c r="G571"/>
      <c r="H571"/>
      <c r="I571"/>
    </row>
    <row r="572" spans="1:9" x14ac:dyDescent="0.25">
      <c r="A572"/>
      <c r="B572"/>
      <c r="C572"/>
      <c r="D572"/>
      <c r="E572"/>
      <c r="F572"/>
      <c r="G572"/>
      <c r="H572"/>
      <c r="I572"/>
    </row>
    <row r="573" spans="1:9" x14ac:dyDescent="0.25">
      <c r="A573"/>
      <c r="B573"/>
      <c r="C573"/>
      <c r="D573"/>
      <c r="E573"/>
      <c r="F573"/>
      <c r="G573"/>
      <c r="H573"/>
      <c r="I573"/>
    </row>
    <row r="574" spans="1:9" x14ac:dyDescent="0.25">
      <c r="A574"/>
      <c r="B574"/>
      <c r="C574"/>
      <c r="D574"/>
      <c r="E574"/>
      <c r="F574"/>
      <c r="G574"/>
      <c r="H574"/>
      <c r="I574"/>
    </row>
    <row r="575" spans="1:9" x14ac:dyDescent="0.25">
      <c r="A575"/>
      <c r="B575"/>
      <c r="C575"/>
      <c r="D575"/>
      <c r="E575"/>
      <c r="F575"/>
      <c r="G575"/>
      <c r="H575"/>
      <c r="I575"/>
    </row>
    <row r="576" spans="1:9" x14ac:dyDescent="0.25">
      <c r="A576"/>
      <c r="B576"/>
      <c r="C576"/>
      <c r="D576"/>
      <c r="E576"/>
      <c r="F576"/>
      <c r="G576"/>
      <c r="H576"/>
      <c r="I576"/>
    </row>
    <row r="577" spans="1:9" x14ac:dyDescent="0.25">
      <c r="A577"/>
      <c r="B577"/>
      <c r="C577"/>
      <c r="D577"/>
      <c r="E577"/>
      <c r="F577"/>
      <c r="G577"/>
      <c r="H577"/>
      <c r="I577"/>
    </row>
    <row r="578" spans="1:9" x14ac:dyDescent="0.25">
      <c r="A578"/>
      <c r="B578"/>
      <c r="C578"/>
      <c r="D578"/>
      <c r="E578"/>
      <c r="F578"/>
      <c r="G578"/>
      <c r="H578"/>
      <c r="I578"/>
    </row>
    <row r="579" spans="1:9" x14ac:dyDescent="0.25">
      <c r="A579"/>
      <c r="B579"/>
      <c r="C579"/>
      <c r="D579"/>
      <c r="E579"/>
      <c r="F579"/>
      <c r="G579"/>
      <c r="H579"/>
      <c r="I579"/>
    </row>
    <row r="580" spans="1:9" x14ac:dyDescent="0.25">
      <c r="A580"/>
      <c r="B580"/>
      <c r="C580"/>
      <c r="D580"/>
      <c r="E580"/>
      <c r="F580"/>
      <c r="G580"/>
      <c r="H580"/>
      <c r="I580"/>
    </row>
    <row r="581" spans="1:9" x14ac:dyDescent="0.25">
      <c r="A581"/>
      <c r="B581"/>
      <c r="C581"/>
      <c r="D581"/>
      <c r="E581"/>
      <c r="F581"/>
      <c r="G581"/>
      <c r="H581"/>
      <c r="I581"/>
    </row>
    <row r="582" spans="1:9" x14ac:dyDescent="0.25">
      <c r="A582"/>
      <c r="B582"/>
      <c r="C582"/>
      <c r="D582"/>
      <c r="E582"/>
      <c r="F582"/>
      <c r="G582"/>
      <c r="H582"/>
      <c r="I582"/>
    </row>
    <row r="583" spans="1:9" x14ac:dyDescent="0.25">
      <c r="A583"/>
      <c r="B583"/>
      <c r="C583"/>
      <c r="D583"/>
      <c r="E583"/>
      <c r="F583"/>
      <c r="G583"/>
      <c r="H583"/>
      <c r="I583"/>
    </row>
    <row r="584" spans="1:9" x14ac:dyDescent="0.25">
      <c r="A584"/>
      <c r="B584"/>
      <c r="C584"/>
      <c r="D584"/>
      <c r="E584"/>
      <c r="F584"/>
      <c r="G584"/>
      <c r="H584"/>
      <c r="I584"/>
    </row>
    <row r="585" spans="1:9" x14ac:dyDescent="0.25">
      <c r="A585"/>
      <c r="B585"/>
      <c r="C585"/>
      <c r="D585"/>
      <c r="E585"/>
      <c r="F585"/>
      <c r="G585"/>
      <c r="H585"/>
      <c r="I585"/>
    </row>
    <row r="586" spans="1:9" x14ac:dyDescent="0.25">
      <c r="A586"/>
      <c r="B586"/>
      <c r="C586"/>
      <c r="D586"/>
      <c r="E586"/>
      <c r="F586"/>
      <c r="G586"/>
      <c r="H586"/>
      <c r="I586"/>
    </row>
    <row r="587" spans="1:9" x14ac:dyDescent="0.25">
      <c r="A587"/>
      <c r="B587"/>
      <c r="C587"/>
      <c r="D587"/>
      <c r="E587"/>
      <c r="F587"/>
      <c r="G587"/>
      <c r="H587"/>
      <c r="I587"/>
    </row>
    <row r="588" spans="1:9" x14ac:dyDescent="0.25">
      <c r="A588"/>
      <c r="B588"/>
      <c r="C588"/>
      <c r="D588"/>
      <c r="E588"/>
      <c r="F588"/>
      <c r="G588"/>
      <c r="H588"/>
      <c r="I588"/>
    </row>
    <row r="589" spans="1:9" x14ac:dyDescent="0.25">
      <c r="A589"/>
      <c r="B589"/>
      <c r="C589"/>
      <c r="D589"/>
      <c r="E589"/>
      <c r="F589"/>
      <c r="G589"/>
      <c r="H589"/>
      <c r="I589"/>
    </row>
    <row r="590" spans="1:9" x14ac:dyDescent="0.25">
      <c r="A590"/>
      <c r="B590"/>
      <c r="C590"/>
      <c r="D590"/>
      <c r="E590"/>
      <c r="F590"/>
      <c r="G590"/>
      <c r="H590"/>
      <c r="I590"/>
    </row>
    <row r="591" spans="1:9" x14ac:dyDescent="0.25">
      <c r="A591"/>
      <c r="B591"/>
      <c r="C591"/>
      <c r="D591"/>
      <c r="E591"/>
      <c r="F591"/>
      <c r="G591"/>
      <c r="H591"/>
      <c r="I591"/>
    </row>
    <row r="592" spans="1:9" x14ac:dyDescent="0.25">
      <c r="A592"/>
      <c r="B592"/>
      <c r="C592"/>
      <c r="D592"/>
      <c r="E592"/>
      <c r="F592"/>
      <c r="G592"/>
      <c r="H592"/>
      <c r="I592"/>
    </row>
    <row r="593" spans="1:9" x14ac:dyDescent="0.25">
      <c r="A593"/>
      <c r="B593"/>
      <c r="C593"/>
      <c r="D593"/>
      <c r="E593"/>
      <c r="F593"/>
      <c r="G593"/>
      <c r="H593"/>
      <c r="I593"/>
    </row>
    <row r="594" spans="1:9" x14ac:dyDescent="0.25">
      <c r="A594"/>
      <c r="B594"/>
      <c r="C594"/>
      <c r="D594"/>
      <c r="E594"/>
      <c r="F594"/>
      <c r="G594"/>
      <c r="H594"/>
      <c r="I594"/>
    </row>
    <row r="595" spans="1:9" x14ac:dyDescent="0.25">
      <c r="A595"/>
      <c r="B595"/>
      <c r="C595"/>
      <c r="D595"/>
      <c r="E595"/>
      <c r="F595"/>
      <c r="G595"/>
      <c r="H595"/>
      <c r="I595"/>
    </row>
    <row r="596" spans="1:9" x14ac:dyDescent="0.25">
      <c r="A596"/>
      <c r="B596"/>
      <c r="C596"/>
      <c r="D596"/>
      <c r="E596"/>
      <c r="F596"/>
      <c r="G596"/>
      <c r="H596"/>
      <c r="I596"/>
    </row>
    <row r="597" spans="1:9" x14ac:dyDescent="0.25">
      <c r="A597"/>
      <c r="B597"/>
      <c r="C597"/>
      <c r="D597"/>
      <c r="E597"/>
      <c r="F597"/>
      <c r="G597"/>
      <c r="H597"/>
      <c r="I597"/>
    </row>
    <row r="598" spans="1:9" x14ac:dyDescent="0.25">
      <c r="A598"/>
      <c r="B598"/>
      <c r="C598"/>
      <c r="D598"/>
      <c r="E598"/>
      <c r="F598"/>
      <c r="G598"/>
      <c r="H598"/>
      <c r="I598"/>
    </row>
    <row r="599" spans="1:9" x14ac:dyDescent="0.25">
      <c r="A599"/>
      <c r="B599"/>
      <c r="C599"/>
      <c r="D599"/>
      <c r="E599"/>
      <c r="F599"/>
      <c r="G599"/>
      <c r="H599"/>
      <c r="I599"/>
    </row>
    <row r="600" spans="1:9" x14ac:dyDescent="0.25">
      <c r="A600"/>
      <c r="B600"/>
      <c r="C600"/>
      <c r="D600"/>
      <c r="E600"/>
      <c r="F600"/>
      <c r="G600"/>
      <c r="H600"/>
      <c r="I600"/>
    </row>
    <row r="601" spans="1:9" x14ac:dyDescent="0.25">
      <c r="A601"/>
      <c r="B601"/>
      <c r="C601"/>
      <c r="D601"/>
      <c r="E601"/>
      <c r="F601"/>
      <c r="G601"/>
      <c r="H601"/>
      <c r="I601"/>
    </row>
    <row r="602" spans="1:9" x14ac:dyDescent="0.25">
      <c r="A602"/>
      <c r="B602"/>
      <c r="C602"/>
      <c r="D602"/>
      <c r="E602"/>
      <c r="F602"/>
      <c r="G602"/>
      <c r="H602"/>
      <c r="I602"/>
    </row>
    <row r="603" spans="1:9" x14ac:dyDescent="0.25">
      <c r="A603"/>
      <c r="B603"/>
      <c r="C603"/>
      <c r="D603"/>
      <c r="E603"/>
      <c r="F603"/>
      <c r="G603"/>
      <c r="H603"/>
      <c r="I603"/>
    </row>
    <row r="604" spans="1:9" x14ac:dyDescent="0.25">
      <c r="A604"/>
      <c r="B604"/>
      <c r="C604"/>
      <c r="D604"/>
      <c r="E604"/>
      <c r="F604"/>
      <c r="G604"/>
      <c r="H604"/>
      <c r="I604"/>
    </row>
    <row r="605" spans="1:9" x14ac:dyDescent="0.25">
      <c r="A605"/>
      <c r="B605"/>
      <c r="C605"/>
      <c r="D605"/>
      <c r="E605"/>
      <c r="F605"/>
      <c r="G605"/>
      <c r="H605"/>
      <c r="I605"/>
    </row>
    <row r="606" spans="1:9" x14ac:dyDescent="0.25">
      <c r="A606"/>
      <c r="B606"/>
      <c r="C606"/>
      <c r="D606"/>
      <c r="E606"/>
      <c r="F606"/>
      <c r="G606"/>
      <c r="H606"/>
      <c r="I606"/>
    </row>
    <row r="607" spans="1:9" x14ac:dyDescent="0.25">
      <c r="A607"/>
      <c r="B607"/>
      <c r="C607"/>
      <c r="D607"/>
      <c r="E607"/>
      <c r="F607"/>
      <c r="G607"/>
      <c r="H607"/>
      <c r="I607"/>
    </row>
    <row r="608" spans="1:9" x14ac:dyDescent="0.25">
      <c r="A608"/>
      <c r="B608"/>
      <c r="C608"/>
      <c r="D608"/>
      <c r="E608"/>
      <c r="F608"/>
      <c r="G608"/>
      <c r="H608"/>
      <c r="I608"/>
    </row>
    <row r="609" spans="1:9" x14ac:dyDescent="0.25">
      <c r="A609"/>
      <c r="B609"/>
      <c r="C609"/>
      <c r="D609"/>
      <c r="E609"/>
      <c r="F609"/>
      <c r="G609"/>
      <c r="H609"/>
      <c r="I609"/>
    </row>
    <row r="610" spans="1:9" x14ac:dyDescent="0.25">
      <c r="A610"/>
      <c r="B610"/>
      <c r="C610"/>
      <c r="D610"/>
      <c r="E610"/>
      <c r="F610"/>
      <c r="G610"/>
      <c r="H610"/>
      <c r="I610"/>
    </row>
    <row r="611" spans="1:9" x14ac:dyDescent="0.25">
      <c r="A611"/>
      <c r="B611"/>
      <c r="C611"/>
      <c r="D611"/>
      <c r="E611"/>
      <c r="F611"/>
      <c r="G611"/>
      <c r="H611"/>
      <c r="I611"/>
    </row>
    <row r="612" spans="1:9" x14ac:dyDescent="0.25">
      <c r="A612"/>
      <c r="B612"/>
      <c r="C612"/>
      <c r="D612"/>
      <c r="E612"/>
      <c r="F612"/>
      <c r="G612"/>
      <c r="H612"/>
      <c r="I612"/>
    </row>
    <row r="613" spans="1:9" x14ac:dyDescent="0.25">
      <c r="A613"/>
      <c r="B613"/>
      <c r="C613"/>
      <c r="D613"/>
      <c r="E613"/>
      <c r="F613"/>
      <c r="G613"/>
      <c r="H613"/>
      <c r="I613"/>
    </row>
    <row r="614" spans="1:9" x14ac:dyDescent="0.25">
      <c r="A614"/>
      <c r="B614"/>
      <c r="C614"/>
      <c r="D614"/>
      <c r="E614"/>
      <c r="F614"/>
      <c r="G614"/>
      <c r="H614"/>
      <c r="I614"/>
    </row>
    <row r="615" spans="1:9" x14ac:dyDescent="0.25">
      <c r="A615"/>
      <c r="B615"/>
      <c r="C615"/>
      <c r="D615"/>
      <c r="E615"/>
      <c r="F615"/>
      <c r="G615"/>
      <c r="H615"/>
      <c r="I615"/>
    </row>
    <row r="616" spans="1:9" x14ac:dyDescent="0.25">
      <c r="A616"/>
      <c r="B616"/>
      <c r="C616"/>
      <c r="D616"/>
      <c r="E616"/>
      <c r="F616"/>
      <c r="G616"/>
      <c r="H616"/>
      <c r="I616"/>
    </row>
    <row r="617" spans="1:9" x14ac:dyDescent="0.25">
      <c r="A617"/>
      <c r="B617"/>
      <c r="C617"/>
      <c r="D617"/>
      <c r="E617"/>
      <c r="F617"/>
      <c r="G617"/>
      <c r="H617"/>
      <c r="I617"/>
    </row>
    <row r="618" spans="1:9" x14ac:dyDescent="0.25">
      <c r="A618"/>
      <c r="B618"/>
      <c r="C618"/>
      <c r="D618"/>
      <c r="E618"/>
      <c r="F618"/>
      <c r="G618"/>
      <c r="H618"/>
      <c r="I618"/>
    </row>
    <row r="619" spans="1:9" x14ac:dyDescent="0.25">
      <c r="A619"/>
      <c r="B619"/>
      <c r="C619"/>
      <c r="D619"/>
      <c r="E619"/>
      <c r="F619"/>
      <c r="G619"/>
      <c r="H619"/>
      <c r="I619"/>
    </row>
    <row r="620" spans="1:9" x14ac:dyDescent="0.25">
      <c r="A620"/>
      <c r="B620"/>
      <c r="C620"/>
      <c r="D620"/>
      <c r="E620"/>
      <c r="F620"/>
      <c r="G620"/>
      <c r="H620"/>
      <c r="I620"/>
    </row>
    <row r="621" spans="1:9" x14ac:dyDescent="0.25">
      <c r="A621"/>
      <c r="B621"/>
      <c r="C621"/>
      <c r="D621"/>
      <c r="E621"/>
      <c r="F621"/>
      <c r="G621"/>
      <c r="H621"/>
      <c r="I621"/>
    </row>
    <row r="622" spans="1:9" x14ac:dyDescent="0.25">
      <c r="A622"/>
      <c r="B622"/>
      <c r="C622"/>
      <c r="D622"/>
      <c r="E622"/>
      <c r="F622"/>
      <c r="G622"/>
      <c r="H622"/>
      <c r="I622"/>
    </row>
    <row r="623" spans="1:9" x14ac:dyDescent="0.25">
      <c r="A623"/>
      <c r="B623"/>
      <c r="C623"/>
      <c r="D623"/>
      <c r="E623"/>
      <c r="F623"/>
      <c r="G623"/>
      <c r="H623"/>
      <c r="I623"/>
    </row>
    <row r="624" spans="1:9" x14ac:dyDescent="0.25">
      <c r="A624"/>
      <c r="B624"/>
      <c r="C624"/>
      <c r="D624"/>
      <c r="E624"/>
      <c r="F624"/>
      <c r="G624"/>
      <c r="H624"/>
      <c r="I624"/>
    </row>
    <row r="625" spans="1:9" x14ac:dyDescent="0.25">
      <c r="A625"/>
      <c r="B625"/>
      <c r="C625"/>
      <c r="D625"/>
      <c r="E625"/>
      <c r="F625"/>
      <c r="G625"/>
      <c r="H625"/>
      <c r="I625"/>
    </row>
    <row r="626" spans="1:9" x14ac:dyDescent="0.25">
      <c r="A626"/>
      <c r="B626"/>
      <c r="C626"/>
      <c r="D626"/>
      <c r="E626"/>
      <c r="F626"/>
      <c r="G626"/>
      <c r="H626"/>
      <c r="I626"/>
    </row>
    <row r="627" spans="1:9" x14ac:dyDescent="0.25">
      <c r="A627"/>
      <c r="B627"/>
      <c r="C627"/>
      <c r="D627"/>
      <c r="E627"/>
      <c r="F627"/>
      <c r="G627"/>
      <c r="H627"/>
      <c r="I627"/>
    </row>
    <row r="628" spans="1:9" x14ac:dyDescent="0.25">
      <c r="A628"/>
      <c r="B628"/>
      <c r="C628"/>
      <c r="D628"/>
      <c r="E628"/>
      <c r="F628"/>
      <c r="G628"/>
      <c r="H628"/>
      <c r="I628"/>
    </row>
    <row r="629" spans="1:9" x14ac:dyDescent="0.25">
      <c r="A629"/>
      <c r="B629"/>
      <c r="C629"/>
      <c r="D629"/>
      <c r="E629"/>
      <c r="F629"/>
      <c r="G629"/>
      <c r="H629"/>
      <c r="I629"/>
    </row>
    <row r="630" spans="1:9" x14ac:dyDescent="0.25">
      <c r="A630"/>
      <c r="B630"/>
      <c r="C630"/>
      <c r="D630"/>
      <c r="E630"/>
      <c r="F630"/>
      <c r="G630"/>
      <c r="H630"/>
      <c r="I630"/>
    </row>
    <row r="631" spans="1:9" x14ac:dyDescent="0.25">
      <c r="A631"/>
      <c r="B631"/>
      <c r="C631"/>
      <c r="D631"/>
      <c r="E631"/>
      <c r="F631"/>
      <c r="G631"/>
      <c r="H631"/>
      <c r="I631"/>
    </row>
    <row r="632" spans="1:9" x14ac:dyDescent="0.25">
      <c r="A632"/>
      <c r="B632"/>
      <c r="C632"/>
      <c r="D632"/>
      <c r="E632"/>
      <c r="F632"/>
      <c r="G632"/>
      <c r="H632"/>
      <c r="I632"/>
    </row>
    <row r="633" spans="1:9" x14ac:dyDescent="0.25">
      <c r="A633"/>
      <c r="B633"/>
      <c r="C633"/>
      <c r="D633"/>
      <c r="E633"/>
      <c r="F633"/>
      <c r="G633"/>
      <c r="H633"/>
      <c r="I633"/>
    </row>
    <row r="634" spans="1:9" x14ac:dyDescent="0.25">
      <c r="A634"/>
      <c r="B634"/>
      <c r="C634"/>
      <c r="D634"/>
      <c r="E634"/>
      <c r="F634"/>
      <c r="G634"/>
      <c r="H634"/>
      <c r="I634"/>
    </row>
    <row r="635" spans="1:9" x14ac:dyDescent="0.25">
      <c r="A635"/>
      <c r="B635"/>
      <c r="C635"/>
      <c r="D635"/>
      <c r="E635"/>
      <c r="F635"/>
      <c r="G635"/>
      <c r="H635"/>
      <c r="I635"/>
    </row>
    <row r="636" spans="1:9" x14ac:dyDescent="0.25">
      <c r="A636"/>
      <c r="B636"/>
      <c r="C636"/>
      <c r="D636"/>
      <c r="E636"/>
      <c r="F636"/>
      <c r="G636"/>
      <c r="H636"/>
      <c r="I636"/>
    </row>
    <row r="637" spans="1:9" x14ac:dyDescent="0.25">
      <c r="A637"/>
      <c r="B637"/>
      <c r="C637"/>
      <c r="D637"/>
      <c r="E637"/>
      <c r="F637"/>
      <c r="G637"/>
      <c r="H637"/>
      <c r="I637"/>
    </row>
    <row r="638" spans="1:9" x14ac:dyDescent="0.25">
      <c r="A638"/>
      <c r="B638"/>
      <c r="C638"/>
      <c r="D638"/>
      <c r="E638"/>
      <c r="F638"/>
      <c r="G638"/>
      <c r="H638"/>
      <c r="I638"/>
    </row>
    <row r="639" spans="1:9" x14ac:dyDescent="0.25">
      <c r="A639"/>
      <c r="B639"/>
      <c r="C639"/>
      <c r="D639"/>
      <c r="E639"/>
      <c r="F639"/>
      <c r="G639"/>
      <c r="H639"/>
      <c r="I639"/>
    </row>
    <row r="640" spans="1:9" x14ac:dyDescent="0.25">
      <c r="A640"/>
      <c r="B640"/>
      <c r="C640"/>
      <c r="D640"/>
      <c r="E640"/>
      <c r="F640"/>
      <c r="G640"/>
      <c r="H640"/>
      <c r="I640"/>
    </row>
    <row r="641" spans="1:9" x14ac:dyDescent="0.25">
      <c r="A641"/>
      <c r="B641"/>
      <c r="C641"/>
      <c r="D641"/>
      <c r="E641"/>
      <c r="F641"/>
      <c r="G641"/>
      <c r="H641"/>
      <c r="I641"/>
    </row>
    <row r="642" spans="1:9" x14ac:dyDescent="0.25">
      <c r="A642"/>
      <c r="B642"/>
      <c r="C642"/>
      <c r="D642"/>
      <c r="E642"/>
      <c r="F642"/>
      <c r="G642"/>
      <c r="H642"/>
      <c r="I642"/>
    </row>
    <row r="643" spans="1:9" x14ac:dyDescent="0.25">
      <c r="A643"/>
      <c r="B643"/>
      <c r="C643"/>
      <c r="D643"/>
      <c r="E643"/>
      <c r="F643"/>
      <c r="G643"/>
      <c r="H643"/>
      <c r="I643"/>
    </row>
    <row r="644" spans="1:9" x14ac:dyDescent="0.25">
      <c r="A644"/>
      <c r="B644"/>
      <c r="C644"/>
      <c r="D644"/>
      <c r="E644"/>
      <c r="F644"/>
      <c r="G644"/>
      <c r="H644"/>
      <c r="I644"/>
    </row>
    <row r="645" spans="1:9" x14ac:dyDescent="0.25">
      <c r="A645"/>
      <c r="B645"/>
      <c r="C645"/>
      <c r="D645"/>
      <c r="E645"/>
      <c r="F645"/>
      <c r="G645"/>
      <c r="H645"/>
      <c r="I645"/>
    </row>
    <row r="646" spans="1:9" x14ac:dyDescent="0.25">
      <c r="A646"/>
      <c r="B646"/>
      <c r="C646"/>
      <c r="D646"/>
      <c r="E646"/>
      <c r="F646"/>
      <c r="G646"/>
      <c r="H646"/>
      <c r="I646"/>
    </row>
    <row r="647" spans="1:9" x14ac:dyDescent="0.25">
      <c r="A647"/>
      <c r="B647"/>
      <c r="C647"/>
      <c r="D647"/>
      <c r="E647"/>
      <c r="F647"/>
      <c r="G647"/>
      <c r="H647"/>
      <c r="I647"/>
    </row>
    <row r="648" spans="1:9" x14ac:dyDescent="0.25">
      <c r="A648"/>
      <c r="B648"/>
      <c r="C648"/>
      <c r="D648"/>
      <c r="E648"/>
      <c r="F648"/>
      <c r="G648"/>
      <c r="H648"/>
      <c r="I648"/>
    </row>
    <row r="649" spans="1:9" x14ac:dyDescent="0.25">
      <c r="A649"/>
      <c r="B649"/>
      <c r="C649"/>
      <c r="D649"/>
      <c r="E649"/>
      <c r="F649"/>
      <c r="G649"/>
      <c r="H649"/>
      <c r="I649"/>
    </row>
    <row r="650" spans="1:9" x14ac:dyDescent="0.25">
      <c r="A650"/>
      <c r="B650"/>
      <c r="C650"/>
      <c r="D650"/>
      <c r="E650"/>
      <c r="F650"/>
      <c r="G650"/>
      <c r="H650"/>
      <c r="I650"/>
    </row>
    <row r="651" spans="1:9" x14ac:dyDescent="0.25">
      <c r="A651"/>
      <c r="B651"/>
      <c r="C651"/>
      <c r="D651"/>
      <c r="E651"/>
      <c r="F651"/>
      <c r="G651"/>
      <c r="H651"/>
      <c r="I651"/>
    </row>
    <row r="652" spans="1:9" x14ac:dyDescent="0.25">
      <c r="A652"/>
      <c r="B652"/>
      <c r="C652"/>
      <c r="D652"/>
      <c r="E652"/>
      <c r="F652"/>
      <c r="G652"/>
      <c r="H652"/>
      <c r="I652"/>
    </row>
    <row r="653" spans="1:9" x14ac:dyDescent="0.25">
      <c r="A653"/>
      <c r="B653"/>
      <c r="C653"/>
      <c r="D653"/>
      <c r="E653"/>
      <c r="F653"/>
      <c r="G653"/>
      <c r="H653"/>
      <c r="I653"/>
    </row>
    <row r="654" spans="1:9" x14ac:dyDescent="0.25">
      <c r="A654"/>
      <c r="B654"/>
      <c r="C654"/>
      <c r="D654"/>
      <c r="E654"/>
      <c r="F654"/>
      <c r="G654"/>
      <c r="H654"/>
      <c r="I654"/>
    </row>
    <row r="655" spans="1:9" x14ac:dyDescent="0.25">
      <c r="A655"/>
      <c r="B655"/>
      <c r="C655"/>
      <c r="D655"/>
      <c r="E655"/>
      <c r="F655"/>
      <c r="G655"/>
      <c r="H655"/>
      <c r="I655"/>
    </row>
    <row r="656" spans="1:9" x14ac:dyDescent="0.25">
      <c r="A656"/>
      <c r="B656"/>
      <c r="C656"/>
      <c r="D656"/>
      <c r="E656"/>
      <c r="F656"/>
      <c r="G656"/>
      <c r="H656"/>
      <c r="I656"/>
    </row>
    <row r="657" spans="1:9" x14ac:dyDescent="0.25">
      <c r="A657"/>
      <c r="B657"/>
      <c r="C657"/>
      <c r="D657"/>
      <c r="E657"/>
      <c r="F657"/>
      <c r="G657"/>
      <c r="H657"/>
      <c r="I657"/>
    </row>
    <row r="658" spans="1:9" x14ac:dyDescent="0.25">
      <c r="A658"/>
      <c r="B658"/>
      <c r="C658"/>
      <c r="D658"/>
      <c r="E658"/>
      <c r="F658"/>
      <c r="G658"/>
      <c r="H658"/>
      <c r="I658"/>
    </row>
    <row r="659" spans="1:9" x14ac:dyDescent="0.25">
      <c r="A659"/>
      <c r="B659"/>
      <c r="C659"/>
      <c r="D659"/>
      <c r="E659"/>
      <c r="F659"/>
      <c r="G659"/>
      <c r="H659"/>
      <c r="I659"/>
    </row>
    <row r="660" spans="1:9" x14ac:dyDescent="0.25">
      <c r="A660"/>
      <c r="B660"/>
      <c r="C660"/>
      <c r="D660"/>
      <c r="E660"/>
      <c r="F660"/>
      <c r="G660"/>
      <c r="H660"/>
      <c r="I660"/>
    </row>
    <row r="661" spans="1:9" x14ac:dyDescent="0.25">
      <c r="A661"/>
      <c r="B661"/>
      <c r="C661"/>
      <c r="D661"/>
      <c r="E661"/>
      <c r="F661"/>
      <c r="G661"/>
      <c r="H661"/>
      <c r="I661"/>
    </row>
    <row r="662" spans="1:9" x14ac:dyDescent="0.25">
      <c r="A662"/>
      <c r="B662"/>
      <c r="C662"/>
      <c r="D662"/>
      <c r="E662"/>
      <c r="F662"/>
      <c r="G662"/>
      <c r="H662"/>
      <c r="I662"/>
    </row>
    <row r="663" spans="1:9" x14ac:dyDescent="0.25">
      <c r="A663"/>
      <c r="B663"/>
      <c r="C663"/>
      <c r="D663"/>
      <c r="E663"/>
      <c r="F663"/>
      <c r="G663"/>
      <c r="H663"/>
      <c r="I663"/>
    </row>
    <row r="664" spans="1:9" x14ac:dyDescent="0.25">
      <c r="A664"/>
      <c r="B664"/>
      <c r="C664"/>
      <c r="D664"/>
      <c r="E664"/>
      <c r="F664"/>
      <c r="G664"/>
      <c r="H664"/>
      <c r="I664"/>
    </row>
    <row r="665" spans="1:9" x14ac:dyDescent="0.25">
      <c r="A665"/>
      <c r="B665"/>
      <c r="C665"/>
      <c r="D665"/>
      <c r="E665"/>
      <c r="F665"/>
      <c r="G665"/>
      <c r="H665"/>
      <c r="I665"/>
    </row>
    <row r="666" spans="1:9" x14ac:dyDescent="0.25">
      <c r="A666"/>
      <c r="B666"/>
      <c r="C666"/>
      <c r="D666"/>
      <c r="E666"/>
      <c r="F666"/>
      <c r="G666"/>
      <c r="H666"/>
      <c r="I666"/>
    </row>
    <row r="667" spans="1:9" x14ac:dyDescent="0.25">
      <c r="A667"/>
      <c r="B667"/>
      <c r="C667"/>
      <c r="D667"/>
      <c r="E667"/>
      <c r="F667"/>
      <c r="G667"/>
      <c r="H667"/>
      <c r="I667"/>
    </row>
    <row r="668" spans="1:9" x14ac:dyDescent="0.25">
      <c r="A668"/>
      <c r="B668"/>
      <c r="C668"/>
      <c r="D668"/>
      <c r="E668"/>
      <c r="F668"/>
      <c r="G668"/>
      <c r="H668"/>
      <c r="I668"/>
    </row>
    <row r="669" spans="1:9" x14ac:dyDescent="0.25">
      <c r="A669"/>
      <c r="B669"/>
      <c r="C669"/>
      <c r="D669"/>
      <c r="E669"/>
      <c r="F669"/>
      <c r="G669"/>
      <c r="H669"/>
      <c r="I669"/>
    </row>
    <row r="670" spans="1:9" x14ac:dyDescent="0.25">
      <c r="A670"/>
      <c r="B670"/>
      <c r="C670"/>
      <c r="D670"/>
      <c r="E670"/>
      <c r="F670"/>
      <c r="G670"/>
      <c r="H670"/>
      <c r="I670"/>
    </row>
    <row r="671" spans="1:9" x14ac:dyDescent="0.25">
      <c r="A671"/>
      <c r="B671"/>
      <c r="C671"/>
      <c r="D671"/>
      <c r="E671"/>
      <c r="F671"/>
      <c r="G671"/>
      <c r="H671"/>
      <c r="I671"/>
    </row>
    <row r="672" spans="1:9" x14ac:dyDescent="0.25">
      <c r="A672"/>
      <c r="B672"/>
      <c r="C672"/>
      <c r="D672"/>
      <c r="E672"/>
      <c r="F672"/>
      <c r="G672"/>
      <c r="H672"/>
      <c r="I672"/>
    </row>
    <row r="673" spans="1:9" x14ac:dyDescent="0.25">
      <c r="A673"/>
      <c r="B673"/>
      <c r="C673"/>
      <c r="D673"/>
      <c r="E673"/>
      <c r="F673"/>
      <c r="G673"/>
      <c r="H673"/>
      <c r="I673"/>
    </row>
    <row r="674" spans="1:9" x14ac:dyDescent="0.25">
      <c r="A674"/>
      <c r="B674"/>
      <c r="C674"/>
      <c r="D674"/>
      <c r="E674"/>
      <c r="F674"/>
      <c r="G674"/>
      <c r="H674"/>
      <c r="I674"/>
    </row>
    <row r="675" spans="1:9" x14ac:dyDescent="0.25">
      <c r="A675"/>
      <c r="B675"/>
      <c r="C675"/>
      <c r="D675"/>
      <c r="E675"/>
      <c r="F675"/>
      <c r="G675"/>
      <c r="H675"/>
      <c r="I675"/>
    </row>
    <row r="676" spans="1:9" x14ac:dyDescent="0.25">
      <c r="A676"/>
      <c r="B676"/>
      <c r="C676"/>
      <c r="D676"/>
      <c r="E676"/>
      <c r="F676"/>
      <c r="G676"/>
      <c r="H676"/>
      <c r="I676"/>
    </row>
    <row r="677" spans="1:9" x14ac:dyDescent="0.25">
      <c r="A677"/>
      <c r="B677"/>
      <c r="C677"/>
      <c r="D677"/>
      <c r="E677"/>
      <c r="F677"/>
      <c r="G677"/>
      <c r="H677"/>
      <c r="I677"/>
    </row>
    <row r="678" spans="1:9" x14ac:dyDescent="0.25">
      <c r="A678"/>
      <c r="B678"/>
      <c r="C678"/>
      <c r="D678"/>
      <c r="E678"/>
      <c r="F678"/>
      <c r="G678"/>
      <c r="H678"/>
      <c r="I678"/>
    </row>
    <row r="679" spans="1:9" x14ac:dyDescent="0.25">
      <c r="A679"/>
      <c r="B679"/>
      <c r="C679"/>
      <c r="D679"/>
      <c r="E679"/>
      <c r="F679"/>
      <c r="G679"/>
      <c r="H679"/>
      <c r="I679"/>
    </row>
    <row r="680" spans="1:9" x14ac:dyDescent="0.25">
      <c r="A680"/>
      <c r="B680"/>
      <c r="C680"/>
      <c r="D680"/>
      <c r="E680"/>
      <c r="F680"/>
      <c r="G680"/>
      <c r="H680"/>
      <c r="I680"/>
    </row>
    <row r="681" spans="1:9" x14ac:dyDescent="0.25">
      <c r="A681"/>
      <c r="B681"/>
      <c r="C681"/>
      <c r="D681"/>
      <c r="E681"/>
      <c r="F681"/>
      <c r="G681"/>
      <c r="H681"/>
      <c r="I681"/>
    </row>
    <row r="682" spans="1:9" x14ac:dyDescent="0.25">
      <c r="A682"/>
      <c r="B682"/>
      <c r="C682"/>
      <c r="D682"/>
      <c r="E682"/>
      <c r="F682"/>
      <c r="G682"/>
      <c r="H682"/>
      <c r="I682"/>
    </row>
    <row r="683" spans="1:9" x14ac:dyDescent="0.25">
      <c r="A683"/>
      <c r="B683"/>
      <c r="C683"/>
      <c r="D683"/>
      <c r="E683"/>
      <c r="F683"/>
      <c r="G683"/>
      <c r="H683"/>
      <c r="I683"/>
    </row>
    <row r="684" spans="1:9" x14ac:dyDescent="0.25">
      <c r="A684"/>
      <c r="B684"/>
      <c r="C684"/>
      <c r="D684"/>
      <c r="E684"/>
      <c r="F684"/>
      <c r="G684"/>
      <c r="H684"/>
      <c r="I684"/>
    </row>
    <row r="685" spans="1:9" x14ac:dyDescent="0.25">
      <c r="A685"/>
      <c r="B685"/>
      <c r="C685"/>
      <c r="D685"/>
      <c r="E685"/>
      <c r="F685"/>
      <c r="G685"/>
      <c r="H685"/>
      <c r="I685"/>
    </row>
    <row r="686" spans="1:9" x14ac:dyDescent="0.25">
      <c r="A686"/>
      <c r="B686"/>
      <c r="C686"/>
      <c r="D686"/>
      <c r="E686"/>
      <c r="F686"/>
      <c r="G686"/>
      <c r="H686"/>
      <c r="I686"/>
    </row>
    <row r="687" spans="1:9" x14ac:dyDescent="0.25">
      <c r="A687"/>
      <c r="B687"/>
      <c r="C687"/>
      <c r="D687"/>
      <c r="E687"/>
      <c r="F687"/>
      <c r="G687"/>
      <c r="H687"/>
      <c r="I687"/>
    </row>
    <row r="688" spans="1:9" x14ac:dyDescent="0.25">
      <c r="A688"/>
      <c r="B688"/>
      <c r="C688"/>
      <c r="D688"/>
      <c r="E688"/>
      <c r="F688"/>
      <c r="G688"/>
      <c r="H688"/>
      <c r="I688"/>
    </row>
    <row r="689" spans="1:9" x14ac:dyDescent="0.25">
      <c r="A689"/>
      <c r="B689"/>
      <c r="C689"/>
      <c r="D689"/>
      <c r="E689"/>
      <c r="F689"/>
      <c r="G689"/>
      <c r="H689"/>
      <c r="I689"/>
    </row>
    <row r="690" spans="1:9" x14ac:dyDescent="0.25">
      <c r="A690"/>
      <c r="B690"/>
      <c r="C690"/>
      <c r="D690"/>
      <c r="E690"/>
      <c r="F690"/>
      <c r="G690"/>
      <c r="H690"/>
      <c r="I690"/>
    </row>
    <row r="691" spans="1:9" x14ac:dyDescent="0.25">
      <c r="A691"/>
      <c r="B691"/>
      <c r="C691"/>
      <c r="D691"/>
      <c r="E691"/>
      <c r="F691"/>
      <c r="G691"/>
      <c r="H691"/>
      <c r="I691"/>
    </row>
    <row r="692" spans="1:9" x14ac:dyDescent="0.25">
      <c r="A692"/>
      <c r="B692"/>
      <c r="C692"/>
      <c r="D692"/>
      <c r="E692"/>
      <c r="F692"/>
      <c r="G692"/>
      <c r="H692"/>
      <c r="I692"/>
    </row>
    <row r="693" spans="1:9" x14ac:dyDescent="0.25">
      <c r="A693"/>
      <c r="B693"/>
      <c r="C693"/>
      <c r="D693"/>
      <c r="E693"/>
      <c r="F693"/>
      <c r="G693"/>
      <c r="H693"/>
      <c r="I693"/>
    </row>
    <row r="694" spans="1:9" x14ac:dyDescent="0.25">
      <c r="A694"/>
      <c r="B694"/>
      <c r="C694"/>
      <c r="D694"/>
      <c r="E694"/>
      <c r="F694"/>
      <c r="G694"/>
      <c r="H694"/>
      <c r="I694"/>
    </row>
    <row r="695" spans="1:9" x14ac:dyDescent="0.25">
      <c r="A695"/>
      <c r="B695"/>
      <c r="C695"/>
      <c r="D695"/>
      <c r="E695"/>
      <c r="F695"/>
      <c r="G695"/>
      <c r="H695"/>
      <c r="I695"/>
    </row>
    <row r="696" spans="1:9" x14ac:dyDescent="0.25">
      <c r="A696"/>
      <c r="B696"/>
      <c r="C696"/>
      <c r="D696"/>
      <c r="E696"/>
      <c r="F696"/>
      <c r="G696"/>
      <c r="H696"/>
      <c r="I696"/>
    </row>
    <row r="697" spans="1:9" x14ac:dyDescent="0.25">
      <c r="A697"/>
      <c r="B697"/>
      <c r="C697"/>
      <c r="D697"/>
      <c r="E697"/>
      <c r="F697"/>
      <c r="G697"/>
      <c r="H697"/>
      <c r="I697"/>
    </row>
    <row r="698" spans="1:9" x14ac:dyDescent="0.25">
      <c r="A698"/>
      <c r="B698"/>
      <c r="C698"/>
      <c r="D698"/>
      <c r="E698"/>
      <c r="F698"/>
      <c r="G698"/>
      <c r="H698"/>
      <c r="I698"/>
    </row>
    <row r="699" spans="1:9" x14ac:dyDescent="0.25">
      <c r="A699"/>
      <c r="B699"/>
      <c r="C699"/>
      <c r="D699"/>
      <c r="E699"/>
      <c r="F699"/>
      <c r="G699"/>
      <c r="H699"/>
      <c r="I699"/>
    </row>
    <row r="700" spans="1:9" x14ac:dyDescent="0.25">
      <c r="A700"/>
      <c r="B700"/>
      <c r="C700"/>
      <c r="D700"/>
      <c r="E700"/>
      <c r="F700"/>
      <c r="G700"/>
      <c r="H700"/>
      <c r="I700"/>
    </row>
    <row r="701" spans="1:9" x14ac:dyDescent="0.25">
      <c r="A701"/>
      <c r="B701"/>
      <c r="C701"/>
      <c r="D701"/>
      <c r="E701"/>
      <c r="F701"/>
      <c r="G701"/>
      <c r="H701"/>
      <c r="I701"/>
    </row>
    <row r="702" spans="1:9" x14ac:dyDescent="0.25">
      <c r="A702"/>
      <c r="B702"/>
      <c r="C702"/>
      <c r="D702"/>
      <c r="E702"/>
      <c r="F702"/>
      <c r="G702"/>
      <c r="H702"/>
      <c r="I702"/>
    </row>
    <row r="703" spans="1:9" x14ac:dyDescent="0.25">
      <c r="A703"/>
      <c r="B703"/>
      <c r="C703"/>
      <c r="D703"/>
      <c r="E703"/>
      <c r="F703"/>
      <c r="G703"/>
      <c r="H703"/>
      <c r="I703"/>
    </row>
    <row r="704" spans="1:9" x14ac:dyDescent="0.25">
      <c r="A704"/>
      <c r="B704"/>
      <c r="C704"/>
      <c r="D704"/>
      <c r="E704"/>
      <c r="F704"/>
      <c r="G704"/>
      <c r="H704"/>
      <c r="I704"/>
    </row>
    <row r="705" spans="1:9" x14ac:dyDescent="0.25">
      <c r="A705"/>
      <c r="B705"/>
      <c r="C705"/>
      <c r="D705"/>
      <c r="E705"/>
      <c r="F705"/>
      <c r="G705"/>
      <c r="H705"/>
      <c r="I705"/>
    </row>
    <row r="706" spans="1:9" x14ac:dyDescent="0.25">
      <c r="A706"/>
      <c r="B706"/>
      <c r="C706"/>
      <c r="D706"/>
      <c r="E706"/>
      <c r="F706"/>
      <c r="G706"/>
      <c r="H706"/>
      <c r="I706"/>
    </row>
    <row r="707" spans="1:9" x14ac:dyDescent="0.25">
      <c r="A707"/>
      <c r="B707"/>
      <c r="C707"/>
      <c r="D707"/>
      <c r="E707"/>
      <c r="F707"/>
      <c r="G707"/>
      <c r="H707"/>
      <c r="I707"/>
    </row>
    <row r="708" spans="1:9" x14ac:dyDescent="0.25">
      <c r="A708"/>
      <c r="B708"/>
      <c r="C708"/>
      <c r="D708"/>
      <c r="E708"/>
      <c r="F708"/>
      <c r="G708"/>
      <c r="H708"/>
      <c r="I708"/>
    </row>
    <row r="709" spans="1:9" x14ac:dyDescent="0.25">
      <c r="A709"/>
      <c r="B709"/>
      <c r="C709"/>
      <c r="D709"/>
      <c r="E709"/>
      <c r="F709"/>
      <c r="G709"/>
      <c r="H709"/>
      <c r="I709"/>
    </row>
    <row r="710" spans="1:9" x14ac:dyDescent="0.25">
      <c r="A710"/>
      <c r="B710"/>
      <c r="C710"/>
      <c r="D710"/>
      <c r="E710"/>
      <c r="F710"/>
      <c r="G710"/>
      <c r="H710"/>
      <c r="I710"/>
    </row>
    <row r="711" spans="1:9" x14ac:dyDescent="0.25">
      <c r="A711"/>
      <c r="B711"/>
      <c r="C711"/>
      <c r="D711"/>
      <c r="E711"/>
      <c r="F711"/>
      <c r="G711"/>
      <c r="H711"/>
      <c r="I711"/>
    </row>
    <row r="712" spans="1:9" x14ac:dyDescent="0.25">
      <c r="A712"/>
      <c r="B712"/>
      <c r="C712"/>
      <c r="D712"/>
      <c r="E712"/>
      <c r="F712"/>
      <c r="G712"/>
      <c r="H712"/>
      <c r="I712"/>
    </row>
    <row r="713" spans="1:9" x14ac:dyDescent="0.25">
      <c r="A713"/>
      <c r="B713"/>
      <c r="C713"/>
      <c r="D713"/>
      <c r="E713"/>
      <c r="F713"/>
      <c r="G713"/>
      <c r="H713"/>
      <c r="I713"/>
    </row>
    <row r="714" spans="1:9" x14ac:dyDescent="0.25">
      <c r="A714"/>
      <c r="B714"/>
      <c r="C714"/>
      <c r="D714"/>
      <c r="E714"/>
      <c r="F714"/>
      <c r="G714"/>
      <c r="H714"/>
      <c r="I714"/>
    </row>
    <row r="715" spans="1:9" x14ac:dyDescent="0.25">
      <c r="A715"/>
      <c r="B715"/>
      <c r="C715"/>
      <c r="D715"/>
      <c r="E715"/>
      <c r="F715"/>
      <c r="G715"/>
      <c r="H715"/>
      <c r="I715"/>
    </row>
    <row r="716" spans="1:9" x14ac:dyDescent="0.25">
      <c r="A716"/>
      <c r="B716"/>
      <c r="C716"/>
      <c r="D716"/>
      <c r="E716"/>
      <c r="F716"/>
      <c r="G716"/>
      <c r="H716"/>
      <c r="I716"/>
    </row>
    <row r="717" spans="1:9" x14ac:dyDescent="0.25">
      <c r="A717"/>
      <c r="B717"/>
      <c r="C717"/>
      <c r="D717"/>
      <c r="E717"/>
      <c r="F717"/>
      <c r="G717"/>
      <c r="H717"/>
      <c r="I717"/>
    </row>
    <row r="718" spans="1:9" x14ac:dyDescent="0.25">
      <c r="A718"/>
      <c r="B718"/>
      <c r="C718"/>
      <c r="D718"/>
      <c r="E718"/>
      <c r="F718"/>
      <c r="G718"/>
      <c r="H718"/>
      <c r="I718"/>
    </row>
    <row r="719" spans="1:9" x14ac:dyDescent="0.25">
      <c r="A719"/>
      <c r="B719"/>
      <c r="C719"/>
      <c r="D719"/>
      <c r="E719"/>
      <c r="F719"/>
      <c r="G719"/>
      <c r="H719"/>
      <c r="I719"/>
    </row>
    <row r="720" spans="1:9" x14ac:dyDescent="0.25">
      <c r="A720"/>
      <c r="B720"/>
      <c r="C720"/>
      <c r="D720"/>
      <c r="E720"/>
      <c r="F720"/>
      <c r="G720"/>
      <c r="H720"/>
      <c r="I720"/>
    </row>
    <row r="721" spans="1:9" x14ac:dyDescent="0.25">
      <c r="A721"/>
      <c r="B721"/>
      <c r="C721"/>
      <c r="D721"/>
      <c r="E721"/>
      <c r="F721"/>
      <c r="G721"/>
      <c r="H721"/>
      <c r="I721"/>
    </row>
    <row r="722" spans="1:9" x14ac:dyDescent="0.25">
      <c r="A722"/>
      <c r="B722"/>
      <c r="C722"/>
      <c r="D722"/>
      <c r="E722"/>
      <c r="F722"/>
      <c r="G722"/>
      <c r="H722"/>
      <c r="I722"/>
    </row>
    <row r="723" spans="1:9" x14ac:dyDescent="0.25">
      <c r="A723"/>
      <c r="B723"/>
      <c r="C723"/>
      <c r="D723"/>
      <c r="E723"/>
      <c r="F723"/>
      <c r="G723"/>
      <c r="H723"/>
      <c r="I723"/>
    </row>
    <row r="724" spans="1:9" x14ac:dyDescent="0.25">
      <c r="A724"/>
      <c r="B724"/>
      <c r="C724"/>
      <c r="D724"/>
      <c r="E724"/>
      <c r="F724"/>
      <c r="G724"/>
      <c r="H724"/>
      <c r="I724"/>
    </row>
    <row r="725" spans="1:9" x14ac:dyDescent="0.25">
      <c r="A725"/>
      <c r="B725"/>
      <c r="C725"/>
      <c r="D725"/>
      <c r="E725"/>
      <c r="F725"/>
      <c r="G725"/>
      <c r="H725"/>
      <c r="I725"/>
    </row>
    <row r="726" spans="1:9" x14ac:dyDescent="0.25">
      <c r="A726"/>
      <c r="B726"/>
      <c r="C726"/>
      <c r="D726"/>
      <c r="E726"/>
      <c r="F726"/>
      <c r="G726"/>
      <c r="H726"/>
      <c r="I726"/>
    </row>
    <row r="727" spans="1:9" x14ac:dyDescent="0.25">
      <c r="A727"/>
      <c r="B727"/>
      <c r="C727"/>
      <c r="D727"/>
      <c r="E727"/>
      <c r="F727"/>
      <c r="G727"/>
      <c r="H727"/>
      <c r="I727"/>
    </row>
    <row r="728" spans="1:9" x14ac:dyDescent="0.25">
      <c r="A728"/>
      <c r="B728"/>
      <c r="C728"/>
      <c r="D728"/>
      <c r="E728"/>
      <c r="F728"/>
      <c r="G728"/>
      <c r="H728"/>
      <c r="I728"/>
    </row>
    <row r="729" spans="1:9" x14ac:dyDescent="0.25">
      <c r="A729"/>
      <c r="B729"/>
      <c r="C729"/>
      <c r="D729"/>
      <c r="E729"/>
      <c r="F729"/>
      <c r="G729"/>
      <c r="H729"/>
      <c r="I729"/>
    </row>
    <row r="730" spans="1:9" x14ac:dyDescent="0.25">
      <c r="A730"/>
      <c r="B730"/>
      <c r="C730"/>
      <c r="D730"/>
      <c r="E730"/>
      <c r="F730"/>
      <c r="G730"/>
      <c r="H730"/>
      <c r="I730"/>
    </row>
    <row r="731" spans="1:9" x14ac:dyDescent="0.25">
      <c r="A731"/>
      <c r="B731"/>
      <c r="C731"/>
      <c r="D731"/>
      <c r="E731"/>
      <c r="F731"/>
      <c r="G731"/>
      <c r="H731"/>
      <c r="I731"/>
    </row>
    <row r="732" spans="1:9" x14ac:dyDescent="0.25">
      <c r="A732"/>
      <c r="B732"/>
      <c r="C732"/>
      <c r="D732"/>
      <c r="E732"/>
      <c r="F732"/>
      <c r="G732"/>
      <c r="H732"/>
      <c r="I732"/>
    </row>
    <row r="733" spans="1:9" x14ac:dyDescent="0.25">
      <c r="A733"/>
      <c r="B733"/>
      <c r="C733"/>
      <c r="D733"/>
      <c r="E733"/>
      <c r="F733"/>
      <c r="G733"/>
      <c r="H733"/>
      <c r="I733"/>
    </row>
    <row r="734" spans="1:9" x14ac:dyDescent="0.25">
      <c r="A734"/>
      <c r="B734"/>
      <c r="C734"/>
      <c r="D734"/>
      <c r="E734"/>
      <c r="F734"/>
      <c r="G734"/>
      <c r="H734"/>
      <c r="I734"/>
    </row>
    <row r="735" spans="1:9" x14ac:dyDescent="0.25">
      <c r="A735"/>
      <c r="B735"/>
      <c r="C735"/>
      <c r="D735"/>
      <c r="E735"/>
      <c r="F735"/>
      <c r="G735"/>
      <c r="H735"/>
      <c r="I735"/>
    </row>
    <row r="736" spans="1:9" x14ac:dyDescent="0.25">
      <c r="A736"/>
      <c r="B736"/>
      <c r="C736"/>
      <c r="D736"/>
      <c r="E736"/>
      <c r="F736"/>
      <c r="G736"/>
      <c r="H736"/>
      <c r="I736"/>
    </row>
    <row r="737" spans="1:9" x14ac:dyDescent="0.25">
      <c r="A737"/>
      <c r="B737"/>
      <c r="C737"/>
      <c r="D737"/>
      <c r="E737"/>
      <c r="F737"/>
      <c r="G737"/>
      <c r="H737"/>
      <c r="I737"/>
    </row>
    <row r="738" spans="1:9" x14ac:dyDescent="0.25">
      <c r="A738"/>
      <c r="B738"/>
      <c r="C738"/>
      <c r="D738"/>
      <c r="E738"/>
      <c r="F738"/>
      <c r="G738"/>
      <c r="H738"/>
      <c r="I738"/>
    </row>
    <row r="739" spans="1:9" x14ac:dyDescent="0.25">
      <c r="A739"/>
      <c r="B739"/>
      <c r="C739"/>
      <c r="D739"/>
      <c r="E739"/>
      <c r="F739"/>
      <c r="G739"/>
      <c r="H739"/>
      <c r="I739"/>
    </row>
    <row r="740" spans="1:9" x14ac:dyDescent="0.25">
      <c r="A740"/>
      <c r="B740"/>
      <c r="C740"/>
      <c r="D740"/>
      <c r="E740"/>
      <c r="F740"/>
      <c r="G740"/>
      <c r="H740"/>
      <c r="I740"/>
    </row>
    <row r="741" spans="1:9" x14ac:dyDescent="0.25">
      <c r="A741"/>
      <c r="B741"/>
      <c r="C741"/>
      <c r="D741"/>
      <c r="E741"/>
      <c r="F741"/>
      <c r="G741"/>
      <c r="H741"/>
      <c r="I741"/>
    </row>
    <row r="742" spans="1:9" x14ac:dyDescent="0.25">
      <c r="A742"/>
      <c r="B742"/>
      <c r="C742"/>
      <c r="D742"/>
      <c r="E742"/>
      <c r="F742"/>
      <c r="G742"/>
      <c r="H742"/>
      <c r="I742"/>
    </row>
    <row r="743" spans="1:9" x14ac:dyDescent="0.25">
      <c r="A743"/>
      <c r="B743"/>
      <c r="C743"/>
      <c r="D743"/>
      <c r="E743"/>
      <c r="F743"/>
      <c r="G743"/>
      <c r="H743"/>
      <c r="I743"/>
    </row>
    <row r="744" spans="1:9" x14ac:dyDescent="0.25">
      <c r="A744"/>
      <c r="B744"/>
      <c r="C744"/>
      <c r="D744"/>
      <c r="E744"/>
      <c r="F744"/>
      <c r="G744"/>
      <c r="H744"/>
      <c r="I744"/>
    </row>
    <row r="745" spans="1:9" x14ac:dyDescent="0.25">
      <c r="A745"/>
      <c r="B745"/>
      <c r="C745"/>
      <c r="D745"/>
      <c r="E745"/>
      <c r="F745"/>
      <c r="G745"/>
      <c r="H745"/>
      <c r="I745"/>
    </row>
    <row r="746" spans="1:9" x14ac:dyDescent="0.25">
      <c r="A746"/>
      <c r="B746"/>
      <c r="C746"/>
      <c r="D746"/>
      <c r="E746"/>
      <c r="F746"/>
      <c r="G746"/>
      <c r="H746"/>
      <c r="I746"/>
    </row>
    <row r="747" spans="1:9" x14ac:dyDescent="0.25">
      <c r="A747"/>
      <c r="B747"/>
      <c r="C747"/>
      <c r="D747"/>
      <c r="E747"/>
      <c r="F747"/>
      <c r="G747"/>
      <c r="H747"/>
      <c r="I747"/>
    </row>
    <row r="748" spans="1:9" x14ac:dyDescent="0.25">
      <c r="A748"/>
      <c r="B748"/>
      <c r="C748"/>
      <c r="D748"/>
      <c r="E748"/>
      <c r="F748"/>
      <c r="G748"/>
      <c r="H748"/>
      <c r="I748"/>
    </row>
    <row r="749" spans="1:9" x14ac:dyDescent="0.25">
      <c r="A749"/>
      <c r="B749"/>
      <c r="C749"/>
      <c r="D749"/>
      <c r="E749"/>
      <c r="F749"/>
      <c r="G749"/>
      <c r="H749"/>
      <c r="I749"/>
    </row>
    <row r="750" spans="1:9" x14ac:dyDescent="0.25">
      <c r="A750"/>
      <c r="B750"/>
      <c r="C750"/>
      <c r="D750"/>
      <c r="E750"/>
      <c r="F750"/>
      <c r="G750"/>
      <c r="H750"/>
      <c r="I750"/>
    </row>
    <row r="751" spans="1:9" x14ac:dyDescent="0.25">
      <c r="A751"/>
      <c r="B751"/>
      <c r="C751"/>
      <c r="D751"/>
      <c r="E751"/>
      <c r="F751"/>
      <c r="G751"/>
      <c r="H751"/>
      <c r="I751"/>
    </row>
    <row r="752" spans="1:9" x14ac:dyDescent="0.25">
      <c r="A752"/>
      <c r="B752"/>
      <c r="C752"/>
      <c r="D752"/>
      <c r="E752"/>
      <c r="F752"/>
      <c r="G752"/>
      <c r="H752"/>
      <c r="I752"/>
    </row>
    <row r="753" spans="1:9" x14ac:dyDescent="0.25">
      <c r="A753"/>
      <c r="B753"/>
      <c r="C753"/>
      <c r="D753"/>
      <c r="E753"/>
      <c r="F753"/>
      <c r="G753"/>
      <c r="H753"/>
      <c r="I753"/>
    </row>
    <row r="754" spans="1:9" x14ac:dyDescent="0.25">
      <c r="A754"/>
      <c r="B754"/>
      <c r="C754"/>
      <c r="D754"/>
      <c r="E754"/>
      <c r="F754"/>
      <c r="G754"/>
      <c r="H754"/>
      <c r="I754"/>
    </row>
    <row r="755" spans="1:9" x14ac:dyDescent="0.25">
      <c r="A755"/>
      <c r="B755"/>
      <c r="C755"/>
      <c r="D755"/>
      <c r="E755"/>
      <c r="F755"/>
      <c r="G755"/>
      <c r="H755"/>
      <c r="I755"/>
    </row>
    <row r="756" spans="1:9" x14ac:dyDescent="0.25">
      <c r="A756"/>
      <c r="B756"/>
      <c r="C756"/>
      <c r="D756"/>
      <c r="E756"/>
      <c r="F756"/>
      <c r="G756"/>
      <c r="H756"/>
      <c r="I756"/>
    </row>
    <row r="757" spans="1:9" x14ac:dyDescent="0.25">
      <c r="A757"/>
      <c r="B757"/>
      <c r="C757"/>
      <c r="D757"/>
      <c r="E757"/>
      <c r="F757"/>
      <c r="G757"/>
      <c r="H757"/>
      <c r="I757"/>
    </row>
    <row r="758" spans="1:9" x14ac:dyDescent="0.25">
      <c r="A758"/>
      <c r="B758"/>
      <c r="C758"/>
      <c r="D758"/>
      <c r="E758"/>
      <c r="F758"/>
      <c r="G758"/>
      <c r="H758"/>
      <c r="I758"/>
    </row>
    <row r="759" spans="1:9" x14ac:dyDescent="0.25">
      <c r="A759"/>
      <c r="B759"/>
      <c r="C759"/>
      <c r="D759"/>
      <c r="E759"/>
      <c r="F759"/>
      <c r="G759"/>
      <c r="H759"/>
      <c r="I759"/>
    </row>
    <row r="760" spans="1:9" x14ac:dyDescent="0.25">
      <c r="A760"/>
      <c r="B760"/>
      <c r="C760"/>
      <c r="D760"/>
      <c r="E760"/>
      <c r="F760"/>
      <c r="G760"/>
      <c r="H760"/>
      <c r="I760"/>
    </row>
    <row r="761" spans="1:9" x14ac:dyDescent="0.25">
      <c r="A761"/>
      <c r="B761"/>
      <c r="C761"/>
      <c r="D761"/>
      <c r="E761"/>
      <c r="F761"/>
      <c r="G761"/>
      <c r="H761"/>
      <c r="I761"/>
    </row>
    <row r="762" spans="1:9" x14ac:dyDescent="0.25">
      <c r="A762"/>
      <c r="B762"/>
      <c r="C762"/>
      <c r="D762"/>
      <c r="E762"/>
      <c r="F762"/>
      <c r="G762"/>
      <c r="H762"/>
      <c r="I762"/>
    </row>
    <row r="763" spans="1:9" x14ac:dyDescent="0.25">
      <c r="A763"/>
      <c r="B763"/>
      <c r="C763"/>
      <c r="D763"/>
      <c r="E763"/>
      <c r="F763"/>
      <c r="G763"/>
      <c r="H763"/>
      <c r="I763"/>
    </row>
    <row r="764" spans="1:9" x14ac:dyDescent="0.25">
      <c r="A764"/>
      <c r="B764"/>
      <c r="C764"/>
      <c r="D764"/>
      <c r="E764"/>
      <c r="F764"/>
      <c r="G764"/>
      <c r="H764"/>
      <c r="I764"/>
    </row>
    <row r="765" spans="1:9" x14ac:dyDescent="0.25">
      <c r="A765"/>
      <c r="B765"/>
      <c r="C765"/>
      <c r="D765"/>
      <c r="E765"/>
      <c r="F765"/>
      <c r="G765"/>
      <c r="H765"/>
      <c r="I765"/>
    </row>
    <row r="766" spans="1:9" x14ac:dyDescent="0.25">
      <c r="A766"/>
      <c r="B766"/>
      <c r="C766"/>
      <c r="D766"/>
      <c r="E766"/>
      <c r="F766"/>
      <c r="G766"/>
      <c r="H766"/>
      <c r="I766"/>
    </row>
    <row r="767" spans="1:9" x14ac:dyDescent="0.25">
      <c r="A767"/>
      <c r="B767"/>
      <c r="C767"/>
      <c r="D767"/>
      <c r="E767"/>
      <c r="F767"/>
      <c r="G767"/>
      <c r="H767"/>
      <c r="I767"/>
    </row>
    <row r="768" spans="1:9" x14ac:dyDescent="0.25">
      <c r="A768"/>
      <c r="B768"/>
      <c r="C768"/>
      <c r="D768"/>
      <c r="E768"/>
      <c r="F768"/>
      <c r="G768"/>
      <c r="H768"/>
      <c r="I768"/>
    </row>
    <row r="769" spans="1:9" x14ac:dyDescent="0.25">
      <c r="A769"/>
      <c r="B769"/>
      <c r="C769"/>
      <c r="D769"/>
      <c r="E769"/>
      <c r="F769"/>
      <c r="G769"/>
      <c r="H769"/>
      <c r="I769"/>
    </row>
    <row r="770" spans="1:9" x14ac:dyDescent="0.25">
      <c r="A770"/>
      <c r="B770"/>
      <c r="C770"/>
      <c r="D770"/>
      <c r="E770"/>
      <c r="F770"/>
      <c r="G770"/>
      <c r="H770"/>
      <c r="I770"/>
    </row>
    <row r="771" spans="1:9" x14ac:dyDescent="0.25">
      <c r="A771"/>
      <c r="B771"/>
      <c r="C771"/>
      <c r="D771"/>
      <c r="E771"/>
      <c r="F771"/>
      <c r="G771"/>
      <c r="H771"/>
      <c r="I771"/>
    </row>
    <row r="772" spans="1:9" x14ac:dyDescent="0.25">
      <c r="A772"/>
      <c r="B772"/>
      <c r="C772"/>
      <c r="D772"/>
      <c r="E772"/>
      <c r="F772"/>
      <c r="G772"/>
      <c r="H772"/>
      <c r="I772"/>
    </row>
    <row r="773" spans="1:9" x14ac:dyDescent="0.25">
      <c r="A773"/>
      <c r="B773"/>
      <c r="C773"/>
      <c r="D773"/>
      <c r="E773"/>
      <c r="F773"/>
      <c r="G773"/>
      <c r="H773"/>
      <c r="I773"/>
    </row>
    <row r="774" spans="1:9" x14ac:dyDescent="0.25">
      <c r="A774"/>
      <c r="B774"/>
      <c r="C774"/>
      <c r="D774"/>
      <c r="E774"/>
      <c r="F774"/>
      <c r="G774"/>
      <c r="H774"/>
      <c r="I774"/>
    </row>
    <row r="775" spans="1:9" x14ac:dyDescent="0.25">
      <c r="A775"/>
      <c r="B775"/>
      <c r="C775"/>
      <c r="D775"/>
      <c r="E775"/>
      <c r="F775"/>
      <c r="G775"/>
      <c r="H775"/>
      <c r="I775"/>
    </row>
    <row r="776" spans="1:9" x14ac:dyDescent="0.25">
      <c r="A776"/>
      <c r="B776"/>
      <c r="C776"/>
      <c r="D776"/>
      <c r="E776"/>
      <c r="F776"/>
      <c r="G776"/>
      <c r="H776"/>
      <c r="I776"/>
    </row>
    <row r="777" spans="1:9" x14ac:dyDescent="0.25">
      <c r="A777"/>
      <c r="B777"/>
      <c r="C777"/>
      <c r="D777"/>
      <c r="E777"/>
      <c r="F777"/>
      <c r="G777"/>
      <c r="H777"/>
      <c r="I777"/>
    </row>
    <row r="778" spans="1:9" x14ac:dyDescent="0.25">
      <c r="A778"/>
      <c r="B778"/>
      <c r="C778"/>
      <c r="D778"/>
      <c r="E778"/>
      <c r="F778"/>
      <c r="G778"/>
      <c r="H778"/>
      <c r="I778"/>
    </row>
    <row r="779" spans="1:9" x14ac:dyDescent="0.25">
      <c r="A779"/>
      <c r="B779"/>
      <c r="C779"/>
      <c r="D779"/>
      <c r="E779"/>
      <c r="F779"/>
      <c r="G779"/>
      <c r="H779"/>
      <c r="I779"/>
    </row>
    <row r="780" spans="1:9" x14ac:dyDescent="0.25">
      <c r="A780"/>
      <c r="B780"/>
      <c r="C780"/>
      <c r="D780"/>
      <c r="E780"/>
      <c r="F780"/>
      <c r="G780"/>
      <c r="H780"/>
      <c r="I780"/>
    </row>
    <row r="781" spans="1:9" x14ac:dyDescent="0.25">
      <c r="A781"/>
      <c r="B781"/>
      <c r="C781"/>
      <c r="D781"/>
      <c r="E781"/>
      <c r="F781"/>
      <c r="G781"/>
      <c r="H781"/>
      <c r="I781"/>
    </row>
    <row r="782" spans="1:9" x14ac:dyDescent="0.25">
      <c r="A782"/>
      <c r="B782"/>
      <c r="C782"/>
      <c r="D782"/>
      <c r="E782"/>
      <c r="F782"/>
      <c r="G782"/>
      <c r="H782"/>
      <c r="I782"/>
    </row>
    <row r="783" spans="1:9" x14ac:dyDescent="0.25">
      <c r="A783"/>
      <c r="B783"/>
      <c r="C783"/>
      <c r="D783"/>
      <c r="E783"/>
      <c r="F783"/>
      <c r="G783"/>
      <c r="H783"/>
      <c r="I783"/>
    </row>
    <row r="784" spans="1:9" x14ac:dyDescent="0.25">
      <c r="A784"/>
      <c r="B784"/>
      <c r="C784"/>
      <c r="D784"/>
      <c r="E784"/>
      <c r="F784"/>
      <c r="G784"/>
      <c r="H784"/>
      <c r="I784"/>
    </row>
    <row r="785" spans="1:9" x14ac:dyDescent="0.25">
      <c r="A785"/>
      <c r="B785"/>
      <c r="C785"/>
      <c r="D785"/>
      <c r="E785"/>
      <c r="F785"/>
      <c r="G785"/>
      <c r="H785"/>
      <c r="I785"/>
    </row>
    <row r="786" spans="1:9" x14ac:dyDescent="0.25">
      <c r="A786"/>
      <c r="B786"/>
      <c r="C786"/>
      <c r="D786"/>
      <c r="E786"/>
      <c r="F786"/>
      <c r="G786"/>
      <c r="H786"/>
      <c r="I786"/>
    </row>
    <row r="787" spans="1:9" x14ac:dyDescent="0.25">
      <c r="A787"/>
      <c r="B787"/>
      <c r="C787"/>
      <c r="D787"/>
      <c r="E787"/>
      <c r="F787"/>
      <c r="G787"/>
      <c r="H787"/>
      <c r="I787"/>
    </row>
    <row r="788" spans="1:9" x14ac:dyDescent="0.25">
      <c r="A788"/>
      <c r="B788"/>
      <c r="C788"/>
      <c r="D788"/>
      <c r="E788"/>
      <c r="F788"/>
      <c r="G788"/>
      <c r="H788"/>
      <c r="I788"/>
    </row>
    <row r="789" spans="1:9" x14ac:dyDescent="0.25">
      <c r="A789"/>
      <c r="B789"/>
      <c r="C789"/>
      <c r="D789"/>
      <c r="E789"/>
      <c r="F789"/>
      <c r="G789"/>
      <c r="H789"/>
      <c r="I789"/>
    </row>
    <row r="790" spans="1:9" x14ac:dyDescent="0.25">
      <c r="A790"/>
      <c r="B790"/>
      <c r="C790"/>
      <c r="D790"/>
      <c r="E790"/>
      <c r="F790"/>
      <c r="G790"/>
      <c r="H790"/>
      <c r="I790"/>
    </row>
    <row r="791" spans="1:9" x14ac:dyDescent="0.25">
      <c r="A791"/>
      <c r="B791"/>
      <c r="C791"/>
      <c r="D791"/>
      <c r="E791"/>
      <c r="F791"/>
      <c r="G791"/>
      <c r="H791"/>
      <c r="I791"/>
    </row>
    <row r="792" spans="1:9" x14ac:dyDescent="0.25">
      <c r="A792"/>
      <c r="B792"/>
      <c r="C792"/>
      <c r="D792"/>
      <c r="E792"/>
      <c r="F792"/>
      <c r="G792"/>
      <c r="H792"/>
      <c r="I792"/>
    </row>
    <row r="793" spans="1:9" x14ac:dyDescent="0.25">
      <c r="A793"/>
      <c r="B793"/>
      <c r="C793"/>
      <c r="D793"/>
      <c r="E793"/>
      <c r="F793"/>
      <c r="G793"/>
      <c r="H793"/>
      <c r="I793"/>
    </row>
    <row r="794" spans="1:9" x14ac:dyDescent="0.25">
      <c r="A794"/>
      <c r="B794"/>
      <c r="C794"/>
      <c r="D794"/>
      <c r="E794"/>
      <c r="F794"/>
      <c r="G794"/>
      <c r="H794"/>
      <c r="I794"/>
    </row>
    <row r="795" spans="1:9" x14ac:dyDescent="0.25">
      <c r="A795"/>
      <c r="B795"/>
      <c r="C795"/>
      <c r="D795"/>
      <c r="E795"/>
      <c r="F795"/>
      <c r="G795"/>
      <c r="H795"/>
      <c r="I795"/>
    </row>
    <row r="796" spans="1:9" x14ac:dyDescent="0.25">
      <c r="A796"/>
      <c r="B796"/>
      <c r="C796"/>
      <c r="D796"/>
      <c r="E796"/>
      <c r="F796"/>
      <c r="G796"/>
      <c r="H796"/>
      <c r="I796"/>
    </row>
    <row r="797" spans="1:9" x14ac:dyDescent="0.25">
      <c r="A797"/>
      <c r="B797"/>
      <c r="C797"/>
      <c r="D797"/>
      <c r="E797"/>
      <c r="F797"/>
      <c r="G797"/>
      <c r="H797"/>
      <c r="I797"/>
    </row>
    <row r="798" spans="1:9" x14ac:dyDescent="0.25">
      <c r="A798"/>
      <c r="B798"/>
      <c r="C798"/>
      <c r="D798"/>
      <c r="E798"/>
      <c r="F798"/>
      <c r="G798"/>
      <c r="H798"/>
      <c r="I798"/>
    </row>
    <row r="799" spans="1:9" x14ac:dyDescent="0.25">
      <c r="A799"/>
      <c r="B799"/>
      <c r="C799"/>
      <c r="D799"/>
      <c r="E799"/>
      <c r="F799"/>
      <c r="G799"/>
      <c r="H799"/>
      <c r="I799"/>
    </row>
    <row r="800" spans="1:9" x14ac:dyDescent="0.25">
      <c r="A800"/>
      <c r="B800"/>
      <c r="C800"/>
      <c r="D800"/>
      <c r="E800"/>
      <c r="F800"/>
      <c r="G800"/>
      <c r="H800"/>
      <c r="I800"/>
    </row>
    <row r="801" spans="1:9" x14ac:dyDescent="0.25">
      <c r="A801"/>
      <c r="B801"/>
      <c r="C801"/>
      <c r="D801"/>
      <c r="E801"/>
      <c r="F801"/>
      <c r="G801"/>
      <c r="H801"/>
      <c r="I801"/>
    </row>
    <row r="802" spans="1:9" x14ac:dyDescent="0.25">
      <c r="A802"/>
      <c r="B802"/>
      <c r="C802"/>
      <c r="D802"/>
      <c r="E802"/>
      <c r="F802"/>
      <c r="G802"/>
      <c r="H802"/>
      <c r="I802"/>
    </row>
    <row r="803" spans="1:9" x14ac:dyDescent="0.25">
      <c r="A803"/>
      <c r="B803"/>
      <c r="C803"/>
      <c r="D803"/>
      <c r="E803"/>
      <c r="F803"/>
      <c r="G803"/>
      <c r="H803"/>
      <c r="I803"/>
    </row>
    <row r="804" spans="1:9" x14ac:dyDescent="0.25">
      <c r="A804"/>
      <c r="B804"/>
      <c r="C804"/>
      <c r="D804"/>
      <c r="E804"/>
      <c r="F804"/>
      <c r="G804"/>
      <c r="H804"/>
      <c r="I804"/>
    </row>
    <row r="805" spans="1:9" x14ac:dyDescent="0.25">
      <c r="A805"/>
      <c r="B805"/>
      <c r="C805"/>
      <c r="D805"/>
      <c r="E805"/>
      <c r="F805"/>
      <c r="G805"/>
      <c r="H805"/>
      <c r="I805"/>
    </row>
    <row r="806" spans="1:9" x14ac:dyDescent="0.25">
      <c r="A806"/>
      <c r="B806"/>
      <c r="C806"/>
      <c r="D806"/>
      <c r="E806"/>
      <c r="F806"/>
      <c r="G806"/>
      <c r="H806"/>
      <c r="I806"/>
    </row>
    <row r="807" spans="1:9" x14ac:dyDescent="0.25">
      <c r="A807"/>
      <c r="B807"/>
      <c r="C807"/>
      <c r="D807"/>
      <c r="E807"/>
      <c r="F807"/>
      <c r="G807"/>
      <c r="H807"/>
      <c r="I807"/>
    </row>
    <row r="808" spans="1:9" x14ac:dyDescent="0.25">
      <c r="A808"/>
      <c r="B808"/>
      <c r="C808"/>
      <c r="D808"/>
      <c r="E808"/>
      <c r="F808"/>
      <c r="G808"/>
      <c r="H808"/>
      <c r="I808"/>
    </row>
    <row r="809" spans="1:9" x14ac:dyDescent="0.25">
      <c r="A809"/>
      <c r="B809"/>
      <c r="C809"/>
      <c r="D809"/>
      <c r="E809"/>
      <c r="F809"/>
      <c r="G809"/>
      <c r="H809"/>
      <c r="I809"/>
    </row>
    <row r="810" spans="1:9" x14ac:dyDescent="0.25">
      <c r="A810"/>
      <c r="B810"/>
      <c r="C810"/>
      <c r="D810"/>
      <c r="E810"/>
      <c r="F810"/>
      <c r="G810"/>
      <c r="H810"/>
      <c r="I810"/>
    </row>
    <row r="811" spans="1:9" x14ac:dyDescent="0.25">
      <c r="A811"/>
      <c r="B811"/>
      <c r="C811"/>
      <c r="D811"/>
      <c r="E811"/>
      <c r="F811"/>
      <c r="G811"/>
      <c r="H811"/>
      <c r="I811"/>
    </row>
    <row r="812" spans="1:9" x14ac:dyDescent="0.25">
      <c r="A812"/>
      <c r="B812"/>
      <c r="C812"/>
      <c r="D812"/>
      <c r="E812"/>
      <c r="F812"/>
      <c r="G812"/>
      <c r="H812"/>
      <c r="I812"/>
    </row>
    <row r="813" spans="1:9" x14ac:dyDescent="0.25">
      <c r="A813"/>
      <c r="B813"/>
      <c r="C813"/>
      <c r="D813"/>
      <c r="E813"/>
      <c r="F813"/>
      <c r="G813"/>
      <c r="H813"/>
      <c r="I813"/>
    </row>
    <row r="814" spans="1:9" x14ac:dyDescent="0.25">
      <c r="A814"/>
      <c r="B814"/>
      <c r="C814"/>
      <c r="D814"/>
      <c r="E814"/>
      <c r="F814"/>
      <c r="G814"/>
      <c r="H814"/>
      <c r="I814"/>
    </row>
    <row r="815" spans="1:9" x14ac:dyDescent="0.25">
      <c r="A815"/>
      <c r="B815"/>
      <c r="C815"/>
      <c r="D815"/>
      <c r="E815"/>
      <c r="F815"/>
      <c r="G815"/>
      <c r="H815"/>
      <c r="I815"/>
    </row>
    <row r="816" spans="1:9" x14ac:dyDescent="0.25">
      <c r="A816"/>
      <c r="B816"/>
      <c r="C816"/>
      <c r="D816"/>
      <c r="E816"/>
      <c r="F816"/>
      <c r="G816"/>
      <c r="H816"/>
      <c r="I816"/>
    </row>
    <row r="817" spans="1:9" x14ac:dyDescent="0.25">
      <c r="A817"/>
      <c r="B817"/>
      <c r="C817"/>
      <c r="D817"/>
      <c r="E817"/>
      <c r="F817"/>
      <c r="G817"/>
      <c r="H817"/>
      <c r="I817"/>
    </row>
    <row r="818" spans="1:9" x14ac:dyDescent="0.25">
      <c r="A818"/>
      <c r="B818"/>
      <c r="C818"/>
      <c r="D818"/>
      <c r="E818"/>
      <c r="F818"/>
      <c r="G818"/>
      <c r="H818"/>
      <c r="I818"/>
    </row>
    <row r="819" spans="1:9" x14ac:dyDescent="0.25">
      <c r="A819"/>
      <c r="B819"/>
      <c r="C819"/>
      <c r="D819"/>
      <c r="E819"/>
      <c r="F819"/>
      <c r="G819"/>
      <c r="H819"/>
      <c r="I819"/>
    </row>
    <row r="820" spans="1:9" x14ac:dyDescent="0.25">
      <c r="A820"/>
      <c r="B820"/>
      <c r="C820"/>
      <c r="D820"/>
      <c r="E820"/>
      <c r="F820"/>
      <c r="G820"/>
      <c r="H820"/>
      <c r="I820"/>
    </row>
    <row r="821" spans="1:9" x14ac:dyDescent="0.25">
      <c r="A821"/>
      <c r="B821"/>
      <c r="C821"/>
      <c r="D821"/>
      <c r="E821"/>
      <c r="F821"/>
      <c r="G821"/>
      <c r="H821"/>
      <c r="I821"/>
    </row>
    <row r="822" spans="1:9" x14ac:dyDescent="0.25">
      <c r="A822"/>
      <c r="B822"/>
      <c r="C822"/>
      <c r="D822"/>
      <c r="E822"/>
      <c r="F822"/>
      <c r="G822"/>
      <c r="H822"/>
      <c r="I822"/>
    </row>
    <row r="823" spans="1:9" x14ac:dyDescent="0.25">
      <c r="A823"/>
      <c r="B823"/>
      <c r="C823"/>
      <c r="D823"/>
      <c r="E823"/>
      <c r="F823"/>
      <c r="G823"/>
      <c r="H823"/>
      <c r="I823"/>
    </row>
    <row r="824" spans="1:9" x14ac:dyDescent="0.25">
      <c r="A824"/>
      <c r="B824"/>
      <c r="C824"/>
      <c r="D824"/>
      <c r="E824"/>
      <c r="F824"/>
      <c r="G824"/>
      <c r="H824"/>
      <c r="I824"/>
    </row>
    <row r="825" spans="1:9" x14ac:dyDescent="0.25">
      <c r="A825"/>
      <c r="B825"/>
      <c r="C825"/>
      <c r="D825"/>
      <c r="E825"/>
      <c r="F825"/>
      <c r="G825"/>
      <c r="H825"/>
      <c r="I825"/>
    </row>
    <row r="826" spans="1:9" x14ac:dyDescent="0.25">
      <c r="A826"/>
      <c r="B826"/>
      <c r="C826"/>
      <c r="D826"/>
      <c r="E826"/>
      <c r="F826"/>
      <c r="G826"/>
      <c r="H826"/>
      <c r="I826"/>
    </row>
    <row r="827" spans="1:9" x14ac:dyDescent="0.25">
      <c r="A827"/>
      <c r="B827"/>
      <c r="C827"/>
      <c r="D827"/>
      <c r="E827"/>
      <c r="F827"/>
      <c r="G827"/>
      <c r="H827"/>
      <c r="I827"/>
    </row>
    <row r="828" spans="1:9" x14ac:dyDescent="0.25">
      <c r="A828"/>
      <c r="B828"/>
      <c r="C828"/>
      <c r="D828"/>
      <c r="E828"/>
      <c r="F828"/>
      <c r="G828"/>
      <c r="H828"/>
      <c r="I828"/>
    </row>
    <row r="829" spans="1:9" x14ac:dyDescent="0.25">
      <c r="A829"/>
      <c r="B829"/>
      <c r="C829"/>
      <c r="D829"/>
      <c r="E829"/>
      <c r="F829"/>
      <c r="G829"/>
      <c r="H829"/>
      <c r="I829"/>
    </row>
    <row r="830" spans="1:9" x14ac:dyDescent="0.25">
      <c r="A830"/>
      <c r="B830"/>
      <c r="C830"/>
      <c r="D830"/>
      <c r="E830"/>
      <c r="F830"/>
      <c r="G830"/>
      <c r="H830"/>
      <c r="I830"/>
    </row>
    <row r="831" spans="1:9" x14ac:dyDescent="0.25">
      <c r="A831"/>
      <c r="B831"/>
      <c r="C831"/>
      <c r="D831"/>
      <c r="E831"/>
      <c r="F831"/>
      <c r="G831"/>
      <c r="H831"/>
      <c r="I831"/>
    </row>
    <row r="832" spans="1:9" x14ac:dyDescent="0.25">
      <c r="A832"/>
      <c r="B832"/>
      <c r="C832"/>
      <c r="D832"/>
      <c r="E832"/>
      <c r="F832"/>
      <c r="G832"/>
      <c r="H832"/>
      <c r="I832"/>
    </row>
    <row r="833" spans="1:9" x14ac:dyDescent="0.25">
      <c r="A833"/>
      <c r="B833"/>
      <c r="C833"/>
      <c r="D833"/>
      <c r="E833"/>
      <c r="F833"/>
      <c r="G833"/>
      <c r="H833"/>
      <c r="I833"/>
    </row>
    <row r="834" spans="1:9" x14ac:dyDescent="0.25">
      <c r="A834"/>
      <c r="B834"/>
      <c r="C834"/>
      <c r="D834"/>
      <c r="E834"/>
      <c r="F834"/>
      <c r="G834"/>
      <c r="H834"/>
      <c r="I834"/>
    </row>
    <row r="835" spans="1:9" x14ac:dyDescent="0.25">
      <c r="A835"/>
      <c r="B835"/>
      <c r="C835"/>
      <c r="D835"/>
      <c r="E835"/>
      <c r="F835"/>
      <c r="G835"/>
      <c r="H835"/>
      <c r="I835"/>
    </row>
    <row r="836" spans="1:9" x14ac:dyDescent="0.25">
      <c r="A836"/>
      <c r="B836"/>
      <c r="C836"/>
      <c r="D836"/>
      <c r="E836"/>
      <c r="F836"/>
      <c r="G836"/>
      <c r="H836"/>
      <c r="I836"/>
    </row>
    <row r="837" spans="1:9" x14ac:dyDescent="0.25">
      <c r="A837"/>
      <c r="B837"/>
      <c r="C837"/>
      <c r="D837"/>
      <c r="E837"/>
      <c r="F837"/>
      <c r="G837"/>
      <c r="H837"/>
      <c r="I837"/>
    </row>
    <row r="838" spans="1:9" x14ac:dyDescent="0.25">
      <c r="A838"/>
      <c r="B838"/>
      <c r="C838"/>
      <c r="D838"/>
      <c r="E838"/>
      <c r="F838"/>
      <c r="G838"/>
      <c r="H838"/>
      <c r="I838"/>
    </row>
    <row r="839" spans="1:9" x14ac:dyDescent="0.25">
      <c r="A839"/>
      <c r="B839"/>
      <c r="C839"/>
      <c r="D839"/>
      <c r="E839"/>
      <c r="F839"/>
      <c r="G839"/>
      <c r="H839"/>
      <c r="I839"/>
    </row>
    <row r="840" spans="1:9" x14ac:dyDescent="0.25">
      <c r="A840"/>
      <c r="B840"/>
      <c r="C840"/>
      <c r="D840"/>
      <c r="E840"/>
      <c r="F840"/>
      <c r="G840"/>
      <c r="H840"/>
      <c r="I840"/>
    </row>
    <row r="841" spans="1:9" x14ac:dyDescent="0.25">
      <c r="A841"/>
      <c r="B841"/>
      <c r="C841"/>
      <c r="D841"/>
      <c r="E841"/>
      <c r="F841"/>
      <c r="G841"/>
      <c r="H841"/>
      <c r="I841"/>
    </row>
    <row r="842" spans="1:9" x14ac:dyDescent="0.25">
      <c r="A842"/>
      <c r="B842"/>
      <c r="C842"/>
      <c r="D842"/>
      <c r="E842"/>
      <c r="F842"/>
      <c r="G842"/>
      <c r="H842"/>
      <c r="I842"/>
    </row>
    <row r="843" spans="1:9" x14ac:dyDescent="0.25">
      <c r="A843"/>
      <c r="B843"/>
      <c r="C843"/>
      <c r="D843"/>
      <c r="E843"/>
      <c r="F843"/>
      <c r="G843"/>
      <c r="H843"/>
      <c r="I843"/>
    </row>
    <row r="844" spans="1:9" x14ac:dyDescent="0.25">
      <c r="A844"/>
      <c r="B844"/>
      <c r="C844"/>
      <c r="D844"/>
      <c r="E844"/>
      <c r="F844"/>
      <c r="G844"/>
      <c r="H844"/>
      <c r="I844"/>
    </row>
    <row r="845" spans="1:9" x14ac:dyDescent="0.25">
      <c r="A845"/>
      <c r="B845"/>
      <c r="C845"/>
      <c r="D845"/>
      <c r="E845"/>
      <c r="F845"/>
      <c r="G845"/>
      <c r="H845"/>
      <c r="I845"/>
    </row>
    <row r="846" spans="1:9" x14ac:dyDescent="0.25">
      <c r="A846"/>
      <c r="B846"/>
      <c r="C846"/>
      <c r="D846"/>
      <c r="E846"/>
      <c r="F846"/>
      <c r="G846"/>
      <c r="H846"/>
      <c r="I846"/>
    </row>
    <row r="847" spans="1:9" x14ac:dyDescent="0.25">
      <c r="A847"/>
      <c r="B847"/>
      <c r="C847"/>
      <c r="D847"/>
      <c r="E847"/>
      <c r="F847"/>
      <c r="G847"/>
      <c r="H847"/>
      <c r="I847"/>
    </row>
    <row r="848" spans="1:9" x14ac:dyDescent="0.25">
      <c r="A848"/>
      <c r="B848"/>
      <c r="C848"/>
      <c r="D848"/>
      <c r="E848"/>
      <c r="F848"/>
      <c r="G848"/>
      <c r="H848"/>
      <c r="I848"/>
    </row>
    <row r="849" spans="1:9" x14ac:dyDescent="0.25">
      <c r="A849"/>
      <c r="B849"/>
      <c r="C849"/>
      <c r="D849"/>
      <c r="E849"/>
      <c r="F849"/>
      <c r="G849"/>
      <c r="H849"/>
      <c r="I849"/>
    </row>
    <row r="850" spans="1:9" x14ac:dyDescent="0.25">
      <c r="A850"/>
      <c r="B850"/>
      <c r="C850"/>
      <c r="D850"/>
      <c r="E850"/>
      <c r="F850"/>
      <c r="G850"/>
      <c r="H850"/>
      <c r="I850"/>
    </row>
    <row r="851" spans="1:9" x14ac:dyDescent="0.25">
      <c r="A851"/>
      <c r="B851"/>
      <c r="C851"/>
      <c r="D851"/>
      <c r="E851"/>
      <c r="F851"/>
      <c r="G851"/>
      <c r="H851"/>
      <c r="I851"/>
    </row>
    <row r="852" spans="1:9" x14ac:dyDescent="0.25">
      <c r="A852"/>
      <c r="B852"/>
      <c r="C852"/>
      <c r="D852"/>
      <c r="E852"/>
      <c r="F852"/>
      <c r="G852"/>
      <c r="H852"/>
      <c r="I852"/>
    </row>
    <row r="853" spans="1:9" x14ac:dyDescent="0.25">
      <c r="A853"/>
      <c r="B853"/>
      <c r="C853"/>
      <c r="D853"/>
      <c r="E853"/>
      <c r="F853"/>
      <c r="G853"/>
      <c r="H853"/>
      <c r="I853"/>
    </row>
    <row r="854" spans="1:9" x14ac:dyDescent="0.25">
      <c r="A854"/>
      <c r="B854"/>
      <c r="C854"/>
      <c r="D854"/>
      <c r="E854"/>
      <c r="F854"/>
      <c r="G854"/>
      <c r="H854"/>
      <c r="I854"/>
    </row>
    <row r="855" spans="1:9" x14ac:dyDescent="0.25">
      <c r="A855"/>
      <c r="B855"/>
      <c r="C855"/>
      <c r="D855"/>
      <c r="E855"/>
      <c r="F855"/>
      <c r="G855"/>
      <c r="H855"/>
      <c r="I855"/>
    </row>
    <row r="856" spans="1:9" x14ac:dyDescent="0.25">
      <c r="A856"/>
      <c r="B856"/>
      <c r="C856"/>
      <c r="D856"/>
      <c r="E856"/>
      <c r="F856"/>
      <c r="G856"/>
      <c r="H856"/>
      <c r="I856"/>
    </row>
    <row r="857" spans="1:9" x14ac:dyDescent="0.25">
      <c r="A857"/>
      <c r="B857"/>
      <c r="C857"/>
      <c r="D857"/>
      <c r="E857"/>
      <c r="F857"/>
      <c r="G857"/>
      <c r="H857"/>
      <c r="I857"/>
    </row>
    <row r="858" spans="1:9" x14ac:dyDescent="0.25">
      <c r="A858"/>
      <c r="B858"/>
      <c r="C858"/>
      <c r="D858"/>
      <c r="E858"/>
      <c r="F858"/>
      <c r="G858"/>
      <c r="H858"/>
      <c r="I858"/>
    </row>
    <row r="859" spans="1:9" x14ac:dyDescent="0.25">
      <c r="A859"/>
      <c r="B859"/>
      <c r="C859"/>
      <c r="D859"/>
      <c r="E859"/>
      <c r="F859"/>
      <c r="G859"/>
      <c r="H859"/>
      <c r="I859"/>
    </row>
    <row r="860" spans="1:9" x14ac:dyDescent="0.25">
      <c r="A860"/>
      <c r="B860"/>
      <c r="C860"/>
      <c r="D860"/>
      <c r="E860"/>
      <c r="F860"/>
      <c r="G860"/>
      <c r="H860"/>
      <c r="I860"/>
    </row>
    <row r="861" spans="1:9" x14ac:dyDescent="0.25">
      <c r="A861"/>
      <c r="B861"/>
      <c r="C861"/>
      <c r="D861"/>
      <c r="E861"/>
      <c r="F861"/>
      <c r="G861"/>
      <c r="H861"/>
      <c r="I861"/>
    </row>
    <row r="862" spans="1:9" x14ac:dyDescent="0.25">
      <c r="A862"/>
      <c r="B862"/>
      <c r="C862"/>
      <c r="D862"/>
      <c r="E862"/>
      <c r="F862"/>
      <c r="G862"/>
      <c r="H862"/>
      <c r="I862"/>
    </row>
    <row r="863" spans="1:9" x14ac:dyDescent="0.25">
      <c r="A863"/>
      <c r="B863"/>
      <c r="C863"/>
      <c r="D863"/>
      <c r="E863"/>
      <c r="F863"/>
      <c r="G863"/>
      <c r="H863"/>
      <c r="I863"/>
    </row>
    <row r="864" spans="1:9" x14ac:dyDescent="0.25">
      <c r="A864"/>
      <c r="B864"/>
      <c r="C864"/>
      <c r="D864"/>
      <c r="E864"/>
      <c r="F864"/>
      <c r="G864"/>
      <c r="H864"/>
      <c r="I864"/>
    </row>
    <row r="865" spans="1:9" x14ac:dyDescent="0.25">
      <c r="A865"/>
      <c r="B865"/>
      <c r="C865"/>
      <c r="D865"/>
      <c r="E865"/>
      <c r="F865"/>
      <c r="G865"/>
      <c r="H865"/>
      <c r="I865"/>
    </row>
    <row r="866" spans="1:9" x14ac:dyDescent="0.25">
      <c r="A866"/>
      <c r="B866"/>
      <c r="C866"/>
      <c r="D866"/>
      <c r="E866"/>
      <c r="F866"/>
      <c r="G866"/>
      <c r="H866"/>
      <c r="I866"/>
    </row>
    <row r="867" spans="1:9" x14ac:dyDescent="0.25">
      <c r="A867"/>
      <c r="B867"/>
      <c r="C867"/>
      <c r="D867"/>
      <c r="E867"/>
      <c r="F867"/>
      <c r="G867"/>
      <c r="H867"/>
      <c r="I867"/>
    </row>
    <row r="868" spans="1:9" x14ac:dyDescent="0.25">
      <c r="A868"/>
      <c r="B868"/>
      <c r="C868"/>
      <c r="D868"/>
      <c r="E868"/>
      <c r="F868"/>
      <c r="G868"/>
      <c r="H868"/>
      <c r="I868"/>
    </row>
    <row r="869" spans="1:9" x14ac:dyDescent="0.25">
      <c r="A869"/>
      <c r="B869"/>
      <c r="C869"/>
      <c r="D869"/>
      <c r="E869"/>
      <c r="F869"/>
      <c r="G869"/>
      <c r="H869"/>
      <c r="I869"/>
    </row>
    <row r="870" spans="1:9" x14ac:dyDescent="0.25">
      <c r="A870"/>
      <c r="B870"/>
      <c r="C870"/>
      <c r="D870"/>
      <c r="E870"/>
      <c r="F870"/>
      <c r="G870"/>
      <c r="H870"/>
      <c r="I870"/>
    </row>
    <row r="871" spans="1:9" x14ac:dyDescent="0.25">
      <c r="A871"/>
      <c r="B871"/>
      <c r="C871"/>
      <c r="D871"/>
      <c r="E871"/>
      <c r="F871"/>
      <c r="G871"/>
      <c r="H871"/>
      <c r="I871"/>
    </row>
    <row r="872" spans="1:9" x14ac:dyDescent="0.25">
      <c r="A872"/>
      <c r="B872"/>
      <c r="C872"/>
      <c r="D872"/>
      <c r="E872"/>
      <c r="F872"/>
      <c r="G872"/>
      <c r="H872"/>
      <c r="I872"/>
    </row>
    <row r="873" spans="1:9" x14ac:dyDescent="0.25">
      <c r="A873"/>
      <c r="B873"/>
      <c r="C873"/>
      <c r="D873"/>
      <c r="E873"/>
      <c r="F873"/>
      <c r="G873"/>
      <c r="H873"/>
      <c r="I873"/>
    </row>
    <row r="874" spans="1:9" x14ac:dyDescent="0.25">
      <c r="A874"/>
      <c r="B874"/>
      <c r="C874"/>
      <c r="D874"/>
      <c r="E874"/>
      <c r="F874"/>
      <c r="G874"/>
      <c r="H874"/>
      <c r="I874"/>
    </row>
    <row r="875" spans="1:9" x14ac:dyDescent="0.25">
      <c r="A875"/>
      <c r="B875"/>
      <c r="C875"/>
      <c r="D875"/>
      <c r="E875"/>
      <c r="F875"/>
      <c r="G875"/>
      <c r="H875"/>
      <c r="I875"/>
    </row>
    <row r="876" spans="1:9" x14ac:dyDescent="0.25">
      <c r="A876"/>
      <c r="B876"/>
      <c r="C876"/>
      <c r="D876"/>
      <c r="E876"/>
      <c r="F876"/>
      <c r="G876"/>
      <c r="H876"/>
      <c r="I876"/>
    </row>
    <row r="877" spans="1:9" x14ac:dyDescent="0.25">
      <c r="A877"/>
      <c r="B877"/>
      <c r="C877"/>
      <c r="D877"/>
      <c r="E877"/>
      <c r="F877"/>
      <c r="G877"/>
      <c r="H877"/>
      <c r="I877"/>
    </row>
  </sheetData>
  <printOptions horizontalCentered="1"/>
  <pageMargins left="0.25" right="0.25" top="0.75" bottom="0.75" header="0.3" footer="0.3"/>
  <pageSetup paperSize="9" scale="54" fitToHeight="3" orientation="portrait" r:id="rId2"/>
  <drawing r:id="rId3"/>
  <extLst>
    <ext xmlns:x14="http://schemas.microsoft.com/office/spreadsheetml/2009/9/main" uri="{A8765BA9-456A-4dab-B4F3-ACF838C121DE}">
      <x14:slicerList>
        <x14:slicer r:id="rId4"/>
      </x14:slicerList>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42DF0-FD5D-4287-851C-238466B573C9}">
  <sheetPr>
    <pageSetUpPr fitToPage="1"/>
  </sheetPr>
  <dimension ref="A9:N877"/>
  <sheetViews>
    <sheetView showGridLines="0" view="pageBreakPreview" topLeftCell="A4" zoomScale="85" zoomScaleNormal="100" zoomScaleSheetLayoutView="85" workbookViewId="0">
      <selection activeCell="J21" sqref="J21"/>
    </sheetView>
  </sheetViews>
  <sheetFormatPr defaultRowHeight="15" x14ac:dyDescent="0.25"/>
  <cols>
    <col min="1" max="1" width="13.28515625" style="79" bestFit="1" customWidth="1"/>
    <col min="2" max="2" width="12.42578125" style="191" bestFit="1" customWidth="1"/>
    <col min="3" max="5" width="11.5703125" style="192" bestFit="1" customWidth="1"/>
    <col min="6" max="6" width="13.5703125" style="79" bestFit="1" customWidth="1"/>
    <col min="7" max="7" width="18" style="192" bestFit="1" customWidth="1"/>
    <col min="8" max="8" width="13.42578125" style="192" bestFit="1" customWidth="1"/>
    <col min="9" max="9" width="16.42578125" style="79" bestFit="1" customWidth="1"/>
    <col min="10" max="10" width="28.85546875" style="79" bestFit="1" customWidth="1"/>
    <col min="11" max="13" width="9.140625" style="79"/>
    <col min="14" max="14" width="24.7109375" style="79" bestFit="1" customWidth="1"/>
    <col min="15" max="16384" width="9.140625" style="79"/>
  </cols>
  <sheetData>
    <row r="9" spans="14:14" x14ac:dyDescent="0.25">
      <c r="N9" s="79" t="s">
        <v>1177</v>
      </c>
    </row>
    <row r="10" spans="14:14" x14ac:dyDescent="0.25">
      <c r="N10" s="79" t="s">
        <v>1176</v>
      </c>
    </row>
    <row r="11" spans="14:14" x14ac:dyDescent="0.25">
      <c r="N11" s="79">
        <f>COUNT(B18:B162)</f>
        <v>56</v>
      </c>
    </row>
    <row r="12" spans="14:14" x14ac:dyDescent="0.25">
      <c r="N12" s="79" t="s">
        <v>1164</v>
      </c>
    </row>
    <row r="13" spans="14:14" x14ac:dyDescent="0.25">
      <c r="N13" s="79" t="s">
        <v>1301</v>
      </c>
    </row>
    <row r="14" spans="14:14" x14ac:dyDescent="0.25">
      <c r="N14" s="226">
        <f>GETPIVOTDATA("Sum of TOTAL UNIT VALUE (SEMI FINISHED)",'PROJECT SUMMARY DASH'!$A$1,"SELLING PHASE NAME","R 2")</f>
        <v>469832417.97289401</v>
      </c>
    </row>
    <row r="18" spans="1:10" s="160" customFormat="1" ht="60" x14ac:dyDescent="0.25">
      <c r="A18" s="160" t="s">
        <v>733</v>
      </c>
      <c r="B18" s="160" t="s">
        <v>1303</v>
      </c>
      <c r="C18" s="160" t="s">
        <v>713</v>
      </c>
      <c r="D18" s="160" t="s">
        <v>1302</v>
      </c>
      <c r="E18" s="225" t="s">
        <v>1151</v>
      </c>
      <c r="F18" s="225" t="s">
        <v>1152</v>
      </c>
      <c r="G18" s="160" t="s">
        <v>1298</v>
      </c>
      <c r="H18" s="160" t="s">
        <v>1299</v>
      </c>
      <c r="I18" s="160" t="s">
        <v>1300</v>
      </c>
      <c r="J18" s="290" t="str">
        <f>Table1[[#Headers],[NO. OF BEDROOMS]]</f>
        <v>NO. OF BEDROOMS</v>
      </c>
    </row>
    <row r="19" spans="1:10" x14ac:dyDescent="0.25">
      <c r="A19" s="121" t="s">
        <v>244</v>
      </c>
      <c r="B19" s="191">
        <v>45433.124999999993</v>
      </c>
      <c r="C19" s="191">
        <v>136</v>
      </c>
      <c r="D19" s="191">
        <v>42.779499999999999</v>
      </c>
      <c r="E19" s="122">
        <v>641390.1024093749</v>
      </c>
      <c r="F19" s="122">
        <v>579725.08370479685</v>
      </c>
      <c r="G19" s="122">
        <v>7025295.102409374</v>
      </c>
      <c r="H19" s="122">
        <v>7637295.102409374</v>
      </c>
      <c r="I19" s="122">
        <v>8045295.102409374</v>
      </c>
      <c r="J19" s="79" t="str">
        <f>VLOOKUP(A19,Table1[[Unit Number]:[NO. OF BEDROOMS]],2,FALSE)</f>
        <v>2 BEDROOM</v>
      </c>
    </row>
    <row r="20" spans="1:10" x14ac:dyDescent="0.25">
      <c r="A20" s="121" t="s">
        <v>741</v>
      </c>
      <c r="B20" s="191">
        <v>47380.624999999993</v>
      </c>
      <c r="C20" s="191">
        <v>110</v>
      </c>
      <c r="D20" s="191"/>
      <c r="E20" s="122">
        <v>0</v>
      </c>
      <c r="F20" s="122">
        <v>443008.84374999994</v>
      </c>
      <c r="G20" s="122">
        <v>5416868.7499999991</v>
      </c>
      <c r="H20" s="122">
        <v>5911868.7499999991</v>
      </c>
      <c r="I20" s="122">
        <v>6241868.7499999991</v>
      </c>
      <c r="J20" s="79" t="str">
        <f>VLOOKUP(A20,Table1[[Unit Number]:[NO. OF BEDROOMS]],2,FALSE)</f>
        <v>2 BEDROOM</v>
      </c>
    </row>
    <row r="21" spans="1:10" x14ac:dyDescent="0.25">
      <c r="A21" s="121" t="s">
        <v>257</v>
      </c>
      <c r="B21" s="191">
        <v>45433.124999999993</v>
      </c>
      <c r="C21" s="191">
        <v>119</v>
      </c>
      <c r="D21" s="191"/>
      <c r="E21" s="122">
        <v>0</v>
      </c>
      <c r="F21" s="122">
        <v>459556.05937499995</v>
      </c>
      <c r="G21" s="122">
        <v>5611541.8749999991</v>
      </c>
      <c r="H21" s="122">
        <v>6147041.8749999991</v>
      </c>
      <c r="I21" s="122">
        <v>6504041.8749999991</v>
      </c>
      <c r="J21" s="79" t="str">
        <f>VLOOKUP(A21,Table1[[Unit Number]:[NO. OF BEDROOMS]],2,FALSE)</f>
        <v>2 BEDROOM</v>
      </c>
    </row>
    <row r="22" spans="1:10" x14ac:dyDescent="0.25">
      <c r="A22" s="121" t="s">
        <v>268</v>
      </c>
      <c r="B22" s="191">
        <v>45433.124999999993</v>
      </c>
      <c r="C22" s="191">
        <v>119</v>
      </c>
      <c r="D22" s="191"/>
      <c r="E22" s="122">
        <v>0</v>
      </c>
      <c r="F22" s="122">
        <v>459556.05937499995</v>
      </c>
      <c r="G22" s="122">
        <v>5611541.8749999991</v>
      </c>
      <c r="H22" s="122">
        <v>6147041.8749999991</v>
      </c>
      <c r="I22" s="122">
        <v>6504041.8749999991</v>
      </c>
      <c r="J22" s="79" t="str">
        <f>VLOOKUP(A22,Table1[[Unit Number]:[NO. OF BEDROOMS]],2,FALSE)</f>
        <v>2 BEDROOM</v>
      </c>
    </row>
    <row r="23" spans="1:10" x14ac:dyDescent="0.25">
      <c r="A23" s="121" t="s">
        <v>274</v>
      </c>
      <c r="B23" s="191">
        <v>46611.874999999993</v>
      </c>
      <c r="C23" s="191">
        <v>119</v>
      </c>
      <c r="D23" s="191"/>
      <c r="E23" s="122">
        <v>0</v>
      </c>
      <c r="F23" s="122">
        <v>471479.11562499998</v>
      </c>
      <c r="G23" s="122">
        <v>5751813.1249999991</v>
      </c>
      <c r="H23" s="122">
        <v>6287313.1249999991</v>
      </c>
      <c r="I23" s="122">
        <v>6644313.1249999991</v>
      </c>
      <c r="J23" s="79" t="str">
        <f>VLOOKUP(A23,Table1[[Unit Number]:[NO. OF BEDROOMS]],2,FALSE)</f>
        <v>2 BEDROOM</v>
      </c>
    </row>
    <row r="24" spans="1:10" x14ac:dyDescent="0.25">
      <c r="A24" s="121" t="s">
        <v>341</v>
      </c>
      <c r="B24" s="191">
        <v>46611.874999999993</v>
      </c>
      <c r="C24" s="191">
        <v>119</v>
      </c>
      <c r="D24" s="191"/>
      <c r="E24" s="122">
        <v>0</v>
      </c>
      <c r="F24" s="122">
        <v>471479.11562499998</v>
      </c>
      <c r="G24" s="122">
        <v>5751813.1249999991</v>
      </c>
      <c r="H24" s="122">
        <v>6287313.1249999991</v>
      </c>
      <c r="I24" s="122">
        <v>6644313.1249999991</v>
      </c>
      <c r="J24" s="79" t="str">
        <f>VLOOKUP(A24,Table1[[Unit Number]:[NO. OF BEDROOMS]],2,FALSE)</f>
        <v>2 BEDROOM</v>
      </c>
    </row>
    <row r="25" spans="1:10" x14ac:dyDescent="0.25">
      <c r="A25" s="121" t="s">
        <v>342</v>
      </c>
      <c r="B25" s="191">
        <v>46611.874999999993</v>
      </c>
      <c r="C25" s="191">
        <v>110</v>
      </c>
      <c r="D25" s="191"/>
      <c r="E25" s="122">
        <v>0</v>
      </c>
      <c r="F25" s="122">
        <v>435821.03124999994</v>
      </c>
      <c r="G25" s="122">
        <v>5332306.2499999991</v>
      </c>
      <c r="H25" s="122">
        <v>5827306.2499999991</v>
      </c>
      <c r="I25" s="122">
        <v>6157306.2499999991</v>
      </c>
      <c r="J25" s="79" t="str">
        <f>VLOOKUP(A25,Table1[[Unit Number]:[NO. OF BEDROOMS]],2,FALSE)</f>
        <v>2 BEDROOM</v>
      </c>
    </row>
    <row r="26" spans="1:10" x14ac:dyDescent="0.25">
      <c r="A26" s="121" t="s">
        <v>354</v>
      </c>
      <c r="B26" s="191">
        <v>46611.874999999993</v>
      </c>
      <c r="C26" s="191">
        <v>135</v>
      </c>
      <c r="D26" s="191">
        <v>59.482100000000003</v>
      </c>
      <c r="E26" s="122">
        <v>914948.82927937503</v>
      </c>
      <c r="F26" s="122">
        <v>612641.91611374682</v>
      </c>
      <c r="G26" s="122">
        <v>7412551.9542793743</v>
      </c>
      <c r="H26" s="122">
        <v>8020051.9542793743</v>
      </c>
      <c r="I26" s="122">
        <v>8425051.9542793743</v>
      </c>
      <c r="J26" s="79" t="str">
        <f>VLOOKUP(A26,Table1[[Unit Number]:[NO. OF BEDROOMS]],2,FALSE)</f>
        <v>2 BEDROOM</v>
      </c>
    </row>
    <row r="27" spans="1:10" x14ac:dyDescent="0.25">
      <c r="A27" s="121" t="s">
        <v>357</v>
      </c>
      <c r="B27" s="191">
        <v>46611.874999999993</v>
      </c>
      <c r="C27" s="191">
        <v>110</v>
      </c>
      <c r="D27" s="191"/>
      <c r="E27" s="122">
        <v>0</v>
      </c>
      <c r="F27" s="122">
        <v>435821.03124999994</v>
      </c>
      <c r="G27" s="122">
        <v>5332306.2499999991</v>
      </c>
      <c r="H27" s="122">
        <v>5827306.2499999991</v>
      </c>
      <c r="I27" s="122">
        <v>6157306.2499999991</v>
      </c>
      <c r="J27" s="79" t="str">
        <f>VLOOKUP(A27,Table1[[Unit Number]:[NO. OF BEDROOMS]],2,FALSE)</f>
        <v>2 BEDROOM</v>
      </c>
    </row>
    <row r="28" spans="1:10" x14ac:dyDescent="0.25">
      <c r="A28" s="121" t="s">
        <v>365</v>
      </c>
      <c r="B28" s="191">
        <v>46663.124999999993</v>
      </c>
      <c r="C28" s="191">
        <v>136</v>
      </c>
      <c r="D28" s="191"/>
      <c r="E28" s="122">
        <v>0</v>
      </c>
      <c r="F28" s="122">
        <v>539425.72499999998</v>
      </c>
      <c r="G28" s="122">
        <v>6551184.9999999991</v>
      </c>
      <c r="H28" s="122">
        <v>7163184.9999999991</v>
      </c>
      <c r="I28" s="122">
        <v>7571184.9999999991</v>
      </c>
      <c r="J28" s="79" t="str">
        <f>VLOOKUP(A28,Table1[[Unit Number]:[NO. OF BEDROOMS]],2,FALSE)</f>
        <v>2 BEDROOM</v>
      </c>
    </row>
    <row r="29" spans="1:10" x14ac:dyDescent="0.25">
      <c r="A29" s="121" t="s">
        <v>372</v>
      </c>
      <c r="B29" s="191">
        <v>46688.749999999993</v>
      </c>
      <c r="C29" s="191">
        <v>172</v>
      </c>
      <c r="D29" s="191"/>
      <c r="E29" s="122">
        <v>0</v>
      </c>
      <c r="F29" s="122">
        <v>682589.52500000002</v>
      </c>
      <c r="G29" s="122">
        <v>8235464.9999999991</v>
      </c>
      <c r="H29" s="122">
        <v>9009464.9999999981</v>
      </c>
      <c r="I29" s="122">
        <v>9525464.9999999981</v>
      </c>
      <c r="J29" s="79" t="str">
        <f>VLOOKUP(A29,Table1[[Unit Number]:[NO. OF BEDROOMS]],2,FALSE)</f>
        <v>3 BEDROOM</v>
      </c>
    </row>
    <row r="30" spans="1:10" x14ac:dyDescent="0.25">
      <c r="A30" s="121" t="s">
        <v>792</v>
      </c>
      <c r="B30" s="191">
        <v>47406.249999999993</v>
      </c>
      <c r="C30" s="191">
        <v>173</v>
      </c>
      <c r="D30" s="191"/>
      <c r="E30" s="122">
        <v>0</v>
      </c>
      <c r="F30" s="122">
        <v>697108.90625</v>
      </c>
      <c r="G30" s="122">
        <v>8406281.2499999981</v>
      </c>
      <c r="H30" s="122">
        <v>9184781.2499999981</v>
      </c>
      <c r="I30" s="122">
        <v>9703781.2499999981</v>
      </c>
      <c r="J30" s="79" t="str">
        <f>VLOOKUP(A30,Table1[[Unit Number]:[NO. OF BEDROOMS]],2,FALSE)</f>
        <v>3 BEDROOM</v>
      </c>
    </row>
    <row r="31" spans="1:10" x14ac:dyDescent="0.25">
      <c r="A31" s="121" t="s">
        <v>793</v>
      </c>
      <c r="B31" s="191">
        <v>47406.249999999993</v>
      </c>
      <c r="C31" s="191">
        <v>173</v>
      </c>
      <c r="D31" s="191"/>
      <c r="E31" s="122">
        <v>0</v>
      </c>
      <c r="F31" s="122">
        <v>697108.90625</v>
      </c>
      <c r="G31" s="122">
        <v>8406281.2499999981</v>
      </c>
      <c r="H31" s="122">
        <v>9184781.2499999981</v>
      </c>
      <c r="I31" s="122">
        <v>9703781.2499999981</v>
      </c>
      <c r="J31" s="79" t="str">
        <f>VLOOKUP(A31,Table1[[Unit Number]:[NO. OF BEDROOMS]],2,FALSE)</f>
        <v>3 BEDROOM</v>
      </c>
    </row>
    <row r="32" spans="1:10" x14ac:dyDescent="0.25">
      <c r="A32" s="121" t="s">
        <v>373</v>
      </c>
      <c r="B32" s="191">
        <v>46688.749999999993</v>
      </c>
      <c r="C32" s="191">
        <v>172</v>
      </c>
      <c r="D32" s="191"/>
      <c r="E32" s="122">
        <v>0</v>
      </c>
      <c r="F32" s="122">
        <v>682589.52500000002</v>
      </c>
      <c r="G32" s="122">
        <v>8235464.9999999991</v>
      </c>
      <c r="H32" s="122">
        <v>9009464.9999999981</v>
      </c>
      <c r="I32" s="122">
        <v>9525464.9999999981</v>
      </c>
      <c r="J32" s="79" t="str">
        <f>VLOOKUP(A32,Table1[[Unit Number]:[NO. OF BEDROOMS]],2,FALSE)</f>
        <v>3 BEDROOM</v>
      </c>
    </row>
    <row r="33" spans="1:10" x14ac:dyDescent="0.25">
      <c r="A33" s="121" t="s">
        <v>377</v>
      </c>
      <c r="B33" s="191">
        <v>46573.437499999993</v>
      </c>
      <c r="C33" s="191">
        <v>116</v>
      </c>
      <c r="D33" s="191">
        <v>41.666899999999998</v>
      </c>
      <c r="E33" s="122">
        <v>640388.35177968745</v>
      </c>
      <c r="F33" s="122">
        <v>513647.10365127336</v>
      </c>
      <c r="G33" s="122">
        <v>6247907.1017796863</v>
      </c>
      <c r="H33" s="122">
        <v>6769907.1017796863</v>
      </c>
      <c r="I33" s="122">
        <v>7117907.1017796863</v>
      </c>
      <c r="J33" s="79" t="str">
        <f>VLOOKUP(A33,Table1[[Unit Number]:[NO. OF BEDROOMS]],2,FALSE)</f>
        <v>2 BEDROOM</v>
      </c>
    </row>
    <row r="34" spans="1:10" x14ac:dyDescent="0.25">
      <c r="A34" s="121" t="s">
        <v>379</v>
      </c>
      <c r="B34" s="191">
        <v>46675.937499999993</v>
      </c>
      <c r="C34" s="191">
        <v>117</v>
      </c>
      <c r="D34" s="191"/>
      <c r="E34" s="122">
        <v>0</v>
      </c>
      <c r="F34" s="122">
        <v>464192.19843749993</v>
      </c>
      <c r="G34" s="122">
        <v>5666084.6874999991</v>
      </c>
      <c r="H34" s="122">
        <v>6192584.6874999991</v>
      </c>
      <c r="I34" s="122">
        <v>6543584.6874999991</v>
      </c>
      <c r="J34" s="79" t="str">
        <f>VLOOKUP(A34,Table1[[Unit Number]:[NO. OF BEDROOMS]],2,FALSE)</f>
        <v>2 BEDROOM</v>
      </c>
    </row>
    <row r="35" spans="1:10" x14ac:dyDescent="0.25">
      <c r="A35" s="121" t="s">
        <v>386</v>
      </c>
      <c r="B35" s="191">
        <v>45458.749999999993</v>
      </c>
      <c r="C35" s="191">
        <v>172</v>
      </c>
      <c r="D35" s="191"/>
      <c r="E35" s="122">
        <v>0</v>
      </c>
      <c r="F35" s="122">
        <v>664606.92499999993</v>
      </c>
      <c r="G35" s="122">
        <v>8023904.9999999991</v>
      </c>
      <c r="H35" s="122">
        <v>8797904.9999999981</v>
      </c>
      <c r="I35" s="122">
        <v>9313904.9999999981</v>
      </c>
      <c r="J35" s="79" t="str">
        <f>VLOOKUP(A35,Table1[[Unit Number]:[NO. OF BEDROOMS]],2,FALSE)</f>
        <v>3 BEDROOM</v>
      </c>
    </row>
    <row r="36" spans="1:10" x14ac:dyDescent="0.25">
      <c r="A36" s="121" t="s">
        <v>823</v>
      </c>
      <c r="B36" s="191">
        <v>47457.499999999993</v>
      </c>
      <c r="C36" s="191">
        <v>204</v>
      </c>
      <c r="D36" s="191"/>
      <c r="E36" s="122">
        <v>0</v>
      </c>
      <c r="F36" s="122">
        <v>822913.04999999993</v>
      </c>
      <c r="G36" s="122">
        <v>9886329.9999999981</v>
      </c>
      <c r="H36" s="122">
        <v>10804329.999999998</v>
      </c>
      <c r="I36" s="122">
        <v>11416329.999999998</v>
      </c>
      <c r="J36" s="79" t="str">
        <f>VLOOKUP(A36,Table1[[Unit Number]:[NO. OF BEDROOMS]],2,FALSE)</f>
        <v>3 BEDROOM</v>
      </c>
    </row>
    <row r="37" spans="1:10" x14ac:dyDescent="0.25">
      <c r="A37" s="121" t="s">
        <v>847</v>
      </c>
      <c r="B37" s="191">
        <v>47457.499999999993</v>
      </c>
      <c r="C37" s="191">
        <v>204</v>
      </c>
      <c r="D37" s="191"/>
      <c r="E37" s="122">
        <v>0</v>
      </c>
      <c r="F37" s="122">
        <v>822913.04999999993</v>
      </c>
      <c r="G37" s="122">
        <v>9886329.9999999981</v>
      </c>
      <c r="H37" s="122">
        <v>10804329.999999998</v>
      </c>
      <c r="I37" s="122">
        <v>11416329.999999998</v>
      </c>
      <c r="J37" s="79" t="str">
        <f>VLOOKUP(A37,Table1[[Unit Number]:[NO. OF BEDROOMS]],2,FALSE)</f>
        <v>3 BEDROOM</v>
      </c>
    </row>
    <row r="38" spans="1:10" x14ac:dyDescent="0.25">
      <c r="A38" s="121" t="s">
        <v>433</v>
      </c>
      <c r="B38" s="191">
        <v>47431.874999999993</v>
      </c>
      <c r="C38" s="191">
        <v>309</v>
      </c>
      <c r="D38" s="191">
        <v>86.075999999999993</v>
      </c>
      <c r="E38" s="122">
        <v>1347306.2039249996</v>
      </c>
      <c r="F38" s="122">
        <v>1360319.224208625</v>
      </c>
      <c r="G38" s="122">
        <v>16208755.578924999</v>
      </c>
      <c r="H38" s="122">
        <v>17599255.578924999</v>
      </c>
      <c r="I38" s="122">
        <v>18526255.578924995</v>
      </c>
      <c r="J38" s="79" t="str">
        <f>VLOOKUP(A38,Table1[[Unit Number]:[NO. OF BEDROOMS]],2,FALSE)</f>
        <v>3 BEDROOM + LIVING (DUPLEX)</v>
      </c>
    </row>
    <row r="39" spans="1:10" x14ac:dyDescent="0.25">
      <c r="A39" s="121" t="s">
        <v>862</v>
      </c>
      <c r="B39" s="191">
        <v>47431.874999999993</v>
      </c>
      <c r="C39" s="191">
        <v>301</v>
      </c>
      <c r="D39" s="191">
        <v>85.509600000000006</v>
      </c>
      <c r="E39" s="122">
        <v>1338440.6173049998</v>
      </c>
      <c r="F39" s="122">
        <v>1327311.9743459248</v>
      </c>
      <c r="G39" s="122">
        <v>15820434.992304998</v>
      </c>
      <c r="H39" s="122">
        <v>17174934.992304999</v>
      </c>
      <c r="I39" s="122">
        <v>18077934.992304999</v>
      </c>
      <c r="J39" s="79" t="str">
        <f>VLOOKUP(A39,Table1[[Unit Number]:[NO. OF BEDROOMS]],2,FALSE)</f>
        <v>3 BEDROOM + LIVING (DUPLEX)</v>
      </c>
    </row>
    <row r="40" spans="1:10" x14ac:dyDescent="0.25">
      <c r="A40" s="121" t="s">
        <v>466</v>
      </c>
      <c r="B40" s="191">
        <v>46663.124999999993</v>
      </c>
      <c r="C40" s="191">
        <v>176</v>
      </c>
      <c r="D40" s="191"/>
      <c r="E40" s="122">
        <v>0</v>
      </c>
      <c r="F40" s="122">
        <v>698080.35</v>
      </c>
      <c r="G40" s="122">
        <v>8417709.9999999981</v>
      </c>
      <c r="H40" s="122">
        <v>9209709.9999999981</v>
      </c>
      <c r="I40" s="122">
        <v>9737709.9999999981</v>
      </c>
      <c r="J40" s="79" t="str">
        <f>VLOOKUP(A40,Table1[[Unit Number]:[NO. OF BEDROOMS]],2,FALSE)</f>
        <v>3 BEDROOM</v>
      </c>
    </row>
    <row r="41" spans="1:10" x14ac:dyDescent="0.25">
      <c r="A41" s="121" t="s">
        <v>475</v>
      </c>
      <c r="B41" s="191">
        <v>45458.749999999993</v>
      </c>
      <c r="C41" s="191">
        <v>172</v>
      </c>
      <c r="D41" s="191"/>
      <c r="E41" s="122">
        <v>0</v>
      </c>
      <c r="F41" s="122">
        <v>664606.92499999993</v>
      </c>
      <c r="G41" s="122">
        <v>8023904.9999999991</v>
      </c>
      <c r="H41" s="122">
        <v>8797904.9999999981</v>
      </c>
      <c r="I41" s="122">
        <v>9313904.9999999981</v>
      </c>
      <c r="J41" s="79" t="str">
        <f>VLOOKUP(A41,Table1[[Unit Number]:[NO. OF BEDROOMS]],2,FALSE)</f>
        <v>3 BEDROOM</v>
      </c>
    </row>
    <row r="42" spans="1:10" x14ac:dyDescent="0.25">
      <c r="A42" s="121" t="s">
        <v>481</v>
      </c>
      <c r="B42" s="191">
        <v>45433.124999999993</v>
      </c>
      <c r="C42" s="191">
        <v>160</v>
      </c>
      <c r="D42" s="191">
        <v>80.916700000000006</v>
      </c>
      <c r="E42" s="122">
        <v>1213178.5200768749</v>
      </c>
      <c r="F42" s="122">
        <v>721010.6742065344</v>
      </c>
      <c r="G42" s="122">
        <v>8687478.5200768746</v>
      </c>
      <c r="H42" s="122">
        <v>9407478.5200768746</v>
      </c>
      <c r="I42" s="122">
        <v>9887478.5200768728</v>
      </c>
      <c r="J42" s="79" t="str">
        <f>VLOOKUP(A42,Table1[[Unit Number]:[NO. OF BEDROOMS]],2,FALSE)</f>
        <v>3 BEDROOM</v>
      </c>
    </row>
    <row r="43" spans="1:10" x14ac:dyDescent="0.25">
      <c r="A43" s="121" t="s">
        <v>488</v>
      </c>
      <c r="B43" s="191">
        <v>45407.499999999993</v>
      </c>
      <c r="C43" s="191">
        <v>153</v>
      </c>
      <c r="D43" s="191"/>
      <c r="E43" s="122">
        <v>0</v>
      </c>
      <c r="F43" s="122">
        <v>590524.53749999998</v>
      </c>
      <c r="G43" s="122">
        <v>7152347.4999999991</v>
      </c>
      <c r="H43" s="122">
        <v>7840847.4999999991</v>
      </c>
      <c r="I43" s="122">
        <v>8299847.4999999991</v>
      </c>
      <c r="J43" s="79" t="str">
        <f>VLOOKUP(A43,Table1[[Unit Number]:[NO. OF BEDROOMS]],2,FALSE)</f>
        <v>3 BEDROOM</v>
      </c>
    </row>
    <row r="44" spans="1:10" x14ac:dyDescent="0.25">
      <c r="A44" s="121" t="s">
        <v>492</v>
      </c>
      <c r="B44" s="191">
        <v>45407.499999999993</v>
      </c>
      <c r="C44" s="191">
        <v>162</v>
      </c>
      <c r="D44" s="191"/>
      <c r="E44" s="122">
        <v>0</v>
      </c>
      <c r="F44" s="122">
        <v>625261.27500000002</v>
      </c>
      <c r="G44" s="122">
        <v>7561014.9999999991</v>
      </c>
      <c r="H44" s="122">
        <v>8290014.9999999991</v>
      </c>
      <c r="I44" s="122">
        <v>8776014.9999999981</v>
      </c>
      <c r="J44" s="79" t="str">
        <f>VLOOKUP(A44,Table1[[Unit Number]:[NO. OF BEDROOMS]],2,FALSE)</f>
        <v>3 BEDROOM</v>
      </c>
    </row>
    <row r="45" spans="1:10" x14ac:dyDescent="0.25">
      <c r="A45" s="121" t="s">
        <v>500</v>
      </c>
      <c r="B45" s="191">
        <v>45433.124999999993</v>
      </c>
      <c r="C45" s="191">
        <v>160</v>
      </c>
      <c r="D45" s="191">
        <v>75.025700000000001</v>
      </c>
      <c r="E45" s="122">
        <v>1124855.1620831247</v>
      </c>
      <c r="F45" s="122">
        <v>713503.18877706549</v>
      </c>
      <c r="G45" s="122">
        <v>8599155.1620831229</v>
      </c>
      <c r="H45" s="122">
        <v>9319155.1620831229</v>
      </c>
      <c r="I45" s="122">
        <v>9799155.1620831229</v>
      </c>
      <c r="J45" s="79" t="str">
        <f>VLOOKUP(A45,Table1[[Unit Number]:[NO. OF BEDROOMS]],2,FALSE)</f>
        <v>3 BEDROOM</v>
      </c>
    </row>
    <row r="46" spans="1:10" x14ac:dyDescent="0.25">
      <c r="A46" s="121" t="s">
        <v>936</v>
      </c>
      <c r="B46" s="191">
        <v>47431.874999999993</v>
      </c>
      <c r="C46" s="191">
        <v>160</v>
      </c>
      <c r="D46" s="191"/>
      <c r="E46" s="122">
        <v>0</v>
      </c>
      <c r="F46" s="122">
        <v>645073.5</v>
      </c>
      <c r="G46" s="122">
        <v>7794099.9999999991</v>
      </c>
      <c r="H46" s="122">
        <v>8514099.9999999981</v>
      </c>
      <c r="I46" s="122">
        <v>8994099.9999999981</v>
      </c>
      <c r="J46" s="79" t="str">
        <f>VLOOKUP(A46,Table1[[Unit Number]:[NO. OF BEDROOMS]],2,FALSE)</f>
        <v>3 BEDROOM</v>
      </c>
    </row>
    <row r="47" spans="1:10" x14ac:dyDescent="0.25">
      <c r="A47" s="121" t="s">
        <v>944</v>
      </c>
      <c r="B47" s="191">
        <v>47406.249999999993</v>
      </c>
      <c r="C47" s="191">
        <v>199</v>
      </c>
      <c r="D47" s="191">
        <v>77.610299999999995</v>
      </c>
      <c r="E47" s="122">
        <v>1214140.3838437498</v>
      </c>
      <c r="F47" s="122">
        <v>905078.65137671866</v>
      </c>
      <c r="G47" s="122">
        <v>10852984.133843748</v>
      </c>
      <c r="H47" s="122">
        <v>11748484.133843748</v>
      </c>
      <c r="I47" s="122">
        <v>12345484.133843748</v>
      </c>
      <c r="J47" s="79" t="str">
        <f>VLOOKUP(A47,Table1[[Unit Number]:[NO. OF BEDROOMS]],2,FALSE)</f>
        <v>3 BEDROOM</v>
      </c>
    </row>
    <row r="48" spans="1:10" x14ac:dyDescent="0.25">
      <c r="A48" s="121" t="s">
        <v>511</v>
      </c>
      <c r="B48" s="191">
        <v>45433.124999999993</v>
      </c>
      <c r="C48" s="191">
        <v>180</v>
      </c>
      <c r="D48" s="191">
        <v>76.683400000000006</v>
      </c>
      <c r="E48" s="122">
        <v>1149708.94421625</v>
      </c>
      <c r="F48" s="122">
        <v>792852.07275838125</v>
      </c>
      <c r="G48" s="122">
        <v>9532671.4442162495</v>
      </c>
      <c r="H48" s="122">
        <v>10342671.444216248</v>
      </c>
      <c r="I48" s="122">
        <v>10882671.444216248</v>
      </c>
      <c r="J48" s="79" t="str">
        <f>VLOOKUP(A48,Table1[[Unit Number]:[NO. OF BEDROOMS]],2,FALSE)</f>
        <v>3 BEDROOM</v>
      </c>
    </row>
    <row r="49" spans="1:10" x14ac:dyDescent="0.25">
      <c r="A49" s="121" t="s">
        <v>955</v>
      </c>
      <c r="B49" s="122">
        <v>47329.374999999993</v>
      </c>
      <c r="C49" s="191">
        <v>344</v>
      </c>
      <c r="D49" s="191">
        <v>97.259299999999996</v>
      </c>
      <c r="E49" s="122">
        <v>1519063.2210393748</v>
      </c>
      <c r="F49" s="122">
        <v>1513031.2987883468</v>
      </c>
      <c r="G49" s="122">
        <v>18005368.221039373</v>
      </c>
      <c r="H49" s="122">
        <v>19553368.22103937</v>
      </c>
      <c r="I49" s="122">
        <v>20585368.22103937</v>
      </c>
      <c r="J49" s="79" t="str">
        <f>VLOOKUP(A49,Table1[[Unit Number]:[NO. OF BEDROOMS]],2,FALSE)</f>
        <v>3 BEDROOM + LIVING (DUPLEX)</v>
      </c>
    </row>
    <row r="50" spans="1:10" x14ac:dyDescent="0.25">
      <c r="A50" s="121" t="s">
        <v>522</v>
      </c>
      <c r="B50" s="191">
        <v>45407.499999999993</v>
      </c>
      <c r="C50" s="191">
        <v>174</v>
      </c>
      <c r="D50" s="191"/>
      <c r="E50" s="122">
        <v>0</v>
      </c>
      <c r="F50" s="122">
        <v>671576.92499999993</v>
      </c>
      <c r="G50" s="122">
        <v>8105904.9999999991</v>
      </c>
      <c r="H50" s="122">
        <v>8888904.9999999981</v>
      </c>
      <c r="I50" s="122">
        <v>9410904.9999999981</v>
      </c>
      <c r="J50" s="79" t="str">
        <f>VLOOKUP(A50,Table1[[Unit Number]:[NO. OF BEDROOMS]],2,FALSE)</f>
        <v>3 BEDROOM</v>
      </c>
    </row>
    <row r="51" spans="1:10" x14ac:dyDescent="0.25">
      <c r="A51" s="121" t="s">
        <v>532</v>
      </c>
      <c r="B51" s="191">
        <v>45433.124999999993</v>
      </c>
      <c r="C51" s="191">
        <v>176</v>
      </c>
      <c r="D51" s="191">
        <v>84.046400000000006</v>
      </c>
      <c r="E51" s="122">
        <v>1260101.89701</v>
      </c>
      <c r="F51" s="122">
        <v>786788.21124584996</v>
      </c>
      <c r="G51" s="122">
        <v>9461331.8970099986</v>
      </c>
      <c r="H51" s="122">
        <v>10253331.897009999</v>
      </c>
      <c r="I51" s="122">
        <v>10781331.897009999</v>
      </c>
      <c r="J51" s="79" t="str">
        <f>VLOOKUP(A51,Table1[[Unit Number]:[NO. OF BEDROOMS]],2,FALSE)</f>
        <v>3 BEDROOM</v>
      </c>
    </row>
    <row r="52" spans="1:10" x14ac:dyDescent="0.25">
      <c r="A52" s="121" t="s">
        <v>963</v>
      </c>
      <c r="B52" s="191">
        <v>47406.249999999993</v>
      </c>
      <c r="C52" s="191">
        <v>199</v>
      </c>
      <c r="D52" s="191">
        <v>77.576999999999998</v>
      </c>
      <c r="E52" s="122">
        <v>1213619.4365624997</v>
      </c>
      <c r="F52" s="122">
        <v>905034.37085781235</v>
      </c>
      <c r="G52" s="122">
        <v>10852463.186562497</v>
      </c>
      <c r="H52" s="122">
        <v>11747963.186562497</v>
      </c>
      <c r="I52" s="122">
        <v>12344963.186562497</v>
      </c>
      <c r="J52" s="79" t="str">
        <f>VLOOKUP(A52,Table1[[Unit Number]:[NO. OF BEDROOMS]],2,FALSE)</f>
        <v>3 BEDROOM</v>
      </c>
    </row>
    <row r="53" spans="1:10" x14ac:dyDescent="0.25">
      <c r="A53" s="121" t="s">
        <v>970</v>
      </c>
      <c r="B53" s="191">
        <v>47457.499999999993</v>
      </c>
      <c r="C53" s="191">
        <v>198</v>
      </c>
      <c r="D53" s="191"/>
      <c r="E53" s="122">
        <v>0</v>
      </c>
      <c r="F53" s="122">
        <v>798709.72499999986</v>
      </c>
      <c r="G53" s="122">
        <v>9601584.9999999981</v>
      </c>
      <c r="H53" s="122">
        <v>10492584.999999998</v>
      </c>
      <c r="I53" s="122">
        <v>11086584.999999998</v>
      </c>
      <c r="J53" s="79" t="str">
        <f>VLOOKUP(A53,Table1[[Unit Number]:[NO. OF BEDROOMS]],2,FALSE)</f>
        <v>3 BEDROOM</v>
      </c>
    </row>
    <row r="54" spans="1:10" x14ac:dyDescent="0.25">
      <c r="A54" s="121" t="s">
        <v>543</v>
      </c>
      <c r="B54" s="191">
        <v>46573.437499999993</v>
      </c>
      <c r="C54" s="191">
        <v>116</v>
      </c>
      <c r="D54" s="191">
        <v>42.259599999999999</v>
      </c>
      <c r="E54" s="122">
        <v>649497.69699374994</v>
      </c>
      <c r="F54" s="122">
        <v>514421.39799446869</v>
      </c>
      <c r="G54" s="122">
        <v>6257016.4469937487</v>
      </c>
      <c r="H54" s="122">
        <v>6779016.4469937487</v>
      </c>
      <c r="I54" s="122">
        <v>7127016.4469937487</v>
      </c>
      <c r="J54" s="79" t="str">
        <f>VLOOKUP(A54,Table1[[Unit Number]:[NO. OF BEDROOMS]],2,FALSE)</f>
        <v>2 BEDROOM</v>
      </c>
    </row>
    <row r="55" spans="1:10" x14ac:dyDescent="0.25">
      <c r="A55" s="121" t="s">
        <v>544</v>
      </c>
      <c r="B55" s="191">
        <v>46675.937499999993</v>
      </c>
      <c r="C55" s="191">
        <v>117</v>
      </c>
      <c r="D55" s="191"/>
      <c r="E55" s="122">
        <v>0</v>
      </c>
      <c r="F55" s="122">
        <v>464192.19843749993</v>
      </c>
      <c r="G55" s="122">
        <v>5666084.6874999991</v>
      </c>
      <c r="H55" s="122">
        <v>6192584.6874999991</v>
      </c>
      <c r="I55" s="122">
        <v>6543584.6874999991</v>
      </c>
      <c r="J55" s="79" t="str">
        <f>VLOOKUP(A55,Table1[[Unit Number]:[NO. OF BEDROOMS]],2,FALSE)</f>
        <v>2 BEDROOM</v>
      </c>
    </row>
    <row r="56" spans="1:10" x14ac:dyDescent="0.25">
      <c r="A56" s="121" t="s">
        <v>550</v>
      </c>
      <c r="B56" s="191">
        <v>45458.749999999993</v>
      </c>
      <c r="C56" s="191">
        <v>172</v>
      </c>
      <c r="D56" s="191"/>
      <c r="E56" s="122">
        <v>0</v>
      </c>
      <c r="F56" s="122">
        <v>664606.92499999993</v>
      </c>
      <c r="G56" s="122">
        <v>8023904.9999999991</v>
      </c>
      <c r="H56" s="122">
        <v>8797904.9999999981</v>
      </c>
      <c r="I56" s="122">
        <v>9313904.9999999981</v>
      </c>
      <c r="J56" s="79" t="str">
        <f>VLOOKUP(A56,Table1[[Unit Number]:[NO. OF BEDROOMS]],2,FALSE)</f>
        <v>3 BEDROOM</v>
      </c>
    </row>
    <row r="57" spans="1:10" x14ac:dyDescent="0.25">
      <c r="A57" s="121" t="s">
        <v>558</v>
      </c>
      <c r="B57" s="191">
        <v>45433.124999999993</v>
      </c>
      <c r="C57" s="191">
        <v>117</v>
      </c>
      <c r="D57" s="191"/>
      <c r="E57" s="122">
        <v>0</v>
      </c>
      <c r="F57" s="122">
        <v>451832.42812499998</v>
      </c>
      <c r="G57" s="122">
        <v>5520675.6249999991</v>
      </c>
      <c r="H57" s="122">
        <v>6047175.6249999991</v>
      </c>
      <c r="I57" s="122">
        <v>6398175.6249999991</v>
      </c>
      <c r="J57" s="79" t="str">
        <f>VLOOKUP(A57,Table1[[Unit Number]:[NO. OF BEDROOMS]],2,FALSE)</f>
        <v>2 BEDROOM</v>
      </c>
    </row>
    <row r="58" spans="1:10" x14ac:dyDescent="0.25">
      <c r="A58" s="121" t="s">
        <v>1003</v>
      </c>
      <c r="B58" s="191">
        <v>47406.249999999993</v>
      </c>
      <c r="C58" s="191">
        <v>173</v>
      </c>
      <c r="D58" s="191"/>
      <c r="E58" s="122">
        <v>0</v>
      </c>
      <c r="F58" s="122">
        <v>697108.90625</v>
      </c>
      <c r="G58" s="122">
        <v>8406281.2499999981</v>
      </c>
      <c r="H58" s="122">
        <v>9184781.2499999981</v>
      </c>
      <c r="I58" s="122">
        <v>9703781.2499999981</v>
      </c>
      <c r="J58" s="79" t="str">
        <f>VLOOKUP(A58,Table1[[Unit Number]:[NO. OF BEDROOMS]],2,FALSE)</f>
        <v>3 BEDROOM</v>
      </c>
    </row>
    <row r="59" spans="1:10" x14ac:dyDescent="0.25">
      <c r="A59" s="121" t="s">
        <v>1004</v>
      </c>
      <c r="B59" s="191">
        <v>47406.249999999993</v>
      </c>
      <c r="C59" s="191">
        <v>173</v>
      </c>
      <c r="D59" s="191"/>
      <c r="E59" s="122">
        <v>0</v>
      </c>
      <c r="F59" s="122">
        <v>697108.90625</v>
      </c>
      <c r="G59" s="122">
        <v>8406281.2499999981</v>
      </c>
      <c r="H59" s="122">
        <v>9184781.2499999981</v>
      </c>
      <c r="I59" s="122">
        <v>9703781.2499999981</v>
      </c>
      <c r="J59" s="79" t="str">
        <f>VLOOKUP(A59,Table1[[Unit Number]:[NO. OF BEDROOMS]],2,FALSE)</f>
        <v>3 BEDROOM</v>
      </c>
    </row>
    <row r="60" spans="1:10" x14ac:dyDescent="0.25">
      <c r="A60" s="121" t="s">
        <v>568</v>
      </c>
      <c r="B60" s="191">
        <v>45458.749999999993</v>
      </c>
      <c r="C60" s="191">
        <v>172</v>
      </c>
      <c r="D60" s="191"/>
      <c r="E60" s="122">
        <v>0</v>
      </c>
      <c r="F60" s="122">
        <v>664606.92499999993</v>
      </c>
      <c r="G60" s="122">
        <v>8023904.9999999991</v>
      </c>
      <c r="H60" s="122">
        <v>8797904.9999999981</v>
      </c>
      <c r="I60" s="122">
        <v>9313904.9999999981</v>
      </c>
      <c r="J60" s="79" t="str">
        <f>VLOOKUP(A60,Table1[[Unit Number]:[NO. OF BEDROOMS]],2,FALSE)</f>
        <v>3 BEDROOM</v>
      </c>
    </row>
    <row r="61" spans="1:10" x14ac:dyDescent="0.25">
      <c r="A61" s="121" t="s">
        <v>579</v>
      </c>
      <c r="B61" s="191">
        <v>45458.749999999993</v>
      </c>
      <c r="C61" s="191">
        <v>170</v>
      </c>
      <c r="D61" s="191"/>
      <c r="E61" s="122">
        <v>0</v>
      </c>
      <c r="F61" s="122">
        <v>656878.9375</v>
      </c>
      <c r="G61" s="122">
        <v>7932987.4999999991</v>
      </c>
      <c r="H61" s="122">
        <v>8697987.4999999981</v>
      </c>
      <c r="I61" s="122">
        <v>9207987.4999999981</v>
      </c>
      <c r="J61" s="79" t="str">
        <f>VLOOKUP(A61,Table1[[Unit Number]:[NO. OF BEDROOMS]],2,FALSE)</f>
        <v>3 BEDROOM</v>
      </c>
    </row>
    <row r="62" spans="1:10" x14ac:dyDescent="0.25">
      <c r="A62" s="121" t="s">
        <v>1034</v>
      </c>
      <c r="B62" s="191">
        <v>46714.374999999993</v>
      </c>
      <c r="C62" s="191">
        <v>344</v>
      </c>
      <c r="D62" s="191">
        <v>97.868200000000002</v>
      </c>
      <c r="E62" s="122">
        <v>1508711.0924737498</v>
      </c>
      <c r="F62" s="122">
        <v>1494168.7678602687</v>
      </c>
      <c r="G62" s="122">
        <v>17783456.092473749</v>
      </c>
      <c r="H62" s="122">
        <v>19331456.092473745</v>
      </c>
      <c r="I62" s="122">
        <v>20363456.092473745</v>
      </c>
      <c r="J62" s="79" t="str">
        <f>VLOOKUP(A62,Table1[[Unit Number]:[NO. OF BEDROOMS]],2,FALSE)</f>
        <v>3 BEDROOM + LIVING (DUPLEX)</v>
      </c>
    </row>
    <row r="63" spans="1:10" x14ac:dyDescent="0.25">
      <c r="A63" s="121" t="s">
        <v>1035</v>
      </c>
      <c r="B63" s="191">
        <v>46714.374999999993</v>
      </c>
      <c r="C63" s="191">
        <v>344</v>
      </c>
      <c r="D63" s="191">
        <v>97.259299999999996</v>
      </c>
      <c r="E63" s="122">
        <v>1499324.4461043747</v>
      </c>
      <c r="F63" s="122">
        <v>1493370.902918872</v>
      </c>
      <c r="G63" s="122">
        <v>17774069.446104374</v>
      </c>
      <c r="H63" s="122">
        <v>19322069.44610437</v>
      </c>
      <c r="I63" s="122">
        <v>20354069.44610437</v>
      </c>
      <c r="J63" s="79" t="str">
        <f>VLOOKUP(A63,Table1[[Unit Number]:[NO. OF BEDROOMS]],2,FALSE)</f>
        <v>3 BEDROOM + LIVING (DUPLEX)</v>
      </c>
    </row>
    <row r="64" spans="1:10" x14ac:dyDescent="0.25">
      <c r="A64" s="121" t="s">
        <v>593</v>
      </c>
      <c r="B64" s="191">
        <v>46624.687499999993</v>
      </c>
      <c r="C64" s="191">
        <v>173</v>
      </c>
      <c r="D64" s="191"/>
      <c r="E64" s="122">
        <v>0</v>
      </c>
      <c r="F64" s="122">
        <v>685616.02968749998</v>
      </c>
      <c r="G64" s="122">
        <v>8271070.9374999991</v>
      </c>
      <c r="H64" s="122">
        <v>9049570.9374999981</v>
      </c>
      <c r="I64" s="122">
        <v>9568570.9374999981</v>
      </c>
      <c r="J64" s="79" t="str">
        <f>VLOOKUP(A64,Table1[[Unit Number]:[NO. OF BEDROOMS]],2,FALSE)</f>
        <v>3 BEDROOM</v>
      </c>
    </row>
    <row r="65" spans="1:10" x14ac:dyDescent="0.25">
      <c r="A65" s="121" t="s">
        <v>598</v>
      </c>
      <c r="B65" s="191">
        <v>46573.437499999993</v>
      </c>
      <c r="C65" s="191">
        <v>173</v>
      </c>
      <c r="D65" s="191"/>
      <c r="E65" s="122">
        <v>0</v>
      </c>
      <c r="F65" s="122">
        <v>684862.3984375</v>
      </c>
      <c r="G65" s="122">
        <v>8262204.6874999991</v>
      </c>
      <c r="H65" s="122">
        <v>9040704.6874999981</v>
      </c>
      <c r="I65" s="122">
        <v>9559704.6874999981</v>
      </c>
      <c r="J65" s="79" t="str">
        <f>VLOOKUP(A65,Table1[[Unit Number]:[NO. OF BEDROOMS]],2,FALSE)</f>
        <v>3 BEDROOM</v>
      </c>
    </row>
    <row r="66" spans="1:10" x14ac:dyDescent="0.25">
      <c r="A66" s="121" t="s">
        <v>601</v>
      </c>
      <c r="B66" s="191">
        <v>45433.124999999993</v>
      </c>
      <c r="C66" s="191">
        <v>160</v>
      </c>
      <c r="D66" s="191">
        <v>81.358599999999996</v>
      </c>
      <c r="E66" s="122">
        <v>1219803.8963962498</v>
      </c>
      <c r="F66" s="122">
        <v>721573.83119368122</v>
      </c>
      <c r="G66" s="122">
        <v>8694103.8963962495</v>
      </c>
      <c r="H66" s="122">
        <v>9414103.8963962495</v>
      </c>
      <c r="I66" s="122">
        <v>9894103.8963962477</v>
      </c>
      <c r="J66" s="79" t="str">
        <f>VLOOKUP(A66,Table1[[Unit Number]:[NO. OF BEDROOMS]],2,FALSE)</f>
        <v>3 BEDROOM</v>
      </c>
    </row>
    <row r="67" spans="1:10" x14ac:dyDescent="0.25">
      <c r="A67" s="121" t="s">
        <v>613</v>
      </c>
      <c r="B67" s="191">
        <v>45407.499999999993</v>
      </c>
      <c r="C67" s="191">
        <v>162</v>
      </c>
      <c r="D67" s="191"/>
      <c r="E67" s="122">
        <v>0</v>
      </c>
      <c r="F67" s="122">
        <v>625261.27500000002</v>
      </c>
      <c r="G67" s="122">
        <v>7561014.9999999991</v>
      </c>
      <c r="H67" s="122">
        <v>8290014.9999999991</v>
      </c>
      <c r="I67" s="122">
        <v>8776014.9999999981</v>
      </c>
      <c r="J67" s="79" t="str">
        <f>VLOOKUP(A67,Table1[[Unit Number]:[NO. OF BEDROOMS]],2,FALSE)</f>
        <v>3 BEDROOM</v>
      </c>
    </row>
    <row r="68" spans="1:10" x14ac:dyDescent="0.25">
      <c r="A68" s="121" t="s">
        <v>619</v>
      </c>
      <c r="B68" s="191">
        <v>45407.499999999993</v>
      </c>
      <c r="C68" s="191">
        <v>158</v>
      </c>
      <c r="D68" s="191"/>
      <c r="E68" s="122">
        <v>0</v>
      </c>
      <c r="F68" s="122">
        <v>609822.72499999998</v>
      </c>
      <c r="G68" s="122">
        <v>7379384.9999999991</v>
      </c>
      <c r="H68" s="122">
        <v>8090384.9999999991</v>
      </c>
      <c r="I68" s="122">
        <v>8564384.9999999981</v>
      </c>
      <c r="J68" s="79" t="str">
        <f>VLOOKUP(A68,Table1[[Unit Number]:[NO. OF BEDROOMS]],2,FALSE)</f>
        <v>3 BEDROOM</v>
      </c>
    </row>
    <row r="69" spans="1:10" x14ac:dyDescent="0.25">
      <c r="A69" s="121" t="s">
        <v>620</v>
      </c>
      <c r="B69" s="191">
        <v>45407.499999999993</v>
      </c>
      <c r="C69" s="191">
        <v>153</v>
      </c>
      <c r="D69" s="191"/>
      <c r="E69" s="122">
        <v>0</v>
      </c>
      <c r="F69" s="122">
        <v>590524.53749999998</v>
      </c>
      <c r="G69" s="122">
        <v>7152347.4999999991</v>
      </c>
      <c r="H69" s="122">
        <v>7840847.4999999991</v>
      </c>
      <c r="I69" s="122">
        <v>8299847.4999999991</v>
      </c>
      <c r="J69" s="79" t="str">
        <f>VLOOKUP(A69,Table1[[Unit Number]:[NO. OF BEDROOMS]],2,FALSE)</f>
        <v>3 BEDROOM</v>
      </c>
    </row>
    <row r="70" spans="1:10" x14ac:dyDescent="0.25">
      <c r="A70" s="121" t="s">
        <v>621</v>
      </c>
      <c r="B70" s="191">
        <v>45433.124999999993</v>
      </c>
      <c r="C70" s="191">
        <v>160</v>
      </c>
      <c r="D70" s="191">
        <v>66.235699999999994</v>
      </c>
      <c r="E70" s="122">
        <v>993067.29639562475</v>
      </c>
      <c r="F70" s="122">
        <v>702301.22019362811</v>
      </c>
      <c r="G70" s="122">
        <v>8467367.2963956241</v>
      </c>
      <c r="H70" s="122">
        <v>9187367.2963956241</v>
      </c>
      <c r="I70" s="122">
        <v>9667367.2963956222</v>
      </c>
      <c r="J70" s="79" t="str">
        <f>VLOOKUP(A70,Table1[[Unit Number]:[NO. OF BEDROOMS]],2,FALSE)</f>
        <v>3 BEDROOM</v>
      </c>
    </row>
    <row r="71" spans="1:10" x14ac:dyDescent="0.25">
      <c r="A71" s="121" t="s">
        <v>637</v>
      </c>
      <c r="B71" s="191">
        <v>46714.374999999993</v>
      </c>
      <c r="C71" s="191">
        <v>161</v>
      </c>
      <c r="D71" s="191"/>
      <c r="E71" s="122">
        <v>0</v>
      </c>
      <c r="F71" s="122">
        <v>639286.22187499993</v>
      </c>
      <c r="G71" s="122">
        <v>7726014.3749999991</v>
      </c>
      <c r="H71" s="122">
        <v>8450514.3749999981</v>
      </c>
      <c r="I71" s="122">
        <v>8933514.3749999981</v>
      </c>
      <c r="J71" s="79" t="str">
        <f>VLOOKUP(A71,Table1[[Unit Number]:[NO. OF BEDROOMS]],2,FALSE)</f>
        <v>3 BEDROOM</v>
      </c>
    </row>
    <row r="72" spans="1:10" x14ac:dyDescent="0.25">
      <c r="A72" s="121" t="s">
        <v>657</v>
      </c>
      <c r="B72" s="191">
        <v>45433.124999999993</v>
      </c>
      <c r="C72" s="191">
        <v>157</v>
      </c>
      <c r="D72" s="191"/>
      <c r="E72" s="122">
        <v>0</v>
      </c>
      <c r="F72" s="122">
        <v>606305.05312499998</v>
      </c>
      <c r="G72" s="122">
        <v>7338000.6249999991</v>
      </c>
      <c r="H72" s="122">
        <v>8044500.6249999991</v>
      </c>
      <c r="I72" s="122">
        <v>8515500.6249999981</v>
      </c>
      <c r="J72" s="79" t="str">
        <f>VLOOKUP(A72,Table1[[Unit Number]:[NO. OF BEDROOMS]],2,FALSE)</f>
        <v>3 BEDROOM</v>
      </c>
    </row>
    <row r="73" spans="1:10" x14ac:dyDescent="0.25">
      <c r="A73" s="121" t="s">
        <v>669</v>
      </c>
      <c r="B73" s="191">
        <v>46663.124999999993</v>
      </c>
      <c r="C73" s="191">
        <v>161</v>
      </c>
      <c r="D73" s="191"/>
      <c r="E73" s="122">
        <v>0</v>
      </c>
      <c r="F73" s="122">
        <v>638584.86562499998</v>
      </c>
      <c r="G73" s="122">
        <v>7717763.1249999991</v>
      </c>
      <c r="H73" s="122">
        <v>8442263.1249999981</v>
      </c>
      <c r="I73" s="122">
        <v>8925263.1249999981</v>
      </c>
      <c r="J73" s="79" t="str">
        <f>VLOOKUP(A73,Table1[[Unit Number]:[NO. OF BEDROOMS]],2,FALSE)</f>
        <v>3 BEDROOM</v>
      </c>
    </row>
    <row r="74" spans="1:10" x14ac:dyDescent="0.25">
      <c r="A74" s="121" t="s">
        <v>709</v>
      </c>
      <c r="B74" s="122">
        <v>2549584.9999999995</v>
      </c>
      <c r="C74" s="122">
        <v>9455</v>
      </c>
      <c r="D74" s="122">
        <v>1269.6143</v>
      </c>
      <c r="E74" s="122">
        <v>19447546.097894058</v>
      </c>
      <c r="F74" s="122">
        <v>38977380.527695999</v>
      </c>
      <c r="G74" s="122">
        <v>469832417.97289401</v>
      </c>
      <c r="H74" s="122">
        <v>512379917.97289401</v>
      </c>
      <c r="I74" s="122">
        <v>540744917.97289383</v>
      </c>
    </row>
    <row r="75" spans="1:10" x14ac:dyDescent="0.25">
      <c r="A75"/>
      <c r="B75"/>
      <c r="C75"/>
      <c r="D75"/>
      <c r="E75"/>
      <c r="F75"/>
      <c r="G75"/>
      <c r="H75"/>
      <c r="I75"/>
      <c r="J75" s="79" t="e">
        <f>VLOOKUP(A75,Table1[[Unit Number]:[NO. OF BEDROOMS]],2,FALSE)</f>
        <v>#N/A</v>
      </c>
    </row>
    <row r="76" spans="1:10" x14ac:dyDescent="0.25">
      <c r="A76"/>
      <c r="B76"/>
      <c r="C76"/>
      <c r="D76"/>
      <c r="E76"/>
      <c r="F76"/>
      <c r="G76"/>
      <c r="H76"/>
      <c r="I76"/>
      <c r="J76" s="79" t="e">
        <f>VLOOKUP(A76,Table1[[Unit Number]:[NO. OF BEDROOMS]],2,FALSE)</f>
        <v>#N/A</v>
      </c>
    </row>
    <row r="77" spans="1:10" x14ac:dyDescent="0.25">
      <c r="A77"/>
      <c r="B77"/>
      <c r="C77"/>
      <c r="D77"/>
      <c r="E77"/>
      <c r="F77"/>
      <c r="G77"/>
      <c r="H77"/>
      <c r="I77"/>
      <c r="J77" s="79" t="e">
        <f>VLOOKUP(A77,Table1[[Unit Number]:[NO. OF BEDROOMS]],2,FALSE)</f>
        <v>#N/A</v>
      </c>
    </row>
    <row r="78" spans="1:10" x14ac:dyDescent="0.25">
      <c r="A78"/>
      <c r="B78"/>
      <c r="C78"/>
      <c r="D78"/>
      <c r="E78"/>
      <c r="F78"/>
      <c r="G78"/>
      <c r="H78"/>
      <c r="I78"/>
      <c r="J78" s="79" t="e">
        <f>VLOOKUP(A78,Table1[[Unit Number]:[NO. OF BEDROOMS]],2,FALSE)</f>
        <v>#N/A</v>
      </c>
    </row>
    <row r="79" spans="1:10" x14ac:dyDescent="0.25">
      <c r="A79"/>
      <c r="B79"/>
      <c r="C79"/>
      <c r="D79"/>
      <c r="E79"/>
      <c r="F79"/>
      <c r="G79"/>
      <c r="H79"/>
      <c r="I79"/>
      <c r="J79" s="79" t="e">
        <f>VLOOKUP(A79,Table1[[Unit Number]:[NO. OF BEDROOMS]],2,FALSE)</f>
        <v>#N/A</v>
      </c>
    </row>
    <row r="80" spans="1:10" x14ac:dyDescent="0.25">
      <c r="A80"/>
      <c r="B80"/>
      <c r="C80"/>
      <c r="D80"/>
      <c r="E80"/>
      <c r="F80"/>
      <c r="G80"/>
      <c r="H80"/>
      <c r="I80"/>
      <c r="J80" s="79" t="e">
        <f>VLOOKUP(A80,Table1[[Unit Number]:[NO. OF BEDROOMS]],2,FALSE)</f>
        <v>#N/A</v>
      </c>
    </row>
    <row r="81" spans="1:10" x14ac:dyDescent="0.25">
      <c r="A81"/>
      <c r="B81"/>
      <c r="C81"/>
      <c r="D81"/>
      <c r="E81"/>
      <c r="F81"/>
      <c r="G81"/>
      <c r="H81"/>
      <c r="I81"/>
      <c r="J81" s="79" t="e">
        <f>VLOOKUP(A81,Table1[[Unit Number]:[NO. OF BEDROOMS]],2,FALSE)</f>
        <v>#N/A</v>
      </c>
    </row>
    <row r="82" spans="1:10" x14ac:dyDescent="0.25">
      <c r="A82"/>
      <c r="B82"/>
      <c r="C82"/>
      <c r="D82"/>
      <c r="E82"/>
      <c r="F82"/>
      <c r="G82"/>
      <c r="H82"/>
      <c r="I82"/>
      <c r="J82" s="79" t="e">
        <f>VLOOKUP(A82,Table1[[Unit Number]:[NO. OF BEDROOMS]],2,FALSE)</f>
        <v>#N/A</v>
      </c>
    </row>
    <row r="83" spans="1:10" x14ac:dyDescent="0.25">
      <c r="A83"/>
      <c r="B83"/>
      <c r="C83"/>
      <c r="D83"/>
      <c r="E83"/>
      <c r="F83"/>
      <c r="G83"/>
      <c r="H83"/>
      <c r="I83"/>
      <c r="J83" s="79" t="e">
        <f>VLOOKUP(A83,Table1[[Unit Number]:[NO. OF BEDROOMS]],2,FALSE)</f>
        <v>#N/A</v>
      </c>
    </row>
    <row r="84" spans="1:10" x14ac:dyDescent="0.25">
      <c r="A84"/>
      <c r="B84"/>
      <c r="C84"/>
      <c r="D84"/>
      <c r="E84"/>
      <c r="F84"/>
      <c r="G84"/>
      <c r="H84"/>
      <c r="I84"/>
      <c r="J84" s="79" t="e">
        <f>VLOOKUP(A84,Table1[[Unit Number]:[NO. OF BEDROOMS]],2,FALSE)</f>
        <v>#N/A</v>
      </c>
    </row>
    <row r="85" spans="1:10" x14ac:dyDescent="0.25">
      <c r="A85"/>
      <c r="B85"/>
      <c r="C85"/>
      <c r="D85"/>
      <c r="E85"/>
      <c r="F85"/>
      <c r="G85"/>
      <c r="H85"/>
      <c r="I85"/>
      <c r="J85" s="79" t="e">
        <f>VLOOKUP(A85,Table1[[Unit Number]:[NO. OF BEDROOMS]],2,FALSE)</f>
        <v>#N/A</v>
      </c>
    </row>
    <row r="86" spans="1:10" x14ac:dyDescent="0.25">
      <c r="A86"/>
      <c r="B86"/>
      <c r="C86"/>
      <c r="D86"/>
      <c r="E86"/>
      <c r="F86"/>
      <c r="G86"/>
      <c r="H86"/>
      <c r="I86"/>
      <c r="J86" s="79" t="e">
        <f>VLOOKUP(A86,Table1[[Unit Number]:[NO. OF BEDROOMS]],2,FALSE)</f>
        <v>#N/A</v>
      </c>
    </row>
    <row r="87" spans="1:10" x14ac:dyDescent="0.25">
      <c r="A87"/>
      <c r="B87"/>
      <c r="C87"/>
      <c r="D87"/>
      <c r="E87"/>
      <c r="F87"/>
      <c r="G87"/>
      <c r="H87"/>
      <c r="I87"/>
      <c r="J87" s="79" t="e">
        <f>VLOOKUP(A87,Table1[[Unit Number]:[NO. OF BEDROOMS]],2,FALSE)</f>
        <v>#N/A</v>
      </c>
    </row>
    <row r="88" spans="1:10" x14ac:dyDescent="0.25">
      <c r="A88"/>
      <c r="B88"/>
      <c r="C88"/>
      <c r="D88"/>
      <c r="E88"/>
      <c r="F88"/>
      <c r="G88"/>
      <c r="H88"/>
      <c r="I88"/>
      <c r="J88" s="79" t="e">
        <f>VLOOKUP(A88,Table1[[Unit Number]:[NO. OF BEDROOMS]],2,FALSE)</f>
        <v>#N/A</v>
      </c>
    </row>
    <row r="89" spans="1:10" x14ac:dyDescent="0.25">
      <c r="A89"/>
      <c r="B89"/>
      <c r="C89"/>
      <c r="D89"/>
      <c r="E89"/>
      <c r="F89"/>
      <c r="G89"/>
      <c r="H89"/>
      <c r="I89"/>
      <c r="J89" s="79" t="e">
        <f>VLOOKUP(A89,Table1[[Unit Number]:[NO. OF BEDROOMS]],2,FALSE)</f>
        <v>#N/A</v>
      </c>
    </row>
    <row r="90" spans="1:10" x14ac:dyDescent="0.25">
      <c r="A90"/>
      <c r="B90"/>
      <c r="C90"/>
      <c r="D90"/>
      <c r="E90"/>
      <c r="F90"/>
      <c r="G90"/>
      <c r="H90"/>
      <c r="I90"/>
      <c r="J90" s="79" t="e">
        <f>VLOOKUP(A90,Table1[[Unit Number]:[NO. OF BEDROOMS]],2,FALSE)</f>
        <v>#N/A</v>
      </c>
    </row>
    <row r="91" spans="1:10" x14ac:dyDescent="0.25">
      <c r="A91"/>
      <c r="B91"/>
      <c r="C91"/>
      <c r="D91"/>
      <c r="E91"/>
      <c r="F91"/>
      <c r="G91"/>
      <c r="H91"/>
      <c r="I91"/>
      <c r="J91" s="79" t="e">
        <f>VLOOKUP(A91,Table1[[Unit Number]:[NO. OF BEDROOMS]],2,FALSE)</f>
        <v>#N/A</v>
      </c>
    </row>
    <row r="92" spans="1:10" x14ac:dyDescent="0.25">
      <c r="A92"/>
      <c r="B92"/>
      <c r="C92"/>
      <c r="D92"/>
      <c r="E92"/>
      <c r="F92"/>
      <c r="G92"/>
      <c r="H92"/>
      <c r="I92"/>
      <c r="J92" s="79" t="e">
        <f>VLOOKUP(A92,Table1[[Unit Number]:[NO. OF BEDROOMS]],2,FALSE)</f>
        <v>#N/A</v>
      </c>
    </row>
    <row r="93" spans="1:10" x14ac:dyDescent="0.25">
      <c r="A93"/>
      <c r="B93"/>
      <c r="C93"/>
      <c r="D93"/>
      <c r="E93"/>
      <c r="F93"/>
      <c r="G93"/>
      <c r="H93"/>
      <c r="I93"/>
      <c r="J93" s="79" t="e">
        <f>VLOOKUP(A93,Table1[[Unit Number]:[NO. OF BEDROOMS]],2,FALSE)</f>
        <v>#N/A</v>
      </c>
    </row>
    <row r="94" spans="1:10" x14ac:dyDescent="0.25">
      <c r="A94"/>
      <c r="B94"/>
      <c r="C94"/>
      <c r="D94"/>
      <c r="E94"/>
      <c r="F94"/>
      <c r="G94"/>
      <c r="H94"/>
      <c r="I94"/>
      <c r="J94" s="79" t="e">
        <f>VLOOKUP(A94,Table1[[Unit Number]:[NO. OF BEDROOMS]],2,FALSE)</f>
        <v>#N/A</v>
      </c>
    </row>
    <row r="95" spans="1:10" x14ac:dyDescent="0.25">
      <c r="A95"/>
      <c r="B95"/>
      <c r="C95"/>
      <c r="D95"/>
      <c r="E95"/>
      <c r="F95"/>
      <c r="G95"/>
      <c r="H95"/>
      <c r="I95"/>
      <c r="J95" s="79" t="e">
        <f>VLOOKUP(A95,Table1[[Unit Number]:[NO. OF BEDROOMS]],2,FALSE)</f>
        <v>#N/A</v>
      </c>
    </row>
    <row r="96" spans="1:10" x14ac:dyDescent="0.25">
      <c r="A96"/>
      <c r="B96"/>
      <c r="C96"/>
      <c r="D96"/>
      <c r="E96"/>
      <c r="F96"/>
      <c r="G96"/>
      <c r="H96"/>
      <c r="I96"/>
      <c r="J96" s="79" t="e">
        <f>VLOOKUP(A96,Table1[[Unit Number]:[NO. OF BEDROOMS]],2,FALSE)</f>
        <v>#N/A</v>
      </c>
    </row>
    <row r="97" spans="1:10" x14ac:dyDescent="0.25">
      <c r="A97"/>
      <c r="B97"/>
      <c r="C97"/>
      <c r="D97"/>
      <c r="E97"/>
      <c r="F97"/>
      <c r="G97"/>
      <c r="H97"/>
      <c r="I97"/>
      <c r="J97" s="79" t="e">
        <f>VLOOKUP(A97,Table1[[Unit Number]:[NO. OF BEDROOMS]],2,FALSE)</f>
        <v>#N/A</v>
      </c>
    </row>
    <row r="98" spans="1:10" x14ac:dyDescent="0.25">
      <c r="A98"/>
      <c r="B98"/>
      <c r="C98"/>
      <c r="D98"/>
      <c r="E98"/>
      <c r="F98"/>
      <c r="G98"/>
      <c r="H98"/>
      <c r="I98"/>
      <c r="J98" s="79" t="e">
        <f>VLOOKUP(A98,Table1[[Unit Number]:[NO. OF BEDROOMS]],2,FALSE)</f>
        <v>#N/A</v>
      </c>
    </row>
    <row r="99" spans="1:10" x14ac:dyDescent="0.25">
      <c r="A99"/>
      <c r="B99"/>
      <c r="C99"/>
      <c r="D99"/>
      <c r="E99"/>
      <c r="F99"/>
      <c r="G99"/>
      <c r="H99"/>
      <c r="I99"/>
      <c r="J99" s="79" t="e">
        <f>VLOOKUP(A99,Table1[[Unit Number]:[NO. OF BEDROOMS]],2,FALSE)</f>
        <v>#N/A</v>
      </c>
    </row>
    <row r="100" spans="1:10" x14ac:dyDescent="0.25">
      <c r="A100"/>
      <c r="B100"/>
      <c r="C100"/>
      <c r="D100"/>
      <c r="E100"/>
      <c r="F100"/>
      <c r="G100"/>
      <c r="H100"/>
      <c r="I100"/>
      <c r="J100" s="79" t="e">
        <f>VLOOKUP(A100,Table1[[Unit Number]:[NO. OF BEDROOMS]],2,FALSE)</f>
        <v>#N/A</v>
      </c>
    </row>
    <row r="101" spans="1:10" x14ac:dyDescent="0.25">
      <c r="A101"/>
      <c r="B101"/>
      <c r="C101"/>
      <c r="D101"/>
      <c r="E101"/>
      <c r="F101"/>
      <c r="G101"/>
      <c r="H101"/>
      <c r="I101"/>
      <c r="J101" s="79" t="e">
        <f>VLOOKUP(A101,Table1[[Unit Number]:[NO. OF BEDROOMS]],2,FALSE)</f>
        <v>#N/A</v>
      </c>
    </row>
    <row r="102" spans="1:10" x14ac:dyDescent="0.25">
      <c r="A102"/>
      <c r="B102"/>
      <c r="C102"/>
      <c r="D102"/>
      <c r="E102"/>
      <c r="F102"/>
      <c r="G102"/>
      <c r="H102"/>
      <c r="I102"/>
      <c r="J102" s="79" t="e">
        <f>VLOOKUP(A102,Table1[[Unit Number]:[NO. OF BEDROOMS]],2,FALSE)</f>
        <v>#N/A</v>
      </c>
    </row>
    <row r="103" spans="1:10" x14ac:dyDescent="0.25">
      <c r="A103"/>
      <c r="B103"/>
      <c r="C103"/>
      <c r="D103"/>
      <c r="E103"/>
      <c r="F103"/>
      <c r="G103"/>
      <c r="H103"/>
      <c r="I103"/>
      <c r="J103" s="79" t="e">
        <f>VLOOKUP(A103,Table1[[Unit Number]:[NO. OF BEDROOMS]],2,FALSE)</f>
        <v>#N/A</v>
      </c>
    </row>
    <row r="104" spans="1:10" x14ac:dyDescent="0.25">
      <c r="A104"/>
      <c r="B104"/>
      <c r="C104"/>
      <c r="D104"/>
      <c r="E104"/>
      <c r="F104"/>
      <c r="G104"/>
      <c r="H104"/>
      <c r="I104"/>
      <c r="J104" s="79" t="e">
        <f>VLOOKUP(A104,Table1[[Unit Number]:[NO. OF BEDROOMS]],2,FALSE)</f>
        <v>#N/A</v>
      </c>
    </row>
    <row r="105" spans="1:10" x14ac:dyDescent="0.25">
      <c r="A105"/>
      <c r="B105"/>
      <c r="C105"/>
      <c r="D105"/>
      <c r="E105"/>
      <c r="F105"/>
      <c r="G105"/>
      <c r="H105"/>
      <c r="I105"/>
      <c r="J105" s="79" t="e">
        <f>VLOOKUP(A105,Table1[[Unit Number]:[NO. OF BEDROOMS]],2,FALSE)</f>
        <v>#N/A</v>
      </c>
    </row>
    <row r="106" spans="1:10" x14ac:dyDescent="0.25">
      <c r="A106"/>
      <c r="B106"/>
      <c r="C106"/>
      <c r="D106"/>
      <c r="E106"/>
      <c r="F106"/>
      <c r="G106"/>
      <c r="H106"/>
      <c r="I106"/>
      <c r="J106" s="79" t="e">
        <f>VLOOKUP(A106,Table1[[Unit Number]:[NO. OF BEDROOMS]],2,FALSE)</f>
        <v>#N/A</v>
      </c>
    </row>
    <row r="107" spans="1:10" x14ac:dyDescent="0.25">
      <c r="A107"/>
      <c r="B107"/>
      <c r="C107"/>
      <c r="D107"/>
      <c r="E107"/>
      <c r="F107"/>
      <c r="G107"/>
      <c r="H107"/>
      <c r="I107"/>
      <c r="J107" s="79" t="e">
        <f>VLOOKUP(A107,Table1[[Unit Number]:[NO. OF BEDROOMS]],2,FALSE)</f>
        <v>#N/A</v>
      </c>
    </row>
    <row r="108" spans="1:10" x14ac:dyDescent="0.25">
      <c r="A108"/>
      <c r="B108"/>
      <c r="C108"/>
      <c r="D108"/>
      <c r="E108"/>
      <c r="F108"/>
      <c r="G108"/>
      <c r="H108"/>
      <c r="I108"/>
      <c r="J108" s="79" t="e">
        <f>VLOOKUP(A108,Table1[[Unit Number]:[NO. OF BEDROOMS]],2,FALSE)</f>
        <v>#N/A</v>
      </c>
    </row>
    <row r="109" spans="1:10" x14ac:dyDescent="0.25">
      <c r="A109"/>
      <c r="B109"/>
      <c r="C109"/>
      <c r="D109"/>
      <c r="E109"/>
      <c r="F109"/>
      <c r="G109"/>
      <c r="H109"/>
      <c r="I109"/>
      <c r="J109" s="79" t="e">
        <f>VLOOKUP(A109,Table1[[Unit Number]:[NO. OF BEDROOMS]],2,FALSE)</f>
        <v>#N/A</v>
      </c>
    </row>
    <row r="110" spans="1:10" x14ac:dyDescent="0.25">
      <c r="A110"/>
      <c r="B110"/>
      <c r="C110"/>
      <c r="D110"/>
      <c r="E110"/>
      <c r="F110"/>
      <c r="G110"/>
      <c r="H110"/>
      <c r="I110"/>
      <c r="J110" s="79" t="e">
        <f>VLOOKUP(A110,Table1[[Unit Number]:[NO. OF BEDROOMS]],2,FALSE)</f>
        <v>#N/A</v>
      </c>
    </row>
    <row r="111" spans="1:10" x14ac:dyDescent="0.25">
      <c r="A111"/>
      <c r="B111"/>
      <c r="C111"/>
      <c r="D111"/>
      <c r="E111"/>
      <c r="F111"/>
      <c r="G111"/>
      <c r="H111"/>
      <c r="I111"/>
      <c r="J111" s="79" t="e">
        <f>VLOOKUP(A111,Table1[[Unit Number]:[NO. OF BEDROOMS]],2,FALSE)</f>
        <v>#N/A</v>
      </c>
    </row>
    <row r="112" spans="1:10" x14ac:dyDescent="0.25">
      <c r="A112"/>
      <c r="B112"/>
      <c r="C112"/>
      <c r="D112"/>
      <c r="E112"/>
      <c r="F112"/>
      <c r="G112"/>
      <c r="H112"/>
      <c r="I112"/>
      <c r="J112" s="79" t="e">
        <f>VLOOKUP(A112,Table1[[Unit Number]:[NO. OF BEDROOMS]],2,FALSE)</f>
        <v>#N/A</v>
      </c>
    </row>
    <row r="113" spans="1:10" x14ac:dyDescent="0.25">
      <c r="A113"/>
      <c r="B113"/>
      <c r="C113"/>
      <c r="D113"/>
      <c r="E113"/>
      <c r="F113"/>
      <c r="G113"/>
      <c r="H113"/>
      <c r="I113"/>
      <c r="J113" s="79" t="e">
        <f>VLOOKUP(A113,Table1[[Unit Number]:[NO. OF BEDROOMS]],2,FALSE)</f>
        <v>#N/A</v>
      </c>
    </row>
    <row r="114" spans="1:10" x14ac:dyDescent="0.25">
      <c r="A114"/>
      <c r="B114"/>
      <c r="C114"/>
      <c r="D114"/>
      <c r="E114"/>
      <c r="F114"/>
      <c r="G114"/>
      <c r="H114"/>
      <c r="I114"/>
      <c r="J114" s="79" t="e">
        <f>VLOOKUP(A114,Table1[[Unit Number]:[NO. OF BEDROOMS]],2,FALSE)</f>
        <v>#N/A</v>
      </c>
    </row>
    <row r="115" spans="1:10" x14ac:dyDescent="0.25">
      <c r="A115"/>
      <c r="B115"/>
      <c r="C115"/>
      <c r="D115"/>
      <c r="E115"/>
      <c r="F115"/>
      <c r="G115"/>
      <c r="H115"/>
      <c r="I115"/>
      <c r="J115" s="79" t="e">
        <f>VLOOKUP(A115,Table1[[Unit Number]:[NO. OF BEDROOMS]],2,FALSE)</f>
        <v>#N/A</v>
      </c>
    </row>
    <row r="116" spans="1:10" x14ac:dyDescent="0.25">
      <c r="A116"/>
      <c r="B116"/>
      <c r="C116"/>
      <c r="D116"/>
      <c r="E116"/>
      <c r="F116"/>
      <c r="G116"/>
      <c r="H116"/>
      <c r="I116"/>
      <c r="J116" s="79" t="e">
        <f>VLOOKUP(A116,Table1[[Unit Number]:[NO. OF BEDROOMS]],2,FALSE)</f>
        <v>#N/A</v>
      </c>
    </row>
    <row r="117" spans="1:10" x14ac:dyDescent="0.25">
      <c r="A117"/>
      <c r="B117"/>
      <c r="C117"/>
      <c r="D117"/>
      <c r="E117"/>
      <c r="F117"/>
      <c r="G117"/>
      <c r="H117"/>
      <c r="I117"/>
      <c r="J117" s="79" t="e">
        <f>VLOOKUP(A117,Table1[[Unit Number]:[NO. OF BEDROOMS]],2,FALSE)</f>
        <v>#N/A</v>
      </c>
    </row>
    <row r="118" spans="1:10" x14ac:dyDescent="0.25">
      <c r="A118"/>
      <c r="B118"/>
      <c r="C118"/>
      <c r="D118"/>
      <c r="E118"/>
      <c r="F118"/>
      <c r="G118"/>
      <c r="H118"/>
      <c r="I118"/>
      <c r="J118" s="79" t="e">
        <f>VLOOKUP(A118,Table1[[Unit Number]:[NO. OF BEDROOMS]],2,FALSE)</f>
        <v>#N/A</v>
      </c>
    </row>
    <row r="119" spans="1:10" x14ac:dyDescent="0.25">
      <c r="A119"/>
      <c r="B119"/>
      <c r="C119"/>
      <c r="D119"/>
      <c r="E119"/>
      <c r="F119"/>
      <c r="G119"/>
      <c r="H119"/>
      <c r="I119"/>
      <c r="J119" s="79" t="e">
        <f>VLOOKUP(A119,Table1[[Unit Number]:[NO. OF BEDROOMS]],2,FALSE)</f>
        <v>#N/A</v>
      </c>
    </row>
    <row r="120" spans="1:10" x14ac:dyDescent="0.25">
      <c r="A120"/>
      <c r="B120"/>
      <c r="C120"/>
      <c r="D120"/>
      <c r="E120"/>
      <c r="F120"/>
      <c r="G120"/>
      <c r="H120"/>
      <c r="I120"/>
      <c r="J120" s="79" t="e">
        <f>VLOOKUP(A120,Table1[[Unit Number]:[NO. OF BEDROOMS]],2,FALSE)</f>
        <v>#N/A</v>
      </c>
    </row>
    <row r="121" spans="1:10" x14ac:dyDescent="0.25">
      <c r="A121"/>
      <c r="B121"/>
      <c r="C121"/>
      <c r="D121"/>
      <c r="E121"/>
      <c r="F121"/>
      <c r="G121"/>
      <c r="H121"/>
      <c r="I121"/>
      <c r="J121" s="79" t="e">
        <f>VLOOKUP(A121,Table1[[Unit Number]:[NO. OF BEDROOMS]],2,FALSE)</f>
        <v>#N/A</v>
      </c>
    </row>
    <row r="122" spans="1:10" x14ac:dyDescent="0.25">
      <c r="A122"/>
      <c r="B122"/>
      <c r="C122"/>
      <c r="D122"/>
      <c r="E122"/>
      <c r="F122"/>
      <c r="G122"/>
      <c r="H122"/>
      <c r="I122"/>
      <c r="J122" s="79" t="e">
        <f>VLOOKUP(A122,Table1[[Unit Number]:[NO. OF BEDROOMS]],2,FALSE)</f>
        <v>#N/A</v>
      </c>
    </row>
    <row r="123" spans="1:10" x14ac:dyDescent="0.25">
      <c r="A123"/>
      <c r="B123"/>
      <c r="C123"/>
      <c r="D123"/>
      <c r="E123"/>
      <c r="F123"/>
      <c r="G123"/>
      <c r="H123"/>
      <c r="I123"/>
      <c r="J123" s="79" t="e">
        <f>VLOOKUP(A123,Table1[[Unit Number]:[NO. OF BEDROOMS]],2,FALSE)</f>
        <v>#N/A</v>
      </c>
    </row>
    <row r="124" spans="1:10" x14ac:dyDescent="0.25">
      <c r="A124"/>
      <c r="B124"/>
      <c r="C124"/>
      <c r="D124"/>
      <c r="E124"/>
      <c r="F124"/>
      <c r="G124"/>
      <c r="H124"/>
      <c r="I124"/>
      <c r="J124" s="79" t="e">
        <f>VLOOKUP(A124,Table1[[Unit Number]:[NO. OF BEDROOMS]],2,FALSE)</f>
        <v>#N/A</v>
      </c>
    </row>
    <row r="125" spans="1:10" x14ac:dyDescent="0.25">
      <c r="A125"/>
      <c r="B125"/>
      <c r="C125"/>
      <c r="D125"/>
      <c r="E125"/>
      <c r="F125"/>
      <c r="G125"/>
      <c r="H125"/>
      <c r="I125"/>
      <c r="J125" s="79" t="e">
        <f>VLOOKUP(A125,Table1[[Unit Number]:[NO. OF BEDROOMS]],2,FALSE)</f>
        <v>#N/A</v>
      </c>
    </row>
    <row r="126" spans="1:10" x14ac:dyDescent="0.25">
      <c r="A126"/>
      <c r="B126"/>
      <c r="C126"/>
      <c r="D126"/>
      <c r="E126"/>
      <c r="F126"/>
      <c r="G126"/>
      <c r="H126"/>
      <c r="I126"/>
      <c r="J126" s="79" t="e">
        <f>VLOOKUP(A126,Table1[[Unit Number]:[NO. OF BEDROOMS]],2,FALSE)</f>
        <v>#N/A</v>
      </c>
    </row>
    <row r="127" spans="1:10" x14ac:dyDescent="0.25">
      <c r="A127"/>
      <c r="B127"/>
      <c r="C127"/>
      <c r="D127"/>
      <c r="E127"/>
      <c r="F127"/>
      <c r="G127"/>
      <c r="H127"/>
      <c r="I127"/>
      <c r="J127" s="79" t="e">
        <f>VLOOKUP(A127,Table1[[Unit Number]:[NO. OF BEDROOMS]],2,FALSE)</f>
        <v>#N/A</v>
      </c>
    </row>
    <row r="128" spans="1:10" x14ac:dyDescent="0.25">
      <c r="A128"/>
      <c r="B128"/>
      <c r="C128"/>
      <c r="D128"/>
      <c r="E128"/>
      <c r="F128"/>
      <c r="G128"/>
      <c r="H128"/>
      <c r="I128"/>
      <c r="J128" s="79" t="e">
        <f>VLOOKUP(A128,Table1[[Unit Number]:[NO. OF BEDROOMS]],2,FALSE)</f>
        <v>#N/A</v>
      </c>
    </row>
    <row r="129" spans="1:10" x14ac:dyDescent="0.25">
      <c r="A129"/>
      <c r="B129"/>
      <c r="C129"/>
      <c r="D129"/>
      <c r="E129"/>
      <c r="F129"/>
      <c r="G129"/>
      <c r="H129"/>
      <c r="I129"/>
      <c r="J129" s="79" t="e">
        <f>VLOOKUP(A129,Table1[[Unit Number]:[NO. OF BEDROOMS]],2,FALSE)</f>
        <v>#N/A</v>
      </c>
    </row>
    <row r="130" spans="1:10" x14ac:dyDescent="0.25">
      <c r="A130"/>
      <c r="B130"/>
      <c r="C130"/>
      <c r="D130"/>
      <c r="E130"/>
      <c r="F130"/>
      <c r="G130"/>
      <c r="H130"/>
      <c r="I130"/>
      <c r="J130" s="79" t="e">
        <f>VLOOKUP(A130,Table1[[Unit Number]:[NO. OF BEDROOMS]],2,FALSE)</f>
        <v>#N/A</v>
      </c>
    </row>
    <row r="131" spans="1:10" x14ac:dyDescent="0.25">
      <c r="A131"/>
      <c r="B131"/>
      <c r="C131"/>
      <c r="D131"/>
      <c r="E131"/>
      <c r="F131"/>
      <c r="G131"/>
      <c r="H131"/>
      <c r="I131"/>
      <c r="J131" s="79" t="e">
        <f>VLOOKUP(A131,Table1[[Unit Number]:[NO. OF BEDROOMS]],2,FALSE)</f>
        <v>#N/A</v>
      </c>
    </row>
    <row r="132" spans="1:10" x14ac:dyDescent="0.25">
      <c r="A132"/>
      <c r="B132"/>
      <c r="C132"/>
      <c r="D132"/>
      <c r="E132"/>
      <c r="F132"/>
      <c r="G132"/>
      <c r="H132"/>
      <c r="I132"/>
      <c r="J132" s="79" t="e">
        <f>VLOOKUP(A132,Table1[[Unit Number]:[NO. OF BEDROOMS]],2,FALSE)</f>
        <v>#N/A</v>
      </c>
    </row>
    <row r="133" spans="1:10" x14ac:dyDescent="0.25">
      <c r="A133"/>
      <c r="B133"/>
      <c r="C133"/>
      <c r="D133"/>
      <c r="E133"/>
      <c r="F133"/>
      <c r="G133"/>
      <c r="H133"/>
      <c r="I133"/>
      <c r="J133" s="79" t="e">
        <f>VLOOKUP(A133,Table1[[Unit Number]:[NO. OF BEDROOMS]],2,FALSE)</f>
        <v>#N/A</v>
      </c>
    </row>
    <row r="134" spans="1:10" x14ac:dyDescent="0.25">
      <c r="A134"/>
      <c r="B134"/>
      <c r="C134"/>
      <c r="D134"/>
      <c r="E134"/>
      <c r="F134"/>
      <c r="G134"/>
      <c r="H134"/>
      <c r="I134"/>
      <c r="J134" s="79" t="e">
        <f>VLOOKUP(A134,Table1[[Unit Number]:[NO. OF BEDROOMS]],2,FALSE)</f>
        <v>#N/A</v>
      </c>
    </row>
    <row r="135" spans="1:10" x14ac:dyDescent="0.25">
      <c r="A135"/>
      <c r="B135"/>
      <c r="C135"/>
      <c r="D135"/>
      <c r="E135"/>
      <c r="F135"/>
      <c r="G135"/>
      <c r="H135"/>
      <c r="I135"/>
      <c r="J135" s="79" t="e">
        <f>VLOOKUP(A135,Table1[[Unit Number]:[NO. OF BEDROOMS]],2,FALSE)</f>
        <v>#N/A</v>
      </c>
    </row>
    <row r="136" spans="1:10" x14ac:dyDescent="0.25">
      <c r="A136"/>
      <c r="B136"/>
      <c r="C136"/>
      <c r="D136"/>
      <c r="E136"/>
      <c r="F136"/>
      <c r="G136"/>
      <c r="H136"/>
      <c r="I136"/>
      <c r="J136" s="79" t="e">
        <f>VLOOKUP(A136,Table1[[Unit Number]:[NO. OF BEDROOMS]],2,FALSE)</f>
        <v>#N/A</v>
      </c>
    </row>
    <row r="137" spans="1:10" x14ac:dyDescent="0.25">
      <c r="A137"/>
      <c r="B137"/>
      <c r="C137"/>
      <c r="D137"/>
      <c r="E137"/>
      <c r="F137"/>
      <c r="G137"/>
      <c r="H137"/>
      <c r="I137"/>
      <c r="J137" s="79" t="e">
        <f>VLOOKUP(A137,Table1[[Unit Number]:[NO. OF BEDROOMS]],2,FALSE)</f>
        <v>#N/A</v>
      </c>
    </row>
    <row r="138" spans="1:10" x14ac:dyDescent="0.25">
      <c r="A138"/>
      <c r="B138"/>
      <c r="C138"/>
      <c r="D138"/>
      <c r="E138"/>
      <c r="F138"/>
      <c r="G138"/>
      <c r="H138"/>
      <c r="I138"/>
      <c r="J138" s="79" t="e">
        <f>VLOOKUP(A138,Table1[[Unit Number]:[NO. OF BEDROOMS]],2,FALSE)</f>
        <v>#N/A</v>
      </c>
    </row>
    <row r="139" spans="1:10" x14ac:dyDescent="0.25">
      <c r="A139"/>
      <c r="B139"/>
      <c r="C139"/>
      <c r="D139"/>
      <c r="E139"/>
      <c r="F139"/>
      <c r="G139"/>
      <c r="H139"/>
      <c r="I139"/>
      <c r="J139" s="79" t="e">
        <f>VLOOKUP(A139,Table1[[Unit Number]:[NO. OF BEDROOMS]],2,FALSE)</f>
        <v>#N/A</v>
      </c>
    </row>
    <row r="140" spans="1:10" x14ac:dyDescent="0.25">
      <c r="A140"/>
      <c r="B140"/>
      <c r="C140"/>
      <c r="D140"/>
      <c r="E140"/>
      <c r="F140"/>
      <c r="G140"/>
      <c r="H140"/>
      <c r="I140"/>
      <c r="J140" s="79" t="e">
        <f>VLOOKUP(A140,Table1[[Unit Number]:[NO. OF BEDROOMS]],2,FALSE)</f>
        <v>#N/A</v>
      </c>
    </row>
    <row r="141" spans="1:10" x14ac:dyDescent="0.25">
      <c r="A141"/>
      <c r="B141"/>
      <c r="C141"/>
      <c r="D141"/>
      <c r="E141"/>
      <c r="F141"/>
      <c r="G141"/>
      <c r="H141"/>
      <c r="I141"/>
      <c r="J141" s="79" t="e">
        <f>VLOOKUP(A141,Table1[[Unit Number]:[NO. OF BEDROOMS]],2,FALSE)</f>
        <v>#N/A</v>
      </c>
    </row>
    <row r="142" spans="1:10" x14ac:dyDescent="0.25">
      <c r="A142"/>
      <c r="B142"/>
      <c r="C142"/>
      <c r="D142"/>
      <c r="E142"/>
      <c r="F142"/>
      <c r="G142"/>
      <c r="H142"/>
      <c r="I142"/>
      <c r="J142" s="79" t="e">
        <f>VLOOKUP(A142,Table1[[Unit Number]:[NO. OF BEDROOMS]],2,FALSE)</f>
        <v>#N/A</v>
      </c>
    </row>
    <row r="143" spans="1:10" x14ac:dyDescent="0.25">
      <c r="A143"/>
      <c r="B143"/>
      <c r="C143"/>
      <c r="D143"/>
      <c r="E143"/>
      <c r="F143"/>
      <c r="G143"/>
      <c r="H143"/>
      <c r="I143"/>
      <c r="J143" s="79" t="e">
        <f>VLOOKUP(A143,Table1[[Unit Number]:[NO. OF BEDROOMS]],2,FALSE)</f>
        <v>#N/A</v>
      </c>
    </row>
    <row r="144" spans="1:10" x14ac:dyDescent="0.25">
      <c r="A144"/>
      <c r="B144"/>
      <c r="C144"/>
      <c r="D144"/>
      <c r="E144"/>
      <c r="F144"/>
      <c r="G144"/>
      <c r="H144"/>
      <c r="I144"/>
      <c r="J144" s="79" t="e">
        <f>VLOOKUP(A144,Table1[[Unit Number]:[NO. OF BEDROOMS]],2,FALSE)</f>
        <v>#N/A</v>
      </c>
    </row>
    <row r="145" spans="1:10" x14ac:dyDescent="0.25">
      <c r="A145"/>
      <c r="B145"/>
      <c r="C145"/>
      <c r="D145"/>
      <c r="E145"/>
      <c r="F145"/>
      <c r="G145"/>
      <c r="H145"/>
      <c r="I145"/>
      <c r="J145" s="79" t="e">
        <f>VLOOKUP(A145,Table1[[Unit Number]:[NO. OF BEDROOMS]],2,FALSE)</f>
        <v>#N/A</v>
      </c>
    </row>
    <row r="146" spans="1:10" x14ac:dyDescent="0.25">
      <c r="A146"/>
      <c r="B146"/>
      <c r="C146"/>
      <c r="D146"/>
      <c r="E146"/>
      <c r="F146"/>
      <c r="G146"/>
      <c r="H146"/>
      <c r="I146"/>
      <c r="J146" s="79" t="e">
        <f>VLOOKUP(A146,Table1[[Unit Number]:[NO. OF BEDROOMS]],2,FALSE)</f>
        <v>#N/A</v>
      </c>
    </row>
    <row r="147" spans="1:10" x14ac:dyDescent="0.25">
      <c r="A147"/>
      <c r="B147"/>
      <c r="C147"/>
      <c r="D147"/>
      <c r="E147"/>
      <c r="F147"/>
      <c r="G147"/>
      <c r="H147"/>
      <c r="I147"/>
      <c r="J147" s="79" t="e">
        <f>VLOOKUP(A147,Table1[[Unit Number]:[NO. OF BEDROOMS]],2,FALSE)</f>
        <v>#N/A</v>
      </c>
    </row>
    <row r="148" spans="1:10" x14ac:dyDescent="0.25">
      <c r="A148"/>
      <c r="B148"/>
      <c r="C148"/>
      <c r="D148"/>
      <c r="E148"/>
      <c r="F148"/>
      <c r="G148"/>
      <c r="H148"/>
      <c r="I148"/>
      <c r="J148" s="79" t="e">
        <f>VLOOKUP(A148,Table1[[Unit Number]:[NO. OF BEDROOMS]],2,FALSE)</f>
        <v>#N/A</v>
      </c>
    </row>
    <row r="149" spans="1:10" x14ac:dyDescent="0.25">
      <c r="A149"/>
      <c r="B149"/>
      <c r="C149"/>
      <c r="D149"/>
      <c r="E149"/>
      <c r="F149"/>
      <c r="G149"/>
      <c r="H149"/>
      <c r="I149"/>
      <c r="J149" s="79" t="e">
        <f>VLOOKUP(A149,Table1[[Unit Number]:[NO. OF BEDROOMS]],2,FALSE)</f>
        <v>#N/A</v>
      </c>
    </row>
    <row r="150" spans="1:10" x14ac:dyDescent="0.25">
      <c r="A150"/>
      <c r="B150"/>
      <c r="C150"/>
      <c r="D150"/>
      <c r="E150"/>
      <c r="F150"/>
      <c r="G150"/>
      <c r="H150"/>
      <c r="I150"/>
      <c r="J150" s="79" t="e">
        <f>VLOOKUP(A150,Table1[[Unit Number]:[NO. OF BEDROOMS]],2,FALSE)</f>
        <v>#N/A</v>
      </c>
    </row>
    <row r="151" spans="1:10" x14ac:dyDescent="0.25">
      <c r="A151"/>
      <c r="B151"/>
      <c r="C151"/>
      <c r="D151"/>
      <c r="E151"/>
      <c r="F151"/>
      <c r="G151"/>
      <c r="H151"/>
      <c r="I151"/>
      <c r="J151" s="79" t="e">
        <f>VLOOKUP(A151,Table1[[Unit Number]:[NO. OF BEDROOMS]],2,FALSE)</f>
        <v>#N/A</v>
      </c>
    </row>
    <row r="152" spans="1:10" x14ac:dyDescent="0.25">
      <c r="A152"/>
      <c r="B152"/>
      <c r="C152"/>
      <c r="D152"/>
      <c r="E152"/>
      <c r="F152"/>
      <c r="G152"/>
      <c r="H152"/>
      <c r="I152"/>
      <c r="J152" s="79" t="e">
        <f>VLOOKUP(A152,Table1[[Unit Number]:[NO. OF BEDROOMS]],2,FALSE)</f>
        <v>#N/A</v>
      </c>
    </row>
    <row r="153" spans="1:10" x14ac:dyDescent="0.25">
      <c r="A153"/>
      <c r="B153"/>
      <c r="C153"/>
      <c r="D153"/>
      <c r="E153"/>
      <c r="F153"/>
      <c r="G153"/>
      <c r="H153"/>
      <c r="I153"/>
      <c r="J153" s="79" t="e">
        <f>VLOOKUP(A153,Table1[[Unit Number]:[NO. OF BEDROOMS]],2,FALSE)</f>
        <v>#N/A</v>
      </c>
    </row>
    <row r="154" spans="1:10" x14ac:dyDescent="0.25">
      <c r="A154"/>
      <c r="B154"/>
      <c r="C154"/>
      <c r="D154"/>
      <c r="E154"/>
      <c r="F154"/>
      <c r="G154"/>
      <c r="H154"/>
      <c r="I154"/>
      <c r="J154" s="79" t="e">
        <f>VLOOKUP(A154,Table1[[Unit Number]:[NO. OF BEDROOMS]],2,FALSE)</f>
        <v>#N/A</v>
      </c>
    </row>
    <row r="155" spans="1:10" x14ac:dyDescent="0.25">
      <c r="A155"/>
      <c r="B155"/>
      <c r="C155"/>
      <c r="D155"/>
      <c r="E155"/>
      <c r="F155"/>
      <c r="G155"/>
      <c r="H155"/>
      <c r="I155"/>
      <c r="J155" s="79" t="e">
        <f>VLOOKUP(A155,Table1[[Unit Number]:[NO. OF BEDROOMS]],2,FALSE)</f>
        <v>#N/A</v>
      </c>
    </row>
    <row r="156" spans="1:10" x14ac:dyDescent="0.25">
      <c r="A156"/>
      <c r="B156"/>
      <c r="C156"/>
      <c r="D156"/>
      <c r="E156"/>
      <c r="F156"/>
      <c r="G156"/>
      <c r="H156"/>
      <c r="I156"/>
      <c r="J156" s="79" t="e">
        <f>VLOOKUP(A156,Table1[[Unit Number]:[NO. OF BEDROOMS]],2,FALSE)</f>
        <v>#N/A</v>
      </c>
    </row>
    <row r="157" spans="1:10" x14ac:dyDescent="0.25">
      <c r="A157"/>
      <c r="B157"/>
      <c r="C157"/>
      <c r="D157"/>
      <c r="E157"/>
      <c r="F157"/>
      <c r="G157"/>
      <c r="H157"/>
      <c r="I157"/>
      <c r="J157" s="79" t="e">
        <f>VLOOKUP(A157,Table1[[Unit Number]:[NO. OF BEDROOMS]],2,FALSE)</f>
        <v>#N/A</v>
      </c>
    </row>
    <row r="158" spans="1:10" x14ac:dyDescent="0.25">
      <c r="A158"/>
      <c r="B158"/>
      <c r="C158"/>
      <c r="D158"/>
      <c r="E158"/>
      <c r="F158"/>
      <c r="G158"/>
      <c r="H158"/>
      <c r="I158"/>
      <c r="J158" s="79" t="e">
        <f>VLOOKUP(A158,Table1[[Unit Number]:[NO. OF BEDROOMS]],2,FALSE)</f>
        <v>#N/A</v>
      </c>
    </row>
    <row r="159" spans="1:10" x14ac:dyDescent="0.25">
      <c r="A159"/>
      <c r="B159"/>
      <c r="C159"/>
      <c r="D159"/>
      <c r="E159"/>
      <c r="F159"/>
      <c r="G159"/>
      <c r="H159"/>
      <c r="I159"/>
      <c r="J159" s="79" t="e">
        <f>VLOOKUP(A159,Table1[[Unit Number]:[NO. OF BEDROOMS]],2,FALSE)</f>
        <v>#N/A</v>
      </c>
    </row>
    <row r="160" spans="1:10" x14ac:dyDescent="0.25">
      <c r="A160"/>
      <c r="B160"/>
      <c r="C160"/>
      <c r="D160"/>
      <c r="E160"/>
      <c r="F160"/>
      <c r="G160"/>
      <c r="H160"/>
      <c r="I160"/>
      <c r="J160" s="79" t="e">
        <f>VLOOKUP(A160,Table1[[Unit Number]:[NO. OF BEDROOMS]],2,FALSE)</f>
        <v>#N/A</v>
      </c>
    </row>
    <row r="161" spans="1:10" x14ac:dyDescent="0.25">
      <c r="A161"/>
      <c r="B161"/>
      <c r="C161"/>
      <c r="D161"/>
      <c r="E161"/>
      <c r="F161"/>
      <c r="G161"/>
      <c r="H161"/>
      <c r="I161"/>
      <c r="J161" s="79" t="e">
        <f>VLOOKUP(A161,Table1[[Unit Number]:[NO. OF BEDROOMS]],2,FALSE)</f>
        <v>#N/A</v>
      </c>
    </row>
    <row r="162" spans="1:10" x14ac:dyDescent="0.25">
      <c r="A162"/>
      <c r="B162"/>
      <c r="C162"/>
      <c r="D162"/>
      <c r="E162"/>
      <c r="F162"/>
      <c r="G162"/>
      <c r="H162"/>
      <c r="I162"/>
      <c r="J162" s="79" t="e">
        <f>VLOOKUP(A162,Table1[[Unit Number]:[NO. OF BEDROOMS]],2,FALSE)</f>
        <v>#N/A</v>
      </c>
    </row>
    <row r="163" spans="1:10" x14ac:dyDescent="0.25">
      <c r="A163"/>
      <c r="B163"/>
      <c r="C163"/>
      <c r="D163"/>
      <c r="E163"/>
      <c r="F163"/>
      <c r="G163"/>
      <c r="H163"/>
      <c r="I163"/>
    </row>
    <row r="164" spans="1:10" x14ac:dyDescent="0.25">
      <c r="A164"/>
      <c r="B164"/>
      <c r="C164"/>
      <c r="D164"/>
      <c r="E164"/>
      <c r="F164"/>
      <c r="G164"/>
      <c r="H164"/>
      <c r="I164"/>
    </row>
    <row r="165" spans="1:10" x14ac:dyDescent="0.25">
      <c r="A165"/>
      <c r="B165"/>
      <c r="C165"/>
      <c r="D165"/>
      <c r="E165"/>
      <c r="F165"/>
      <c r="G165"/>
      <c r="H165"/>
      <c r="I165"/>
    </row>
    <row r="166" spans="1:10" x14ac:dyDescent="0.25">
      <c r="A166"/>
      <c r="B166"/>
      <c r="C166"/>
      <c r="D166"/>
      <c r="E166"/>
      <c r="F166"/>
      <c r="G166"/>
      <c r="H166"/>
      <c r="I166"/>
    </row>
    <row r="167" spans="1:10" x14ac:dyDescent="0.25">
      <c r="A167"/>
      <c r="B167"/>
      <c r="C167"/>
      <c r="D167"/>
      <c r="E167"/>
      <c r="F167"/>
      <c r="G167"/>
      <c r="H167"/>
      <c r="I167"/>
    </row>
    <row r="168" spans="1:10" x14ac:dyDescent="0.25">
      <c r="A168"/>
      <c r="B168"/>
      <c r="C168"/>
      <c r="D168"/>
      <c r="E168"/>
      <c r="F168"/>
      <c r="G168"/>
      <c r="H168"/>
      <c r="I168"/>
    </row>
    <row r="169" spans="1:10" x14ac:dyDescent="0.25">
      <c r="A169"/>
      <c r="B169"/>
      <c r="C169"/>
      <c r="D169"/>
      <c r="E169"/>
      <c r="F169"/>
      <c r="G169"/>
      <c r="H169"/>
      <c r="I169"/>
    </row>
    <row r="170" spans="1:10" x14ac:dyDescent="0.25">
      <c r="A170"/>
      <c r="B170"/>
      <c r="C170"/>
      <c r="D170"/>
      <c r="E170"/>
      <c r="F170"/>
      <c r="G170"/>
      <c r="H170"/>
      <c r="I170"/>
    </row>
    <row r="171" spans="1:10" x14ac:dyDescent="0.25">
      <c r="A171"/>
      <c r="B171"/>
      <c r="C171"/>
      <c r="D171"/>
      <c r="E171"/>
      <c r="F171"/>
      <c r="G171"/>
      <c r="H171"/>
      <c r="I171"/>
    </row>
    <row r="172" spans="1:10" x14ac:dyDescent="0.25">
      <c r="A172"/>
      <c r="B172"/>
      <c r="C172"/>
      <c r="D172"/>
      <c r="E172"/>
      <c r="F172"/>
      <c r="G172"/>
      <c r="H172"/>
      <c r="I172"/>
    </row>
    <row r="173" spans="1:10" x14ac:dyDescent="0.25">
      <c r="A173"/>
      <c r="B173"/>
      <c r="C173"/>
      <c r="D173"/>
      <c r="E173"/>
      <c r="F173"/>
      <c r="G173"/>
      <c r="H173"/>
      <c r="I173"/>
    </row>
    <row r="174" spans="1:10" x14ac:dyDescent="0.25">
      <c r="A174"/>
      <c r="B174"/>
      <c r="C174"/>
      <c r="D174"/>
      <c r="E174"/>
      <c r="F174"/>
      <c r="G174"/>
      <c r="H174"/>
      <c r="I174"/>
    </row>
    <row r="175" spans="1:10" x14ac:dyDescent="0.25">
      <c r="A175"/>
      <c r="B175"/>
      <c r="C175"/>
      <c r="D175"/>
      <c r="E175"/>
      <c r="F175"/>
      <c r="G175"/>
      <c r="H175"/>
      <c r="I175"/>
    </row>
    <row r="176" spans="1:10" x14ac:dyDescent="0.25">
      <c r="A176"/>
      <c r="B176"/>
      <c r="C176"/>
      <c r="D176"/>
      <c r="E176"/>
      <c r="F176"/>
      <c r="G176"/>
      <c r="H176"/>
      <c r="I176"/>
    </row>
    <row r="177" spans="1:9" x14ac:dyDescent="0.25">
      <c r="A177"/>
      <c r="B177"/>
      <c r="C177"/>
      <c r="D177"/>
      <c r="E177"/>
      <c r="F177"/>
      <c r="G177"/>
      <c r="H177"/>
      <c r="I177"/>
    </row>
    <row r="178" spans="1:9" x14ac:dyDescent="0.25">
      <c r="A178"/>
      <c r="B178"/>
      <c r="C178"/>
      <c r="D178"/>
      <c r="E178"/>
      <c r="F178"/>
      <c r="G178"/>
      <c r="H178"/>
      <c r="I178"/>
    </row>
    <row r="179" spans="1:9" x14ac:dyDescent="0.25">
      <c r="A179"/>
      <c r="B179"/>
      <c r="C179"/>
      <c r="D179"/>
      <c r="E179"/>
      <c r="F179"/>
      <c r="G179"/>
      <c r="H179"/>
      <c r="I179"/>
    </row>
    <row r="180" spans="1:9" x14ac:dyDescent="0.25">
      <c r="A180"/>
      <c r="B180"/>
      <c r="C180"/>
      <c r="D180"/>
      <c r="E180"/>
      <c r="F180"/>
      <c r="G180"/>
      <c r="H180"/>
      <c r="I180"/>
    </row>
    <row r="181" spans="1:9" x14ac:dyDescent="0.25">
      <c r="A181"/>
      <c r="B181"/>
      <c r="C181"/>
      <c r="D181"/>
      <c r="E181"/>
      <c r="F181"/>
      <c r="G181"/>
      <c r="H181"/>
      <c r="I181"/>
    </row>
    <row r="182" spans="1:9" x14ac:dyDescent="0.25">
      <c r="A182"/>
      <c r="B182"/>
      <c r="C182"/>
      <c r="D182"/>
      <c r="E182"/>
      <c r="F182"/>
      <c r="G182"/>
      <c r="H182"/>
      <c r="I182"/>
    </row>
    <row r="183" spans="1:9" x14ac:dyDescent="0.25">
      <c r="A183"/>
      <c r="B183"/>
      <c r="C183"/>
      <c r="D183"/>
      <c r="E183"/>
      <c r="F183"/>
      <c r="G183"/>
      <c r="H183"/>
      <c r="I183"/>
    </row>
    <row r="184" spans="1:9" x14ac:dyDescent="0.25">
      <c r="A184"/>
      <c r="B184"/>
      <c r="C184"/>
      <c r="D184"/>
      <c r="E184"/>
      <c r="F184"/>
      <c r="G184"/>
      <c r="H184"/>
      <c r="I184"/>
    </row>
    <row r="185" spans="1:9" x14ac:dyDescent="0.25">
      <c r="A185"/>
      <c r="B185"/>
      <c r="C185"/>
      <c r="D185"/>
      <c r="E185"/>
      <c r="F185"/>
      <c r="G185"/>
      <c r="H185"/>
      <c r="I185"/>
    </row>
    <row r="186" spans="1:9" x14ac:dyDescent="0.25">
      <c r="A186"/>
      <c r="B186"/>
      <c r="C186"/>
      <c r="D186"/>
      <c r="E186"/>
      <c r="F186"/>
      <c r="G186"/>
      <c r="H186"/>
      <c r="I186"/>
    </row>
    <row r="187" spans="1:9" x14ac:dyDescent="0.25">
      <c r="A187"/>
      <c r="B187"/>
      <c r="C187"/>
      <c r="D187"/>
      <c r="E187"/>
      <c r="F187"/>
      <c r="G187"/>
      <c r="H187"/>
      <c r="I187"/>
    </row>
    <row r="188" spans="1:9" x14ac:dyDescent="0.25">
      <c r="A188"/>
      <c r="B188"/>
      <c r="C188"/>
      <c r="D188"/>
      <c r="E188"/>
      <c r="F188"/>
      <c r="G188"/>
      <c r="H188"/>
      <c r="I188"/>
    </row>
    <row r="189" spans="1:9" x14ac:dyDescent="0.25">
      <c r="A189"/>
      <c r="B189"/>
      <c r="C189"/>
      <c r="D189"/>
      <c r="E189"/>
      <c r="F189"/>
      <c r="G189"/>
      <c r="H189"/>
      <c r="I189"/>
    </row>
    <row r="190" spans="1:9" x14ac:dyDescent="0.25">
      <c r="A190"/>
      <c r="B190"/>
      <c r="C190"/>
      <c r="D190"/>
      <c r="E190"/>
      <c r="F190"/>
      <c r="G190"/>
      <c r="H190"/>
      <c r="I190"/>
    </row>
    <row r="191" spans="1:9" x14ac:dyDescent="0.25">
      <c r="A191"/>
      <c r="B191"/>
      <c r="C191"/>
      <c r="D191"/>
      <c r="E191"/>
      <c r="F191"/>
      <c r="G191"/>
      <c r="H191"/>
      <c r="I191"/>
    </row>
    <row r="192" spans="1:9" x14ac:dyDescent="0.25">
      <c r="A192"/>
      <c r="B192"/>
      <c r="C192"/>
      <c r="D192"/>
      <c r="E192"/>
      <c r="F192"/>
      <c r="G192"/>
      <c r="H192"/>
      <c r="I192"/>
    </row>
    <row r="193" spans="1:9" x14ac:dyDescent="0.25">
      <c r="A193"/>
      <c r="B193"/>
      <c r="C193"/>
      <c r="D193"/>
      <c r="E193"/>
      <c r="F193"/>
      <c r="G193"/>
      <c r="H193"/>
      <c r="I193"/>
    </row>
    <row r="194" spans="1:9" x14ac:dyDescent="0.25">
      <c r="A194"/>
      <c r="B194"/>
      <c r="C194"/>
      <c r="D194"/>
      <c r="E194"/>
      <c r="F194"/>
      <c r="G194"/>
      <c r="H194"/>
      <c r="I194"/>
    </row>
    <row r="195" spans="1:9" x14ac:dyDescent="0.25">
      <c r="A195"/>
      <c r="B195"/>
      <c r="C195"/>
      <c r="D195"/>
      <c r="E195"/>
      <c r="F195"/>
      <c r="G195"/>
      <c r="H195"/>
      <c r="I195"/>
    </row>
    <row r="196" spans="1:9" x14ac:dyDescent="0.25">
      <c r="A196"/>
      <c r="B196"/>
      <c r="C196"/>
      <c r="D196"/>
      <c r="E196"/>
      <c r="F196"/>
      <c r="G196"/>
      <c r="H196"/>
      <c r="I196"/>
    </row>
    <row r="197" spans="1:9" x14ac:dyDescent="0.25">
      <c r="A197"/>
      <c r="B197"/>
      <c r="C197"/>
      <c r="D197"/>
      <c r="E197"/>
      <c r="F197"/>
      <c r="G197"/>
      <c r="H197"/>
      <c r="I197"/>
    </row>
    <row r="198" spans="1:9" x14ac:dyDescent="0.25">
      <c r="A198"/>
      <c r="B198"/>
      <c r="C198"/>
      <c r="D198"/>
      <c r="E198"/>
      <c r="F198"/>
      <c r="G198"/>
      <c r="H198"/>
      <c r="I198"/>
    </row>
    <row r="199" spans="1:9" x14ac:dyDescent="0.25">
      <c r="A199"/>
      <c r="B199"/>
      <c r="C199"/>
      <c r="D199"/>
      <c r="E199"/>
      <c r="F199"/>
      <c r="G199"/>
      <c r="H199"/>
      <c r="I199"/>
    </row>
    <row r="200" spans="1:9" x14ac:dyDescent="0.25">
      <c r="A200"/>
      <c r="B200"/>
      <c r="C200"/>
      <c r="D200"/>
      <c r="E200"/>
      <c r="F200"/>
      <c r="G200"/>
      <c r="H200"/>
      <c r="I200"/>
    </row>
    <row r="201" spans="1:9" x14ac:dyDescent="0.25">
      <c r="A201"/>
      <c r="B201"/>
      <c r="C201"/>
      <c r="D201"/>
      <c r="E201"/>
      <c r="F201"/>
      <c r="G201"/>
      <c r="H201"/>
      <c r="I201"/>
    </row>
    <row r="202" spans="1:9" x14ac:dyDescent="0.25">
      <c r="A202"/>
      <c r="B202"/>
      <c r="C202"/>
      <c r="D202"/>
      <c r="E202"/>
      <c r="F202"/>
      <c r="G202"/>
      <c r="H202"/>
      <c r="I202"/>
    </row>
    <row r="203" spans="1:9" x14ac:dyDescent="0.25">
      <c r="A203"/>
      <c r="B203"/>
      <c r="C203"/>
      <c r="D203"/>
      <c r="E203"/>
      <c r="F203"/>
      <c r="G203"/>
      <c r="H203"/>
      <c r="I203"/>
    </row>
    <row r="204" spans="1:9" x14ac:dyDescent="0.25">
      <c r="A204"/>
      <c r="B204"/>
      <c r="C204"/>
      <c r="D204"/>
      <c r="E204"/>
      <c r="F204"/>
      <c r="G204"/>
      <c r="H204"/>
      <c r="I204"/>
    </row>
    <row r="205" spans="1:9" x14ac:dyDescent="0.25">
      <c r="A205"/>
      <c r="B205"/>
      <c r="C205"/>
      <c r="D205"/>
      <c r="E205"/>
      <c r="F205"/>
      <c r="G205"/>
      <c r="H205"/>
      <c r="I205"/>
    </row>
    <row r="206" spans="1:9" x14ac:dyDescent="0.25">
      <c r="A206"/>
      <c r="B206"/>
      <c r="C206"/>
      <c r="D206"/>
      <c r="E206"/>
      <c r="F206"/>
      <c r="G206"/>
      <c r="H206"/>
      <c r="I206"/>
    </row>
    <row r="207" spans="1:9" x14ac:dyDescent="0.25">
      <c r="A207"/>
      <c r="B207"/>
      <c r="C207"/>
      <c r="D207"/>
      <c r="E207"/>
      <c r="F207"/>
      <c r="G207"/>
      <c r="H207"/>
      <c r="I207"/>
    </row>
    <row r="208" spans="1:9" x14ac:dyDescent="0.25">
      <c r="A208"/>
      <c r="B208"/>
      <c r="C208"/>
      <c r="D208"/>
      <c r="E208"/>
      <c r="F208"/>
      <c r="G208"/>
      <c r="H208"/>
      <c r="I208"/>
    </row>
    <row r="209" spans="1:9" x14ac:dyDescent="0.25">
      <c r="A209"/>
      <c r="B209"/>
      <c r="C209"/>
      <c r="D209"/>
      <c r="E209"/>
      <c r="F209"/>
      <c r="G209"/>
      <c r="H209"/>
      <c r="I209"/>
    </row>
    <row r="210" spans="1:9" x14ac:dyDescent="0.25">
      <c r="A210"/>
      <c r="B210"/>
      <c r="C210"/>
      <c r="D210"/>
      <c r="E210"/>
      <c r="F210"/>
      <c r="G210"/>
      <c r="H210"/>
      <c r="I210"/>
    </row>
    <row r="211" spans="1:9" x14ac:dyDescent="0.25">
      <c r="A211"/>
      <c r="B211"/>
      <c r="C211"/>
      <c r="D211"/>
      <c r="E211"/>
      <c r="F211"/>
      <c r="G211"/>
      <c r="H211"/>
      <c r="I211"/>
    </row>
    <row r="212" spans="1:9" x14ac:dyDescent="0.25">
      <c r="A212"/>
      <c r="B212"/>
      <c r="C212"/>
      <c r="D212"/>
      <c r="E212"/>
      <c r="F212"/>
      <c r="G212"/>
      <c r="H212"/>
      <c r="I212"/>
    </row>
    <row r="213" spans="1:9" x14ac:dyDescent="0.25">
      <c r="A213"/>
      <c r="B213"/>
      <c r="C213"/>
      <c r="D213"/>
      <c r="E213"/>
      <c r="F213"/>
      <c r="G213"/>
      <c r="H213"/>
      <c r="I213"/>
    </row>
    <row r="214" spans="1:9" x14ac:dyDescent="0.25">
      <c r="A214"/>
      <c r="B214"/>
      <c r="C214"/>
      <c r="D214"/>
      <c r="E214"/>
      <c r="F214"/>
      <c r="G214"/>
      <c r="H214"/>
      <c r="I214"/>
    </row>
    <row r="215" spans="1:9" x14ac:dyDescent="0.25">
      <c r="A215"/>
      <c r="B215"/>
      <c r="C215"/>
      <c r="D215"/>
      <c r="E215"/>
      <c r="F215"/>
      <c r="G215"/>
      <c r="H215"/>
      <c r="I215"/>
    </row>
    <row r="216" spans="1:9" x14ac:dyDescent="0.25">
      <c r="A216"/>
      <c r="B216"/>
      <c r="C216"/>
      <c r="D216"/>
      <c r="E216"/>
      <c r="F216"/>
      <c r="G216"/>
      <c r="H216"/>
      <c r="I216"/>
    </row>
    <row r="217" spans="1:9" x14ac:dyDescent="0.25">
      <c r="A217"/>
      <c r="B217"/>
      <c r="C217"/>
      <c r="D217"/>
      <c r="E217"/>
      <c r="F217"/>
      <c r="G217"/>
      <c r="H217"/>
      <c r="I217"/>
    </row>
    <row r="218" spans="1:9" x14ac:dyDescent="0.25">
      <c r="A218"/>
      <c r="B218"/>
      <c r="C218"/>
      <c r="D218"/>
      <c r="E218"/>
      <c r="F218"/>
      <c r="G218"/>
      <c r="H218"/>
      <c r="I218"/>
    </row>
    <row r="219" spans="1:9" x14ac:dyDescent="0.25">
      <c r="A219"/>
      <c r="B219"/>
      <c r="C219"/>
      <c r="D219"/>
      <c r="E219"/>
      <c r="F219"/>
      <c r="G219"/>
      <c r="H219"/>
      <c r="I219"/>
    </row>
    <row r="220" spans="1:9" x14ac:dyDescent="0.25">
      <c r="A220"/>
      <c r="B220"/>
      <c r="C220"/>
      <c r="D220"/>
      <c r="E220"/>
      <c r="F220"/>
      <c r="G220"/>
      <c r="H220"/>
      <c r="I220"/>
    </row>
    <row r="221" spans="1:9" x14ac:dyDescent="0.25">
      <c r="A221"/>
      <c r="B221"/>
      <c r="C221"/>
      <c r="D221"/>
      <c r="E221"/>
      <c r="F221"/>
      <c r="G221"/>
      <c r="H221"/>
      <c r="I221"/>
    </row>
    <row r="222" spans="1:9" x14ac:dyDescent="0.25">
      <c r="A222"/>
      <c r="B222"/>
      <c r="C222"/>
      <c r="D222"/>
      <c r="E222"/>
      <c r="F222"/>
      <c r="G222"/>
      <c r="H222"/>
      <c r="I222"/>
    </row>
    <row r="223" spans="1:9" x14ac:dyDescent="0.25">
      <c r="A223"/>
      <c r="B223"/>
      <c r="C223"/>
      <c r="D223"/>
      <c r="E223"/>
      <c r="F223"/>
      <c r="G223"/>
      <c r="H223"/>
      <c r="I223"/>
    </row>
    <row r="224" spans="1:9" x14ac:dyDescent="0.25">
      <c r="A224"/>
      <c r="B224"/>
      <c r="C224"/>
      <c r="D224"/>
      <c r="E224"/>
      <c r="F224"/>
      <c r="G224"/>
      <c r="H224"/>
      <c r="I224"/>
    </row>
    <row r="225" spans="1:9" x14ac:dyDescent="0.25">
      <c r="A225"/>
      <c r="B225"/>
      <c r="C225"/>
      <c r="D225"/>
      <c r="E225"/>
      <c r="F225"/>
      <c r="G225"/>
      <c r="H225"/>
      <c r="I225"/>
    </row>
    <row r="226" spans="1:9" x14ac:dyDescent="0.25">
      <c r="A226"/>
      <c r="B226"/>
      <c r="C226"/>
      <c r="D226"/>
      <c r="E226"/>
      <c r="F226"/>
      <c r="G226"/>
      <c r="H226"/>
      <c r="I226"/>
    </row>
    <row r="227" spans="1:9" x14ac:dyDescent="0.25">
      <c r="A227"/>
      <c r="B227"/>
      <c r="C227"/>
      <c r="D227"/>
      <c r="E227"/>
      <c r="F227"/>
      <c r="G227"/>
      <c r="H227"/>
      <c r="I227"/>
    </row>
    <row r="228" spans="1:9" x14ac:dyDescent="0.25">
      <c r="A228"/>
      <c r="B228"/>
      <c r="C228"/>
      <c r="D228"/>
      <c r="E228"/>
      <c r="F228"/>
      <c r="G228"/>
      <c r="H228"/>
      <c r="I228"/>
    </row>
    <row r="229" spans="1:9" x14ac:dyDescent="0.25">
      <c r="A229"/>
      <c r="B229"/>
      <c r="C229"/>
      <c r="D229"/>
      <c r="E229"/>
      <c r="F229"/>
      <c r="G229"/>
      <c r="H229"/>
      <c r="I229"/>
    </row>
    <row r="230" spans="1:9" x14ac:dyDescent="0.25">
      <c r="A230"/>
      <c r="B230"/>
      <c r="C230"/>
      <c r="D230"/>
      <c r="E230"/>
      <c r="F230"/>
      <c r="G230"/>
      <c r="H230"/>
      <c r="I230"/>
    </row>
    <row r="231" spans="1:9" x14ac:dyDescent="0.25">
      <c r="A231"/>
      <c r="B231"/>
      <c r="C231"/>
      <c r="D231"/>
      <c r="E231"/>
      <c r="F231"/>
      <c r="G231"/>
      <c r="H231"/>
      <c r="I231"/>
    </row>
    <row r="232" spans="1:9" x14ac:dyDescent="0.25">
      <c r="A232"/>
      <c r="B232"/>
      <c r="C232"/>
      <c r="D232"/>
      <c r="E232"/>
      <c r="F232"/>
      <c r="G232"/>
      <c r="H232"/>
      <c r="I232"/>
    </row>
    <row r="233" spans="1:9" x14ac:dyDescent="0.25">
      <c r="A233"/>
      <c r="B233"/>
      <c r="C233"/>
      <c r="D233"/>
      <c r="E233"/>
      <c r="F233"/>
      <c r="G233"/>
      <c r="H233"/>
      <c r="I233"/>
    </row>
    <row r="234" spans="1:9" x14ac:dyDescent="0.25">
      <c r="A234"/>
      <c r="B234"/>
      <c r="C234"/>
      <c r="D234"/>
      <c r="E234"/>
      <c r="F234"/>
      <c r="G234"/>
      <c r="H234"/>
      <c r="I234"/>
    </row>
    <row r="235" spans="1:9" x14ac:dyDescent="0.25">
      <c r="A235"/>
      <c r="B235"/>
      <c r="C235"/>
      <c r="D235"/>
      <c r="E235"/>
      <c r="F235"/>
      <c r="G235"/>
      <c r="H235"/>
      <c r="I235"/>
    </row>
    <row r="236" spans="1:9" x14ac:dyDescent="0.25">
      <c r="A236"/>
      <c r="B236"/>
      <c r="C236"/>
      <c r="D236"/>
      <c r="E236"/>
      <c r="F236"/>
      <c r="G236"/>
      <c r="H236"/>
      <c r="I236"/>
    </row>
    <row r="237" spans="1:9" x14ac:dyDescent="0.25">
      <c r="A237"/>
      <c r="B237"/>
      <c r="C237"/>
      <c r="D237"/>
      <c r="E237"/>
      <c r="F237"/>
      <c r="G237"/>
      <c r="H237"/>
      <c r="I237"/>
    </row>
    <row r="238" spans="1:9" x14ac:dyDescent="0.25">
      <c r="A238"/>
      <c r="B238"/>
      <c r="C238"/>
      <c r="D238"/>
      <c r="E238"/>
      <c r="F238"/>
      <c r="G238"/>
      <c r="H238"/>
      <c r="I238"/>
    </row>
    <row r="239" spans="1:9" x14ac:dyDescent="0.25">
      <c r="A239"/>
      <c r="B239"/>
      <c r="C239"/>
      <c r="D239"/>
      <c r="E239"/>
      <c r="F239"/>
      <c r="G239"/>
      <c r="H239"/>
      <c r="I239"/>
    </row>
    <row r="240" spans="1:9" x14ac:dyDescent="0.25">
      <c r="A240"/>
      <c r="B240"/>
      <c r="C240"/>
      <c r="D240"/>
      <c r="E240"/>
      <c r="F240"/>
      <c r="G240"/>
      <c r="H240"/>
      <c r="I240"/>
    </row>
    <row r="241" spans="1:9" x14ac:dyDescent="0.25">
      <c r="A241"/>
      <c r="B241"/>
      <c r="C241"/>
      <c r="D241"/>
      <c r="E241"/>
      <c r="F241"/>
      <c r="G241"/>
      <c r="H241"/>
      <c r="I241"/>
    </row>
    <row r="242" spans="1:9" x14ac:dyDescent="0.25">
      <c r="A242"/>
      <c r="B242"/>
      <c r="C242"/>
      <c r="D242"/>
      <c r="E242"/>
      <c r="F242"/>
      <c r="G242"/>
      <c r="H242"/>
      <c r="I242"/>
    </row>
    <row r="243" spans="1:9" x14ac:dyDescent="0.25">
      <c r="A243"/>
      <c r="B243"/>
      <c r="C243"/>
      <c r="D243"/>
      <c r="E243"/>
      <c r="F243"/>
      <c r="G243"/>
      <c r="H243"/>
      <c r="I243"/>
    </row>
    <row r="244" spans="1:9" x14ac:dyDescent="0.25">
      <c r="A244"/>
      <c r="B244"/>
      <c r="C244"/>
      <c r="D244"/>
      <c r="E244"/>
      <c r="F244"/>
      <c r="G244"/>
      <c r="H244"/>
      <c r="I244"/>
    </row>
    <row r="245" spans="1:9" x14ac:dyDescent="0.25">
      <c r="A245"/>
      <c r="B245"/>
      <c r="C245"/>
      <c r="D245"/>
      <c r="E245"/>
      <c r="F245"/>
      <c r="G245"/>
      <c r="H245"/>
      <c r="I245"/>
    </row>
    <row r="246" spans="1:9" x14ac:dyDescent="0.25">
      <c r="A246"/>
      <c r="B246"/>
      <c r="C246"/>
      <c r="D246"/>
      <c r="E246"/>
      <c r="F246"/>
      <c r="G246"/>
      <c r="H246"/>
      <c r="I246"/>
    </row>
    <row r="247" spans="1:9" x14ac:dyDescent="0.25">
      <c r="A247"/>
      <c r="B247"/>
      <c r="C247"/>
      <c r="D247"/>
      <c r="E247"/>
      <c r="F247"/>
      <c r="G247"/>
      <c r="H247"/>
      <c r="I247"/>
    </row>
    <row r="248" spans="1:9" x14ac:dyDescent="0.25">
      <c r="A248"/>
      <c r="B248"/>
      <c r="C248"/>
      <c r="D248"/>
      <c r="E248"/>
      <c r="F248"/>
      <c r="G248"/>
      <c r="H248"/>
      <c r="I248"/>
    </row>
    <row r="249" spans="1:9" x14ac:dyDescent="0.25">
      <c r="A249"/>
      <c r="B249"/>
      <c r="C249"/>
      <c r="D249"/>
      <c r="E249"/>
      <c r="F249"/>
      <c r="G249"/>
      <c r="H249"/>
      <c r="I249"/>
    </row>
    <row r="250" spans="1:9" x14ac:dyDescent="0.25">
      <c r="A250"/>
      <c r="B250"/>
      <c r="C250"/>
      <c r="D250"/>
      <c r="E250"/>
      <c r="F250"/>
      <c r="G250"/>
      <c r="H250"/>
      <c r="I250"/>
    </row>
    <row r="251" spans="1:9" x14ac:dyDescent="0.25">
      <c r="A251"/>
      <c r="B251"/>
      <c r="C251"/>
      <c r="D251"/>
      <c r="E251"/>
      <c r="F251"/>
      <c r="G251"/>
      <c r="H251"/>
      <c r="I251"/>
    </row>
    <row r="252" spans="1:9" x14ac:dyDescent="0.25">
      <c r="A252"/>
      <c r="B252"/>
      <c r="C252"/>
      <c r="D252"/>
      <c r="E252"/>
      <c r="F252"/>
      <c r="G252"/>
      <c r="H252"/>
      <c r="I252"/>
    </row>
    <row r="253" spans="1:9" x14ac:dyDescent="0.25">
      <c r="A253"/>
      <c r="B253"/>
      <c r="C253"/>
      <c r="D253"/>
      <c r="E253"/>
      <c r="F253"/>
      <c r="G253"/>
      <c r="H253"/>
      <c r="I253"/>
    </row>
    <row r="254" spans="1:9" x14ac:dyDescent="0.25">
      <c r="A254"/>
      <c r="B254"/>
      <c r="C254"/>
      <c r="D254"/>
      <c r="E254"/>
      <c r="F254"/>
      <c r="G254"/>
      <c r="H254"/>
      <c r="I254"/>
    </row>
    <row r="255" spans="1:9" x14ac:dyDescent="0.25">
      <c r="A255"/>
      <c r="B255"/>
      <c r="C255"/>
      <c r="D255"/>
      <c r="E255"/>
      <c r="F255"/>
      <c r="G255"/>
      <c r="H255"/>
      <c r="I255"/>
    </row>
    <row r="256" spans="1:9" x14ac:dyDescent="0.25">
      <c r="A256"/>
      <c r="B256"/>
      <c r="C256"/>
      <c r="D256"/>
      <c r="E256"/>
      <c r="F256"/>
      <c r="G256"/>
      <c r="H256"/>
      <c r="I256"/>
    </row>
    <row r="257" spans="1:9" x14ac:dyDescent="0.25">
      <c r="A257"/>
      <c r="B257"/>
      <c r="C257"/>
      <c r="D257"/>
      <c r="E257"/>
      <c r="F257"/>
      <c r="G257"/>
      <c r="H257"/>
      <c r="I257"/>
    </row>
    <row r="258" spans="1:9" x14ac:dyDescent="0.25">
      <c r="A258"/>
      <c r="B258"/>
      <c r="C258"/>
      <c r="D258"/>
      <c r="E258"/>
      <c r="F258"/>
      <c r="G258"/>
      <c r="H258"/>
      <c r="I258"/>
    </row>
    <row r="259" spans="1:9" x14ac:dyDescent="0.25">
      <c r="A259"/>
      <c r="B259"/>
      <c r="C259"/>
      <c r="D259"/>
      <c r="E259"/>
      <c r="F259"/>
      <c r="G259"/>
      <c r="H259"/>
      <c r="I259"/>
    </row>
    <row r="260" spans="1:9" x14ac:dyDescent="0.25">
      <c r="A260"/>
      <c r="B260"/>
      <c r="C260"/>
      <c r="D260"/>
      <c r="E260"/>
      <c r="F260"/>
      <c r="G260"/>
      <c r="H260"/>
      <c r="I260"/>
    </row>
    <row r="261" spans="1:9" x14ac:dyDescent="0.25">
      <c r="A261"/>
      <c r="B261"/>
      <c r="C261"/>
      <c r="D261"/>
      <c r="E261"/>
      <c r="F261"/>
      <c r="G261"/>
      <c r="H261"/>
      <c r="I261"/>
    </row>
    <row r="262" spans="1:9" x14ac:dyDescent="0.25">
      <c r="A262"/>
      <c r="B262"/>
      <c r="C262"/>
      <c r="D262"/>
      <c r="E262"/>
      <c r="F262"/>
      <c r="G262"/>
      <c r="H262"/>
      <c r="I262"/>
    </row>
    <row r="263" spans="1:9" x14ac:dyDescent="0.25">
      <c r="A263"/>
      <c r="B263"/>
      <c r="C263"/>
      <c r="D263"/>
      <c r="E263"/>
      <c r="F263"/>
      <c r="G263"/>
      <c r="H263"/>
      <c r="I263"/>
    </row>
    <row r="264" spans="1:9" x14ac:dyDescent="0.25">
      <c r="A264"/>
      <c r="B264"/>
      <c r="C264"/>
      <c r="D264"/>
      <c r="E264"/>
      <c r="F264"/>
      <c r="G264"/>
      <c r="H264"/>
      <c r="I264"/>
    </row>
    <row r="265" spans="1:9" x14ac:dyDescent="0.25">
      <c r="A265"/>
      <c r="B265"/>
      <c r="C265"/>
      <c r="D265"/>
      <c r="E265"/>
      <c r="F265"/>
      <c r="G265"/>
      <c r="H265"/>
      <c r="I265"/>
    </row>
    <row r="266" spans="1:9" x14ac:dyDescent="0.25">
      <c r="A266"/>
      <c r="B266"/>
      <c r="C266"/>
      <c r="D266"/>
      <c r="E266"/>
      <c r="F266"/>
      <c r="G266"/>
      <c r="H266"/>
      <c r="I266"/>
    </row>
    <row r="267" spans="1:9" x14ac:dyDescent="0.25">
      <c r="A267"/>
      <c r="B267"/>
      <c r="C267"/>
      <c r="D267"/>
      <c r="E267"/>
      <c r="F267"/>
      <c r="G267"/>
      <c r="H267"/>
      <c r="I267"/>
    </row>
    <row r="268" spans="1:9" x14ac:dyDescent="0.25">
      <c r="A268"/>
      <c r="B268"/>
      <c r="C268"/>
      <c r="D268"/>
      <c r="E268"/>
      <c r="F268"/>
      <c r="G268"/>
      <c r="H268"/>
      <c r="I268"/>
    </row>
    <row r="269" spans="1:9" x14ac:dyDescent="0.25">
      <c r="A269"/>
      <c r="B269"/>
      <c r="C269"/>
      <c r="D269"/>
      <c r="E269"/>
      <c r="F269"/>
      <c r="G269"/>
      <c r="H269"/>
      <c r="I269"/>
    </row>
    <row r="270" spans="1:9" x14ac:dyDescent="0.25">
      <c r="A270"/>
      <c r="B270"/>
      <c r="C270"/>
      <c r="D270"/>
      <c r="E270"/>
      <c r="F270"/>
      <c r="G270"/>
      <c r="H270"/>
      <c r="I270"/>
    </row>
    <row r="271" spans="1:9" x14ac:dyDescent="0.25">
      <c r="A271"/>
      <c r="B271"/>
      <c r="C271"/>
      <c r="D271"/>
      <c r="E271"/>
      <c r="F271"/>
      <c r="G271"/>
      <c r="H271"/>
      <c r="I271"/>
    </row>
    <row r="272" spans="1:9" x14ac:dyDescent="0.25">
      <c r="A272"/>
      <c r="B272"/>
      <c r="C272"/>
      <c r="D272"/>
      <c r="E272"/>
      <c r="F272"/>
      <c r="G272"/>
      <c r="H272"/>
      <c r="I272"/>
    </row>
    <row r="273" spans="1:9" x14ac:dyDescent="0.25">
      <c r="A273"/>
      <c r="B273"/>
      <c r="C273"/>
      <c r="D273"/>
      <c r="E273"/>
      <c r="F273"/>
      <c r="G273"/>
      <c r="H273"/>
      <c r="I273"/>
    </row>
    <row r="274" spans="1:9" x14ac:dyDescent="0.25">
      <c r="A274"/>
      <c r="B274"/>
      <c r="C274"/>
      <c r="D274"/>
      <c r="E274"/>
      <c r="F274"/>
      <c r="G274"/>
      <c r="H274"/>
      <c r="I274"/>
    </row>
    <row r="275" spans="1:9" x14ac:dyDescent="0.25">
      <c r="A275"/>
      <c r="B275"/>
      <c r="C275"/>
      <c r="D275"/>
      <c r="E275"/>
      <c r="F275"/>
      <c r="G275"/>
      <c r="H275"/>
      <c r="I275"/>
    </row>
    <row r="276" spans="1:9" x14ac:dyDescent="0.25">
      <c r="A276"/>
      <c r="B276"/>
      <c r="C276"/>
      <c r="D276"/>
      <c r="E276"/>
      <c r="F276"/>
      <c r="G276"/>
      <c r="H276"/>
      <c r="I276"/>
    </row>
    <row r="277" spans="1:9" x14ac:dyDescent="0.25">
      <c r="A277"/>
      <c r="B277"/>
      <c r="C277"/>
      <c r="D277"/>
      <c r="E277"/>
      <c r="F277"/>
      <c r="G277"/>
      <c r="H277"/>
      <c r="I277"/>
    </row>
    <row r="278" spans="1:9" x14ac:dyDescent="0.25">
      <c r="A278"/>
      <c r="B278"/>
      <c r="C278"/>
      <c r="D278"/>
      <c r="E278"/>
      <c r="F278"/>
      <c r="G278"/>
      <c r="H278"/>
      <c r="I278"/>
    </row>
    <row r="279" spans="1:9" x14ac:dyDescent="0.25">
      <c r="A279"/>
      <c r="B279"/>
      <c r="C279"/>
      <c r="D279"/>
      <c r="E279"/>
      <c r="F279"/>
      <c r="G279"/>
      <c r="H279"/>
      <c r="I279"/>
    </row>
    <row r="280" spans="1:9" x14ac:dyDescent="0.25">
      <c r="A280"/>
      <c r="B280"/>
      <c r="C280"/>
      <c r="D280"/>
      <c r="E280"/>
      <c r="F280"/>
      <c r="G280"/>
      <c r="H280"/>
      <c r="I280"/>
    </row>
    <row r="281" spans="1:9" x14ac:dyDescent="0.25">
      <c r="A281"/>
      <c r="B281"/>
      <c r="C281"/>
      <c r="D281"/>
      <c r="E281"/>
      <c r="F281"/>
      <c r="G281"/>
      <c r="H281"/>
      <c r="I281"/>
    </row>
    <row r="282" spans="1:9" x14ac:dyDescent="0.25">
      <c r="A282"/>
      <c r="B282"/>
      <c r="C282"/>
      <c r="D282"/>
      <c r="E282"/>
      <c r="F282"/>
      <c r="G282"/>
      <c r="H282"/>
      <c r="I282"/>
    </row>
    <row r="283" spans="1:9" x14ac:dyDescent="0.25">
      <c r="A283"/>
      <c r="B283"/>
      <c r="C283"/>
      <c r="D283"/>
      <c r="E283"/>
      <c r="F283"/>
      <c r="G283"/>
      <c r="H283"/>
      <c r="I283"/>
    </row>
    <row r="284" spans="1:9" x14ac:dyDescent="0.25">
      <c r="A284"/>
      <c r="B284"/>
      <c r="C284"/>
      <c r="D284"/>
      <c r="E284"/>
      <c r="F284"/>
      <c r="G284"/>
      <c r="H284"/>
      <c r="I284"/>
    </row>
    <row r="285" spans="1:9" x14ac:dyDescent="0.25">
      <c r="A285"/>
      <c r="B285"/>
      <c r="C285"/>
      <c r="D285"/>
      <c r="E285"/>
      <c r="F285"/>
      <c r="G285"/>
      <c r="H285"/>
      <c r="I285"/>
    </row>
    <row r="286" spans="1:9" x14ac:dyDescent="0.25">
      <c r="A286"/>
      <c r="B286"/>
      <c r="C286"/>
      <c r="D286"/>
      <c r="E286"/>
      <c r="F286"/>
      <c r="G286"/>
      <c r="H286"/>
      <c r="I286"/>
    </row>
    <row r="287" spans="1:9" x14ac:dyDescent="0.25">
      <c r="A287"/>
      <c r="B287"/>
      <c r="C287"/>
      <c r="D287"/>
      <c r="E287"/>
      <c r="F287"/>
      <c r="G287"/>
      <c r="H287"/>
      <c r="I287"/>
    </row>
    <row r="288" spans="1:9" x14ac:dyDescent="0.25">
      <c r="A288"/>
      <c r="B288"/>
      <c r="C288"/>
      <c r="D288"/>
      <c r="E288"/>
      <c r="F288"/>
      <c r="G288"/>
      <c r="H288"/>
      <c r="I288"/>
    </row>
    <row r="289" spans="1:9" x14ac:dyDescent="0.25">
      <c r="A289"/>
      <c r="B289"/>
      <c r="C289"/>
      <c r="D289"/>
      <c r="E289"/>
      <c r="F289"/>
      <c r="G289"/>
      <c r="H289"/>
      <c r="I289"/>
    </row>
    <row r="290" spans="1:9" x14ac:dyDescent="0.25">
      <c r="A290"/>
      <c r="B290"/>
      <c r="C290"/>
      <c r="D290"/>
      <c r="E290"/>
      <c r="F290"/>
      <c r="G290"/>
      <c r="H290"/>
      <c r="I290"/>
    </row>
    <row r="291" spans="1:9" x14ac:dyDescent="0.25">
      <c r="A291"/>
      <c r="B291"/>
      <c r="C291"/>
      <c r="D291"/>
      <c r="E291"/>
      <c r="F291"/>
      <c r="G291"/>
      <c r="H291"/>
      <c r="I291"/>
    </row>
    <row r="292" spans="1:9" x14ac:dyDescent="0.25">
      <c r="A292"/>
      <c r="B292"/>
      <c r="C292"/>
      <c r="D292"/>
      <c r="E292"/>
      <c r="F292"/>
      <c r="G292"/>
      <c r="H292"/>
      <c r="I292"/>
    </row>
    <row r="293" spans="1:9" x14ac:dyDescent="0.25">
      <c r="A293"/>
      <c r="B293"/>
      <c r="C293"/>
      <c r="D293"/>
      <c r="E293"/>
      <c r="F293"/>
      <c r="G293"/>
      <c r="H293"/>
      <c r="I293"/>
    </row>
    <row r="294" spans="1:9" x14ac:dyDescent="0.25">
      <c r="A294"/>
      <c r="B294"/>
      <c r="C294"/>
      <c r="D294"/>
      <c r="E294"/>
      <c r="F294"/>
      <c r="G294"/>
      <c r="H294"/>
      <c r="I294"/>
    </row>
    <row r="295" spans="1:9" x14ac:dyDescent="0.25">
      <c r="A295"/>
      <c r="B295"/>
      <c r="C295"/>
      <c r="D295"/>
      <c r="E295"/>
      <c r="F295"/>
      <c r="G295"/>
      <c r="H295"/>
      <c r="I295"/>
    </row>
    <row r="296" spans="1:9" x14ac:dyDescent="0.25">
      <c r="A296"/>
      <c r="B296"/>
      <c r="C296"/>
      <c r="D296"/>
      <c r="E296"/>
      <c r="F296"/>
      <c r="G296"/>
      <c r="H296"/>
      <c r="I296"/>
    </row>
    <row r="297" spans="1:9" x14ac:dyDescent="0.25">
      <c r="A297"/>
      <c r="B297"/>
      <c r="C297"/>
      <c r="D297"/>
      <c r="E297"/>
      <c r="F297"/>
      <c r="G297"/>
      <c r="H297"/>
      <c r="I297"/>
    </row>
    <row r="298" spans="1:9" x14ac:dyDescent="0.25">
      <c r="A298"/>
      <c r="B298"/>
      <c r="C298"/>
      <c r="D298"/>
      <c r="E298"/>
      <c r="F298"/>
      <c r="G298"/>
      <c r="H298"/>
      <c r="I298"/>
    </row>
    <row r="299" spans="1:9" x14ac:dyDescent="0.25">
      <c r="A299"/>
      <c r="B299"/>
      <c r="C299"/>
      <c r="D299"/>
      <c r="E299"/>
      <c r="F299"/>
      <c r="G299"/>
      <c r="H299"/>
      <c r="I299"/>
    </row>
    <row r="300" spans="1:9" x14ac:dyDescent="0.25">
      <c r="A300"/>
      <c r="B300"/>
      <c r="C300"/>
      <c r="D300"/>
      <c r="E300"/>
      <c r="F300"/>
      <c r="G300"/>
      <c r="H300"/>
      <c r="I300"/>
    </row>
    <row r="301" spans="1:9" x14ac:dyDescent="0.25">
      <c r="A301"/>
      <c r="B301"/>
      <c r="C301"/>
      <c r="D301"/>
      <c r="E301"/>
      <c r="F301"/>
      <c r="G301"/>
      <c r="H301"/>
      <c r="I301"/>
    </row>
    <row r="302" spans="1:9" x14ac:dyDescent="0.25">
      <c r="A302"/>
      <c r="B302"/>
      <c r="C302"/>
      <c r="D302"/>
      <c r="E302"/>
      <c r="F302"/>
      <c r="G302"/>
      <c r="H302"/>
      <c r="I302"/>
    </row>
    <row r="303" spans="1:9" x14ac:dyDescent="0.25">
      <c r="A303"/>
      <c r="B303"/>
      <c r="C303"/>
      <c r="D303"/>
      <c r="E303"/>
      <c r="F303"/>
      <c r="G303"/>
      <c r="H303"/>
      <c r="I303"/>
    </row>
    <row r="304" spans="1:9" x14ac:dyDescent="0.25">
      <c r="A304"/>
      <c r="B304"/>
      <c r="C304"/>
      <c r="D304"/>
      <c r="E304"/>
      <c r="F304"/>
      <c r="G304"/>
      <c r="H304"/>
      <c r="I304"/>
    </row>
    <row r="305" spans="1:9" x14ac:dyDescent="0.25">
      <c r="A305"/>
      <c r="B305"/>
      <c r="C305"/>
      <c r="D305"/>
      <c r="E305"/>
      <c r="F305"/>
      <c r="G305"/>
      <c r="H305"/>
      <c r="I305"/>
    </row>
    <row r="306" spans="1:9" x14ac:dyDescent="0.25">
      <c r="A306"/>
      <c r="B306"/>
      <c r="C306"/>
      <c r="D306"/>
      <c r="E306"/>
      <c r="F306"/>
      <c r="G306"/>
      <c r="H306"/>
      <c r="I306"/>
    </row>
    <row r="307" spans="1:9" x14ac:dyDescent="0.25">
      <c r="A307"/>
      <c r="B307"/>
      <c r="C307"/>
      <c r="D307"/>
      <c r="E307"/>
      <c r="F307"/>
      <c r="G307"/>
      <c r="H307"/>
      <c r="I307"/>
    </row>
    <row r="308" spans="1:9" x14ac:dyDescent="0.25">
      <c r="A308"/>
      <c r="B308"/>
      <c r="C308"/>
      <c r="D308"/>
      <c r="E308"/>
      <c r="F308"/>
      <c r="G308"/>
      <c r="H308"/>
      <c r="I308"/>
    </row>
    <row r="309" spans="1:9" x14ac:dyDescent="0.25">
      <c r="A309"/>
      <c r="B309"/>
      <c r="C309"/>
      <c r="D309"/>
      <c r="E309"/>
      <c r="F309"/>
      <c r="G309"/>
      <c r="H309"/>
      <c r="I309"/>
    </row>
    <row r="310" spans="1:9" x14ac:dyDescent="0.25">
      <c r="A310"/>
      <c r="B310"/>
      <c r="C310"/>
      <c r="D310"/>
      <c r="E310"/>
      <c r="F310"/>
      <c r="G310"/>
      <c r="H310"/>
      <c r="I310"/>
    </row>
    <row r="311" spans="1:9" x14ac:dyDescent="0.25">
      <c r="A311"/>
      <c r="B311"/>
      <c r="C311"/>
      <c r="D311"/>
      <c r="E311"/>
      <c r="F311"/>
      <c r="G311"/>
      <c r="H311"/>
      <c r="I311"/>
    </row>
    <row r="312" spans="1:9" x14ac:dyDescent="0.25">
      <c r="A312"/>
      <c r="B312"/>
      <c r="C312"/>
      <c r="D312"/>
      <c r="E312"/>
      <c r="F312"/>
      <c r="G312"/>
      <c r="H312"/>
      <c r="I312"/>
    </row>
    <row r="313" spans="1:9" x14ac:dyDescent="0.25">
      <c r="A313"/>
      <c r="B313"/>
      <c r="C313"/>
      <c r="D313"/>
      <c r="E313"/>
      <c r="F313"/>
      <c r="G313"/>
      <c r="H313"/>
      <c r="I313"/>
    </row>
    <row r="314" spans="1:9" x14ac:dyDescent="0.25">
      <c r="A314"/>
      <c r="B314"/>
      <c r="C314"/>
      <c r="D314"/>
      <c r="E314"/>
      <c r="F314"/>
      <c r="G314"/>
      <c r="H314"/>
      <c r="I314"/>
    </row>
    <row r="315" spans="1:9" x14ac:dyDescent="0.25">
      <c r="A315"/>
      <c r="B315"/>
      <c r="C315"/>
      <c r="D315"/>
      <c r="E315"/>
      <c r="F315"/>
      <c r="G315"/>
      <c r="H315"/>
      <c r="I315"/>
    </row>
    <row r="316" spans="1:9" x14ac:dyDescent="0.25">
      <c r="A316"/>
      <c r="B316"/>
      <c r="C316"/>
      <c r="D316"/>
      <c r="E316"/>
      <c r="F316"/>
      <c r="G316"/>
      <c r="H316"/>
      <c r="I316"/>
    </row>
    <row r="317" spans="1:9" x14ac:dyDescent="0.25">
      <c r="A317"/>
      <c r="B317"/>
      <c r="C317"/>
      <c r="D317"/>
      <c r="E317"/>
      <c r="F317"/>
      <c r="G317"/>
      <c r="H317"/>
      <c r="I317"/>
    </row>
    <row r="318" spans="1:9" x14ac:dyDescent="0.25">
      <c r="A318"/>
      <c r="B318"/>
      <c r="C318"/>
      <c r="D318"/>
      <c r="E318"/>
      <c r="F318"/>
      <c r="G318"/>
      <c r="H318"/>
      <c r="I318"/>
    </row>
    <row r="319" spans="1:9" x14ac:dyDescent="0.25">
      <c r="A319"/>
      <c r="B319"/>
      <c r="C319"/>
      <c r="D319"/>
      <c r="E319"/>
      <c r="F319"/>
      <c r="G319"/>
      <c r="H319"/>
      <c r="I319"/>
    </row>
    <row r="320" spans="1:9" x14ac:dyDescent="0.25">
      <c r="A320"/>
      <c r="B320"/>
      <c r="C320"/>
      <c r="D320"/>
      <c r="E320"/>
      <c r="F320"/>
      <c r="G320"/>
      <c r="H320"/>
      <c r="I320"/>
    </row>
    <row r="321" spans="1:9" x14ac:dyDescent="0.25">
      <c r="A321"/>
      <c r="B321"/>
      <c r="C321"/>
      <c r="D321"/>
      <c r="E321"/>
      <c r="F321"/>
      <c r="G321"/>
      <c r="H321"/>
      <c r="I321"/>
    </row>
    <row r="322" spans="1:9" x14ac:dyDescent="0.25">
      <c r="A322"/>
      <c r="B322"/>
      <c r="C322"/>
      <c r="D322"/>
      <c r="E322"/>
      <c r="F322"/>
      <c r="G322"/>
      <c r="H322"/>
      <c r="I322"/>
    </row>
    <row r="323" spans="1:9" x14ac:dyDescent="0.25">
      <c r="A323"/>
      <c r="B323"/>
      <c r="C323"/>
      <c r="D323"/>
      <c r="E323"/>
      <c r="F323"/>
      <c r="G323"/>
      <c r="H323"/>
      <c r="I323"/>
    </row>
    <row r="324" spans="1:9" x14ac:dyDescent="0.25">
      <c r="A324"/>
      <c r="B324"/>
      <c r="C324"/>
      <c r="D324"/>
      <c r="E324"/>
      <c r="F324"/>
      <c r="G324"/>
      <c r="H324"/>
      <c r="I324"/>
    </row>
    <row r="325" spans="1:9" x14ac:dyDescent="0.25">
      <c r="A325"/>
      <c r="B325"/>
      <c r="C325"/>
      <c r="D325"/>
      <c r="E325"/>
      <c r="F325"/>
      <c r="G325"/>
      <c r="H325"/>
      <c r="I325"/>
    </row>
    <row r="326" spans="1:9" x14ac:dyDescent="0.25">
      <c r="A326"/>
      <c r="B326"/>
      <c r="C326"/>
      <c r="D326"/>
      <c r="E326"/>
      <c r="F326"/>
      <c r="G326"/>
      <c r="H326"/>
      <c r="I326"/>
    </row>
    <row r="327" spans="1:9" x14ac:dyDescent="0.25">
      <c r="A327"/>
      <c r="B327"/>
      <c r="C327"/>
      <c r="D327"/>
      <c r="E327"/>
      <c r="F327"/>
      <c r="G327"/>
      <c r="H327"/>
      <c r="I327"/>
    </row>
    <row r="328" spans="1:9" x14ac:dyDescent="0.25">
      <c r="A328"/>
      <c r="B328"/>
      <c r="C328"/>
      <c r="D328"/>
      <c r="E328"/>
      <c r="F328"/>
      <c r="G328"/>
      <c r="H328"/>
      <c r="I328"/>
    </row>
    <row r="329" spans="1:9" x14ac:dyDescent="0.25">
      <c r="A329"/>
      <c r="B329"/>
      <c r="C329"/>
      <c r="D329"/>
      <c r="E329"/>
      <c r="F329"/>
      <c r="G329"/>
      <c r="H329"/>
      <c r="I329"/>
    </row>
    <row r="330" spans="1:9" x14ac:dyDescent="0.25">
      <c r="A330"/>
      <c r="B330"/>
      <c r="C330"/>
      <c r="D330"/>
      <c r="E330"/>
      <c r="F330"/>
      <c r="G330"/>
      <c r="H330"/>
      <c r="I330"/>
    </row>
    <row r="331" spans="1:9" x14ac:dyDescent="0.25">
      <c r="A331"/>
      <c r="B331"/>
      <c r="C331"/>
      <c r="D331"/>
      <c r="E331"/>
      <c r="F331"/>
      <c r="G331"/>
      <c r="H331"/>
      <c r="I331"/>
    </row>
    <row r="332" spans="1:9" x14ac:dyDescent="0.25">
      <c r="A332"/>
      <c r="B332"/>
      <c r="C332"/>
      <c r="D332"/>
      <c r="E332"/>
      <c r="F332"/>
      <c r="G332"/>
      <c r="H332"/>
      <c r="I332"/>
    </row>
    <row r="333" spans="1:9" x14ac:dyDescent="0.25">
      <c r="A333"/>
      <c r="B333"/>
      <c r="C333"/>
      <c r="D333"/>
      <c r="E333"/>
      <c r="F333"/>
      <c r="G333"/>
      <c r="H333"/>
      <c r="I333"/>
    </row>
    <row r="334" spans="1:9" x14ac:dyDescent="0.25">
      <c r="A334"/>
      <c r="B334"/>
      <c r="C334"/>
      <c r="D334"/>
      <c r="E334"/>
      <c r="F334"/>
      <c r="G334"/>
      <c r="H334"/>
      <c r="I334"/>
    </row>
    <row r="335" spans="1:9" x14ac:dyDescent="0.25">
      <c r="A335"/>
      <c r="B335"/>
      <c r="C335"/>
      <c r="D335"/>
      <c r="E335"/>
      <c r="F335"/>
      <c r="G335"/>
      <c r="H335"/>
      <c r="I335"/>
    </row>
    <row r="336" spans="1:9" x14ac:dyDescent="0.25">
      <c r="A336"/>
      <c r="B336"/>
      <c r="C336"/>
      <c r="D336"/>
      <c r="E336"/>
      <c r="F336"/>
      <c r="G336"/>
      <c r="H336"/>
      <c r="I336"/>
    </row>
    <row r="337" spans="1:9" x14ac:dyDescent="0.25">
      <c r="A337"/>
      <c r="B337"/>
      <c r="C337"/>
      <c r="D337"/>
      <c r="E337"/>
      <c r="F337"/>
      <c r="G337"/>
      <c r="H337"/>
      <c r="I337"/>
    </row>
    <row r="338" spans="1:9" x14ac:dyDescent="0.25">
      <c r="A338"/>
      <c r="B338"/>
      <c r="C338"/>
      <c r="D338"/>
      <c r="E338"/>
      <c r="F338"/>
      <c r="G338"/>
      <c r="H338"/>
      <c r="I338"/>
    </row>
    <row r="339" spans="1:9" x14ac:dyDescent="0.25">
      <c r="A339"/>
      <c r="B339"/>
      <c r="C339"/>
      <c r="D339"/>
      <c r="E339"/>
      <c r="F339"/>
      <c r="G339"/>
      <c r="H339"/>
      <c r="I339"/>
    </row>
    <row r="340" spans="1:9" x14ac:dyDescent="0.25">
      <c r="A340"/>
      <c r="B340"/>
      <c r="C340"/>
      <c r="D340"/>
      <c r="E340"/>
      <c r="F340"/>
      <c r="G340"/>
      <c r="H340"/>
      <c r="I340"/>
    </row>
    <row r="341" spans="1:9" x14ac:dyDescent="0.25">
      <c r="A341"/>
      <c r="B341"/>
      <c r="C341"/>
      <c r="D341"/>
      <c r="E341"/>
      <c r="F341"/>
      <c r="G341"/>
      <c r="H341"/>
      <c r="I341"/>
    </row>
    <row r="342" spans="1:9" x14ac:dyDescent="0.25">
      <c r="A342"/>
      <c r="B342"/>
      <c r="C342"/>
      <c r="D342"/>
      <c r="E342"/>
      <c r="F342"/>
      <c r="G342"/>
      <c r="H342"/>
      <c r="I342"/>
    </row>
    <row r="343" spans="1:9" x14ac:dyDescent="0.25">
      <c r="A343"/>
      <c r="B343"/>
      <c r="C343"/>
      <c r="D343"/>
      <c r="E343"/>
      <c r="F343"/>
      <c r="G343"/>
      <c r="H343"/>
      <c r="I343"/>
    </row>
    <row r="344" spans="1:9" x14ac:dyDescent="0.25">
      <c r="A344"/>
      <c r="B344"/>
      <c r="C344"/>
      <c r="D344"/>
      <c r="E344"/>
      <c r="F344"/>
      <c r="G344"/>
      <c r="H344"/>
      <c r="I344"/>
    </row>
    <row r="345" spans="1:9" x14ac:dyDescent="0.25">
      <c r="A345"/>
      <c r="B345"/>
      <c r="C345"/>
      <c r="D345"/>
      <c r="E345"/>
      <c r="F345"/>
      <c r="G345"/>
      <c r="H345"/>
      <c r="I345"/>
    </row>
    <row r="346" spans="1:9" x14ac:dyDescent="0.25">
      <c r="A346"/>
      <c r="B346"/>
      <c r="C346"/>
      <c r="D346"/>
      <c r="E346"/>
      <c r="F346"/>
      <c r="G346"/>
      <c r="H346"/>
      <c r="I346"/>
    </row>
    <row r="347" spans="1:9" x14ac:dyDescent="0.25">
      <c r="A347"/>
      <c r="B347"/>
      <c r="C347"/>
      <c r="D347"/>
      <c r="E347"/>
      <c r="F347"/>
      <c r="G347"/>
      <c r="H347"/>
      <c r="I347"/>
    </row>
    <row r="348" spans="1:9" x14ac:dyDescent="0.25">
      <c r="A348"/>
      <c r="B348"/>
      <c r="C348"/>
      <c r="D348"/>
      <c r="E348"/>
      <c r="F348"/>
      <c r="G348"/>
      <c r="H348"/>
      <c r="I348"/>
    </row>
    <row r="349" spans="1:9" x14ac:dyDescent="0.25">
      <c r="A349"/>
      <c r="B349"/>
      <c r="C349"/>
      <c r="D349"/>
      <c r="E349"/>
      <c r="F349"/>
      <c r="G349"/>
      <c r="H349"/>
      <c r="I349"/>
    </row>
    <row r="350" spans="1:9" x14ac:dyDescent="0.25">
      <c r="A350"/>
      <c r="B350"/>
      <c r="C350"/>
      <c r="D350"/>
      <c r="E350"/>
      <c r="F350"/>
      <c r="G350"/>
      <c r="H350"/>
      <c r="I350"/>
    </row>
    <row r="351" spans="1:9" x14ac:dyDescent="0.25">
      <c r="A351"/>
      <c r="B351"/>
      <c r="C351"/>
      <c r="D351"/>
      <c r="E351"/>
      <c r="F351"/>
      <c r="G351"/>
      <c r="H351"/>
      <c r="I351"/>
    </row>
    <row r="352" spans="1:9" x14ac:dyDescent="0.25">
      <c r="A352"/>
      <c r="B352"/>
      <c r="C352"/>
      <c r="D352"/>
      <c r="E352"/>
      <c r="F352"/>
      <c r="G352"/>
      <c r="H352"/>
      <c r="I352"/>
    </row>
    <row r="353" spans="1:9" x14ac:dyDescent="0.25">
      <c r="A353"/>
      <c r="B353"/>
      <c r="C353"/>
      <c r="D353"/>
      <c r="E353"/>
      <c r="F353"/>
      <c r="G353"/>
      <c r="H353"/>
      <c r="I353"/>
    </row>
    <row r="354" spans="1:9" x14ac:dyDescent="0.25">
      <c r="A354"/>
      <c r="B354"/>
      <c r="C354"/>
      <c r="D354"/>
      <c r="E354"/>
      <c r="F354"/>
      <c r="G354"/>
      <c r="H354"/>
      <c r="I354"/>
    </row>
    <row r="355" spans="1:9" x14ac:dyDescent="0.25">
      <c r="A355"/>
      <c r="B355"/>
      <c r="C355"/>
      <c r="D355"/>
      <c r="E355"/>
      <c r="F355"/>
      <c r="G355"/>
      <c r="H355"/>
      <c r="I355"/>
    </row>
    <row r="356" spans="1:9" x14ac:dyDescent="0.25">
      <c r="A356"/>
      <c r="B356"/>
      <c r="C356"/>
      <c r="D356"/>
      <c r="E356"/>
      <c r="F356"/>
      <c r="G356"/>
      <c r="H356"/>
      <c r="I356"/>
    </row>
    <row r="357" spans="1:9" x14ac:dyDescent="0.25">
      <c r="A357"/>
      <c r="B357"/>
      <c r="C357"/>
      <c r="D357"/>
      <c r="E357"/>
      <c r="F357"/>
      <c r="G357"/>
      <c r="H357"/>
      <c r="I357"/>
    </row>
    <row r="358" spans="1:9" x14ac:dyDescent="0.25">
      <c r="A358"/>
      <c r="B358"/>
      <c r="C358"/>
      <c r="D358"/>
      <c r="E358"/>
      <c r="F358"/>
      <c r="G358"/>
      <c r="H358"/>
      <c r="I358"/>
    </row>
    <row r="359" spans="1:9" x14ac:dyDescent="0.25">
      <c r="A359"/>
      <c r="B359"/>
      <c r="C359"/>
      <c r="D359"/>
      <c r="E359"/>
      <c r="F359"/>
      <c r="G359"/>
      <c r="H359"/>
      <c r="I359"/>
    </row>
    <row r="360" spans="1:9" x14ac:dyDescent="0.25">
      <c r="A360"/>
      <c r="B360"/>
      <c r="C360"/>
      <c r="D360"/>
      <c r="E360"/>
      <c r="F360"/>
      <c r="G360"/>
      <c r="H360"/>
      <c r="I360"/>
    </row>
    <row r="361" spans="1:9" x14ac:dyDescent="0.25">
      <c r="A361"/>
      <c r="B361"/>
      <c r="C361"/>
      <c r="D361"/>
      <c r="E361"/>
      <c r="F361"/>
      <c r="G361"/>
      <c r="H361"/>
      <c r="I361"/>
    </row>
    <row r="362" spans="1:9" x14ac:dyDescent="0.25">
      <c r="A362"/>
      <c r="B362"/>
      <c r="C362"/>
      <c r="D362"/>
      <c r="E362"/>
      <c r="F362"/>
      <c r="G362"/>
      <c r="H362"/>
      <c r="I362"/>
    </row>
    <row r="363" spans="1:9" x14ac:dyDescent="0.25">
      <c r="A363"/>
      <c r="B363"/>
      <c r="C363"/>
      <c r="D363"/>
      <c r="E363"/>
      <c r="F363"/>
      <c r="G363"/>
      <c r="H363"/>
      <c r="I363"/>
    </row>
    <row r="364" spans="1:9" x14ac:dyDescent="0.25">
      <c r="A364"/>
      <c r="B364"/>
      <c r="C364"/>
      <c r="D364"/>
      <c r="E364"/>
      <c r="F364"/>
      <c r="G364"/>
      <c r="H364"/>
      <c r="I364"/>
    </row>
    <row r="365" spans="1:9" x14ac:dyDescent="0.25">
      <c r="A365"/>
      <c r="B365"/>
      <c r="C365"/>
      <c r="D365"/>
      <c r="E365"/>
      <c r="F365"/>
      <c r="G365"/>
      <c r="H365"/>
      <c r="I365"/>
    </row>
    <row r="366" spans="1:9" x14ac:dyDescent="0.25">
      <c r="A366"/>
      <c r="B366"/>
      <c r="C366"/>
      <c r="D366"/>
      <c r="E366"/>
      <c r="F366"/>
      <c r="G366"/>
      <c r="H366"/>
      <c r="I366"/>
    </row>
    <row r="367" spans="1:9" x14ac:dyDescent="0.25">
      <c r="A367"/>
      <c r="B367"/>
      <c r="C367"/>
      <c r="D367"/>
      <c r="E367"/>
      <c r="F367"/>
      <c r="G367"/>
      <c r="H367"/>
      <c r="I367"/>
    </row>
    <row r="368" spans="1:9" x14ac:dyDescent="0.25">
      <c r="A368"/>
      <c r="B368"/>
      <c r="C368"/>
      <c r="D368"/>
      <c r="E368"/>
      <c r="F368"/>
      <c r="G368"/>
      <c r="H368"/>
      <c r="I368"/>
    </row>
    <row r="369" spans="1:9" x14ac:dyDescent="0.25">
      <c r="A369"/>
      <c r="B369"/>
      <c r="C369"/>
      <c r="D369"/>
      <c r="E369"/>
      <c r="F369"/>
      <c r="G369"/>
      <c r="H369"/>
      <c r="I369"/>
    </row>
    <row r="370" spans="1:9" x14ac:dyDescent="0.25">
      <c r="A370"/>
      <c r="B370"/>
      <c r="C370"/>
      <c r="D370"/>
      <c r="E370"/>
      <c r="F370"/>
      <c r="G370"/>
      <c r="H370"/>
      <c r="I370"/>
    </row>
    <row r="371" spans="1:9" x14ac:dyDescent="0.25">
      <c r="A371"/>
      <c r="B371"/>
      <c r="C371"/>
      <c r="D371"/>
      <c r="E371"/>
      <c r="F371"/>
      <c r="G371"/>
      <c r="H371"/>
      <c r="I371"/>
    </row>
    <row r="372" spans="1:9" x14ac:dyDescent="0.25">
      <c r="A372"/>
      <c r="B372"/>
      <c r="C372"/>
      <c r="D372"/>
      <c r="E372"/>
      <c r="F372"/>
      <c r="G372"/>
      <c r="H372"/>
      <c r="I372"/>
    </row>
    <row r="373" spans="1:9" x14ac:dyDescent="0.25">
      <c r="A373"/>
      <c r="B373"/>
      <c r="C373"/>
      <c r="D373"/>
      <c r="E373"/>
      <c r="F373"/>
      <c r="G373"/>
      <c r="H373"/>
      <c r="I373"/>
    </row>
    <row r="374" spans="1:9" x14ac:dyDescent="0.25">
      <c r="A374"/>
      <c r="B374"/>
      <c r="C374"/>
      <c r="D374"/>
      <c r="E374"/>
      <c r="F374"/>
      <c r="G374"/>
      <c r="H374"/>
      <c r="I374"/>
    </row>
    <row r="375" spans="1:9" x14ac:dyDescent="0.25">
      <c r="A375"/>
      <c r="B375"/>
      <c r="C375"/>
      <c r="D375"/>
      <c r="E375"/>
      <c r="F375"/>
      <c r="G375"/>
      <c r="H375"/>
      <c r="I375"/>
    </row>
    <row r="376" spans="1:9" x14ac:dyDescent="0.25">
      <c r="A376"/>
      <c r="B376"/>
      <c r="C376"/>
      <c r="D376"/>
      <c r="E376"/>
      <c r="F376"/>
      <c r="G376"/>
      <c r="H376"/>
      <c r="I376"/>
    </row>
    <row r="377" spans="1:9" x14ac:dyDescent="0.25">
      <c r="A377"/>
      <c r="B377"/>
      <c r="C377"/>
      <c r="D377"/>
      <c r="E377"/>
      <c r="F377"/>
      <c r="G377"/>
      <c r="H377"/>
      <c r="I377"/>
    </row>
    <row r="378" spans="1:9" x14ac:dyDescent="0.25">
      <c r="A378"/>
      <c r="B378"/>
      <c r="C378"/>
      <c r="D378"/>
      <c r="E378"/>
      <c r="F378"/>
      <c r="G378"/>
      <c r="H378"/>
      <c r="I378"/>
    </row>
    <row r="379" spans="1:9" x14ac:dyDescent="0.25">
      <c r="A379"/>
      <c r="B379"/>
      <c r="C379"/>
      <c r="D379"/>
      <c r="E379"/>
      <c r="F379"/>
      <c r="G379"/>
      <c r="H379"/>
      <c r="I379"/>
    </row>
    <row r="380" spans="1:9" x14ac:dyDescent="0.25">
      <c r="A380"/>
      <c r="B380"/>
      <c r="C380"/>
      <c r="D380"/>
      <c r="E380"/>
      <c r="F380"/>
      <c r="G380"/>
      <c r="H380"/>
      <c r="I380"/>
    </row>
    <row r="381" spans="1:9" x14ac:dyDescent="0.25">
      <c r="A381"/>
      <c r="B381"/>
      <c r="C381"/>
      <c r="D381"/>
      <c r="E381"/>
      <c r="F381"/>
      <c r="G381"/>
      <c r="H381"/>
      <c r="I381"/>
    </row>
    <row r="382" spans="1:9" x14ac:dyDescent="0.25">
      <c r="A382"/>
      <c r="B382"/>
      <c r="C382"/>
      <c r="D382"/>
      <c r="E382"/>
      <c r="F382"/>
      <c r="G382"/>
      <c r="H382"/>
      <c r="I382"/>
    </row>
    <row r="383" spans="1:9" x14ac:dyDescent="0.25">
      <c r="A383"/>
      <c r="B383"/>
      <c r="C383"/>
      <c r="D383"/>
      <c r="E383"/>
      <c r="F383"/>
      <c r="G383"/>
      <c r="H383"/>
      <c r="I383"/>
    </row>
    <row r="384" spans="1:9" x14ac:dyDescent="0.25">
      <c r="A384"/>
      <c r="B384"/>
      <c r="C384"/>
      <c r="D384"/>
      <c r="E384"/>
      <c r="F384"/>
      <c r="G384"/>
      <c r="H384"/>
      <c r="I384"/>
    </row>
    <row r="385" spans="1:9" x14ac:dyDescent="0.25">
      <c r="A385"/>
      <c r="B385"/>
      <c r="C385"/>
      <c r="D385"/>
      <c r="E385"/>
      <c r="F385"/>
      <c r="G385"/>
      <c r="H385"/>
      <c r="I385"/>
    </row>
    <row r="386" spans="1:9" x14ac:dyDescent="0.25">
      <c r="A386"/>
      <c r="B386"/>
      <c r="C386"/>
      <c r="D386"/>
      <c r="E386"/>
      <c r="F386"/>
      <c r="G386"/>
      <c r="H386"/>
      <c r="I386"/>
    </row>
    <row r="387" spans="1:9" x14ac:dyDescent="0.25">
      <c r="A387"/>
      <c r="B387"/>
      <c r="C387"/>
      <c r="D387"/>
      <c r="E387"/>
      <c r="F387"/>
      <c r="G387"/>
      <c r="H387"/>
      <c r="I387"/>
    </row>
    <row r="388" spans="1:9" x14ac:dyDescent="0.25">
      <c r="A388"/>
      <c r="B388"/>
      <c r="C388"/>
      <c r="D388"/>
      <c r="E388"/>
      <c r="F388"/>
      <c r="G388"/>
      <c r="H388"/>
      <c r="I388"/>
    </row>
    <row r="389" spans="1:9" x14ac:dyDescent="0.25">
      <c r="A389"/>
      <c r="B389"/>
      <c r="C389"/>
      <c r="D389"/>
      <c r="E389"/>
      <c r="F389"/>
      <c r="G389"/>
      <c r="H389"/>
      <c r="I389"/>
    </row>
    <row r="390" spans="1:9" x14ac:dyDescent="0.25">
      <c r="A390"/>
      <c r="B390"/>
      <c r="C390"/>
      <c r="D390"/>
      <c r="E390"/>
      <c r="F390"/>
      <c r="G390"/>
      <c r="H390"/>
      <c r="I390"/>
    </row>
    <row r="391" spans="1:9" x14ac:dyDescent="0.25">
      <c r="A391"/>
      <c r="B391"/>
      <c r="C391"/>
      <c r="D391"/>
      <c r="E391"/>
      <c r="F391"/>
      <c r="G391"/>
      <c r="H391"/>
      <c r="I391"/>
    </row>
    <row r="392" spans="1:9" x14ac:dyDescent="0.25">
      <c r="A392"/>
      <c r="B392"/>
      <c r="C392"/>
      <c r="D392"/>
      <c r="E392"/>
      <c r="F392"/>
      <c r="G392"/>
      <c r="H392"/>
      <c r="I392"/>
    </row>
    <row r="393" spans="1:9" x14ac:dyDescent="0.25">
      <c r="A393"/>
      <c r="B393"/>
      <c r="C393"/>
      <c r="D393"/>
      <c r="E393"/>
      <c r="F393"/>
      <c r="G393"/>
      <c r="H393"/>
      <c r="I393"/>
    </row>
    <row r="394" spans="1:9" x14ac:dyDescent="0.25">
      <c r="A394"/>
      <c r="B394"/>
      <c r="C394"/>
      <c r="D394"/>
      <c r="E394"/>
      <c r="F394"/>
      <c r="G394"/>
      <c r="H394"/>
      <c r="I394"/>
    </row>
    <row r="395" spans="1:9" x14ac:dyDescent="0.25">
      <c r="A395"/>
      <c r="B395"/>
      <c r="C395"/>
      <c r="D395"/>
      <c r="E395"/>
      <c r="F395"/>
      <c r="G395"/>
      <c r="H395"/>
      <c r="I395"/>
    </row>
    <row r="396" spans="1:9" x14ac:dyDescent="0.25">
      <c r="A396"/>
      <c r="B396"/>
      <c r="C396"/>
      <c r="D396"/>
      <c r="E396"/>
      <c r="F396"/>
      <c r="G396"/>
      <c r="H396"/>
      <c r="I396"/>
    </row>
    <row r="397" spans="1:9" x14ac:dyDescent="0.25">
      <c r="A397"/>
      <c r="B397"/>
      <c r="C397"/>
      <c r="D397"/>
      <c r="E397"/>
      <c r="F397"/>
      <c r="G397"/>
      <c r="H397"/>
      <c r="I397"/>
    </row>
    <row r="398" spans="1:9" x14ac:dyDescent="0.25">
      <c r="A398"/>
      <c r="B398"/>
      <c r="C398"/>
      <c r="D398"/>
      <c r="E398"/>
      <c r="F398"/>
      <c r="G398"/>
      <c r="H398"/>
      <c r="I398"/>
    </row>
    <row r="399" spans="1:9" x14ac:dyDescent="0.25">
      <c r="A399"/>
      <c r="B399"/>
      <c r="C399"/>
      <c r="D399"/>
      <c r="E399"/>
      <c r="F399"/>
      <c r="G399"/>
      <c r="H399"/>
      <c r="I399"/>
    </row>
    <row r="400" spans="1:9" x14ac:dyDescent="0.25">
      <c r="A400"/>
      <c r="B400"/>
      <c r="C400"/>
      <c r="D400"/>
      <c r="E400"/>
      <c r="F400"/>
      <c r="G400"/>
      <c r="H400"/>
      <c r="I400"/>
    </row>
    <row r="401" spans="1:9" x14ac:dyDescent="0.25">
      <c r="A401"/>
      <c r="B401"/>
      <c r="C401"/>
      <c r="D401"/>
      <c r="E401"/>
      <c r="F401"/>
      <c r="G401"/>
      <c r="H401"/>
      <c r="I401"/>
    </row>
    <row r="402" spans="1:9" x14ac:dyDescent="0.25">
      <c r="A402"/>
      <c r="B402"/>
      <c r="C402"/>
      <c r="D402"/>
      <c r="E402"/>
      <c r="F402"/>
      <c r="G402"/>
      <c r="H402"/>
      <c r="I402"/>
    </row>
    <row r="403" spans="1:9" x14ac:dyDescent="0.25">
      <c r="A403"/>
      <c r="B403"/>
      <c r="C403"/>
      <c r="D403"/>
      <c r="E403"/>
      <c r="F403"/>
      <c r="G403"/>
      <c r="H403"/>
      <c r="I403"/>
    </row>
    <row r="404" spans="1:9" x14ac:dyDescent="0.25">
      <c r="A404"/>
      <c r="B404"/>
      <c r="C404"/>
      <c r="D404"/>
      <c r="E404"/>
      <c r="F404"/>
      <c r="G404"/>
      <c r="H404"/>
      <c r="I404"/>
    </row>
    <row r="405" spans="1:9" x14ac:dyDescent="0.25">
      <c r="A405"/>
      <c r="B405"/>
      <c r="C405"/>
      <c r="D405"/>
      <c r="E405"/>
      <c r="F405"/>
      <c r="G405"/>
      <c r="H405"/>
      <c r="I405"/>
    </row>
    <row r="406" spans="1:9" x14ac:dyDescent="0.25">
      <c r="A406"/>
      <c r="B406"/>
      <c r="C406"/>
      <c r="D406"/>
      <c r="E406"/>
      <c r="F406"/>
      <c r="G406"/>
      <c r="H406"/>
      <c r="I406"/>
    </row>
    <row r="407" spans="1:9" x14ac:dyDescent="0.25">
      <c r="A407"/>
      <c r="B407"/>
      <c r="C407"/>
      <c r="D407"/>
      <c r="E407"/>
      <c r="F407"/>
      <c r="G407"/>
      <c r="H407"/>
      <c r="I407"/>
    </row>
    <row r="408" spans="1:9" x14ac:dyDescent="0.25">
      <c r="A408"/>
      <c r="B408"/>
      <c r="C408"/>
      <c r="D408"/>
      <c r="E408"/>
      <c r="F408"/>
      <c r="G408"/>
      <c r="H408"/>
      <c r="I408"/>
    </row>
    <row r="409" spans="1:9" x14ac:dyDescent="0.25">
      <c r="A409"/>
      <c r="B409"/>
      <c r="C409"/>
      <c r="D409"/>
      <c r="E409"/>
      <c r="F409"/>
      <c r="G409"/>
      <c r="H409"/>
      <c r="I409"/>
    </row>
    <row r="410" spans="1:9" x14ac:dyDescent="0.25">
      <c r="A410"/>
      <c r="B410"/>
      <c r="C410"/>
      <c r="D410"/>
      <c r="E410"/>
      <c r="F410"/>
      <c r="G410"/>
      <c r="H410"/>
      <c r="I410"/>
    </row>
    <row r="411" spans="1:9" x14ac:dyDescent="0.25">
      <c r="A411"/>
      <c r="B411"/>
      <c r="C411"/>
      <c r="D411"/>
      <c r="E411"/>
      <c r="F411"/>
      <c r="G411"/>
      <c r="H411"/>
      <c r="I411"/>
    </row>
    <row r="412" spans="1:9" x14ac:dyDescent="0.25">
      <c r="A412"/>
      <c r="B412"/>
      <c r="C412"/>
      <c r="D412"/>
      <c r="E412"/>
      <c r="F412"/>
      <c r="G412"/>
      <c r="H412"/>
      <c r="I412"/>
    </row>
    <row r="413" spans="1:9" x14ac:dyDescent="0.25">
      <c r="A413"/>
      <c r="B413"/>
      <c r="C413"/>
      <c r="D413"/>
      <c r="E413"/>
      <c r="F413"/>
      <c r="G413"/>
      <c r="H413"/>
      <c r="I413"/>
    </row>
    <row r="414" spans="1:9" x14ac:dyDescent="0.25">
      <c r="A414"/>
      <c r="B414"/>
      <c r="C414"/>
      <c r="D414"/>
      <c r="E414"/>
      <c r="F414"/>
      <c r="G414"/>
      <c r="H414"/>
      <c r="I414"/>
    </row>
    <row r="415" spans="1:9" x14ac:dyDescent="0.25">
      <c r="A415"/>
      <c r="B415"/>
      <c r="C415"/>
      <c r="D415"/>
      <c r="E415"/>
      <c r="F415"/>
      <c r="G415"/>
      <c r="H415"/>
      <c r="I415"/>
    </row>
    <row r="416" spans="1:9" x14ac:dyDescent="0.25">
      <c r="A416"/>
      <c r="B416"/>
      <c r="C416"/>
      <c r="D416"/>
      <c r="E416"/>
      <c r="F416"/>
      <c r="G416"/>
      <c r="H416"/>
      <c r="I416"/>
    </row>
    <row r="417" spans="1:9" x14ac:dyDescent="0.25">
      <c r="A417"/>
      <c r="B417"/>
      <c r="C417"/>
      <c r="D417"/>
      <c r="E417"/>
      <c r="F417"/>
      <c r="G417"/>
      <c r="H417"/>
      <c r="I417"/>
    </row>
    <row r="418" spans="1:9" x14ac:dyDescent="0.25">
      <c r="A418"/>
      <c r="B418"/>
      <c r="C418"/>
      <c r="D418"/>
      <c r="E418"/>
      <c r="F418"/>
      <c r="G418"/>
      <c r="H418"/>
      <c r="I418"/>
    </row>
    <row r="419" spans="1:9" x14ac:dyDescent="0.25">
      <c r="A419"/>
      <c r="B419"/>
      <c r="C419"/>
      <c r="D419"/>
      <c r="E419"/>
      <c r="F419"/>
      <c r="G419"/>
      <c r="H419"/>
      <c r="I419"/>
    </row>
    <row r="420" spans="1:9" x14ac:dyDescent="0.25">
      <c r="A420"/>
      <c r="B420"/>
      <c r="C420"/>
      <c r="D420"/>
      <c r="E420"/>
      <c r="F420"/>
      <c r="G420"/>
      <c r="H420"/>
      <c r="I420"/>
    </row>
    <row r="421" spans="1:9" x14ac:dyDescent="0.25">
      <c r="A421"/>
      <c r="B421"/>
      <c r="C421"/>
      <c r="D421"/>
      <c r="E421"/>
      <c r="F421"/>
      <c r="G421"/>
      <c r="H421"/>
      <c r="I421"/>
    </row>
    <row r="422" spans="1:9" x14ac:dyDescent="0.25">
      <c r="A422"/>
      <c r="B422"/>
      <c r="C422"/>
      <c r="D422"/>
      <c r="E422"/>
      <c r="F422"/>
      <c r="G422"/>
      <c r="H422"/>
      <c r="I422"/>
    </row>
    <row r="423" spans="1:9" x14ac:dyDescent="0.25">
      <c r="A423"/>
      <c r="B423"/>
      <c r="C423"/>
      <c r="D423"/>
      <c r="E423"/>
      <c r="F423"/>
      <c r="G423"/>
      <c r="H423"/>
      <c r="I423"/>
    </row>
    <row r="424" spans="1:9" x14ac:dyDescent="0.25">
      <c r="A424"/>
      <c r="B424"/>
      <c r="C424"/>
      <c r="D424"/>
      <c r="E424"/>
      <c r="F424"/>
      <c r="G424"/>
      <c r="H424"/>
      <c r="I424"/>
    </row>
    <row r="425" spans="1:9" x14ac:dyDescent="0.25">
      <c r="A425"/>
      <c r="B425"/>
      <c r="C425"/>
      <c r="D425"/>
      <c r="E425"/>
      <c r="F425"/>
      <c r="G425"/>
      <c r="H425"/>
      <c r="I425"/>
    </row>
    <row r="426" spans="1:9" x14ac:dyDescent="0.25">
      <c r="A426"/>
      <c r="B426"/>
      <c r="C426"/>
      <c r="D426"/>
      <c r="E426"/>
      <c r="F426"/>
      <c r="G426"/>
      <c r="H426"/>
      <c r="I426"/>
    </row>
    <row r="427" spans="1:9" x14ac:dyDescent="0.25">
      <c r="A427"/>
      <c r="B427"/>
      <c r="C427"/>
      <c r="D427"/>
      <c r="E427"/>
      <c r="F427"/>
      <c r="G427"/>
      <c r="H427"/>
      <c r="I427"/>
    </row>
    <row r="428" spans="1:9" x14ac:dyDescent="0.25">
      <c r="A428"/>
      <c r="B428"/>
      <c r="C428"/>
      <c r="D428"/>
      <c r="E428"/>
      <c r="F428"/>
      <c r="G428"/>
      <c r="H428"/>
      <c r="I428"/>
    </row>
    <row r="429" spans="1:9" x14ac:dyDescent="0.25">
      <c r="A429"/>
      <c r="B429"/>
      <c r="C429"/>
      <c r="D429"/>
      <c r="E429"/>
      <c r="F429"/>
      <c r="G429"/>
      <c r="H429"/>
      <c r="I429"/>
    </row>
    <row r="430" spans="1:9" x14ac:dyDescent="0.25">
      <c r="A430"/>
      <c r="B430"/>
      <c r="C430"/>
      <c r="D430"/>
      <c r="E430"/>
      <c r="F430"/>
      <c r="G430"/>
      <c r="H430"/>
      <c r="I430"/>
    </row>
    <row r="431" spans="1:9" x14ac:dyDescent="0.25">
      <c r="A431"/>
      <c r="B431"/>
      <c r="C431"/>
      <c r="D431"/>
      <c r="E431"/>
      <c r="F431"/>
      <c r="G431"/>
      <c r="H431"/>
      <c r="I431"/>
    </row>
    <row r="432" spans="1:9" x14ac:dyDescent="0.25">
      <c r="A432"/>
      <c r="B432"/>
      <c r="C432"/>
      <c r="D432"/>
      <c r="E432"/>
      <c r="F432"/>
      <c r="G432"/>
      <c r="H432"/>
      <c r="I432"/>
    </row>
    <row r="433" spans="1:9" x14ac:dyDescent="0.25">
      <c r="A433"/>
      <c r="B433"/>
      <c r="C433"/>
      <c r="D433"/>
      <c r="E433"/>
      <c r="F433"/>
      <c r="G433"/>
      <c r="H433"/>
      <c r="I433"/>
    </row>
    <row r="434" spans="1:9" x14ac:dyDescent="0.25">
      <c r="A434"/>
      <c r="B434"/>
      <c r="C434"/>
      <c r="D434"/>
      <c r="E434"/>
      <c r="F434"/>
      <c r="G434"/>
      <c r="H434"/>
      <c r="I434"/>
    </row>
    <row r="435" spans="1:9" x14ac:dyDescent="0.25">
      <c r="A435"/>
      <c r="B435"/>
      <c r="C435"/>
      <c r="D435"/>
      <c r="E435"/>
      <c r="F435"/>
      <c r="G435"/>
      <c r="H435"/>
      <c r="I435"/>
    </row>
    <row r="436" spans="1:9" x14ac:dyDescent="0.25">
      <c r="A436"/>
      <c r="B436"/>
      <c r="C436"/>
      <c r="D436"/>
      <c r="E436"/>
      <c r="F436"/>
      <c r="G436"/>
      <c r="H436"/>
      <c r="I436"/>
    </row>
    <row r="437" spans="1:9" x14ac:dyDescent="0.25">
      <c r="A437"/>
      <c r="B437"/>
      <c r="C437"/>
      <c r="D437"/>
      <c r="E437"/>
      <c r="F437"/>
      <c r="G437"/>
      <c r="H437"/>
      <c r="I437"/>
    </row>
    <row r="438" spans="1:9" x14ac:dyDescent="0.25">
      <c r="A438"/>
      <c r="B438"/>
      <c r="C438"/>
      <c r="D438"/>
      <c r="E438"/>
      <c r="F438"/>
      <c r="G438"/>
      <c r="H438"/>
      <c r="I438"/>
    </row>
    <row r="439" spans="1:9" x14ac:dyDescent="0.25">
      <c r="A439"/>
      <c r="B439"/>
      <c r="C439"/>
      <c r="D439"/>
      <c r="E439"/>
      <c r="F439"/>
      <c r="G439"/>
      <c r="H439"/>
      <c r="I439"/>
    </row>
    <row r="440" spans="1:9" x14ac:dyDescent="0.25">
      <c r="A440"/>
      <c r="B440"/>
      <c r="C440"/>
      <c r="D440"/>
      <c r="E440"/>
      <c r="F440"/>
      <c r="G440"/>
      <c r="H440"/>
      <c r="I440"/>
    </row>
    <row r="441" spans="1:9" x14ac:dyDescent="0.25">
      <c r="A441"/>
      <c r="B441"/>
      <c r="C441"/>
      <c r="D441"/>
      <c r="E441"/>
      <c r="F441"/>
      <c r="G441"/>
      <c r="H441"/>
      <c r="I441"/>
    </row>
    <row r="442" spans="1:9" x14ac:dyDescent="0.25">
      <c r="A442"/>
      <c r="B442"/>
      <c r="C442"/>
      <c r="D442"/>
      <c r="E442"/>
      <c r="F442"/>
      <c r="G442"/>
      <c r="H442"/>
      <c r="I442"/>
    </row>
    <row r="443" spans="1:9" x14ac:dyDescent="0.25">
      <c r="A443"/>
      <c r="B443"/>
      <c r="C443"/>
      <c r="D443"/>
      <c r="E443"/>
      <c r="F443"/>
      <c r="G443"/>
      <c r="H443"/>
      <c r="I443"/>
    </row>
    <row r="444" spans="1:9" x14ac:dyDescent="0.25">
      <c r="A444"/>
      <c r="B444"/>
      <c r="C444"/>
      <c r="D444"/>
      <c r="E444"/>
      <c r="F444"/>
      <c r="G444"/>
      <c r="H444"/>
      <c r="I444"/>
    </row>
    <row r="445" spans="1:9" x14ac:dyDescent="0.25">
      <c r="A445"/>
      <c r="B445"/>
      <c r="C445"/>
      <c r="D445"/>
      <c r="E445"/>
      <c r="F445"/>
      <c r="G445"/>
      <c r="H445"/>
      <c r="I445"/>
    </row>
    <row r="446" spans="1:9" x14ac:dyDescent="0.25">
      <c r="A446"/>
      <c r="B446"/>
      <c r="C446"/>
      <c r="D446"/>
      <c r="E446"/>
      <c r="F446"/>
      <c r="G446"/>
      <c r="H446"/>
      <c r="I446"/>
    </row>
    <row r="447" spans="1:9" x14ac:dyDescent="0.25">
      <c r="A447"/>
      <c r="B447"/>
      <c r="C447"/>
      <c r="D447"/>
      <c r="E447"/>
      <c r="F447"/>
      <c r="G447"/>
      <c r="H447"/>
      <c r="I447"/>
    </row>
    <row r="448" spans="1:9" x14ac:dyDescent="0.25">
      <c r="A448"/>
      <c r="B448"/>
      <c r="C448"/>
      <c r="D448"/>
      <c r="E448"/>
      <c r="F448"/>
      <c r="G448"/>
      <c r="H448"/>
      <c r="I448"/>
    </row>
    <row r="449" spans="1:9" x14ac:dyDescent="0.25">
      <c r="A449"/>
      <c r="B449"/>
      <c r="C449"/>
      <c r="D449"/>
      <c r="E449"/>
      <c r="F449"/>
      <c r="G449"/>
      <c r="H449"/>
      <c r="I449"/>
    </row>
    <row r="450" spans="1:9" x14ac:dyDescent="0.25">
      <c r="A450"/>
      <c r="B450"/>
      <c r="C450"/>
      <c r="D450"/>
      <c r="E450"/>
      <c r="F450"/>
      <c r="G450"/>
      <c r="H450"/>
      <c r="I450"/>
    </row>
    <row r="451" spans="1:9" x14ac:dyDescent="0.25">
      <c r="A451"/>
      <c r="B451"/>
      <c r="C451"/>
      <c r="D451"/>
      <c r="E451"/>
      <c r="F451"/>
      <c r="G451"/>
      <c r="H451"/>
      <c r="I451"/>
    </row>
    <row r="452" spans="1:9" x14ac:dyDescent="0.25">
      <c r="A452"/>
      <c r="B452"/>
      <c r="C452"/>
      <c r="D452"/>
      <c r="E452"/>
      <c r="F452"/>
      <c r="G452"/>
      <c r="H452"/>
      <c r="I452"/>
    </row>
    <row r="453" spans="1:9" x14ac:dyDescent="0.25">
      <c r="A453"/>
      <c r="B453"/>
      <c r="C453"/>
      <c r="D453"/>
      <c r="E453"/>
      <c r="F453"/>
      <c r="G453"/>
      <c r="H453"/>
      <c r="I453"/>
    </row>
    <row r="454" spans="1:9" x14ac:dyDescent="0.25">
      <c r="A454"/>
      <c r="B454"/>
      <c r="C454"/>
      <c r="D454"/>
      <c r="E454"/>
      <c r="F454"/>
      <c r="G454"/>
      <c r="H454"/>
      <c r="I454"/>
    </row>
    <row r="455" spans="1:9" x14ac:dyDescent="0.25">
      <c r="A455"/>
      <c r="B455"/>
      <c r="C455"/>
      <c r="D455"/>
      <c r="E455"/>
      <c r="F455"/>
      <c r="G455"/>
      <c r="H455"/>
      <c r="I455"/>
    </row>
    <row r="456" spans="1:9" x14ac:dyDescent="0.25">
      <c r="A456"/>
      <c r="B456"/>
      <c r="C456"/>
      <c r="D456"/>
      <c r="E456"/>
      <c r="F456"/>
      <c r="G456"/>
      <c r="H456"/>
      <c r="I456"/>
    </row>
    <row r="457" spans="1:9" x14ac:dyDescent="0.25">
      <c r="A457"/>
      <c r="B457"/>
      <c r="C457"/>
      <c r="D457"/>
      <c r="E457"/>
      <c r="F457"/>
      <c r="G457"/>
      <c r="H457"/>
      <c r="I457"/>
    </row>
    <row r="458" spans="1:9" x14ac:dyDescent="0.25">
      <c r="A458"/>
      <c r="B458"/>
      <c r="C458"/>
      <c r="D458"/>
      <c r="E458"/>
      <c r="F458"/>
      <c r="G458"/>
      <c r="H458"/>
      <c r="I458"/>
    </row>
    <row r="459" spans="1:9" x14ac:dyDescent="0.25">
      <c r="A459"/>
      <c r="B459"/>
      <c r="C459"/>
      <c r="D459"/>
      <c r="E459"/>
      <c r="F459"/>
      <c r="G459"/>
      <c r="H459"/>
      <c r="I459"/>
    </row>
    <row r="460" spans="1:9" x14ac:dyDescent="0.25">
      <c r="A460"/>
      <c r="B460"/>
      <c r="C460"/>
      <c r="D460"/>
      <c r="E460"/>
      <c r="F460"/>
      <c r="G460"/>
      <c r="H460"/>
      <c r="I460"/>
    </row>
    <row r="461" spans="1:9" x14ac:dyDescent="0.25">
      <c r="A461"/>
      <c r="B461"/>
      <c r="C461"/>
      <c r="D461"/>
      <c r="E461"/>
      <c r="F461"/>
      <c r="G461"/>
      <c r="H461"/>
      <c r="I461"/>
    </row>
    <row r="462" spans="1:9" x14ac:dyDescent="0.25">
      <c r="A462"/>
      <c r="B462"/>
      <c r="C462"/>
      <c r="D462"/>
      <c r="E462"/>
      <c r="F462"/>
      <c r="G462"/>
      <c r="H462"/>
      <c r="I462"/>
    </row>
    <row r="463" spans="1:9" x14ac:dyDescent="0.25">
      <c r="A463"/>
      <c r="B463"/>
      <c r="C463"/>
      <c r="D463"/>
      <c r="E463"/>
      <c r="F463"/>
      <c r="G463"/>
      <c r="H463"/>
      <c r="I463"/>
    </row>
    <row r="464" spans="1:9" x14ac:dyDescent="0.25">
      <c r="A464"/>
      <c r="B464"/>
      <c r="C464"/>
      <c r="D464"/>
      <c r="E464"/>
      <c r="F464"/>
      <c r="G464"/>
      <c r="H464"/>
      <c r="I464"/>
    </row>
    <row r="465" spans="1:9" x14ac:dyDescent="0.25">
      <c r="A465"/>
      <c r="B465"/>
      <c r="C465"/>
      <c r="D465"/>
      <c r="E465"/>
      <c r="F465"/>
      <c r="G465"/>
      <c r="H465"/>
      <c r="I465"/>
    </row>
    <row r="466" spans="1:9" x14ac:dyDescent="0.25">
      <c r="A466"/>
      <c r="B466"/>
      <c r="C466"/>
      <c r="D466"/>
      <c r="E466"/>
      <c r="F466"/>
      <c r="G466"/>
      <c r="H466"/>
      <c r="I466"/>
    </row>
    <row r="467" spans="1:9" x14ac:dyDescent="0.25">
      <c r="A467"/>
      <c r="B467"/>
      <c r="C467"/>
      <c r="D467"/>
      <c r="E467"/>
      <c r="F467"/>
      <c r="G467"/>
      <c r="H467"/>
      <c r="I467"/>
    </row>
    <row r="468" spans="1:9" x14ac:dyDescent="0.25">
      <c r="A468"/>
      <c r="B468"/>
      <c r="C468"/>
      <c r="D468"/>
      <c r="E468"/>
      <c r="F468"/>
      <c r="G468"/>
      <c r="H468"/>
      <c r="I468"/>
    </row>
    <row r="469" spans="1:9" x14ac:dyDescent="0.25">
      <c r="A469"/>
      <c r="B469"/>
      <c r="C469"/>
      <c r="D469"/>
      <c r="E469"/>
      <c r="F469"/>
      <c r="G469"/>
      <c r="H469"/>
      <c r="I469"/>
    </row>
    <row r="470" spans="1:9" x14ac:dyDescent="0.25">
      <c r="A470"/>
      <c r="B470"/>
      <c r="C470"/>
      <c r="D470"/>
      <c r="E470"/>
      <c r="F470"/>
      <c r="G470"/>
      <c r="H470"/>
      <c r="I470"/>
    </row>
    <row r="471" spans="1:9" x14ac:dyDescent="0.25">
      <c r="A471"/>
      <c r="B471"/>
      <c r="C471"/>
      <c r="D471"/>
      <c r="E471"/>
      <c r="F471"/>
      <c r="G471"/>
      <c r="H471"/>
      <c r="I471"/>
    </row>
    <row r="472" spans="1:9" x14ac:dyDescent="0.25">
      <c r="A472"/>
      <c r="B472"/>
      <c r="C472"/>
      <c r="D472"/>
      <c r="E472"/>
      <c r="F472"/>
      <c r="G472"/>
      <c r="H472"/>
      <c r="I472"/>
    </row>
    <row r="473" spans="1:9" x14ac:dyDescent="0.25">
      <c r="A473"/>
      <c r="B473"/>
      <c r="C473"/>
      <c r="D473"/>
      <c r="E473"/>
      <c r="F473"/>
      <c r="G473"/>
      <c r="H473"/>
      <c r="I473"/>
    </row>
    <row r="474" spans="1:9" x14ac:dyDescent="0.25">
      <c r="A474"/>
      <c r="B474"/>
      <c r="C474"/>
      <c r="D474"/>
      <c r="E474"/>
      <c r="F474"/>
      <c r="G474"/>
      <c r="H474"/>
      <c r="I474"/>
    </row>
    <row r="475" spans="1:9" x14ac:dyDescent="0.25">
      <c r="A475"/>
      <c r="B475"/>
      <c r="C475"/>
      <c r="D475"/>
      <c r="E475"/>
      <c r="F475"/>
      <c r="G475"/>
      <c r="H475"/>
      <c r="I475"/>
    </row>
    <row r="476" spans="1:9" x14ac:dyDescent="0.25">
      <c r="A476"/>
      <c r="B476"/>
      <c r="C476"/>
      <c r="D476"/>
      <c r="E476"/>
      <c r="F476"/>
      <c r="G476"/>
      <c r="H476"/>
      <c r="I476"/>
    </row>
    <row r="477" spans="1:9" x14ac:dyDescent="0.25">
      <c r="A477"/>
      <c r="B477"/>
      <c r="C477"/>
      <c r="D477"/>
      <c r="E477"/>
      <c r="F477"/>
      <c r="G477"/>
      <c r="H477"/>
      <c r="I477"/>
    </row>
    <row r="478" spans="1:9" x14ac:dyDescent="0.25">
      <c r="A478"/>
      <c r="B478"/>
      <c r="C478"/>
      <c r="D478"/>
      <c r="E478"/>
      <c r="F478"/>
      <c r="G478"/>
      <c r="H478"/>
      <c r="I478"/>
    </row>
    <row r="479" spans="1:9" x14ac:dyDescent="0.25">
      <c r="A479"/>
      <c r="B479"/>
      <c r="C479"/>
      <c r="D479"/>
      <c r="E479"/>
      <c r="F479"/>
      <c r="G479"/>
      <c r="H479"/>
      <c r="I479"/>
    </row>
    <row r="480" spans="1:9" x14ac:dyDescent="0.25">
      <c r="A480"/>
      <c r="B480"/>
      <c r="C480"/>
      <c r="D480"/>
      <c r="E480"/>
      <c r="F480"/>
      <c r="G480"/>
      <c r="H480"/>
      <c r="I480"/>
    </row>
    <row r="481" spans="1:9" x14ac:dyDescent="0.25">
      <c r="A481"/>
      <c r="B481"/>
      <c r="C481"/>
      <c r="D481"/>
      <c r="E481"/>
      <c r="F481"/>
      <c r="G481"/>
      <c r="H481"/>
      <c r="I481"/>
    </row>
    <row r="482" spans="1:9" x14ac:dyDescent="0.25">
      <c r="A482"/>
      <c r="B482"/>
      <c r="C482"/>
      <c r="D482"/>
      <c r="E482"/>
      <c r="F482"/>
      <c r="G482"/>
      <c r="H482"/>
      <c r="I482"/>
    </row>
    <row r="483" spans="1:9" x14ac:dyDescent="0.25">
      <c r="A483"/>
      <c r="B483"/>
      <c r="C483"/>
      <c r="D483"/>
      <c r="E483"/>
      <c r="F483"/>
      <c r="G483"/>
      <c r="H483"/>
      <c r="I483"/>
    </row>
    <row r="484" spans="1:9" x14ac:dyDescent="0.25">
      <c r="A484"/>
      <c r="B484"/>
      <c r="C484"/>
      <c r="D484"/>
      <c r="E484"/>
      <c r="F484"/>
      <c r="G484"/>
      <c r="H484"/>
      <c r="I484"/>
    </row>
    <row r="485" spans="1:9" x14ac:dyDescent="0.25">
      <c r="A485"/>
      <c r="B485"/>
      <c r="C485"/>
      <c r="D485"/>
      <c r="E485"/>
      <c r="F485"/>
      <c r="G485"/>
      <c r="H485"/>
      <c r="I485"/>
    </row>
    <row r="486" spans="1:9" x14ac:dyDescent="0.25">
      <c r="A486"/>
      <c r="B486"/>
      <c r="C486"/>
      <c r="D486"/>
      <c r="E486"/>
      <c r="F486"/>
      <c r="G486"/>
      <c r="H486"/>
      <c r="I486"/>
    </row>
    <row r="487" spans="1:9" x14ac:dyDescent="0.25">
      <c r="A487"/>
      <c r="B487"/>
      <c r="C487"/>
      <c r="D487"/>
      <c r="E487"/>
      <c r="F487"/>
      <c r="G487"/>
      <c r="H487"/>
      <c r="I487"/>
    </row>
    <row r="488" spans="1:9" x14ac:dyDescent="0.25">
      <c r="A488"/>
      <c r="B488"/>
      <c r="C488"/>
      <c r="D488"/>
      <c r="E488"/>
      <c r="F488"/>
      <c r="G488"/>
      <c r="H488"/>
      <c r="I488"/>
    </row>
    <row r="489" spans="1:9" x14ac:dyDescent="0.25">
      <c r="A489"/>
      <c r="B489"/>
      <c r="C489"/>
      <c r="D489"/>
      <c r="E489"/>
      <c r="F489"/>
      <c r="G489"/>
      <c r="H489"/>
      <c r="I489"/>
    </row>
    <row r="490" spans="1:9" x14ac:dyDescent="0.25">
      <c r="A490"/>
      <c r="B490"/>
      <c r="C490"/>
      <c r="D490"/>
      <c r="E490"/>
      <c r="F490"/>
      <c r="G490"/>
      <c r="H490"/>
      <c r="I490"/>
    </row>
    <row r="491" spans="1:9" x14ac:dyDescent="0.25">
      <c r="A491"/>
      <c r="B491"/>
      <c r="C491"/>
      <c r="D491"/>
      <c r="E491"/>
      <c r="F491"/>
      <c r="G491"/>
      <c r="H491"/>
      <c r="I491"/>
    </row>
    <row r="492" spans="1:9" x14ac:dyDescent="0.25">
      <c r="A492"/>
      <c r="B492"/>
      <c r="C492"/>
      <c r="D492"/>
      <c r="E492"/>
      <c r="F492"/>
      <c r="G492"/>
      <c r="H492"/>
      <c r="I492"/>
    </row>
    <row r="493" spans="1:9" x14ac:dyDescent="0.25">
      <c r="A493"/>
      <c r="B493"/>
      <c r="C493"/>
      <c r="D493"/>
      <c r="E493"/>
      <c r="F493"/>
      <c r="G493"/>
      <c r="H493"/>
      <c r="I493"/>
    </row>
    <row r="494" spans="1:9" x14ac:dyDescent="0.25">
      <c r="A494"/>
      <c r="B494"/>
      <c r="C494"/>
      <c r="D494"/>
      <c r="E494"/>
      <c r="F494"/>
      <c r="G494"/>
      <c r="H494"/>
      <c r="I494"/>
    </row>
    <row r="495" spans="1:9" x14ac:dyDescent="0.25">
      <c r="A495"/>
      <c r="B495"/>
      <c r="C495"/>
      <c r="D495"/>
      <c r="E495"/>
      <c r="F495"/>
      <c r="G495"/>
      <c r="H495"/>
      <c r="I495"/>
    </row>
    <row r="496" spans="1:9" x14ac:dyDescent="0.25">
      <c r="A496"/>
      <c r="B496"/>
      <c r="C496"/>
      <c r="D496"/>
      <c r="E496"/>
      <c r="F496"/>
      <c r="G496"/>
      <c r="H496"/>
      <c r="I496"/>
    </row>
    <row r="497" spans="1:9" x14ac:dyDescent="0.25">
      <c r="A497"/>
      <c r="B497"/>
      <c r="C497"/>
      <c r="D497"/>
      <c r="E497"/>
      <c r="F497"/>
      <c r="G497"/>
      <c r="H497"/>
      <c r="I497"/>
    </row>
    <row r="498" spans="1:9" x14ac:dyDescent="0.25">
      <c r="A498"/>
      <c r="B498"/>
      <c r="C498"/>
      <c r="D498"/>
      <c r="E498"/>
      <c r="F498"/>
      <c r="G498"/>
      <c r="H498"/>
      <c r="I498"/>
    </row>
    <row r="499" spans="1:9" x14ac:dyDescent="0.25">
      <c r="A499"/>
      <c r="B499"/>
      <c r="C499"/>
      <c r="D499"/>
      <c r="E499"/>
      <c r="F499"/>
      <c r="G499"/>
      <c r="H499"/>
      <c r="I499"/>
    </row>
    <row r="500" spans="1:9" x14ac:dyDescent="0.25">
      <c r="A500"/>
      <c r="B500"/>
      <c r="C500"/>
      <c r="D500"/>
      <c r="E500"/>
      <c r="F500"/>
      <c r="G500"/>
      <c r="H500"/>
      <c r="I500"/>
    </row>
    <row r="501" spans="1:9" x14ac:dyDescent="0.25">
      <c r="A501"/>
      <c r="B501"/>
      <c r="C501"/>
      <c r="D501"/>
      <c r="E501"/>
      <c r="F501"/>
      <c r="G501"/>
      <c r="H501"/>
      <c r="I501"/>
    </row>
    <row r="502" spans="1:9" x14ac:dyDescent="0.25">
      <c r="A502"/>
      <c r="B502"/>
      <c r="C502"/>
      <c r="D502"/>
      <c r="E502"/>
      <c r="F502"/>
      <c r="G502"/>
      <c r="H502"/>
      <c r="I502"/>
    </row>
    <row r="503" spans="1:9" x14ac:dyDescent="0.25">
      <c r="A503"/>
      <c r="B503"/>
      <c r="C503"/>
      <c r="D503"/>
      <c r="E503"/>
      <c r="F503"/>
      <c r="G503"/>
      <c r="H503"/>
      <c r="I503"/>
    </row>
    <row r="504" spans="1:9" x14ac:dyDescent="0.25">
      <c r="A504"/>
      <c r="B504"/>
      <c r="C504"/>
      <c r="D504"/>
      <c r="E504"/>
      <c r="F504"/>
      <c r="G504"/>
      <c r="H504"/>
      <c r="I504"/>
    </row>
    <row r="505" spans="1:9" x14ac:dyDescent="0.25">
      <c r="A505"/>
      <c r="B505"/>
      <c r="C505"/>
      <c r="D505"/>
      <c r="E505"/>
      <c r="F505"/>
      <c r="G505"/>
      <c r="H505"/>
      <c r="I505"/>
    </row>
    <row r="506" spans="1:9" x14ac:dyDescent="0.25">
      <c r="A506"/>
      <c r="B506"/>
      <c r="C506"/>
      <c r="D506"/>
      <c r="E506"/>
      <c r="F506"/>
      <c r="G506"/>
      <c r="H506"/>
      <c r="I506"/>
    </row>
    <row r="507" spans="1:9" x14ac:dyDescent="0.25">
      <c r="A507"/>
      <c r="B507"/>
      <c r="C507"/>
      <c r="D507"/>
      <c r="E507"/>
      <c r="F507"/>
      <c r="G507"/>
      <c r="H507"/>
      <c r="I507"/>
    </row>
    <row r="508" spans="1:9" x14ac:dyDescent="0.25">
      <c r="A508"/>
      <c r="B508"/>
      <c r="C508"/>
      <c r="D508"/>
      <c r="E508"/>
      <c r="F508"/>
      <c r="G508"/>
      <c r="H508"/>
      <c r="I508"/>
    </row>
    <row r="509" spans="1:9" x14ac:dyDescent="0.25">
      <c r="A509"/>
      <c r="B509"/>
      <c r="C509"/>
      <c r="D509"/>
      <c r="E509"/>
      <c r="F509"/>
      <c r="G509"/>
      <c r="H509"/>
      <c r="I509"/>
    </row>
    <row r="510" spans="1:9" x14ac:dyDescent="0.25">
      <c r="A510"/>
      <c r="B510"/>
      <c r="C510"/>
      <c r="D510"/>
      <c r="E510"/>
      <c r="F510"/>
      <c r="G510"/>
      <c r="H510"/>
      <c r="I510"/>
    </row>
    <row r="511" spans="1:9" x14ac:dyDescent="0.25">
      <c r="A511"/>
      <c r="B511"/>
      <c r="C511"/>
      <c r="D511"/>
      <c r="E511"/>
      <c r="F511"/>
      <c r="G511"/>
      <c r="H511"/>
      <c r="I511"/>
    </row>
    <row r="512" spans="1:9" x14ac:dyDescent="0.25">
      <c r="A512"/>
      <c r="B512"/>
      <c r="C512"/>
      <c r="D512"/>
      <c r="E512"/>
      <c r="F512"/>
      <c r="G512"/>
      <c r="H512"/>
      <c r="I512"/>
    </row>
    <row r="513" spans="1:9" x14ac:dyDescent="0.25">
      <c r="A513"/>
      <c r="B513"/>
      <c r="C513"/>
      <c r="D513"/>
      <c r="E513"/>
      <c r="F513"/>
      <c r="G513"/>
      <c r="H513"/>
      <c r="I513"/>
    </row>
    <row r="514" spans="1:9" x14ac:dyDescent="0.25">
      <c r="A514"/>
      <c r="B514"/>
      <c r="C514"/>
      <c r="D514"/>
      <c r="E514"/>
      <c r="F514"/>
      <c r="G514"/>
      <c r="H514"/>
      <c r="I514"/>
    </row>
    <row r="515" spans="1:9" x14ac:dyDescent="0.25">
      <c r="A515"/>
      <c r="B515"/>
      <c r="C515"/>
      <c r="D515"/>
      <c r="E515"/>
      <c r="F515"/>
      <c r="G515"/>
      <c r="H515"/>
      <c r="I515"/>
    </row>
    <row r="516" spans="1:9" x14ac:dyDescent="0.25">
      <c r="A516"/>
      <c r="B516"/>
      <c r="C516"/>
      <c r="D516"/>
      <c r="E516"/>
      <c r="F516"/>
      <c r="G516"/>
      <c r="H516"/>
      <c r="I516"/>
    </row>
    <row r="517" spans="1:9" x14ac:dyDescent="0.25">
      <c r="A517"/>
      <c r="B517"/>
      <c r="C517"/>
      <c r="D517"/>
      <c r="E517"/>
      <c r="F517"/>
      <c r="G517"/>
      <c r="H517"/>
      <c r="I517"/>
    </row>
    <row r="518" spans="1:9" x14ac:dyDescent="0.25">
      <c r="A518"/>
      <c r="B518"/>
      <c r="C518"/>
      <c r="D518"/>
      <c r="E518"/>
      <c r="F518"/>
      <c r="G518"/>
      <c r="H518"/>
      <c r="I518"/>
    </row>
    <row r="519" spans="1:9" x14ac:dyDescent="0.25">
      <c r="A519"/>
      <c r="B519"/>
      <c r="C519"/>
      <c r="D519"/>
      <c r="E519"/>
      <c r="F519"/>
      <c r="G519"/>
      <c r="H519"/>
      <c r="I519"/>
    </row>
    <row r="520" spans="1:9" x14ac:dyDescent="0.25">
      <c r="A520"/>
      <c r="B520"/>
      <c r="C520"/>
      <c r="D520"/>
      <c r="E520"/>
      <c r="F520"/>
      <c r="G520"/>
      <c r="H520"/>
      <c r="I520"/>
    </row>
    <row r="521" spans="1:9" x14ac:dyDescent="0.25">
      <c r="A521"/>
      <c r="B521"/>
      <c r="C521"/>
      <c r="D521"/>
      <c r="E521"/>
      <c r="F521"/>
      <c r="G521"/>
      <c r="H521"/>
      <c r="I521"/>
    </row>
    <row r="522" spans="1:9" x14ac:dyDescent="0.25">
      <c r="A522"/>
      <c r="B522"/>
      <c r="C522"/>
      <c r="D522"/>
      <c r="E522"/>
      <c r="F522"/>
      <c r="G522"/>
      <c r="H522"/>
      <c r="I522"/>
    </row>
    <row r="523" spans="1:9" x14ac:dyDescent="0.25">
      <c r="A523"/>
      <c r="B523"/>
      <c r="C523"/>
      <c r="D523"/>
      <c r="E523"/>
      <c r="F523"/>
      <c r="G523"/>
      <c r="H523"/>
      <c r="I523"/>
    </row>
    <row r="524" spans="1:9" x14ac:dyDescent="0.25">
      <c r="A524"/>
      <c r="B524"/>
      <c r="C524"/>
      <c r="D524"/>
      <c r="E524"/>
      <c r="F524"/>
      <c r="G524"/>
      <c r="H524"/>
      <c r="I524"/>
    </row>
    <row r="525" spans="1:9" x14ac:dyDescent="0.25">
      <c r="A525"/>
      <c r="B525"/>
      <c r="C525"/>
      <c r="D525"/>
      <c r="E525"/>
      <c r="F525"/>
      <c r="G525"/>
      <c r="H525"/>
      <c r="I525"/>
    </row>
    <row r="526" spans="1:9" x14ac:dyDescent="0.25">
      <c r="A526"/>
      <c r="B526"/>
      <c r="C526"/>
      <c r="D526"/>
      <c r="E526"/>
      <c r="F526"/>
      <c r="G526"/>
      <c r="H526"/>
      <c r="I526"/>
    </row>
    <row r="527" spans="1:9" x14ac:dyDescent="0.25">
      <c r="A527"/>
      <c r="B527"/>
      <c r="C527"/>
      <c r="D527"/>
      <c r="E527"/>
      <c r="F527"/>
      <c r="G527"/>
      <c r="H527"/>
      <c r="I527"/>
    </row>
    <row r="528" spans="1:9" x14ac:dyDescent="0.25">
      <c r="A528"/>
      <c r="B528"/>
      <c r="C528"/>
      <c r="D528"/>
      <c r="E528"/>
      <c r="F528"/>
      <c r="G528"/>
      <c r="H528"/>
      <c r="I528"/>
    </row>
    <row r="529" spans="1:9" x14ac:dyDescent="0.25">
      <c r="A529"/>
      <c r="B529"/>
      <c r="C529"/>
      <c r="D529"/>
      <c r="E529"/>
      <c r="F529"/>
      <c r="G529"/>
      <c r="H529"/>
      <c r="I529"/>
    </row>
    <row r="530" spans="1:9" x14ac:dyDescent="0.25">
      <c r="A530"/>
      <c r="B530"/>
      <c r="C530"/>
      <c r="D530"/>
      <c r="E530"/>
      <c r="F530"/>
      <c r="G530"/>
      <c r="H530"/>
      <c r="I530"/>
    </row>
    <row r="531" spans="1:9" x14ac:dyDescent="0.25">
      <c r="A531"/>
      <c r="B531"/>
      <c r="C531"/>
      <c r="D531"/>
      <c r="E531"/>
      <c r="F531"/>
      <c r="G531"/>
      <c r="H531"/>
      <c r="I531"/>
    </row>
    <row r="532" spans="1:9" x14ac:dyDescent="0.25">
      <c r="A532"/>
      <c r="B532"/>
      <c r="C532"/>
      <c r="D532"/>
      <c r="E532"/>
      <c r="F532"/>
      <c r="G532"/>
      <c r="H532"/>
      <c r="I532"/>
    </row>
    <row r="533" spans="1:9" x14ac:dyDescent="0.25">
      <c r="A533"/>
      <c r="B533"/>
      <c r="C533"/>
      <c r="D533"/>
      <c r="E533"/>
      <c r="F533"/>
      <c r="G533"/>
      <c r="H533"/>
      <c r="I533"/>
    </row>
    <row r="534" spans="1:9" x14ac:dyDescent="0.25">
      <c r="A534"/>
      <c r="B534"/>
      <c r="C534"/>
      <c r="D534"/>
      <c r="E534"/>
      <c r="F534"/>
      <c r="G534"/>
      <c r="H534"/>
      <c r="I534"/>
    </row>
    <row r="535" spans="1:9" x14ac:dyDescent="0.25">
      <c r="A535"/>
      <c r="B535"/>
      <c r="C535"/>
      <c r="D535"/>
      <c r="E535"/>
      <c r="F535"/>
      <c r="G535"/>
      <c r="H535"/>
      <c r="I535"/>
    </row>
    <row r="536" spans="1:9" x14ac:dyDescent="0.25">
      <c r="A536"/>
      <c r="B536"/>
      <c r="C536"/>
      <c r="D536"/>
      <c r="E536"/>
      <c r="F536"/>
      <c r="G536"/>
      <c r="H536"/>
      <c r="I536"/>
    </row>
    <row r="537" spans="1:9" x14ac:dyDescent="0.25">
      <c r="A537"/>
      <c r="B537"/>
      <c r="C537"/>
      <c r="D537"/>
      <c r="E537"/>
      <c r="F537"/>
      <c r="G537"/>
      <c r="H537"/>
      <c r="I537"/>
    </row>
    <row r="538" spans="1:9" x14ac:dyDescent="0.25">
      <c r="A538"/>
      <c r="B538"/>
      <c r="C538"/>
      <c r="D538"/>
      <c r="E538"/>
      <c r="F538"/>
      <c r="G538"/>
      <c r="H538"/>
      <c r="I538"/>
    </row>
    <row r="539" spans="1:9" x14ac:dyDescent="0.25">
      <c r="A539"/>
      <c r="B539"/>
      <c r="C539"/>
      <c r="D539"/>
      <c r="E539"/>
      <c r="F539"/>
      <c r="G539"/>
      <c r="H539"/>
      <c r="I539"/>
    </row>
    <row r="540" spans="1:9" x14ac:dyDescent="0.25">
      <c r="A540"/>
      <c r="B540"/>
      <c r="C540"/>
      <c r="D540"/>
      <c r="E540"/>
      <c r="F540"/>
      <c r="G540"/>
      <c r="H540"/>
      <c r="I540"/>
    </row>
    <row r="541" spans="1:9" x14ac:dyDescent="0.25">
      <c r="A541"/>
      <c r="B541"/>
      <c r="C541"/>
      <c r="D541"/>
      <c r="E541"/>
      <c r="F541"/>
      <c r="G541"/>
      <c r="H541"/>
      <c r="I541"/>
    </row>
    <row r="542" spans="1:9" x14ac:dyDescent="0.25">
      <c r="A542"/>
      <c r="B542"/>
      <c r="C542"/>
      <c r="D542"/>
      <c r="E542"/>
      <c r="F542"/>
      <c r="G542"/>
      <c r="H542"/>
      <c r="I542"/>
    </row>
    <row r="543" spans="1:9" x14ac:dyDescent="0.25">
      <c r="A543"/>
      <c r="B543"/>
      <c r="C543"/>
      <c r="D543"/>
      <c r="E543"/>
      <c r="F543"/>
      <c r="G543"/>
      <c r="H543"/>
      <c r="I543"/>
    </row>
    <row r="544" spans="1:9" x14ac:dyDescent="0.25">
      <c r="A544"/>
      <c r="B544"/>
      <c r="C544"/>
      <c r="D544"/>
      <c r="E544"/>
      <c r="F544"/>
      <c r="G544"/>
      <c r="H544"/>
      <c r="I544"/>
    </row>
    <row r="545" spans="1:9" x14ac:dyDescent="0.25">
      <c r="A545"/>
      <c r="B545"/>
      <c r="C545"/>
      <c r="D545"/>
      <c r="E545"/>
      <c r="F545"/>
      <c r="G545"/>
      <c r="H545"/>
      <c r="I545"/>
    </row>
    <row r="546" spans="1:9" x14ac:dyDescent="0.25">
      <c r="A546"/>
      <c r="B546"/>
      <c r="C546"/>
      <c r="D546"/>
      <c r="E546"/>
      <c r="F546"/>
      <c r="G546"/>
      <c r="H546"/>
      <c r="I546"/>
    </row>
    <row r="547" spans="1:9" x14ac:dyDescent="0.25">
      <c r="A547"/>
      <c r="B547"/>
      <c r="C547"/>
      <c r="D547"/>
      <c r="E547"/>
      <c r="F547"/>
      <c r="G547"/>
      <c r="H547"/>
      <c r="I547"/>
    </row>
    <row r="548" spans="1:9" x14ac:dyDescent="0.25">
      <c r="A548"/>
      <c r="B548"/>
      <c r="C548"/>
      <c r="D548"/>
      <c r="E548"/>
      <c r="F548"/>
      <c r="G548"/>
      <c r="H548"/>
      <c r="I548"/>
    </row>
    <row r="549" spans="1:9" x14ac:dyDescent="0.25">
      <c r="A549"/>
      <c r="B549"/>
      <c r="C549"/>
      <c r="D549"/>
      <c r="E549"/>
      <c r="F549"/>
      <c r="G549"/>
      <c r="H549"/>
      <c r="I549"/>
    </row>
    <row r="550" spans="1:9" x14ac:dyDescent="0.25">
      <c r="A550"/>
      <c r="B550"/>
      <c r="C550"/>
      <c r="D550"/>
      <c r="E550"/>
      <c r="F550"/>
      <c r="G550"/>
      <c r="H550"/>
      <c r="I550"/>
    </row>
    <row r="551" spans="1:9" x14ac:dyDescent="0.25">
      <c r="A551"/>
      <c r="B551"/>
      <c r="C551"/>
      <c r="D551"/>
      <c r="E551"/>
      <c r="F551"/>
      <c r="G551"/>
      <c r="H551"/>
      <c r="I551"/>
    </row>
    <row r="552" spans="1:9" x14ac:dyDescent="0.25">
      <c r="A552"/>
      <c r="B552"/>
      <c r="C552"/>
      <c r="D552"/>
      <c r="E552"/>
      <c r="F552"/>
      <c r="G552"/>
      <c r="H552"/>
      <c r="I552"/>
    </row>
    <row r="553" spans="1:9" x14ac:dyDescent="0.25">
      <c r="A553"/>
      <c r="B553"/>
      <c r="C553"/>
      <c r="D553"/>
      <c r="E553"/>
      <c r="F553"/>
      <c r="G553"/>
      <c r="H553"/>
      <c r="I553"/>
    </row>
    <row r="554" spans="1:9" x14ac:dyDescent="0.25">
      <c r="A554"/>
      <c r="B554"/>
      <c r="C554"/>
      <c r="D554"/>
      <c r="E554"/>
      <c r="F554"/>
      <c r="G554"/>
      <c r="H554"/>
      <c r="I554"/>
    </row>
    <row r="555" spans="1:9" x14ac:dyDescent="0.25">
      <c r="A555"/>
      <c r="B555"/>
      <c r="C555"/>
      <c r="D555"/>
      <c r="E555"/>
      <c r="F555"/>
      <c r="G555"/>
      <c r="H555"/>
      <c r="I555"/>
    </row>
    <row r="556" spans="1:9" x14ac:dyDescent="0.25">
      <c r="A556"/>
      <c r="B556"/>
      <c r="C556"/>
      <c r="D556"/>
      <c r="E556"/>
      <c r="F556"/>
      <c r="G556"/>
      <c r="H556"/>
      <c r="I556"/>
    </row>
    <row r="557" spans="1:9" x14ac:dyDescent="0.25">
      <c r="A557"/>
      <c r="B557"/>
      <c r="C557"/>
      <c r="D557"/>
      <c r="E557"/>
      <c r="F557"/>
      <c r="G557"/>
      <c r="H557"/>
      <c r="I557"/>
    </row>
    <row r="558" spans="1:9" x14ac:dyDescent="0.25">
      <c r="A558"/>
      <c r="B558"/>
      <c r="C558"/>
      <c r="D558"/>
      <c r="E558"/>
      <c r="F558"/>
      <c r="G558"/>
      <c r="H558"/>
      <c r="I558"/>
    </row>
    <row r="559" spans="1:9" x14ac:dyDescent="0.25">
      <c r="A559"/>
      <c r="B559"/>
      <c r="C559"/>
      <c r="D559"/>
      <c r="E559"/>
      <c r="F559"/>
      <c r="G559"/>
      <c r="H559"/>
      <c r="I559"/>
    </row>
    <row r="560" spans="1:9" x14ac:dyDescent="0.25">
      <c r="A560"/>
      <c r="B560"/>
      <c r="C560"/>
      <c r="D560"/>
      <c r="E560"/>
      <c r="F560"/>
      <c r="G560"/>
      <c r="H560"/>
      <c r="I560"/>
    </row>
    <row r="561" spans="1:9" x14ac:dyDescent="0.25">
      <c r="A561"/>
      <c r="B561"/>
      <c r="C561"/>
      <c r="D561"/>
      <c r="E561"/>
      <c r="F561"/>
      <c r="G561"/>
      <c r="H561"/>
      <c r="I561"/>
    </row>
    <row r="562" spans="1:9" x14ac:dyDescent="0.25">
      <c r="A562"/>
      <c r="B562"/>
      <c r="C562"/>
      <c r="D562"/>
      <c r="E562"/>
      <c r="F562"/>
      <c r="G562"/>
      <c r="H562"/>
      <c r="I562"/>
    </row>
    <row r="563" spans="1:9" x14ac:dyDescent="0.25">
      <c r="A563"/>
      <c r="B563"/>
      <c r="C563"/>
      <c r="D563"/>
      <c r="E563"/>
      <c r="F563"/>
      <c r="G563"/>
      <c r="H563"/>
      <c r="I563"/>
    </row>
    <row r="564" spans="1:9" x14ac:dyDescent="0.25">
      <c r="A564"/>
      <c r="B564"/>
      <c r="C564"/>
      <c r="D564"/>
      <c r="E564"/>
      <c r="F564"/>
      <c r="G564"/>
      <c r="H564"/>
      <c r="I564"/>
    </row>
    <row r="565" spans="1:9" x14ac:dyDescent="0.25">
      <c r="A565"/>
      <c r="B565"/>
      <c r="C565"/>
      <c r="D565"/>
      <c r="E565"/>
      <c r="F565"/>
      <c r="G565"/>
      <c r="H565"/>
      <c r="I565"/>
    </row>
    <row r="566" spans="1:9" x14ac:dyDescent="0.25">
      <c r="A566"/>
      <c r="B566"/>
      <c r="C566"/>
      <c r="D566"/>
      <c r="E566"/>
      <c r="F566"/>
      <c r="G566"/>
      <c r="H566"/>
      <c r="I566"/>
    </row>
    <row r="567" spans="1:9" x14ac:dyDescent="0.25">
      <c r="A567"/>
      <c r="B567"/>
      <c r="C567"/>
      <c r="D567"/>
      <c r="E567"/>
      <c r="F567"/>
      <c r="G567"/>
      <c r="H567"/>
      <c r="I567"/>
    </row>
    <row r="568" spans="1:9" x14ac:dyDescent="0.25">
      <c r="A568"/>
      <c r="B568"/>
      <c r="C568"/>
      <c r="D568"/>
      <c r="E568"/>
      <c r="F568"/>
      <c r="G568"/>
      <c r="H568"/>
      <c r="I568"/>
    </row>
    <row r="569" spans="1:9" x14ac:dyDescent="0.25">
      <c r="A569"/>
      <c r="B569"/>
      <c r="C569"/>
      <c r="D569"/>
      <c r="E569"/>
      <c r="F569"/>
      <c r="G569"/>
      <c r="H569"/>
      <c r="I569"/>
    </row>
    <row r="570" spans="1:9" x14ac:dyDescent="0.25">
      <c r="A570"/>
      <c r="B570"/>
      <c r="C570"/>
      <c r="D570"/>
      <c r="E570"/>
      <c r="F570"/>
      <c r="G570"/>
      <c r="H570"/>
      <c r="I570"/>
    </row>
    <row r="571" spans="1:9" x14ac:dyDescent="0.25">
      <c r="A571"/>
      <c r="B571"/>
      <c r="C571"/>
      <c r="D571"/>
      <c r="E571"/>
      <c r="F571"/>
      <c r="G571"/>
      <c r="H571"/>
      <c r="I571"/>
    </row>
    <row r="572" spans="1:9" x14ac:dyDescent="0.25">
      <c r="A572"/>
      <c r="B572"/>
      <c r="C572"/>
      <c r="D572"/>
      <c r="E572"/>
      <c r="F572"/>
      <c r="G572"/>
      <c r="H572"/>
      <c r="I572"/>
    </row>
    <row r="573" spans="1:9" x14ac:dyDescent="0.25">
      <c r="A573"/>
      <c r="B573"/>
      <c r="C573"/>
      <c r="D573"/>
      <c r="E573"/>
      <c r="F573"/>
      <c r="G573"/>
      <c r="H573"/>
      <c r="I573"/>
    </row>
    <row r="574" spans="1:9" x14ac:dyDescent="0.25">
      <c r="A574"/>
      <c r="B574"/>
      <c r="C574"/>
      <c r="D574"/>
      <c r="E574"/>
      <c r="F574"/>
      <c r="G574"/>
      <c r="H574"/>
      <c r="I574"/>
    </row>
    <row r="575" spans="1:9" x14ac:dyDescent="0.25">
      <c r="A575"/>
      <c r="B575"/>
      <c r="C575"/>
      <c r="D575"/>
      <c r="E575"/>
      <c r="F575"/>
      <c r="G575"/>
      <c r="H575"/>
      <c r="I575"/>
    </row>
    <row r="576" spans="1:9" x14ac:dyDescent="0.25">
      <c r="A576"/>
      <c r="B576"/>
      <c r="C576"/>
      <c r="D576"/>
      <c r="E576"/>
      <c r="F576"/>
      <c r="G576"/>
      <c r="H576"/>
      <c r="I576"/>
    </row>
    <row r="577" spans="1:9" x14ac:dyDescent="0.25">
      <c r="A577"/>
      <c r="B577"/>
      <c r="C577"/>
      <c r="D577"/>
      <c r="E577"/>
      <c r="F577"/>
      <c r="G577"/>
      <c r="H577"/>
      <c r="I577"/>
    </row>
    <row r="578" spans="1:9" x14ac:dyDescent="0.25">
      <c r="A578"/>
      <c r="B578"/>
      <c r="C578"/>
      <c r="D578"/>
      <c r="E578"/>
      <c r="F578"/>
      <c r="G578"/>
      <c r="H578"/>
      <c r="I578"/>
    </row>
    <row r="579" spans="1:9" x14ac:dyDescent="0.25">
      <c r="A579"/>
      <c r="B579"/>
      <c r="C579"/>
      <c r="D579"/>
      <c r="E579"/>
      <c r="F579"/>
      <c r="G579"/>
      <c r="H579"/>
      <c r="I579"/>
    </row>
    <row r="580" spans="1:9" x14ac:dyDescent="0.25">
      <c r="A580"/>
      <c r="B580"/>
      <c r="C580"/>
      <c r="D580"/>
      <c r="E580"/>
      <c r="F580"/>
      <c r="G580"/>
      <c r="H580"/>
      <c r="I580"/>
    </row>
    <row r="581" spans="1:9" x14ac:dyDescent="0.25">
      <c r="A581"/>
      <c r="B581"/>
      <c r="C581"/>
      <c r="D581"/>
      <c r="E581"/>
      <c r="F581"/>
      <c r="G581"/>
      <c r="H581"/>
      <c r="I581"/>
    </row>
    <row r="582" spans="1:9" x14ac:dyDescent="0.25">
      <c r="A582"/>
      <c r="B582"/>
      <c r="C582"/>
      <c r="D582"/>
      <c r="E582"/>
      <c r="F582"/>
      <c r="G582"/>
      <c r="H582"/>
      <c r="I582"/>
    </row>
    <row r="583" spans="1:9" x14ac:dyDescent="0.25">
      <c r="A583"/>
      <c r="B583"/>
      <c r="C583"/>
      <c r="D583"/>
      <c r="E583"/>
      <c r="F583"/>
      <c r="G583"/>
      <c r="H583"/>
      <c r="I583"/>
    </row>
    <row r="584" spans="1:9" x14ac:dyDescent="0.25">
      <c r="A584"/>
      <c r="B584"/>
      <c r="C584"/>
      <c r="D584"/>
      <c r="E584"/>
      <c r="F584"/>
      <c r="G584"/>
      <c r="H584"/>
      <c r="I584"/>
    </row>
    <row r="585" spans="1:9" x14ac:dyDescent="0.25">
      <c r="A585"/>
      <c r="B585"/>
      <c r="C585"/>
      <c r="D585"/>
      <c r="E585"/>
      <c r="F585"/>
      <c r="G585"/>
      <c r="H585"/>
      <c r="I585"/>
    </row>
    <row r="586" spans="1:9" x14ac:dyDescent="0.25">
      <c r="A586"/>
      <c r="B586"/>
      <c r="C586"/>
      <c r="D586"/>
      <c r="E586"/>
      <c r="F586"/>
      <c r="G586"/>
      <c r="H586"/>
      <c r="I586"/>
    </row>
    <row r="587" spans="1:9" x14ac:dyDescent="0.25">
      <c r="A587"/>
      <c r="B587"/>
      <c r="C587"/>
      <c r="D587"/>
      <c r="E587"/>
      <c r="F587"/>
      <c r="G587"/>
      <c r="H587"/>
      <c r="I587"/>
    </row>
    <row r="588" spans="1:9" x14ac:dyDescent="0.25">
      <c r="A588"/>
      <c r="B588"/>
      <c r="C588"/>
      <c r="D588"/>
      <c r="E588"/>
      <c r="F588"/>
      <c r="G588"/>
      <c r="H588"/>
      <c r="I588"/>
    </row>
    <row r="589" spans="1:9" x14ac:dyDescent="0.25">
      <c r="A589"/>
      <c r="B589"/>
      <c r="C589"/>
      <c r="D589"/>
      <c r="E589"/>
      <c r="F589"/>
      <c r="G589"/>
      <c r="H589"/>
      <c r="I589"/>
    </row>
    <row r="590" spans="1:9" x14ac:dyDescent="0.25">
      <c r="A590"/>
      <c r="B590"/>
      <c r="C590"/>
      <c r="D590"/>
      <c r="E590"/>
      <c r="F590"/>
      <c r="G590"/>
      <c r="H590"/>
      <c r="I590"/>
    </row>
    <row r="591" spans="1:9" x14ac:dyDescent="0.25">
      <c r="A591"/>
      <c r="B591"/>
      <c r="C591"/>
      <c r="D591"/>
      <c r="E591"/>
      <c r="F591"/>
      <c r="G591"/>
      <c r="H591"/>
      <c r="I591"/>
    </row>
    <row r="592" spans="1:9" x14ac:dyDescent="0.25">
      <c r="A592"/>
      <c r="B592"/>
      <c r="C592"/>
      <c r="D592"/>
      <c r="E592"/>
      <c r="F592"/>
      <c r="G592"/>
      <c r="H592"/>
      <c r="I592"/>
    </row>
    <row r="593" spans="1:9" x14ac:dyDescent="0.25">
      <c r="A593"/>
      <c r="B593"/>
      <c r="C593"/>
      <c r="D593"/>
      <c r="E593"/>
      <c r="F593"/>
      <c r="G593"/>
      <c r="H593"/>
      <c r="I593"/>
    </row>
    <row r="594" spans="1:9" x14ac:dyDescent="0.25">
      <c r="A594"/>
      <c r="B594"/>
      <c r="C594"/>
      <c r="D594"/>
      <c r="E594"/>
      <c r="F594"/>
      <c r="G594"/>
      <c r="H594"/>
      <c r="I594"/>
    </row>
    <row r="595" spans="1:9" x14ac:dyDescent="0.25">
      <c r="A595"/>
      <c r="B595"/>
      <c r="C595"/>
      <c r="D595"/>
      <c r="E595"/>
      <c r="F595"/>
      <c r="G595"/>
      <c r="H595"/>
      <c r="I595"/>
    </row>
    <row r="596" spans="1:9" x14ac:dyDescent="0.25">
      <c r="A596"/>
      <c r="B596"/>
      <c r="C596"/>
      <c r="D596"/>
      <c r="E596"/>
      <c r="F596"/>
      <c r="G596"/>
      <c r="H596"/>
      <c r="I596"/>
    </row>
    <row r="597" spans="1:9" x14ac:dyDescent="0.25">
      <c r="A597"/>
      <c r="B597"/>
      <c r="C597"/>
      <c r="D597"/>
      <c r="E597"/>
      <c r="F597"/>
      <c r="G597"/>
      <c r="H597"/>
      <c r="I597"/>
    </row>
    <row r="598" spans="1:9" x14ac:dyDescent="0.25">
      <c r="A598"/>
      <c r="B598"/>
      <c r="C598"/>
      <c r="D598"/>
      <c r="E598"/>
      <c r="F598"/>
      <c r="G598"/>
      <c r="H598"/>
      <c r="I598"/>
    </row>
    <row r="599" spans="1:9" x14ac:dyDescent="0.25">
      <c r="A599"/>
      <c r="B599"/>
      <c r="C599"/>
      <c r="D599"/>
      <c r="E599"/>
      <c r="F599"/>
      <c r="G599"/>
      <c r="H599"/>
      <c r="I599"/>
    </row>
    <row r="600" spans="1:9" x14ac:dyDescent="0.25">
      <c r="A600"/>
      <c r="B600"/>
      <c r="C600"/>
      <c r="D600"/>
      <c r="E600"/>
      <c r="F600"/>
      <c r="G600"/>
      <c r="H600"/>
      <c r="I600"/>
    </row>
    <row r="601" spans="1:9" x14ac:dyDescent="0.25">
      <c r="A601"/>
      <c r="B601"/>
      <c r="C601"/>
      <c r="D601"/>
      <c r="E601"/>
      <c r="F601"/>
      <c r="G601"/>
      <c r="H601"/>
      <c r="I601"/>
    </row>
    <row r="602" spans="1:9" x14ac:dyDescent="0.25">
      <c r="A602"/>
      <c r="B602"/>
      <c r="C602"/>
      <c r="D602"/>
      <c r="E602"/>
      <c r="F602"/>
      <c r="G602"/>
      <c r="H602"/>
      <c r="I602"/>
    </row>
    <row r="603" spans="1:9" x14ac:dyDescent="0.25">
      <c r="A603"/>
      <c r="B603"/>
      <c r="C603"/>
      <c r="D603"/>
      <c r="E603"/>
      <c r="F603"/>
      <c r="G603"/>
      <c r="H603"/>
      <c r="I603"/>
    </row>
    <row r="604" spans="1:9" x14ac:dyDescent="0.25">
      <c r="A604"/>
      <c r="B604"/>
      <c r="C604"/>
      <c r="D604"/>
      <c r="E604"/>
      <c r="F604"/>
      <c r="G604"/>
      <c r="H604"/>
      <c r="I604"/>
    </row>
    <row r="605" spans="1:9" x14ac:dyDescent="0.25">
      <c r="A605"/>
      <c r="B605"/>
      <c r="C605"/>
      <c r="D605"/>
      <c r="E605"/>
      <c r="F605"/>
      <c r="G605"/>
      <c r="H605"/>
      <c r="I605"/>
    </row>
    <row r="606" spans="1:9" x14ac:dyDescent="0.25">
      <c r="A606"/>
      <c r="B606"/>
      <c r="C606"/>
      <c r="D606"/>
      <c r="E606"/>
      <c r="F606"/>
      <c r="G606"/>
      <c r="H606"/>
      <c r="I606"/>
    </row>
    <row r="607" spans="1:9" x14ac:dyDescent="0.25">
      <c r="A607"/>
      <c r="B607"/>
      <c r="C607"/>
      <c r="D607"/>
      <c r="E607"/>
      <c r="F607"/>
      <c r="G607"/>
      <c r="H607"/>
      <c r="I607"/>
    </row>
    <row r="608" spans="1:9" x14ac:dyDescent="0.25">
      <c r="A608"/>
      <c r="B608"/>
      <c r="C608"/>
      <c r="D608"/>
      <c r="E608"/>
      <c r="F608"/>
      <c r="G608"/>
      <c r="H608"/>
      <c r="I608"/>
    </row>
    <row r="609" spans="1:9" x14ac:dyDescent="0.25">
      <c r="A609"/>
      <c r="B609"/>
      <c r="C609"/>
      <c r="D609"/>
      <c r="E609"/>
      <c r="F609"/>
      <c r="G609"/>
      <c r="H609"/>
      <c r="I609"/>
    </row>
    <row r="610" spans="1:9" x14ac:dyDescent="0.25">
      <c r="A610"/>
      <c r="B610"/>
      <c r="C610"/>
      <c r="D610"/>
      <c r="E610"/>
      <c r="F610"/>
      <c r="G610"/>
      <c r="H610"/>
      <c r="I610"/>
    </row>
    <row r="611" spans="1:9" x14ac:dyDescent="0.25">
      <c r="A611"/>
      <c r="B611"/>
      <c r="C611"/>
      <c r="D611"/>
      <c r="E611"/>
      <c r="F611"/>
      <c r="G611"/>
      <c r="H611"/>
      <c r="I611"/>
    </row>
    <row r="612" spans="1:9" x14ac:dyDescent="0.25">
      <c r="A612"/>
      <c r="B612"/>
      <c r="C612"/>
      <c r="D612"/>
      <c r="E612"/>
      <c r="F612"/>
      <c r="G612"/>
      <c r="H612"/>
      <c r="I612"/>
    </row>
    <row r="613" spans="1:9" x14ac:dyDescent="0.25">
      <c r="A613"/>
      <c r="B613"/>
      <c r="C613"/>
      <c r="D613"/>
      <c r="E613"/>
      <c r="F613"/>
      <c r="G613"/>
      <c r="H613"/>
      <c r="I613"/>
    </row>
    <row r="614" spans="1:9" x14ac:dyDescent="0.25">
      <c r="A614"/>
      <c r="B614"/>
      <c r="C614"/>
      <c r="D614"/>
      <c r="E614"/>
      <c r="F614"/>
      <c r="G614"/>
      <c r="H614"/>
      <c r="I614"/>
    </row>
    <row r="615" spans="1:9" x14ac:dyDescent="0.25">
      <c r="A615"/>
      <c r="B615"/>
      <c r="C615"/>
      <c r="D615"/>
      <c r="E615"/>
      <c r="F615"/>
      <c r="G615"/>
      <c r="H615"/>
      <c r="I615"/>
    </row>
    <row r="616" spans="1:9" x14ac:dyDescent="0.25">
      <c r="A616"/>
      <c r="B616"/>
      <c r="C616"/>
      <c r="D616"/>
      <c r="E616"/>
      <c r="F616"/>
      <c r="G616"/>
      <c r="H616"/>
      <c r="I616"/>
    </row>
    <row r="617" spans="1:9" x14ac:dyDescent="0.25">
      <c r="A617"/>
      <c r="B617"/>
      <c r="C617"/>
      <c r="D617"/>
      <c r="E617"/>
      <c r="F617"/>
      <c r="G617"/>
      <c r="H617"/>
      <c r="I617"/>
    </row>
    <row r="618" spans="1:9" x14ac:dyDescent="0.25">
      <c r="A618"/>
      <c r="B618"/>
      <c r="C618"/>
      <c r="D618"/>
      <c r="E618"/>
      <c r="F618"/>
      <c r="G618"/>
      <c r="H618"/>
      <c r="I618"/>
    </row>
    <row r="619" spans="1:9" x14ac:dyDescent="0.25">
      <c r="A619"/>
      <c r="B619"/>
      <c r="C619"/>
      <c r="D619"/>
      <c r="E619"/>
      <c r="F619"/>
      <c r="G619"/>
      <c r="H619"/>
      <c r="I619"/>
    </row>
    <row r="620" spans="1:9" x14ac:dyDescent="0.25">
      <c r="A620"/>
      <c r="B620"/>
      <c r="C620"/>
      <c r="D620"/>
      <c r="E620"/>
      <c r="F620"/>
      <c r="G620"/>
      <c r="H620"/>
      <c r="I620"/>
    </row>
    <row r="621" spans="1:9" x14ac:dyDescent="0.25">
      <c r="A621"/>
      <c r="B621"/>
      <c r="C621"/>
      <c r="D621"/>
      <c r="E621"/>
      <c r="F621"/>
      <c r="G621"/>
      <c r="H621"/>
      <c r="I621"/>
    </row>
    <row r="622" spans="1:9" x14ac:dyDescent="0.25">
      <c r="A622"/>
      <c r="B622"/>
      <c r="C622"/>
      <c r="D622"/>
      <c r="E622"/>
      <c r="F622"/>
      <c r="G622"/>
      <c r="H622"/>
      <c r="I622"/>
    </row>
    <row r="623" spans="1:9" x14ac:dyDescent="0.25">
      <c r="A623"/>
      <c r="B623"/>
      <c r="C623"/>
      <c r="D623"/>
      <c r="E623"/>
      <c r="F623"/>
      <c r="G623"/>
      <c r="H623"/>
      <c r="I623"/>
    </row>
    <row r="624" spans="1:9" x14ac:dyDescent="0.25">
      <c r="A624"/>
      <c r="B624"/>
      <c r="C624"/>
      <c r="D624"/>
      <c r="E624"/>
      <c r="F624"/>
      <c r="G624"/>
      <c r="H624"/>
      <c r="I624"/>
    </row>
    <row r="625" spans="1:9" x14ac:dyDescent="0.25">
      <c r="A625"/>
      <c r="B625"/>
      <c r="C625"/>
      <c r="D625"/>
      <c r="E625"/>
      <c r="F625"/>
      <c r="G625"/>
      <c r="H625"/>
      <c r="I625"/>
    </row>
    <row r="626" spans="1:9" x14ac:dyDescent="0.25">
      <c r="A626"/>
      <c r="B626"/>
      <c r="C626"/>
      <c r="D626"/>
      <c r="E626"/>
      <c r="F626"/>
      <c r="G626"/>
      <c r="H626"/>
      <c r="I626"/>
    </row>
    <row r="627" spans="1:9" x14ac:dyDescent="0.25">
      <c r="A627"/>
      <c r="B627"/>
      <c r="C627"/>
      <c r="D627"/>
      <c r="E627"/>
      <c r="F627"/>
      <c r="G627"/>
      <c r="H627"/>
      <c r="I627"/>
    </row>
    <row r="628" spans="1:9" x14ac:dyDescent="0.25">
      <c r="A628"/>
      <c r="B628"/>
      <c r="C628"/>
      <c r="D628"/>
      <c r="E628"/>
      <c r="F628"/>
      <c r="G628"/>
      <c r="H628"/>
      <c r="I628"/>
    </row>
    <row r="629" spans="1:9" x14ac:dyDescent="0.25">
      <c r="A629"/>
      <c r="B629"/>
      <c r="C629"/>
      <c r="D629"/>
      <c r="E629"/>
      <c r="F629"/>
      <c r="G629"/>
      <c r="H629"/>
      <c r="I629"/>
    </row>
    <row r="630" spans="1:9" x14ac:dyDescent="0.25">
      <c r="A630"/>
      <c r="B630"/>
      <c r="C630"/>
      <c r="D630"/>
      <c r="E630"/>
      <c r="F630"/>
      <c r="G630"/>
      <c r="H630"/>
      <c r="I630"/>
    </row>
    <row r="631" spans="1:9" x14ac:dyDescent="0.25">
      <c r="A631"/>
      <c r="B631"/>
      <c r="C631"/>
      <c r="D631"/>
      <c r="E631"/>
      <c r="F631"/>
      <c r="G631"/>
      <c r="H631"/>
      <c r="I631"/>
    </row>
    <row r="632" spans="1:9" x14ac:dyDescent="0.25">
      <c r="A632"/>
      <c r="B632"/>
      <c r="C632"/>
      <c r="D632"/>
      <c r="E632"/>
      <c r="F632"/>
      <c r="G632"/>
      <c r="H632"/>
      <c r="I632"/>
    </row>
    <row r="633" spans="1:9" x14ac:dyDescent="0.25">
      <c r="A633"/>
      <c r="B633"/>
      <c r="C633"/>
      <c r="D633"/>
      <c r="E633"/>
      <c r="F633"/>
      <c r="G633"/>
      <c r="H633"/>
      <c r="I633"/>
    </row>
    <row r="634" spans="1:9" x14ac:dyDescent="0.25">
      <c r="A634"/>
      <c r="B634"/>
      <c r="C634"/>
      <c r="D634"/>
      <c r="E634"/>
      <c r="F634"/>
      <c r="G634"/>
      <c r="H634"/>
      <c r="I634"/>
    </row>
    <row r="635" spans="1:9" x14ac:dyDescent="0.25">
      <c r="A635"/>
      <c r="B635"/>
      <c r="C635"/>
      <c r="D635"/>
      <c r="E635"/>
      <c r="F635"/>
      <c r="G635"/>
      <c r="H635"/>
      <c r="I635"/>
    </row>
    <row r="636" spans="1:9" x14ac:dyDescent="0.25">
      <c r="A636"/>
      <c r="B636"/>
      <c r="C636"/>
      <c r="D636"/>
      <c r="E636"/>
      <c r="F636"/>
      <c r="G636"/>
      <c r="H636"/>
      <c r="I636"/>
    </row>
    <row r="637" spans="1:9" x14ac:dyDescent="0.25">
      <c r="A637"/>
      <c r="B637"/>
      <c r="C637"/>
      <c r="D637"/>
      <c r="E637"/>
      <c r="F637"/>
      <c r="G637"/>
      <c r="H637"/>
      <c r="I637"/>
    </row>
    <row r="638" spans="1:9" x14ac:dyDescent="0.25">
      <c r="A638"/>
      <c r="B638"/>
      <c r="C638"/>
      <c r="D638"/>
      <c r="E638"/>
      <c r="F638"/>
      <c r="G638"/>
      <c r="H638"/>
      <c r="I638"/>
    </row>
    <row r="639" spans="1:9" x14ac:dyDescent="0.25">
      <c r="A639"/>
      <c r="B639"/>
      <c r="C639"/>
      <c r="D639"/>
      <c r="E639"/>
      <c r="F639"/>
      <c r="G639"/>
      <c r="H639"/>
      <c r="I639"/>
    </row>
    <row r="640" spans="1:9" x14ac:dyDescent="0.25">
      <c r="A640"/>
      <c r="B640"/>
      <c r="C640"/>
      <c r="D640"/>
      <c r="E640"/>
      <c r="F640"/>
      <c r="G640"/>
      <c r="H640"/>
      <c r="I640"/>
    </row>
    <row r="641" spans="1:9" x14ac:dyDescent="0.25">
      <c r="A641"/>
      <c r="B641"/>
      <c r="C641"/>
      <c r="D641"/>
      <c r="E641"/>
      <c r="F641"/>
      <c r="G641"/>
      <c r="H641"/>
      <c r="I641"/>
    </row>
    <row r="642" spans="1:9" x14ac:dyDescent="0.25">
      <c r="A642"/>
      <c r="B642"/>
      <c r="C642"/>
      <c r="D642"/>
      <c r="E642"/>
      <c r="F642"/>
      <c r="G642"/>
      <c r="H642"/>
      <c r="I642"/>
    </row>
    <row r="643" spans="1:9" x14ac:dyDescent="0.25">
      <c r="A643"/>
      <c r="B643"/>
      <c r="C643"/>
      <c r="D643"/>
      <c r="E643"/>
      <c r="F643"/>
      <c r="G643"/>
      <c r="H643"/>
      <c r="I643"/>
    </row>
    <row r="644" spans="1:9" x14ac:dyDescent="0.25">
      <c r="A644"/>
      <c r="B644"/>
      <c r="C644"/>
      <c r="D644"/>
      <c r="E644"/>
      <c r="F644"/>
      <c r="G644"/>
      <c r="H644"/>
      <c r="I644"/>
    </row>
    <row r="645" spans="1:9" x14ac:dyDescent="0.25">
      <c r="A645"/>
      <c r="B645"/>
      <c r="C645"/>
      <c r="D645"/>
      <c r="E645"/>
      <c r="F645"/>
      <c r="G645"/>
      <c r="H645"/>
      <c r="I645"/>
    </row>
    <row r="646" spans="1:9" x14ac:dyDescent="0.25">
      <c r="A646"/>
      <c r="B646"/>
      <c r="C646"/>
      <c r="D646"/>
      <c r="E646"/>
      <c r="F646"/>
      <c r="G646"/>
      <c r="H646"/>
      <c r="I646"/>
    </row>
    <row r="647" spans="1:9" x14ac:dyDescent="0.25">
      <c r="A647"/>
      <c r="B647"/>
      <c r="C647"/>
      <c r="D647"/>
      <c r="E647"/>
      <c r="F647"/>
      <c r="G647"/>
      <c r="H647"/>
      <c r="I647"/>
    </row>
    <row r="648" spans="1:9" x14ac:dyDescent="0.25">
      <c r="A648"/>
      <c r="B648"/>
      <c r="C648"/>
      <c r="D648"/>
      <c r="E648"/>
      <c r="F648"/>
      <c r="G648"/>
      <c r="H648"/>
      <c r="I648"/>
    </row>
    <row r="649" spans="1:9" x14ac:dyDescent="0.25">
      <c r="A649"/>
      <c r="B649"/>
      <c r="C649"/>
      <c r="D649"/>
      <c r="E649"/>
      <c r="F649"/>
      <c r="G649"/>
      <c r="H649"/>
      <c r="I649"/>
    </row>
    <row r="650" spans="1:9" x14ac:dyDescent="0.25">
      <c r="A650"/>
      <c r="B650"/>
      <c r="C650"/>
      <c r="D650"/>
      <c r="E650"/>
      <c r="F650"/>
      <c r="G650"/>
      <c r="H650"/>
      <c r="I650"/>
    </row>
    <row r="651" spans="1:9" x14ac:dyDescent="0.25">
      <c r="A651"/>
      <c r="B651"/>
      <c r="C651"/>
      <c r="D651"/>
      <c r="E651"/>
      <c r="F651"/>
      <c r="G651"/>
      <c r="H651"/>
      <c r="I651"/>
    </row>
    <row r="652" spans="1:9" x14ac:dyDescent="0.25">
      <c r="A652"/>
      <c r="B652"/>
      <c r="C652"/>
      <c r="D652"/>
      <c r="E652"/>
      <c r="F652"/>
      <c r="G652"/>
      <c r="H652"/>
      <c r="I652"/>
    </row>
    <row r="653" spans="1:9" x14ac:dyDescent="0.25">
      <c r="A653"/>
      <c r="B653"/>
      <c r="C653"/>
      <c r="D653"/>
      <c r="E653"/>
      <c r="F653"/>
      <c r="G653"/>
      <c r="H653"/>
      <c r="I653"/>
    </row>
    <row r="654" spans="1:9" x14ac:dyDescent="0.25">
      <c r="A654"/>
      <c r="B654"/>
      <c r="C654"/>
      <c r="D654"/>
      <c r="E654"/>
      <c r="F654"/>
      <c r="G654"/>
      <c r="H654"/>
      <c r="I654"/>
    </row>
    <row r="655" spans="1:9" x14ac:dyDescent="0.25">
      <c r="A655"/>
      <c r="B655"/>
      <c r="C655"/>
      <c r="D655"/>
      <c r="E655"/>
      <c r="F655"/>
      <c r="G655"/>
      <c r="H655"/>
      <c r="I655"/>
    </row>
    <row r="656" spans="1:9" x14ac:dyDescent="0.25">
      <c r="A656"/>
      <c r="B656"/>
      <c r="C656"/>
      <c r="D656"/>
      <c r="E656"/>
      <c r="F656"/>
      <c r="G656"/>
      <c r="H656"/>
      <c r="I656"/>
    </row>
    <row r="657" spans="1:9" x14ac:dyDescent="0.25">
      <c r="A657"/>
      <c r="B657"/>
      <c r="C657"/>
      <c r="D657"/>
      <c r="E657"/>
      <c r="F657"/>
      <c r="G657"/>
      <c r="H657"/>
      <c r="I657"/>
    </row>
    <row r="658" spans="1:9" x14ac:dyDescent="0.25">
      <c r="A658"/>
      <c r="B658"/>
      <c r="C658"/>
      <c r="D658"/>
      <c r="E658"/>
      <c r="F658"/>
      <c r="G658"/>
      <c r="H658"/>
      <c r="I658"/>
    </row>
    <row r="659" spans="1:9" x14ac:dyDescent="0.25">
      <c r="A659"/>
      <c r="B659"/>
      <c r="C659"/>
      <c r="D659"/>
      <c r="E659"/>
      <c r="F659"/>
      <c r="G659"/>
      <c r="H659"/>
      <c r="I659"/>
    </row>
    <row r="660" spans="1:9" x14ac:dyDescent="0.25">
      <c r="A660"/>
      <c r="B660"/>
      <c r="C660"/>
      <c r="D660"/>
      <c r="E660"/>
      <c r="F660"/>
      <c r="G660"/>
      <c r="H660"/>
      <c r="I660"/>
    </row>
    <row r="661" spans="1:9" x14ac:dyDescent="0.25">
      <c r="A661"/>
      <c r="B661"/>
      <c r="C661"/>
      <c r="D661"/>
      <c r="E661"/>
      <c r="F661"/>
      <c r="G661"/>
      <c r="H661"/>
      <c r="I661"/>
    </row>
    <row r="662" spans="1:9" x14ac:dyDescent="0.25">
      <c r="A662"/>
      <c r="B662"/>
      <c r="C662"/>
      <c r="D662"/>
      <c r="E662"/>
      <c r="F662"/>
      <c r="G662"/>
      <c r="H662"/>
      <c r="I662"/>
    </row>
    <row r="663" spans="1:9" x14ac:dyDescent="0.25">
      <c r="A663"/>
      <c r="B663"/>
      <c r="C663"/>
      <c r="D663"/>
      <c r="E663"/>
      <c r="F663"/>
      <c r="G663"/>
      <c r="H663"/>
      <c r="I663"/>
    </row>
    <row r="664" spans="1:9" x14ac:dyDescent="0.25">
      <c r="A664"/>
      <c r="B664"/>
      <c r="C664"/>
      <c r="D664"/>
      <c r="E664"/>
      <c r="F664"/>
      <c r="G664"/>
      <c r="H664"/>
      <c r="I664"/>
    </row>
    <row r="665" spans="1:9" x14ac:dyDescent="0.25">
      <c r="A665"/>
      <c r="B665"/>
      <c r="C665"/>
      <c r="D665"/>
      <c r="E665"/>
      <c r="F665"/>
      <c r="G665"/>
      <c r="H665"/>
      <c r="I665"/>
    </row>
    <row r="666" spans="1:9" x14ac:dyDescent="0.25">
      <c r="A666"/>
      <c r="B666"/>
      <c r="C666"/>
      <c r="D666"/>
      <c r="E666"/>
      <c r="F666"/>
      <c r="G666"/>
      <c r="H666"/>
      <c r="I666"/>
    </row>
    <row r="667" spans="1:9" x14ac:dyDescent="0.25">
      <c r="A667"/>
      <c r="B667"/>
      <c r="C667"/>
      <c r="D667"/>
      <c r="E667"/>
      <c r="F667"/>
      <c r="G667"/>
      <c r="H667"/>
      <c r="I667"/>
    </row>
    <row r="668" spans="1:9" x14ac:dyDescent="0.25">
      <c r="A668"/>
      <c r="B668"/>
      <c r="C668"/>
      <c r="D668"/>
      <c r="E668"/>
      <c r="F668"/>
      <c r="G668"/>
      <c r="H668"/>
      <c r="I668"/>
    </row>
    <row r="669" spans="1:9" x14ac:dyDescent="0.25">
      <c r="A669"/>
      <c r="B669"/>
      <c r="C669"/>
      <c r="D669"/>
      <c r="E669"/>
      <c r="F669"/>
      <c r="G669"/>
      <c r="H669"/>
      <c r="I669"/>
    </row>
    <row r="670" spans="1:9" x14ac:dyDescent="0.25">
      <c r="A670"/>
      <c r="B670"/>
      <c r="C670"/>
      <c r="D670"/>
      <c r="E670"/>
      <c r="F670"/>
      <c r="G670"/>
      <c r="H670"/>
      <c r="I670"/>
    </row>
    <row r="671" spans="1:9" x14ac:dyDescent="0.25">
      <c r="A671"/>
      <c r="B671"/>
      <c r="C671"/>
      <c r="D671"/>
      <c r="E671"/>
      <c r="F671"/>
      <c r="G671"/>
      <c r="H671"/>
      <c r="I671"/>
    </row>
    <row r="672" spans="1:9" x14ac:dyDescent="0.25">
      <c r="A672"/>
      <c r="B672"/>
      <c r="C672"/>
      <c r="D672"/>
      <c r="E672"/>
      <c r="F672"/>
      <c r="G672"/>
      <c r="H672"/>
      <c r="I672"/>
    </row>
    <row r="673" spans="1:9" x14ac:dyDescent="0.25">
      <c r="A673"/>
      <c r="B673"/>
      <c r="C673"/>
      <c r="D673"/>
      <c r="E673"/>
      <c r="F673"/>
      <c r="G673"/>
      <c r="H673"/>
      <c r="I673"/>
    </row>
    <row r="674" spans="1:9" x14ac:dyDescent="0.25">
      <c r="A674"/>
      <c r="B674"/>
      <c r="C674"/>
      <c r="D674"/>
      <c r="E674"/>
      <c r="F674"/>
      <c r="G674"/>
      <c r="H674"/>
      <c r="I674"/>
    </row>
    <row r="675" spans="1:9" x14ac:dyDescent="0.25">
      <c r="A675"/>
      <c r="B675"/>
      <c r="C675"/>
      <c r="D675"/>
      <c r="E675"/>
      <c r="F675"/>
      <c r="G675"/>
      <c r="H675"/>
      <c r="I675"/>
    </row>
    <row r="676" spans="1:9" x14ac:dyDescent="0.25">
      <c r="A676"/>
      <c r="B676"/>
      <c r="C676"/>
      <c r="D676"/>
      <c r="E676"/>
      <c r="F676"/>
      <c r="G676"/>
      <c r="H676"/>
      <c r="I676"/>
    </row>
    <row r="677" spans="1:9" x14ac:dyDescent="0.25">
      <c r="A677"/>
      <c r="B677"/>
      <c r="C677"/>
      <c r="D677"/>
      <c r="E677"/>
      <c r="F677"/>
      <c r="G677"/>
      <c r="H677"/>
      <c r="I677"/>
    </row>
    <row r="678" spans="1:9" x14ac:dyDescent="0.25">
      <c r="A678"/>
      <c r="B678"/>
      <c r="C678"/>
      <c r="D678"/>
      <c r="E678"/>
      <c r="F678"/>
      <c r="G678"/>
      <c r="H678"/>
      <c r="I678"/>
    </row>
    <row r="679" spans="1:9" x14ac:dyDescent="0.25">
      <c r="A679"/>
      <c r="B679"/>
      <c r="C679"/>
      <c r="D679"/>
      <c r="E679"/>
      <c r="F679"/>
      <c r="G679"/>
      <c r="H679"/>
      <c r="I679"/>
    </row>
    <row r="680" spans="1:9" x14ac:dyDescent="0.25">
      <c r="A680"/>
      <c r="B680"/>
      <c r="C680"/>
      <c r="D680"/>
      <c r="E680"/>
      <c r="F680"/>
      <c r="G680"/>
      <c r="H680"/>
      <c r="I680"/>
    </row>
    <row r="681" spans="1:9" x14ac:dyDescent="0.25">
      <c r="A681"/>
      <c r="B681"/>
      <c r="C681"/>
      <c r="D681"/>
      <c r="E681"/>
      <c r="F681"/>
      <c r="G681"/>
      <c r="H681"/>
      <c r="I681"/>
    </row>
    <row r="682" spans="1:9" x14ac:dyDescent="0.25">
      <c r="A682"/>
      <c r="B682"/>
      <c r="C682"/>
      <c r="D682"/>
      <c r="E682"/>
      <c r="F682"/>
      <c r="G682"/>
      <c r="H682"/>
      <c r="I682"/>
    </row>
    <row r="683" spans="1:9" x14ac:dyDescent="0.25">
      <c r="A683"/>
      <c r="B683"/>
      <c r="C683"/>
      <c r="D683"/>
      <c r="E683"/>
      <c r="F683"/>
      <c r="G683"/>
      <c r="H683"/>
      <c r="I683"/>
    </row>
    <row r="684" spans="1:9" x14ac:dyDescent="0.25">
      <c r="A684"/>
      <c r="B684"/>
      <c r="C684"/>
      <c r="D684"/>
      <c r="E684"/>
      <c r="F684"/>
      <c r="G684"/>
      <c r="H684"/>
      <c r="I684"/>
    </row>
    <row r="685" spans="1:9" x14ac:dyDescent="0.25">
      <c r="A685"/>
      <c r="B685"/>
      <c r="C685"/>
      <c r="D685"/>
      <c r="E685"/>
      <c r="F685"/>
      <c r="G685"/>
      <c r="H685"/>
      <c r="I685"/>
    </row>
    <row r="686" spans="1:9" x14ac:dyDescent="0.25">
      <c r="A686"/>
      <c r="B686"/>
      <c r="C686"/>
      <c r="D686"/>
      <c r="E686"/>
      <c r="F686"/>
      <c r="G686"/>
      <c r="H686"/>
      <c r="I686"/>
    </row>
    <row r="687" spans="1:9" x14ac:dyDescent="0.25">
      <c r="A687"/>
      <c r="B687"/>
      <c r="C687"/>
      <c r="D687"/>
      <c r="E687"/>
      <c r="F687"/>
      <c r="G687"/>
      <c r="H687"/>
      <c r="I687"/>
    </row>
    <row r="688" spans="1:9" x14ac:dyDescent="0.25">
      <c r="A688"/>
      <c r="B688"/>
      <c r="C688"/>
      <c r="D688"/>
      <c r="E688"/>
      <c r="F688"/>
      <c r="G688"/>
      <c r="H688"/>
      <c r="I688"/>
    </row>
    <row r="689" spans="1:9" x14ac:dyDescent="0.25">
      <c r="A689"/>
      <c r="B689"/>
      <c r="C689"/>
      <c r="D689"/>
      <c r="E689"/>
      <c r="F689"/>
      <c r="G689"/>
      <c r="H689"/>
      <c r="I689"/>
    </row>
    <row r="690" spans="1:9" x14ac:dyDescent="0.25">
      <c r="A690"/>
      <c r="B690"/>
      <c r="C690"/>
      <c r="D690"/>
      <c r="E690"/>
      <c r="F690"/>
      <c r="G690"/>
      <c r="H690"/>
      <c r="I690"/>
    </row>
    <row r="691" spans="1:9" x14ac:dyDescent="0.25">
      <c r="A691"/>
      <c r="B691"/>
      <c r="C691"/>
      <c r="D691"/>
      <c r="E691"/>
      <c r="F691"/>
      <c r="G691"/>
      <c r="H691"/>
      <c r="I691"/>
    </row>
    <row r="692" spans="1:9" x14ac:dyDescent="0.25">
      <c r="A692"/>
      <c r="B692"/>
      <c r="C692"/>
      <c r="D692"/>
      <c r="E692"/>
      <c r="F692"/>
      <c r="G692"/>
      <c r="H692"/>
      <c r="I692"/>
    </row>
    <row r="693" spans="1:9" x14ac:dyDescent="0.25">
      <c r="A693"/>
      <c r="B693"/>
      <c r="C693"/>
      <c r="D693"/>
      <c r="E693"/>
      <c r="F693"/>
      <c r="G693"/>
      <c r="H693"/>
      <c r="I693"/>
    </row>
    <row r="694" spans="1:9" x14ac:dyDescent="0.25">
      <c r="A694"/>
      <c r="B694"/>
      <c r="C694"/>
      <c r="D694"/>
      <c r="E694"/>
      <c r="F694"/>
      <c r="G694"/>
      <c r="H694"/>
      <c r="I694"/>
    </row>
    <row r="695" spans="1:9" x14ac:dyDescent="0.25">
      <c r="A695"/>
      <c r="B695"/>
      <c r="C695"/>
      <c r="D695"/>
      <c r="E695"/>
      <c r="F695"/>
      <c r="G695"/>
      <c r="H695"/>
      <c r="I695"/>
    </row>
    <row r="696" spans="1:9" x14ac:dyDescent="0.25">
      <c r="A696"/>
      <c r="B696"/>
      <c r="C696"/>
      <c r="D696"/>
      <c r="E696"/>
      <c r="F696"/>
      <c r="G696"/>
      <c r="H696"/>
      <c r="I696"/>
    </row>
    <row r="697" spans="1:9" x14ac:dyDescent="0.25">
      <c r="A697"/>
      <c r="B697"/>
      <c r="C697"/>
      <c r="D697"/>
      <c r="E697"/>
      <c r="F697"/>
      <c r="G697"/>
      <c r="H697"/>
      <c r="I697"/>
    </row>
    <row r="698" spans="1:9" x14ac:dyDescent="0.25">
      <c r="A698"/>
      <c r="B698"/>
      <c r="C698"/>
      <c r="D698"/>
      <c r="E698"/>
      <c r="F698"/>
      <c r="G698"/>
      <c r="H698"/>
      <c r="I698"/>
    </row>
    <row r="699" spans="1:9" x14ac:dyDescent="0.25">
      <c r="A699"/>
      <c r="B699"/>
      <c r="C699"/>
      <c r="D699"/>
      <c r="E699"/>
      <c r="F699"/>
      <c r="G699"/>
      <c r="H699"/>
      <c r="I699"/>
    </row>
    <row r="700" spans="1:9" x14ac:dyDescent="0.25">
      <c r="A700"/>
      <c r="B700"/>
      <c r="C700"/>
      <c r="D700"/>
      <c r="E700"/>
      <c r="F700"/>
      <c r="G700"/>
      <c r="H700"/>
      <c r="I700"/>
    </row>
    <row r="701" spans="1:9" x14ac:dyDescent="0.25">
      <c r="A701"/>
      <c r="B701"/>
      <c r="C701"/>
      <c r="D701"/>
      <c r="E701"/>
      <c r="F701"/>
      <c r="G701"/>
      <c r="H701"/>
      <c r="I701"/>
    </row>
    <row r="702" spans="1:9" x14ac:dyDescent="0.25">
      <c r="A702"/>
      <c r="B702"/>
      <c r="C702"/>
      <c r="D702"/>
      <c r="E702"/>
      <c r="F702"/>
      <c r="G702"/>
      <c r="H702"/>
      <c r="I702"/>
    </row>
    <row r="703" spans="1:9" x14ac:dyDescent="0.25">
      <c r="A703"/>
      <c r="B703"/>
      <c r="C703"/>
      <c r="D703"/>
      <c r="E703"/>
      <c r="F703"/>
      <c r="G703"/>
      <c r="H703"/>
      <c r="I703"/>
    </row>
    <row r="704" spans="1:9" x14ac:dyDescent="0.25">
      <c r="A704"/>
      <c r="B704"/>
      <c r="C704"/>
      <c r="D704"/>
      <c r="E704"/>
      <c r="F704"/>
      <c r="G704"/>
      <c r="H704"/>
      <c r="I704"/>
    </row>
    <row r="705" spans="1:9" x14ac:dyDescent="0.25">
      <c r="A705"/>
      <c r="B705"/>
      <c r="C705"/>
      <c r="D705"/>
      <c r="E705"/>
      <c r="F705"/>
      <c r="G705"/>
      <c r="H705"/>
      <c r="I705"/>
    </row>
    <row r="706" spans="1:9" x14ac:dyDescent="0.25">
      <c r="A706"/>
      <c r="B706"/>
      <c r="C706"/>
      <c r="D706"/>
      <c r="E706"/>
      <c r="F706"/>
      <c r="G706"/>
      <c r="H706"/>
      <c r="I706"/>
    </row>
    <row r="707" spans="1:9" x14ac:dyDescent="0.25">
      <c r="A707"/>
      <c r="B707"/>
      <c r="C707"/>
      <c r="D707"/>
      <c r="E707"/>
      <c r="F707"/>
      <c r="G707"/>
      <c r="H707"/>
      <c r="I707"/>
    </row>
    <row r="708" spans="1:9" x14ac:dyDescent="0.25">
      <c r="A708"/>
      <c r="B708"/>
      <c r="C708"/>
      <c r="D708"/>
      <c r="E708"/>
      <c r="F708"/>
      <c r="G708"/>
      <c r="H708"/>
      <c r="I708"/>
    </row>
    <row r="709" spans="1:9" x14ac:dyDescent="0.25">
      <c r="A709"/>
      <c r="B709"/>
      <c r="C709"/>
      <c r="D709"/>
      <c r="E709"/>
      <c r="F709"/>
      <c r="G709"/>
      <c r="H709"/>
      <c r="I709"/>
    </row>
    <row r="710" spans="1:9" x14ac:dyDescent="0.25">
      <c r="A710"/>
      <c r="B710"/>
      <c r="C710"/>
      <c r="D710"/>
      <c r="E710"/>
      <c r="F710"/>
      <c r="G710"/>
      <c r="H710"/>
      <c r="I710"/>
    </row>
    <row r="711" spans="1:9" x14ac:dyDescent="0.25">
      <c r="A711"/>
      <c r="B711"/>
      <c r="C711"/>
      <c r="D711"/>
      <c r="E711"/>
      <c r="F711"/>
      <c r="G711"/>
      <c r="H711"/>
      <c r="I711"/>
    </row>
    <row r="712" spans="1:9" x14ac:dyDescent="0.25">
      <c r="A712"/>
      <c r="B712"/>
      <c r="C712"/>
      <c r="D712"/>
      <c r="E712"/>
      <c r="F712"/>
      <c r="G712"/>
      <c r="H712"/>
      <c r="I712"/>
    </row>
    <row r="713" spans="1:9" x14ac:dyDescent="0.25">
      <c r="A713"/>
      <c r="B713"/>
      <c r="C713"/>
      <c r="D713"/>
      <c r="E713"/>
      <c r="F713"/>
      <c r="G713"/>
      <c r="H713"/>
      <c r="I713"/>
    </row>
    <row r="714" spans="1:9" x14ac:dyDescent="0.25">
      <c r="A714"/>
      <c r="B714"/>
      <c r="C714"/>
      <c r="D714"/>
      <c r="E714"/>
      <c r="F714"/>
      <c r="G714"/>
      <c r="H714"/>
      <c r="I714"/>
    </row>
    <row r="715" spans="1:9" x14ac:dyDescent="0.25">
      <c r="A715"/>
      <c r="B715"/>
      <c r="C715"/>
      <c r="D715"/>
      <c r="E715"/>
      <c r="F715"/>
      <c r="G715"/>
      <c r="H715"/>
      <c r="I715"/>
    </row>
    <row r="716" spans="1:9" x14ac:dyDescent="0.25">
      <c r="A716"/>
      <c r="B716"/>
      <c r="C716"/>
      <c r="D716"/>
      <c r="E716"/>
      <c r="F716"/>
      <c r="G716"/>
      <c r="H716"/>
      <c r="I716"/>
    </row>
    <row r="717" spans="1:9" x14ac:dyDescent="0.25">
      <c r="A717"/>
      <c r="B717"/>
      <c r="C717"/>
      <c r="D717"/>
      <c r="E717"/>
      <c r="F717"/>
      <c r="G717"/>
      <c r="H717"/>
      <c r="I717"/>
    </row>
    <row r="718" spans="1:9" x14ac:dyDescent="0.25">
      <c r="A718"/>
      <c r="B718"/>
      <c r="C718"/>
      <c r="D718"/>
      <c r="E718"/>
      <c r="F718"/>
      <c r="G718"/>
      <c r="H718"/>
      <c r="I718"/>
    </row>
    <row r="719" spans="1:9" x14ac:dyDescent="0.25">
      <c r="A719"/>
      <c r="B719"/>
      <c r="C719"/>
      <c r="D719"/>
      <c r="E719"/>
      <c r="F719"/>
      <c r="G719"/>
      <c r="H719"/>
      <c r="I719"/>
    </row>
    <row r="720" spans="1:9" x14ac:dyDescent="0.25">
      <c r="A720"/>
      <c r="B720"/>
      <c r="C720"/>
      <c r="D720"/>
      <c r="E720"/>
      <c r="F720"/>
      <c r="G720"/>
      <c r="H720"/>
      <c r="I720"/>
    </row>
    <row r="721" spans="1:9" x14ac:dyDescent="0.25">
      <c r="A721"/>
      <c r="B721"/>
      <c r="C721"/>
      <c r="D721"/>
      <c r="E721"/>
      <c r="F721"/>
      <c r="G721"/>
      <c r="H721"/>
      <c r="I721"/>
    </row>
    <row r="722" spans="1:9" x14ac:dyDescent="0.25">
      <c r="A722"/>
      <c r="B722"/>
      <c r="C722"/>
      <c r="D722"/>
      <c r="E722"/>
      <c r="F722"/>
      <c r="G722"/>
      <c r="H722"/>
      <c r="I722"/>
    </row>
    <row r="723" spans="1:9" x14ac:dyDescent="0.25">
      <c r="A723"/>
      <c r="B723"/>
      <c r="C723"/>
      <c r="D723"/>
      <c r="E723"/>
      <c r="F723"/>
      <c r="G723"/>
      <c r="H723"/>
      <c r="I723"/>
    </row>
    <row r="724" spans="1:9" x14ac:dyDescent="0.25">
      <c r="A724"/>
      <c r="B724"/>
      <c r="C724"/>
      <c r="D724"/>
      <c r="E724"/>
      <c r="F724"/>
      <c r="G724"/>
      <c r="H724"/>
      <c r="I724"/>
    </row>
    <row r="725" spans="1:9" x14ac:dyDescent="0.25">
      <c r="A725"/>
      <c r="B725"/>
      <c r="C725"/>
      <c r="D725"/>
      <c r="E725"/>
      <c r="F725"/>
      <c r="G725"/>
      <c r="H725"/>
      <c r="I725"/>
    </row>
    <row r="726" spans="1:9" x14ac:dyDescent="0.25">
      <c r="A726"/>
      <c r="B726"/>
      <c r="C726"/>
      <c r="D726"/>
      <c r="E726"/>
      <c r="F726"/>
      <c r="G726"/>
      <c r="H726"/>
      <c r="I726"/>
    </row>
    <row r="727" spans="1:9" x14ac:dyDescent="0.25">
      <c r="A727"/>
      <c r="B727"/>
      <c r="C727"/>
      <c r="D727"/>
      <c r="E727"/>
      <c r="F727"/>
      <c r="G727"/>
      <c r="H727"/>
      <c r="I727"/>
    </row>
    <row r="728" spans="1:9" x14ac:dyDescent="0.25">
      <c r="A728"/>
      <c r="B728"/>
      <c r="C728"/>
      <c r="D728"/>
      <c r="E728"/>
      <c r="F728"/>
      <c r="G728"/>
      <c r="H728"/>
      <c r="I728"/>
    </row>
    <row r="729" spans="1:9" x14ac:dyDescent="0.25">
      <c r="A729"/>
      <c r="B729"/>
      <c r="C729"/>
      <c r="D729"/>
      <c r="E729"/>
      <c r="F729"/>
      <c r="G729"/>
      <c r="H729"/>
      <c r="I729"/>
    </row>
    <row r="730" spans="1:9" x14ac:dyDescent="0.25">
      <c r="A730"/>
      <c r="B730"/>
      <c r="C730"/>
      <c r="D730"/>
      <c r="E730"/>
      <c r="F730"/>
      <c r="G730"/>
      <c r="H730"/>
      <c r="I730"/>
    </row>
    <row r="731" spans="1:9" x14ac:dyDescent="0.25">
      <c r="A731"/>
      <c r="B731"/>
      <c r="C731"/>
      <c r="D731"/>
      <c r="E731"/>
      <c r="F731"/>
      <c r="G731"/>
      <c r="H731"/>
      <c r="I731"/>
    </row>
    <row r="732" spans="1:9" x14ac:dyDescent="0.25">
      <c r="A732"/>
      <c r="B732"/>
      <c r="C732"/>
      <c r="D732"/>
      <c r="E732"/>
      <c r="F732"/>
      <c r="G732"/>
      <c r="H732"/>
      <c r="I732"/>
    </row>
    <row r="733" spans="1:9" x14ac:dyDescent="0.25">
      <c r="A733"/>
      <c r="B733"/>
      <c r="C733"/>
      <c r="D733"/>
      <c r="E733"/>
      <c r="F733"/>
      <c r="G733"/>
      <c r="H733"/>
      <c r="I733"/>
    </row>
    <row r="734" spans="1:9" x14ac:dyDescent="0.25">
      <c r="A734"/>
      <c r="B734"/>
      <c r="C734"/>
      <c r="D734"/>
      <c r="E734"/>
      <c r="F734"/>
      <c r="G734"/>
      <c r="H734"/>
      <c r="I734"/>
    </row>
    <row r="735" spans="1:9" x14ac:dyDescent="0.25">
      <c r="A735"/>
      <c r="B735"/>
      <c r="C735"/>
      <c r="D735"/>
      <c r="E735"/>
      <c r="F735"/>
      <c r="G735"/>
      <c r="H735"/>
      <c r="I735"/>
    </row>
    <row r="736" spans="1:9" x14ac:dyDescent="0.25">
      <c r="A736"/>
      <c r="B736"/>
      <c r="C736"/>
      <c r="D736"/>
      <c r="E736"/>
      <c r="F736"/>
      <c r="G736"/>
      <c r="H736"/>
      <c r="I736"/>
    </row>
    <row r="737" spans="1:9" x14ac:dyDescent="0.25">
      <c r="A737"/>
      <c r="B737"/>
      <c r="C737"/>
      <c r="D737"/>
      <c r="E737"/>
      <c r="F737"/>
      <c r="G737"/>
      <c r="H737"/>
      <c r="I737"/>
    </row>
    <row r="738" spans="1:9" x14ac:dyDescent="0.25">
      <c r="A738"/>
      <c r="B738"/>
      <c r="C738"/>
      <c r="D738"/>
      <c r="E738"/>
      <c r="F738"/>
      <c r="G738"/>
      <c r="H738"/>
      <c r="I738"/>
    </row>
    <row r="739" spans="1:9" x14ac:dyDescent="0.25">
      <c r="A739"/>
      <c r="B739"/>
      <c r="C739"/>
      <c r="D739"/>
      <c r="E739"/>
      <c r="F739"/>
      <c r="G739"/>
      <c r="H739"/>
      <c r="I739"/>
    </row>
    <row r="740" spans="1:9" x14ac:dyDescent="0.25">
      <c r="A740"/>
      <c r="B740"/>
      <c r="C740"/>
      <c r="D740"/>
      <c r="E740"/>
      <c r="F740"/>
      <c r="G740"/>
      <c r="H740"/>
      <c r="I740"/>
    </row>
    <row r="741" spans="1:9" x14ac:dyDescent="0.25">
      <c r="A741"/>
      <c r="B741"/>
      <c r="C741"/>
      <c r="D741"/>
      <c r="E741"/>
      <c r="F741"/>
      <c r="G741"/>
      <c r="H741"/>
      <c r="I741"/>
    </row>
    <row r="742" spans="1:9" x14ac:dyDescent="0.25">
      <c r="A742"/>
      <c r="B742"/>
      <c r="C742"/>
      <c r="D742"/>
      <c r="E742"/>
      <c r="F742"/>
      <c r="G742"/>
      <c r="H742"/>
      <c r="I742"/>
    </row>
    <row r="743" spans="1:9" x14ac:dyDescent="0.25">
      <c r="A743"/>
      <c r="B743"/>
      <c r="C743"/>
      <c r="D743"/>
      <c r="E743"/>
      <c r="F743"/>
      <c r="G743"/>
      <c r="H743"/>
      <c r="I743"/>
    </row>
    <row r="744" spans="1:9" x14ac:dyDescent="0.25">
      <c r="A744"/>
      <c r="B744"/>
      <c r="C744"/>
      <c r="D744"/>
      <c r="E744"/>
      <c r="F744"/>
      <c r="G744"/>
      <c r="H744"/>
      <c r="I744"/>
    </row>
    <row r="745" spans="1:9" x14ac:dyDescent="0.25">
      <c r="A745"/>
      <c r="B745"/>
      <c r="C745"/>
      <c r="D745"/>
      <c r="E745"/>
      <c r="F745"/>
      <c r="G745"/>
      <c r="H745"/>
      <c r="I745"/>
    </row>
    <row r="746" spans="1:9" x14ac:dyDescent="0.25">
      <c r="A746"/>
      <c r="B746"/>
      <c r="C746"/>
      <c r="D746"/>
      <c r="E746"/>
      <c r="F746"/>
      <c r="G746"/>
      <c r="H746"/>
      <c r="I746"/>
    </row>
    <row r="747" spans="1:9" x14ac:dyDescent="0.25">
      <c r="A747"/>
      <c r="B747"/>
      <c r="C747"/>
      <c r="D747"/>
      <c r="E747"/>
      <c r="F747"/>
      <c r="G747"/>
      <c r="H747"/>
      <c r="I747"/>
    </row>
    <row r="748" spans="1:9" x14ac:dyDescent="0.25">
      <c r="A748"/>
      <c r="B748"/>
      <c r="C748"/>
      <c r="D748"/>
      <c r="E748"/>
      <c r="F748"/>
      <c r="G748"/>
      <c r="H748"/>
      <c r="I748"/>
    </row>
    <row r="749" spans="1:9" x14ac:dyDescent="0.25">
      <c r="A749"/>
      <c r="B749"/>
      <c r="C749"/>
      <c r="D749"/>
      <c r="E749"/>
      <c r="F749"/>
      <c r="G749"/>
      <c r="H749"/>
      <c r="I749"/>
    </row>
    <row r="750" spans="1:9" x14ac:dyDescent="0.25">
      <c r="A750"/>
      <c r="B750"/>
      <c r="C750"/>
      <c r="D750"/>
      <c r="E750"/>
      <c r="F750"/>
      <c r="G750"/>
      <c r="H750"/>
      <c r="I750"/>
    </row>
    <row r="751" spans="1:9" x14ac:dyDescent="0.25">
      <c r="A751"/>
      <c r="B751"/>
      <c r="C751"/>
      <c r="D751"/>
      <c r="E751"/>
      <c r="F751"/>
      <c r="G751"/>
      <c r="H751"/>
      <c r="I751"/>
    </row>
    <row r="752" spans="1:9" x14ac:dyDescent="0.25">
      <c r="A752"/>
      <c r="B752"/>
      <c r="C752"/>
      <c r="D752"/>
      <c r="E752"/>
      <c r="F752"/>
      <c r="G752"/>
      <c r="H752"/>
      <c r="I752"/>
    </row>
    <row r="753" spans="1:9" x14ac:dyDescent="0.25">
      <c r="A753"/>
      <c r="B753"/>
      <c r="C753"/>
      <c r="D753"/>
      <c r="E753"/>
      <c r="F753"/>
      <c r="G753"/>
      <c r="H753"/>
      <c r="I753"/>
    </row>
    <row r="754" spans="1:9" x14ac:dyDescent="0.25">
      <c r="A754"/>
      <c r="B754"/>
      <c r="C754"/>
      <c r="D754"/>
      <c r="E754"/>
      <c r="F754"/>
      <c r="G754"/>
      <c r="H754"/>
      <c r="I754"/>
    </row>
    <row r="755" spans="1:9" x14ac:dyDescent="0.25">
      <c r="A755"/>
      <c r="B755"/>
      <c r="C755"/>
      <c r="D755"/>
      <c r="E755"/>
      <c r="F755"/>
      <c r="G755"/>
      <c r="H755"/>
      <c r="I755"/>
    </row>
    <row r="756" spans="1:9" x14ac:dyDescent="0.25">
      <c r="A756"/>
      <c r="B756"/>
      <c r="C756"/>
      <c r="D756"/>
      <c r="E756"/>
      <c r="F756"/>
      <c r="G756"/>
      <c r="H756"/>
      <c r="I756"/>
    </row>
    <row r="757" spans="1:9" x14ac:dyDescent="0.25">
      <c r="A757"/>
      <c r="B757"/>
      <c r="C757"/>
      <c r="D757"/>
      <c r="E757"/>
      <c r="F757"/>
      <c r="G757"/>
      <c r="H757"/>
      <c r="I757"/>
    </row>
    <row r="758" spans="1:9" x14ac:dyDescent="0.25">
      <c r="A758"/>
      <c r="B758"/>
      <c r="C758"/>
      <c r="D758"/>
      <c r="E758"/>
      <c r="F758"/>
      <c r="G758"/>
      <c r="H758"/>
      <c r="I758"/>
    </row>
    <row r="759" spans="1:9" x14ac:dyDescent="0.25">
      <c r="A759"/>
      <c r="B759"/>
      <c r="C759"/>
      <c r="D759"/>
      <c r="E759"/>
      <c r="F759"/>
      <c r="G759"/>
      <c r="H759"/>
      <c r="I759"/>
    </row>
    <row r="760" spans="1:9" x14ac:dyDescent="0.25">
      <c r="A760"/>
      <c r="B760"/>
      <c r="C760"/>
      <c r="D760"/>
      <c r="E760"/>
      <c r="F760"/>
      <c r="G760"/>
      <c r="H760"/>
      <c r="I760"/>
    </row>
    <row r="761" spans="1:9" x14ac:dyDescent="0.25">
      <c r="A761"/>
      <c r="B761"/>
      <c r="C761"/>
      <c r="D761"/>
      <c r="E761"/>
      <c r="F761"/>
      <c r="G761"/>
      <c r="H761"/>
      <c r="I761"/>
    </row>
    <row r="762" spans="1:9" x14ac:dyDescent="0.25">
      <c r="A762"/>
      <c r="B762"/>
      <c r="C762"/>
      <c r="D762"/>
      <c r="E762"/>
      <c r="F762"/>
      <c r="G762"/>
      <c r="H762"/>
      <c r="I762"/>
    </row>
    <row r="763" spans="1:9" x14ac:dyDescent="0.25">
      <c r="A763"/>
      <c r="B763"/>
      <c r="C763"/>
      <c r="D763"/>
      <c r="E763"/>
      <c r="F763"/>
      <c r="G763"/>
      <c r="H763"/>
      <c r="I763"/>
    </row>
    <row r="764" spans="1:9" x14ac:dyDescent="0.25">
      <c r="A764"/>
      <c r="B764"/>
      <c r="C764"/>
      <c r="D764"/>
      <c r="E764"/>
      <c r="F764"/>
      <c r="G764"/>
      <c r="H764"/>
      <c r="I764"/>
    </row>
    <row r="765" spans="1:9" x14ac:dyDescent="0.25">
      <c r="A765"/>
      <c r="B765"/>
      <c r="C765"/>
      <c r="D765"/>
      <c r="E765"/>
      <c r="F765"/>
      <c r="G765"/>
      <c r="H765"/>
      <c r="I765"/>
    </row>
    <row r="766" spans="1:9" x14ac:dyDescent="0.25">
      <c r="A766"/>
      <c r="B766"/>
      <c r="C766"/>
      <c r="D766"/>
      <c r="E766"/>
      <c r="F766"/>
      <c r="G766"/>
      <c r="H766"/>
      <c r="I766"/>
    </row>
    <row r="767" spans="1:9" x14ac:dyDescent="0.25">
      <c r="A767"/>
      <c r="B767"/>
      <c r="C767"/>
      <c r="D767"/>
      <c r="E767"/>
      <c r="F767"/>
      <c r="G767"/>
      <c r="H767"/>
      <c r="I767"/>
    </row>
    <row r="768" spans="1:9" x14ac:dyDescent="0.25">
      <c r="A768"/>
      <c r="B768"/>
      <c r="C768"/>
      <c r="D768"/>
      <c r="E768"/>
      <c r="F768"/>
      <c r="G768"/>
      <c r="H768"/>
      <c r="I768"/>
    </row>
    <row r="769" spans="1:9" x14ac:dyDescent="0.25">
      <c r="A769"/>
      <c r="B769"/>
      <c r="C769"/>
      <c r="D769"/>
      <c r="E769"/>
      <c r="F769"/>
      <c r="G769"/>
      <c r="H769"/>
      <c r="I769"/>
    </row>
    <row r="770" spans="1:9" x14ac:dyDescent="0.25">
      <c r="A770"/>
      <c r="B770"/>
      <c r="C770"/>
      <c r="D770"/>
      <c r="E770"/>
      <c r="F770"/>
      <c r="G770"/>
      <c r="H770"/>
      <c r="I770"/>
    </row>
    <row r="771" spans="1:9" x14ac:dyDescent="0.25">
      <c r="A771"/>
      <c r="B771"/>
      <c r="C771"/>
      <c r="D771"/>
      <c r="E771"/>
      <c r="F771"/>
      <c r="G771"/>
      <c r="H771"/>
      <c r="I771"/>
    </row>
    <row r="772" spans="1:9" x14ac:dyDescent="0.25">
      <c r="A772"/>
      <c r="B772"/>
      <c r="C772"/>
      <c r="D772"/>
      <c r="E772"/>
      <c r="F772"/>
      <c r="G772"/>
      <c r="H772"/>
      <c r="I772"/>
    </row>
    <row r="773" spans="1:9" x14ac:dyDescent="0.25">
      <c r="A773"/>
      <c r="B773"/>
      <c r="C773"/>
      <c r="D773"/>
      <c r="E773"/>
      <c r="F773"/>
      <c r="G773"/>
      <c r="H773"/>
      <c r="I773"/>
    </row>
    <row r="774" spans="1:9" x14ac:dyDescent="0.25">
      <c r="A774"/>
      <c r="B774"/>
      <c r="C774"/>
      <c r="D774"/>
      <c r="E774"/>
      <c r="F774"/>
      <c r="G774"/>
      <c r="H774"/>
      <c r="I774"/>
    </row>
    <row r="775" spans="1:9" x14ac:dyDescent="0.25">
      <c r="A775"/>
      <c r="B775"/>
      <c r="C775"/>
      <c r="D775"/>
      <c r="E775"/>
      <c r="F775"/>
      <c r="G775"/>
      <c r="H775"/>
      <c r="I775"/>
    </row>
    <row r="776" spans="1:9" x14ac:dyDescent="0.25">
      <c r="A776"/>
      <c r="B776"/>
      <c r="C776"/>
      <c r="D776"/>
      <c r="E776"/>
      <c r="F776"/>
      <c r="G776"/>
      <c r="H776"/>
      <c r="I776"/>
    </row>
    <row r="777" spans="1:9" x14ac:dyDescent="0.25">
      <c r="A777"/>
      <c r="B777"/>
      <c r="C777"/>
      <c r="D777"/>
      <c r="E777"/>
      <c r="F777"/>
      <c r="G777"/>
      <c r="H777"/>
      <c r="I777"/>
    </row>
    <row r="778" spans="1:9" x14ac:dyDescent="0.25">
      <c r="A778"/>
      <c r="B778"/>
      <c r="C778"/>
      <c r="D778"/>
      <c r="E778"/>
      <c r="F778"/>
      <c r="G778"/>
      <c r="H778"/>
      <c r="I778"/>
    </row>
    <row r="779" spans="1:9" x14ac:dyDescent="0.25">
      <c r="A779"/>
      <c r="B779"/>
      <c r="C779"/>
      <c r="D779"/>
      <c r="E779"/>
      <c r="F779"/>
      <c r="G779"/>
      <c r="H779"/>
      <c r="I779"/>
    </row>
    <row r="780" spans="1:9" x14ac:dyDescent="0.25">
      <c r="A780"/>
      <c r="B780"/>
      <c r="C780"/>
      <c r="D780"/>
      <c r="E780"/>
      <c r="F780"/>
      <c r="G780"/>
      <c r="H780"/>
      <c r="I780"/>
    </row>
    <row r="781" spans="1:9" x14ac:dyDescent="0.25">
      <c r="A781"/>
      <c r="B781"/>
      <c r="C781"/>
      <c r="D781"/>
      <c r="E781"/>
      <c r="F781"/>
      <c r="G781"/>
      <c r="H781"/>
      <c r="I781"/>
    </row>
    <row r="782" spans="1:9" x14ac:dyDescent="0.25">
      <c r="A782"/>
      <c r="B782"/>
      <c r="C782"/>
      <c r="D782"/>
      <c r="E782"/>
      <c r="F782"/>
      <c r="G782"/>
      <c r="H782"/>
      <c r="I782"/>
    </row>
    <row r="783" spans="1:9" x14ac:dyDescent="0.25">
      <c r="A783"/>
      <c r="B783"/>
      <c r="C783"/>
      <c r="D783"/>
      <c r="E783"/>
      <c r="F783"/>
      <c r="G783"/>
      <c r="H783"/>
      <c r="I783"/>
    </row>
    <row r="784" spans="1:9" x14ac:dyDescent="0.25">
      <c r="A784"/>
      <c r="B784"/>
      <c r="C784"/>
      <c r="D784"/>
      <c r="E784"/>
      <c r="F784"/>
      <c r="G784"/>
      <c r="H784"/>
      <c r="I784"/>
    </row>
    <row r="785" spans="1:9" x14ac:dyDescent="0.25">
      <c r="A785"/>
      <c r="B785"/>
      <c r="C785"/>
      <c r="D785"/>
      <c r="E785"/>
      <c r="F785"/>
      <c r="G785"/>
      <c r="H785"/>
      <c r="I785"/>
    </row>
    <row r="786" spans="1:9" x14ac:dyDescent="0.25">
      <c r="A786"/>
      <c r="B786"/>
      <c r="C786"/>
      <c r="D786"/>
      <c r="E786"/>
      <c r="F786"/>
      <c r="G786"/>
      <c r="H786"/>
      <c r="I786"/>
    </row>
    <row r="787" spans="1:9" x14ac:dyDescent="0.25">
      <c r="A787"/>
      <c r="B787"/>
      <c r="C787"/>
      <c r="D787"/>
      <c r="E787"/>
      <c r="F787"/>
      <c r="G787"/>
      <c r="H787"/>
      <c r="I787"/>
    </row>
    <row r="788" spans="1:9" x14ac:dyDescent="0.25">
      <c r="A788"/>
      <c r="B788"/>
      <c r="C788"/>
      <c r="D788"/>
      <c r="E788"/>
      <c r="F788"/>
      <c r="G788"/>
      <c r="H788"/>
      <c r="I788"/>
    </row>
    <row r="789" spans="1:9" x14ac:dyDescent="0.25">
      <c r="A789"/>
      <c r="B789"/>
      <c r="C789"/>
      <c r="D789"/>
      <c r="E789"/>
      <c r="F789"/>
      <c r="G789"/>
      <c r="H789"/>
      <c r="I789"/>
    </row>
    <row r="790" spans="1:9" x14ac:dyDescent="0.25">
      <c r="A790"/>
      <c r="B790"/>
      <c r="C790"/>
      <c r="D790"/>
      <c r="E790"/>
      <c r="F790"/>
      <c r="G790"/>
      <c r="H790"/>
      <c r="I790"/>
    </row>
    <row r="791" spans="1:9" x14ac:dyDescent="0.25">
      <c r="A791"/>
      <c r="B791"/>
      <c r="C791"/>
      <c r="D791"/>
      <c r="E791"/>
      <c r="F791"/>
      <c r="G791"/>
      <c r="H791"/>
      <c r="I791"/>
    </row>
    <row r="792" spans="1:9" x14ac:dyDescent="0.25">
      <c r="A792"/>
      <c r="B792"/>
      <c r="C792"/>
      <c r="D792"/>
      <c r="E792"/>
      <c r="F792"/>
      <c r="G792"/>
      <c r="H792"/>
      <c r="I792"/>
    </row>
    <row r="793" spans="1:9" x14ac:dyDescent="0.25">
      <c r="A793"/>
      <c r="B793"/>
      <c r="C793"/>
      <c r="D793"/>
      <c r="E793"/>
      <c r="F793"/>
      <c r="G793"/>
      <c r="H793"/>
      <c r="I793"/>
    </row>
    <row r="794" spans="1:9" x14ac:dyDescent="0.25">
      <c r="A794"/>
      <c r="B794"/>
      <c r="C794"/>
      <c r="D794"/>
      <c r="E794"/>
      <c r="F794"/>
      <c r="G794"/>
      <c r="H794"/>
      <c r="I794"/>
    </row>
    <row r="795" spans="1:9" x14ac:dyDescent="0.25">
      <c r="A795"/>
      <c r="B795"/>
      <c r="C795"/>
      <c r="D795"/>
      <c r="E795"/>
      <c r="F795"/>
      <c r="G795"/>
      <c r="H795"/>
      <c r="I795"/>
    </row>
    <row r="796" spans="1:9" x14ac:dyDescent="0.25">
      <c r="A796"/>
      <c r="B796"/>
      <c r="C796"/>
      <c r="D796"/>
      <c r="E796"/>
      <c r="F796"/>
      <c r="G796"/>
      <c r="H796"/>
      <c r="I796"/>
    </row>
    <row r="797" spans="1:9" x14ac:dyDescent="0.25">
      <c r="A797"/>
      <c r="B797"/>
      <c r="C797"/>
      <c r="D797"/>
      <c r="E797"/>
      <c r="F797"/>
      <c r="G797"/>
      <c r="H797"/>
      <c r="I797"/>
    </row>
    <row r="798" spans="1:9" x14ac:dyDescent="0.25">
      <c r="A798"/>
      <c r="B798"/>
      <c r="C798"/>
      <c r="D798"/>
      <c r="E798"/>
      <c r="F798"/>
      <c r="G798"/>
      <c r="H798"/>
      <c r="I798"/>
    </row>
    <row r="799" spans="1:9" x14ac:dyDescent="0.25">
      <c r="A799"/>
      <c r="B799"/>
      <c r="C799"/>
      <c r="D799"/>
      <c r="E799"/>
      <c r="F799"/>
      <c r="G799"/>
      <c r="H799"/>
      <c r="I799"/>
    </row>
    <row r="800" spans="1:9" x14ac:dyDescent="0.25">
      <c r="A800"/>
      <c r="B800"/>
      <c r="C800"/>
      <c r="D800"/>
      <c r="E800"/>
      <c r="F800"/>
      <c r="G800"/>
      <c r="H800"/>
      <c r="I800"/>
    </row>
    <row r="801" spans="1:9" x14ac:dyDescent="0.25">
      <c r="A801"/>
      <c r="B801"/>
      <c r="C801"/>
      <c r="D801"/>
      <c r="E801"/>
      <c r="F801"/>
      <c r="G801"/>
      <c r="H801"/>
      <c r="I801"/>
    </row>
    <row r="802" spans="1:9" x14ac:dyDescent="0.25">
      <c r="A802"/>
      <c r="B802"/>
      <c r="C802"/>
      <c r="D802"/>
      <c r="E802"/>
      <c r="F802"/>
      <c r="G802"/>
      <c r="H802"/>
      <c r="I802"/>
    </row>
    <row r="803" spans="1:9" x14ac:dyDescent="0.25">
      <c r="A803"/>
      <c r="B803"/>
      <c r="C803"/>
      <c r="D803"/>
      <c r="E803"/>
      <c r="F803"/>
      <c r="G803"/>
      <c r="H803"/>
      <c r="I803"/>
    </row>
    <row r="804" spans="1:9" x14ac:dyDescent="0.25">
      <c r="A804"/>
      <c r="B804"/>
      <c r="C804"/>
      <c r="D804"/>
      <c r="E804"/>
      <c r="F804"/>
      <c r="G804"/>
      <c r="H804"/>
      <c r="I804"/>
    </row>
    <row r="805" spans="1:9" x14ac:dyDescent="0.25">
      <c r="A805"/>
      <c r="B805"/>
      <c r="C805"/>
      <c r="D805"/>
      <c r="E805"/>
      <c r="F805"/>
      <c r="G805"/>
      <c r="H805"/>
      <c r="I805"/>
    </row>
    <row r="806" spans="1:9" x14ac:dyDescent="0.25">
      <c r="A806"/>
      <c r="B806"/>
      <c r="C806"/>
      <c r="D806"/>
      <c r="E806"/>
      <c r="F806"/>
      <c r="G806"/>
      <c r="H806"/>
      <c r="I806"/>
    </row>
    <row r="807" spans="1:9" x14ac:dyDescent="0.25">
      <c r="A807"/>
      <c r="B807"/>
      <c r="C807"/>
      <c r="D807"/>
      <c r="E807"/>
      <c r="F807"/>
      <c r="G807"/>
      <c r="H807"/>
      <c r="I807"/>
    </row>
    <row r="808" spans="1:9" x14ac:dyDescent="0.25">
      <c r="A808"/>
      <c r="B808"/>
      <c r="C808"/>
      <c r="D808"/>
      <c r="E808"/>
      <c r="F808"/>
      <c r="G808"/>
      <c r="H808"/>
      <c r="I808"/>
    </row>
    <row r="809" spans="1:9" x14ac:dyDescent="0.25">
      <c r="A809"/>
      <c r="B809"/>
      <c r="C809"/>
      <c r="D809"/>
      <c r="E809"/>
      <c r="F809"/>
      <c r="G809"/>
      <c r="H809"/>
      <c r="I809"/>
    </row>
    <row r="810" spans="1:9" x14ac:dyDescent="0.25">
      <c r="A810"/>
      <c r="B810"/>
      <c r="C810"/>
      <c r="D810"/>
      <c r="E810"/>
      <c r="F810"/>
      <c r="G810"/>
      <c r="H810"/>
      <c r="I810"/>
    </row>
    <row r="811" spans="1:9" x14ac:dyDescent="0.25">
      <c r="A811"/>
      <c r="B811"/>
      <c r="C811"/>
      <c r="D811"/>
      <c r="E811"/>
      <c r="F811"/>
      <c r="G811"/>
      <c r="H811"/>
      <c r="I811"/>
    </row>
    <row r="812" spans="1:9" x14ac:dyDescent="0.25">
      <c r="A812"/>
      <c r="B812"/>
      <c r="C812"/>
      <c r="D812"/>
      <c r="E812"/>
      <c r="F812"/>
      <c r="G812"/>
      <c r="H812"/>
      <c r="I812"/>
    </row>
    <row r="813" spans="1:9" x14ac:dyDescent="0.25">
      <c r="A813"/>
      <c r="B813"/>
      <c r="C813"/>
      <c r="D813"/>
      <c r="E813"/>
      <c r="F813"/>
      <c r="G813"/>
      <c r="H813"/>
      <c r="I813"/>
    </row>
    <row r="814" spans="1:9" x14ac:dyDescent="0.25">
      <c r="A814"/>
      <c r="B814"/>
      <c r="C814"/>
      <c r="D814"/>
      <c r="E814"/>
      <c r="F814"/>
      <c r="G814"/>
      <c r="H814"/>
      <c r="I814"/>
    </row>
    <row r="815" spans="1:9" x14ac:dyDescent="0.25">
      <c r="A815"/>
      <c r="B815"/>
      <c r="C815"/>
      <c r="D815"/>
      <c r="E815"/>
      <c r="F815"/>
      <c r="G815"/>
      <c r="H815"/>
      <c r="I815"/>
    </row>
    <row r="816" spans="1:9" x14ac:dyDescent="0.25">
      <c r="A816"/>
      <c r="B816"/>
      <c r="C816"/>
      <c r="D816"/>
      <c r="E816"/>
      <c r="F816"/>
      <c r="G816"/>
      <c r="H816"/>
      <c r="I816"/>
    </row>
    <row r="817" spans="1:9" x14ac:dyDescent="0.25">
      <c r="A817"/>
      <c r="B817"/>
      <c r="C817"/>
      <c r="D817"/>
      <c r="E817"/>
      <c r="F817"/>
      <c r="G817"/>
      <c r="H817"/>
      <c r="I817"/>
    </row>
    <row r="818" spans="1:9" x14ac:dyDescent="0.25">
      <c r="A818"/>
      <c r="B818"/>
      <c r="C818"/>
      <c r="D818"/>
      <c r="E818"/>
      <c r="F818"/>
      <c r="G818"/>
      <c r="H818"/>
      <c r="I818"/>
    </row>
    <row r="819" spans="1:9" x14ac:dyDescent="0.25">
      <c r="A819"/>
      <c r="B819"/>
      <c r="C819"/>
      <c r="D819"/>
      <c r="E819"/>
      <c r="F819"/>
      <c r="G819"/>
      <c r="H819"/>
      <c r="I819"/>
    </row>
    <row r="820" spans="1:9" x14ac:dyDescent="0.25">
      <c r="A820"/>
      <c r="B820"/>
      <c r="C820"/>
      <c r="D820"/>
      <c r="E820"/>
      <c r="F820"/>
      <c r="G820"/>
      <c r="H820"/>
      <c r="I820"/>
    </row>
    <row r="821" spans="1:9" x14ac:dyDescent="0.25">
      <c r="A821"/>
      <c r="B821"/>
      <c r="C821"/>
      <c r="D821"/>
      <c r="E821"/>
      <c r="F821"/>
      <c r="G821"/>
      <c r="H821"/>
      <c r="I821"/>
    </row>
    <row r="822" spans="1:9" x14ac:dyDescent="0.25">
      <c r="A822"/>
      <c r="B822"/>
      <c r="C822"/>
      <c r="D822"/>
      <c r="E822"/>
      <c r="F822"/>
      <c r="G822"/>
      <c r="H822"/>
      <c r="I822"/>
    </row>
    <row r="823" spans="1:9" x14ac:dyDescent="0.25">
      <c r="A823"/>
      <c r="B823"/>
      <c r="C823"/>
      <c r="D823"/>
      <c r="E823"/>
      <c r="F823"/>
      <c r="G823"/>
      <c r="H823"/>
      <c r="I823"/>
    </row>
    <row r="824" spans="1:9" x14ac:dyDescent="0.25">
      <c r="A824"/>
      <c r="B824"/>
      <c r="C824"/>
      <c r="D824"/>
      <c r="E824"/>
      <c r="F824"/>
      <c r="G824"/>
      <c r="H824"/>
      <c r="I824"/>
    </row>
    <row r="825" spans="1:9" x14ac:dyDescent="0.25">
      <c r="A825"/>
      <c r="B825"/>
      <c r="C825"/>
      <c r="D825"/>
      <c r="E825"/>
      <c r="F825"/>
      <c r="G825"/>
      <c r="H825"/>
      <c r="I825"/>
    </row>
    <row r="826" spans="1:9" x14ac:dyDescent="0.25">
      <c r="A826"/>
      <c r="B826"/>
      <c r="C826"/>
      <c r="D826"/>
      <c r="E826"/>
      <c r="F826"/>
      <c r="G826"/>
      <c r="H826"/>
      <c r="I826"/>
    </row>
    <row r="827" spans="1:9" x14ac:dyDescent="0.25">
      <c r="A827"/>
      <c r="B827"/>
      <c r="C827"/>
      <c r="D827"/>
      <c r="E827"/>
      <c r="F827"/>
      <c r="G827"/>
      <c r="H827"/>
      <c r="I827"/>
    </row>
    <row r="828" spans="1:9" x14ac:dyDescent="0.25">
      <c r="A828"/>
      <c r="B828"/>
      <c r="C828"/>
      <c r="D828"/>
      <c r="E828"/>
      <c r="F828"/>
      <c r="G828"/>
      <c r="H828"/>
      <c r="I828"/>
    </row>
    <row r="829" spans="1:9" x14ac:dyDescent="0.25">
      <c r="A829"/>
      <c r="B829"/>
      <c r="C829"/>
      <c r="D829"/>
      <c r="E829"/>
      <c r="F829"/>
      <c r="G829"/>
      <c r="H829"/>
      <c r="I829"/>
    </row>
    <row r="830" spans="1:9" x14ac:dyDescent="0.25">
      <c r="A830"/>
      <c r="B830"/>
      <c r="C830"/>
      <c r="D830"/>
      <c r="E830"/>
      <c r="F830"/>
      <c r="G830"/>
      <c r="H830"/>
      <c r="I830"/>
    </row>
    <row r="831" spans="1:9" x14ac:dyDescent="0.25">
      <c r="A831"/>
      <c r="B831"/>
      <c r="C831"/>
      <c r="D831"/>
      <c r="E831"/>
      <c r="F831"/>
      <c r="G831"/>
      <c r="H831"/>
      <c r="I831"/>
    </row>
    <row r="832" spans="1:9" x14ac:dyDescent="0.25">
      <c r="A832"/>
      <c r="B832"/>
      <c r="C832"/>
      <c r="D832"/>
      <c r="E832"/>
      <c r="F832"/>
      <c r="G832"/>
      <c r="H832"/>
      <c r="I832"/>
    </row>
    <row r="833" spans="1:9" x14ac:dyDescent="0.25">
      <c r="A833"/>
      <c r="B833"/>
      <c r="C833"/>
      <c r="D833"/>
      <c r="E833"/>
      <c r="F833"/>
      <c r="G833"/>
      <c r="H833"/>
      <c r="I833"/>
    </row>
    <row r="834" spans="1:9" x14ac:dyDescent="0.25">
      <c r="A834"/>
      <c r="B834"/>
      <c r="C834"/>
      <c r="D834"/>
      <c r="E834"/>
      <c r="F834"/>
      <c r="G834"/>
      <c r="H834"/>
      <c r="I834"/>
    </row>
    <row r="835" spans="1:9" x14ac:dyDescent="0.25">
      <c r="A835"/>
      <c r="B835"/>
      <c r="C835"/>
      <c r="D835"/>
      <c r="E835"/>
      <c r="F835"/>
      <c r="G835"/>
      <c r="H835"/>
      <c r="I835"/>
    </row>
    <row r="836" spans="1:9" x14ac:dyDescent="0.25">
      <c r="A836"/>
      <c r="B836"/>
      <c r="C836"/>
      <c r="D836"/>
      <c r="E836"/>
      <c r="F836"/>
      <c r="G836"/>
      <c r="H836"/>
      <c r="I836"/>
    </row>
    <row r="837" spans="1:9" x14ac:dyDescent="0.25">
      <c r="A837"/>
      <c r="B837"/>
      <c r="C837"/>
      <c r="D837"/>
      <c r="E837"/>
      <c r="F837"/>
      <c r="G837"/>
      <c r="H837"/>
      <c r="I837"/>
    </row>
    <row r="838" spans="1:9" x14ac:dyDescent="0.25">
      <c r="A838"/>
      <c r="B838"/>
      <c r="C838"/>
      <c r="D838"/>
      <c r="E838"/>
      <c r="F838"/>
      <c r="G838"/>
      <c r="H838"/>
      <c r="I838"/>
    </row>
    <row r="839" spans="1:9" x14ac:dyDescent="0.25">
      <c r="A839"/>
      <c r="B839"/>
      <c r="C839"/>
      <c r="D839"/>
      <c r="E839"/>
      <c r="F839"/>
      <c r="G839"/>
      <c r="H839"/>
      <c r="I839"/>
    </row>
    <row r="840" spans="1:9" x14ac:dyDescent="0.25">
      <c r="A840"/>
      <c r="B840"/>
      <c r="C840"/>
      <c r="D840"/>
      <c r="E840"/>
      <c r="F840"/>
      <c r="G840"/>
      <c r="H840"/>
      <c r="I840"/>
    </row>
    <row r="841" spans="1:9" x14ac:dyDescent="0.25">
      <c r="A841"/>
      <c r="B841"/>
      <c r="C841"/>
      <c r="D841"/>
      <c r="E841"/>
      <c r="F841"/>
      <c r="G841"/>
      <c r="H841"/>
      <c r="I841"/>
    </row>
    <row r="842" spans="1:9" x14ac:dyDescent="0.25">
      <c r="A842"/>
      <c r="B842"/>
      <c r="C842"/>
      <c r="D842"/>
      <c r="E842"/>
      <c r="F842"/>
      <c r="G842"/>
      <c r="H842"/>
      <c r="I842"/>
    </row>
    <row r="843" spans="1:9" x14ac:dyDescent="0.25">
      <c r="A843"/>
      <c r="B843"/>
      <c r="C843"/>
      <c r="D843"/>
      <c r="E843"/>
      <c r="F843"/>
      <c r="G843"/>
      <c r="H843"/>
      <c r="I843"/>
    </row>
    <row r="844" spans="1:9" x14ac:dyDescent="0.25">
      <c r="A844"/>
      <c r="B844"/>
      <c r="C844"/>
      <c r="D844"/>
      <c r="E844"/>
      <c r="F844"/>
      <c r="G844"/>
      <c r="H844"/>
      <c r="I844"/>
    </row>
    <row r="845" spans="1:9" x14ac:dyDescent="0.25">
      <c r="A845"/>
      <c r="B845"/>
      <c r="C845"/>
      <c r="D845"/>
      <c r="E845"/>
      <c r="F845"/>
      <c r="G845"/>
      <c r="H845"/>
      <c r="I845"/>
    </row>
    <row r="846" spans="1:9" x14ac:dyDescent="0.25">
      <c r="A846"/>
      <c r="B846"/>
      <c r="C846"/>
      <c r="D846"/>
      <c r="E846"/>
      <c r="F846"/>
      <c r="G846"/>
      <c r="H846"/>
      <c r="I846"/>
    </row>
    <row r="847" spans="1:9" x14ac:dyDescent="0.25">
      <c r="A847"/>
      <c r="B847"/>
      <c r="C847"/>
      <c r="D847"/>
      <c r="E847"/>
      <c r="F847"/>
      <c r="G847"/>
      <c r="H847"/>
      <c r="I847"/>
    </row>
    <row r="848" spans="1:9" x14ac:dyDescent="0.25">
      <c r="A848"/>
      <c r="B848"/>
      <c r="C848"/>
      <c r="D848"/>
      <c r="E848"/>
      <c r="F848"/>
      <c r="G848"/>
      <c r="H848"/>
      <c r="I848"/>
    </row>
    <row r="849" spans="1:9" x14ac:dyDescent="0.25">
      <c r="A849"/>
      <c r="B849"/>
      <c r="C849"/>
      <c r="D849"/>
      <c r="E849"/>
      <c r="F849"/>
      <c r="G849"/>
      <c r="H849"/>
      <c r="I849"/>
    </row>
    <row r="850" spans="1:9" x14ac:dyDescent="0.25">
      <c r="A850"/>
      <c r="B850"/>
      <c r="C850"/>
      <c r="D850"/>
      <c r="E850"/>
      <c r="F850"/>
      <c r="G850"/>
      <c r="H850"/>
      <c r="I850"/>
    </row>
    <row r="851" spans="1:9" x14ac:dyDescent="0.25">
      <c r="A851"/>
      <c r="B851"/>
      <c r="C851"/>
      <c r="D851"/>
      <c r="E851"/>
      <c r="F851"/>
      <c r="G851"/>
      <c r="H851"/>
      <c r="I851"/>
    </row>
    <row r="852" spans="1:9" x14ac:dyDescent="0.25">
      <c r="A852"/>
      <c r="B852"/>
      <c r="C852"/>
      <c r="D852"/>
      <c r="E852"/>
      <c r="F852"/>
      <c r="G852"/>
      <c r="H852"/>
      <c r="I852"/>
    </row>
    <row r="853" spans="1:9" x14ac:dyDescent="0.25">
      <c r="A853"/>
      <c r="B853"/>
      <c r="C853"/>
      <c r="D853"/>
      <c r="E853"/>
      <c r="F853"/>
      <c r="G853"/>
      <c r="H853"/>
      <c r="I853"/>
    </row>
    <row r="854" spans="1:9" x14ac:dyDescent="0.25">
      <c r="A854"/>
      <c r="B854"/>
      <c r="C854"/>
      <c r="D854"/>
      <c r="E854"/>
      <c r="F854"/>
      <c r="G854"/>
      <c r="H854"/>
      <c r="I854"/>
    </row>
    <row r="855" spans="1:9" x14ac:dyDescent="0.25">
      <c r="A855"/>
      <c r="B855"/>
      <c r="C855"/>
      <c r="D855"/>
      <c r="E855"/>
      <c r="F855"/>
      <c r="G855"/>
      <c r="H855"/>
      <c r="I855"/>
    </row>
    <row r="856" spans="1:9" x14ac:dyDescent="0.25">
      <c r="A856"/>
      <c r="B856"/>
      <c r="C856"/>
      <c r="D856"/>
      <c r="E856"/>
      <c r="F856"/>
      <c r="G856"/>
      <c r="H856"/>
      <c r="I856"/>
    </row>
    <row r="857" spans="1:9" x14ac:dyDescent="0.25">
      <c r="A857"/>
      <c r="B857"/>
      <c r="C857"/>
      <c r="D857"/>
      <c r="E857"/>
      <c r="F857"/>
      <c r="G857"/>
      <c r="H857"/>
      <c r="I857"/>
    </row>
    <row r="858" spans="1:9" x14ac:dyDescent="0.25">
      <c r="A858"/>
      <c r="B858"/>
      <c r="C858"/>
      <c r="D858"/>
      <c r="E858"/>
      <c r="F858"/>
      <c r="G858"/>
      <c r="H858"/>
      <c r="I858"/>
    </row>
    <row r="859" spans="1:9" x14ac:dyDescent="0.25">
      <c r="A859"/>
      <c r="B859"/>
      <c r="C859"/>
      <c r="D859"/>
      <c r="E859"/>
      <c r="F859"/>
      <c r="G859"/>
      <c r="H859"/>
      <c r="I859"/>
    </row>
    <row r="860" spans="1:9" x14ac:dyDescent="0.25">
      <c r="A860"/>
      <c r="B860"/>
      <c r="C860"/>
      <c r="D860"/>
      <c r="E860"/>
      <c r="F860"/>
      <c r="G860"/>
      <c r="H860"/>
      <c r="I860"/>
    </row>
    <row r="861" spans="1:9" x14ac:dyDescent="0.25">
      <c r="A861"/>
      <c r="B861"/>
      <c r="C861"/>
      <c r="D861"/>
      <c r="E861"/>
      <c r="F861"/>
      <c r="G861"/>
      <c r="H861"/>
      <c r="I861"/>
    </row>
    <row r="862" spans="1:9" x14ac:dyDescent="0.25">
      <c r="A862"/>
      <c r="B862"/>
      <c r="C862"/>
      <c r="D862"/>
      <c r="E862"/>
      <c r="F862"/>
      <c r="G862"/>
      <c r="H862"/>
      <c r="I862"/>
    </row>
    <row r="863" spans="1:9" x14ac:dyDescent="0.25">
      <c r="A863"/>
      <c r="B863"/>
      <c r="C863"/>
      <c r="D863"/>
      <c r="E863"/>
      <c r="F863"/>
      <c r="G863"/>
      <c r="H863"/>
      <c r="I863"/>
    </row>
    <row r="864" spans="1:9" x14ac:dyDescent="0.25">
      <c r="A864"/>
      <c r="B864"/>
      <c r="C864"/>
      <c r="D864"/>
      <c r="E864"/>
      <c r="F864"/>
      <c r="G864"/>
      <c r="H864"/>
      <c r="I864"/>
    </row>
    <row r="865" spans="1:9" x14ac:dyDescent="0.25">
      <c r="A865"/>
      <c r="B865"/>
      <c r="C865"/>
      <c r="D865"/>
      <c r="E865"/>
      <c r="F865"/>
      <c r="G865"/>
      <c r="H865"/>
      <c r="I865"/>
    </row>
    <row r="866" spans="1:9" x14ac:dyDescent="0.25">
      <c r="A866"/>
      <c r="B866"/>
      <c r="C866"/>
      <c r="D866"/>
      <c r="E866"/>
      <c r="F866"/>
      <c r="G866"/>
      <c r="H866"/>
      <c r="I866"/>
    </row>
    <row r="867" spans="1:9" x14ac:dyDescent="0.25">
      <c r="A867"/>
      <c r="B867"/>
      <c r="C867"/>
      <c r="D867"/>
      <c r="E867"/>
      <c r="F867"/>
      <c r="G867"/>
      <c r="H867"/>
      <c r="I867"/>
    </row>
    <row r="868" spans="1:9" x14ac:dyDescent="0.25">
      <c r="A868"/>
      <c r="B868"/>
      <c r="C868"/>
      <c r="D868"/>
      <c r="E868"/>
      <c r="F868"/>
      <c r="G868"/>
      <c r="H868"/>
      <c r="I868"/>
    </row>
    <row r="869" spans="1:9" x14ac:dyDescent="0.25">
      <c r="A869"/>
      <c r="B869"/>
      <c r="C869"/>
      <c r="D869"/>
      <c r="E869"/>
      <c r="F869"/>
      <c r="G869"/>
      <c r="H869"/>
      <c r="I869"/>
    </row>
    <row r="870" spans="1:9" x14ac:dyDescent="0.25">
      <c r="A870"/>
      <c r="B870"/>
      <c r="C870"/>
      <c r="D870"/>
      <c r="E870"/>
      <c r="F870"/>
      <c r="G870"/>
      <c r="H870"/>
      <c r="I870"/>
    </row>
    <row r="871" spans="1:9" x14ac:dyDescent="0.25">
      <c r="A871"/>
      <c r="B871"/>
      <c r="C871"/>
      <c r="D871"/>
      <c r="E871"/>
      <c r="F871"/>
      <c r="G871"/>
      <c r="H871"/>
      <c r="I871"/>
    </row>
    <row r="872" spans="1:9" x14ac:dyDescent="0.25">
      <c r="A872"/>
      <c r="B872"/>
      <c r="C872"/>
      <c r="D872"/>
      <c r="E872"/>
      <c r="F872"/>
      <c r="G872"/>
      <c r="H872"/>
      <c r="I872"/>
    </row>
    <row r="873" spans="1:9" x14ac:dyDescent="0.25">
      <c r="A873"/>
      <c r="B873"/>
      <c r="C873"/>
      <c r="D873"/>
      <c r="E873"/>
      <c r="F873"/>
      <c r="G873"/>
      <c r="H873"/>
      <c r="I873"/>
    </row>
    <row r="874" spans="1:9" x14ac:dyDescent="0.25">
      <c r="A874"/>
      <c r="B874"/>
      <c r="C874"/>
      <c r="D874"/>
      <c r="E874"/>
      <c r="F874"/>
      <c r="G874"/>
      <c r="H874"/>
      <c r="I874"/>
    </row>
    <row r="875" spans="1:9" x14ac:dyDescent="0.25">
      <c r="A875"/>
      <c r="B875"/>
      <c r="C875"/>
      <c r="D875"/>
      <c r="E875"/>
      <c r="F875"/>
      <c r="G875"/>
      <c r="H875"/>
      <c r="I875"/>
    </row>
    <row r="876" spans="1:9" x14ac:dyDescent="0.25">
      <c r="A876"/>
      <c r="B876"/>
      <c r="C876"/>
      <c r="D876"/>
      <c r="E876"/>
      <c r="F876"/>
      <c r="G876"/>
      <c r="H876"/>
      <c r="I876"/>
    </row>
    <row r="877" spans="1:9" x14ac:dyDescent="0.25">
      <c r="A877"/>
      <c r="B877"/>
      <c r="C877"/>
      <c r="D877"/>
      <c r="E877"/>
      <c r="F877"/>
      <c r="G877"/>
      <c r="H877"/>
      <c r="I877"/>
    </row>
  </sheetData>
  <printOptions horizontalCentered="1"/>
  <pageMargins left="0.25" right="0.25" top="0.75" bottom="0.75" header="0.3" footer="0.3"/>
  <pageSetup paperSize="9" scale="65" fitToHeight="3" orientation="portrait" r:id="rId2"/>
  <drawing r:id="rId3"/>
  <extLst>
    <ext xmlns:x14="http://schemas.microsoft.com/office/spreadsheetml/2009/9/main" uri="{A8765BA9-456A-4dab-B4F3-ACF838C121DE}">
      <x14:slicerList>
        <x14:slicer r:id="rId4"/>
      </x14:slicerList>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BC03C-872E-46AD-844F-B1FE05224580}">
  <sheetPr>
    <pageSetUpPr fitToPage="1"/>
  </sheetPr>
  <dimension ref="A9:N877"/>
  <sheetViews>
    <sheetView showGridLines="0" view="pageBreakPreview" topLeftCell="A7" zoomScale="85" zoomScaleNormal="100" zoomScaleSheetLayoutView="85" workbookViewId="0">
      <selection activeCell="J81" sqref="J81"/>
    </sheetView>
  </sheetViews>
  <sheetFormatPr defaultRowHeight="15" x14ac:dyDescent="0.25"/>
  <cols>
    <col min="1" max="1" width="13.28515625" style="79" bestFit="1" customWidth="1"/>
    <col min="2" max="2" width="16.140625" style="191" bestFit="1" customWidth="1"/>
    <col min="3" max="5" width="11.5703125" style="192" bestFit="1" customWidth="1"/>
    <col min="6" max="6" width="13.5703125" style="79" bestFit="1" customWidth="1"/>
    <col min="7" max="7" width="18.28515625" style="192" bestFit="1" customWidth="1"/>
    <col min="8" max="8" width="13.28515625" style="192" bestFit="1" customWidth="1"/>
    <col min="9" max="9" width="16.42578125" style="79" bestFit="1" customWidth="1"/>
    <col min="10" max="10" width="28.85546875" style="79" bestFit="1" customWidth="1"/>
    <col min="11" max="13" width="9.140625" style="79"/>
    <col min="14" max="14" width="24.7109375" style="79" bestFit="1" customWidth="1"/>
    <col min="15" max="16384" width="9.140625" style="79"/>
  </cols>
  <sheetData>
    <row r="9" spans="14:14" x14ac:dyDescent="0.25">
      <c r="N9" s="79" t="s">
        <v>1177</v>
      </c>
    </row>
    <row r="10" spans="14:14" x14ac:dyDescent="0.25">
      <c r="N10" s="79" t="s">
        <v>1175</v>
      </c>
    </row>
    <row r="11" spans="14:14" x14ac:dyDescent="0.25">
      <c r="N11" s="79">
        <f>COUNT(B18:B162)</f>
        <v>63</v>
      </c>
    </row>
    <row r="12" spans="14:14" x14ac:dyDescent="0.25">
      <c r="N12" s="79" t="s">
        <v>1164</v>
      </c>
    </row>
    <row r="13" spans="14:14" x14ac:dyDescent="0.25">
      <c r="N13" s="79" t="s">
        <v>1301</v>
      </c>
    </row>
    <row r="14" spans="14:14" x14ac:dyDescent="0.25">
      <c r="N14" s="226">
        <f>GETPIVOTDATA("Sum of TOTAL UNIT VALUE (SEMI FINISHED)",'PROJECT SUMMARY DASH'!$A$1,"SELLING PHASE NAME","R 3")</f>
        <v>483512269.90852791</v>
      </c>
    </row>
    <row r="18" spans="1:10" s="160" customFormat="1" ht="60" x14ac:dyDescent="0.25">
      <c r="A18" s="160" t="s">
        <v>733</v>
      </c>
      <c r="B18" s="160" t="s">
        <v>1303</v>
      </c>
      <c r="C18" s="160" t="s">
        <v>713</v>
      </c>
      <c r="D18" s="160" t="s">
        <v>1302</v>
      </c>
      <c r="E18" s="225" t="s">
        <v>1151</v>
      </c>
      <c r="F18" s="225" t="s">
        <v>1152</v>
      </c>
      <c r="G18" s="160" t="s">
        <v>1298</v>
      </c>
      <c r="H18" s="160" t="s">
        <v>1299</v>
      </c>
      <c r="I18" s="160" t="s">
        <v>1300</v>
      </c>
      <c r="J18" s="290" t="str">
        <f>Table1[[#Headers],[NO. OF BEDROOMS]]</f>
        <v>NO. OF BEDROOMS</v>
      </c>
    </row>
    <row r="19" spans="1:10" x14ac:dyDescent="0.25">
      <c r="A19" s="121" t="s">
        <v>247</v>
      </c>
      <c r="B19" s="191">
        <v>46593.75</v>
      </c>
      <c r="C19" s="191">
        <v>76</v>
      </c>
      <c r="D19" s="191"/>
      <c r="E19" s="122">
        <v>0</v>
      </c>
      <c r="F19" s="122">
        <v>300995.625</v>
      </c>
      <c r="G19" s="122">
        <v>3751125</v>
      </c>
      <c r="H19" s="122">
        <v>4093125</v>
      </c>
      <c r="I19" s="122">
        <v>4321125</v>
      </c>
      <c r="J19" s="79" t="str">
        <f>VLOOKUP(A19,Table1[[Unit Number]:[NO. OF BEDROOMS]],2,FALSE)</f>
        <v>1 BEDROOM (STUDIO)</v>
      </c>
    </row>
    <row r="20" spans="1:10" x14ac:dyDescent="0.25">
      <c r="A20" s="121" t="s">
        <v>740</v>
      </c>
      <c r="B20" s="191">
        <v>48641.25</v>
      </c>
      <c r="C20" s="191">
        <v>135</v>
      </c>
      <c r="D20" s="191"/>
      <c r="E20" s="122">
        <v>0</v>
      </c>
      <c r="F20" s="122">
        <v>558158.34375</v>
      </c>
      <c r="G20" s="122">
        <v>6776568.75</v>
      </c>
      <c r="H20" s="122">
        <v>7384068.75</v>
      </c>
      <c r="I20" s="122">
        <v>7789068.75</v>
      </c>
      <c r="J20" s="79" t="str">
        <f>VLOOKUP(A20,Table1[[Unit Number]:[NO. OF BEDROOMS]],2,FALSE)</f>
        <v>2 BEDROOM</v>
      </c>
    </row>
    <row r="21" spans="1:10" x14ac:dyDescent="0.25">
      <c r="A21" s="121" t="s">
        <v>252</v>
      </c>
      <c r="B21" s="191">
        <v>46593.75</v>
      </c>
      <c r="C21" s="191">
        <v>136</v>
      </c>
      <c r="D21" s="191"/>
      <c r="E21" s="122">
        <v>0</v>
      </c>
      <c r="F21" s="122">
        <v>538623.75</v>
      </c>
      <c r="G21" s="122">
        <v>6546750</v>
      </c>
      <c r="H21" s="122">
        <v>7158750</v>
      </c>
      <c r="I21" s="122">
        <v>7566750</v>
      </c>
      <c r="J21" s="79" t="str">
        <f>VLOOKUP(A21,Table1[[Unit Number]:[NO. OF BEDROOMS]],2,FALSE)</f>
        <v>2 BEDROOM</v>
      </c>
    </row>
    <row r="22" spans="1:10" x14ac:dyDescent="0.25">
      <c r="A22" s="121" t="s">
        <v>256</v>
      </c>
      <c r="B22" s="191">
        <v>46593.75</v>
      </c>
      <c r="C22" s="191">
        <v>76</v>
      </c>
      <c r="D22" s="191"/>
      <c r="E22" s="122">
        <v>0</v>
      </c>
      <c r="F22" s="122">
        <v>300995.625</v>
      </c>
      <c r="G22" s="122">
        <v>3751125</v>
      </c>
      <c r="H22" s="122">
        <v>4093125</v>
      </c>
      <c r="I22" s="122">
        <v>4321125</v>
      </c>
      <c r="J22" s="79" t="str">
        <f>VLOOKUP(A22,Table1[[Unit Number]:[NO. OF BEDROOMS]],2,FALSE)</f>
        <v>1 BEDROOM (STUDIO)</v>
      </c>
    </row>
    <row r="23" spans="1:10" x14ac:dyDescent="0.25">
      <c r="A23" s="121" t="s">
        <v>270</v>
      </c>
      <c r="B23" s="191">
        <v>46593.75</v>
      </c>
      <c r="C23" s="191">
        <v>76</v>
      </c>
      <c r="D23" s="191"/>
      <c r="E23" s="122">
        <v>0</v>
      </c>
      <c r="F23" s="122">
        <v>300995.625</v>
      </c>
      <c r="G23" s="122">
        <v>3751125</v>
      </c>
      <c r="H23" s="122">
        <v>4093125</v>
      </c>
      <c r="I23" s="122">
        <v>4321125</v>
      </c>
      <c r="J23" s="79" t="str">
        <f>VLOOKUP(A23,Table1[[Unit Number]:[NO. OF BEDROOMS]],2,FALSE)</f>
        <v>1 BEDROOM (STUDIO)</v>
      </c>
    </row>
    <row r="24" spans="1:10" x14ac:dyDescent="0.25">
      <c r="A24" s="121" t="s">
        <v>333</v>
      </c>
      <c r="B24" s="191">
        <v>46646.25</v>
      </c>
      <c r="C24" s="191">
        <v>111</v>
      </c>
      <c r="D24" s="191"/>
      <c r="E24" s="122">
        <v>0</v>
      </c>
      <c r="F24" s="122">
        <v>440107.36875000002</v>
      </c>
      <c r="G24" s="122">
        <v>5387733.75</v>
      </c>
      <c r="H24" s="122">
        <v>5887233.75</v>
      </c>
      <c r="I24" s="122">
        <v>6220233.75</v>
      </c>
      <c r="J24" s="79" t="str">
        <f>VLOOKUP(A24,Table1[[Unit Number]:[NO. OF BEDROOMS]],2,FALSE)</f>
        <v>2 BEDROOM</v>
      </c>
    </row>
    <row r="25" spans="1:10" x14ac:dyDescent="0.25">
      <c r="A25" s="121" t="s">
        <v>358</v>
      </c>
      <c r="B25" s="191">
        <v>47853.75</v>
      </c>
      <c r="C25" s="191">
        <v>135</v>
      </c>
      <c r="D25" s="191"/>
      <c r="E25" s="122">
        <v>0</v>
      </c>
      <c r="F25" s="122">
        <v>549121.78125</v>
      </c>
      <c r="G25" s="122">
        <v>6670256.25</v>
      </c>
      <c r="H25" s="122">
        <v>7277756.25</v>
      </c>
      <c r="I25" s="122">
        <v>7682756.25</v>
      </c>
      <c r="J25" s="79" t="str">
        <f>VLOOKUP(A25,Table1[[Unit Number]:[NO. OF BEDROOMS]],2,FALSE)</f>
        <v>2 BEDROOM</v>
      </c>
    </row>
    <row r="26" spans="1:10" x14ac:dyDescent="0.25">
      <c r="A26" s="121" t="s">
        <v>808</v>
      </c>
      <c r="B26" s="191">
        <v>48641.25</v>
      </c>
      <c r="C26" s="191">
        <v>176</v>
      </c>
      <c r="D26" s="191"/>
      <c r="E26" s="122">
        <v>0</v>
      </c>
      <c r="F26" s="122">
        <v>727673.10000000009</v>
      </c>
      <c r="G26" s="122">
        <v>8770860</v>
      </c>
      <c r="H26" s="122">
        <v>9562860</v>
      </c>
      <c r="I26" s="122">
        <v>10090860</v>
      </c>
      <c r="J26" s="79" t="str">
        <f>VLOOKUP(A26,Table1[[Unit Number]:[NO. OF BEDROOMS]],2,FALSE)</f>
        <v>3 BEDROOM</v>
      </c>
    </row>
    <row r="27" spans="1:10" x14ac:dyDescent="0.25">
      <c r="A27" s="121" t="s">
        <v>809</v>
      </c>
      <c r="B27" s="191">
        <v>48641.25</v>
      </c>
      <c r="C27" s="191">
        <v>228</v>
      </c>
      <c r="D27" s="191"/>
      <c r="E27" s="122">
        <v>0</v>
      </c>
      <c r="F27" s="122">
        <v>942667.42500000005</v>
      </c>
      <c r="G27" s="122">
        <v>11300205</v>
      </c>
      <c r="H27" s="122">
        <v>12326205</v>
      </c>
      <c r="I27" s="122">
        <v>13010205</v>
      </c>
      <c r="J27" s="79" t="str">
        <f>VLOOKUP(A27,Table1[[Unit Number]:[NO. OF BEDROOMS]],2,FALSE)</f>
        <v>3 BEDROOM + LIVING</v>
      </c>
    </row>
    <row r="28" spans="1:10" x14ac:dyDescent="0.25">
      <c r="A28" s="121" t="s">
        <v>396</v>
      </c>
      <c r="B28" s="191">
        <v>46620</v>
      </c>
      <c r="C28" s="191">
        <v>173</v>
      </c>
      <c r="D28" s="191">
        <v>78.601100000000002</v>
      </c>
      <c r="E28" s="122">
        <v>1209246.48306</v>
      </c>
      <c r="F28" s="122">
        <v>788333.05106010009</v>
      </c>
      <c r="G28" s="122">
        <v>9484506.4830600005</v>
      </c>
      <c r="H28" s="122">
        <v>10263006.48306</v>
      </c>
      <c r="I28" s="122">
        <v>10782006.48306</v>
      </c>
      <c r="J28" s="79" t="str">
        <f>VLOOKUP(A28,Table1[[Unit Number]:[NO. OF BEDROOMS]],2,FALSE)</f>
        <v>3 BEDROOM</v>
      </c>
    </row>
    <row r="29" spans="1:10" x14ac:dyDescent="0.25">
      <c r="A29" s="121" t="s">
        <v>835</v>
      </c>
      <c r="B29" s="191">
        <v>48667.5</v>
      </c>
      <c r="C29" s="191">
        <v>173</v>
      </c>
      <c r="D29" s="191"/>
      <c r="E29" s="122">
        <v>0</v>
      </c>
      <c r="F29" s="122">
        <v>715655.58750000002</v>
      </c>
      <c r="G29" s="122">
        <v>8629477.5</v>
      </c>
      <c r="H29" s="122">
        <v>9407977.5</v>
      </c>
      <c r="I29" s="122">
        <v>9926977.5</v>
      </c>
      <c r="J29" s="79" t="str">
        <f>VLOOKUP(A29,Table1[[Unit Number]:[NO. OF BEDROOMS]],2,FALSE)</f>
        <v>3 BEDROOM</v>
      </c>
    </row>
    <row r="30" spans="1:10" x14ac:dyDescent="0.25">
      <c r="A30" s="121" t="s">
        <v>836</v>
      </c>
      <c r="B30" s="191">
        <v>48667.5</v>
      </c>
      <c r="C30" s="191">
        <v>173</v>
      </c>
      <c r="D30" s="191"/>
      <c r="E30" s="122">
        <v>0</v>
      </c>
      <c r="F30" s="122">
        <v>715655.58750000002</v>
      </c>
      <c r="G30" s="122">
        <v>8629477.5</v>
      </c>
      <c r="H30" s="122">
        <v>9407977.5</v>
      </c>
      <c r="I30" s="122">
        <v>9926977.5</v>
      </c>
      <c r="J30" s="79" t="str">
        <f>VLOOKUP(A30,Table1[[Unit Number]:[NO. OF BEDROOMS]],2,FALSE)</f>
        <v>3 BEDROOM</v>
      </c>
    </row>
    <row r="31" spans="1:10" x14ac:dyDescent="0.25">
      <c r="A31" s="121" t="s">
        <v>409</v>
      </c>
      <c r="B31" s="191">
        <v>47874.75</v>
      </c>
      <c r="C31" s="191">
        <v>224</v>
      </c>
      <c r="D31" s="191">
        <v>56.4666</v>
      </c>
      <c r="E31" s="122">
        <v>892097.03825550003</v>
      </c>
      <c r="F31" s="122">
        <v>987363.48825171753</v>
      </c>
      <c r="G31" s="122">
        <v>11826041.0382555</v>
      </c>
      <c r="H31" s="122">
        <v>12834041.0382555</v>
      </c>
      <c r="I31" s="122">
        <v>13506041.0382555</v>
      </c>
      <c r="J31" s="79" t="str">
        <f>VLOOKUP(A31,Table1[[Unit Number]:[NO. OF BEDROOMS]],2,FALSE)</f>
        <v>3 BEDROOM + LIVING</v>
      </c>
    </row>
    <row r="32" spans="1:10" x14ac:dyDescent="0.25">
      <c r="A32" s="121" t="s">
        <v>419</v>
      </c>
      <c r="B32" s="191">
        <v>47927.25</v>
      </c>
      <c r="C32" s="191">
        <v>222</v>
      </c>
      <c r="D32" s="191"/>
      <c r="E32" s="122">
        <v>0</v>
      </c>
      <c r="F32" s="122">
        <v>904387.20750000002</v>
      </c>
      <c r="G32" s="122">
        <v>10849849.5</v>
      </c>
      <c r="H32" s="122">
        <v>11848849.5</v>
      </c>
      <c r="I32" s="122">
        <v>12514849.5</v>
      </c>
      <c r="J32" s="79" t="str">
        <f>VLOOKUP(A32,Table1[[Unit Number]:[NO. OF BEDROOMS]],2,FALSE)</f>
        <v>3 BEDROOM + LIVING</v>
      </c>
    </row>
    <row r="33" spans="1:10" x14ac:dyDescent="0.25">
      <c r="A33" s="121" t="s">
        <v>432</v>
      </c>
      <c r="B33" s="191">
        <v>46620</v>
      </c>
      <c r="C33" s="191">
        <v>160</v>
      </c>
      <c r="D33" s="191">
        <v>76.728700000000003</v>
      </c>
      <c r="E33" s="122">
        <v>1180440.3580200002</v>
      </c>
      <c r="F33" s="122">
        <v>734369.43043170008</v>
      </c>
      <c r="G33" s="122">
        <v>8849640.3580200002</v>
      </c>
      <c r="H33" s="122">
        <v>9569640.3580200002</v>
      </c>
      <c r="I33" s="122">
        <v>10049640.35802</v>
      </c>
      <c r="J33" s="79" t="str">
        <f>VLOOKUP(A33,Table1[[Unit Number]:[NO. OF BEDROOMS]],2,FALSE)</f>
        <v>3 BEDROOM</v>
      </c>
    </row>
    <row r="34" spans="1:10" x14ac:dyDescent="0.25">
      <c r="A34" s="121" t="s">
        <v>881</v>
      </c>
      <c r="B34" s="191">
        <v>48667.5</v>
      </c>
      <c r="C34" s="191">
        <v>199</v>
      </c>
      <c r="D34" s="191">
        <v>76.321799999999996</v>
      </c>
      <c r="E34" s="122">
        <v>1225749.0964949999</v>
      </c>
      <c r="F34" s="122">
        <v>927399.43570207513</v>
      </c>
      <c r="G34" s="122">
        <v>11120581.596495001</v>
      </c>
      <c r="H34" s="122">
        <v>12016081.596495001</v>
      </c>
      <c r="I34" s="122">
        <v>12613081.596495001</v>
      </c>
      <c r="J34" s="79" t="str">
        <f>VLOOKUP(A34,Table1[[Unit Number]:[NO. OF BEDROOMS]],2,FALSE)</f>
        <v>3 BEDROOM</v>
      </c>
    </row>
    <row r="35" spans="1:10" x14ac:dyDescent="0.25">
      <c r="A35" s="121" t="s">
        <v>482</v>
      </c>
      <c r="B35" s="191">
        <v>46593.75</v>
      </c>
      <c r="C35" s="191">
        <v>108</v>
      </c>
      <c r="D35" s="191"/>
      <c r="E35" s="122">
        <v>0</v>
      </c>
      <c r="F35" s="122">
        <v>427730.62500000006</v>
      </c>
      <c r="G35" s="122">
        <v>5242125</v>
      </c>
      <c r="H35" s="122">
        <v>5728125</v>
      </c>
      <c r="I35" s="122">
        <v>6052125</v>
      </c>
      <c r="J35" s="79" t="str">
        <f>VLOOKUP(A35,Table1[[Unit Number]:[NO. OF BEDROOMS]],2,FALSE)</f>
        <v>2 BEDROOM</v>
      </c>
    </row>
    <row r="36" spans="1:10" x14ac:dyDescent="0.25">
      <c r="A36" s="121" t="s">
        <v>493</v>
      </c>
      <c r="B36" s="191">
        <v>46593.75</v>
      </c>
      <c r="C36" s="191">
        <v>108</v>
      </c>
      <c r="D36" s="191"/>
      <c r="E36" s="122">
        <v>0</v>
      </c>
      <c r="F36" s="122">
        <v>427730.62500000006</v>
      </c>
      <c r="G36" s="122">
        <v>5242125</v>
      </c>
      <c r="H36" s="122">
        <v>5728125</v>
      </c>
      <c r="I36" s="122">
        <v>6052125</v>
      </c>
      <c r="J36" s="79" t="str">
        <f>VLOOKUP(A36,Table1[[Unit Number]:[NO. OF BEDROOMS]],2,FALSE)</f>
        <v>2 BEDROOM</v>
      </c>
    </row>
    <row r="37" spans="1:10" x14ac:dyDescent="0.25">
      <c r="A37" s="121" t="s">
        <v>503</v>
      </c>
      <c r="B37" s="191">
        <v>46593.75</v>
      </c>
      <c r="C37" s="191">
        <v>108</v>
      </c>
      <c r="D37" s="191"/>
      <c r="E37" s="122">
        <v>0</v>
      </c>
      <c r="F37" s="122">
        <v>427730.62500000006</v>
      </c>
      <c r="G37" s="122">
        <v>5242125</v>
      </c>
      <c r="H37" s="122">
        <v>5728125</v>
      </c>
      <c r="I37" s="122">
        <v>6052125</v>
      </c>
      <c r="J37" s="79" t="str">
        <f>VLOOKUP(A37,Table1[[Unit Number]:[NO. OF BEDROOMS]],2,FALSE)</f>
        <v>2 BEDROOM</v>
      </c>
    </row>
    <row r="38" spans="1:10" x14ac:dyDescent="0.25">
      <c r="A38" s="121" t="s">
        <v>508</v>
      </c>
      <c r="B38" s="191">
        <v>46646.25</v>
      </c>
      <c r="C38" s="191">
        <v>158</v>
      </c>
      <c r="D38" s="191"/>
      <c r="E38" s="122">
        <v>0</v>
      </c>
      <c r="F38" s="122">
        <v>626459.13750000007</v>
      </c>
      <c r="G38" s="122">
        <v>7580107.5</v>
      </c>
      <c r="H38" s="122">
        <v>8291107.5</v>
      </c>
      <c r="I38" s="122">
        <v>8765107.5</v>
      </c>
      <c r="J38" s="79" t="str">
        <f>VLOOKUP(A38,Table1[[Unit Number]:[NO. OF BEDROOMS]],2,FALSE)</f>
        <v>3 BEDROOM</v>
      </c>
    </row>
    <row r="39" spans="1:10" x14ac:dyDescent="0.25">
      <c r="A39" s="121" t="s">
        <v>512</v>
      </c>
      <c r="B39" s="191">
        <v>46593.75</v>
      </c>
      <c r="C39" s="191">
        <v>117</v>
      </c>
      <c r="D39" s="191"/>
      <c r="E39" s="122">
        <v>0</v>
      </c>
      <c r="F39" s="122">
        <v>463374.84375000006</v>
      </c>
      <c r="G39" s="122">
        <v>5661468.75</v>
      </c>
      <c r="H39" s="122">
        <v>6187968.75</v>
      </c>
      <c r="I39" s="122">
        <v>6538968.75</v>
      </c>
      <c r="J39" s="79" t="str">
        <f>VLOOKUP(A39,Table1[[Unit Number]:[NO. OF BEDROOMS]],2,FALSE)</f>
        <v>2 BEDROOM</v>
      </c>
    </row>
    <row r="40" spans="1:10" x14ac:dyDescent="0.25">
      <c r="A40" s="121" t="s">
        <v>951</v>
      </c>
      <c r="B40" s="191">
        <v>48662.25</v>
      </c>
      <c r="C40" s="191">
        <v>228</v>
      </c>
      <c r="D40" s="191"/>
      <c r="E40" s="122">
        <v>0</v>
      </c>
      <c r="F40" s="122">
        <v>943074.40500000003</v>
      </c>
      <c r="G40" s="122">
        <v>11304993</v>
      </c>
      <c r="H40" s="122">
        <v>12330993</v>
      </c>
      <c r="I40" s="122">
        <v>13014993</v>
      </c>
      <c r="J40" s="79" t="str">
        <f>VLOOKUP(A40,Table1[[Unit Number]:[NO. OF BEDROOMS]],2,FALSE)</f>
        <v>3 BEDROOM + LIVING</v>
      </c>
    </row>
    <row r="41" spans="1:10" x14ac:dyDescent="0.25">
      <c r="A41" s="121" t="s">
        <v>952</v>
      </c>
      <c r="B41" s="191">
        <v>48615</v>
      </c>
      <c r="C41" s="191">
        <v>198</v>
      </c>
      <c r="D41" s="191"/>
      <c r="E41" s="122">
        <v>0</v>
      </c>
      <c r="F41" s="122">
        <v>818190.45000000007</v>
      </c>
      <c r="G41" s="122">
        <v>9835770</v>
      </c>
      <c r="H41" s="122">
        <v>10726770</v>
      </c>
      <c r="I41" s="122">
        <v>11320770</v>
      </c>
      <c r="J41" s="79" t="str">
        <f>VLOOKUP(A41,Table1[[Unit Number]:[NO. OF BEDROOMS]],2,FALSE)</f>
        <v>3 BEDROOM</v>
      </c>
    </row>
    <row r="42" spans="1:10" x14ac:dyDescent="0.25">
      <c r="A42" s="121" t="s">
        <v>519</v>
      </c>
      <c r="B42" s="191">
        <v>46593.75</v>
      </c>
      <c r="C42" s="191">
        <v>173</v>
      </c>
      <c r="D42" s="191"/>
      <c r="E42" s="122">
        <v>0</v>
      </c>
      <c r="F42" s="122">
        <v>685161.09375</v>
      </c>
      <c r="G42" s="122">
        <v>8270718.75</v>
      </c>
      <c r="H42" s="122">
        <v>9049218.75</v>
      </c>
      <c r="I42" s="122">
        <v>9568218.75</v>
      </c>
      <c r="J42" s="79" t="str">
        <f>VLOOKUP(A42,Table1[[Unit Number]:[NO. OF BEDROOMS]],2,FALSE)</f>
        <v>3 BEDROOM</v>
      </c>
    </row>
    <row r="43" spans="1:10" x14ac:dyDescent="0.25">
      <c r="A43" s="121" t="s">
        <v>525</v>
      </c>
      <c r="B43" s="191">
        <v>46593.75</v>
      </c>
      <c r="C43" s="191">
        <v>117</v>
      </c>
      <c r="D43" s="191"/>
      <c r="E43" s="122">
        <v>0</v>
      </c>
      <c r="F43" s="122">
        <v>463374.84375000006</v>
      </c>
      <c r="G43" s="122">
        <v>5661468.75</v>
      </c>
      <c r="H43" s="122">
        <v>6187968.75</v>
      </c>
      <c r="I43" s="122">
        <v>6538968.75</v>
      </c>
      <c r="J43" s="79" t="str">
        <f>VLOOKUP(A43,Table1[[Unit Number]:[NO. OF BEDROOMS]],2,FALSE)</f>
        <v>2 BEDROOM</v>
      </c>
    </row>
    <row r="44" spans="1:10" x14ac:dyDescent="0.25">
      <c r="A44" s="121" t="s">
        <v>535</v>
      </c>
      <c r="B44" s="191">
        <v>46593.75</v>
      </c>
      <c r="C44" s="191">
        <v>117</v>
      </c>
      <c r="D44" s="191"/>
      <c r="E44" s="122">
        <v>0</v>
      </c>
      <c r="F44" s="122">
        <v>463374.84375000006</v>
      </c>
      <c r="G44" s="122">
        <v>5661468.75</v>
      </c>
      <c r="H44" s="122">
        <v>6187968.75</v>
      </c>
      <c r="I44" s="122">
        <v>6538968.75</v>
      </c>
      <c r="J44" s="79" t="str">
        <f>VLOOKUP(A44,Table1[[Unit Number]:[NO. OF BEDROOMS]],2,FALSE)</f>
        <v>2 BEDROOM</v>
      </c>
    </row>
    <row r="45" spans="1:10" x14ac:dyDescent="0.25">
      <c r="A45" s="121" t="s">
        <v>540</v>
      </c>
      <c r="B45" s="191">
        <v>46593.75</v>
      </c>
      <c r="C45" s="191">
        <v>173</v>
      </c>
      <c r="D45" s="191"/>
      <c r="E45" s="122">
        <v>0</v>
      </c>
      <c r="F45" s="122">
        <v>685161.09375</v>
      </c>
      <c r="G45" s="122">
        <v>8270718.75</v>
      </c>
      <c r="H45" s="122">
        <v>9049218.75</v>
      </c>
      <c r="I45" s="122">
        <v>9568218.75</v>
      </c>
      <c r="J45" s="79" t="str">
        <f>VLOOKUP(A45,Table1[[Unit Number]:[NO. OF BEDROOMS]],2,FALSE)</f>
        <v>3 BEDROOM</v>
      </c>
    </row>
    <row r="46" spans="1:10" x14ac:dyDescent="0.25">
      <c r="A46" s="121" t="s">
        <v>978</v>
      </c>
      <c r="B46" s="191">
        <v>48641.25</v>
      </c>
      <c r="C46" s="191">
        <v>228</v>
      </c>
      <c r="D46" s="191"/>
      <c r="E46" s="122">
        <v>0</v>
      </c>
      <c r="F46" s="122">
        <v>942667.42500000005</v>
      </c>
      <c r="G46" s="122">
        <v>11300205</v>
      </c>
      <c r="H46" s="122">
        <v>12326205</v>
      </c>
      <c r="I46" s="122">
        <v>13010205</v>
      </c>
      <c r="J46" s="79" t="str">
        <f>VLOOKUP(A46,Table1[[Unit Number]:[NO. OF BEDROOMS]],2,FALSE)</f>
        <v>3 BEDROOM + LIVING</v>
      </c>
    </row>
    <row r="47" spans="1:10" x14ac:dyDescent="0.25">
      <c r="A47" s="121" t="s">
        <v>979</v>
      </c>
      <c r="B47" s="191">
        <v>48641.25</v>
      </c>
      <c r="C47" s="191">
        <v>176</v>
      </c>
      <c r="D47" s="191"/>
      <c r="E47" s="122">
        <v>0</v>
      </c>
      <c r="F47" s="122">
        <v>727673.10000000009</v>
      </c>
      <c r="G47" s="122">
        <v>8770860</v>
      </c>
      <c r="H47" s="122">
        <v>9562860</v>
      </c>
      <c r="I47" s="122">
        <v>10090860</v>
      </c>
      <c r="J47" s="79" t="str">
        <f>VLOOKUP(A47,Table1[[Unit Number]:[NO. OF BEDROOMS]],2,FALSE)</f>
        <v>3 BEDROOM</v>
      </c>
    </row>
    <row r="48" spans="1:10" x14ac:dyDescent="0.25">
      <c r="A48" s="121" t="s">
        <v>565</v>
      </c>
      <c r="B48" s="191">
        <v>47927.25</v>
      </c>
      <c r="C48" s="191">
        <v>176</v>
      </c>
      <c r="D48" s="191">
        <v>78.760000000000005</v>
      </c>
      <c r="E48" s="122">
        <v>1245667.5693000001</v>
      </c>
      <c r="F48" s="122">
        <v>822873.4033905</v>
      </c>
      <c r="G48" s="122">
        <v>9890863.5692999996</v>
      </c>
      <c r="H48" s="122">
        <v>10682863.5693</v>
      </c>
      <c r="I48" s="122">
        <v>11210863.5693</v>
      </c>
      <c r="J48" s="79" t="str">
        <f>VLOOKUP(A48,Table1[[Unit Number]:[NO. OF BEDROOMS]],2,FALSE)</f>
        <v>3 BEDROOM</v>
      </c>
    </row>
    <row r="49" spans="1:10" x14ac:dyDescent="0.25">
      <c r="A49" s="121" t="s">
        <v>573</v>
      </c>
      <c r="B49" s="191">
        <v>46593.75</v>
      </c>
      <c r="C49" s="191">
        <v>116</v>
      </c>
      <c r="D49" s="191">
        <v>63.1755</v>
      </c>
      <c r="E49" s="122">
        <v>971382.53953125002</v>
      </c>
      <c r="F49" s="122">
        <v>541981.89086015627</v>
      </c>
      <c r="G49" s="122">
        <v>6586257.5395312496</v>
      </c>
      <c r="H49" s="122">
        <v>7108257.5395312496</v>
      </c>
      <c r="I49" s="122">
        <v>7456257.5395312496</v>
      </c>
      <c r="J49" s="79" t="str">
        <f>VLOOKUP(A49,Table1[[Unit Number]:[NO. OF BEDROOMS]],2,FALSE)</f>
        <v>2 BEDROOM</v>
      </c>
    </row>
    <row r="50" spans="1:10" x14ac:dyDescent="0.25">
      <c r="A50" s="121" t="s">
        <v>574</v>
      </c>
      <c r="B50" s="191">
        <v>47932.5</v>
      </c>
      <c r="C50" s="191">
        <v>199</v>
      </c>
      <c r="D50" s="191">
        <v>77.610299999999995</v>
      </c>
      <c r="E50" s="122">
        <v>1227618.3825675</v>
      </c>
      <c r="F50" s="122">
        <v>915125.80001823767</v>
      </c>
      <c r="G50" s="122">
        <v>10976185.882567501</v>
      </c>
      <c r="H50" s="122">
        <v>11871685.882567501</v>
      </c>
      <c r="I50" s="122">
        <v>12468685.882567501</v>
      </c>
      <c r="J50" s="79" t="str">
        <f>VLOOKUP(A50,Table1[[Unit Number]:[NO. OF BEDROOMS]],2,FALSE)</f>
        <v>3 BEDROOM</v>
      </c>
    </row>
    <row r="51" spans="1:10" x14ac:dyDescent="0.25">
      <c r="A51" s="121" t="s">
        <v>580</v>
      </c>
      <c r="B51" s="191">
        <v>46620</v>
      </c>
      <c r="C51" s="191">
        <v>173</v>
      </c>
      <c r="D51" s="191">
        <v>79.386099999999999</v>
      </c>
      <c r="E51" s="122">
        <v>1221323.3940600001</v>
      </c>
      <c r="F51" s="122">
        <v>789359.58849510015</v>
      </c>
      <c r="G51" s="122">
        <v>9496583.3940600008</v>
      </c>
      <c r="H51" s="122">
        <v>10275083.394060001</v>
      </c>
      <c r="I51" s="122">
        <v>10794083.394060001</v>
      </c>
      <c r="J51" s="79" t="str">
        <f>VLOOKUP(A51,Table1[[Unit Number]:[NO. OF BEDROOMS]],2,FALSE)</f>
        <v>3 BEDROOM</v>
      </c>
    </row>
    <row r="52" spans="1:10" x14ac:dyDescent="0.25">
      <c r="A52" s="121" t="s">
        <v>591</v>
      </c>
      <c r="B52" s="191">
        <v>47932.5</v>
      </c>
      <c r="C52" s="191">
        <v>199</v>
      </c>
      <c r="D52" s="191">
        <v>77.576999999999998</v>
      </c>
      <c r="E52" s="122">
        <v>1227091.6523249999</v>
      </c>
      <c r="F52" s="122">
        <v>915081.02794762515</v>
      </c>
      <c r="G52" s="122">
        <v>10975659.152325001</v>
      </c>
      <c r="H52" s="122">
        <v>11871159.152325001</v>
      </c>
      <c r="I52" s="122">
        <v>12468159.152325001</v>
      </c>
      <c r="J52" s="79" t="str">
        <f>VLOOKUP(A52,Table1[[Unit Number]:[NO. OF BEDROOMS]],2,FALSE)</f>
        <v>3 BEDROOM</v>
      </c>
    </row>
    <row r="53" spans="1:10" x14ac:dyDescent="0.25">
      <c r="A53" s="121" t="s">
        <v>592</v>
      </c>
      <c r="B53" s="191">
        <v>46593.75</v>
      </c>
      <c r="C53" s="191">
        <v>116</v>
      </c>
      <c r="D53" s="191">
        <v>63.183500000000002</v>
      </c>
      <c r="E53" s="122">
        <v>971505.54703125008</v>
      </c>
      <c r="F53" s="122">
        <v>541992.34649765631</v>
      </c>
      <c r="G53" s="122">
        <v>6586380.5470312499</v>
      </c>
      <c r="H53" s="122">
        <v>7108380.5470312499</v>
      </c>
      <c r="I53" s="122">
        <v>7456380.5470312499</v>
      </c>
      <c r="J53" s="79" t="str">
        <f>VLOOKUP(A53,Table1[[Unit Number]:[NO. OF BEDROOMS]],2,FALSE)</f>
        <v>2 BEDROOM</v>
      </c>
    </row>
    <row r="54" spans="1:10" x14ac:dyDescent="0.25">
      <c r="A54" s="121" t="s">
        <v>599</v>
      </c>
      <c r="B54" s="191">
        <v>46567.5</v>
      </c>
      <c r="C54" s="191">
        <v>170</v>
      </c>
      <c r="D54" s="191"/>
      <c r="E54" s="122">
        <v>0</v>
      </c>
      <c r="F54" s="122">
        <v>672900.375</v>
      </c>
      <c r="G54" s="122">
        <v>8126475</v>
      </c>
      <c r="H54" s="122">
        <v>8891475</v>
      </c>
      <c r="I54" s="122">
        <v>9401475</v>
      </c>
      <c r="J54" s="79" t="str">
        <f>VLOOKUP(A54,Table1[[Unit Number]:[NO. OF BEDROOMS]],2,FALSE)</f>
        <v>3 BEDROOM</v>
      </c>
    </row>
    <row r="55" spans="1:10" x14ac:dyDescent="0.25">
      <c r="A55" s="121" t="s">
        <v>602</v>
      </c>
      <c r="B55" s="191">
        <v>46593.75</v>
      </c>
      <c r="C55" s="191">
        <v>108</v>
      </c>
      <c r="D55" s="191"/>
      <c r="E55" s="122">
        <v>0</v>
      </c>
      <c r="F55" s="122">
        <v>427730.62500000006</v>
      </c>
      <c r="G55" s="122">
        <v>5242125</v>
      </c>
      <c r="H55" s="122">
        <v>5728125</v>
      </c>
      <c r="I55" s="122">
        <v>6052125</v>
      </c>
      <c r="J55" s="79" t="str">
        <f>VLOOKUP(A55,Table1[[Unit Number]:[NO. OF BEDROOMS]],2,FALSE)</f>
        <v>2 BEDROOM</v>
      </c>
    </row>
    <row r="56" spans="1:10" x14ac:dyDescent="0.25">
      <c r="A56" s="121" t="s">
        <v>1060</v>
      </c>
      <c r="B56" s="191">
        <v>48667.5</v>
      </c>
      <c r="C56" s="191">
        <v>155</v>
      </c>
      <c r="D56" s="191"/>
      <c r="E56" s="122">
        <v>0</v>
      </c>
      <c r="F56" s="122">
        <v>641194.3125</v>
      </c>
      <c r="G56" s="122">
        <v>7753462.5</v>
      </c>
      <c r="H56" s="122">
        <v>8450962.5</v>
      </c>
      <c r="I56" s="122">
        <v>8915962.5</v>
      </c>
      <c r="J56" s="79" t="str">
        <f>VLOOKUP(A56,Table1[[Unit Number]:[NO. OF BEDROOMS]],2,FALSE)</f>
        <v>3 BEDROOM</v>
      </c>
    </row>
    <row r="57" spans="1:10" x14ac:dyDescent="0.25">
      <c r="A57" s="121" t="s">
        <v>614</v>
      </c>
      <c r="B57" s="191">
        <v>46593.75</v>
      </c>
      <c r="C57" s="191">
        <v>108</v>
      </c>
      <c r="D57" s="191"/>
      <c r="E57" s="122">
        <v>0</v>
      </c>
      <c r="F57" s="122">
        <v>427730.62500000006</v>
      </c>
      <c r="G57" s="122">
        <v>5242125</v>
      </c>
      <c r="H57" s="122">
        <v>5728125</v>
      </c>
      <c r="I57" s="122">
        <v>6052125</v>
      </c>
      <c r="J57" s="79" t="str">
        <f>VLOOKUP(A57,Table1[[Unit Number]:[NO. OF BEDROOMS]],2,FALSE)</f>
        <v>2 BEDROOM</v>
      </c>
    </row>
    <row r="58" spans="1:10" x14ac:dyDescent="0.25">
      <c r="A58" s="121" t="s">
        <v>1069</v>
      </c>
      <c r="B58" s="191">
        <v>48615</v>
      </c>
      <c r="C58" s="191">
        <v>160</v>
      </c>
      <c r="D58" s="191"/>
      <c r="E58" s="122">
        <v>0</v>
      </c>
      <c r="F58" s="122">
        <v>661164</v>
      </c>
      <c r="G58" s="122">
        <v>7988400</v>
      </c>
      <c r="H58" s="122">
        <v>8708400</v>
      </c>
      <c r="I58" s="122">
        <v>9188400</v>
      </c>
      <c r="J58" s="79" t="str">
        <f>VLOOKUP(A58,Table1[[Unit Number]:[NO. OF BEDROOMS]],2,FALSE)</f>
        <v>3 BEDROOM</v>
      </c>
    </row>
    <row r="59" spans="1:10" x14ac:dyDescent="0.25">
      <c r="A59" s="121" t="s">
        <v>1070</v>
      </c>
      <c r="B59" s="191">
        <v>48667.5</v>
      </c>
      <c r="C59" s="191">
        <v>155</v>
      </c>
      <c r="D59" s="191"/>
      <c r="E59" s="122">
        <v>0</v>
      </c>
      <c r="F59" s="122">
        <v>641194.3125</v>
      </c>
      <c r="G59" s="122">
        <v>7753462.5</v>
      </c>
      <c r="H59" s="122">
        <v>8450962.5</v>
      </c>
      <c r="I59" s="122">
        <v>8915962.5</v>
      </c>
      <c r="J59" s="79" t="str">
        <f>VLOOKUP(A59,Table1[[Unit Number]:[NO. OF BEDROOMS]],2,FALSE)</f>
        <v>3 BEDROOM</v>
      </c>
    </row>
    <row r="60" spans="1:10" x14ac:dyDescent="0.25">
      <c r="A60" s="121" t="s">
        <v>624</v>
      </c>
      <c r="B60" s="191">
        <v>46593.75</v>
      </c>
      <c r="C60" s="191">
        <v>108</v>
      </c>
      <c r="D60" s="191"/>
      <c r="E60" s="122">
        <v>0</v>
      </c>
      <c r="F60" s="122">
        <v>427730.62500000006</v>
      </c>
      <c r="G60" s="122">
        <v>5242125</v>
      </c>
      <c r="H60" s="122">
        <v>5728125</v>
      </c>
      <c r="I60" s="122">
        <v>6052125</v>
      </c>
      <c r="J60" s="79" t="str">
        <f>VLOOKUP(A60,Table1[[Unit Number]:[NO. OF BEDROOMS]],2,FALSE)</f>
        <v>2 BEDROOM</v>
      </c>
    </row>
    <row r="61" spans="1:10" x14ac:dyDescent="0.25">
      <c r="A61" s="121" t="s">
        <v>1079</v>
      </c>
      <c r="B61" s="191">
        <v>48667.5</v>
      </c>
      <c r="C61" s="191">
        <v>155</v>
      </c>
      <c r="D61" s="191"/>
      <c r="E61" s="122">
        <v>0</v>
      </c>
      <c r="F61" s="122">
        <v>641194.3125</v>
      </c>
      <c r="G61" s="122">
        <v>7753462.5</v>
      </c>
      <c r="H61" s="122">
        <v>8450962.5</v>
      </c>
      <c r="I61" s="122">
        <v>8915962.5</v>
      </c>
      <c r="J61" s="79" t="str">
        <f>VLOOKUP(A61,Table1[[Unit Number]:[NO. OF BEDROOMS]],2,FALSE)</f>
        <v>3 BEDROOM</v>
      </c>
    </row>
    <row r="62" spans="1:10" x14ac:dyDescent="0.25">
      <c r="A62" s="121" t="s">
        <v>633</v>
      </c>
      <c r="B62" s="191">
        <v>47880</v>
      </c>
      <c r="C62" s="191">
        <v>152</v>
      </c>
      <c r="D62" s="191">
        <v>85.417599999999993</v>
      </c>
      <c r="E62" s="122">
        <v>1349632.24704</v>
      </c>
      <c r="F62" s="122">
        <v>733328.3409984</v>
      </c>
      <c r="G62" s="122">
        <v>8837392.2470399998</v>
      </c>
      <c r="H62" s="122">
        <v>9521392.2470399998</v>
      </c>
      <c r="I62" s="122">
        <v>9977392.2470399998</v>
      </c>
      <c r="J62" s="79" t="str">
        <f>VLOOKUP(A62,Table1[[Unit Number]:[NO. OF BEDROOMS]],2,FALSE)</f>
        <v>3 BEDROOM</v>
      </c>
    </row>
    <row r="63" spans="1:10" x14ac:dyDescent="0.25">
      <c r="A63" s="121" t="s">
        <v>640</v>
      </c>
      <c r="B63" s="191">
        <v>47932.5</v>
      </c>
      <c r="C63" s="191">
        <v>155</v>
      </c>
      <c r="D63" s="191"/>
      <c r="E63" s="122">
        <v>0</v>
      </c>
      <c r="F63" s="122">
        <v>631510.6875</v>
      </c>
      <c r="G63" s="122">
        <v>7639537.5</v>
      </c>
      <c r="H63" s="122">
        <v>8337037.5</v>
      </c>
      <c r="I63" s="122">
        <v>8802037.5</v>
      </c>
      <c r="J63" s="79" t="str">
        <f>VLOOKUP(A63,Table1[[Unit Number]:[NO. OF BEDROOMS]],2,FALSE)</f>
        <v>3 BEDROOM</v>
      </c>
    </row>
    <row r="64" spans="1:10" x14ac:dyDescent="0.25">
      <c r="A64" s="121" t="s">
        <v>642</v>
      </c>
      <c r="B64" s="191">
        <v>46646.25</v>
      </c>
      <c r="C64" s="191">
        <v>161</v>
      </c>
      <c r="D64" s="191">
        <v>84.359399999999994</v>
      </c>
      <c r="E64" s="122">
        <v>1298566.3885424999</v>
      </c>
      <c r="F64" s="122">
        <v>748732.07427611249</v>
      </c>
      <c r="G64" s="122">
        <v>9018612.6385424994</v>
      </c>
      <c r="H64" s="122">
        <v>9743112.6385424994</v>
      </c>
      <c r="I64" s="122">
        <v>10226112.638542499</v>
      </c>
      <c r="J64" s="79" t="str">
        <f>VLOOKUP(A64,Table1[[Unit Number]:[NO. OF BEDROOMS]],2,FALSE)</f>
        <v>3 BEDROOM</v>
      </c>
    </row>
    <row r="65" spans="1:10" x14ac:dyDescent="0.25">
      <c r="A65" s="121" t="s">
        <v>643</v>
      </c>
      <c r="B65" s="191">
        <v>47880</v>
      </c>
      <c r="C65" s="191">
        <v>152</v>
      </c>
      <c r="D65" s="191">
        <v>85.417599999999993</v>
      </c>
      <c r="E65" s="122">
        <v>1349632.24704</v>
      </c>
      <c r="F65" s="122">
        <v>733328.3409984</v>
      </c>
      <c r="G65" s="122">
        <v>8837392.2470399998</v>
      </c>
      <c r="H65" s="122">
        <v>9521392.2470399998</v>
      </c>
      <c r="I65" s="122">
        <v>9977392.2470399998</v>
      </c>
      <c r="J65" s="79" t="str">
        <f>VLOOKUP(A65,Table1[[Unit Number]:[NO. OF BEDROOMS]],2,FALSE)</f>
        <v>3 BEDROOM</v>
      </c>
    </row>
    <row r="66" spans="1:10" x14ac:dyDescent="0.25">
      <c r="A66" s="121" t="s">
        <v>644</v>
      </c>
      <c r="B66" s="191">
        <v>46593.75</v>
      </c>
      <c r="C66" s="191">
        <v>108</v>
      </c>
      <c r="D66" s="191">
        <v>67.558899999999994</v>
      </c>
      <c r="E66" s="122">
        <v>1038781.4239687499</v>
      </c>
      <c r="F66" s="122">
        <v>516027.0460373438</v>
      </c>
      <c r="G66" s="122">
        <v>6280906.4239687501</v>
      </c>
      <c r="H66" s="122">
        <v>6766906.4239687501</v>
      </c>
      <c r="I66" s="122">
        <v>7090906.4239687501</v>
      </c>
      <c r="J66" s="79" t="str">
        <f>VLOOKUP(A66,Table1[[Unit Number]:[NO. OF BEDROOMS]],2,FALSE)</f>
        <v>2 BEDROOM</v>
      </c>
    </row>
    <row r="67" spans="1:10" x14ac:dyDescent="0.25">
      <c r="A67" s="121" t="s">
        <v>652</v>
      </c>
      <c r="B67" s="191">
        <v>47932.5</v>
      </c>
      <c r="C67" s="191">
        <v>155</v>
      </c>
      <c r="D67" s="191"/>
      <c r="E67" s="122">
        <v>0</v>
      </c>
      <c r="F67" s="122">
        <v>631510.6875</v>
      </c>
      <c r="G67" s="122">
        <v>7639537.5</v>
      </c>
      <c r="H67" s="122">
        <v>8337037.5</v>
      </c>
      <c r="I67" s="122">
        <v>8802037.5</v>
      </c>
      <c r="J67" s="79" t="str">
        <f>VLOOKUP(A67,Table1[[Unit Number]:[NO. OF BEDROOMS]],2,FALSE)</f>
        <v>3 BEDROOM</v>
      </c>
    </row>
    <row r="68" spans="1:10" x14ac:dyDescent="0.25">
      <c r="A68" s="121" t="s">
        <v>653</v>
      </c>
      <c r="B68" s="191">
        <v>46620</v>
      </c>
      <c r="C68" s="191">
        <v>153</v>
      </c>
      <c r="D68" s="191"/>
      <c r="E68" s="122">
        <v>0</v>
      </c>
      <c r="F68" s="122">
        <v>606293.10000000009</v>
      </c>
      <c r="G68" s="122">
        <v>7342860</v>
      </c>
      <c r="H68" s="122">
        <v>8031360</v>
      </c>
      <c r="I68" s="122">
        <v>8490360</v>
      </c>
      <c r="J68" s="79" t="str">
        <f>VLOOKUP(A68,Table1[[Unit Number]:[NO. OF BEDROOMS]],2,FALSE)</f>
        <v>3 BEDROOM</v>
      </c>
    </row>
    <row r="69" spans="1:10" x14ac:dyDescent="0.25">
      <c r="A69" s="121" t="s">
        <v>658</v>
      </c>
      <c r="B69" s="191">
        <v>46620</v>
      </c>
      <c r="C69" s="191">
        <v>155</v>
      </c>
      <c r="D69" s="191"/>
      <c r="E69" s="122">
        <v>0</v>
      </c>
      <c r="F69" s="122">
        <v>614218.5</v>
      </c>
      <c r="G69" s="122">
        <v>7436100</v>
      </c>
      <c r="H69" s="122">
        <v>8133600</v>
      </c>
      <c r="I69" s="122">
        <v>8598600</v>
      </c>
      <c r="J69" s="79" t="str">
        <f>VLOOKUP(A69,Table1[[Unit Number]:[NO. OF BEDROOMS]],2,FALSE)</f>
        <v>3 BEDROOM</v>
      </c>
    </row>
    <row r="70" spans="1:10" x14ac:dyDescent="0.25">
      <c r="A70" s="121" t="s">
        <v>1106</v>
      </c>
      <c r="B70" s="191">
        <v>48667.5</v>
      </c>
      <c r="C70" s="191">
        <v>155</v>
      </c>
      <c r="D70" s="191"/>
      <c r="E70" s="122">
        <v>0</v>
      </c>
      <c r="F70" s="122">
        <v>641194.3125</v>
      </c>
      <c r="G70" s="122">
        <v>7753462.5</v>
      </c>
      <c r="H70" s="122">
        <v>8450962.5</v>
      </c>
      <c r="I70" s="122">
        <v>8915962.5</v>
      </c>
      <c r="J70" s="79" t="str">
        <f>VLOOKUP(A70,Table1[[Unit Number]:[NO. OF BEDROOMS]],2,FALSE)</f>
        <v>3 BEDROOM</v>
      </c>
    </row>
    <row r="71" spans="1:10" x14ac:dyDescent="0.25">
      <c r="A71" s="121" t="s">
        <v>666</v>
      </c>
      <c r="B71" s="191">
        <v>46331.25</v>
      </c>
      <c r="C71" s="191">
        <v>108</v>
      </c>
      <c r="D71" s="191">
        <v>68.089699999999993</v>
      </c>
      <c r="E71" s="122">
        <v>1041044.7013312499</v>
      </c>
      <c r="F71" s="122">
        <v>513809.6746131563</v>
      </c>
      <c r="G71" s="122">
        <v>6254819.7013312504</v>
      </c>
      <c r="H71" s="122">
        <v>6740819.7013312504</v>
      </c>
      <c r="I71" s="122">
        <v>7064819.7013312504</v>
      </c>
      <c r="J71" s="79" t="str">
        <f>VLOOKUP(A71,Table1[[Unit Number]:[NO. OF BEDROOMS]],2,FALSE)</f>
        <v>2 BEDROOM</v>
      </c>
    </row>
    <row r="72" spans="1:10" x14ac:dyDescent="0.25">
      <c r="A72" s="121" t="s">
        <v>1117</v>
      </c>
      <c r="B72" s="191">
        <v>48667.5</v>
      </c>
      <c r="C72" s="191">
        <v>155</v>
      </c>
      <c r="D72" s="191"/>
      <c r="E72" s="122">
        <v>0</v>
      </c>
      <c r="F72" s="122">
        <v>641194.3125</v>
      </c>
      <c r="G72" s="122">
        <v>7753462.5</v>
      </c>
      <c r="H72" s="122">
        <v>8450962.5</v>
      </c>
      <c r="I72" s="122">
        <v>8915962.5</v>
      </c>
      <c r="J72" s="79" t="str">
        <f>VLOOKUP(A72,Table1[[Unit Number]:[NO. OF BEDROOMS]],2,FALSE)</f>
        <v>3 BEDROOM</v>
      </c>
    </row>
    <row r="73" spans="1:10" x14ac:dyDescent="0.25">
      <c r="A73" s="121" t="s">
        <v>672</v>
      </c>
      <c r="B73" s="191">
        <v>46357.5</v>
      </c>
      <c r="C73" s="191">
        <v>153</v>
      </c>
      <c r="D73" s="191"/>
      <c r="E73" s="122">
        <v>0</v>
      </c>
      <c r="F73" s="122">
        <v>602879.28750000009</v>
      </c>
      <c r="G73" s="122">
        <v>7302697.5</v>
      </c>
      <c r="H73" s="122">
        <v>7991197.5</v>
      </c>
      <c r="I73" s="122">
        <v>8450197.5</v>
      </c>
      <c r="J73" s="79" t="str">
        <f>VLOOKUP(A73,Table1[[Unit Number]:[NO. OF BEDROOMS]],2,FALSE)</f>
        <v>3 BEDROOM</v>
      </c>
    </row>
    <row r="74" spans="1:10" x14ac:dyDescent="0.25">
      <c r="A74" s="121" t="s">
        <v>674</v>
      </c>
      <c r="B74" s="191">
        <v>47880</v>
      </c>
      <c r="C74" s="191">
        <v>153</v>
      </c>
      <c r="D74" s="191">
        <v>85.619500000000002</v>
      </c>
      <c r="E74" s="122">
        <v>1352822.3478000001</v>
      </c>
      <c r="F74" s="122">
        <v>737669.29956299998</v>
      </c>
      <c r="G74" s="122">
        <v>8888462.3477999996</v>
      </c>
      <c r="H74" s="122">
        <v>9576962.3477999996</v>
      </c>
      <c r="I74" s="122">
        <v>10035962.3478</v>
      </c>
      <c r="J74" s="79" t="str">
        <f>VLOOKUP(A74,Table1[[Unit Number]:[NO. OF BEDROOMS]],2,FALSE)</f>
        <v>3 BEDROOM</v>
      </c>
    </row>
    <row r="75" spans="1:10" x14ac:dyDescent="0.25">
      <c r="A75" s="121" t="s">
        <v>682</v>
      </c>
      <c r="B75" s="191">
        <v>47932.5</v>
      </c>
      <c r="C75" s="191">
        <v>155</v>
      </c>
      <c r="D75" s="191"/>
      <c r="E75" s="122">
        <v>0</v>
      </c>
      <c r="F75" s="122">
        <v>631510.6875</v>
      </c>
      <c r="G75" s="122">
        <v>7639537.5</v>
      </c>
      <c r="H75" s="122">
        <v>8337037.5</v>
      </c>
      <c r="I75" s="122">
        <v>8802037.5</v>
      </c>
      <c r="J75" s="79" t="str">
        <f>VLOOKUP(A75,Table1[[Unit Number]:[NO. OF BEDROOMS]],2,FALSE)</f>
        <v>3 BEDROOM</v>
      </c>
    </row>
    <row r="76" spans="1:10" x14ac:dyDescent="0.25">
      <c r="A76" s="121" t="s">
        <v>684</v>
      </c>
      <c r="B76" s="191">
        <v>46620</v>
      </c>
      <c r="C76" s="191">
        <v>160</v>
      </c>
      <c r="D76" s="191">
        <v>89.694999999999993</v>
      </c>
      <c r="E76" s="122">
        <v>1379921.6969999999</v>
      </c>
      <c r="F76" s="122">
        <v>751325.34424500016</v>
      </c>
      <c r="G76" s="122">
        <v>9049121.6970000006</v>
      </c>
      <c r="H76" s="122">
        <v>9769121.6970000006</v>
      </c>
      <c r="I76" s="122">
        <v>10249121.697000001</v>
      </c>
      <c r="J76" s="79" t="str">
        <f>VLOOKUP(A76,Table1[[Unit Number]:[NO. OF BEDROOMS]],2,FALSE)</f>
        <v>3 BEDROOM</v>
      </c>
    </row>
    <row r="77" spans="1:10" x14ac:dyDescent="0.25">
      <c r="A77" s="121" t="s">
        <v>695</v>
      </c>
      <c r="B77" s="191">
        <v>47880</v>
      </c>
      <c r="C77" s="191">
        <v>161</v>
      </c>
      <c r="D77" s="191"/>
      <c r="E77" s="122">
        <v>0</v>
      </c>
      <c r="F77" s="122">
        <v>655237.80000000005</v>
      </c>
      <c r="G77" s="122">
        <v>7918680</v>
      </c>
      <c r="H77" s="122">
        <v>8643180</v>
      </c>
      <c r="I77" s="122">
        <v>9126180</v>
      </c>
      <c r="J77" s="79" t="str">
        <f>VLOOKUP(A77,Table1[[Unit Number]:[NO. OF BEDROOMS]],2,FALSE)</f>
        <v>3 BEDROOM</v>
      </c>
    </row>
    <row r="78" spans="1:10" x14ac:dyDescent="0.25">
      <c r="A78" s="121" t="s">
        <v>696</v>
      </c>
      <c r="B78" s="191">
        <v>47932.5</v>
      </c>
      <c r="C78" s="191">
        <v>155</v>
      </c>
      <c r="D78" s="191"/>
      <c r="E78" s="122">
        <v>0</v>
      </c>
      <c r="F78" s="122">
        <v>631510.6875</v>
      </c>
      <c r="G78" s="122">
        <v>7639537.5</v>
      </c>
      <c r="H78" s="122">
        <v>8337037.5</v>
      </c>
      <c r="I78" s="122">
        <v>8802037.5</v>
      </c>
      <c r="J78" s="79" t="str">
        <f>VLOOKUP(A78,Table1[[Unit Number]:[NO. OF BEDROOMS]],2,FALSE)</f>
        <v>3 BEDROOM</v>
      </c>
    </row>
    <row r="79" spans="1:10" x14ac:dyDescent="0.25">
      <c r="A79" s="121" t="s">
        <v>699</v>
      </c>
      <c r="B79" s="191">
        <v>47880</v>
      </c>
      <c r="C79" s="191">
        <v>153</v>
      </c>
      <c r="D79" s="191">
        <v>85.562899999999999</v>
      </c>
      <c r="E79" s="122">
        <v>1351928.0451600002</v>
      </c>
      <c r="F79" s="122">
        <v>737593.28383860004</v>
      </c>
      <c r="G79" s="122">
        <v>8887568.0451599993</v>
      </c>
      <c r="H79" s="122">
        <v>9576068.0451599993</v>
      </c>
      <c r="I79" s="122">
        <v>10035068.045159999</v>
      </c>
      <c r="J79" s="79" t="str">
        <f>VLOOKUP(A79,Table1[[Unit Number]:[NO. OF BEDROOMS]],2,FALSE)</f>
        <v>3 BEDROOM</v>
      </c>
    </row>
    <row r="80" spans="1:10" x14ac:dyDescent="0.25">
      <c r="A80" s="121" t="s">
        <v>707</v>
      </c>
      <c r="B80" s="191">
        <v>47932.5</v>
      </c>
      <c r="C80" s="191">
        <v>155</v>
      </c>
      <c r="D80" s="191"/>
      <c r="E80" s="122">
        <v>0</v>
      </c>
      <c r="F80" s="122">
        <v>631510.6875</v>
      </c>
      <c r="G80" s="122">
        <v>7639537.5</v>
      </c>
      <c r="H80" s="122">
        <v>8337037.5</v>
      </c>
      <c r="I80" s="122">
        <v>8802037.5</v>
      </c>
      <c r="J80" s="79" t="str">
        <f>VLOOKUP(A80,Table1[[Unit Number]:[NO. OF BEDROOMS]],2,FALSE)</f>
        <v>3 BEDROOM</v>
      </c>
    </row>
    <row r="81" spans="1:10" x14ac:dyDescent="0.25">
      <c r="A81" s="121" t="s">
        <v>709</v>
      </c>
      <c r="B81" s="122">
        <v>2942551.5</v>
      </c>
      <c r="C81" s="122">
        <v>9434</v>
      </c>
      <c r="D81" s="122">
        <v>1379.5311999999997</v>
      </c>
      <c r="E81" s="122">
        <v>21534451.158528</v>
      </c>
      <c r="F81" s="122">
        <v>39991842.942224875</v>
      </c>
      <c r="G81" s="122">
        <v>483512269.90852791</v>
      </c>
      <c r="H81" s="122">
        <v>525965269.90852791</v>
      </c>
      <c r="I81" s="122">
        <v>554267269.90852797</v>
      </c>
    </row>
    <row r="82" spans="1:10" x14ac:dyDescent="0.25">
      <c r="A82"/>
      <c r="B82"/>
      <c r="C82"/>
      <c r="D82"/>
      <c r="E82"/>
      <c r="F82"/>
      <c r="G82"/>
      <c r="H82"/>
      <c r="I82"/>
      <c r="J82" s="79" t="e">
        <f>VLOOKUP(A82,Table1[[Unit Number]:[NO. OF BEDROOMS]],2,FALSE)</f>
        <v>#N/A</v>
      </c>
    </row>
    <row r="83" spans="1:10" x14ac:dyDescent="0.25">
      <c r="A83"/>
      <c r="B83"/>
      <c r="C83"/>
      <c r="D83"/>
      <c r="E83"/>
      <c r="F83"/>
      <c r="G83"/>
      <c r="H83"/>
      <c r="I83"/>
      <c r="J83" s="79" t="e">
        <f>VLOOKUP(A83,Table1[[Unit Number]:[NO. OF BEDROOMS]],2,FALSE)</f>
        <v>#N/A</v>
      </c>
    </row>
    <row r="84" spans="1:10" x14ac:dyDescent="0.25">
      <c r="A84"/>
      <c r="B84"/>
      <c r="C84"/>
      <c r="D84"/>
      <c r="E84"/>
      <c r="F84"/>
      <c r="G84"/>
      <c r="H84"/>
      <c r="I84"/>
      <c r="J84" s="79" t="e">
        <f>VLOOKUP(A84,Table1[[Unit Number]:[NO. OF BEDROOMS]],2,FALSE)</f>
        <v>#N/A</v>
      </c>
    </row>
    <row r="85" spans="1:10" x14ac:dyDescent="0.25">
      <c r="A85"/>
      <c r="B85"/>
      <c r="C85"/>
      <c r="D85"/>
      <c r="E85"/>
      <c r="F85"/>
      <c r="G85"/>
      <c r="H85"/>
      <c r="I85"/>
      <c r="J85" s="79" t="e">
        <f>VLOOKUP(A85,Table1[[Unit Number]:[NO. OF BEDROOMS]],2,FALSE)</f>
        <v>#N/A</v>
      </c>
    </row>
    <row r="86" spans="1:10" x14ac:dyDescent="0.25">
      <c r="A86"/>
      <c r="B86"/>
      <c r="C86"/>
      <c r="D86"/>
      <c r="E86"/>
      <c r="F86"/>
      <c r="G86"/>
      <c r="H86"/>
      <c r="I86"/>
      <c r="J86" s="79" t="e">
        <f>VLOOKUP(A86,Table1[[Unit Number]:[NO. OF BEDROOMS]],2,FALSE)</f>
        <v>#N/A</v>
      </c>
    </row>
    <row r="87" spans="1:10" x14ac:dyDescent="0.25">
      <c r="A87"/>
      <c r="B87"/>
      <c r="C87"/>
      <c r="D87"/>
      <c r="E87"/>
      <c r="F87"/>
      <c r="G87"/>
      <c r="H87"/>
      <c r="I87"/>
      <c r="J87" s="79" t="e">
        <f>VLOOKUP(A87,Table1[[Unit Number]:[NO. OF BEDROOMS]],2,FALSE)</f>
        <v>#N/A</v>
      </c>
    </row>
    <row r="88" spans="1:10" x14ac:dyDescent="0.25">
      <c r="A88"/>
      <c r="B88"/>
      <c r="C88"/>
      <c r="D88"/>
      <c r="E88"/>
      <c r="F88"/>
      <c r="G88"/>
      <c r="H88"/>
      <c r="I88"/>
      <c r="J88" s="79" t="e">
        <f>VLOOKUP(A88,Table1[[Unit Number]:[NO. OF BEDROOMS]],2,FALSE)</f>
        <v>#N/A</v>
      </c>
    </row>
    <row r="89" spans="1:10" x14ac:dyDescent="0.25">
      <c r="A89"/>
      <c r="B89"/>
      <c r="C89"/>
      <c r="D89"/>
      <c r="E89"/>
      <c r="F89"/>
      <c r="G89"/>
      <c r="H89"/>
      <c r="I89"/>
      <c r="J89" s="79" t="e">
        <f>VLOOKUP(A89,Table1[[Unit Number]:[NO. OF BEDROOMS]],2,FALSE)</f>
        <v>#N/A</v>
      </c>
    </row>
    <row r="90" spans="1:10" x14ac:dyDescent="0.25">
      <c r="A90"/>
      <c r="B90"/>
      <c r="C90"/>
      <c r="D90"/>
      <c r="E90"/>
      <c r="F90"/>
      <c r="G90"/>
      <c r="H90"/>
      <c r="I90"/>
      <c r="J90" s="79" t="e">
        <f>VLOOKUP(A90,Table1[[Unit Number]:[NO. OF BEDROOMS]],2,FALSE)</f>
        <v>#N/A</v>
      </c>
    </row>
    <row r="91" spans="1:10" x14ac:dyDescent="0.25">
      <c r="A91"/>
      <c r="B91"/>
      <c r="C91"/>
      <c r="D91"/>
      <c r="E91"/>
      <c r="F91"/>
      <c r="G91"/>
      <c r="H91"/>
      <c r="I91"/>
      <c r="J91" s="79" t="e">
        <f>VLOOKUP(A91,Table1[[Unit Number]:[NO. OF BEDROOMS]],2,FALSE)</f>
        <v>#N/A</v>
      </c>
    </row>
    <row r="92" spans="1:10" x14ac:dyDescent="0.25">
      <c r="A92"/>
      <c r="B92"/>
      <c r="C92"/>
      <c r="D92"/>
      <c r="E92"/>
      <c r="F92"/>
      <c r="G92"/>
      <c r="H92"/>
      <c r="I92"/>
      <c r="J92" s="79" t="e">
        <f>VLOOKUP(A92,Table1[[Unit Number]:[NO. OF BEDROOMS]],2,FALSE)</f>
        <v>#N/A</v>
      </c>
    </row>
    <row r="93" spans="1:10" x14ac:dyDescent="0.25">
      <c r="A93"/>
      <c r="B93"/>
      <c r="C93"/>
      <c r="D93"/>
      <c r="E93"/>
      <c r="F93"/>
      <c r="G93"/>
      <c r="H93"/>
      <c r="I93"/>
      <c r="J93" s="79" t="e">
        <f>VLOOKUP(A93,Table1[[Unit Number]:[NO. OF BEDROOMS]],2,FALSE)</f>
        <v>#N/A</v>
      </c>
    </row>
    <row r="94" spans="1:10" x14ac:dyDescent="0.25">
      <c r="A94"/>
      <c r="B94"/>
      <c r="C94"/>
      <c r="D94"/>
      <c r="E94"/>
      <c r="F94"/>
      <c r="G94"/>
      <c r="H94"/>
      <c r="I94"/>
      <c r="J94" s="79" t="e">
        <f>VLOOKUP(A94,Table1[[Unit Number]:[NO. OF BEDROOMS]],2,FALSE)</f>
        <v>#N/A</v>
      </c>
    </row>
    <row r="95" spans="1:10" x14ac:dyDescent="0.25">
      <c r="A95"/>
      <c r="B95"/>
      <c r="C95"/>
      <c r="D95"/>
      <c r="E95"/>
      <c r="F95"/>
      <c r="G95"/>
      <c r="H95"/>
      <c r="I95"/>
      <c r="J95" s="79" t="e">
        <f>VLOOKUP(A95,Table1[[Unit Number]:[NO. OF BEDROOMS]],2,FALSE)</f>
        <v>#N/A</v>
      </c>
    </row>
    <row r="96" spans="1:10" x14ac:dyDescent="0.25">
      <c r="A96"/>
      <c r="B96"/>
      <c r="C96"/>
      <c r="D96"/>
      <c r="E96"/>
      <c r="F96"/>
      <c r="G96"/>
      <c r="H96"/>
      <c r="I96"/>
      <c r="J96" s="79" t="e">
        <f>VLOOKUP(A96,Table1[[Unit Number]:[NO. OF BEDROOMS]],2,FALSE)</f>
        <v>#N/A</v>
      </c>
    </row>
    <row r="97" spans="1:10" x14ac:dyDescent="0.25">
      <c r="A97"/>
      <c r="B97"/>
      <c r="C97"/>
      <c r="D97"/>
      <c r="E97"/>
      <c r="F97"/>
      <c r="G97"/>
      <c r="H97"/>
      <c r="I97"/>
      <c r="J97" s="79" t="e">
        <f>VLOOKUP(A97,Table1[[Unit Number]:[NO. OF BEDROOMS]],2,FALSE)</f>
        <v>#N/A</v>
      </c>
    </row>
    <row r="98" spans="1:10" x14ac:dyDescent="0.25">
      <c r="A98"/>
      <c r="B98"/>
      <c r="C98"/>
      <c r="D98"/>
      <c r="E98"/>
      <c r="F98"/>
      <c r="G98"/>
      <c r="H98"/>
      <c r="I98"/>
      <c r="J98" s="79" t="e">
        <f>VLOOKUP(A98,Table1[[Unit Number]:[NO. OF BEDROOMS]],2,FALSE)</f>
        <v>#N/A</v>
      </c>
    </row>
    <row r="99" spans="1:10" x14ac:dyDescent="0.25">
      <c r="A99"/>
      <c r="B99"/>
      <c r="C99"/>
      <c r="D99"/>
      <c r="E99"/>
      <c r="F99"/>
      <c r="G99"/>
      <c r="H99"/>
      <c r="I99"/>
      <c r="J99" s="79" t="e">
        <f>VLOOKUP(A99,Table1[[Unit Number]:[NO. OF BEDROOMS]],2,FALSE)</f>
        <v>#N/A</v>
      </c>
    </row>
    <row r="100" spans="1:10" x14ac:dyDescent="0.25">
      <c r="A100"/>
      <c r="B100"/>
      <c r="C100"/>
      <c r="D100"/>
      <c r="E100"/>
      <c r="F100"/>
      <c r="G100"/>
      <c r="H100"/>
      <c r="I100"/>
      <c r="J100" s="79" t="e">
        <f>VLOOKUP(A100,Table1[[Unit Number]:[NO. OF BEDROOMS]],2,FALSE)</f>
        <v>#N/A</v>
      </c>
    </row>
    <row r="101" spans="1:10" x14ac:dyDescent="0.25">
      <c r="A101"/>
      <c r="B101"/>
      <c r="C101"/>
      <c r="D101"/>
      <c r="E101"/>
      <c r="F101"/>
      <c r="G101"/>
      <c r="H101"/>
      <c r="I101"/>
      <c r="J101" s="79" t="e">
        <f>VLOOKUP(A101,Table1[[Unit Number]:[NO. OF BEDROOMS]],2,FALSE)</f>
        <v>#N/A</v>
      </c>
    </row>
    <row r="102" spans="1:10" x14ac:dyDescent="0.25">
      <c r="A102"/>
      <c r="B102"/>
      <c r="C102"/>
      <c r="D102"/>
      <c r="E102"/>
      <c r="F102"/>
      <c r="G102"/>
      <c r="H102"/>
      <c r="I102"/>
      <c r="J102" s="79" t="e">
        <f>VLOOKUP(A102,Table1[[Unit Number]:[NO. OF BEDROOMS]],2,FALSE)</f>
        <v>#N/A</v>
      </c>
    </row>
    <row r="103" spans="1:10" x14ac:dyDescent="0.25">
      <c r="A103"/>
      <c r="B103"/>
      <c r="C103"/>
      <c r="D103"/>
      <c r="E103"/>
      <c r="F103"/>
      <c r="G103"/>
      <c r="H103"/>
      <c r="I103"/>
      <c r="J103" s="79" t="e">
        <f>VLOOKUP(A103,Table1[[Unit Number]:[NO. OF BEDROOMS]],2,FALSE)</f>
        <v>#N/A</v>
      </c>
    </row>
    <row r="104" spans="1:10" x14ac:dyDescent="0.25">
      <c r="A104"/>
      <c r="B104"/>
      <c r="C104"/>
      <c r="D104"/>
      <c r="E104"/>
      <c r="F104"/>
      <c r="G104"/>
      <c r="H104"/>
      <c r="I104"/>
      <c r="J104" s="79" t="e">
        <f>VLOOKUP(A104,Table1[[Unit Number]:[NO. OF BEDROOMS]],2,FALSE)</f>
        <v>#N/A</v>
      </c>
    </row>
    <row r="105" spans="1:10" x14ac:dyDescent="0.25">
      <c r="A105"/>
      <c r="B105"/>
      <c r="C105"/>
      <c r="D105"/>
      <c r="E105"/>
      <c r="F105"/>
      <c r="G105"/>
      <c r="H105"/>
      <c r="I105"/>
      <c r="J105" s="79" t="e">
        <f>VLOOKUP(A105,Table1[[Unit Number]:[NO. OF BEDROOMS]],2,FALSE)</f>
        <v>#N/A</v>
      </c>
    </row>
    <row r="106" spans="1:10" x14ac:dyDescent="0.25">
      <c r="A106"/>
      <c r="B106"/>
      <c r="C106"/>
      <c r="D106"/>
      <c r="E106"/>
      <c r="F106"/>
      <c r="G106"/>
      <c r="H106"/>
      <c r="I106"/>
      <c r="J106" s="79" t="e">
        <f>VLOOKUP(A106,Table1[[Unit Number]:[NO. OF BEDROOMS]],2,FALSE)</f>
        <v>#N/A</v>
      </c>
    </row>
    <row r="107" spans="1:10" x14ac:dyDescent="0.25">
      <c r="A107"/>
      <c r="B107"/>
      <c r="C107"/>
      <c r="D107"/>
      <c r="E107"/>
      <c r="F107"/>
      <c r="G107"/>
      <c r="H107"/>
      <c r="I107"/>
      <c r="J107" s="79" t="e">
        <f>VLOOKUP(A107,Table1[[Unit Number]:[NO. OF BEDROOMS]],2,FALSE)</f>
        <v>#N/A</v>
      </c>
    </row>
    <row r="108" spans="1:10" x14ac:dyDescent="0.25">
      <c r="A108"/>
      <c r="B108"/>
      <c r="C108"/>
      <c r="D108"/>
      <c r="E108"/>
      <c r="F108"/>
      <c r="G108"/>
      <c r="H108"/>
      <c r="I108"/>
      <c r="J108" s="79" t="e">
        <f>VLOOKUP(A108,Table1[[Unit Number]:[NO. OF BEDROOMS]],2,FALSE)</f>
        <v>#N/A</v>
      </c>
    </row>
    <row r="109" spans="1:10" x14ac:dyDescent="0.25">
      <c r="A109"/>
      <c r="B109"/>
      <c r="C109"/>
      <c r="D109"/>
      <c r="E109"/>
      <c r="F109"/>
      <c r="G109"/>
      <c r="H109"/>
      <c r="I109"/>
      <c r="J109" s="79" t="e">
        <f>VLOOKUP(A109,Table1[[Unit Number]:[NO. OF BEDROOMS]],2,FALSE)</f>
        <v>#N/A</v>
      </c>
    </row>
    <row r="110" spans="1:10" x14ac:dyDescent="0.25">
      <c r="A110"/>
      <c r="B110"/>
      <c r="C110"/>
      <c r="D110"/>
      <c r="E110"/>
      <c r="F110"/>
      <c r="G110"/>
      <c r="H110"/>
      <c r="I110"/>
      <c r="J110" s="79" t="e">
        <f>VLOOKUP(A110,Table1[[Unit Number]:[NO. OF BEDROOMS]],2,FALSE)</f>
        <v>#N/A</v>
      </c>
    </row>
    <row r="111" spans="1:10" x14ac:dyDescent="0.25">
      <c r="A111"/>
      <c r="B111"/>
      <c r="C111"/>
      <c r="D111"/>
      <c r="E111"/>
      <c r="F111"/>
      <c r="G111"/>
      <c r="H111"/>
      <c r="I111"/>
      <c r="J111" s="79" t="e">
        <f>VLOOKUP(A111,Table1[[Unit Number]:[NO. OF BEDROOMS]],2,FALSE)</f>
        <v>#N/A</v>
      </c>
    </row>
    <row r="112" spans="1:10" x14ac:dyDescent="0.25">
      <c r="A112"/>
      <c r="B112"/>
      <c r="C112"/>
      <c r="D112"/>
      <c r="E112"/>
      <c r="F112"/>
      <c r="G112"/>
      <c r="H112"/>
      <c r="I112"/>
      <c r="J112" s="79" t="e">
        <f>VLOOKUP(A112,Table1[[Unit Number]:[NO. OF BEDROOMS]],2,FALSE)</f>
        <v>#N/A</v>
      </c>
    </row>
    <row r="113" spans="1:10" x14ac:dyDescent="0.25">
      <c r="A113"/>
      <c r="B113"/>
      <c r="C113"/>
      <c r="D113"/>
      <c r="E113"/>
      <c r="F113"/>
      <c r="G113"/>
      <c r="H113"/>
      <c r="I113"/>
      <c r="J113" s="79" t="e">
        <f>VLOOKUP(A113,Table1[[Unit Number]:[NO. OF BEDROOMS]],2,FALSE)</f>
        <v>#N/A</v>
      </c>
    </row>
    <row r="114" spans="1:10" x14ac:dyDescent="0.25">
      <c r="A114"/>
      <c r="B114"/>
      <c r="C114"/>
      <c r="D114"/>
      <c r="E114"/>
      <c r="F114"/>
      <c r="G114"/>
      <c r="H114"/>
      <c r="I114"/>
      <c r="J114" s="79" t="e">
        <f>VLOOKUP(A114,Table1[[Unit Number]:[NO. OF BEDROOMS]],2,FALSE)</f>
        <v>#N/A</v>
      </c>
    </row>
    <row r="115" spans="1:10" x14ac:dyDescent="0.25">
      <c r="A115"/>
      <c r="B115"/>
      <c r="C115"/>
      <c r="D115"/>
      <c r="E115"/>
      <c r="F115"/>
      <c r="G115"/>
      <c r="H115"/>
      <c r="I115"/>
      <c r="J115" s="79" t="e">
        <f>VLOOKUP(A115,Table1[[Unit Number]:[NO. OF BEDROOMS]],2,FALSE)</f>
        <v>#N/A</v>
      </c>
    </row>
    <row r="116" spans="1:10" x14ac:dyDescent="0.25">
      <c r="A116"/>
      <c r="B116"/>
      <c r="C116"/>
      <c r="D116"/>
      <c r="E116"/>
      <c r="F116"/>
      <c r="G116"/>
      <c r="H116"/>
      <c r="I116"/>
      <c r="J116" s="79" t="e">
        <f>VLOOKUP(A116,Table1[[Unit Number]:[NO. OF BEDROOMS]],2,FALSE)</f>
        <v>#N/A</v>
      </c>
    </row>
    <row r="117" spans="1:10" x14ac:dyDescent="0.25">
      <c r="A117"/>
      <c r="B117"/>
      <c r="C117"/>
      <c r="D117"/>
      <c r="E117"/>
      <c r="F117"/>
      <c r="G117"/>
      <c r="H117"/>
      <c r="I117"/>
      <c r="J117" s="79" t="e">
        <f>VLOOKUP(A117,Table1[[Unit Number]:[NO. OF BEDROOMS]],2,FALSE)</f>
        <v>#N/A</v>
      </c>
    </row>
    <row r="118" spans="1:10" x14ac:dyDescent="0.25">
      <c r="A118"/>
      <c r="B118"/>
      <c r="C118"/>
      <c r="D118"/>
      <c r="E118"/>
      <c r="F118"/>
      <c r="G118"/>
      <c r="H118"/>
      <c r="I118"/>
      <c r="J118" s="79" t="e">
        <f>VLOOKUP(A118,Table1[[Unit Number]:[NO. OF BEDROOMS]],2,FALSE)</f>
        <v>#N/A</v>
      </c>
    </row>
    <row r="119" spans="1:10" x14ac:dyDescent="0.25">
      <c r="A119"/>
      <c r="B119"/>
      <c r="C119"/>
      <c r="D119"/>
      <c r="E119"/>
      <c r="F119"/>
      <c r="G119"/>
      <c r="H119"/>
      <c r="I119"/>
      <c r="J119" s="79" t="e">
        <f>VLOOKUP(A119,Table1[[Unit Number]:[NO. OF BEDROOMS]],2,FALSE)</f>
        <v>#N/A</v>
      </c>
    </row>
    <row r="120" spans="1:10" x14ac:dyDescent="0.25">
      <c r="A120"/>
      <c r="B120"/>
      <c r="C120"/>
      <c r="D120"/>
      <c r="E120"/>
      <c r="F120"/>
      <c r="G120"/>
      <c r="H120"/>
      <c r="I120"/>
      <c r="J120" s="79" t="e">
        <f>VLOOKUP(A120,Table1[[Unit Number]:[NO. OF BEDROOMS]],2,FALSE)</f>
        <v>#N/A</v>
      </c>
    </row>
    <row r="121" spans="1:10" x14ac:dyDescent="0.25">
      <c r="A121"/>
      <c r="B121"/>
      <c r="C121"/>
      <c r="D121"/>
      <c r="E121"/>
      <c r="F121"/>
      <c r="G121"/>
      <c r="H121"/>
      <c r="I121"/>
      <c r="J121" s="79" t="e">
        <f>VLOOKUP(A121,Table1[[Unit Number]:[NO. OF BEDROOMS]],2,FALSE)</f>
        <v>#N/A</v>
      </c>
    </row>
    <row r="122" spans="1:10" x14ac:dyDescent="0.25">
      <c r="A122"/>
      <c r="B122"/>
      <c r="C122"/>
      <c r="D122"/>
      <c r="E122"/>
      <c r="F122"/>
      <c r="G122"/>
      <c r="H122"/>
      <c r="I122"/>
      <c r="J122" s="79" t="e">
        <f>VLOOKUP(A122,Table1[[Unit Number]:[NO. OF BEDROOMS]],2,FALSE)</f>
        <v>#N/A</v>
      </c>
    </row>
    <row r="123" spans="1:10" x14ac:dyDescent="0.25">
      <c r="A123"/>
      <c r="B123"/>
      <c r="C123"/>
      <c r="D123"/>
      <c r="E123"/>
      <c r="F123"/>
      <c r="G123"/>
      <c r="H123"/>
      <c r="I123"/>
      <c r="J123" s="79" t="e">
        <f>VLOOKUP(A123,Table1[[Unit Number]:[NO. OF BEDROOMS]],2,FALSE)</f>
        <v>#N/A</v>
      </c>
    </row>
    <row r="124" spans="1:10" x14ac:dyDescent="0.25">
      <c r="A124"/>
      <c r="B124"/>
      <c r="C124"/>
      <c r="D124"/>
      <c r="E124"/>
      <c r="F124"/>
      <c r="G124"/>
      <c r="H124"/>
      <c r="I124"/>
      <c r="J124" s="79" t="e">
        <f>VLOOKUP(A124,Table1[[Unit Number]:[NO. OF BEDROOMS]],2,FALSE)</f>
        <v>#N/A</v>
      </c>
    </row>
    <row r="125" spans="1:10" x14ac:dyDescent="0.25">
      <c r="A125"/>
      <c r="B125"/>
      <c r="C125"/>
      <c r="D125"/>
      <c r="E125"/>
      <c r="F125"/>
      <c r="G125"/>
      <c r="H125"/>
      <c r="I125"/>
      <c r="J125" s="79" t="e">
        <f>VLOOKUP(A125,Table1[[Unit Number]:[NO. OF BEDROOMS]],2,FALSE)</f>
        <v>#N/A</v>
      </c>
    </row>
    <row r="126" spans="1:10" x14ac:dyDescent="0.25">
      <c r="A126"/>
      <c r="B126"/>
      <c r="C126"/>
      <c r="D126"/>
      <c r="E126"/>
      <c r="F126"/>
      <c r="G126"/>
      <c r="H126"/>
      <c r="I126"/>
      <c r="J126" s="79" t="e">
        <f>VLOOKUP(A126,Table1[[Unit Number]:[NO. OF BEDROOMS]],2,FALSE)</f>
        <v>#N/A</v>
      </c>
    </row>
    <row r="127" spans="1:10" x14ac:dyDescent="0.25">
      <c r="A127"/>
      <c r="B127"/>
      <c r="C127"/>
      <c r="D127"/>
      <c r="E127"/>
      <c r="F127"/>
      <c r="G127"/>
      <c r="H127"/>
      <c r="I127"/>
      <c r="J127" s="79" t="e">
        <f>VLOOKUP(A127,Table1[[Unit Number]:[NO. OF BEDROOMS]],2,FALSE)</f>
        <v>#N/A</v>
      </c>
    </row>
    <row r="128" spans="1:10" x14ac:dyDescent="0.25">
      <c r="A128"/>
      <c r="B128"/>
      <c r="C128"/>
      <c r="D128"/>
      <c r="E128"/>
      <c r="F128"/>
      <c r="G128"/>
      <c r="H128"/>
      <c r="I128"/>
      <c r="J128" s="79" t="e">
        <f>VLOOKUP(A128,Table1[[Unit Number]:[NO. OF BEDROOMS]],2,FALSE)</f>
        <v>#N/A</v>
      </c>
    </row>
    <row r="129" spans="1:10" x14ac:dyDescent="0.25">
      <c r="A129"/>
      <c r="B129"/>
      <c r="C129"/>
      <c r="D129"/>
      <c r="E129"/>
      <c r="F129"/>
      <c r="G129"/>
      <c r="H129"/>
      <c r="I129"/>
      <c r="J129" s="79" t="e">
        <f>VLOOKUP(A129,Table1[[Unit Number]:[NO. OF BEDROOMS]],2,FALSE)</f>
        <v>#N/A</v>
      </c>
    </row>
    <row r="130" spans="1:10" x14ac:dyDescent="0.25">
      <c r="A130"/>
      <c r="B130"/>
      <c r="C130"/>
      <c r="D130"/>
      <c r="E130"/>
      <c r="F130"/>
      <c r="G130"/>
      <c r="H130"/>
      <c r="I130"/>
      <c r="J130" s="79" t="e">
        <f>VLOOKUP(A130,Table1[[Unit Number]:[NO. OF BEDROOMS]],2,FALSE)</f>
        <v>#N/A</v>
      </c>
    </row>
    <row r="131" spans="1:10" x14ac:dyDescent="0.25">
      <c r="A131"/>
      <c r="B131"/>
      <c r="C131"/>
      <c r="D131"/>
      <c r="E131"/>
      <c r="F131"/>
      <c r="G131"/>
      <c r="H131"/>
      <c r="I131"/>
      <c r="J131" s="79" t="e">
        <f>VLOOKUP(A131,Table1[[Unit Number]:[NO. OF BEDROOMS]],2,FALSE)</f>
        <v>#N/A</v>
      </c>
    </row>
    <row r="132" spans="1:10" x14ac:dyDescent="0.25">
      <c r="A132"/>
      <c r="B132"/>
      <c r="C132"/>
      <c r="D132"/>
      <c r="E132"/>
      <c r="F132"/>
      <c r="G132"/>
      <c r="H132"/>
      <c r="I132"/>
      <c r="J132" s="79" t="e">
        <f>VLOOKUP(A132,Table1[[Unit Number]:[NO. OF BEDROOMS]],2,FALSE)</f>
        <v>#N/A</v>
      </c>
    </row>
    <row r="133" spans="1:10" x14ac:dyDescent="0.25">
      <c r="A133"/>
      <c r="B133"/>
      <c r="C133"/>
      <c r="D133"/>
      <c r="E133"/>
      <c r="F133"/>
      <c r="G133"/>
      <c r="H133"/>
      <c r="I133"/>
      <c r="J133" s="79" t="e">
        <f>VLOOKUP(A133,Table1[[Unit Number]:[NO. OF BEDROOMS]],2,FALSE)</f>
        <v>#N/A</v>
      </c>
    </row>
    <row r="134" spans="1:10" x14ac:dyDescent="0.25">
      <c r="A134"/>
      <c r="B134"/>
      <c r="C134"/>
      <c r="D134"/>
      <c r="E134"/>
      <c r="F134"/>
      <c r="G134"/>
      <c r="H134"/>
      <c r="I134"/>
      <c r="J134" s="79" t="e">
        <f>VLOOKUP(A134,Table1[[Unit Number]:[NO. OF BEDROOMS]],2,FALSE)</f>
        <v>#N/A</v>
      </c>
    </row>
    <row r="135" spans="1:10" x14ac:dyDescent="0.25">
      <c r="A135"/>
      <c r="B135"/>
      <c r="C135"/>
      <c r="D135"/>
      <c r="E135"/>
      <c r="F135"/>
      <c r="G135"/>
      <c r="H135"/>
      <c r="I135"/>
      <c r="J135" s="79" t="e">
        <f>VLOOKUP(A135,Table1[[Unit Number]:[NO. OF BEDROOMS]],2,FALSE)</f>
        <v>#N/A</v>
      </c>
    </row>
    <row r="136" spans="1:10" x14ac:dyDescent="0.25">
      <c r="A136"/>
      <c r="B136"/>
      <c r="C136"/>
      <c r="D136"/>
      <c r="E136"/>
      <c r="F136"/>
      <c r="G136"/>
      <c r="H136"/>
      <c r="I136"/>
      <c r="J136" s="79" t="e">
        <f>VLOOKUP(A136,Table1[[Unit Number]:[NO. OF BEDROOMS]],2,FALSE)</f>
        <v>#N/A</v>
      </c>
    </row>
    <row r="137" spans="1:10" x14ac:dyDescent="0.25">
      <c r="A137"/>
      <c r="B137"/>
      <c r="C137"/>
      <c r="D137"/>
      <c r="E137"/>
      <c r="F137"/>
      <c r="G137"/>
      <c r="H137"/>
      <c r="I137"/>
      <c r="J137" s="79" t="e">
        <f>VLOOKUP(A137,Table1[[Unit Number]:[NO. OF BEDROOMS]],2,FALSE)</f>
        <v>#N/A</v>
      </c>
    </row>
    <row r="138" spans="1:10" x14ac:dyDescent="0.25">
      <c r="A138"/>
      <c r="B138"/>
      <c r="C138"/>
      <c r="D138"/>
      <c r="E138"/>
      <c r="F138"/>
      <c r="G138"/>
      <c r="H138"/>
      <c r="I138"/>
      <c r="J138" s="79" t="e">
        <f>VLOOKUP(A138,Table1[[Unit Number]:[NO. OF BEDROOMS]],2,FALSE)</f>
        <v>#N/A</v>
      </c>
    </row>
    <row r="139" spans="1:10" x14ac:dyDescent="0.25">
      <c r="A139"/>
      <c r="B139"/>
      <c r="C139"/>
      <c r="D139"/>
      <c r="E139"/>
      <c r="F139"/>
      <c r="G139"/>
      <c r="H139"/>
      <c r="I139"/>
      <c r="J139" s="79" t="e">
        <f>VLOOKUP(A139,Table1[[Unit Number]:[NO. OF BEDROOMS]],2,FALSE)</f>
        <v>#N/A</v>
      </c>
    </row>
    <row r="140" spans="1:10" x14ac:dyDescent="0.25">
      <c r="A140"/>
      <c r="B140"/>
      <c r="C140"/>
      <c r="D140"/>
      <c r="E140"/>
      <c r="F140"/>
      <c r="G140"/>
      <c r="H140"/>
      <c r="I140"/>
      <c r="J140" s="79" t="e">
        <f>VLOOKUP(A140,Table1[[Unit Number]:[NO. OF BEDROOMS]],2,FALSE)</f>
        <v>#N/A</v>
      </c>
    </row>
    <row r="141" spans="1:10" x14ac:dyDescent="0.25">
      <c r="A141"/>
      <c r="B141"/>
      <c r="C141"/>
      <c r="D141"/>
      <c r="E141"/>
      <c r="F141"/>
      <c r="G141"/>
      <c r="H141"/>
      <c r="I141"/>
      <c r="J141" s="79" t="e">
        <f>VLOOKUP(A141,Table1[[Unit Number]:[NO. OF BEDROOMS]],2,FALSE)</f>
        <v>#N/A</v>
      </c>
    </row>
    <row r="142" spans="1:10" x14ac:dyDescent="0.25">
      <c r="A142"/>
      <c r="B142"/>
      <c r="C142"/>
      <c r="D142"/>
      <c r="E142"/>
      <c r="F142"/>
      <c r="G142"/>
      <c r="H142"/>
      <c r="I142"/>
      <c r="J142" s="79" t="e">
        <f>VLOOKUP(A142,Table1[[Unit Number]:[NO. OF BEDROOMS]],2,FALSE)</f>
        <v>#N/A</v>
      </c>
    </row>
    <row r="143" spans="1:10" x14ac:dyDescent="0.25">
      <c r="A143"/>
      <c r="B143"/>
      <c r="C143"/>
      <c r="D143"/>
      <c r="E143"/>
      <c r="F143"/>
      <c r="G143"/>
      <c r="H143"/>
      <c r="I143"/>
      <c r="J143" s="79" t="e">
        <f>VLOOKUP(A143,Table1[[Unit Number]:[NO. OF BEDROOMS]],2,FALSE)</f>
        <v>#N/A</v>
      </c>
    </row>
    <row r="144" spans="1:10" x14ac:dyDescent="0.25">
      <c r="A144"/>
      <c r="B144"/>
      <c r="C144"/>
      <c r="D144"/>
      <c r="E144"/>
      <c r="F144"/>
      <c r="G144"/>
      <c r="H144"/>
      <c r="I144"/>
      <c r="J144" s="79" t="e">
        <f>VLOOKUP(A144,Table1[[Unit Number]:[NO. OF BEDROOMS]],2,FALSE)</f>
        <v>#N/A</v>
      </c>
    </row>
    <row r="145" spans="1:10" x14ac:dyDescent="0.25">
      <c r="A145"/>
      <c r="B145"/>
      <c r="C145"/>
      <c r="D145"/>
      <c r="E145"/>
      <c r="F145"/>
      <c r="G145"/>
      <c r="H145"/>
      <c r="I145"/>
      <c r="J145" s="79" t="e">
        <f>VLOOKUP(A145,Table1[[Unit Number]:[NO. OF BEDROOMS]],2,FALSE)</f>
        <v>#N/A</v>
      </c>
    </row>
    <row r="146" spans="1:10" x14ac:dyDescent="0.25">
      <c r="A146"/>
      <c r="B146"/>
      <c r="C146"/>
      <c r="D146"/>
      <c r="E146"/>
      <c r="F146"/>
      <c r="G146"/>
      <c r="H146"/>
      <c r="I146"/>
      <c r="J146" s="79" t="e">
        <f>VLOOKUP(A146,Table1[[Unit Number]:[NO. OF BEDROOMS]],2,FALSE)</f>
        <v>#N/A</v>
      </c>
    </row>
    <row r="147" spans="1:10" x14ac:dyDescent="0.25">
      <c r="A147"/>
      <c r="B147"/>
      <c r="C147"/>
      <c r="D147"/>
      <c r="E147"/>
      <c r="F147"/>
      <c r="G147"/>
      <c r="H147"/>
      <c r="I147"/>
      <c r="J147" s="79" t="e">
        <f>VLOOKUP(A147,Table1[[Unit Number]:[NO. OF BEDROOMS]],2,FALSE)</f>
        <v>#N/A</v>
      </c>
    </row>
    <row r="148" spans="1:10" x14ac:dyDescent="0.25">
      <c r="A148"/>
      <c r="B148"/>
      <c r="C148"/>
      <c r="D148"/>
      <c r="E148"/>
      <c r="F148"/>
      <c r="G148"/>
      <c r="H148"/>
      <c r="I148"/>
      <c r="J148" s="79" t="e">
        <f>VLOOKUP(A148,Table1[[Unit Number]:[NO. OF BEDROOMS]],2,FALSE)</f>
        <v>#N/A</v>
      </c>
    </row>
    <row r="149" spans="1:10" x14ac:dyDescent="0.25">
      <c r="A149"/>
      <c r="B149"/>
      <c r="C149"/>
      <c r="D149"/>
      <c r="E149"/>
      <c r="F149"/>
      <c r="G149"/>
      <c r="H149"/>
      <c r="I149"/>
      <c r="J149" s="79" t="e">
        <f>VLOOKUP(A149,Table1[[Unit Number]:[NO. OF BEDROOMS]],2,FALSE)</f>
        <v>#N/A</v>
      </c>
    </row>
    <row r="150" spans="1:10" x14ac:dyDescent="0.25">
      <c r="A150"/>
      <c r="B150"/>
      <c r="C150"/>
      <c r="D150"/>
      <c r="E150"/>
      <c r="F150"/>
      <c r="G150"/>
      <c r="H150"/>
      <c r="I150"/>
      <c r="J150" s="79" t="e">
        <f>VLOOKUP(A150,Table1[[Unit Number]:[NO. OF BEDROOMS]],2,FALSE)</f>
        <v>#N/A</v>
      </c>
    </row>
    <row r="151" spans="1:10" x14ac:dyDescent="0.25">
      <c r="A151"/>
      <c r="B151"/>
      <c r="C151"/>
      <c r="D151"/>
      <c r="E151"/>
      <c r="F151"/>
      <c r="G151"/>
      <c r="H151"/>
      <c r="I151"/>
      <c r="J151" s="79" t="e">
        <f>VLOOKUP(A151,Table1[[Unit Number]:[NO. OF BEDROOMS]],2,FALSE)</f>
        <v>#N/A</v>
      </c>
    </row>
    <row r="152" spans="1:10" x14ac:dyDescent="0.25">
      <c r="A152"/>
      <c r="B152"/>
      <c r="C152"/>
      <c r="D152"/>
      <c r="E152"/>
      <c r="F152"/>
      <c r="G152"/>
      <c r="H152"/>
      <c r="I152"/>
      <c r="J152" s="79" t="e">
        <f>VLOOKUP(A152,Table1[[Unit Number]:[NO. OF BEDROOMS]],2,FALSE)</f>
        <v>#N/A</v>
      </c>
    </row>
    <row r="153" spans="1:10" x14ac:dyDescent="0.25">
      <c r="A153"/>
      <c r="B153"/>
      <c r="C153"/>
      <c r="D153"/>
      <c r="E153"/>
      <c r="F153"/>
      <c r="G153"/>
      <c r="H153"/>
      <c r="I153"/>
      <c r="J153" s="79" t="e">
        <f>VLOOKUP(A153,Table1[[Unit Number]:[NO. OF BEDROOMS]],2,FALSE)</f>
        <v>#N/A</v>
      </c>
    </row>
    <row r="154" spans="1:10" x14ac:dyDescent="0.25">
      <c r="A154"/>
      <c r="B154"/>
      <c r="C154"/>
      <c r="D154"/>
      <c r="E154"/>
      <c r="F154"/>
      <c r="G154"/>
      <c r="H154"/>
      <c r="I154"/>
      <c r="J154" s="79" t="e">
        <f>VLOOKUP(A154,Table1[[Unit Number]:[NO. OF BEDROOMS]],2,FALSE)</f>
        <v>#N/A</v>
      </c>
    </row>
    <row r="155" spans="1:10" x14ac:dyDescent="0.25">
      <c r="A155"/>
      <c r="B155"/>
      <c r="C155"/>
      <c r="D155"/>
      <c r="E155"/>
      <c r="F155"/>
      <c r="G155"/>
      <c r="H155"/>
      <c r="I155"/>
      <c r="J155" s="79" t="e">
        <f>VLOOKUP(A155,Table1[[Unit Number]:[NO. OF BEDROOMS]],2,FALSE)</f>
        <v>#N/A</v>
      </c>
    </row>
    <row r="156" spans="1:10" x14ac:dyDescent="0.25">
      <c r="A156"/>
      <c r="B156"/>
      <c r="C156"/>
      <c r="D156"/>
      <c r="E156"/>
      <c r="F156"/>
      <c r="G156"/>
      <c r="H156"/>
      <c r="I156"/>
      <c r="J156" s="79" t="e">
        <f>VLOOKUP(A156,Table1[[Unit Number]:[NO. OF BEDROOMS]],2,FALSE)</f>
        <v>#N/A</v>
      </c>
    </row>
    <row r="157" spans="1:10" x14ac:dyDescent="0.25">
      <c r="A157"/>
      <c r="B157"/>
      <c r="C157"/>
      <c r="D157"/>
      <c r="E157"/>
      <c r="F157"/>
      <c r="G157"/>
      <c r="H157"/>
      <c r="I157"/>
      <c r="J157" s="79" t="e">
        <f>VLOOKUP(A157,Table1[[Unit Number]:[NO. OF BEDROOMS]],2,FALSE)</f>
        <v>#N/A</v>
      </c>
    </row>
    <row r="158" spans="1:10" x14ac:dyDescent="0.25">
      <c r="A158"/>
      <c r="B158"/>
      <c r="C158"/>
      <c r="D158"/>
      <c r="E158"/>
      <c r="F158"/>
      <c r="G158"/>
      <c r="H158"/>
      <c r="I158"/>
      <c r="J158" s="79" t="e">
        <f>VLOOKUP(A158,Table1[[Unit Number]:[NO. OF BEDROOMS]],2,FALSE)</f>
        <v>#N/A</v>
      </c>
    </row>
    <row r="159" spans="1:10" x14ac:dyDescent="0.25">
      <c r="A159"/>
      <c r="B159"/>
      <c r="C159"/>
      <c r="D159"/>
      <c r="E159"/>
      <c r="F159"/>
      <c r="G159"/>
      <c r="H159"/>
      <c r="I159"/>
      <c r="J159" s="79" t="e">
        <f>VLOOKUP(A159,Table1[[Unit Number]:[NO. OF BEDROOMS]],2,FALSE)</f>
        <v>#N/A</v>
      </c>
    </row>
    <row r="160" spans="1:10" x14ac:dyDescent="0.25">
      <c r="A160"/>
      <c r="B160"/>
      <c r="C160"/>
      <c r="D160"/>
      <c r="E160"/>
      <c r="F160"/>
      <c r="G160"/>
      <c r="H160"/>
      <c r="I160"/>
      <c r="J160" s="79" t="e">
        <f>VLOOKUP(A160,Table1[[Unit Number]:[NO. OF BEDROOMS]],2,FALSE)</f>
        <v>#N/A</v>
      </c>
    </row>
    <row r="161" spans="1:10" x14ac:dyDescent="0.25">
      <c r="A161"/>
      <c r="B161"/>
      <c r="C161"/>
      <c r="D161"/>
      <c r="E161"/>
      <c r="F161"/>
      <c r="G161"/>
      <c r="H161"/>
      <c r="I161"/>
      <c r="J161" s="79" t="e">
        <f>VLOOKUP(A161,Table1[[Unit Number]:[NO. OF BEDROOMS]],2,FALSE)</f>
        <v>#N/A</v>
      </c>
    </row>
    <row r="162" spans="1:10" x14ac:dyDescent="0.25">
      <c r="A162"/>
      <c r="B162"/>
      <c r="C162"/>
      <c r="D162"/>
      <c r="E162"/>
      <c r="F162"/>
      <c r="G162"/>
      <c r="H162"/>
      <c r="I162"/>
      <c r="J162" s="79" t="e">
        <f>VLOOKUP(A162,Table1[[Unit Number]:[NO. OF BEDROOMS]],2,FALSE)</f>
        <v>#N/A</v>
      </c>
    </row>
    <row r="163" spans="1:10" x14ac:dyDescent="0.25">
      <c r="A163"/>
      <c r="B163"/>
      <c r="C163"/>
      <c r="D163"/>
      <c r="E163"/>
      <c r="F163"/>
      <c r="G163"/>
      <c r="H163"/>
      <c r="I163"/>
    </row>
    <row r="164" spans="1:10" x14ac:dyDescent="0.25">
      <c r="A164"/>
      <c r="B164"/>
      <c r="C164"/>
      <c r="D164"/>
      <c r="E164"/>
      <c r="F164"/>
      <c r="G164"/>
      <c r="H164"/>
      <c r="I164"/>
    </row>
    <row r="165" spans="1:10" x14ac:dyDescent="0.25">
      <c r="A165"/>
      <c r="B165"/>
      <c r="C165"/>
      <c r="D165"/>
      <c r="E165"/>
      <c r="F165"/>
      <c r="G165"/>
      <c r="H165"/>
      <c r="I165"/>
    </row>
    <row r="166" spans="1:10" x14ac:dyDescent="0.25">
      <c r="A166"/>
      <c r="B166"/>
      <c r="C166"/>
      <c r="D166"/>
      <c r="E166"/>
      <c r="F166"/>
      <c r="G166"/>
      <c r="H166"/>
      <c r="I166"/>
    </row>
    <row r="167" spans="1:10" x14ac:dyDescent="0.25">
      <c r="A167"/>
      <c r="B167"/>
      <c r="C167"/>
      <c r="D167"/>
      <c r="E167"/>
      <c r="F167"/>
      <c r="G167"/>
      <c r="H167"/>
      <c r="I167"/>
    </row>
    <row r="168" spans="1:10" x14ac:dyDescent="0.25">
      <c r="A168"/>
      <c r="B168"/>
      <c r="C168"/>
      <c r="D168"/>
      <c r="E168"/>
      <c r="F168"/>
      <c r="G168"/>
      <c r="H168"/>
      <c r="I168"/>
    </row>
    <row r="169" spans="1:10" x14ac:dyDescent="0.25">
      <c r="A169"/>
      <c r="B169"/>
      <c r="C169"/>
      <c r="D169"/>
      <c r="E169"/>
      <c r="F169"/>
      <c r="G169"/>
      <c r="H169"/>
      <c r="I169"/>
    </row>
    <row r="170" spans="1:10" x14ac:dyDescent="0.25">
      <c r="A170"/>
      <c r="B170"/>
      <c r="C170"/>
      <c r="D170"/>
      <c r="E170"/>
      <c r="F170"/>
      <c r="G170"/>
      <c r="H170"/>
      <c r="I170"/>
    </row>
    <row r="171" spans="1:10" x14ac:dyDescent="0.25">
      <c r="A171"/>
      <c r="B171"/>
      <c r="C171"/>
      <c r="D171"/>
      <c r="E171"/>
      <c r="F171"/>
      <c r="G171"/>
      <c r="H171"/>
      <c r="I171"/>
    </row>
    <row r="172" spans="1:10" x14ac:dyDescent="0.25">
      <c r="A172"/>
      <c r="B172"/>
      <c r="C172"/>
      <c r="D172"/>
      <c r="E172"/>
      <c r="F172"/>
      <c r="G172"/>
      <c r="H172"/>
      <c r="I172"/>
    </row>
    <row r="173" spans="1:10" x14ac:dyDescent="0.25">
      <c r="A173"/>
      <c r="B173"/>
      <c r="C173"/>
      <c r="D173"/>
      <c r="E173"/>
      <c r="F173"/>
      <c r="G173"/>
      <c r="H173"/>
      <c r="I173"/>
    </row>
    <row r="174" spans="1:10" x14ac:dyDescent="0.25">
      <c r="A174"/>
      <c r="B174"/>
      <c r="C174"/>
      <c r="D174"/>
      <c r="E174"/>
      <c r="F174"/>
      <c r="G174"/>
      <c r="H174"/>
      <c r="I174"/>
    </row>
    <row r="175" spans="1:10" x14ac:dyDescent="0.25">
      <c r="A175"/>
      <c r="B175"/>
      <c r="C175"/>
      <c r="D175"/>
      <c r="E175"/>
      <c r="F175"/>
      <c r="G175"/>
      <c r="H175"/>
      <c r="I175"/>
    </row>
    <row r="176" spans="1:10" x14ac:dyDescent="0.25">
      <c r="A176"/>
      <c r="B176"/>
      <c r="C176"/>
      <c r="D176"/>
      <c r="E176"/>
      <c r="F176"/>
      <c r="G176"/>
      <c r="H176"/>
      <c r="I176"/>
    </row>
    <row r="177" spans="1:9" x14ac:dyDescent="0.25">
      <c r="A177"/>
      <c r="B177"/>
      <c r="C177"/>
      <c r="D177"/>
      <c r="E177"/>
      <c r="F177"/>
      <c r="G177"/>
      <c r="H177"/>
      <c r="I177"/>
    </row>
    <row r="178" spans="1:9" x14ac:dyDescent="0.25">
      <c r="A178"/>
      <c r="B178"/>
      <c r="C178"/>
      <c r="D178"/>
      <c r="E178"/>
      <c r="F178"/>
      <c r="G178"/>
      <c r="H178"/>
      <c r="I178"/>
    </row>
    <row r="179" spans="1:9" x14ac:dyDescent="0.25">
      <c r="A179"/>
      <c r="B179"/>
      <c r="C179"/>
      <c r="D179"/>
      <c r="E179"/>
      <c r="F179"/>
      <c r="G179"/>
      <c r="H179"/>
      <c r="I179"/>
    </row>
    <row r="180" spans="1:9" x14ac:dyDescent="0.25">
      <c r="A180"/>
      <c r="B180"/>
      <c r="C180"/>
      <c r="D180"/>
      <c r="E180"/>
      <c r="F180"/>
      <c r="G180"/>
      <c r="H180"/>
      <c r="I180"/>
    </row>
    <row r="181" spans="1:9" x14ac:dyDescent="0.25">
      <c r="A181"/>
      <c r="B181"/>
      <c r="C181"/>
      <c r="D181"/>
      <c r="E181"/>
      <c r="F181"/>
      <c r="G181"/>
      <c r="H181"/>
      <c r="I181"/>
    </row>
    <row r="182" spans="1:9" x14ac:dyDescent="0.25">
      <c r="A182"/>
      <c r="B182"/>
      <c r="C182"/>
      <c r="D182"/>
      <c r="E182"/>
      <c r="F182"/>
      <c r="G182"/>
      <c r="H182"/>
      <c r="I182"/>
    </row>
    <row r="183" spans="1:9" x14ac:dyDescent="0.25">
      <c r="A183"/>
      <c r="B183"/>
      <c r="C183"/>
      <c r="D183"/>
      <c r="E183"/>
      <c r="F183"/>
      <c r="G183"/>
      <c r="H183"/>
      <c r="I183"/>
    </row>
    <row r="184" spans="1:9" x14ac:dyDescent="0.25">
      <c r="A184"/>
      <c r="B184"/>
      <c r="C184"/>
      <c r="D184"/>
      <c r="E184"/>
      <c r="F184"/>
      <c r="G184"/>
      <c r="H184"/>
      <c r="I184"/>
    </row>
    <row r="185" spans="1:9" x14ac:dyDescent="0.25">
      <c r="A185"/>
      <c r="B185"/>
      <c r="C185"/>
      <c r="D185"/>
      <c r="E185"/>
      <c r="F185"/>
      <c r="G185"/>
      <c r="H185"/>
      <c r="I185"/>
    </row>
    <row r="186" spans="1:9" x14ac:dyDescent="0.25">
      <c r="A186"/>
      <c r="B186"/>
      <c r="C186"/>
      <c r="D186"/>
      <c r="E186"/>
      <c r="F186"/>
      <c r="G186"/>
      <c r="H186"/>
      <c r="I186"/>
    </row>
    <row r="187" spans="1:9" x14ac:dyDescent="0.25">
      <c r="A187"/>
      <c r="B187"/>
      <c r="C187"/>
      <c r="D187"/>
      <c r="E187"/>
      <c r="F187"/>
      <c r="G187"/>
      <c r="H187"/>
      <c r="I187"/>
    </row>
    <row r="188" spans="1:9" x14ac:dyDescent="0.25">
      <c r="A188"/>
      <c r="B188"/>
      <c r="C188"/>
      <c r="D188"/>
      <c r="E188"/>
      <c r="F188"/>
      <c r="G188"/>
      <c r="H188"/>
      <c r="I188"/>
    </row>
    <row r="189" spans="1:9" x14ac:dyDescent="0.25">
      <c r="A189"/>
      <c r="B189"/>
      <c r="C189"/>
      <c r="D189"/>
      <c r="E189"/>
      <c r="F189"/>
      <c r="G189"/>
      <c r="H189"/>
      <c r="I189"/>
    </row>
    <row r="190" spans="1:9" x14ac:dyDescent="0.25">
      <c r="A190"/>
      <c r="B190"/>
      <c r="C190"/>
      <c r="D190"/>
      <c r="E190"/>
      <c r="F190"/>
      <c r="G190"/>
      <c r="H190"/>
      <c r="I190"/>
    </row>
    <row r="191" spans="1:9" x14ac:dyDescent="0.25">
      <c r="A191"/>
      <c r="B191"/>
      <c r="C191"/>
      <c r="D191"/>
      <c r="E191"/>
      <c r="F191"/>
      <c r="G191"/>
      <c r="H191"/>
      <c r="I191"/>
    </row>
    <row r="192" spans="1:9" x14ac:dyDescent="0.25">
      <c r="A192"/>
      <c r="B192"/>
      <c r="C192"/>
      <c r="D192"/>
      <c r="E192"/>
      <c r="F192"/>
      <c r="G192"/>
      <c r="H192"/>
      <c r="I192"/>
    </row>
    <row r="193" spans="1:9" x14ac:dyDescent="0.25">
      <c r="A193"/>
      <c r="B193"/>
      <c r="C193"/>
      <c r="D193"/>
      <c r="E193"/>
      <c r="F193"/>
      <c r="G193"/>
      <c r="H193"/>
      <c r="I193"/>
    </row>
    <row r="194" spans="1:9" x14ac:dyDescent="0.25">
      <c r="A194"/>
      <c r="B194"/>
      <c r="C194"/>
      <c r="D194"/>
      <c r="E194"/>
      <c r="F194"/>
      <c r="G194"/>
      <c r="H194"/>
      <c r="I194"/>
    </row>
    <row r="195" spans="1:9" x14ac:dyDescent="0.25">
      <c r="A195"/>
      <c r="B195"/>
      <c r="C195"/>
      <c r="D195"/>
      <c r="E195"/>
      <c r="F195"/>
      <c r="G195"/>
      <c r="H195"/>
      <c r="I195"/>
    </row>
    <row r="196" spans="1:9" x14ac:dyDescent="0.25">
      <c r="A196"/>
      <c r="B196"/>
      <c r="C196"/>
      <c r="D196"/>
      <c r="E196"/>
      <c r="F196"/>
      <c r="G196"/>
      <c r="H196"/>
      <c r="I196"/>
    </row>
    <row r="197" spans="1:9" x14ac:dyDescent="0.25">
      <c r="A197"/>
      <c r="B197"/>
      <c r="C197"/>
      <c r="D197"/>
      <c r="E197"/>
      <c r="F197"/>
      <c r="G197"/>
      <c r="H197"/>
      <c r="I197"/>
    </row>
    <row r="198" spans="1:9" x14ac:dyDescent="0.25">
      <c r="A198"/>
      <c r="B198"/>
      <c r="C198"/>
      <c r="D198"/>
      <c r="E198"/>
      <c r="F198"/>
      <c r="G198"/>
      <c r="H198"/>
      <c r="I198"/>
    </row>
    <row r="199" spans="1:9" x14ac:dyDescent="0.25">
      <c r="A199"/>
      <c r="B199"/>
      <c r="C199"/>
      <c r="D199"/>
      <c r="E199"/>
      <c r="F199"/>
      <c r="G199"/>
      <c r="H199"/>
      <c r="I199"/>
    </row>
    <row r="200" spans="1:9" x14ac:dyDescent="0.25">
      <c r="A200"/>
      <c r="B200"/>
      <c r="C200"/>
      <c r="D200"/>
      <c r="E200"/>
      <c r="F200"/>
      <c r="G200"/>
      <c r="H200"/>
      <c r="I200"/>
    </row>
    <row r="201" spans="1:9" x14ac:dyDescent="0.25">
      <c r="A201"/>
      <c r="B201"/>
      <c r="C201"/>
      <c r="D201"/>
      <c r="E201"/>
      <c r="F201"/>
      <c r="G201"/>
      <c r="H201"/>
      <c r="I201"/>
    </row>
    <row r="202" spans="1:9" x14ac:dyDescent="0.25">
      <c r="A202"/>
      <c r="B202"/>
      <c r="C202"/>
      <c r="D202"/>
      <c r="E202"/>
      <c r="F202"/>
      <c r="G202"/>
      <c r="H202"/>
      <c r="I202"/>
    </row>
    <row r="203" spans="1:9" x14ac:dyDescent="0.25">
      <c r="A203"/>
      <c r="B203"/>
      <c r="C203"/>
      <c r="D203"/>
      <c r="E203"/>
      <c r="F203"/>
      <c r="G203"/>
      <c r="H203"/>
      <c r="I203"/>
    </row>
    <row r="204" spans="1:9" x14ac:dyDescent="0.25">
      <c r="A204"/>
      <c r="B204"/>
      <c r="C204"/>
      <c r="D204"/>
      <c r="E204"/>
      <c r="F204"/>
      <c r="G204"/>
      <c r="H204"/>
      <c r="I204"/>
    </row>
    <row r="205" spans="1:9" x14ac:dyDescent="0.25">
      <c r="A205"/>
      <c r="B205"/>
      <c r="C205"/>
      <c r="D205"/>
      <c r="E205"/>
      <c r="F205"/>
      <c r="G205"/>
      <c r="H205"/>
      <c r="I205"/>
    </row>
    <row r="206" spans="1:9" x14ac:dyDescent="0.25">
      <c r="A206"/>
      <c r="B206"/>
      <c r="C206"/>
      <c r="D206"/>
      <c r="E206"/>
      <c r="F206"/>
      <c r="G206"/>
      <c r="H206"/>
      <c r="I206"/>
    </row>
    <row r="207" spans="1:9" x14ac:dyDescent="0.25">
      <c r="A207"/>
      <c r="B207"/>
      <c r="C207"/>
      <c r="D207"/>
      <c r="E207"/>
      <c r="F207"/>
      <c r="G207"/>
      <c r="H207"/>
      <c r="I207"/>
    </row>
    <row r="208" spans="1:9" x14ac:dyDescent="0.25">
      <c r="A208"/>
      <c r="B208"/>
      <c r="C208"/>
      <c r="D208"/>
      <c r="E208"/>
      <c r="F208"/>
      <c r="G208"/>
      <c r="H208"/>
      <c r="I208"/>
    </row>
    <row r="209" spans="1:9" x14ac:dyDescent="0.25">
      <c r="A209"/>
      <c r="B209"/>
      <c r="C209"/>
      <c r="D209"/>
      <c r="E209"/>
      <c r="F209"/>
      <c r="G209"/>
      <c r="H209"/>
      <c r="I209"/>
    </row>
    <row r="210" spans="1:9" x14ac:dyDescent="0.25">
      <c r="A210"/>
      <c r="B210"/>
      <c r="C210"/>
      <c r="D210"/>
      <c r="E210"/>
      <c r="F210"/>
      <c r="G210"/>
      <c r="H210"/>
      <c r="I210"/>
    </row>
    <row r="211" spans="1:9" x14ac:dyDescent="0.25">
      <c r="A211"/>
      <c r="B211"/>
      <c r="C211"/>
      <c r="D211"/>
      <c r="E211"/>
      <c r="F211"/>
      <c r="G211"/>
      <c r="H211"/>
      <c r="I211"/>
    </row>
    <row r="212" spans="1:9" x14ac:dyDescent="0.25">
      <c r="A212"/>
      <c r="B212"/>
      <c r="C212"/>
      <c r="D212"/>
      <c r="E212"/>
      <c r="F212"/>
      <c r="G212"/>
      <c r="H212"/>
      <c r="I212"/>
    </row>
    <row r="213" spans="1:9" x14ac:dyDescent="0.25">
      <c r="A213"/>
      <c r="B213"/>
      <c r="C213"/>
      <c r="D213"/>
      <c r="E213"/>
      <c r="F213"/>
      <c r="G213"/>
      <c r="H213"/>
      <c r="I213"/>
    </row>
    <row r="214" spans="1:9" x14ac:dyDescent="0.25">
      <c r="A214"/>
      <c r="B214"/>
      <c r="C214"/>
      <c r="D214"/>
      <c r="E214"/>
      <c r="F214"/>
      <c r="G214"/>
      <c r="H214"/>
      <c r="I214"/>
    </row>
    <row r="215" spans="1:9" x14ac:dyDescent="0.25">
      <c r="A215"/>
      <c r="B215"/>
      <c r="C215"/>
      <c r="D215"/>
      <c r="E215"/>
      <c r="F215"/>
      <c r="G215"/>
      <c r="H215"/>
      <c r="I215"/>
    </row>
    <row r="216" spans="1:9" x14ac:dyDescent="0.25">
      <c r="A216"/>
      <c r="B216"/>
      <c r="C216"/>
      <c r="D216"/>
      <c r="E216"/>
      <c r="F216"/>
      <c r="G216"/>
      <c r="H216"/>
      <c r="I216"/>
    </row>
    <row r="217" spans="1:9" x14ac:dyDescent="0.25">
      <c r="A217"/>
      <c r="B217"/>
      <c r="C217"/>
      <c r="D217"/>
      <c r="E217"/>
      <c r="F217"/>
      <c r="G217"/>
      <c r="H217"/>
      <c r="I217"/>
    </row>
    <row r="218" spans="1:9" x14ac:dyDescent="0.25">
      <c r="A218"/>
      <c r="B218"/>
      <c r="C218"/>
      <c r="D218"/>
      <c r="E218"/>
      <c r="F218"/>
      <c r="G218"/>
      <c r="H218"/>
      <c r="I218"/>
    </row>
    <row r="219" spans="1:9" x14ac:dyDescent="0.25">
      <c r="A219"/>
      <c r="B219"/>
      <c r="C219"/>
      <c r="D219"/>
      <c r="E219"/>
      <c r="F219"/>
      <c r="G219"/>
      <c r="H219"/>
      <c r="I219"/>
    </row>
    <row r="220" spans="1:9" x14ac:dyDescent="0.25">
      <c r="A220"/>
      <c r="B220"/>
      <c r="C220"/>
      <c r="D220"/>
      <c r="E220"/>
      <c r="F220"/>
      <c r="G220"/>
      <c r="H220"/>
      <c r="I220"/>
    </row>
    <row r="221" spans="1:9" x14ac:dyDescent="0.25">
      <c r="A221"/>
      <c r="B221"/>
      <c r="C221"/>
      <c r="D221"/>
      <c r="E221"/>
      <c r="F221"/>
      <c r="G221"/>
      <c r="H221"/>
      <c r="I221"/>
    </row>
    <row r="222" spans="1:9" x14ac:dyDescent="0.25">
      <c r="A222"/>
      <c r="B222"/>
      <c r="C222"/>
      <c r="D222"/>
      <c r="E222"/>
      <c r="F222"/>
      <c r="G222"/>
      <c r="H222"/>
      <c r="I222"/>
    </row>
    <row r="223" spans="1:9" x14ac:dyDescent="0.25">
      <c r="A223"/>
      <c r="B223"/>
      <c r="C223"/>
      <c r="D223"/>
      <c r="E223"/>
      <c r="F223"/>
      <c r="G223"/>
      <c r="H223"/>
      <c r="I223"/>
    </row>
    <row r="224" spans="1:9" x14ac:dyDescent="0.25">
      <c r="A224"/>
      <c r="B224"/>
      <c r="C224"/>
      <c r="D224"/>
      <c r="E224"/>
      <c r="F224"/>
      <c r="G224"/>
      <c r="H224"/>
      <c r="I224"/>
    </row>
    <row r="225" spans="1:9" x14ac:dyDescent="0.25">
      <c r="A225"/>
      <c r="B225"/>
      <c r="C225"/>
      <c r="D225"/>
      <c r="E225"/>
      <c r="F225"/>
      <c r="G225"/>
      <c r="H225"/>
      <c r="I225"/>
    </row>
    <row r="226" spans="1:9" x14ac:dyDescent="0.25">
      <c r="A226"/>
      <c r="B226"/>
      <c r="C226"/>
      <c r="D226"/>
      <c r="E226"/>
      <c r="F226"/>
      <c r="G226"/>
      <c r="H226"/>
      <c r="I226"/>
    </row>
    <row r="227" spans="1:9" x14ac:dyDescent="0.25">
      <c r="A227"/>
      <c r="B227"/>
      <c r="C227"/>
      <c r="D227"/>
      <c r="E227"/>
      <c r="F227"/>
      <c r="G227"/>
      <c r="H227"/>
      <c r="I227"/>
    </row>
    <row r="228" spans="1:9" x14ac:dyDescent="0.25">
      <c r="A228"/>
      <c r="B228"/>
      <c r="C228"/>
      <c r="D228"/>
      <c r="E228"/>
      <c r="F228"/>
      <c r="G228"/>
      <c r="H228"/>
      <c r="I228"/>
    </row>
    <row r="229" spans="1:9" x14ac:dyDescent="0.25">
      <c r="A229"/>
      <c r="B229"/>
      <c r="C229"/>
      <c r="D229"/>
      <c r="E229"/>
      <c r="F229"/>
      <c r="G229"/>
      <c r="H229"/>
      <c r="I229"/>
    </row>
    <row r="230" spans="1:9" x14ac:dyDescent="0.25">
      <c r="A230"/>
      <c r="B230"/>
      <c r="C230"/>
      <c r="D230"/>
      <c r="E230"/>
      <c r="F230"/>
      <c r="G230"/>
      <c r="H230"/>
      <c r="I230"/>
    </row>
    <row r="231" spans="1:9" x14ac:dyDescent="0.25">
      <c r="A231"/>
      <c r="B231"/>
      <c r="C231"/>
      <c r="D231"/>
      <c r="E231"/>
      <c r="F231"/>
      <c r="G231"/>
      <c r="H231"/>
      <c r="I231"/>
    </row>
    <row r="232" spans="1:9" x14ac:dyDescent="0.25">
      <c r="A232"/>
      <c r="B232"/>
      <c r="C232"/>
      <c r="D232"/>
      <c r="E232"/>
      <c r="F232"/>
      <c r="G232"/>
      <c r="H232"/>
      <c r="I232"/>
    </row>
    <row r="233" spans="1:9" x14ac:dyDescent="0.25">
      <c r="A233"/>
      <c r="B233"/>
      <c r="C233"/>
      <c r="D233"/>
      <c r="E233"/>
      <c r="F233"/>
      <c r="G233"/>
      <c r="H233"/>
      <c r="I233"/>
    </row>
    <row r="234" spans="1:9" x14ac:dyDescent="0.25">
      <c r="A234"/>
      <c r="B234"/>
      <c r="C234"/>
      <c r="D234"/>
      <c r="E234"/>
      <c r="F234"/>
      <c r="G234"/>
      <c r="H234"/>
      <c r="I234"/>
    </row>
    <row r="235" spans="1:9" x14ac:dyDescent="0.25">
      <c r="A235"/>
      <c r="B235"/>
      <c r="C235"/>
      <c r="D235"/>
      <c r="E235"/>
      <c r="F235"/>
      <c r="G235"/>
      <c r="H235"/>
      <c r="I235"/>
    </row>
    <row r="236" spans="1:9" x14ac:dyDescent="0.25">
      <c r="A236"/>
      <c r="B236"/>
      <c r="C236"/>
      <c r="D236"/>
      <c r="E236"/>
      <c r="F236"/>
      <c r="G236"/>
      <c r="H236"/>
      <c r="I236"/>
    </row>
    <row r="237" spans="1:9" x14ac:dyDescent="0.25">
      <c r="A237"/>
      <c r="B237"/>
      <c r="C237"/>
      <c r="D237"/>
      <c r="E237"/>
      <c r="F237"/>
      <c r="G237"/>
      <c r="H237"/>
      <c r="I237"/>
    </row>
    <row r="238" spans="1:9" x14ac:dyDescent="0.25">
      <c r="A238"/>
      <c r="B238"/>
      <c r="C238"/>
      <c r="D238"/>
      <c r="E238"/>
      <c r="F238"/>
      <c r="G238"/>
      <c r="H238"/>
      <c r="I238"/>
    </row>
    <row r="239" spans="1:9" x14ac:dyDescent="0.25">
      <c r="A239"/>
      <c r="B239"/>
      <c r="C239"/>
      <c r="D239"/>
      <c r="E239"/>
      <c r="F239"/>
      <c r="G239"/>
      <c r="H239"/>
      <c r="I239"/>
    </row>
    <row r="240" spans="1:9" x14ac:dyDescent="0.25">
      <c r="A240"/>
      <c r="B240"/>
      <c r="C240"/>
      <c r="D240"/>
      <c r="E240"/>
      <c r="F240"/>
      <c r="G240"/>
      <c r="H240"/>
      <c r="I240"/>
    </row>
    <row r="241" spans="1:9" x14ac:dyDescent="0.25">
      <c r="A241"/>
      <c r="B241"/>
      <c r="C241"/>
      <c r="D241"/>
      <c r="E241"/>
      <c r="F241"/>
      <c r="G241"/>
      <c r="H241"/>
      <c r="I241"/>
    </row>
    <row r="242" spans="1:9" x14ac:dyDescent="0.25">
      <c r="A242"/>
      <c r="B242"/>
      <c r="C242"/>
      <c r="D242"/>
      <c r="E242"/>
      <c r="F242"/>
      <c r="G242"/>
      <c r="H242"/>
      <c r="I242"/>
    </row>
    <row r="243" spans="1:9" x14ac:dyDescent="0.25">
      <c r="A243"/>
      <c r="B243"/>
      <c r="C243"/>
      <c r="D243"/>
      <c r="E243"/>
      <c r="F243"/>
      <c r="G243"/>
      <c r="H243"/>
      <c r="I243"/>
    </row>
    <row r="244" spans="1:9" x14ac:dyDescent="0.25">
      <c r="A244"/>
      <c r="B244"/>
      <c r="C244"/>
      <c r="D244"/>
      <c r="E244"/>
      <c r="F244"/>
      <c r="G244"/>
      <c r="H244"/>
      <c r="I244"/>
    </row>
    <row r="245" spans="1:9" x14ac:dyDescent="0.25">
      <c r="A245"/>
      <c r="B245"/>
      <c r="C245"/>
      <c r="D245"/>
      <c r="E245"/>
      <c r="F245"/>
      <c r="G245"/>
      <c r="H245"/>
      <c r="I245"/>
    </row>
    <row r="246" spans="1:9" x14ac:dyDescent="0.25">
      <c r="A246"/>
      <c r="B246"/>
      <c r="C246"/>
      <c r="D246"/>
      <c r="E246"/>
      <c r="F246"/>
      <c r="G246"/>
      <c r="H246"/>
      <c r="I246"/>
    </row>
    <row r="247" spans="1:9" x14ac:dyDescent="0.25">
      <c r="A247"/>
      <c r="B247"/>
      <c r="C247"/>
      <c r="D247"/>
      <c r="E247"/>
      <c r="F247"/>
      <c r="G247"/>
      <c r="H247"/>
      <c r="I247"/>
    </row>
    <row r="248" spans="1:9" x14ac:dyDescent="0.25">
      <c r="A248"/>
      <c r="B248"/>
      <c r="C248"/>
      <c r="D248"/>
      <c r="E248"/>
      <c r="F248"/>
      <c r="G248"/>
      <c r="H248"/>
      <c r="I248"/>
    </row>
    <row r="249" spans="1:9" x14ac:dyDescent="0.25">
      <c r="A249"/>
      <c r="B249"/>
      <c r="C249"/>
      <c r="D249"/>
      <c r="E249"/>
      <c r="F249"/>
      <c r="G249"/>
      <c r="H249"/>
      <c r="I249"/>
    </row>
    <row r="250" spans="1:9" x14ac:dyDescent="0.25">
      <c r="A250"/>
      <c r="B250"/>
      <c r="C250"/>
      <c r="D250"/>
      <c r="E250"/>
      <c r="F250"/>
      <c r="G250"/>
      <c r="H250"/>
      <c r="I250"/>
    </row>
    <row r="251" spans="1:9" x14ac:dyDescent="0.25">
      <c r="A251"/>
      <c r="B251"/>
      <c r="C251"/>
      <c r="D251"/>
      <c r="E251"/>
      <c r="F251"/>
      <c r="G251"/>
      <c r="H251"/>
      <c r="I251"/>
    </row>
    <row r="252" spans="1:9" x14ac:dyDescent="0.25">
      <c r="A252"/>
      <c r="B252"/>
      <c r="C252"/>
      <c r="D252"/>
      <c r="E252"/>
      <c r="F252"/>
      <c r="G252"/>
      <c r="H252"/>
      <c r="I252"/>
    </row>
    <row r="253" spans="1:9" x14ac:dyDescent="0.25">
      <c r="A253"/>
      <c r="B253"/>
      <c r="C253"/>
      <c r="D253"/>
      <c r="E253"/>
      <c r="F253"/>
      <c r="G253"/>
      <c r="H253"/>
      <c r="I253"/>
    </row>
    <row r="254" spans="1:9" x14ac:dyDescent="0.25">
      <c r="A254"/>
      <c r="B254"/>
      <c r="C254"/>
      <c r="D254"/>
      <c r="E254"/>
      <c r="F254"/>
      <c r="G254"/>
      <c r="H254"/>
      <c r="I254"/>
    </row>
    <row r="255" spans="1:9" x14ac:dyDescent="0.25">
      <c r="A255"/>
      <c r="B255"/>
      <c r="C255"/>
      <c r="D255"/>
      <c r="E255"/>
      <c r="F255"/>
      <c r="G255"/>
      <c r="H255"/>
      <c r="I255"/>
    </row>
    <row r="256" spans="1:9" x14ac:dyDescent="0.25">
      <c r="A256"/>
      <c r="B256"/>
      <c r="C256"/>
      <c r="D256"/>
      <c r="E256"/>
      <c r="F256"/>
      <c r="G256"/>
      <c r="H256"/>
      <c r="I256"/>
    </row>
    <row r="257" spans="1:9" x14ac:dyDescent="0.25">
      <c r="A257"/>
      <c r="B257"/>
      <c r="C257"/>
      <c r="D257"/>
      <c r="E257"/>
      <c r="F257"/>
      <c r="G257"/>
      <c r="H257"/>
      <c r="I257"/>
    </row>
    <row r="258" spans="1:9" x14ac:dyDescent="0.25">
      <c r="A258"/>
      <c r="B258"/>
      <c r="C258"/>
      <c r="D258"/>
      <c r="E258"/>
      <c r="F258"/>
      <c r="G258"/>
      <c r="H258"/>
      <c r="I258"/>
    </row>
    <row r="259" spans="1:9" x14ac:dyDescent="0.25">
      <c r="A259"/>
      <c r="B259"/>
      <c r="C259"/>
      <c r="D259"/>
      <c r="E259"/>
      <c r="F259"/>
      <c r="G259"/>
      <c r="H259"/>
      <c r="I259"/>
    </row>
    <row r="260" spans="1:9" x14ac:dyDescent="0.25">
      <c r="A260"/>
      <c r="B260"/>
      <c r="C260"/>
      <c r="D260"/>
      <c r="E260"/>
      <c r="F260"/>
      <c r="G260"/>
      <c r="H260"/>
      <c r="I260"/>
    </row>
    <row r="261" spans="1:9" x14ac:dyDescent="0.25">
      <c r="A261"/>
      <c r="B261"/>
      <c r="C261"/>
      <c r="D261"/>
      <c r="E261"/>
      <c r="F261"/>
      <c r="G261"/>
      <c r="H261"/>
      <c r="I261"/>
    </row>
    <row r="262" spans="1:9" x14ac:dyDescent="0.25">
      <c r="A262"/>
      <c r="B262"/>
      <c r="C262"/>
      <c r="D262"/>
      <c r="E262"/>
      <c r="F262"/>
      <c r="G262"/>
      <c r="H262"/>
      <c r="I262"/>
    </row>
    <row r="263" spans="1:9" x14ac:dyDescent="0.25">
      <c r="A263"/>
      <c r="B263"/>
      <c r="C263"/>
      <c r="D263"/>
      <c r="E263"/>
      <c r="F263"/>
      <c r="G263"/>
      <c r="H263"/>
      <c r="I263"/>
    </row>
    <row r="264" spans="1:9" x14ac:dyDescent="0.25">
      <c r="A264"/>
      <c r="B264"/>
      <c r="C264"/>
      <c r="D264"/>
      <c r="E264"/>
      <c r="F264"/>
      <c r="G264"/>
      <c r="H264"/>
      <c r="I264"/>
    </row>
    <row r="265" spans="1:9" x14ac:dyDescent="0.25">
      <c r="A265"/>
      <c r="B265"/>
      <c r="C265"/>
      <c r="D265"/>
      <c r="E265"/>
      <c r="F265"/>
      <c r="G265"/>
      <c r="H265"/>
      <c r="I265"/>
    </row>
    <row r="266" spans="1:9" x14ac:dyDescent="0.25">
      <c r="A266"/>
      <c r="B266"/>
      <c r="C266"/>
      <c r="D266"/>
      <c r="E266"/>
      <c r="F266"/>
      <c r="G266"/>
      <c r="H266"/>
      <c r="I266"/>
    </row>
    <row r="267" spans="1:9" x14ac:dyDescent="0.25">
      <c r="A267"/>
      <c r="B267"/>
      <c r="C267"/>
      <c r="D267"/>
      <c r="E267"/>
      <c r="F267"/>
      <c r="G267"/>
      <c r="H267"/>
      <c r="I267"/>
    </row>
    <row r="268" spans="1:9" x14ac:dyDescent="0.25">
      <c r="A268"/>
      <c r="B268"/>
      <c r="C268"/>
      <c r="D268"/>
      <c r="E268"/>
      <c r="F268"/>
      <c r="G268"/>
      <c r="H268"/>
      <c r="I268"/>
    </row>
    <row r="269" spans="1:9" x14ac:dyDescent="0.25">
      <c r="A269"/>
      <c r="B269"/>
      <c r="C269"/>
      <c r="D269"/>
      <c r="E269"/>
      <c r="F269"/>
      <c r="G269"/>
      <c r="H269"/>
      <c r="I269"/>
    </row>
    <row r="270" spans="1:9" x14ac:dyDescent="0.25">
      <c r="A270"/>
      <c r="B270"/>
      <c r="C270"/>
      <c r="D270"/>
      <c r="E270"/>
      <c r="F270"/>
      <c r="G270"/>
      <c r="H270"/>
      <c r="I270"/>
    </row>
    <row r="271" spans="1:9" x14ac:dyDescent="0.25">
      <c r="A271"/>
      <c r="B271"/>
      <c r="C271"/>
      <c r="D271"/>
      <c r="E271"/>
      <c r="F271"/>
      <c r="G271"/>
      <c r="H271"/>
      <c r="I271"/>
    </row>
    <row r="272" spans="1:9" x14ac:dyDescent="0.25">
      <c r="A272"/>
      <c r="B272"/>
      <c r="C272"/>
      <c r="D272"/>
      <c r="E272"/>
      <c r="F272"/>
      <c r="G272"/>
      <c r="H272"/>
      <c r="I272"/>
    </row>
    <row r="273" spans="1:9" x14ac:dyDescent="0.25">
      <c r="A273"/>
      <c r="B273"/>
      <c r="C273"/>
      <c r="D273"/>
      <c r="E273"/>
      <c r="F273"/>
      <c r="G273"/>
      <c r="H273"/>
      <c r="I273"/>
    </row>
    <row r="274" spans="1:9" x14ac:dyDescent="0.25">
      <c r="A274"/>
      <c r="B274"/>
      <c r="C274"/>
      <c r="D274"/>
      <c r="E274"/>
      <c r="F274"/>
      <c r="G274"/>
      <c r="H274"/>
      <c r="I274"/>
    </row>
    <row r="275" spans="1:9" x14ac:dyDescent="0.25">
      <c r="A275"/>
      <c r="B275"/>
      <c r="C275"/>
      <c r="D275"/>
      <c r="E275"/>
      <c r="F275"/>
      <c r="G275"/>
      <c r="H275"/>
      <c r="I275"/>
    </row>
    <row r="276" spans="1:9" x14ac:dyDescent="0.25">
      <c r="A276"/>
      <c r="B276"/>
      <c r="C276"/>
      <c r="D276"/>
      <c r="E276"/>
      <c r="F276"/>
      <c r="G276"/>
      <c r="H276"/>
      <c r="I276"/>
    </row>
    <row r="277" spans="1:9" x14ac:dyDescent="0.25">
      <c r="A277"/>
      <c r="B277"/>
      <c r="C277"/>
      <c r="D277"/>
      <c r="E277"/>
      <c r="F277"/>
      <c r="G277"/>
      <c r="H277"/>
      <c r="I277"/>
    </row>
    <row r="278" spans="1:9" x14ac:dyDescent="0.25">
      <c r="A278"/>
      <c r="B278"/>
      <c r="C278"/>
      <c r="D278"/>
      <c r="E278"/>
      <c r="F278"/>
      <c r="G278"/>
      <c r="H278"/>
      <c r="I278"/>
    </row>
    <row r="279" spans="1:9" x14ac:dyDescent="0.25">
      <c r="A279"/>
      <c r="B279"/>
      <c r="C279"/>
      <c r="D279"/>
      <c r="E279"/>
      <c r="F279"/>
      <c r="G279"/>
      <c r="H279"/>
      <c r="I279"/>
    </row>
    <row r="280" spans="1:9" x14ac:dyDescent="0.25">
      <c r="A280"/>
      <c r="B280"/>
      <c r="C280"/>
      <c r="D280"/>
      <c r="E280"/>
      <c r="F280"/>
      <c r="G280"/>
      <c r="H280"/>
      <c r="I280"/>
    </row>
    <row r="281" spans="1:9" x14ac:dyDescent="0.25">
      <c r="A281"/>
      <c r="B281"/>
      <c r="C281"/>
      <c r="D281"/>
      <c r="E281"/>
      <c r="F281"/>
      <c r="G281"/>
      <c r="H281"/>
      <c r="I281"/>
    </row>
    <row r="282" spans="1:9" x14ac:dyDescent="0.25">
      <c r="A282"/>
      <c r="B282"/>
      <c r="C282"/>
      <c r="D282"/>
      <c r="E282"/>
      <c r="F282"/>
      <c r="G282"/>
      <c r="H282"/>
      <c r="I282"/>
    </row>
    <row r="283" spans="1:9" x14ac:dyDescent="0.25">
      <c r="A283"/>
      <c r="B283"/>
      <c r="C283"/>
      <c r="D283"/>
      <c r="E283"/>
      <c r="F283"/>
      <c r="G283"/>
      <c r="H283"/>
      <c r="I283"/>
    </row>
    <row r="284" spans="1:9" x14ac:dyDescent="0.25">
      <c r="A284"/>
      <c r="B284"/>
      <c r="C284"/>
      <c r="D284"/>
      <c r="E284"/>
      <c r="F284"/>
      <c r="G284"/>
      <c r="H284"/>
      <c r="I284"/>
    </row>
    <row r="285" spans="1:9" x14ac:dyDescent="0.25">
      <c r="A285"/>
      <c r="B285"/>
      <c r="C285"/>
      <c r="D285"/>
      <c r="E285"/>
      <c r="F285"/>
      <c r="G285"/>
      <c r="H285"/>
      <c r="I285"/>
    </row>
    <row r="286" spans="1:9" x14ac:dyDescent="0.25">
      <c r="A286"/>
      <c r="B286"/>
      <c r="C286"/>
      <c r="D286"/>
      <c r="E286"/>
      <c r="F286"/>
      <c r="G286"/>
      <c r="H286"/>
      <c r="I286"/>
    </row>
    <row r="287" spans="1:9" x14ac:dyDescent="0.25">
      <c r="A287"/>
      <c r="B287"/>
      <c r="C287"/>
      <c r="D287"/>
      <c r="E287"/>
      <c r="F287"/>
      <c r="G287"/>
      <c r="H287"/>
      <c r="I287"/>
    </row>
    <row r="288" spans="1:9" x14ac:dyDescent="0.25">
      <c r="A288"/>
      <c r="B288"/>
      <c r="C288"/>
      <c r="D288"/>
      <c r="E288"/>
      <c r="F288"/>
      <c r="G288"/>
      <c r="H288"/>
      <c r="I288"/>
    </row>
    <row r="289" spans="1:9" x14ac:dyDescent="0.25">
      <c r="A289"/>
      <c r="B289"/>
      <c r="C289"/>
      <c r="D289"/>
      <c r="E289"/>
      <c r="F289"/>
      <c r="G289"/>
      <c r="H289"/>
      <c r="I289"/>
    </row>
    <row r="290" spans="1:9" x14ac:dyDescent="0.25">
      <c r="A290"/>
      <c r="B290"/>
      <c r="C290"/>
      <c r="D290"/>
      <c r="E290"/>
      <c r="F290"/>
      <c r="G290"/>
      <c r="H290"/>
      <c r="I290"/>
    </row>
    <row r="291" spans="1:9" x14ac:dyDescent="0.25">
      <c r="A291"/>
      <c r="B291"/>
      <c r="C291"/>
      <c r="D291"/>
      <c r="E291"/>
      <c r="F291"/>
      <c r="G291"/>
      <c r="H291"/>
      <c r="I291"/>
    </row>
    <row r="292" spans="1:9" x14ac:dyDescent="0.25">
      <c r="A292"/>
      <c r="B292"/>
      <c r="C292"/>
      <c r="D292"/>
      <c r="E292"/>
      <c r="F292"/>
      <c r="G292"/>
      <c r="H292"/>
      <c r="I292"/>
    </row>
    <row r="293" spans="1:9" x14ac:dyDescent="0.25">
      <c r="A293"/>
      <c r="B293"/>
      <c r="C293"/>
      <c r="D293"/>
      <c r="E293"/>
      <c r="F293"/>
      <c r="G293"/>
      <c r="H293"/>
      <c r="I293"/>
    </row>
    <row r="294" spans="1:9" x14ac:dyDescent="0.25">
      <c r="A294"/>
      <c r="B294"/>
      <c r="C294"/>
      <c r="D294"/>
      <c r="E294"/>
      <c r="F294"/>
      <c r="G294"/>
      <c r="H294"/>
      <c r="I294"/>
    </row>
    <row r="295" spans="1:9" x14ac:dyDescent="0.25">
      <c r="A295"/>
      <c r="B295"/>
      <c r="C295"/>
      <c r="D295"/>
      <c r="E295"/>
      <c r="F295"/>
      <c r="G295"/>
      <c r="H295"/>
      <c r="I295"/>
    </row>
    <row r="296" spans="1:9" x14ac:dyDescent="0.25">
      <c r="A296"/>
      <c r="B296"/>
      <c r="C296"/>
      <c r="D296"/>
      <c r="E296"/>
      <c r="F296"/>
      <c r="G296"/>
      <c r="H296"/>
      <c r="I296"/>
    </row>
    <row r="297" spans="1:9" x14ac:dyDescent="0.25">
      <c r="A297"/>
      <c r="B297"/>
      <c r="C297"/>
      <c r="D297"/>
      <c r="E297"/>
      <c r="F297"/>
      <c r="G297"/>
      <c r="H297"/>
      <c r="I297"/>
    </row>
    <row r="298" spans="1:9" x14ac:dyDescent="0.25">
      <c r="A298"/>
      <c r="B298"/>
      <c r="C298"/>
      <c r="D298"/>
      <c r="E298"/>
      <c r="F298"/>
      <c r="G298"/>
      <c r="H298"/>
      <c r="I298"/>
    </row>
    <row r="299" spans="1:9" x14ac:dyDescent="0.25">
      <c r="A299"/>
      <c r="B299"/>
      <c r="C299"/>
      <c r="D299"/>
      <c r="E299"/>
      <c r="F299"/>
      <c r="G299"/>
      <c r="H299"/>
      <c r="I299"/>
    </row>
    <row r="300" spans="1:9" x14ac:dyDescent="0.25">
      <c r="A300"/>
      <c r="B300"/>
      <c r="C300"/>
      <c r="D300"/>
      <c r="E300"/>
      <c r="F300"/>
      <c r="G300"/>
      <c r="H300"/>
      <c r="I300"/>
    </row>
    <row r="301" spans="1:9" x14ac:dyDescent="0.25">
      <c r="A301"/>
      <c r="B301"/>
      <c r="C301"/>
      <c r="D301"/>
      <c r="E301"/>
      <c r="F301"/>
      <c r="G301"/>
      <c r="H301"/>
      <c r="I301"/>
    </row>
    <row r="302" spans="1:9" x14ac:dyDescent="0.25">
      <c r="A302"/>
      <c r="B302"/>
      <c r="C302"/>
      <c r="D302"/>
      <c r="E302"/>
      <c r="F302"/>
      <c r="G302"/>
      <c r="H302"/>
      <c r="I302"/>
    </row>
    <row r="303" spans="1:9" x14ac:dyDescent="0.25">
      <c r="A303"/>
      <c r="B303"/>
      <c r="C303"/>
      <c r="D303"/>
      <c r="E303"/>
      <c r="F303"/>
      <c r="G303"/>
      <c r="H303"/>
      <c r="I303"/>
    </row>
    <row r="304" spans="1:9" x14ac:dyDescent="0.25">
      <c r="A304"/>
      <c r="B304"/>
      <c r="C304"/>
      <c r="D304"/>
      <c r="E304"/>
      <c r="F304"/>
      <c r="G304"/>
      <c r="H304"/>
      <c r="I304"/>
    </row>
    <row r="305" spans="1:9" x14ac:dyDescent="0.25">
      <c r="A305"/>
      <c r="B305"/>
      <c r="C305"/>
      <c r="D305"/>
      <c r="E305"/>
      <c r="F305"/>
      <c r="G305"/>
      <c r="H305"/>
      <c r="I305"/>
    </row>
    <row r="306" spans="1:9" x14ac:dyDescent="0.25">
      <c r="A306"/>
      <c r="B306"/>
      <c r="C306"/>
      <c r="D306"/>
      <c r="E306"/>
      <c r="F306"/>
      <c r="G306"/>
      <c r="H306"/>
      <c r="I306"/>
    </row>
    <row r="307" spans="1:9" x14ac:dyDescent="0.25">
      <c r="A307"/>
      <c r="B307"/>
      <c r="C307"/>
      <c r="D307"/>
      <c r="E307"/>
      <c r="F307"/>
      <c r="G307"/>
      <c r="H307"/>
      <c r="I307"/>
    </row>
    <row r="308" spans="1:9" x14ac:dyDescent="0.25">
      <c r="A308"/>
      <c r="B308"/>
      <c r="C308"/>
      <c r="D308"/>
      <c r="E308"/>
      <c r="F308"/>
      <c r="G308"/>
      <c r="H308"/>
      <c r="I308"/>
    </row>
    <row r="309" spans="1:9" x14ac:dyDescent="0.25">
      <c r="A309"/>
      <c r="B309"/>
      <c r="C309"/>
      <c r="D309"/>
      <c r="E309"/>
      <c r="F309"/>
      <c r="G309"/>
      <c r="H309"/>
      <c r="I309"/>
    </row>
    <row r="310" spans="1:9" x14ac:dyDescent="0.25">
      <c r="A310"/>
      <c r="B310"/>
      <c r="C310"/>
      <c r="D310"/>
      <c r="E310"/>
      <c r="F310"/>
      <c r="G310"/>
      <c r="H310"/>
      <c r="I310"/>
    </row>
    <row r="311" spans="1:9" x14ac:dyDescent="0.25">
      <c r="A311"/>
      <c r="B311"/>
      <c r="C311"/>
      <c r="D311"/>
      <c r="E311"/>
      <c r="F311"/>
      <c r="G311"/>
      <c r="H311"/>
      <c r="I311"/>
    </row>
    <row r="312" spans="1:9" x14ac:dyDescent="0.25">
      <c r="A312"/>
      <c r="B312"/>
      <c r="C312"/>
      <c r="D312"/>
      <c r="E312"/>
      <c r="F312"/>
      <c r="G312"/>
      <c r="H312"/>
      <c r="I312"/>
    </row>
    <row r="313" spans="1:9" x14ac:dyDescent="0.25">
      <c r="A313"/>
      <c r="B313"/>
      <c r="C313"/>
      <c r="D313"/>
      <c r="E313"/>
      <c r="F313"/>
      <c r="G313"/>
      <c r="H313"/>
      <c r="I313"/>
    </row>
    <row r="314" spans="1:9" x14ac:dyDescent="0.25">
      <c r="A314"/>
      <c r="B314"/>
      <c r="C314"/>
      <c r="D314"/>
      <c r="E314"/>
      <c r="F314"/>
      <c r="G314"/>
      <c r="H314"/>
      <c r="I314"/>
    </row>
    <row r="315" spans="1:9" x14ac:dyDescent="0.25">
      <c r="A315"/>
      <c r="B315"/>
      <c r="C315"/>
      <c r="D315"/>
      <c r="E315"/>
      <c r="F315"/>
      <c r="G315"/>
      <c r="H315"/>
      <c r="I315"/>
    </row>
    <row r="316" spans="1:9" x14ac:dyDescent="0.25">
      <c r="A316"/>
      <c r="B316"/>
      <c r="C316"/>
      <c r="D316"/>
      <c r="E316"/>
      <c r="F316"/>
      <c r="G316"/>
      <c r="H316"/>
      <c r="I316"/>
    </row>
    <row r="317" spans="1:9" x14ac:dyDescent="0.25">
      <c r="A317"/>
      <c r="B317"/>
      <c r="C317"/>
      <c r="D317"/>
      <c r="E317"/>
      <c r="F317"/>
      <c r="G317"/>
      <c r="H317"/>
      <c r="I317"/>
    </row>
    <row r="318" spans="1:9" x14ac:dyDescent="0.25">
      <c r="A318"/>
      <c r="B318"/>
      <c r="C318"/>
      <c r="D318"/>
      <c r="E318"/>
      <c r="F318"/>
      <c r="G318"/>
      <c r="H318"/>
      <c r="I318"/>
    </row>
    <row r="319" spans="1:9" x14ac:dyDescent="0.25">
      <c r="A319"/>
      <c r="B319"/>
      <c r="C319"/>
      <c r="D319"/>
      <c r="E319"/>
      <c r="F319"/>
      <c r="G319"/>
      <c r="H319"/>
      <c r="I319"/>
    </row>
    <row r="320" spans="1:9" x14ac:dyDescent="0.25">
      <c r="A320"/>
      <c r="B320"/>
      <c r="C320"/>
      <c r="D320"/>
      <c r="E320"/>
      <c r="F320"/>
      <c r="G320"/>
      <c r="H320"/>
      <c r="I320"/>
    </row>
    <row r="321" spans="1:9" x14ac:dyDescent="0.25">
      <c r="A321"/>
      <c r="B321"/>
      <c r="C321"/>
      <c r="D321"/>
      <c r="E321"/>
      <c r="F321"/>
      <c r="G321"/>
      <c r="H321"/>
      <c r="I321"/>
    </row>
    <row r="322" spans="1:9" x14ac:dyDescent="0.25">
      <c r="A322"/>
      <c r="B322"/>
      <c r="C322"/>
      <c r="D322"/>
      <c r="E322"/>
      <c r="F322"/>
      <c r="G322"/>
      <c r="H322"/>
      <c r="I322"/>
    </row>
    <row r="323" spans="1:9" x14ac:dyDescent="0.25">
      <c r="A323"/>
      <c r="B323"/>
      <c r="C323"/>
      <c r="D323"/>
      <c r="E323"/>
      <c r="F323"/>
      <c r="G323"/>
      <c r="H323"/>
      <c r="I323"/>
    </row>
    <row r="324" spans="1:9" x14ac:dyDescent="0.25">
      <c r="A324"/>
      <c r="B324"/>
      <c r="C324"/>
      <c r="D324"/>
      <c r="E324"/>
      <c r="F324"/>
      <c r="G324"/>
      <c r="H324"/>
      <c r="I324"/>
    </row>
    <row r="325" spans="1:9" x14ac:dyDescent="0.25">
      <c r="A325"/>
      <c r="B325"/>
      <c r="C325"/>
      <c r="D325"/>
      <c r="E325"/>
      <c r="F325"/>
      <c r="G325"/>
      <c r="H325"/>
      <c r="I325"/>
    </row>
    <row r="326" spans="1:9" x14ac:dyDescent="0.25">
      <c r="A326"/>
      <c r="B326"/>
      <c r="C326"/>
      <c r="D326"/>
      <c r="E326"/>
      <c r="F326"/>
      <c r="G326"/>
      <c r="H326"/>
      <c r="I326"/>
    </row>
    <row r="327" spans="1:9" x14ac:dyDescent="0.25">
      <c r="A327"/>
      <c r="B327"/>
      <c r="C327"/>
      <c r="D327"/>
      <c r="E327"/>
      <c r="F327"/>
      <c r="G327"/>
      <c r="H327"/>
      <c r="I327"/>
    </row>
    <row r="328" spans="1:9" x14ac:dyDescent="0.25">
      <c r="A328"/>
      <c r="B328"/>
      <c r="C328"/>
      <c r="D328"/>
      <c r="E328"/>
      <c r="F328"/>
      <c r="G328"/>
      <c r="H328"/>
      <c r="I328"/>
    </row>
    <row r="329" spans="1:9" x14ac:dyDescent="0.25">
      <c r="A329"/>
      <c r="B329"/>
      <c r="C329"/>
      <c r="D329"/>
      <c r="E329"/>
      <c r="F329"/>
      <c r="G329"/>
      <c r="H329"/>
      <c r="I329"/>
    </row>
    <row r="330" spans="1:9" x14ac:dyDescent="0.25">
      <c r="A330"/>
      <c r="B330"/>
      <c r="C330"/>
      <c r="D330"/>
      <c r="E330"/>
      <c r="F330"/>
      <c r="G330"/>
      <c r="H330"/>
      <c r="I330"/>
    </row>
    <row r="331" spans="1:9" x14ac:dyDescent="0.25">
      <c r="A331"/>
      <c r="B331"/>
      <c r="C331"/>
      <c r="D331"/>
      <c r="E331"/>
      <c r="F331"/>
      <c r="G331"/>
      <c r="H331"/>
      <c r="I331"/>
    </row>
    <row r="332" spans="1:9" x14ac:dyDescent="0.25">
      <c r="A332"/>
      <c r="B332"/>
      <c r="C332"/>
      <c r="D332"/>
      <c r="E332"/>
      <c r="F332"/>
      <c r="G332"/>
      <c r="H332"/>
      <c r="I332"/>
    </row>
    <row r="333" spans="1:9" x14ac:dyDescent="0.25">
      <c r="A333"/>
      <c r="B333"/>
      <c r="C333"/>
      <c r="D333"/>
      <c r="E333"/>
      <c r="F333"/>
      <c r="G333"/>
      <c r="H333"/>
      <c r="I333"/>
    </row>
    <row r="334" spans="1:9" x14ac:dyDescent="0.25">
      <c r="A334"/>
      <c r="B334"/>
      <c r="C334"/>
      <c r="D334"/>
      <c r="E334"/>
      <c r="F334"/>
      <c r="G334"/>
      <c r="H334"/>
      <c r="I334"/>
    </row>
    <row r="335" spans="1:9" x14ac:dyDescent="0.25">
      <c r="A335"/>
      <c r="B335"/>
      <c r="C335"/>
      <c r="D335"/>
      <c r="E335"/>
      <c r="F335"/>
      <c r="G335"/>
      <c r="H335"/>
      <c r="I335"/>
    </row>
    <row r="336" spans="1:9" x14ac:dyDescent="0.25">
      <c r="A336"/>
      <c r="B336"/>
      <c r="C336"/>
      <c r="D336"/>
      <c r="E336"/>
      <c r="F336"/>
      <c r="G336"/>
      <c r="H336"/>
      <c r="I336"/>
    </row>
    <row r="337" spans="1:9" x14ac:dyDescent="0.25">
      <c r="A337"/>
      <c r="B337"/>
      <c r="C337"/>
      <c r="D337"/>
      <c r="E337"/>
      <c r="F337"/>
      <c r="G337"/>
      <c r="H337"/>
      <c r="I337"/>
    </row>
    <row r="338" spans="1:9" x14ac:dyDescent="0.25">
      <c r="A338"/>
      <c r="B338"/>
      <c r="C338"/>
      <c r="D338"/>
      <c r="E338"/>
      <c r="F338"/>
      <c r="G338"/>
      <c r="H338"/>
      <c r="I338"/>
    </row>
    <row r="339" spans="1:9" x14ac:dyDescent="0.25">
      <c r="A339"/>
      <c r="B339"/>
      <c r="C339"/>
      <c r="D339"/>
      <c r="E339"/>
      <c r="F339"/>
      <c r="G339"/>
      <c r="H339"/>
      <c r="I339"/>
    </row>
    <row r="340" spans="1:9" x14ac:dyDescent="0.25">
      <c r="A340"/>
      <c r="B340"/>
      <c r="C340"/>
      <c r="D340"/>
      <c r="E340"/>
      <c r="F340"/>
      <c r="G340"/>
      <c r="H340"/>
      <c r="I340"/>
    </row>
    <row r="341" spans="1:9" x14ac:dyDescent="0.25">
      <c r="A341"/>
      <c r="B341"/>
      <c r="C341"/>
      <c r="D341"/>
      <c r="E341"/>
      <c r="F341"/>
      <c r="G341"/>
      <c r="H341"/>
      <c r="I341"/>
    </row>
    <row r="342" spans="1:9" x14ac:dyDescent="0.25">
      <c r="A342"/>
      <c r="B342"/>
      <c r="C342"/>
      <c r="D342"/>
      <c r="E342"/>
      <c r="F342"/>
      <c r="G342"/>
      <c r="H342"/>
      <c r="I342"/>
    </row>
    <row r="343" spans="1:9" x14ac:dyDescent="0.25">
      <c r="A343"/>
      <c r="B343"/>
      <c r="C343"/>
      <c r="D343"/>
      <c r="E343"/>
      <c r="F343"/>
      <c r="G343"/>
      <c r="H343"/>
      <c r="I343"/>
    </row>
    <row r="344" spans="1:9" x14ac:dyDescent="0.25">
      <c r="A344"/>
      <c r="B344"/>
      <c r="C344"/>
      <c r="D344"/>
      <c r="E344"/>
      <c r="F344"/>
      <c r="G344"/>
      <c r="H344"/>
      <c r="I344"/>
    </row>
    <row r="345" spans="1:9" x14ac:dyDescent="0.25">
      <c r="A345"/>
      <c r="B345"/>
      <c r="C345"/>
      <c r="D345"/>
      <c r="E345"/>
      <c r="F345"/>
      <c r="G345"/>
      <c r="H345"/>
      <c r="I345"/>
    </row>
    <row r="346" spans="1:9" x14ac:dyDescent="0.25">
      <c r="A346"/>
      <c r="B346"/>
      <c r="C346"/>
      <c r="D346"/>
      <c r="E346"/>
      <c r="F346"/>
      <c r="G346"/>
      <c r="H346"/>
      <c r="I346"/>
    </row>
    <row r="347" spans="1:9" x14ac:dyDescent="0.25">
      <c r="A347"/>
      <c r="B347"/>
      <c r="C347"/>
      <c r="D347"/>
      <c r="E347"/>
      <c r="F347"/>
      <c r="G347"/>
      <c r="H347"/>
      <c r="I347"/>
    </row>
    <row r="348" spans="1:9" x14ac:dyDescent="0.25">
      <c r="A348"/>
      <c r="B348"/>
      <c r="C348"/>
      <c r="D348"/>
      <c r="E348"/>
      <c r="F348"/>
      <c r="G348"/>
      <c r="H348"/>
      <c r="I348"/>
    </row>
    <row r="349" spans="1:9" x14ac:dyDescent="0.25">
      <c r="A349"/>
      <c r="B349"/>
      <c r="C349"/>
      <c r="D349"/>
      <c r="E349"/>
      <c r="F349"/>
      <c r="G349"/>
      <c r="H349"/>
      <c r="I349"/>
    </row>
    <row r="350" spans="1:9" x14ac:dyDescent="0.25">
      <c r="A350"/>
      <c r="B350"/>
      <c r="C350"/>
      <c r="D350"/>
      <c r="E350"/>
      <c r="F350"/>
      <c r="G350"/>
      <c r="H350"/>
      <c r="I350"/>
    </row>
    <row r="351" spans="1:9" x14ac:dyDescent="0.25">
      <c r="A351"/>
      <c r="B351"/>
      <c r="C351"/>
      <c r="D351"/>
      <c r="E351"/>
      <c r="F351"/>
      <c r="G351"/>
      <c r="H351"/>
      <c r="I351"/>
    </row>
    <row r="352" spans="1:9" x14ac:dyDescent="0.25">
      <c r="A352"/>
      <c r="B352"/>
      <c r="C352"/>
      <c r="D352"/>
      <c r="E352"/>
      <c r="F352"/>
      <c r="G352"/>
      <c r="H352"/>
      <c r="I352"/>
    </row>
    <row r="353" spans="1:9" x14ac:dyDescent="0.25">
      <c r="A353"/>
      <c r="B353"/>
      <c r="C353"/>
      <c r="D353"/>
      <c r="E353"/>
      <c r="F353"/>
      <c r="G353"/>
      <c r="H353"/>
      <c r="I353"/>
    </row>
    <row r="354" spans="1:9" x14ac:dyDescent="0.25">
      <c r="A354"/>
      <c r="B354"/>
      <c r="C354"/>
      <c r="D354"/>
      <c r="E354"/>
      <c r="F354"/>
      <c r="G354"/>
      <c r="H354"/>
      <c r="I354"/>
    </row>
    <row r="355" spans="1:9" x14ac:dyDescent="0.25">
      <c r="A355"/>
      <c r="B355"/>
      <c r="C355"/>
      <c r="D355"/>
      <c r="E355"/>
      <c r="F355"/>
      <c r="G355"/>
      <c r="H355"/>
      <c r="I355"/>
    </row>
    <row r="356" spans="1:9" x14ac:dyDescent="0.25">
      <c r="A356"/>
      <c r="B356"/>
      <c r="C356"/>
      <c r="D356"/>
      <c r="E356"/>
      <c r="F356"/>
      <c r="G356"/>
      <c r="H356"/>
      <c r="I356"/>
    </row>
    <row r="357" spans="1:9" x14ac:dyDescent="0.25">
      <c r="A357"/>
      <c r="B357"/>
      <c r="C357"/>
      <c r="D357"/>
      <c r="E357"/>
      <c r="F357"/>
      <c r="G357"/>
      <c r="H357"/>
      <c r="I357"/>
    </row>
    <row r="358" spans="1:9" x14ac:dyDescent="0.25">
      <c r="A358"/>
      <c r="B358"/>
      <c r="C358"/>
      <c r="D358"/>
      <c r="E358"/>
      <c r="F358"/>
      <c r="G358"/>
      <c r="H358"/>
      <c r="I358"/>
    </row>
    <row r="359" spans="1:9" x14ac:dyDescent="0.25">
      <c r="A359"/>
      <c r="B359"/>
      <c r="C359"/>
      <c r="D359"/>
      <c r="E359"/>
      <c r="F359"/>
      <c r="G359"/>
      <c r="H359"/>
      <c r="I359"/>
    </row>
    <row r="360" spans="1:9" x14ac:dyDescent="0.25">
      <c r="A360"/>
      <c r="B360"/>
      <c r="C360"/>
      <c r="D360"/>
      <c r="E360"/>
      <c r="F360"/>
      <c r="G360"/>
      <c r="H360"/>
      <c r="I360"/>
    </row>
    <row r="361" spans="1:9" x14ac:dyDescent="0.25">
      <c r="A361"/>
      <c r="B361"/>
      <c r="C361"/>
      <c r="D361"/>
      <c r="E361"/>
      <c r="F361"/>
      <c r="G361"/>
      <c r="H361"/>
      <c r="I361"/>
    </row>
    <row r="362" spans="1:9" x14ac:dyDescent="0.25">
      <c r="A362"/>
      <c r="B362"/>
      <c r="C362"/>
      <c r="D362"/>
      <c r="E362"/>
      <c r="F362"/>
      <c r="G362"/>
      <c r="H362"/>
      <c r="I362"/>
    </row>
    <row r="363" spans="1:9" x14ac:dyDescent="0.25">
      <c r="A363"/>
      <c r="B363"/>
      <c r="C363"/>
      <c r="D363"/>
      <c r="E363"/>
      <c r="F363"/>
      <c r="G363"/>
      <c r="H363"/>
      <c r="I363"/>
    </row>
    <row r="364" spans="1:9" x14ac:dyDescent="0.25">
      <c r="A364"/>
      <c r="B364"/>
      <c r="C364"/>
      <c r="D364"/>
      <c r="E364"/>
      <c r="F364"/>
      <c r="G364"/>
      <c r="H364"/>
      <c r="I364"/>
    </row>
    <row r="365" spans="1:9" x14ac:dyDescent="0.25">
      <c r="A365"/>
      <c r="B365"/>
      <c r="C365"/>
      <c r="D365"/>
      <c r="E365"/>
      <c r="F365"/>
      <c r="G365"/>
      <c r="H365"/>
      <c r="I365"/>
    </row>
    <row r="366" spans="1:9" x14ac:dyDescent="0.25">
      <c r="A366"/>
      <c r="B366"/>
      <c r="C366"/>
      <c r="D366"/>
      <c r="E366"/>
      <c r="F366"/>
      <c r="G366"/>
      <c r="H366"/>
      <c r="I366"/>
    </row>
    <row r="367" spans="1:9" x14ac:dyDescent="0.25">
      <c r="A367"/>
      <c r="B367"/>
      <c r="C367"/>
      <c r="D367"/>
      <c r="E367"/>
      <c r="F367"/>
      <c r="G367"/>
      <c r="H367"/>
      <c r="I367"/>
    </row>
    <row r="368" spans="1:9" x14ac:dyDescent="0.25">
      <c r="A368"/>
      <c r="B368"/>
      <c r="C368"/>
      <c r="D368"/>
      <c r="E368"/>
      <c r="F368"/>
      <c r="G368"/>
      <c r="H368"/>
      <c r="I368"/>
    </row>
    <row r="369" spans="1:9" x14ac:dyDescent="0.25">
      <c r="A369"/>
      <c r="B369"/>
      <c r="C369"/>
      <c r="D369"/>
      <c r="E369"/>
      <c r="F369"/>
      <c r="G369"/>
      <c r="H369"/>
      <c r="I369"/>
    </row>
    <row r="370" spans="1:9" x14ac:dyDescent="0.25">
      <c r="A370"/>
      <c r="B370"/>
      <c r="C370"/>
      <c r="D370"/>
      <c r="E370"/>
      <c r="F370"/>
      <c r="G370"/>
      <c r="H370"/>
      <c r="I370"/>
    </row>
    <row r="371" spans="1:9" x14ac:dyDescent="0.25">
      <c r="A371"/>
      <c r="B371"/>
      <c r="C371"/>
      <c r="D371"/>
      <c r="E371"/>
      <c r="F371"/>
      <c r="G371"/>
      <c r="H371"/>
      <c r="I371"/>
    </row>
    <row r="372" spans="1:9" x14ac:dyDescent="0.25">
      <c r="A372"/>
      <c r="B372"/>
      <c r="C372"/>
      <c r="D372"/>
      <c r="E372"/>
      <c r="F372"/>
      <c r="G372"/>
      <c r="H372"/>
      <c r="I372"/>
    </row>
    <row r="373" spans="1:9" x14ac:dyDescent="0.25">
      <c r="A373"/>
      <c r="B373"/>
      <c r="C373"/>
      <c r="D373"/>
      <c r="E373"/>
      <c r="F373"/>
      <c r="G373"/>
      <c r="H373"/>
      <c r="I373"/>
    </row>
    <row r="374" spans="1:9" x14ac:dyDescent="0.25">
      <c r="A374"/>
      <c r="B374"/>
      <c r="C374"/>
      <c r="D374"/>
      <c r="E374"/>
      <c r="F374"/>
      <c r="G374"/>
      <c r="H374"/>
      <c r="I374"/>
    </row>
    <row r="375" spans="1:9" x14ac:dyDescent="0.25">
      <c r="A375"/>
      <c r="B375"/>
      <c r="C375"/>
      <c r="D375"/>
      <c r="E375"/>
      <c r="F375"/>
      <c r="G375"/>
      <c r="H375"/>
      <c r="I375"/>
    </row>
    <row r="376" spans="1:9" x14ac:dyDescent="0.25">
      <c r="A376"/>
      <c r="B376"/>
      <c r="C376"/>
      <c r="D376"/>
      <c r="E376"/>
      <c r="F376"/>
      <c r="G376"/>
      <c r="H376"/>
      <c r="I376"/>
    </row>
    <row r="377" spans="1:9" x14ac:dyDescent="0.25">
      <c r="A377"/>
      <c r="B377"/>
      <c r="C377"/>
      <c r="D377"/>
      <c r="E377"/>
      <c r="F377"/>
      <c r="G377"/>
      <c r="H377"/>
      <c r="I377"/>
    </row>
    <row r="378" spans="1:9" x14ac:dyDescent="0.25">
      <c r="A378"/>
      <c r="B378"/>
      <c r="C378"/>
      <c r="D378"/>
      <c r="E378"/>
      <c r="F378"/>
      <c r="G378"/>
      <c r="H378"/>
      <c r="I378"/>
    </row>
    <row r="379" spans="1:9" x14ac:dyDescent="0.25">
      <c r="A379"/>
      <c r="B379"/>
      <c r="C379"/>
      <c r="D379"/>
      <c r="E379"/>
      <c r="F379"/>
      <c r="G379"/>
      <c r="H379"/>
      <c r="I379"/>
    </row>
    <row r="380" spans="1:9" x14ac:dyDescent="0.25">
      <c r="A380"/>
      <c r="B380"/>
      <c r="C380"/>
      <c r="D380"/>
      <c r="E380"/>
      <c r="F380"/>
      <c r="G380"/>
      <c r="H380"/>
      <c r="I380"/>
    </row>
    <row r="381" spans="1:9" x14ac:dyDescent="0.25">
      <c r="A381"/>
      <c r="B381"/>
      <c r="C381"/>
      <c r="D381"/>
      <c r="E381"/>
      <c r="F381"/>
      <c r="G381"/>
      <c r="H381"/>
      <c r="I381"/>
    </row>
    <row r="382" spans="1:9" x14ac:dyDescent="0.25">
      <c r="A382"/>
      <c r="B382"/>
      <c r="C382"/>
      <c r="D382"/>
      <c r="E382"/>
      <c r="F382"/>
      <c r="G382"/>
      <c r="H382"/>
      <c r="I382"/>
    </row>
    <row r="383" spans="1:9" x14ac:dyDescent="0.25">
      <c r="A383"/>
      <c r="B383"/>
      <c r="C383"/>
      <c r="D383"/>
      <c r="E383"/>
      <c r="F383"/>
      <c r="G383"/>
      <c r="H383"/>
      <c r="I383"/>
    </row>
    <row r="384" spans="1:9" x14ac:dyDescent="0.25">
      <c r="A384"/>
      <c r="B384"/>
      <c r="C384"/>
      <c r="D384"/>
      <c r="E384"/>
      <c r="F384"/>
      <c r="G384"/>
      <c r="H384"/>
      <c r="I384"/>
    </row>
    <row r="385" spans="1:9" x14ac:dyDescent="0.25">
      <c r="A385"/>
      <c r="B385"/>
      <c r="C385"/>
      <c r="D385"/>
      <c r="E385"/>
      <c r="F385"/>
      <c r="G385"/>
      <c r="H385"/>
      <c r="I385"/>
    </row>
    <row r="386" spans="1:9" x14ac:dyDescent="0.25">
      <c r="A386"/>
      <c r="B386"/>
      <c r="C386"/>
      <c r="D386"/>
      <c r="E386"/>
      <c r="F386"/>
      <c r="G386"/>
      <c r="H386"/>
      <c r="I386"/>
    </row>
    <row r="387" spans="1:9" x14ac:dyDescent="0.25">
      <c r="A387"/>
      <c r="B387"/>
      <c r="C387"/>
      <c r="D387"/>
      <c r="E387"/>
      <c r="F387"/>
      <c r="G387"/>
      <c r="H387"/>
      <c r="I387"/>
    </row>
    <row r="388" spans="1:9" x14ac:dyDescent="0.25">
      <c r="A388"/>
      <c r="B388"/>
      <c r="C388"/>
      <c r="D388"/>
      <c r="E388"/>
      <c r="F388"/>
      <c r="G388"/>
      <c r="H388"/>
      <c r="I388"/>
    </row>
    <row r="389" spans="1:9" x14ac:dyDescent="0.25">
      <c r="A389"/>
      <c r="B389"/>
      <c r="C389"/>
      <c r="D389"/>
      <c r="E389"/>
      <c r="F389"/>
      <c r="G389"/>
      <c r="H389"/>
      <c r="I389"/>
    </row>
    <row r="390" spans="1:9" x14ac:dyDescent="0.25">
      <c r="A390"/>
      <c r="B390"/>
      <c r="C390"/>
      <c r="D390"/>
      <c r="E390"/>
      <c r="F390"/>
      <c r="G390"/>
      <c r="H390"/>
      <c r="I390"/>
    </row>
    <row r="391" spans="1:9" x14ac:dyDescent="0.25">
      <c r="A391"/>
      <c r="B391"/>
      <c r="C391"/>
      <c r="D391"/>
      <c r="E391"/>
      <c r="F391"/>
      <c r="G391"/>
      <c r="H391"/>
      <c r="I391"/>
    </row>
    <row r="392" spans="1:9" x14ac:dyDescent="0.25">
      <c r="A392"/>
      <c r="B392"/>
      <c r="C392"/>
      <c r="D392"/>
      <c r="E392"/>
      <c r="F392"/>
      <c r="G392"/>
      <c r="H392"/>
      <c r="I392"/>
    </row>
    <row r="393" spans="1:9" x14ac:dyDescent="0.25">
      <c r="A393"/>
      <c r="B393"/>
      <c r="C393"/>
      <c r="D393"/>
      <c r="E393"/>
      <c r="F393"/>
      <c r="G393"/>
      <c r="H393"/>
      <c r="I393"/>
    </row>
    <row r="394" spans="1:9" x14ac:dyDescent="0.25">
      <c r="A394"/>
      <c r="B394"/>
      <c r="C394"/>
      <c r="D394"/>
      <c r="E394"/>
      <c r="F394"/>
      <c r="G394"/>
      <c r="H394"/>
      <c r="I394"/>
    </row>
    <row r="395" spans="1:9" x14ac:dyDescent="0.25">
      <c r="A395"/>
      <c r="B395"/>
      <c r="C395"/>
      <c r="D395"/>
      <c r="E395"/>
      <c r="F395"/>
      <c r="G395"/>
      <c r="H395"/>
      <c r="I395"/>
    </row>
    <row r="396" spans="1:9" x14ac:dyDescent="0.25">
      <c r="A396"/>
      <c r="B396"/>
      <c r="C396"/>
      <c r="D396"/>
      <c r="E396"/>
      <c r="F396"/>
      <c r="G396"/>
      <c r="H396"/>
      <c r="I396"/>
    </row>
    <row r="397" spans="1:9" x14ac:dyDescent="0.25">
      <c r="A397"/>
      <c r="B397"/>
      <c r="C397"/>
      <c r="D397"/>
      <c r="E397"/>
      <c r="F397"/>
      <c r="G397"/>
      <c r="H397"/>
      <c r="I397"/>
    </row>
    <row r="398" spans="1:9" x14ac:dyDescent="0.25">
      <c r="A398"/>
      <c r="B398"/>
      <c r="C398"/>
      <c r="D398"/>
      <c r="E398"/>
      <c r="F398"/>
      <c r="G398"/>
      <c r="H398"/>
      <c r="I398"/>
    </row>
    <row r="399" spans="1:9" x14ac:dyDescent="0.25">
      <c r="A399"/>
      <c r="B399"/>
      <c r="C399"/>
      <c r="D399"/>
      <c r="E399"/>
      <c r="F399"/>
      <c r="G399"/>
      <c r="H399"/>
      <c r="I399"/>
    </row>
    <row r="400" spans="1:9" x14ac:dyDescent="0.25">
      <c r="A400"/>
      <c r="B400"/>
      <c r="C400"/>
      <c r="D400"/>
      <c r="E400"/>
      <c r="F400"/>
      <c r="G400"/>
      <c r="H400"/>
      <c r="I400"/>
    </row>
    <row r="401" spans="1:9" x14ac:dyDescent="0.25">
      <c r="A401"/>
      <c r="B401"/>
      <c r="C401"/>
      <c r="D401"/>
      <c r="E401"/>
      <c r="F401"/>
      <c r="G401"/>
      <c r="H401"/>
      <c r="I401"/>
    </row>
    <row r="402" spans="1:9" x14ac:dyDescent="0.25">
      <c r="A402"/>
      <c r="B402"/>
      <c r="C402"/>
      <c r="D402"/>
      <c r="E402"/>
      <c r="F402"/>
      <c r="G402"/>
      <c r="H402"/>
      <c r="I402"/>
    </row>
    <row r="403" spans="1:9" x14ac:dyDescent="0.25">
      <c r="A403"/>
      <c r="B403"/>
      <c r="C403"/>
      <c r="D403"/>
      <c r="E403"/>
      <c r="F403"/>
      <c r="G403"/>
      <c r="H403"/>
      <c r="I403"/>
    </row>
    <row r="404" spans="1:9" x14ac:dyDescent="0.25">
      <c r="A404"/>
      <c r="B404"/>
      <c r="C404"/>
      <c r="D404"/>
      <c r="E404"/>
      <c r="F404"/>
      <c r="G404"/>
      <c r="H404"/>
      <c r="I404"/>
    </row>
    <row r="405" spans="1:9" x14ac:dyDescent="0.25">
      <c r="A405"/>
      <c r="B405"/>
      <c r="C405"/>
      <c r="D405"/>
      <c r="E405"/>
      <c r="F405"/>
      <c r="G405"/>
      <c r="H405"/>
      <c r="I405"/>
    </row>
    <row r="406" spans="1:9" x14ac:dyDescent="0.25">
      <c r="A406"/>
      <c r="B406"/>
      <c r="C406"/>
      <c r="D406"/>
      <c r="E406"/>
      <c r="F406"/>
      <c r="G406"/>
      <c r="H406"/>
      <c r="I406"/>
    </row>
    <row r="407" spans="1:9" x14ac:dyDescent="0.25">
      <c r="A407"/>
      <c r="B407"/>
      <c r="C407"/>
      <c r="D407"/>
      <c r="E407"/>
      <c r="F407"/>
      <c r="G407"/>
      <c r="H407"/>
      <c r="I407"/>
    </row>
    <row r="408" spans="1:9" x14ac:dyDescent="0.25">
      <c r="A408"/>
      <c r="B408"/>
      <c r="C408"/>
      <c r="D408"/>
      <c r="E408"/>
      <c r="F408"/>
      <c r="G408"/>
      <c r="H408"/>
      <c r="I408"/>
    </row>
    <row r="409" spans="1:9" x14ac:dyDescent="0.25">
      <c r="A409"/>
      <c r="B409"/>
      <c r="C409"/>
      <c r="D409"/>
      <c r="E409"/>
      <c r="F409"/>
      <c r="G409"/>
      <c r="H409"/>
      <c r="I409"/>
    </row>
    <row r="410" spans="1:9" x14ac:dyDescent="0.25">
      <c r="A410"/>
      <c r="B410"/>
      <c r="C410"/>
      <c r="D410"/>
      <c r="E410"/>
      <c r="F410"/>
      <c r="G410"/>
      <c r="H410"/>
      <c r="I410"/>
    </row>
    <row r="411" spans="1:9" x14ac:dyDescent="0.25">
      <c r="A411"/>
      <c r="B411"/>
      <c r="C411"/>
      <c r="D411"/>
      <c r="E411"/>
      <c r="F411"/>
      <c r="G411"/>
      <c r="H411"/>
      <c r="I411"/>
    </row>
    <row r="412" spans="1:9" x14ac:dyDescent="0.25">
      <c r="A412"/>
      <c r="B412"/>
      <c r="C412"/>
      <c r="D412"/>
      <c r="E412"/>
      <c r="F412"/>
      <c r="G412"/>
      <c r="H412"/>
      <c r="I412"/>
    </row>
    <row r="413" spans="1:9" x14ac:dyDescent="0.25">
      <c r="A413"/>
      <c r="B413"/>
      <c r="C413"/>
      <c r="D413"/>
      <c r="E413"/>
      <c r="F413"/>
      <c r="G413"/>
      <c r="H413"/>
      <c r="I413"/>
    </row>
    <row r="414" spans="1:9" x14ac:dyDescent="0.25">
      <c r="A414"/>
      <c r="B414"/>
      <c r="C414"/>
      <c r="D414"/>
      <c r="E414"/>
      <c r="F414"/>
      <c r="G414"/>
      <c r="H414"/>
      <c r="I414"/>
    </row>
    <row r="415" spans="1:9" x14ac:dyDescent="0.25">
      <c r="A415"/>
      <c r="B415"/>
      <c r="C415"/>
      <c r="D415"/>
      <c r="E415"/>
      <c r="F415"/>
      <c r="G415"/>
      <c r="H415"/>
      <c r="I415"/>
    </row>
    <row r="416" spans="1:9" x14ac:dyDescent="0.25">
      <c r="A416"/>
      <c r="B416"/>
      <c r="C416"/>
      <c r="D416"/>
      <c r="E416"/>
      <c r="F416"/>
      <c r="G416"/>
      <c r="H416"/>
      <c r="I416"/>
    </row>
    <row r="417" spans="1:9" x14ac:dyDescent="0.25">
      <c r="A417"/>
      <c r="B417"/>
      <c r="C417"/>
      <c r="D417"/>
      <c r="E417"/>
      <c r="F417"/>
      <c r="G417"/>
      <c r="H417"/>
      <c r="I417"/>
    </row>
    <row r="418" spans="1:9" x14ac:dyDescent="0.25">
      <c r="A418"/>
      <c r="B418"/>
      <c r="C418"/>
      <c r="D418"/>
      <c r="E418"/>
      <c r="F418"/>
      <c r="G418"/>
      <c r="H418"/>
      <c r="I418"/>
    </row>
    <row r="419" spans="1:9" x14ac:dyDescent="0.25">
      <c r="A419"/>
      <c r="B419"/>
      <c r="C419"/>
      <c r="D419"/>
      <c r="E419"/>
      <c r="F419"/>
      <c r="G419"/>
      <c r="H419"/>
      <c r="I419"/>
    </row>
    <row r="420" spans="1:9" x14ac:dyDescent="0.25">
      <c r="A420"/>
      <c r="B420"/>
      <c r="C420"/>
      <c r="D420"/>
      <c r="E420"/>
      <c r="F420"/>
      <c r="G420"/>
      <c r="H420"/>
      <c r="I420"/>
    </row>
    <row r="421" spans="1:9" x14ac:dyDescent="0.25">
      <c r="A421"/>
      <c r="B421"/>
      <c r="C421"/>
      <c r="D421"/>
      <c r="E421"/>
      <c r="F421"/>
      <c r="G421"/>
      <c r="H421"/>
      <c r="I421"/>
    </row>
    <row r="422" spans="1:9" x14ac:dyDescent="0.25">
      <c r="A422"/>
      <c r="B422"/>
      <c r="C422"/>
      <c r="D422"/>
      <c r="E422"/>
      <c r="F422"/>
      <c r="G422"/>
      <c r="H422"/>
      <c r="I422"/>
    </row>
    <row r="423" spans="1:9" x14ac:dyDescent="0.25">
      <c r="A423"/>
      <c r="B423"/>
      <c r="C423"/>
      <c r="D423"/>
      <c r="E423"/>
      <c r="F423"/>
      <c r="G423"/>
      <c r="H423"/>
      <c r="I423"/>
    </row>
    <row r="424" spans="1:9" x14ac:dyDescent="0.25">
      <c r="A424"/>
      <c r="B424"/>
      <c r="C424"/>
      <c r="D424"/>
      <c r="E424"/>
      <c r="F424"/>
      <c r="G424"/>
      <c r="H424"/>
      <c r="I424"/>
    </row>
    <row r="425" spans="1:9" x14ac:dyDescent="0.25">
      <c r="A425"/>
      <c r="B425"/>
      <c r="C425"/>
      <c r="D425"/>
      <c r="E425"/>
      <c r="F425"/>
      <c r="G425"/>
      <c r="H425"/>
      <c r="I425"/>
    </row>
    <row r="426" spans="1:9" x14ac:dyDescent="0.25">
      <c r="A426"/>
      <c r="B426"/>
      <c r="C426"/>
      <c r="D426"/>
      <c r="E426"/>
      <c r="F426"/>
      <c r="G426"/>
      <c r="H426"/>
      <c r="I426"/>
    </row>
    <row r="427" spans="1:9" x14ac:dyDescent="0.25">
      <c r="A427"/>
      <c r="B427"/>
      <c r="C427"/>
      <c r="D427"/>
      <c r="E427"/>
      <c r="F427"/>
      <c r="G427"/>
      <c r="H427"/>
      <c r="I427"/>
    </row>
    <row r="428" spans="1:9" x14ac:dyDescent="0.25">
      <c r="A428"/>
      <c r="B428"/>
      <c r="C428"/>
      <c r="D428"/>
      <c r="E428"/>
      <c r="F428"/>
      <c r="G428"/>
      <c r="H428"/>
      <c r="I428"/>
    </row>
    <row r="429" spans="1:9" x14ac:dyDescent="0.25">
      <c r="A429"/>
      <c r="B429"/>
      <c r="C429"/>
      <c r="D429"/>
      <c r="E429"/>
      <c r="F429"/>
      <c r="G429"/>
      <c r="H429"/>
      <c r="I429"/>
    </row>
    <row r="430" spans="1:9" x14ac:dyDescent="0.25">
      <c r="A430"/>
      <c r="B430"/>
      <c r="C430"/>
      <c r="D430"/>
      <c r="E430"/>
      <c r="F430"/>
      <c r="G430"/>
      <c r="H430"/>
      <c r="I430"/>
    </row>
    <row r="431" spans="1:9" x14ac:dyDescent="0.25">
      <c r="A431"/>
      <c r="B431"/>
      <c r="C431"/>
      <c r="D431"/>
      <c r="E431"/>
      <c r="F431"/>
      <c r="G431"/>
      <c r="H431"/>
      <c r="I431"/>
    </row>
    <row r="432" spans="1:9" x14ac:dyDescent="0.25">
      <c r="A432"/>
      <c r="B432"/>
      <c r="C432"/>
      <c r="D432"/>
      <c r="E432"/>
      <c r="F432"/>
      <c r="G432"/>
      <c r="H432"/>
      <c r="I432"/>
    </row>
    <row r="433" spans="1:9" x14ac:dyDescent="0.25">
      <c r="A433"/>
      <c r="B433"/>
      <c r="C433"/>
      <c r="D433"/>
      <c r="E433"/>
      <c r="F433"/>
      <c r="G433"/>
      <c r="H433"/>
      <c r="I433"/>
    </row>
    <row r="434" spans="1:9" x14ac:dyDescent="0.25">
      <c r="A434"/>
      <c r="B434"/>
      <c r="C434"/>
      <c r="D434"/>
      <c r="E434"/>
      <c r="F434"/>
      <c r="G434"/>
      <c r="H434"/>
      <c r="I434"/>
    </row>
    <row r="435" spans="1:9" x14ac:dyDescent="0.25">
      <c r="A435"/>
      <c r="B435"/>
      <c r="C435"/>
      <c r="D435"/>
      <c r="E435"/>
      <c r="F435"/>
      <c r="G435"/>
      <c r="H435"/>
      <c r="I435"/>
    </row>
    <row r="436" spans="1:9" x14ac:dyDescent="0.25">
      <c r="A436"/>
      <c r="B436"/>
      <c r="C436"/>
      <c r="D436"/>
      <c r="E436"/>
      <c r="F436"/>
      <c r="G436"/>
      <c r="H436"/>
      <c r="I436"/>
    </row>
    <row r="437" spans="1:9" x14ac:dyDescent="0.25">
      <c r="A437"/>
      <c r="B437"/>
      <c r="C437"/>
      <c r="D437"/>
      <c r="E437"/>
      <c r="F437"/>
      <c r="G437"/>
      <c r="H437"/>
      <c r="I437"/>
    </row>
    <row r="438" spans="1:9" x14ac:dyDescent="0.25">
      <c r="A438"/>
      <c r="B438"/>
      <c r="C438"/>
      <c r="D438"/>
      <c r="E438"/>
      <c r="F438"/>
      <c r="G438"/>
      <c r="H438"/>
      <c r="I438"/>
    </row>
    <row r="439" spans="1:9" x14ac:dyDescent="0.25">
      <c r="A439"/>
      <c r="B439"/>
      <c r="C439"/>
      <c r="D439"/>
      <c r="E439"/>
      <c r="F439"/>
      <c r="G439"/>
      <c r="H439"/>
      <c r="I439"/>
    </row>
    <row r="440" spans="1:9" x14ac:dyDescent="0.25">
      <c r="A440"/>
      <c r="B440"/>
      <c r="C440"/>
      <c r="D440"/>
      <c r="E440"/>
      <c r="F440"/>
      <c r="G440"/>
      <c r="H440"/>
      <c r="I440"/>
    </row>
    <row r="441" spans="1:9" x14ac:dyDescent="0.25">
      <c r="A441"/>
      <c r="B441"/>
      <c r="C441"/>
      <c r="D441"/>
      <c r="E441"/>
      <c r="F441"/>
      <c r="G441"/>
      <c r="H441"/>
      <c r="I441"/>
    </row>
    <row r="442" spans="1:9" x14ac:dyDescent="0.25">
      <c r="A442"/>
      <c r="B442"/>
      <c r="C442"/>
      <c r="D442"/>
      <c r="E442"/>
      <c r="F442"/>
      <c r="G442"/>
      <c r="H442"/>
      <c r="I442"/>
    </row>
    <row r="443" spans="1:9" x14ac:dyDescent="0.25">
      <c r="A443"/>
      <c r="B443"/>
      <c r="C443"/>
      <c r="D443"/>
      <c r="E443"/>
      <c r="F443"/>
      <c r="G443"/>
      <c r="H443"/>
      <c r="I443"/>
    </row>
    <row r="444" spans="1:9" x14ac:dyDescent="0.25">
      <c r="A444"/>
      <c r="B444"/>
      <c r="C444"/>
      <c r="D444"/>
      <c r="E444"/>
      <c r="F444"/>
      <c r="G444"/>
      <c r="H444"/>
      <c r="I444"/>
    </row>
    <row r="445" spans="1:9" x14ac:dyDescent="0.25">
      <c r="A445"/>
      <c r="B445"/>
      <c r="C445"/>
      <c r="D445"/>
      <c r="E445"/>
      <c r="F445"/>
      <c r="G445"/>
      <c r="H445"/>
      <c r="I445"/>
    </row>
    <row r="446" spans="1:9" x14ac:dyDescent="0.25">
      <c r="A446"/>
      <c r="B446"/>
      <c r="C446"/>
      <c r="D446"/>
      <c r="E446"/>
      <c r="F446"/>
      <c r="G446"/>
      <c r="H446"/>
      <c r="I446"/>
    </row>
    <row r="447" spans="1:9" x14ac:dyDescent="0.25">
      <c r="A447"/>
      <c r="B447"/>
      <c r="C447"/>
      <c r="D447"/>
      <c r="E447"/>
      <c r="F447"/>
      <c r="G447"/>
      <c r="H447"/>
      <c r="I447"/>
    </row>
    <row r="448" spans="1:9" x14ac:dyDescent="0.25">
      <c r="A448"/>
      <c r="B448"/>
      <c r="C448"/>
      <c r="D448"/>
      <c r="E448"/>
      <c r="F448"/>
      <c r="G448"/>
      <c r="H448"/>
      <c r="I448"/>
    </row>
    <row r="449" spans="1:9" x14ac:dyDescent="0.25">
      <c r="A449"/>
      <c r="B449"/>
      <c r="C449"/>
      <c r="D449"/>
      <c r="E449"/>
      <c r="F449"/>
      <c r="G449"/>
      <c r="H449"/>
      <c r="I449"/>
    </row>
    <row r="450" spans="1:9" x14ac:dyDescent="0.25">
      <c r="A450"/>
      <c r="B450"/>
      <c r="C450"/>
      <c r="D450"/>
      <c r="E450"/>
      <c r="F450"/>
      <c r="G450"/>
      <c r="H450"/>
      <c r="I450"/>
    </row>
    <row r="451" spans="1:9" x14ac:dyDescent="0.25">
      <c r="A451"/>
      <c r="B451"/>
      <c r="C451"/>
      <c r="D451"/>
      <c r="E451"/>
      <c r="F451"/>
      <c r="G451"/>
      <c r="H451"/>
      <c r="I451"/>
    </row>
    <row r="452" spans="1:9" x14ac:dyDescent="0.25">
      <c r="A452"/>
      <c r="B452"/>
      <c r="C452"/>
      <c r="D452"/>
      <c r="E452"/>
      <c r="F452"/>
      <c r="G452"/>
      <c r="H452"/>
      <c r="I452"/>
    </row>
    <row r="453" spans="1:9" x14ac:dyDescent="0.25">
      <c r="A453"/>
      <c r="B453"/>
      <c r="C453"/>
      <c r="D453"/>
      <c r="E453"/>
      <c r="F453"/>
      <c r="G453"/>
      <c r="H453"/>
      <c r="I453"/>
    </row>
    <row r="454" spans="1:9" x14ac:dyDescent="0.25">
      <c r="A454"/>
      <c r="B454"/>
      <c r="C454"/>
      <c r="D454"/>
      <c r="E454"/>
      <c r="F454"/>
      <c r="G454"/>
      <c r="H454"/>
      <c r="I454"/>
    </row>
    <row r="455" spans="1:9" x14ac:dyDescent="0.25">
      <c r="A455"/>
      <c r="B455"/>
      <c r="C455"/>
      <c r="D455"/>
      <c r="E455"/>
      <c r="F455"/>
      <c r="G455"/>
      <c r="H455"/>
      <c r="I455"/>
    </row>
    <row r="456" spans="1:9" x14ac:dyDescent="0.25">
      <c r="A456"/>
      <c r="B456"/>
      <c r="C456"/>
      <c r="D456"/>
      <c r="E456"/>
      <c r="F456"/>
      <c r="G456"/>
      <c r="H456"/>
      <c r="I456"/>
    </row>
    <row r="457" spans="1:9" x14ac:dyDescent="0.25">
      <c r="A457"/>
      <c r="B457"/>
      <c r="C457"/>
      <c r="D457"/>
      <c r="E457"/>
      <c r="F457"/>
      <c r="G457"/>
      <c r="H457"/>
      <c r="I457"/>
    </row>
    <row r="458" spans="1:9" x14ac:dyDescent="0.25">
      <c r="A458"/>
      <c r="B458"/>
      <c r="C458"/>
      <c r="D458"/>
      <c r="E458"/>
      <c r="F458"/>
      <c r="G458"/>
      <c r="H458"/>
      <c r="I458"/>
    </row>
    <row r="459" spans="1:9" x14ac:dyDescent="0.25">
      <c r="A459"/>
      <c r="B459"/>
      <c r="C459"/>
      <c r="D459"/>
      <c r="E459"/>
      <c r="F459"/>
      <c r="G459"/>
      <c r="H459"/>
      <c r="I459"/>
    </row>
    <row r="460" spans="1:9" x14ac:dyDescent="0.25">
      <c r="A460"/>
      <c r="B460"/>
      <c r="C460"/>
      <c r="D460"/>
      <c r="E460"/>
      <c r="F460"/>
      <c r="G460"/>
      <c r="H460"/>
      <c r="I460"/>
    </row>
    <row r="461" spans="1:9" x14ac:dyDescent="0.25">
      <c r="A461"/>
      <c r="B461"/>
      <c r="C461"/>
      <c r="D461"/>
      <c r="E461"/>
      <c r="F461"/>
      <c r="G461"/>
      <c r="H461"/>
      <c r="I461"/>
    </row>
    <row r="462" spans="1:9" x14ac:dyDescent="0.25">
      <c r="A462"/>
      <c r="B462"/>
      <c r="C462"/>
      <c r="D462"/>
      <c r="E462"/>
      <c r="F462"/>
      <c r="G462"/>
      <c r="H462"/>
      <c r="I462"/>
    </row>
    <row r="463" spans="1:9" x14ac:dyDescent="0.25">
      <c r="A463"/>
      <c r="B463"/>
      <c r="C463"/>
      <c r="D463"/>
      <c r="E463"/>
      <c r="F463"/>
      <c r="G463"/>
      <c r="H463"/>
      <c r="I463"/>
    </row>
    <row r="464" spans="1:9" x14ac:dyDescent="0.25">
      <c r="A464"/>
      <c r="B464"/>
      <c r="C464"/>
      <c r="D464"/>
      <c r="E464"/>
      <c r="F464"/>
      <c r="G464"/>
      <c r="H464"/>
      <c r="I464"/>
    </row>
    <row r="465" spans="1:9" x14ac:dyDescent="0.25">
      <c r="A465"/>
      <c r="B465"/>
      <c r="C465"/>
      <c r="D465"/>
      <c r="E465"/>
      <c r="F465"/>
      <c r="G465"/>
      <c r="H465"/>
      <c r="I465"/>
    </row>
    <row r="466" spans="1:9" x14ac:dyDescent="0.25">
      <c r="A466"/>
      <c r="B466"/>
      <c r="C466"/>
      <c r="D466"/>
      <c r="E466"/>
      <c r="F466"/>
      <c r="G466"/>
      <c r="H466"/>
      <c r="I466"/>
    </row>
    <row r="467" spans="1:9" x14ac:dyDescent="0.25">
      <c r="A467"/>
      <c r="B467"/>
      <c r="C467"/>
      <c r="D467"/>
      <c r="E467"/>
      <c r="F467"/>
      <c r="G467"/>
      <c r="H467"/>
      <c r="I467"/>
    </row>
    <row r="468" spans="1:9" x14ac:dyDescent="0.25">
      <c r="A468"/>
      <c r="B468"/>
      <c r="C468"/>
      <c r="D468"/>
      <c r="E468"/>
      <c r="F468"/>
      <c r="G468"/>
      <c r="H468"/>
      <c r="I468"/>
    </row>
    <row r="469" spans="1:9" x14ac:dyDescent="0.25">
      <c r="A469"/>
      <c r="B469"/>
      <c r="C469"/>
      <c r="D469"/>
      <c r="E469"/>
      <c r="F469"/>
      <c r="G469"/>
      <c r="H469"/>
      <c r="I469"/>
    </row>
    <row r="470" spans="1:9" x14ac:dyDescent="0.25">
      <c r="A470"/>
      <c r="B470"/>
      <c r="C470"/>
      <c r="D470"/>
      <c r="E470"/>
      <c r="F470"/>
      <c r="G470"/>
      <c r="H470"/>
      <c r="I470"/>
    </row>
    <row r="471" spans="1:9" x14ac:dyDescent="0.25">
      <c r="A471"/>
      <c r="B471"/>
      <c r="C471"/>
      <c r="D471"/>
      <c r="E471"/>
      <c r="F471"/>
      <c r="G471"/>
      <c r="H471"/>
      <c r="I471"/>
    </row>
    <row r="472" spans="1:9" x14ac:dyDescent="0.25">
      <c r="A472"/>
      <c r="B472"/>
      <c r="C472"/>
      <c r="D472"/>
      <c r="E472"/>
      <c r="F472"/>
      <c r="G472"/>
      <c r="H472"/>
      <c r="I472"/>
    </row>
    <row r="473" spans="1:9" x14ac:dyDescent="0.25">
      <c r="A473"/>
      <c r="B473"/>
      <c r="C473"/>
      <c r="D473"/>
      <c r="E473"/>
      <c r="F473"/>
      <c r="G473"/>
      <c r="H473"/>
      <c r="I473"/>
    </row>
    <row r="474" spans="1:9" x14ac:dyDescent="0.25">
      <c r="A474"/>
      <c r="B474"/>
      <c r="C474"/>
      <c r="D474"/>
      <c r="E474"/>
      <c r="F474"/>
      <c r="G474"/>
      <c r="H474"/>
      <c r="I474"/>
    </row>
    <row r="475" spans="1:9" x14ac:dyDescent="0.25">
      <c r="A475"/>
      <c r="B475"/>
      <c r="C475"/>
      <c r="D475"/>
      <c r="E475"/>
      <c r="F475"/>
      <c r="G475"/>
      <c r="H475"/>
      <c r="I475"/>
    </row>
    <row r="476" spans="1:9" x14ac:dyDescent="0.25">
      <c r="A476"/>
      <c r="B476"/>
      <c r="C476"/>
      <c r="D476"/>
      <c r="E476"/>
      <c r="F476"/>
      <c r="G476"/>
      <c r="H476"/>
      <c r="I476"/>
    </row>
    <row r="477" spans="1:9" x14ac:dyDescent="0.25">
      <c r="A477"/>
      <c r="B477"/>
      <c r="C477"/>
      <c r="D477"/>
      <c r="E477"/>
      <c r="F477"/>
      <c r="G477"/>
      <c r="H477"/>
      <c r="I477"/>
    </row>
    <row r="478" spans="1:9" x14ac:dyDescent="0.25">
      <c r="A478"/>
      <c r="B478"/>
      <c r="C478"/>
      <c r="D478"/>
      <c r="E478"/>
      <c r="F478"/>
      <c r="G478"/>
      <c r="H478"/>
      <c r="I478"/>
    </row>
    <row r="479" spans="1:9" x14ac:dyDescent="0.25">
      <c r="A479"/>
      <c r="B479"/>
      <c r="C479"/>
      <c r="D479"/>
      <c r="E479"/>
      <c r="F479"/>
      <c r="G479"/>
      <c r="H479"/>
      <c r="I479"/>
    </row>
    <row r="480" spans="1:9" x14ac:dyDescent="0.25">
      <c r="A480"/>
      <c r="B480"/>
      <c r="C480"/>
      <c r="D480"/>
      <c r="E480"/>
      <c r="F480"/>
      <c r="G480"/>
      <c r="H480"/>
      <c r="I480"/>
    </row>
    <row r="481" spans="1:9" x14ac:dyDescent="0.25">
      <c r="A481"/>
      <c r="B481"/>
      <c r="C481"/>
      <c r="D481"/>
      <c r="E481"/>
      <c r="F481"/>
      <c r="G481"/>
      <c r="H481"/>
      <c r="I481"/>
    </row>
    <row r="482" spans="1:9" x14ac:dyDescent="0.25">
      <c r="A482"/>
      <c r="B482"/>
      <c r="C482"/>
      <c r="D482"/>
      <c r="E482"/>
      <c r="F482"/>
      <c r="G482"/>
      <c r="H482"/>
      <c r="I482"/>
    </row>
    <row r="483" spans="1:9" x14ac:dyDescent="0.25">
      <c r="A483"/>
      <c r="B483"/>
      <c r="C483"/>
      <c r="D483"/>
      <c r="E483"/>
      <c r="F483"/>
      <c r="G483"/>
      <c r="H483"/>
      <c r="I483"/>
    </row>
    <row r="484" spans="1:9" x14ac:dyDescent="0.25">
      <c r="A484"/>
      <c r="B484"/>
      <c r="C484"/>
      <c r="D484"/>
      <c r="E484"/>
      <c r="F484"/>
      <c r="G484"/>
      <c r="H484"/>
      <c r="I484"/>
    </row>
    <row r="485" spans="1:9" x14ac:dyDescent="0.25">
      <c r="A485"/>
      <c r="B485"/>
      <c r="C485"/>
      <c r="D485"/>
      <c r="E485"/>
      <c r="F485"/>
      <c r="G485"/>
      <c r="H485"/>
      <c r="I485"/>
    </row>
    <row r="486" spans="1:9" x14ac:dyDescent="0.25">
      <c r="A486"/>
      <c r="B486"/>
      <c r="C486"/>
      <c r="D486"/>
      <c r="E486"/>
      <c r="F486"/>
      <c r="G486"/>
      <c r="H486"/>
      <c r="I486"/>
    </row>
    <row r="487" spans="1:9" x14ac:dyDescent="0.25">
      <c r="A487"/>
      <c r="B487"/>
      <c r="C487"/>
      <c r="D487"/>
      <c r="E487"/>
      <c r="F487"/>
      <c r="G487"/>
      <c r="H487"/>
      <c r="I487"/>
    </row>
    <row r="488" spans="1:9" x14ac:dyDescent="0.25">
      <c r="A488"/>
      <c r="B488"/>
      <c r="C488"/>
      <c r="D488"/>
      <c r="E488"/>
      <c r="F488"/>
      <c r="G488"/>
      <c r="H488"/>
      <c r="I488"/>
    </row>
    <row r="489" spans="1:9" x14ac:dyDescent="0.25">
      <c r="A489"/>
      <c r="B489"/>
      <c r="C489"/>
      <c r="D489"/>
      <c r="E489"/>
      <c r="F489"/>
      <c r="G489"/>
      <c r="H489"/>
      <c r="I489"/>
    </row>
    <row r="490" spans="1:9" x14ac:dyDescent="0.25">
      <c r="A490"/>
      <c r="B490"/>
      <c r="C490"/>
      <c r="D490"/>
      <c r="E490"/>
      <c r="F490"/>
      <c r="G490"/>
      <c r="H490"/>
      <c r="I490"/>
    </row>
    <row r="491" spans="1:9" x14ac:dyDescent="0.25">
      <c r="A491"/>
      <c r="B491"/>
      <c r="C491"/>
      <c r="D491"/>
      <c r="E491"/>
      <c r="F491"/>
      <c r="G491"/>
      <c r="H491"/>
      <c r="I491"/>
    </row>
    <row r="492" spans="1:9" x14ac:dyDescent="0.25">
      <c r="A492"/>
      <c r="B492"/>
      <c r="C492"/>
      <c r="D492"/>
      <c r="E492"/>
      <c r="F492"/>
      <c r="G492"/>
      <c r="H492"/>
      <c r="I492"/>
    </row>
    <row r="493" spans="1:9" x14ac:dyDescent="0.25">
      <c r="A493"/>
      <c r="B493"/>
      <c r="C493"/>
      <c r="D493"/>
      <c r="E493"/>
      <c r="F493"/>
      <c r="G493"/>
      <c r="H493"/>
      <c r="I493"/>
    </row>
    <row r="494" spans="1:9" x14ac:dyDescent="0.25">
      <c r="A494"/>
      <c r="B494"/>
      <c r="C494"/>
      <c r="D494"/>
      <c r="E494"/>
      <c r="F494"/>
      <c r="G494"/>
      <c r="H494"/>
      <c r="I494"/>
    </row>
    <row r="495" spans="1:9" x14ac:dyDescent="0.25">
      <c r="A495"/>
      <c r="B495"/>
      <c r="C495"/>
      <c r="D495"/>
      <c r="E495"/>
      <c r="F495"/>
      <c r="G495"/>
      <c r="H495"/>
      <c r="I495"/>
    </row>
    <row r="496" spans="1:9" x14ac:dyDescent="0.25">
      <c r="A496"/>
      <c r="B496"/>
      <c r="C496"/>
      <c r="D496"/>
      <c r="E496"/>
      <c r="F496"/>
      <c r="G496"/>
      <c r="H496"/>
      <c r="I496"/>
    </row>
    <row r="497" spans="1:9" x14ac:dyDescent="0.25">
      <c r="A497"/>
      <c r="B497"/>
      <c r="C497"/>
      <c r="D497"/>
      <c r="E497"/>
      <c r="F497"/>
      <c r="G497"/>
      <c r="H497"/>
      <c r="I497"/>
    </row>
    <row r="498" spans="1:9" x14ac:dyDescent="0.25">
      <c r="A498"/>
      <c r="B498"/>
      <c r="C498"/>
      <c r="D498"/>
      <c r="E498"/>
      <c r="F498"/>
      <c r="G498"/>
      <c r="H498"/>
      <c r="I498"/>
    </row>
    <row r="499" spans="1:9" x14ac:dyDescent="0.25">
      <c r="A499"/>
      <c r="B499"/>
      <c r="C499"/>
      <c r="D499"/>
      <c r="E499"/>
      <c r="F499"/>
      <c r="G499"/>
      <c r="H499"/>
      <c r="I499"/>
    </row>
    <row r="500" spans="1:9" x14ac:dyDescent="0.25">
      <c r="A500"/>
      <c r="B500"/>
      <c r="C500"/>
      <c r="D500"/>
      <c r="E500"/>
      <c r="F500"/>
      <c r="G500"/>
      <c r="H500"/>
      <c r="I500"/>
    </row>
    <row r="501" spans="1:9" x14ac:dyDescent="0.25">
      <c r="A501"/>
      <c r="B501"/>
      <c r="C501"/>
      <c r="D501"/>
      <c r="E501"/>
      <c r="F501"/>
      <c r="G501"/>
      <c r="H501"/>
      <c r="I501"/>
    </row>
    <row r="502" spans="1:9" x14ac:dyDescent="0.25">
      <c r="A502"/>
      <c r="B502"/>
      <c r="C502"/>
      <c r="D502"/>
      <c r="E502"/>
      <c r="F502"/>
      <c r="G502"/>
      <c r="H502"/>
      <c r="I502"/>
    </row>
    <row r="503" spans="1:9" x14ac:dyDescent="0.25">
      <c r="A503"/>
      <c r="B503"/>
      <c r="C503"/>
      <c r="D503"/>
      <c r="E503"/>
      <c r="F503"/>
      <c r="G503"/>
      <c r="H503"/>
      <c r="I503"/>
    </row>
    <row r="504" spans="1:9" x14ac:dyDescent="0.25">
      <c r="A504"/>
      <c r="B504"/>
      <c r="C504"/>
      <c r="D504"/>
      <c r="E504"/>
      <c r="F504"/>
      <c r="G504"/>
      <c r="H504"/>
      <c r="I504"/>
    </row>
    <row r="505" spans="1:9" x14ac:dyDescent="0.25">
      <c r="A505"/>
      <c r="B505"/>
      <c r="C505"/>
      <c r="D505"/>
      <c r="E505"/>
      <c r="F505"/>
      <c r="G505"/>
      <c r="H505"/>
      <c r="I505"/>
    </row>
    <row r="506" spans="1:9" x14ac:dyDescent="0.25">
      <c r="A506"/>
      <c r="B506"/>
      <c r="C506"/>
      <c r="D506"/>
      <c r="E506"/>
      <c r="F506"/>
      <c r="G506"/>
      <c r="H506"/>
      <c r="I506"/>
    </row>
    <row r="507" spans="1:9" x14ac:dyDescent="0.25">
      <c r="A507"/>
      <c r="B507"/>
      <c r="C507"/>
      <c r="D507"/>
      <c r="E507"/>
      <c r="F507"/>
      <c r="G507"/>
      <c r="H507"/>
      <c r="I507"/>
    </row>
    <row r="508" spans="1:9" x14ac:dyDescent="0.25">
      <c r="A508"/>
      <c r="B508"/>
      <c r="C508"/>
      <c r="D508"/>
      <c r="E508"/>
      <c r="F508"/>
      <c r="G508"/>
      <c r="H508"/>
      <c r="I508"/>
    </row>
    <row r="509" spans="1:9" x14ac:dyDescent="0.25">
      <c r="A509"/>
      <c r="B509"/>
      <c r="C509"/>
      <c r="D509"/>
      <c r="E509"/>
      <c r="F509"/>
      <c r="G509"/>
      <c r="H509"/>
      <c r="I509"/>
    </row>
    <row r="510" spans="1:9" x14ac:dyDescent="0.25">
      <c r="A510"/>
      <c r="B510"/>
      <c r="C510"/>
      <c r="D510"/>
      <c r="E510"/>
      <c r="F510"/>
      <c r="G510"/>
      <c r="H510"/>
      <c r="I510"/>
    </row>
    <row r="511" spans="1:9" x14ac:dyDescent="0.25">
      <c r="A511"/>
      <c r="B511"/>
      <c r="C511"/>
      <c r="D511"/>
      <c r="E511"/>
      <c r="F511"/>
      <c r="G511"/>
      <c r="H511"/>
      <c r="I511"/>
    </row>
    <row r="512" spans="1:9" x14ac:dyDescent="0.25">
      <c r="A512"/>
      <c r="B512"/>
      <c r="C512"/>
      <c r="D512"/>
      <c r="E512"/>
      <c r="F512"/>
      <c r="G512"/>
      <c r="H512"/>
      <c r="I512"/>
    </row>
    <row r="513" spans="1:9" x14ac:dyDescent="0.25">
      <c r="A513"/>
      <c r="B513"/>
      <c r="C513"/>
      <c r="D513"/>
      <c r="E513"/>
      <c r="F513"/>
      <c r="G513"/>
      <c r="H513"/>
      <c r="I513"/>
    </row>
    <row r="514" spans="1:9" x14ac:dyDescent="0.25">
      <c r="A514"/>
      <c r="B514"/>
      <c r="C514"/>
      <c r="D514"/>
      <c r="E514"/>
      <c r="F514"/>
      <c r="G514"/>
      <c r="H514"/>
      <c r="I514"/>
    </row>
    <row r="515" spans="1:9" x14ac:dyDescent="0.25">
      <c r="A515"/>
      <c r="B515"/>
      <c r="C515"/>
      <c r="D515"/>
      <c r="E515"/>
      <c r="F515"/>
      <c r="G515"/>
      <c r="H515"/>
      <c r="I515"/>
    </row>
    <row r="516" spans="1:9" x14ac:dyDescent="0.25">
      <c r="A516"/>
      <c r="B516"/>
      <c r="C516"/>
      <c r="D516"/>
      <c r="E516"/>
      <c r="F516"/>
      <c r="G516"/>
      <c r="H516"/>
      <c r="I516"/>
    </row>
    <row r="517" spans="1:9" x14ac:dyDescent="0.25">
      <c r="A517"/>
      <c r="B517"/>
      <c r="C517"/>
      <c r="D517"/>
      <c r="E517"/>
      <c r="F517"/>
      <c r="G517"/>
      <c r="H517"/>
      <c r="I517"/>
    </row>
    <row r="518" spans="1:9" x14ac:dyDescent="0.25">
      <c r="A518"/>
      <c r="B518"/>
      <c r="C518"/>
      <c r="D518"/>
      <c r="E518"/>
      <c r="F518"/>
      <c r="G518"/>
      <c r="H518"/>
      <c r="I518"/>
    </row>
    <row r="519" spans="1:9" x14ac:dyDescent="0.25">
      <c r="A519"/>
      <c r="B519"/>
      <c r="C519"/>
      <c r="D519"/>
      <c r="E519"/>
      <c r="F519"/>
      <c r="G519"/>
      <c r="H519"/>
      <c r="I519"/>
    </row>
    <row r="520" spans="1:9" x14ac:dyDescent="0.25">
      <c r="A520"/>
      <c r="B520"/>
      <c r="C520"/>
      <c r="D520"/>
      <c r="E520"/>
      <c r="F520"/>
      <c r="G520"/>
      <c r="H520"/>
      <c r="I520"/>
    </row>
    <row r="521" spans="1:9" x14ac:dyDescent="0.25">
      <c r="A521"/>
      <c r="B521"/>
      <c r="C521"/>
      <c r="D521"/>
      <c r="E521"/>
      <c r="F521"/>
      <c r="G521"/>
      <c r="H521"/>
      <c r="I521"/>
    </row>
    <row r="522" spans="1:9" x14ac:dyDescent="0.25">
      <c r="A522"/>
      <c r="B522"/>
      <c r="C522"/>
      <c r="D522"/>
      <c r="E522"/>
      <c r="F522"/>
      <c r="G522"/>
      <c r="H522"/>
      <c r="I522"/>
    </row>
    <row r="523" spans="1:9" x14ac:dyDescent="0.25">
      <c r="A523"/>
      <c r="B523"/>
      <c r="C523"/>
      <c r="D523"/>
      <c r="E523"/>
      <c r="F523"/>
      <c r="G523"/>
      <c r="H523"/>
      <c r="I523"/>
    </row>
    <row r="524" spans="1:9" x14ac:dyDescent="0.25">
      <c r="A524"/>
      <c r="B524"/>
      <c r="C524"/>
      <c r="D524"/>
      <c r="E524"/>
      <c r="F524"/>
      <c r="G524"/>
      <c r="H524"/>
      <c r="I524"/>
    </row>
    <row r="525" spans="1:9" x14ac:dyDescent="0.25">
      <c r="A525"/>
      <c r="B525"/>
      <c r="C525"/>
      <c r="D525"/>
      <c r="E525"/>
      <c r="F525"/>
      <c r="G525"/>
      <c r="H525"/>
      <c r="I525"/>
    </row>
    <row r="526" spans="1:9" x14ac:dyDescent="0.25">
      <c r="A526"/>
      <c r="B526"/>
      <c r="C526"/>
      <c r="D526"/>
      <c r="E526"/>
      <c r="F526"/>
      <c r="G526"/>
      <c r="H526"/>
      <c r="I526"/>
    </row>
    <row r="527" spans="1:9" x14ac:dyDescent="0.25">
      <c r="A527"/>
      <c r="B527"/>
      <c r="C527"/>
      <c r="D527"/>
      <c r="E527"/>
      <c r="F527"/>
      <c r="G527"/>
      <c r="H527"/>
      <c r="I527"/>
    </row>
    <row r="528" spans="1:9" x14ac:dyDescent="0.25">
      <c r="A528"/>
      <c r="B528"/>
      <c r="C528"/>
      <c r="D528"/>
      <c r="E528"/>
      <c r="F528"/>
      <c r="G528"/>
      <c r="H528"/>
      <c r="I528"/>
    </row>
    <row r="529" spans="1:9" x14ac:dyDescent="0.25">
      <c r="A529"/>
      <c r="B529"/>
      <c r="C529"/>
      <c r="D529"/>
      <c r="E529"/>
      <c r="F529"/>
      <c r="G529"/>
      <c r="H529"/>
      <c r="I529"/>
    </row>
    <row r="530" spans="1:9" x14ac:dyDescent="0.25">
      <c r="A530"/>
      <c r="B530"/>
      <c r="C530"/>
      <c r="D530"/>
      <c r="E530"/>
      <c r="F530"/>
      <c r="G530"/>
      <c r="H530"/>
      <c r="I530"/>
    </row>
    <row r="531" spans="1:9" x14ac:dyDescent="0.25">
      <c r="A531"/>
      <c r="B531"/>
      <c r="C531"/>
      <c r="D531"/>
      <c r="E531"/>
      <c r="F531"/>
      <c r="G531"/>
      <c r="H531"/>
      <c r="I531"/>
    </row>
    <row r="532" spans="1:9" x14ac:dyDescent="0.25">
      <c r="A532"/>
      <c r="B532"/>
      <c r="C532"/>
      <c r="D532"/>
      <c r="E532"/>
      <c r="F532"/>
      <c r="G532"/>
      <c r="H532"/>
      <c r="I532"/>
    </row>
    <row r="533" spans="1:9" x14ac:dyDescent="0.25">
      <c r="A533"/>
      <c r="B533"/>
      <c r="C533"/>
      <c r="D533"/>
      <c r="E533"/>
      <c r="F533"/>
      <c r="G533"/>
      <c r="H533"/>
      <c r="I533"/>
    </row>
    <row r="534" spans="1:9" x14ac:dyDescent="0.25">
      <c r="A534"/>
      <c r="B534"/>
      <c r="C534"/>
      <c r="D534"/>
      <c r="E534"/>
      <c r="F534"/>
      <c r="G534"/>
      <c r="H534"/>
      <c r="I534"/>
    </row>
    <row r="535" spans="1:9" x14ac:dyDescent="0.25">
      <c r="A535"/>
      <c r="B535"/>
      <c r="C535"/>
      <c r="D535"/>
      <c r="E535"/>
      <c r="F535"/>
      <c r="G535"/>
      <c r="H535"/>
      <c r="I535"/>
    </row>
    <row r="536" spans="1:9" x14ac:dyDescent="0.25">
      <c r="A536"/>
      <c r="B536"/>
      <c r="C536"/>
      <c r="D536"/>
      <c r="E536"/>
      <c r="F536"/>
      <c r="G536"/>
      <c r="H536"/>
      <c r="I536"/>
    </row>
    <row r="537" spans="1:9" x14ac:dyDescent="0.25">
      <c r="A537"/>
      <c r="B537"/>
      <c r="C537"/>
      <c r="D537"/>
      <c r="E537"/>
      <c r="F537"/>
      <c r="G537"/>
      <c r="H537"/>
      <c r="I537"/>
    </row>
    <row r="538" spans="1:9" x14ac:dyDescent="0.25">
      <c r="A538"/>
      <c r="B538"/>
      <c r="C538"/>
      <c r="D538"/>
      <c r="E538"/>
      <c r="F538"/>
      <c r="G538"/>
      <c r="H538"/>
      <c r="I538"/>
    </row>
    <row r="539" spans="1:9" x14ac:dyDescent="0.25">
      <c r="A539"/>
      <c r="B539"/>
      <c r="C539"/>
      <c r="D539"/>
      <c r="E539"/>
      <c r="F539"/>
      <c r="G539"/>
      <c r="H539"/>
      <c r="I539"/>
    </row>
    <row r="540" spans="1:9" x14ac:dyDescent="0.25">
      <c r="A540"/>
      <c r="B540"/>
      <c r="C540"/>
      <c r="D540"/>
      <c r="E540"/>
      <c r="F540"/>
      <c r="G540"/>
      <c r="H540"/>
      <c r="I540"/>
    </row>
    <row r="541" spans="1:9" x14ac:dyDescent="0.25">
      <c r="A541"/>
      <c r="B541"/>
      <c r="C541"/>
      <c r="D541"/>
      <c r="E541"/>
      <c r="F541"/>
      <c r="G541"/>
      <c r="H541"/>
      <c r="I541"/>
    </row>
    <row r="542" spans="1:9" x14ac:dyDescent="0.25">
      <c r="A542"/>
      <c r="B542"/>
      <c r="C542"/>
      <c r="D542"/>
      <c r="E542"/>
      <c r="F542"/>
      <c r="G542"/>
      <c r="H542"/>
      <c r="I542"/>
    </row>
    <row r="543" spans="1:9" x14ac:dyDescent="0.25">
      <c r="A543"/>
      <c r="B543"/>
      <c r="C543"/>
      <c r="D543"/>
      <c r="E543"/>
      <c r="F543"/>
      <c r="G543"/>
      <c r="H543"/>
      <c r="I543"/>
    </row>
    <row r="544" spans="1:9" x14ac:dyDescent="0.25">
      <c r="A544"/>
      <c r="B544"/>
      <c r="C544"/>
      <c r="D544"/>
      <c r="E544"/>
      <c r="F544"/>
      <c r="G544"/>
      <c r="H544"/>
      <c r="I544"/>
    </row>
    <row r="545" spans="1:9" x14ac:dyDescent="0.25">
      <c r="A545"/>
      <c r="B545"/>
      <c r="C545"/>
      <c r="D545"/>
      <c r="E545"/>
      <c r="F545"/>
      <c r="G545"/>
      <c r="H545"/>
      <c r="I545"/>
    </row>
    <row r="546" spans="1:9" x14ac:dyDescent="0.25">
      <c r="A546"/>
      <c r="B546"/>
      <c r="C546"/>
      <c r="D546"/>
      <c r="E546"/>
      <c r="F546"/>
      <c r="G546"/>
      <c r="H546"/>
      <c r="I546"/>
    </row>
    <row r="547" spans="1:9" x14ac:dyDescent="0.25">
      <c r="A547"/>
      <c r="B547"/>
      <c r="C547"/>
      <c r="D547"/>
      <c r="E547"/>
      <c r="F547"/>
      <c r="G547"/>
      <c r="H547"/>
      <c r="I547"/>
    </row>
    <row r="548" spans="1:9" x14ac:dyDescent="0.25">
      <c r="A548"/>
      <c r="B548"/>
      <c r="C548"/>
      <c r="D548"/>
      <c r="E548"/>
      <c r="F548"/>
      <c r="G548"/>
      <c r="H548"/>
      <c r="I548"/>
    </row>
    <row r="549" spans="1:9" x14ac:dyDescent="0.25">
      <c r="A549"/>
      <c r="B549"/>
      <c r="C549"/>
      <c r="D549"/>
      <c r="E549"/>
      <c r="F549"/>
      <c r="G549"/>
      <c r="H549"/>
      <c r="I549"/>
    </row>
    <row r="550" spans="1:9" x14ac:dyDescent="0.25">
      <c r="A550"/>
      <c r="B550"/>
      <c r="C550"/>
      <c r="D550"/>
      <c r="E550"/>
      <c r="F550"/>
      <c r="G550"/>
      <c r="H550"/>
      <c r="I550"/>
    </row>
    <row r="551" spans="1:9" x14ac:dyDescent="0.25">
      <c r="A551"/>
      <c r="B551"/>
      <c r="C551"/>
      <c r="D551"/>
      <c r="E551"/>
      <c r="F551"/>
      <c r="G551"/>
      <c r="H551"/>
      <c r="I551"/>
    </row>
    <row r="552" spans="1:9" x14ac:dyDescent="0.25">
      <c r="A552"/>
      <c r="B552"/>
      <c r="C552"/>
      <c r="D552"/>
      <c r="E552"/>
      <c r="F552"/>
      <c r="G552"/>
      <c r="H552"/>
      <c r="I552"/>
    </row>
    <row r="553" spans="1:9" x14ac:dyDescent="0.25">
      <c r="A553"/>
      <c r="B553"/>
      <c r="C553"/>
      <c r="D553"/>
      <c r="E553"/>
      <c r="F553"/>
      <c r="G553"/>
      <c r="H553"/>
      <c r="I553"/>
    </row>
    <row r="554" spans="1:9" x14ac:dyDescent="0.25">
      <c r="A554"/>
      <c r="B554"/>
      <c r="C554"/>
      <c r="D554"/>
      <c r="E554"/>
      <c r="F554"/>
      <c r="G554"/>
      <c r="H554"/>
      <c r="I554"/>
    </row>
    <row r="555" spans="1:9" x14ac:dyDescent="0.25">
      <c r="A555"/>
      <c r="B555"/>
      <c r="C555"/>
      <c r="D555"/>
      <c r="E555"/>
      <c r="F555"/>
      <c r="G555"/>
      <c r="H555"/>
      <c r="I555"/>
    </row>
    <row r="556" spans="1:9" x14ac:dyDescent="0.25">
      <c r="A556"/>
      <c r="B556"/>
      <c r="C556"/>
      <c r="D556"/>
      <c r="E556"/>
      <c r="F556"/>
      <c r="G556"/>
      <c r="H556"/>
      <c r="I556"/>
    </row>
    <row r="557" spans="1:9" x14ac:dyDescent="0.25">
      <c r="A557"/>
      <c r="B557"/>
      <c r="C557"/>
      <c r="D557"/>
      <c r="E557"/>
      <c r="F557"/>
      <c r="G557"/>
      <c r="H557"/>
      <c r="I557"/>
    </row>
    <row r="558" spans="1:9" x14ac:dyDescent="0.25">
      <c r="A558"/>
      <c r="B558"/>
      <c r="C558"/>
      <c r="D558"/>
      <c r="E558"/>
      <c r="F558"/>
      <c r="G558"/>
      <c r="H558"/>
      <c r="I558"/>
    </row>
    <row r="559" spans="1:9" x14ac:dyDescent="0.25">
      <c r="A559"/>
      <c r="B559"/>
      <c r="C559"/>
      <c r="D559"/>
      <c r="E559"/>
      <c r="F559"/>
      <c r="G559"/>
      <c r="H559"/>
      <c r="I559"/>
    </row>
    <row r="560" spans="1:9" x14ac:dyDescent="0.25">
      <c r="A560"/>
      <c r="B560"/>
      <c r="C560"/>
      <c r="D560"/>
      <c r="E560"/>
      <c r="F560"/>
      <c r="G560"/>
      <c r="H560"/>
      <c r="I560"/>
    </row>
    <row r="561" spans="1:9" x14ac:dyDescent="0.25">
      <c r="A561"/>
      <c r="B561"/>
      <c r="C561"/>
      <c r="D561"/>
      <c r="E561"/>
      <c r="F561"/>
      <c r="G561"/>
      <c r="H561"/>
      <c r="I561"/>
    </row>
    <row r="562" spans="1:9" x14ac:dyDescent="0.25">
      <c r="A562"/>
      <c r="B562"/>
      <c r="C562"/>
      <c r="D562"/>
      <c r="E562"/>
      <c r="F562"/>
      <c r="G562"/>
      <c r="H562"/>
      <c r="I562"/>
    </row>
    <row r="563" spans="1:9" x14ac:dyDescent="0.25">
      <c r="A563"/>
      <c r="B563"/>
      <c r="C563"/>
      <c r="D563"/>
      <c r="E563"/>
      <c r="F563"/>
      <c r="G563"/>
      <c r="H563"/>
      <c r="I563"/>
    </row>
    <row r="564" spans="1:9" x14ac:dyDescent="0.25">
      <c r="A564"/>
      <c r="B564"/>
      <c r="C564"/>
      <c r="D564"/>
      <c r="E564"/>
      <c r="F564"/>
      <c r="G564"/>
      <c r="H564"/>
      <c r="I564"/>
    </row>
    <row r="565" spans="1:9" x14ac:dyDescent="0.25">
      <c r="A565"/>
      <c r="B565"/>
      <c r="C565"/>
      <c r="D565"/>
      <c r="E565"/>
      <c r="F565"/>
      <c r="G565"/>
      <c r="H565"/>
      <c r="I565"/>
    </row>
    <row r="566" spans="1:9" x14ac:dyDescent="0.25">
      <c r="A566"/>
      <c r="B566"/>
      <c r="C566"/>
      <c r="D566"/>
      <c r="E566"/>
      <c r="F566"/>
      <c r="G566"/>
      <c r="H566"/>
      <c r="I566"/>
    </row>
    <row r="567" spans="1:9" x14ac:dyDescent="0.25">
      <c r="A567"/>
      <c r="B567"/>
      <c r="C567"/>
      <c r="D567"/>
      <c r="E567"/>
      <c r="F567"/>
      <c r="G567"/>
      <c r="H567"/>
      <c r="I567"/>
    </row>
    <row r="568" spans="1:9" x14ac:dyDescent="0.25">
      <c r="A568"/>
      <c r="B568"/>
      <c r="C568"/>
      <c r="D568"/>
      <c r="E568"/>
      <c r="F568"/>
      <c r="G568"/>
      <c r="H568"/>
      <c r="I568"/>
    </row>
    <row r="569" spans="1:9" x14ac:dyDescent="0.25">
      <c r="A569"/>
      <c r="B569"/>
      <c r="C569"/>
      <c r="D569"/>
      <c r="E569"/>
      <c r="F569"/>
      <c r="G569"/>
      <c r="H569"/>
      <c r="I569"/>
    </row>
    <row r="570" spans="1:9" x14ac:dyDescent="0.25">
      <c r="A570"/>
      <c r="B570"/>
      <c r="C570"/>
      <c r="D570"/>
      <c r="E570"/>
      <c r="F570"/>
      <c r="G570"/>
      <c r="H570"/>
      <c r="I570"/>
    </row>
    <row r="571" spans="1:9" x14ac:dyDescent="0.25">
      <c r="A571"/>
      <c r="B571"/>
      <c r="C571"/>
      <c r="D571"/>
      <c r="E571"/>
      <c r="F571"/>
      <c r="G571"/>
      <c r="H571"/>
      <c r="I571"/>
    </row>
    <row r="572" spans="1:9" x14ac:dyDescent="0.25">
      <c r="A572"/>
      <c r="B572"/>
      <c r="C572"/>
      <c r="D572"/>
      <c r="E572"/>
      <c r="F572"/>
      <c r="G572"/>
      <c r="H572"/>
      <c r="I572"/>
    </row>
    <row r="573" spans="1:9" x14ac:dyDescent="0.25">
      <c r="A573"/>
      <c r="B573"/>
      <c r="C573"/>
      <c r="D573"/>
      <c r="E573"/>
      <c r="F573"/>
      <c r="G573"/>
      <c r="H573"/>
      <c r="I573"/>
    </row>
    <row r="574" spans="1:9" x14ac:dyDescent="0.25">
      <c r="A574"/>
      <c r="B574"/>
      <c r="C574"/>
      <c r="D574"/>
      <c r="E574"/>
      <c r="F574"/>
      <c r="G574"/>
      <c r="H574"/>
      <c r="I574"/>
    </row>
    <row r="575" spans="1:9" x14ac:dyDescent="0.25">
      <c r="A575"/>
      <c r="B575"/>
      <c r="C575"/>
      <c r="D575"/>
      <c r="E575"/>
      <c r="F575"/>
      <c r="G575"/>
      <c r="H575"/>
      <c r="I575"/>
    </row>
    <row r="576" spans="1:9" x14ac:dyDescent="0.25">
      <c r="A576"/>
      <c r="B576"/>
      <c r="C576"/>
      <c r="D576"/>
      <c r="E576"/>
      <c r="F576"/>
      <c r="G576"/>
      <c r="H576"/>
      <c r="I576"/>
    </row>
    <row r="577" spans="1:9" x14ac:dyDescent="0.25">
      <c r="A577"/>
      <c r="B577"/>
      <c r="C577"/>
      <c r="D577"/>
      <c r="E577"/>
      <c r="F577"/>
      <c r="G577"/>
      <c r="H577"/>
      <c r="I577"/>
    </row>
    <row r="578" spans="1:9" x14ac:dyDescent="0.25">
      <c r="A578"/>
      <c r="B578"/>
      <c r="C578"/>
      <c r="D578"/>
      <c r="E578"/>
      <c r="F578"/>
      <c r="G578"/>
      <c r="H578"/>
      <c r="I578"/>
    </row>
    <row r="579" spans="1:9" x14ac:dyDescent="0.25">
      <c r="A579"/>
      <c r="B579"/>
      <c r="C579"/>
      <c r="D579"/>
      <c r="E579"/>
      <c r="F579"/>
      <c r="G579"/>
      <c r="H579"/>
      <c r="I579"/>
    </row>
    <row r="580" spans="1:9" x14ac:dyDescent="0.25">
      <c r="A580"/>
      <c r="B580"/>
      <c r="C580"/>
      <c r="D580"/>
      <c r="E580"/>
      <c r="F580"/>
      <c r="G580"/>
      <c r="H580"/>
      <c r="I580"/>
    </row>
    <row r="581" spans="1:9" x14ac:dyDescent="0.25">
      <c r="A581"/>
      <c r="B581"/>
      <c r="C581"/>
      <c r="D581"/>
      <c r="E581"/>
      <c r="F581"/>
      <c r="G581"/>
      <c r="H581"/>
      <c r="I581"/>
    </row>
    <row r="582" spans="1:9" x14ac:dyDescent="0.25">
      <c r="A582"/>
      <c r="B582"/>
      <c r="C582"/>
      <c r="D582"/>
      <c r="E582"/>
      <c r="F582"/>
      <c r="G582"/>
      <c r="H582"/>
      <c r="I582"/>
    </row>
    <row r="583" spans="1:9" x14ac:dyDescent="0.25">
      <c r="A583"/>
      <c r="B583"/>
      <c r="C583"/>
      <c r="D583"/>
      <c r="E583"/>
      <c r="F583"/>
      <c r="G583"/>
      <c r="H583"/>
      <c r="I583"/>
    </row>
    <row r="584" spans="1:9" x14ac:dyDescent="0.25">
      <c r="A584"/>
      <c r="B584"/>
      <c r="C584"/>
      <c r="D584"/>
      <c r="E584"/>
      <c r="F584"/>
      <c r="G584"/>
      <c r="H584"/>
      <c r="I584"/>
    </row>
    <row r="585" spans="1:9" x14ac:dyDescent="0.25">
      <c r="A585"/>
      <c r="B585"/>
      <c r="C585"/>
      <c r="D585"/>
      <c r="E585"/>
      <c r="F585"/>
      <c r="G585"/>
      <c r="H585"/>
      <c r="I585"/>
    </row>
    <row r="586" spans="1:9" x14ac:dyDescent="0.25">
      <c r="A586"/>
      <c r="B586"/>
      <c r="C586"/>
      <c r="D586"/>
      <c r="E586"/>
      <c r="F586"/>
      <c r="G586"/>
      <c r="H586"/>
      <c r="I586"/>
    </row>
    <row r="587" spans="1:9" x14ac:dyDescent="0.25">
      <c r="A587"/>
      <c r="B587"/>
      <c r="C587"/>
      <c r="D587"/>
      <c r="E587"/>
      <c r="F587"/>
      <c r="G587"/>
      <c r="H587"/>
      <c r="I587"/>
    </row>
    <row r="588" spans="1:9" x14ac:dyDescent="0.25">
      <c r="A588"/>
      <c r="B588"/>
      <c r="C588"/>
      <c r="D588"/>
      <c r="E588"/>
      <c r="F588"/>
      <c r="G588"/>
      <c r="H588"/>
      <c r="I588"/>
    </row>
    <row r="589" spans="1:9" x14ac:dyDescent="0.25">
      <c r="A589"/>
      <c r="B589"/>
      <c r="C589"/>
      <c r="D589"/>
      <c r="E589"/>
      <c r="F589"/>
      <c r="G589"/>
      <c r="H589"/>
      <c r="I589"/>
    </row>
    <row r="590" spans="1:9" x14ac:dyDescent="0.25">
      <c r="A590"/>
      <c r="B590"/>
      <c r="C590"/>
      <c r="D590"/>
      <c r="E590"/>
      <c r="F590"/>
      <c r="G590"/>
      <c r="H590"/>
      <c r="I590"/>
    </row>
    <row r="591" spans="1:9" x14ac:dyDescent="0.25">
      <c r="A591"/>
      <c r="B591"/>
      <c r="C591"/>
      <c r="D591"/>
      <c r="E591"/>
      <c r="F591"/>
      <c r="G591"/>
      <c r="H591"/>
      <c r="I591"/>
    </row>
    <row r="592" spans="1:9" x14ac:dyDescent="0.25">
      <c r="A592"/>
      <c r="B592"/>
      <c r="C592"/>
      <c r="D592"/>
      <c r="E592"/>
      <c r="F592"/>
      <c r="G592"/>
      <c r="H592"/>
      <c r="I592"/>
    </row>
    <row r="593" spans="1:9" x14ac:dyDescent="0.25">
      <c r="A593"/>
      <c r="B593"/>
      <c r="C593"/>
      <c r="D593"/>
      <c r="E593"/>
      <c r="F593"/>
      <c r="G593"/>
      <c r="H593"/>
      <c r="I593"/>
    </row>
    <row r="594" spans="1:9" x14ac:dyDescent="0.25">
      <c r="A594"/>
      <c r="B594"/>
      <c r="C594"/>
      <c r="D594"/>
      <c r="E594"/>
      <c r="F594"/>
      <c r="G594"/>
      <c r="H594"/>
      <c r="I594"/>
    </row>
    <row r="595" spans="1:9" x14ac:dyDescent="0.25">
      <c r="A595"/>
      <c r="B595"/>
      <c r="C595"/>
      <c r="D595"/>
      <c r="E595"/>
      <c r="F595"/>
      <c r="G595"/>
      <c r="H595"/>
      <c r="I595"/>
    </row>
    <row r="596" spans="1:9" x14ac:dyDescent="0.25">
      <c r="A596"/>
      <c r="B596"/>
      <c r="C596"/>
      <c r="D596"/>
      <c r="E596"/>
      <c r="F596"/>
      <c r="G596"/>
      <c r="H596"/>
      <c r="I596"/>
    </row>
    <row r="597" spans="1:9" x14ac:dyDescent="0.25">
      <c r="A597"/>
      <c r="B597"/>
      <c r="C597"/>
      <c r="D597"/>
      <c r="E597"/>
      <c r="F597"/>
      <c r="G597"/>
      <c r="H597"/>
      <c r="I597"/>
    </row>
    <row r="598" spans="1:9" x14ac:dyDescent="0.25">
      <c r="A598"/>
      <c r="B598"/>
      <c r="C598"/>
      <c r="D598"/>
      <c r="E598"/>
      <c r="F598"/>
      <c r="G598"/>
      <c r="H598"/>
      <c r="I598"/>
    </row>
    <row r="599" spans="1:9" x14ac:dyDescent="0.25">
      <c r="A599"/>
      <c r="B599"/>
      <c r="C599"/>
      <c r="D599"/>
      <c r="E599"/>
      <c r="F599"/>
      <c r="G599"/>
      <c r="H599"/>
      <c r="I599"/>
    </row>
    <row r="600" spans="1:9" x14ac:dyDescent="0.25">
      <c r="A600"/>
      <c r="B600"/>
      <c r="C600"/>
      <c r="D600"/>
      <c r="E600"/>
      <c r="F600"/>
      <c r="G600"/>
      <c r="H600"/>
      <c r="I600"/>
    </row>
    <row r="601" spans="1:9" x14ac:dyDescent="0.25">
      <c r="A601"/>
      <c r="B601"/>
      <c r="C601"/>
      <c r="D601"/>
      <c r="E601"/>
      <c r="F601"/>
      <c r="G601"/>
      <c r="H601"/>
      <c r="I601"/>
    </row>
    <row r="602" spans="1:9" x14ac:dyDescent="0.25">
      <c r="A602"/>
      <c r="B602"/>
      <c r="C602"/>
      <c r="D602"/>
      <c r="E602"/>
      <c r="F602"/>
      <c r="G602"/>
      <c r="H602"/>
      <c r="I602"/>
    </row>
    <row r="603" spans="1:9" x14ac:dyDescent="0.25">
      <c r="A603"/>
      <c r="B603"/>
      <c r="C603"/>
      <c r="D603"/>
      <c r="E603"/>
      <c r="F603"/>
      <c r="G603"/>
      <c r="H603"/>
      <c r="I603"/>
    </row>
    <row r="604" spans="1:9" x14ac:dyDescent="0.25">
      <c r="A604"/>
      <c r="B604"/>
      <c r="C604"/>
      <c r="D604"/>
      <c r="E604"/>
      <c r="F604"/>
      <c r="G604"/>
      <c r="H604"/>
      <c r="I604"/>
    </row>
    <row r="605" spans="1:9" x14ac:dyDescent="0.25">
      <c r="A605"/>
      <c r="B605"/>
      <c r="C605"/>
      <c r="D605"/>
      <c r="E605"/>
      <c r="F605"/>
      <c r="G605"/>
      <c r="H605"/>
      <c r="I605"/>
    </row>
    <row r="606" spans="1:9" x14ac:dyDescent="0.25">
      <c r="A606"/>
      <c r="B606"/>
      <c r="C606"/>
      <c r="D606"/>
      <c r="E606"/>
      <c r="F606"/>
      <c r="G606"/>
      <c r="H606"/>
      <c r="I606"/>
    </row>
    <row r="607" spans="1:9" x14ac:dyDescent="0.25">
      <c r="A607"/>
      <c r="B607"/>
      <c r="C607"/>
      <c r="D607"/>
      <c r="E607"/>
      <c r="F607"/>
      <c r="G607"/>
      <c r="H607"/>
      <c r="I607"/>
    </row>
    <row r="608" spans="1:9" x14ac:dyDescent="0.25">
      <c r="A608"/>
      <c r="B608"/>
      <c r="C608"/>
      <c r="D608"/>
      <c r="E608"/>
      <c r="F608"/>
      <c r="G608"/>
      <c r="H608"/>
      <c r="I608"/>
    </row>
    <row r="609" spans="1:9" x14ac:dyDescent="0.25">
      <c r="A609"/>
      <c r="B609"/>
      <c r="C609"/>
      <c r="D609"/>
      <c r="E609"/>
      <c r="F609"/>
      <c r="G609"/>
      <c r="H609"/>
      <c r="I609"/>
    </row>
    <row r="610" spans="1:9" x14ac:dyDescent="0.25">
      <c r="A610"/>
      <c r="B610"/>
      <c r="C610"/>
      <c r="D610"/>
      <c r="E610"/>
      <c r="F610"/>
      <c r="G610"/>
      <c r="H610"/>
      <c r="I610"/>
    </row>
    <row r="611" spans="1:9" x14ac:dyDescent="0.25">
      <c r="A611"/>
      <c r="B611"/>
      <c r="C611"/>
      <c r="D611"/>
      <c r="E611"/>
      <c r="F611"/>
      <c r="G611"/>
      <c r="H611"/>
      <c r="I611"/>
    </row>
    <row r="612" spans="1:9" x14ac:dyDescent="0.25">
      <c r="A612"/>
      <c r="B612"/>
      <c r="C612"/>
      <c r="D612"/>
      <c r="E612"/>
      <c r="F612"/>
      <c r="G612"/>
      <c r="H612"/>
      <c r="I612"/>
    </row>
    <row r="613" spans="1:9" x14ac:dyDescent="0.25">
      <c r="A613"/>
      <c r="B613"/>
      <c r="C613"/>
      <c r="D613"/>
      <c r="E613"/>
      <c r="F613"/>
      <c r="G613"/>
      <c r="H613"/>
      <c r="I613"/>
    </row>
    <row r="614" spans="1:9" x14ac:dyDescent="0.25">
      <c r="A614"/>
      <c r="B614"/>
      <c r="C614"/>
      <c r="D614"/>
      <c r="E614"/>
      <c r="F614"/>
      <c r="G614"/>
      <c r="H614"/>
      <c r="I614"/>
    </row>
    <row r="615" spans="1:9" x14ac:dyDescent="0.25">
      <c r="A615"/>
      <c r="B615"/>
      <c r="C615"/>
      <c r="D615"/>
      <c r="E615"/>
      <c r="F615"/>
      <c r="G615"/>
      <c r="H615"/>
      <c r="I615"/>
    </row>
    <row r="616" spans="1:9" x14ac:dyDescent="0.25">
      <c r="A616"/>
      <c r="B616"/>
      <c r="C616"/>
      <c r="D616"/>
      <c r="E616"/>
      <c r="F616"/>
      <c r="G616"/>
      <c r="H616"/>
      <c r="I616"/>
    </row>
    <row r="617" spans="1:9" x14ac:dyDescent="0.25">
      <c r="A617"/>
      <c r="B617"/>
      <c r="C617"/>
      <c r="D617"/>
      <c r="E617"/>
      <c r="F617"/>
      <c r="G617"/>
      <c r="H617"/>
      <c r="I617"/>
    </row>
    <row r="618" spans="1:9" x14ac:dyDescent="0.25">
      <c r="A618"/>
      <c r="B618"/>
      <c r="C618"/>
      <c r="D618"/>
      <c r="E618"/>
      <c r="F618"/>
      <c r="G618"/>
      <c r="H618"/>
      <c r="I618"/>
    </row>
    <row r="619" spans="1:9" x14ac:dyDescent="0.25">
      <c r="A619"/>
      <c r="B619"/>
      <c r="C619"/>
      <c r="D619"/>
      <c r="E619"/>
      <c r="F619"/>
      <c r="G619"/>
      <c r="H619"/>
      <c r="I619"/>
    </row>
    <row r="620" spans="1:9" x14ac:dyDescent="0.25">
      <c r="A620"/>
      <c r="B620"/>
      <c r="C620"/>
      <c r="D620"/>
      <c r="E620"/>
      <c r="F620"/>
      <c r="G620"/>
      <c r="H620"/>
      <c r="I620"/>
    </row>
    <row r="621" spans="1:9" x14ac:dyDescent="0.25">
      <c r="A621"/>
      <c r="B621"/>
      <c r="C621"/>
      <c r="D621"/>
      <c r="E621"/>
      <c r="F621"/>
      <c r="G621"/>
      <c r="H621"/>
      <c r="I621"/>
    </row>
    <row r="622" spans="1:9" x14ac:dyDescent="0.25">
      <c r="A622"/>
      <c r="B622"/>
      <c r="C622"/>
      <c r="D622"/>
      <c r="E622"/>
      <c r="F622"/>
      <c r="G622"/>
      <c r="H622"/>
      <c r="I622"/>
    </row>
    <row r="623" spans="1:9" x14ac:dyDescent="0.25">
      <c r="A623"/>
      <c r="B623"/>
      <c r="C623"/>
      <c r="D623"/>
      <c r="E623"/>
      <c r="F623"/>
      <c r="G623"/>
      <c r="H623"/>
      <c r="I623"/>
    </row>
    <row r="624" spans="1:9" x14ac:dyDescent="0.25">
      <c r="A624"/>
      <c r="B624"/>
      <c r="C624"/>
      <c r="D624"/>
      <c r="E624"/>
      <c r="F624"/>
      <c r="G624"/>
      <c r="H624"/>
      <c r="I624"/>
    </row>
    <row r="625" spans="1:9" x14ac:dyDescent="0.25">
      <c r="A625"/>
      <c r="B625"/>
      <c r="C625"/>
      <c r="D625"/>
      <c r="E625"/>
      <c r="F625"/>
      <c r="G625"/>
      <c r="H625"/>
      <c r="I625"/>
    </row>
    <row r="626" spans="1:9" x14ac:dyDescent="0.25">
      <c r="A626"/>
      <c r="B626"/>
      <c r="C626"/>
      <c r="D626"/>
      <c r="E626"/>
      <c r="F626"/>
      <c r="G626"/>
      <c r="H626"/>
      <c r="I626"/>
    </row>
    <row r="627" spans="1:9" x14ac:dyDescent="0.25">
      <c r="A627"/>
      <c r="B627"/>
      <c r="C627"/>
      <c r="D627"/>
      <c r="E627"/>
      <c r="F627"/>
      <c r="G627"/>
      <c r="H627"/>
      <c r="I627"/>
    </row>
    <row r="628" spans="1:9" x14ac:dyDescent="0.25">
      <c r="A628"/>
      <c r="B628"/>
      <c r="C628"/>
      <c r="D628"/>
      <c r="E628"/>
      <c r="F628"/>
      <c r="G628"/>
      <c r="H628"/>
      <c r="I628"/>
    </row>
    <row r="629" spans="1:9" x14ac:dyDescent="0.25">
      <c r="A629"/>
      <c r="B629"/>
      <c r="C629"/>
      <c r="D629"/>
      <c r="E629"/>
      <c r="F629"/>
      <c r="G629"/>
      <c r="H629"/>
      <c r="I629"/>
    </row>
    <row r="630" spans="1:9" x14ac:dyDescent="0.25">
      <c r="A630"/>
      <c r="B630"/>
      <c r="C630"/>
      <c r="D630"/>
      <c r="E630"/>
      <c r="F630"/>
      <c r="G630"/>
      <c r="H630"/>
      <c r="I630"/>
    </row>
    <row r="631" spans="1:9" x14ac:dyDescent="0.25">
      <c r="A631"/>
      <c r="B631"/>
      <c r="C631"/>
      <c r="D631"/>
      <c r="E631"/>
      <c r="F631"/>
      <c r="G631"/>
      <c r="H631"/>
      <c r="I631"/>
    </row>
    <row r="632" spans="1:9" x14ac:dyDescent="0.25">
      <c r="A632"/>
      <c r="B632"/>
      <c r="C632"/>
      <c r="D632"/>
      <c r="E632"/>
      <c r="F632"/>
      <c r="G632"/>
      <c r="H632"/>
      <c r="I632"/>
    </row>
    <row r="633" spans="1:9" x14ac:dyDescent="0.25">
      <c r="A633"/>
      <c r="B633"/>
      <c r="C633"/>
      <c r="D633"/>
      <c r="E633"/>
      <c r="F633"/>
      <c r="G633"/>
      <c r="H633"/>
      <c r="I633"/>
    </row>
    <row r="634" spans="1:9" x14ac:dyDescent="0.25">
      <c r="A634"/>
      <c r="B634"/>
      <c r="C634"/>
      <c r="D634"/>
      <c r="E634"/>
      <c r="F634"/>
      <c r="G634"/>
      <c r="H634"/>
      <c r="I634"/>
    </row>
    <row r="635" spans="1:9" x14ac:dyDescent="0.25">
      <c r="A635"/>
      <c r="B635"/>
      <c r="C635"/>
      <c r="D635"/>
      <c r="E635"/>
      <c r="F635"/>
      <c r="G635"/>
      <c r="H635"/>
      <c r="I635"/>
    </row>
    <row r="636" spans="1:9" x14ac:dyDescent="0.25">
      <c r="A636"/>
      <c r="B636"/>
      <c r="C636"/>
      <c r="D636"/>
      <c r="E636"/>
      <c r="F636"/>
      <c r="G636"/>
      <c r="H636"/>
      <c r="I636"/>
    </row>
    <row r="637" spans="1:9" x14ac:dyDescent="0.25">
      <c r="A637"/>
      <c r="B637"/>
      <c r="C637"/>
      <c r="D637"/>
      <c r="E637"/>
      <c r="F637"/>
      <c r="G637"/>
      <c r="H637"/>
      <c r="I637"/>
    </row>
    <row r="638" spans="1:9" x14ac:dyDescent="0.25">
      <c r="A638"/>
      <c r="B638"/>
      <c r="C638"/>
      <c r="D638"/>
      <c r="E638"/>
      <c r="F638"/>
      <c r="G638"/>
      <c r="H638"/>
      <c r="I638"/>
    </row>
    <row r="639" spans="1:9" x14ac:dyDescent="0.25">
      <c r="A639"/>
      <c r="B639"/>
      <c r="C639"/>
      <c r="D639"/>
      <c r="E639"/>
      <c r="F639"/>
      <c r="G639"/>
      <c r="H639"/>
      <c r="I639"/>
    </row>
    <row r="640" spans="1:9" x14ac:dyDescent="0.25">
      <c r="A640"/>
      <c r="B640"/>
      <c r="C640"/>
      <c r="D640"/>
      <c r="E640"/>
      <c r="F640"/>
      <c r="G640"/>
      <c r="H640"/>
      <c r="I640"/>
    </row>
    <row r="641" spans="1:9" x14ac:dyDescent="0.25">
      <c r="A641"/>
      <c r="B641"/>
      <c r="C641"/>
      <c r="D641"/>
      <c r="E641"/>
      <c r="F641"/>
      <c r="G641"/>
      <c r="H641"/>
      <c r="I641"/>
    </row>
    <row r="642" spans="1:9" x14ac:dyDescent="0.25">
      <c r="A642"/>
      <c r="B642"/>
      <c r="C642"/>
      <c r="D642"/>
      <c r="E642"/>
      <c r="F642"/>
      <c r="G642"/>
      <c r="H642"/>
      <c r="I642"/>
    </row>
    <row r="643" spans="1:9" x14ac:dyDescent="0.25">
      <c r="A643"/>
      <c r="B643"/>
      <c r="C643"/>
      <c r="D643"/>
      <c r="E643"/>
      <c r="F643"/>
      <c r="G643"/>
      <c r="H643"/>
      <c r="I643"/>
    </row>
    <row r="644" spans="1:9" x14ac:dyDescent="0.25">
      <c r="A644"/>
      <c r="B644"/>
      <c r="C644"/>
      <c r="D644"/>
      <c r="E644"/>
      <c r="F644"/>
      <c r="G644"/>
      <c r="H644"/>
      <c r="I644"/>
    </row>
    <row r="645" spans="1:9" x14ac:dyDescent="0.25">
      <c r="A645"/>
      <c r="B645"/>
      <c r="C645"/>
      <c r="D645"/>
      <c r="E645"/>
      <c r="F645"/>
      <c r="G645"/>
      <c r="H645"/>
      <c r="I645"/>
    </row>
    <row r="646" spans="1:9" x14ac:dyDescent="0.25">
      <c r="A646"/>
      <c r="B646"/>
      <c r="C646"/>
      <c r="D646"/>
      <c r="E646"/>
      <c r="F646"/>
      <c r="G646"/>
      <c r="H646"/>
      <c r="I646"/>
    </row>
    <row r="647" spans="1:9" x14ac:dyDescent="0.25">
      <c r="A647"/>
      <c r="B647"/>
      <c r="C647"/>
      <c r="D647"/>
      <c r="E647"/>
      <c r="F647"/>
      <c r="G647"/>
      <c r="H647"/>
      <c r="I647"/>
    </row>
    <row r="648" spans="1:9" x14ac:dyDescent="0.25">
      <c r="A648"/>
      <c r="B648"/>
      <c r="C648"/>
      <c r="D648"/>
      <c r="E648"/>
      <c r="F648"/>
      <c r="G648"/>
      <c r="H648"/>
      <c r="I648"/>
    </row>
    <row r="649" spans="1:9" x14ac:dyDescent="0.25">
      <c r="A649"/>
      <c r="B649"/>
      <c r="C649"/>
      <c r="D649"/>
      <c r="E649"/>
      <c r="F649"/>
      <c r="G649"/>
      <c r="H649"/>
      <c r="I649"/>
    </row>
    <row r="650" spans="1:9" x14ac:dyDescent="0.25">
      <c r="A650"/>
      <c r="B650"/>
      <c r="C650"/>
      <c r="D650"/>
      <c r="E650"/>
      <c r="F650"/>
      <c r="G650"/>
      <c r="H650"/>
      <c r="I650"/>
    </row>
    <row r="651" spans="1:9" x14ac:dyDescent="0.25">
      <c r="A651"/>
      <c r="B651"/>
      <c r="C651"/>
      <c r="D651"/>
      <c r="E651"/>
      <c r="F651"/>
      <c r="G651"/>
      <c r="H651"/>
      <c r="I651"/>
    </row>
    <row r="652" spans="1:9" x14ac:dyDescent="0.25">
      <c r="A652"/>
      <c r="B652"/>
      <c r="C652"/>
      <c r="D652"/>
      <c r="E652"/>
      <c r="F652"/>
      <c r="G652"/>
      <c r="H652"/>
      <c r="I652"/>
    </row>
    <row r="653" spans="1:9" x14ac:dyDescent="0.25">
      <c r="A653"/>
      <c r="B653"/>
      <c r="C653"/>
      <c r="D653"/>
      <c r="E653"/>
      <c r="F653"/>
      <c r="G653"/>
      <c r="H653"/>
      <c r="I653"/>
    </row>
    <row r="654" spans="1:9" x14ac:dyDescent="0.25">
      <c r="A654"/>
      <c r="B654"/>
      <c r="C654"/>
      <c r="D654"/>
      <c r="E654"/>
      <c r="F654"/>
      <c r="G654"/>
      <c r="H654"/>
      <c r="I654"/>
    </row>
    <row r="655" spans="1:9" x14ac:dyDescent="0.25">
      <c r="A655"/>
      <c r="B655"/>
      <c r="C655"/>
      <c r="D655"/>
      <c r="E655"/>
      <c r="F655"/>
      <c r="G655"/>
      <c r="H655"/>
      <c r="I655"/>
    </row>
    <row r="656" spans="1:9" x14ac:dyDescent="0.25">
      <c r="A656"/>
      <c r="B656"/>
      <c r="C656"/>
      <c r="D656"/>
      <c r="E656"/>
      <c r="F656"/>
      <c r="G656"/>
      <c r="H656"/>
      <c r="I656"/>
    </row>
    <row r="657" spans="1:9" x14ac:dyDescent="0.25">
      <c r="A657"/>
      <c r="B657"/>
      <c r="C657"/>
      <c r="D657"/>
      <c r="E657"/>
      <c r="F657"/>
      <c r="G657"/>
      <c r="H657"/>
      <c r="I657"/>
    </row>
    <row r="658" spans="1:9" x14ac:dyDescent="0.25">
      <c r="A658"/>
      <c r="B658"/>
      <c r="C658"/>
      <c r="D658"/>
      <c r="E658"/>
      <c r="F658"/>
      <c r="G658"/>
      <c r="H658"/>
      <c r="I658"/>
    </row>
    <row r="659" spans="1:9" x14ac:dyDescent="0.25">
      <c r="A659"/>
      <c r="B659"/>
      <c r="C659"/>
      <c r="D659"/>
      <c r="E659"/>
      <c r="F659"/>
      <c r="G659"/>
      <c r="H659"/>
      <c r="I659"/>
    </row>
    <row r="660" spans="1:9" x14ac:dyDescent="0.25">
      <c r="A660"/>
      <c r="B660"/>
      <c r="C660"/>
      <c r="D660"/>
      <c r="E660"/>
      <c r="F660"/>
      <c r="G660"/>
      <c r="H660"/>
      <c r="I660"/>
    </row>
    <row r="661" spans="1:9" x14ac:dyDescent="0.25">
      <c r="A661"/>
      <c r="B661"/>
      <c r="C661"/>
      <c r="D661"/>
      <c r="E661"/>
      <c r="F661"/>
      <c r="G661"/>
      <c r="H661"/>
      <c r="I661"/>
    </row>
    <row r="662" spans="1:9" x14ac:dyDescent="0.25">
      <c r="A662"/>
      <c r="B662"/>
      <c r="C662"/>
      <c r="D662"/>
      <c r="E662"/>
      <c r="F662"/>
      <c r="G662"/>
      <c r="H662"/>
      <c r="I662"/>
    </row>
    <row r="663" spans="1:9" x14ac:dyDescent="0.25">
      <c r="A663"/>
      <c r="B663"/>
      <c r="C663"/>
      <c r="D663"/>
      <c r="E663"/>
      <c r="F663"/>
      <c r="G663"/>
      <c r="H663"/>
      <c r="I663"/>
    </row>
    <row r="664" spans="1:9" x14ac:dyDescent="0.25">
      <c r="A664"/>
      <c r="B664"/>
      <c r="C664"/>
      <c r="D664"/>
      <c r="E664"/>
      <c r="F664"/>
      <c r="G664"/>
      <c r="H664"/>
      <c r="I664"/>
    </row>
    <row r="665" spans="1:9" x14ac:dyDescent="0.25">
      <c r="A665"/>
      <c r="B665"/>
      <c r="C665"/>
      <c r="D665"/>
      <c r="E665"/>
      <c r="F665"/>
      <c r="G665"/>
      <c r="H665"/>
      <c r="I665"/>
    </row>
    <row r="666" spans="1:9" x14ac:dyDescent="0.25">
      <c r="A666"/>
      <c r="B666"/>
      <c r="C666"/>
      <c r="D666"/>
      <c r="E666"/>
      <c r="F666"/>
      <c r="G666"/>
      <c r="H666"/>
      <c r="I666"/>
    </row>
    <row r="667" spans="1:9" x14ac:dyDescent="0.25">
      <c r="A667"/>
      <c r="B667"/>
      <c r="C667"/>
      <c r="D667"/>
      <c r="E667"/>
      <c r="F667"/>
      <c r="G667"/>
      <c r="H667"/>
      <c r="I667"/>
    </row>
    <row r="668" spans="1:9" x14ac:dyDescent="0.25">
      <c r="A668"/>
      <c r="B668"/>
      <c r="C668"/>
      <c r="D668"/>
      <c r="E668"/>
      <c r="F668"/>
      <c r="G668"/>
      <c r="H668"/>
      <c r="I668"/>
    </row>
    <row r="669" spans="1:9" x14ac:dyDescent="0.25">
      <c r="A669"/>
      <c r="B669"/>
      <c r="C669"/>
      <c r="D669"/>
      <c r="E669"/>
      <c r="F669"/>
      <c r="G669"/>
      <c r="H669"/>
      <c r="I669"/>
    </row>
    <row r="670" spans="1:9" x14ac:dyDescent="0.25">
      <c r="A670"/>
      <c r="B670"/>
      <c r="C670"/>
      <c r="D670"/>
      <c r="E670"/>
      <c r="F670"/>
      <c r="G670"/>
      <c r="H670"/>
      <c r="I670"/>
    </row>
    <row r="671" spans="1:9" x14ac:dyDescent="0.25">
      <c r="A671"/>
      <c r="B671"/>
      <c r="C671"/>
      <c r="D671"/>
      <c r="E671"/>
      <c r="F671"/>
      <c r="G671"/>
      <c r="H671"/>
      <c r="I671"/>
    </row>
    <row r="672" spans="1:9" x14ac:dyDescent="0.25">
      <c r="A672"/>
      <c r="B672"/>
      <c r="C672"/>
      <c r="D672"/>
      <c r="E672"/>
      <c r="F672"/>
      <c r="G672"/>
      <c r="H672"/>
      <c r="I672"/>
    </row>
    <row r="673" spans="1:9" x14ac:dyDescent="0.25">
      <c r="A673"/>
      <c r="B673"/>
      <c r="C673"/>
      <c r="D673"/>
      <c r="E673"/>
      <c r="F673"/>
      <c r="G673"/>
      <c r="H673"/>
      <c r="I673"/>
    </row>
    <row r="674" spans="1:9" x14ac:dyDescent="0.25">
      <c r="A674"/>
      <c r="B674"/>
      <c r="C674"/>
      <c r="D674"/>
      <c r="E674"/>
      <c r="F674"/>
      <c r="G674"/>
      <c r="H674"/>
      <c r="I674"/>
    </row>
    <row r="675" spans="1:9" x14ac:dyDescent="0.25">
      <c r="A675"/>
      <c r="B675"/>
      <c r="C675"/>
      <c r="D675"/>
      <c r="E675"/>
      <c r="F675"/>
      <c r="G675"/>
      <c r="H675"/>
      <c r="I675"/>
    </row>
    <row r="676" spans="1:9" x14ac:dyDescent="0.25">
      <c r="A676"/>
      <c r="B676"/>
      <c r="C676"/>
      <c r="D676"/>
      <c r="E676"/>
      <c r="F676"/>
      <c r="G676"/>
      <c r="H676"/>
      <c r="I676"/>
    </row>
    <row r="677" spans="1:9" x14ac:dyDescent="0.25">
      <c r="A677"/>
      <c r="B677"/>
      <c r="C677"/>
      <c r="D677"/>
      <c r="E677"/>
      <c r="F677"/>
      <c r="G677"/>
      <c r="H677"/>
      <c r="I677"/>
    </row>
    <row r="678" spans="1:9" x14ac:dyDescent="0.25">
      <c r="A678"/>
      <c r="B678"/>
      <c r="C678"/>
      <c r="D678"/>
      <c r="E678"/>
      <c r="F678"/>
      <c r="G678"/>
      <c r="H678"/>
      <c r="I678"/>
    </row>
    <row r="679" spans="1:9" x14ac:dyDescent="0.25">
      <c r="A679"/>
      <c r="B679"/>
      <c r="C679"/>
      <c r="D679"/>
      <c r="E679"/>
      <c r="F679"/>
      <c r="G679"/>
      <c r="H679"/>
      <c r="I679"/>
    </row>
    <row r="680" spans="1:9" x14ac:dyDescent="0.25">
      <c r="A680"/>
      <c r="B680"/>
      <c r="C680"/>
      <c r="D680"/>
      <c r="E680"/>
      <c r="F680"/>
      <c r="G680"/>
      <c r="H680"/>
      <c r="I680"/>
    </row>
    <row r="681" spans="1:9" x14ac:dyDescent="0.25">
      <c r="A681"/>
      <c r="B681"/>
      <c r="C681"/>
      <c r="D681"/>
      <c r="E681"/>
      <c r="F681"/>
      <c r="G681"/>
      <c r="H681"/>
      <c r="I681"/>
    </row>
    <row r="682" spans="1:9" x14ac:dyDescent="0.25">
      <c r="A682"/>
      <c r="B682"/>
      <c r="C682"/>
      <c r="D682"/>
      <c r="E682"/>
      <c r="F682"/>
      <c r="G682"/>
      <c r="H682"/>
      <c r="I682"/>
    </row>
    <row r="683" spans="1:9" x14ac:dyDescent="0.25">
      <c r="A683"/>
      <c r="B683"/>
      <c r="C683"/>
      <c r="D683"/>
      <c r="E683"/>
      <c r="F683"/>
      <c r="G683"/>
      <c r="H683"/>
      <c r="I683"/>
    </row>
    <row r="684" spans="1:9" x14ac:dyDescent="0.25">
      <c r="A684"/>
      <c r="B684"/>
      <c r="C684"/>
      <c r="D684"/>
      <c r="E684"/>
      <c r="F684"/>
      <c r="G684"/>
      <c r="H684"/>
      <c r="I684"/>
    </row>
    <row r="685" spans="1:9" x14ac:dyDescent="0.25">
      <c r="A685"/>
      <c r="B685"/>
      <c r="C685"/>
      <c r="D685"/>
      <c r="E685"/>
      <c r="F685"/>
      <c r="G685"/>
      <c r="H685"/>
      <c r="I685"/>
    </row>
    <row r="686" spans="1:9" x14ac:dyDescent="0.25">
      <c r="A686"/>
      <c r="B686"/>
      <c r="C686"/>
      <c r="D686"/>
      <c r="E686"/>
      <c r="F686"/>
      <c r="G686"/>
      <c r="H686"/>
      <c r="I686"/>
    </row>
    <row r="687" spans="1:9" x14ac:dyDescent="0.25">
      <c r="A687"/>
      <c r="B687"/>
      <c r="C687"/>
      <c r="D687"/>
      <c r="E687"/>
      <c r="F687"/>
      <c r="G687"/>
      <c r="H687"/>
      <c r="I687"/>
    </row>
    <row r="688" spans="1:9" x14ac:dyDescent="0.25">
      <c r="A688"/>
      <c r="B688"/>
      <c r="C688"/>
      <c r="D688"/>
      <c r="E688"/>
      <c r="F688"/>
      <c r="G688"/>
      <c r="H688"/>
      <c r="I688"/>
    </row>
    <row r="689" spans="1:9" x14ac:dyDescent="0.25">
      <c r="A689"/>
      <c r="B689"/>
      <c r="C689"/>
      <c r="D689"/>
      <c r="E689"/>
      <c r="F689"/>
      <c r="G689"/>
      <c r="H689"/>
      <c r="I689"/>
    </row>
    <row r="690" spans="1:9" x14ac:dyDescent="0.25">
      <c r="A690"/>
      <c r="B690"/>
      <c r="C690"/>
      <c r="D690"/>
      <c r="E690"/>
      <c r="F690"/>
      <c r="G690"/>
      <c r="H690"/>
      <c r="I690"/>
    </row>
    <row r="691" spans="1:9" x14ac:dyDescent="0.25">
      <c r="A691"/>
      <c r="B691"/>
      <c r="C691"/>
      <c r="D691"/>
      <c r="E691"/>
      <c r="F691"/>
      <c r="G691"/>
      <c r="H691"/>
      <c r="I691"/>
    </row>
    <row r="692" spans="1:9" x14ac:dyDescent="0.25">
      <c r="A692"/>
      <c r="B692"/>
      <c r="C692"/>
      <c r="D692"/>
      <c r="E692"/>
      <c r="F692"/>
      <c r="G692"/>
      <c r="H692"/>
      <c r="I692"/>
    </row>
    <row r="693" spans="1:9" x14ac:dyDescent="0.25">
      <c r="A693"/>
      <c r="B693"/>
      <c r="C693"/>
      <c r="D693"/>
      <c r="E693"/>
      <c r="F693"/>
      <c r="G693"/>
      <c r="H693"/>
      <c r="I693"/>
    </row>
    <row r="694" spans="1:9" x14ac:dyDescent="0.25">
      <c r="A694"/>
      <c r="B694"/>
      <c r="C694"/>
      <c r="D694"/>
      <c r="E694"/>
      <c r="F694"/>
      <c r="G694"/>
      <c r="H694"/>
      <c r="I694"/>
    </row>
    <row r="695" spans="1:9" x14ac:dyDescent="0.25">
      <c r="A695"/>
      <c r="B695"/>
      <c r="C695"/>
      <c r="D695"/>
      <c r="E695"/>
      <c r="F695"/>
      <c r="G695"/>
      <c r="H695"/>
      <c r="I695"/>
    </row>
    <row r="696" spans="1:9" x14ac:dyDescent="0.25">
      <c r="A696"/>
      <c r="B696"/>
      <c r="C696"/>
      <c r="D696"/>
      <c r="E696"/>
      <c r="F696"/>
      <c r="G696"/>
      <c r="H696"/>
      <c r="I696"/>
    </row>
    <row r="697" spans="1:9" x14ac:dyDescent="0.25">
      <c r="A697"/>
      <c r="B697"/>
      <c r="C697"/>
      <c r="D697"/>
      <c r="E697"/>
      <c r="F697"/>
      <c r="G697"/>
      <c r="H697"/>
      <c r="I697"/>
    </row>
    <row r="698" spans="1:9" x14ac:dyDescent="0.25">
      <c r="A698"/>
      <c r="B698"/>
      <c r="C698"/>
      <c r="D698"/>
      <c r="E698"/>
      <c r="F698"/>
      <c r="G698"/>
      <c r="H698"/>
      <c r="I698"/>
    </row>
    <row r="699" spans="1:9" x14ac:dyDescent="0.25">
      <c r="A699"/>
      <c r="B699"/>
      <c r="C699"/>
      <c r="D699"/>
      <c r="E699"/>
      <c r="F699"/>
      <c r="G699"/>
      <c r="H699"/>
      <c r="I699"/>
    </row>
    <row r="700" spans="1:9" x14ac:dyDescent="0.25">
      <c r="A700"/>
      <c r="B700"/>
      <c r="C700"/>
      <c r="D700"/>
      <c r="E700"/>
      <c r="F700"/>
      <c r="G700"/>
      <c r="H700"/>
      <c r="I700"/>
    </row>
    <row r="701" spans="1:9" x14ac:dyDescent="0.25">
      <c r="A701"/>
      <c r="B701"/>
      <c r="C701"/>
      <c r="D701"/>
      <c r="E701"/>
      <c r="F701"/>
      <c r="G701"/>
      <c r="H701"/>
      <c r="I701"/>
    </row>
    <row r="702" spans="1:9" x14ac:dyDescent="0.25">
      <c r="A702"/>
      <c r="B702"/>
      <c r="C702"/>
      <c r="D702"/>
      <c r="E702"/>
      <c r="F702"/>
      <c r="G702"/>
      <c r="H702"/>
      <c r="I702"/>
    </row>
    <row r="703" spans="1:9" x14ac:dyDescent="0.25">
      <c r="A703"/>
      <c r="B703"/>
      <c r="C703"/>
      <c r="D703"/>
      <c r="E703"/>
      <c r="F703"/>
      <c r="G703"/>
      <c r="H703"/>
      <c r="I703"/>
    </row>
    <row r="704" spans="1:9" x14ac:dyDescent="0.25">
      <c r="A704"/>
      <c r="B704"/>
      <c r="C704"/>
      <c r="D704"/>
      <c r="E704"/>
      <c r="F704"/>
      <c r="G704"/>
      <c r="H704"/>
      <c r="I704"/>
    </row>
    <row r="705" spans="1:9" x14ac:dyDescent="0.25">
      <c r="A705"/>
      <c r="B705"/>
      <c r="C705"/>
      <c r="D705"/>
      <c r="E705"/>
      <c r="F705"/>
      <c r="G705"/>
      <c r="H705"/>
      <c r="I705"/>
    </row>
    <row r="706" spans="1:9" x14ac:dyDescent="0.25">
      <c r="A706"/>
      <c r="B706"/>
      <c r="C706"/>
      <c r="D706"/>
      <c r="E706"/>
      <c r="F706"/>
      <c r="G706"/>
      <c r="H706"/>
      <c r="I706"/>
    </row>
    <row r="707" spans="1:9" x14ac:dyDescent="0.25">
      <c r="A707"/>
      <c r="B707"/>
      <c r="C707"/>
      <c r="D707"/>
      <c r="E707"/>
      <c r="F707"/>
      <c r="G707"/>
      <c r="H707"/>
      <c r="I707"/>
    </row>
    <row r="708" spans="1:9" x14ac:dyDescent="0.25">
      <c r="A708"/>
      <c r="B708"/>
      <c r="C708"/>
      <c r="D708"/>
      <c r="E708"/>
      <c r="F708"/>
      <c r="G708"/>
      <c r="H708"/>
      <c r="I708"/>
    </row>
    <row r="709" spans="1:9" x14ac:dyDescent="0.25">
      <c r="A709"/>
      <c r="B709"/>
      <c r="C709"/>
      <c r="D709"/>
      <c r="E709"/>
      <c r="F709"/>
      <c r="G709"/>
      <c r="H709"/>
      <c r="I709"/>
    </row>
    <row r="710" spans="1:9" x14ac:dyDescent="0.25">
      <c r="A710"/>
      <c r="B710"/>
      <c r="C710"/>
      <c r="D710"/>
      <c r="E710"/>
      <c r="F710"/>
      <c r="G710"/>
      <c r="H710"/>
      <c r="I710"/>
    </row>
    <row r="711" spans="1:9" x14ac:dyDescent="0.25">
      <c r="A711"/>
      <c r="B711"/>
      <c r="C711"/>
      <c r="D711"/>
      <c r="E711"/>
      <c r="F711"/>
      <c r="G711"/>
      <c r="H711"/>
      <c r="I711"/>
    </row>
    <row r="712" spans="1:9" x14ac:dyDescent="0.25">
      <c r="A712"/>
      <c r="B712"/>
      <c r="C712"/>
      <c r="D712"/>
      <c r="E712"/>
      <c r="F712"/>
      <c r="G712"/>
      <c r="H712"/>
      <c r="I712"/>
    </row>
    <row r="713" spans="1:9" x14ac:dyDescent="0.25">
      <c r="A713"/>
      <c r="B713"/>
      <c r="C713"/>
      <c r="D713"/>
      <c r="E713"/>
      <c r="F713"/>
      <c r="G713"/>
      <c r="H713"/>
      <c r="I713"/>
    </row>
    <row r="714" spans="1:9" x14ac:dyDescent="0.25">
      <c r="A714"/>
      <c r="B714"/>
      <c r="C714"/>
      <c r="D714"/>
      <c r="E714"/>
      <c r="F714"/>
      <c r="G714"/>
      <c r="H714"/>
      <c r="I714"/>
    </row>
    <row r="715" spans="1:9" x14ac:dyDescent="0.25">
      <c r="A715"/>
      <c r="B715"/>
      <c r="C715"/>
      <c r="D715"/>
      <c r="E715"/>
      <c r="F715"/>
      <c r="G715"/>
      <c r="H715"/>
      <c r="I715"/>
    </row>
    <row r="716" spans="1:9" x14ac:dyDescent="0.25">
      <c r="A716"/>
      <c r="B716"/>
      <c r="C716"/>
      <c r="D716"/>
      <c r="E716"/>
      <c r="F716"/>
      <c r="G716"/>
      <c r="H716"/>
      <c r="I716"/>
    </row>
    <row r="717" spans="1:9" x14ac:dyDescent="0.25">
      <c r="A717"/>
      <c r="B717"/>
      <c r="C717"/>
      <c r="D717"/>
      <c r="E717"/>
      <c r="F717"/>
      <c r="G717"/>
      <c r="H717"/>
      <c r="I717"/>
    </row>
    <row r="718" spans="1:9" x14ac:dyDescent="0.25">
      <c r="A718"/>
      <c r="B718"/>
      <c r="C718"/>
      <c r="D718"/>
      <c r="E718"/>
      <c r="F718"/>
      <c r="G718"/>
      <c r="H718"/>
      <c r="I718"/>
    </row>
    <row r="719" spans="1:9" x14ac:dyDescent="0.25">
      <c r="A719"/>
      <c r="B719"/>
      <c r="C719"/>
      <c r="D719"/>
      <c r="E719"/>
      <c r="F719"/>
      <c r="G719"/>
      <c r="H719"/>
      <c r="I719"/>
    </row>
    <row r="720" spans="1:9" x14ac:dyDescent="0.25">
      <c r="A720"/>
      <c r="B720"/>
      <c r="C720"/>
      <c r="D720"/>
      <c r="E720"/>
      <c r="F720"/>
      <c r="G720"/>
      <c r="H720"/>
      <c r="I720"/>
    </row>
    <row r="721" spans="1:9" x14ac:dyDescent="0.25">
      <c r="A721"/>
      <c r="B721"/>
      <c r="C721"/>
      <c r="D721"/>
      <c r="E721"/>
      <c r="F721"/>
      <c r="G721"/>
      <c r="H721"/>
      <c r="I721"/>
    </row>
    <row r="722" spans="1:9" x14ac:dyDescent="0.25">
      <c r="A722"/>
      <c r="B722"/>
      <c r="C722"/>
      <c r="D722"/>
      <c r="E722"/>
      <c r="F722"/>
      <c r="G722"/>
      <c r="H722"/>
      <c r="I722"/>
    </row>
    <row r="723" spans="1:9" x14ac:dyDescent="0.25">
      <c r="A723"/>
      <c r="B723"/>
      <c r="C723"/>
      <c r="D723"/>
      <c r="E723"/>
      <c r="F723"/>
      <c r="G723"/>
      <c r="H723"/>
      <c r="I723"/>
    </row>
    <row r="724" spans="1:9" x14ac:dyDescent="0.25">
      <c r="A724"/>
      <c r="B724"/>
      <c r="C724"/>
      <c r="D724"/>
      <c r="E724"/>
      <c r="F724"/>
      <c r="G724"/>
      <c r="H724"/>
      <c r="I724"/>
    </row>
    <row r="725" spans="1:9" x14ac:dyDescent="0.25">
      <c r="A725"/>
      <c r="B725"/>
      <c r="C725"/>
      <c r="D725"/>
      <c r="E725"/>
      <c r="F725"/>
      <c r="G725"/>
      <c r="H725"/>
      <c r="I725"/>
    </row>
    <row r="726" spans="1:9" x14ac:dyDescent="0.25">
      <c r="A726"/>
      <c r="B726"/>
      <c r="C726"/>
      <c r="D726"/>
      <c r="E726"/>
      <c r="F726"/>
      <c r="G726"/>
      <c r="H726"/>
      <c r="I726"/>
    </row>
    <row r="727" spans="1:9" x14ac:dyDescent="0.25">
      <c r="A727"/>
      <c r="B727"/>
      <c r="C727"/>
      <c r="D727"/>
      <c r="E727"/>
      <c r="F727"/>
      <c r="G727"/>
      <c r="H727"/>
      <c r="I727"/>
    </row>
    <row r="728" spans="1:9" x14ac:dyDescent="0.25">
      <c r="A728"/>
      <c r="B728"/>
      <c r="C728"/>
      <c r="D728"/>
      <c r="E728"/>
      <c r="F728"/>
      <c r="G728"/>
      <c r="H728"/>
      <c r="I728"/>
    </row>
    <row r="729" spans="1:9" x14ac:dyDescent="0.25">
      <c r="A729"/>
      <c r="B729"/>
      <c r="C729"/>
      <c r="D729"/>
      <c r="E729"/>
      <c r="F729"/>
      <c r="G729"/>
      <c r="H729"/>
      <c r="I729"/>
    </row>
    <row r="730" spans="1:9" x14ac:dyDescent="0.25">
      <c r="A730"/>
      <c r="B730"/>
      <c r="C730"/>
      <c r="D730"/>
      <c r="E730"/>
      <c r="F730"/>
      <c r="G730"/>
      <c r="H730"/>
      <c r="I730"/>
    </row>
    <row r="731" spans="1:9" x14ac:dyDescent="0.25">
      <c r="A731"/>
      <c r="B731"/>
      <c r="C731"/>
      <c r="D731"/>
      <c r="E731"/>
      <c r="F731"/>
      <c r="G731"/>
      <c r="H731"/>
      <c r="I731"/>
    </row>
    <row r="732" spans="1:9" x14ac:dyDescent="0.25">
      <c r="A732"/>
      <c r="B732"/>
      <c r="C732"/>
      <c r="D732"/>
      <c r="E732"/>
      <c r="F732"/>
      <c r="G732"/>
      <c r="H732"/>
      <c r="I732"/>
    </row>
    <row r="733" spans="1:9" x14ac:dyDescent="0.25">
      <c r="A733"/>
      <c r="B733"/>
      <c r="C733"/>
      <c r="D733"/>
      <c r="E733"/>
      <c r="F733"/>
      <c r="G733"/>
      <c r="H733"/>
      <c r="I733"/>
    </row>
    <row r="734" spans="1:9" x14ac:dyDescent="0.25">
      <c r="A734"/>
      <c r="B734"/>
      <c r="C734"/>
      <c r="D734"/>
      <c r="E734"/>
      <c r="F734"/>
      <c r="G734"/>
      <c r="H734"/>
      <c r="I734"/>
    </row>
    <row r="735" spans="1:9" x14ac:dyDescent="0.25">
      <c r="A735"/>
      <c r="B735"/>
      <c r="C735"/>
      <c r="D735"/>
      <c r="E735"/>
      <c r="F735"/>
      <c r="G735"/>
      <c r="H735"/>
      <c r="I735"/>
    </row>
    <row r="736" spans="1:9" x14ac:dyDescent="0.25">
      <c r="A736"/>
      <c r="B736"/>
      <c r="C736"/>
      <c r="D736"/>
      <c r="E736"/>
      <c r="F736"/>
      <c r="G736"/>
      <c r="H736"/>
      <c r="I736"/>
    </row>
    <row r="737" spans="1:9" x14ac:dyDescent="0.25">
      <c r="A737"/>
      <c r="B737"/>
      <c r="C737"/>
      <c r="D737"/>
      <c r="E737"/>
      <c r="F737"/>
      <c r="G737"/>
      <c r="H737"/>
      <c r="I737"/>
    </row>
    <row r="738" spans="1:9" x14ac:dyDescent="0.25">
      <c r="A738"/>
      <c r="B738"/>
      <c r="C738"/>
      <c r="D738"/>
      <c r="E738"/>
      <c r="F738"/>
      <c r="G738"/>
      <c r="H738"/>
      <c r="I738"/>
    </row>
    <row r="739" spans="1:9" x14ac:dyDescent="0.25">
      <c r="A739"/>
      <c r="B739"/>
      <c r="C739"/>
      <c r="D739"/>
      <c r="E739"/>
      <c r="F739"/>
      <c r="G739"/>
      <c r="H739"/>
      <c r="I739"/>
    </row>
    <row r="740" spans="1:9" x14ac:dyDescent="0.25">
      <c r="A740"/>
      <c r="B740"/>
      <c r="C740"/>
      <c r="D740"/>
      <c r="E740"/>
      <c r="F740"/>
      <c r="G740"/>
      <c r="H740"/>
      <c r="I740"/>
    </row>
    <row r="741" spans="1:9" x14ac:dyDescent="0.25">
      <c r="A741"/>
      <c r="B741"/>
      <c r="C741"/>
      <c r="D741"/>
      <c r="E741"/>
      <c r="F741"/>
      <c r="G741"/>
      <c r="H741"/>
      <c r="I741"/>
    </row>
    <row r="742" spans="1:9" x14ac:dyDescent="0.25">
      <c r="A742"/>
      <c r="B742"/>
      <c r="C742"/>
      <c r="D742"/>
      <c r="E742"/>
      <c r="F742"/>
      <c r="G742"/>
      <c r="H742"/>
      <c r="I742"/>
    </row>
    <row r="743" spans="1:9" x14ac:dyDescent="0.25">
      <c r="A743"/>
      <c r="B743"/>
      <c r="C743"/>
      <c r="D743"/>
      <c r="E743"/>
      <c r="F743"/>
      <c r="G743"/>
      <c r="H743"/>
      <c r="I743"/>
    </row>
    <row r="744" spans="1:9" x14ac:dyDescent="0.25">
      <c r="A744"/>
      <c r="B744"/>
      <c r="C744"/>
      <c r="D744"/>
      <c r="E744"/>
      <c r="F744"/>
      <c r="G744"/>
      <c r="H744"/>
      <c r="I744"/>
    </row>
    <row r="745" spans="1:9" x14ac:dyDescent="0.25">
      <c r="A745"/>
      <c r="B745"/>
      <c r="C745"/>
      <c r="D745"/>
      <c r="E745"/>
      <c r="F745"/>
      <c r="G745"/>
      <c r="H745"/>
      <c r="I745"/>
    </row>
    <row r="746" spans="1:9" x14ac:dyDescent="0.25">
      <c r="A746"/>
      <c r="B746"/>
      <c r="C746"/>
      <c r="D746"/>
      <c r="E746"/>
      <c r="F746"/>
      <c r="G746"/>
      <c r="H746"/>
      <c r="I746"/>
    </row>
    <row r="747" spans="1:9" x14ac:dyDescent="0.25">
      <c r="A747"/>
      <c r="B747"/>
      <c r="C747"/>
      <c r="D747"/>
      <c r="E747"/>
      <c r="F747"/>
      <c r="G747"/>
      <c r="H747"/>
      <c r="I747"/>
    </row>
    <row r="748" spans="1:9" x14ac:dyDescent="0.25">
      <c r="A748"/>
      <c r="B748"/>
      <c r="C748"/>
      <c r="D748"/>
      <c r="E748"/>
      <c r="F748"/>
      <c r="G748"/>
      <c r="H748"/>
      <c r="I748"/>
    </row>
    <row r="749" spans="1:9" x14ac:dyDescent="0.25">
      <c r="A749"/>
      <c r="B749"/>
      <c r="C749"/>
      <c r="D749"/>
      <c r="E749"/>
      <c r="F749"/>
      <c r="G749"/>
      <c r="H749"/>
      <c r="I749"/>
    </row>
    <row r="750" spans="1:9" x14ac:dyDescent="0.25">
      <c r="A750"/>
      <c r="B750"/>
      <c r="C750"/>
      <c r="D750"/>
      <c r="E750"/>
      <c r="F750"/>
      <c r="G750"/>
      <c r="H750"/>
      <c r="I750"/>
    </row>
    <row r="751" spans="1:9" x14ac:dyDescent="0.25">
      <c r="A751"/>
      <c r="B751"/>
      <c r="C751"/>
      <c r="D751"/>
      <c r="E751"/>
      <c r="F751"/>
      <c r="G751"/>
      <c r="H751"/>
      <c r="I751"/>
    </row>
    <row r="752" spans="1:9" x14ac:dyDescent="0.25">
      <c r="A752"/>
      <c r="B752"/>
      <c r="C752"/>
      <c r="D752"/>
      <c r="E752"/>
      <c r="F752"/>
      <c r="G752"/>
      <c r="H752"/>
      <c r="I752"/>
    </row>
    <row r="753" spans="1:9" x14ac:dyDescent="0.25">
      <c r="A753"/>
      <c r="B753"/>
      <c r="C753"/>
      <c r="D753"/>
      <c r="E753"/>
      <c r="F753"/>
      <c r="G753"/>
      <c r="H753"/>
      <c r="I753"/>
    </row>
    <row r="754" spans="1:9" x14ac:dyDescent="0.25">
      <c r="A754"/>
      <c r="B754"/>
      <c r="C754"/>
      <c r="D754"/>
      <c r="E754"/>
      <c r="F754"/>
      <c r="G754"/>
      <c r="H754"/>
      <c r="I754"/>
    </row>
    <row r="755" spans="1:9" x14ac:dyDescent="0.25">
      <c r="A755"/>
      <c r="B755"/>
      <c r="C755"/>
      <c r="D755"/>
      <c r="E755"/>
      <c r="F755"/>
      <c r="G755"/>
      <c r="H755"/>
      <c r="I755"/>
    </row>
    <row r="756" spans="1:9" x14ac:dyDescent="0.25">
      <c r="A756"/>
      <c r="B756"/>
      <c r="C756"/>
      <c r="D756"/>
      <c r="E756"/>
      <c r="F756"/>
      <c r="G756"/>
      <c r="H756"/>
      <c r="I756"/>
    </row>
    <row r="757" spans="1:9" x14ac:dyDescent="0.25">
      <c r="A757"/>
      <c r="B757"/>
      <c r="C757"/>
      <c r="D757"/>
      <c r="E757"/>
      <c r="F757"/>
      <c r="G757"/>
      <c r="H757"/>
      <c r="I757"/>
    </row>
    <row r="758" spans="1:9" x14ac:dyDescent="0.25">
      <c r="A758"/>
      <c r="B758"/>
      <c r="C758"/>
      <c r="D758"/>
      <c r="E758"/>
      <c r="F758"/>
      <c r="G758"/>
      <c r="H758"/>
      <c r="I758"/>
    </row>
    <row r="759" spans="1:9" x14ac:dyDescent="0.25">
      <c r="A759"/>
      <c r="B759"/>
      <c r="C759"/>
      <c r="D759"/>
      <c r="E759"/>
      <c r="F759"/>
      <c r="G759"/>
      <c r="H759"/>
      <c r="I759"/>
    </row>
    <row r="760" spans="1:9" x14ac:dyDescent="0.25">
      <c r="A760"/>
      <c r="B760"/>
      <c r="C760"/>
      <c r="D760"/>
      <c r="E760"/>
      <c r="F760"/>
      <c r="G760"/>
      <c r="H760"/>
      <c r="I760"/>
    </row>
    <row r="761" spans="1:9" x14ac:dyDescent="0.25">
      <c r="A761"/>
      <c r="B761"/>
      <c r="C761"/>
      <c r="D761"/>
      <c r="E761"/>
      <c r="F761"/>
      <c r="G761"/>
      <c r="H761"/>
      <c r="I761"/>
    </row>
    <row r="762" spans="1:9" x14ac:dyDescent="0.25">
      <c r="A762"/>
      <c r="B762"/>
      <c r="C762"/>
      <c r="D762"/>
      <c r="E762"/>
      <c r="F762"/>
      <c r="G762"/>
      <c r="H762"/>
      <c r="I762"/>
    </row>
    <row r="763" spans="1:9" x14ac:dyDescent="0.25">
      <c r="A763"/>
      <c r="B763"/>
      <c r="C763"/>
      <c r="D763"/>
      <c r="E763"/>
      <c r="F763"/>
      <c r="G763"/>
      <c r="H763"/>
      <c r="I763"/>
    </row>
    <row r="764" spans="1:9" x14ac:dyDescent="0.25">
      <c r="A764"/>
      <c r="B764"/>
      <c r="C764"/>
      <c r="D764"/>
      <c r="E764"/>
      <c r="F764"/>
      <c r="G764"/>
      <c r="H764"/>
      <c r="I764"/>
    </row>
    <row r="765" spans="1:9" x14ac:dyDescent="0.25">
      <c r="A765"/>
      <c r="B765"/>
      <c r="C765"/>
      <c r="D765"/>
      <c r="E765"/>
      <c r="F765"/>
      <c r="G765"/>
      <c r="H765"/>
      <c r="I765"/>
    </row>
    <row r="766" spans="1:9" x14ac:dyDescent="0.25">
      <c r="A766"/>
      <c r="B766"/>
      <c r="C766"/>
      <c r="D766"/>
      <c r="E766"/>
      <c r="F766"/>
      <c r="G766"/>
      <c r="H766"/>
      <c r="I766"/>
    </row>
    <row r="767" spans="1:9" x14ac:dyDescent="0.25">
      <c r="A767"/>
      <c r="B767"/>
      <c r="C767"/>
      <c r="D767"/>
      <c r="E767"/>
      <c r="F767"/>
      <c r="G767"/>
      <c r="H767"/>
      <c r="I767"/>
    </row>
    <row r="768" spans="1:9" x14ac:dyDescent="0.25">
      <c r="A768"/>
      <c r="B768"/>
      <c r="C768"/>
      <c r="D768"/>
      <c r="E768"/>
      <c r="F768"/>
      <c r="G768"/>
      <c r="H768"/>
      <c r="I768"/>
    </row>
    <row r="769" spans="1:9" x14ac:dyDescent="0.25">
      <c r="A769"/>
      <c r="B769"/>
      <c r="C769"/>
      <c r="D769"/>
      <c r="E769"/>
      <c r="F769"/>
      <c r="G769"/>
      <c r="H769"/>
      <c r="I769"/>
    </row>
    <row r="770" spans="1:9" x14ac:dyDescent="0.25">
      <c r="A770"/>
      <c r="B770"/>
      <c r="C770"/>
      <c r="D770"/>
      <c r="E770"/>
      <c r="F770"/>
      <c r="G770"/>
      <c r="H770"/>
      <c r="I770"/>
    </row>
    <row r="771" spans="1:9" x14ac:dyDescent="0.25">
      <c r="A771"/>
      <c r="B771"/>
      <c r="C771"/>
      <c r="D771"/>
      <c r="E771"/>
      <c r="F771"/>
      <c r="G771"/>
      <c r="H771"/>
      <c r="I771"/>
    </row>
    <row r="772" spans="1:9" x14ac:dyDescent="0.25">
      <c r="A772"/>
      <c r="B772"/>
      <c r="C772"/>
      <c r="D772"/>
      <c r="E772"/>
      <c r="F772"/>
      <c r="G772"/>
      <c r="H772"/>
      <c r="I772"/>
    </row>
    <row r="773" spans="1:9" x14ac:dyDescent="0.25">
      <c r="A773"/>
      <c r="B773"/>
      <c r="C773"/>
      <c r="D773"/>
      <c r="E773"/>
      <c r="F773"/>
      <c r="G773"/>
      <c r="H773"/>
      <c r="I773"/>
    </row>
    <row r="774" spans="1:9" x14ac:dyDescent="0.25">
      <c r="A774"/>
      <c r="B774"/>
      <c r="C774"/>
      <c r="D774"/>
      <c r="E774"/>
      <c r="F774"/>
      <c r="G774"/>
      <c r="H774"/>
      <c r="I774"/>
    </row>
    <row r="775" spans="1:9" x14ac:dyDescent="0.25">
      <c r="A775"/>
      <c r="B775"/>
      <c r="C775"/>
      <c r="D775"/>
      <c r="E775"/>
      <c r="F775"/>
      <c r="G775"/>
      <c r="H775"/>
      <c r="I775"/>
    </row>
    <row r="776" spans="1:9" x14ac:dyDescent="0.25">
      <c r="A776"/>
      <c r="B776"/>
      <c r="C776"/>
      <c r="D776"/>
      <c r="E776"/>
      <c r="F776"/>
      <c r="G776"/>
      <c r="H776"/>
      <c r="I776"/>
    </row>
    <row r="777" spans="1:9" x14ac:dyDescent="0.25">
      <c r="A777"/>
      <c r="B777"/>
      <c r="C777"/>
      <c r="D777"/>
      <c r="E777"/>
      <c r="F777"/>
      <c r="G777"/>
      <c r="H777"/>
      <c r="I777"/>
    </row>
    <row r="778" spans="1:9" x14ac:dyDescent="0.25">
      <c r="A778"/>
      <c r="B778"/>
      <c r="C778"/>
      <c r="D778"/>
      <c r="E778"/>
      <c r="F778"/>
      <c r="G778"/>
      <c r="H778"/>
      <c r="I778"/>
    </row>
    <row r="779" spans="1:9" x14ac:dyDescent="0.25">
      <c r="A779"/>
      <c r="B779"/>
      <c r="C779"/>
      <c r="D779"/>
      <c r="E779"/>
      <c r="F779"/>
      <c r="G779"/>
      <c r="H779"/>
      <c r="I779"/>
    </row>
    <row r="780" spans="1:9" x14ac:dyDescent="0.25">
      <c r="A780"/>
      <c r="B780"/>
      <c r="C780"/>
      <c r="D780"/>
      <c r="E780"/>
      <c r="F780"/>
      <c r="G780"/>
      <c r="H780"/>
      <c r="I780"/>
    </row>
    <row r="781" spans="1:9" x14ac:dyDescent="0.25">
      <c r="A781"/>
      <c r="B781"/>
      <c r="C781"/>
      <c r="D781"/>
      <c r="E781"/>
      <c r="F781"/>
      <c r="G781"/>
      <c r="H781"/>
      <c r="I781"/>
    </row>
    <row r="782" spans="1:9" x14ac:dyDescent="0.25">
      <c r="A782"/>
      <c r="B782"/>
      <c r="C782"/>
      <c r="D782"/>
      <c r="E782"/>
      <c r="F782"/>
      <c r="G782"/>
      <c r="H782"/>
      <c r="I782"/>
    </row>
    <row r="783" spans="1:9" x14ac:dyDescent="0.25">
      <c r="A783"/>
      <c r="B783"/>
      <c r="C783"/>
      <c r="D783"/>
      <c r="E783"/>
      <c r="F783"/>
      <c r="G783"/>
      <c r="H783"/>
      <c r="I783"/>
    </row>
    <row r="784" spans="1:9" x14ac:dyDescent="0.25">
      <c r="A784"/>
      <c r="B784"/>
      <c r="C784"/>
      <c r="D784"/>
      <c r="E784"/>
      <c r="F784"/>
      <c r="G784"/>
      <c r="H784"/>
      <c r="I784"/>
    </row>
    <row r="785" spans="1:9" x14ac:dyDescent="0.25">
      <c r="A785"/>
      <c r="B785"/>
      <c r="C785"/>
      <c r="D785"/>
      <c r="E785"/>
      <c r="F785"/>
      <c r="G785"/>
      <c r="H785"/>
      <c r="I785"/>
    </row>
    <row r="786" spans="1:9" x14ac:dyDescent="0.25">
      <c r="A786"/>
      <c r="B786"/>
      <c r="C786"/>
      <c r="D786"/>
      <c r="E786"/>
      <c r="F786"/>
      <c r="G786"/>
      <c r="H786"/>
      <c r="I786"/>
    </row>
    <row r="787" spans="1:9" x14ac:dyDescent="0.25">
      <c r="A787"/>
      <c r="B787"/>
      <c r="C787"/>
      <c r="D787"/>
      <c r="E787"/>
      <c r="F787"/>
      <c r="G787"/>
      <c r="H787"/>
      <c r="I787"/>
    </row>
    <row r="788" spans="1:9" x14ac:dyDescent="0.25">
      <c r="A788"/>
      <c r="B788"/>
      <c r="C788"/>
      <c r="D788"/>
      <c r="E788"/>
      <c r="F788"/>
      <c r="G788"/>
      <c r="H788"/>
      <c r="I788"/>
    </row>
    <row r="789" spans="1:9" x14ac:dyDescent="0.25">
      <c r="A789"/>
      <c r="B789"/>
      <c r="C789"/>
      <c r="D789"/>
      <c r="E789"/>
      <c r="F789"/>
      <c r="G789"/>
      <c r="H789"/>
      <c r="I789"/>
    </row>
    <row r="790" spans="1:9" x14ac:dyDescent="0.25">
      <c r="A790"/>
      <c r="B790"/>
      <c r="C790"/>
      <c r="D790"/>
      <c r="E790"/>
      <c r="F790"/>
      <c r="G790"/>
      <c r="H790"/>
      <c r="I790"/>
    </row>
    <row r="791" spans="1:9" x14ac:dyDescent="0.25">
      <c r="A791"/>
      <c r="B791"/>
      <c r="C791"/>
      <c r="D791"/>
      <c r="E791"/>
      <c r="F791"/>
      <c r="G791"/>
      <c r="H791"/>
      <c r="I791"/>
    </row>
    <row r="792" spans="1:9" x14ac:dyDescent="0.25">
      <c r="A792"/>
      <c r="B792"/>
      <c r="C792"/>
      <c r="D792"/>
      <c r="E792"/>
      <c r="F792"/>
      <c r="G792"/>
      <c r="H792"/>
      <c r="I792"/>
    </row>
    <row r="793" spans="1:9" x14ac:dyDescent="0.25">
      <c r="A793"/>
      <c r="B793"/>
      <c r="C793"/>
      <c r="D793"/>
      <c r="E793"/>
      <c r="F793"/>
      <c r="G793"/>
      <c r="H793"/>
      <c r="I793"/>
    </row>
    <row r="794" spans="1:9" x14ac:dyDescent="0.25">
      <c r="A794"/>
      <c r="B794"/>
      <c r="C794"/>
      <c r="D794"/>
      <c r="E794"/>
      <c r="F794"/>
      <c r="G794"/>
      <c r="H794"/>
      <c r="I794"/>
    </row>
    <row r="795" spans="1:9" x14ac:dyDescent="0.25">
      <c r="A795"/>
      <c r="B795"/>
      <c r="C795"/>
      <c r="D795"/>
      <c r="E795"/>
      <c r="F795"/>
      <c r="G795"/>
      <c r="H795"/>
      <c r="I795"/>
    </row>
    <row r="796" spans="1:9" x14ac:dyDescent="0.25">
      <c r="A796"/>
      <c r="B796"/>
      <c r="C796"/>
      <c r="D796"/>
      <c r="E796"/>
      <c r="F796"/>
      <c r="G796"/>
      <c r="H796"/>
      <c r="I796"/>
    </row>
    <row r="797" spans="1:9" x14ac:dyDescent="0.25">
      <c r="A797"/>
      <c r="B797"/>
      <c r="C797"/>
      <c r="D797"/>
      <c r="E797"/>
      <c r="F797"/>
      <c r="G797"/>
      <c r="H797"/>
      <c r="I797"/>
    </row>
    <row r="798" spans="1:9" x14ac:dyDescent="0.25">
      <c r="A798"/>
      <c r="B798"/>
      <c r="C798"/>
      <c r="D798"/>
      <c r="E798"/>
      <c r="F798"/>
      <c r="G798"/>
      <c r="H798"/>
      <c r="I798"/>
    </row>
    <row r="799" spans="1:9" x14ac:dyDescent="0.25">
      <c r="A799"/>
      <c r="B799"/>
      <c r="C799"/>
      <c r="D799"/>
      <c r="E799"/>
      <c r="F799"/>
      <c r="G799"/>
      <c r="H799"/>
      <c r="I799"/>
    </row>
    <row r="800" spans="1:9" x14ac:dyDescent="0.25">
      <c r="A800"/>
      <c r="B800"/>
      <c r="C800"/>
      <c r="D800"/>
      <c r="E800"/>
      <c r="F800"/>
      <c r="G800"/>
      <c r="H800"/>
      <c r="I800"/>
    </row>
    <row r="801" spans="1:9" x14ac:dyDescent="0.25">
      <c r="A801"/>
      <c r="B801"/>
      <c r="C801"/>
      <c r="D801"/>
      <c r="E801"/>
      <c r="F801"/>
      <c r="G801"/>
      <c r="H801"/>
      <c r="I801"/>
    </row>
    <row r="802" spans="1:9" x14ac:dyDescent="0.25">
      <c r="A802"/>
      <c r="B802"/>
      <c r="C802"/>
      <c r="D802"/>
      <c r="E802"/>
      <c r="F802"/>
      <c r="G802"/>
      <c r="H802"/>
      <c r="I802"/>
    </row>
    <row r="803" spans="1:9" x14ac:dyDescent="0.25">
      <c r="A803"/>
      <c r="B803"/>
      <c r="C803"/>
      <c r="D803"/>
      <c r="E803"/>
      <c r="F803"/>
      <c r="G803"/>
      <c r="H803"/>
      <c r="I803"/>
    </row>
    <row r="804" spans="1:9" x14ac:dyDescent="0.25">
      <c r="A804"/>
      <c r="B804"/>
      <c r="C804"/>
      <c r="D804"/>
      <c r="E804"/>
      <c r="F804"/>
      <c r="G804"/>
      <c r="H804"/>
      <c r="I804"/>
    </row>
    <row r="805" spans="1:9" x14ac:dyDescent="0.25">
      <c r="A805"/>
      <c r="B805"/>
      <c r="C805"/>
      <c r="D805"/>
      <c r="E805"/>
      <c r="F805"/>
      <c r="G805"/>
      <c r="H805"/>
      <c r="I805"/>
    </row>
    <row r="806" spans="1:9" x14ac:dyDescent="0.25">
      <c r="A806"/>
      <c r="B806"/>
      <c r="C806"/>
      <c r="D806"/>
      <c r="E806"/>
      <c r="F806"/>
      <c r="G806"/>
      <c r="H806"/>
      <c r="I806"/>
    </row>
    <row r="807" spans="1:9" x14ac:dyDescent="0.25">
      <c r="A807"/>
      <c r="B807"/>
      <c r="C807"/>
      <c r="D807"/>
      <c r="E807"/>
      <c r="F807"/>
      <c r="G807"/>
      <c r="H807"/>
      <c r="I807"/>
    </row>
    <row r="808" spans="1:9" x14ac:dyDescent="0.25">
      <c r="A808"/>
      <c r="B808"/>
      <c r="C808"/>
      <c r="D808"/>
      <c r="E808"/>
      <c r="F808"/>
      <c r="G808"/>
      <c r="H808"/>
      <c r="I808"/>
    </row>
    <row r="809" spans="1:9" x14ac:dyDescent="0.25">
      <c r="A809"/>
      <c r="B809"/>
      <c r="C809"/>
      <c r="D809"/>
      <c r="E809"/>
      <c r="F809"/>
      <c r="G809"/>
      <c r="H809"/>
      <c r="I809"/>
    </row>
    <row r="810" spans="1:9" x14ac:dyDescent="0.25">
      <c r="A810"/>
      <c r="B810"/>
      <c r="C810"/>
      <c r="D810"/>
      <c r="E810"/>
      <c r="F810"/>
      <c r="G810"/>
      <c r="H810"/>
      <c r="I810"/>
    </row>
    <row r="811" spans="1:9" x14ac:dyDescent="0.25">
      <c r="A811"/>
      <c r="B811"/>
      <c r="C811"/>
      <c r="D811"/>
      <c r="E811"/>
      <c r="F811"/>
      <c r="G811"/>
      <c r="H811"/>
      <c r="I811"/>
    </row>
    <row r="812" spans="1:9" x14ac:dyDescent="0.25">
      <c r="A812"/>
      <c r="B812"/>
      <c r="C812"/>
      <c r="D812"/>
      <c r="E812"/>
      <c r="F812"/>
      <c r="G812"/>
      <c r="H812"/>
      <c r="I812"/>
    </row>
    <row r="813" spans="1:9" x14ac:dyDescent="0.25">
      <c r="A813"/>
      <c r="B813"/>
      <c r="C813"/>
      <c r="D813"/>
      <c r="E813"/>
      <c r="F813"/>
      <c r="G813"/>
      <c r="H813"/>
      <c r="I813"/>
    </row>
    <row r="814" spans="1:9" x14ac:dyDescent="0.25">
      <c r="A814"/>
      <c r="B814"/>
      <c r="C814"/>
      <c r="D814"/>
      <c r="E814"/>
      <c r="F814"/>
      <c r="G814"/>
      <c r="H814"/>
      <c r="I814"/>
    </row>
    <row r="815" spans="1:9" x14ac:dyDescent="0.25">
      <c r="A815"/>
      <c r="B815"/>
      <c r="C815"/>
      <c r="D815"/>
      <c r="E815"/>
      <c r="F815"/>
      <c r="G815"/>
      <c r="H815"/>
      <c r="I815"/>
    </row>
    <row r="816" spans="1:9" x14ac:dyDescent="0.25">
      <c r="A816"/>
      <c r="B816"/>
      <c r="C816"/>
      <c r="D816"/>
      <c r="E816"/>
      <c r="F816"/>
      <c r="G816"/>
      <c r="H816"/>
      <c r="I816"/>
    </row>
    <row r="817" spans="1:9" x14ac:dyDescent="0.25">
      <c r="A817"/>
      <c r="B817"/>
      <c r="C817"/>
      <c r="D817"/>
      <c r="E817"/>
      <c r="F817"/>
      <c r="G817"/>
      <c r="H817"/>
      <c r="I817"/>
    </row>
    <row r="818" spans="1:9" x14ac:dyDescent="0.25">
      <c r="A818"/>
      <c r="B818"/>
      <c r="C818"/>
      <c r="D818"/>
      <c r="E818"/>
      <c r="F818"/>
      <c r="G818"/>
      <c r="H818"/>
      <c r="I818"/>
    </row>
    <row r="819" spans="1:9" x14ac:dyDescent="0.25">
      <c r="A819"/>
      <c r="B819"/>
      <c r="C819"/>
      <c r="D819"/>
      <c r="E819"/>
      <c r="F819"/>
      <c r="G819"/>
      <c r="H819"/>
      <c r="I819"/>
    </row>
    <row r="820" spans="1:9" x14ac:dyDescent="0.25">
      <c r="A820"/>
      <c r="B820"/>
      <c r="C820"/>
      <c r="D820"/>
      <c r="E820"/>
      <c r="F820"/>
      <c r="G820"/>
      <c r="H820"/>
      <c r="I820"/>
    </row>
    <row r="821" spans="1:9" x14ac:dyDescent="0.25">
      <c r="A821"/>
      <c r="B821"/>
      <c r="C821"/>
      <c r="D821"/>
      <c r="E821"/>
      <c r="F821"/>
      <c r="G821"/>
      <c r="H821"/>
      <c r="I821"/>
    </row>
    <row r="822" spans="1:9" x14ac:dyDescent="0.25">
      <c r="A822"/>
      <c r="B822"/>
      <c r="C822"/>
      <c r="D822"/>
      <c r="E822"/>
      <c r="F822"/>
      <c r="G822"/>
      <c r="H822"/>
      <c r="I822"/>
    </row>
    <row r="823" spans="1:9" x14ac:dyDescent="0.25">
      <c r="A823"/>
      <c r="B823"/>
      <c r="C823"/>
      <c r="D823"/>
      <c r="E823"/>
      <c r="F823"/>
      <c r="G823"/>
      <c r="H823"/>
      <c r="I823"/>
    </row>
    <row r="824" spans="1:9" x14ac:dyDescent="0.25">
      <c r="A824"/>
      <c r="B824"/>
      <c r="C824"/>
      <c r="D824"/>
      <c r="E824"/>
      <c r="F824"/>
      <c r="G824"/>
      <c r="H824"/>
      <c r="I824"/>
    </row>
    <row r="825" spans="1:9" x14ac:dyDescent="0.25">
      <c r="A825"/>
      <c r="B825"/>
      <c r="C825"/>
      <c r="D825"/>
      <c r="E825"/>
      <c r="F825"/>
      <c r="G825"/>
      <c r="H825"/>
      <c r="I825"/>
    </row>
    <row r="826" spans="1:9" x14ac:dyDescent="0.25">
      <c r="A826"/>
      <c r="B826"/>
      <c r="C826"/>
      <c r="D826"/>
      <c r="E826"/>
      <c r="F826"/>
      <c r="G826"/>
      <c r="H826"/>
      <c r="I826"/>
    </row>
    <row r="827" spans="1:9" x14ac:dyDescent="0.25">
      <c r="A827"/>
      <c r="B827"/>
      <c r="C827"/>
      <c r="D827"/>
      <c r="E827"/>
      <c r="F827"/>
      <c r="G827"/>
      <c r="H827"/>
      <c r="I827"/>
    </row>
    <row r="828" spans="1:9" x14ac:dyDescent="0.25">
      <c r="A828"/>
      <c r="B828"/>
      <c r="C828"/>
      <c r="D828"/>
      <c r="E828"/>
      <c r="F828"/>
      <c r="G828"/>
      <c r="H828"/>
      <c r="I828"/>
    </row>
    <row r="829" spans="1:9" x14ac:dyDescent="0.25">
      <c r="A829"/>
      <c r="B829"/>
      <c r="C829"/>
      <c r="D829"/>
      <c r="E829"/>
      <c r="F829"/>
      <c r="G829"/>
      <c r="H829"/>
      <c r="I829"/>
    </row>
    <row r="830" spans="1:9" x14ac:dyDescent="0.25">
      <c r="A830"/>
      <c r="B830"/>
      <c r="C830"/>
      <c r="D830"/>
      <c r="E830"/>
      <c r="F830"/>
      <c r="G830"/>
      <c r="H830"/>
      <c r="I830"/>
    </row>
    <row r="831" spans="1:9" x14ac:dyDescent="0.25">
      <c r="A831"/>
      <c r="B831"/>
      <c r="C831"/>
      <c r="D831"/>
      <c r="E831"/>
      <c r="F831"/>
      <c r="G831"/>
      <c r="H831"/>
      <c r="I831"/>
    </row>
    <row r="832" spans="1:9" x14ac:dyDescent="0.25">
      <c r="A832"/>
      <c r="B832"/>
      <c r="C832"/>
      <c r="D832"/>
      <c r="E832"/>
      <c r="F832"/>
      <c r="G832"/>
      <c r="H832"/>
      <c r="I832"/>
    </row>
    <row r="833" spans="1:9" x14ac:dyDescent="0.25">
      <c r="A833"/>
      <c r="B833"/>
      <c r="C833"/>
      <c r="D833"/>
      <c r="E833"/>
      <c r="F833"/>
      <c r="G833"/>
      <c r="H833"/>
      <c r="I833"/>
    </row>
    <row r="834" spans="1:9" x14ac:dyDescent="0.25">
      <c r="A834"/>
      <c r="B834"/>
      <c r="C834"/>
      <c r="D834"/>
      <c r="E834"/>
      <c r="F834"/>
      <c r="G834"/>
      <c r="H834"/>
      <c r="I834"/>
    </row>
    <row r="835" spans="1:9" x14ac:dyDescent="0.25">
      <c r="A835"/>
      <c r="B835"/>
      <c r="C835"/>
      <c r="D835"/>
      <c r="E835"/>
      <c r="F835"/>
      <c r="G835"/>
      <c r="H835"/>
      <c r="I835"/>
    </row>
    <row r="836" spans="1:9" x14ac:dyDescent="0.25">
      <c r="A836"/>
      <c r="B836"/>
      <c r="C836"/>
      <c r="D836"/>
      <c r="E836"/>
      <c r="F836"/>
      <c r="G836"/>
      <c r="H836"/>
      <c r="I836"/>
    </row>
    <row r="837" spans="1:9" x14ac:dyDescent="0.25">
      <c r="A837"/>
      <c r="B837"/>
      <c r="C837"/>
      <c r="D837"/>
      <c r="E837"/>
      <c r="F837"/>
      <c r="G837"/>
      <c r="H837"/>
      <c r="I837"/>
    </row>
    <row r="838" spans="1:9" x14ac:dyDescent="0.25">
      <c r="A838"/>
      <c r="B838"/>
      <c r="C838"/>
      <c r="D838"/>
      <c r="E838"/>
      <c r="F838"/>
      <c r="G838"/>
      <c r="H838"/>
      <c r="I838"/>
    </row>
    <row r="839" spans="1:9" x14ac:dyDescent="0.25">
      <c r="A839"/>
      <c r="B839"/>
      <c r="C839"/>
      <c r="D839"/>
      <c r="E839"/>
      <c r="F839"/>
      <c r="G839"/>
      <c r="H839"/>
      <c r="I839"/>
    </row>
    <row r="840" spans="1:9" x14ac:dyDescent="0.25">
      <c r="A840"/>
      <c r="B840"/>
      <c r="C840"/>
      <c r="D840"/>
      <c r="E840"/>
      <c r="F840"/>
      <c r="G840"/>
      <c r="H840"/>
      <c r="I840"/>
    </row>
    <row r="841" spans="1:9" x14ac:dyDescent="0.25">
      <c r="A841"/>
      <c r="B841"/>
      <c r="C841"/>
      <c r="D841"/>
      <c r="E841"/>
      <c r="F841"/>
      <c r="G841"/>
      <c r="H841"/>
      <c r="I841"/>
    </row>
    <row r="842" spans="1:9" x14ac:dyDescent="0.25">
      <c r="A842"/>
      <c r="B842"/>
      <c r="C842"/>
      <c r="D842"/>
      <c r="E842"/>
      <c r="F842"/>
      <c r="G842"/>
      <c r="H842"/>
      <c r="I842"/>
    </row>
    <row r="843" spans="1:9" x14ac:dyDescent="0.25">
      <c r="A843"/>
      <c r="B843"/>
      <c r="C843"/>
      <c r="D843"/>
      <c r="E843"/>
      <c r="F843"/>
      <c r="G843"/>
      <c r="H843"/>
      <c r="I843"/>
    </row>
    <row r="844" spans="1:9" x14ac:dyDescent="0.25">
      <c r="A844"/>
      <c r="B844"/>
      <c r="C844"/>
      <c r="D844"/>
      <c r="E844"/>
      <c r="F844"/>
      <c r="G844"/>
      <c r="H844"/>
      <c r="I844"/>
    </row>
    <row r="845" spans="1:9" x14ac:dyDescent="0.25">
      <c r="A845"/>
      <c r="B845"/>
      <c r="C845"/>
      <c r="D845"/>
      <c r="E845"/>
      <c r="F845"/>
      <c r="G845"/>
      <c r="H845"/>
      <c r="I845"/>
    </row>
    <row r="846" spans="1:9" x14ac:dyDescent="0.25">
      <c r="A846"/>
      <c r="B846"/>
      <c r="C846"/>
      <c r="D846"/>
      <c r="E846"/>
      <c r="F846"/>
      <c r="G846"/>
      <c r="H846"/>
      <c r="I846"/>
    </row>
    <row r="847" spans="1:9" x14ac:dyDescent="0.25">
      <c r="A847"/>
      <c r="B847"/>
      <c r="C847"/>
      <c r="D847"/>
      <c r="E847"/>
      <c r="F847"/>
      <c r="G847"/>
      <c r="H847"/>
      <c r="I847"/>
    </row>
    <row r="848" spans="1:9" x14ac:dyDescent="0.25">
      <c r="A848"/>
      <c r="B848"/>
      <c r="C848"/>
      <c r="D848"/>
      <c r="E848"/>
      <c r="F848"/>
      <c r="G848"/>
      <c r="H848"/>
      <c r="I848"/>
    </row>
    <row r="849" spans="1:9" x14ac:dyDescent="0.25">
      <c r="A849"/>
      <c r="B849"/>
      <c r="C849"/>
      <c r="D849"/>
      <c r="E849"/>
      <c r="F849"/>
      <c r="G849"/>
      <c r="H849"/>
      <c r="I849"/>
    </row>
    <row r="850" spans="1:9" x14ac:dyDescent="0.25">
      <c r="A850"/>
      <c r="B850"/>
      <c r="C850"/>
      <c r="D850"/>
      <c r="E850"/>
      <c r="F850"/>
      <c r="G850"/>
      <c r="H850"/>
      <c r="I850"/>
    </row>
    <row r="851" spans="1:9" x14ac:dyDescent="0.25">
      <c r="A851"/>
      <c r="B851"/>
      <c r="C851"/>
      <c r="D851"/>
      <c r="E851"/>
      <c r="F851"/>
      <c r="G851"/>
      <c r="H851"/>
      <c r="I851"/>
    </row>
    <row r="852" spans="1:9" x14ac:dyDescent="0.25">
      <c r="A852"/>
      <c r="B852"/>
      <c r="C852"/>
      <c r="D852"/>
      <c r="E852"/>
      <c r="F852"/>
      <c r="G852"/>
      <c r="H852"/>
      <c r="I852"/>
    </row>
    <row r="853" spans="1:9" x14ac:dyDescent="0.25">
      <c r="A853"/>
      <c r="B853"/>
      <c r="C853"/>
      <c r="D853"/>
      <c r="E853"/>
      <c r="F853"/>
      <c r="G853"/>
      <c r="H853"/>
      <c r="I853"/>
    </row>
    <row r="854" spans="1:9" x14ac:dyDescent="0.25">
      <c r="A854"/>
      <c r="B854"/>
      <c r="C854"/>
      <c r="D854"/>
      <c r="E854"/>
      <c r="F854"/>
      <c r="G854"/>
      <c r="H854"/>
      <c r="I854"/>
    </row>
    <row r="855" spans="1:9" x14ac:dyDescent="0.25">
      <c r="A855"/>
      <c r="B855"/>
      <c r="C855"/>
      <c r="D855"/>
      <c r="E855"/>
      <c r="F855"/>
      <c r="G855"/>
      <c r="H855"/>
      <c r="I855"/>
    </row>
    <row r="856" spans="1:9" x14ac:dyDescent="0.25">
      <c r="A856"/>
      <c r="B856"/>
      <c r="C856"/>
      <c r="D856"/>
      <c r="E856"/>
      <c r="F856"/>
      <c r="G856"/>
      <c r="H856"/>
      <c r="I856"/>
    </row>
    <row r="857" spans="1:9" x14ac:dyDescent="0.25">
      <c r="A857"/>
      <c r="B857"/>
      <c r="C857"/>
      <c r="D857"/>
      <c r="E857"/>
      <c r="F857"/>
      <c r="G857"/>
      <c r="H857"/>
      <c r="I857"/>
    </row>
    <row r="858" spans="1:9" x14ac:dyDescent="0.25">
      <c r="A858"/>
      <c r="B858"/>
      <c r="C858"/>
      <c r="D858"/>
      <c r="E858"/>
      <c r="F858"/>
      <c r="G858"/>
      <c r="H858"/>
      <c r="I858"/>
    </row>
    <row r="859" spans="1:9" x14ac:dyDescent="0.25">
      <c r="A859"/>
      <c r="B859"/>
      <c r="C859"/>
      <c r="D859"/>
      <c r="E859"/>
      <c r="F859"/>
      <c r="G859"/>
      <c r="H859"/>
      <c r="I859"/>
    </row>
    <row r="860" spans="1:9" x14ac:dyDescent="0.25">
      <c r="A860"/>
      <c r="B860"/>
      <c r="C860"/>
      <c r="D860"/>
      <c r="E860"/>
      <c r="F860"/>
      <c r="G860"/>
      <c r="H860"/>
      <c r="I860"/>
    </row>
    <row r="861" spans="1:9" x14ac:dyDescent="0.25">
      <c r="A861"/>
      <c r="B861"/>
      <c r="C861"/>
      <c r="D861"/>
      <c r="E861"/>
      <c r="F861"/>
      <c r="G861"/>
      <c r="H861"/>
      <c r="I861"/>
    </row>
    <row r="862" spans="1:9" x14ac:dyDescent="0.25">
      <c r="A862"/>
      <c r="B862"/>
      <c r="C862"/>
      <c r="D862"/>
      <c r="E862"/>
      <c r="F862"/>
      <c r="G862"/>
      <c r="H862"/>
      <c r="I862"/>
    </row>
    <row r="863" spans="1:9" x14ac:dyDescent="0.25">
      <c r="A863"/>
      <c r="B863"/>
      <c r="C863"/>
      <c r="D863"/>
      <c r="E863"/>
      <c r="F863"/>
      <c r="G863"/>
      <c r="H863"/>
      <c r="I863"/>
    </row>
    <row r="864" spans="1:9" x14ac:dyDescent="0.25">
      <c r="A864"/>
      <c r="B864"/>
      <c r="C864"/>
      <c r="D864"/>
      <c r="E864"/>
      <c r="F864"/>
      <c r="G864"/>
      <c r="H864"/>
      <c r="I864"/>
    </row>
    <row r="865" spans="1:9" x14ac:dyDescent="0.25">
      <c r="A865"/>
      <c r="B865"/>
      <c r="C865"/>
      <c r="D865"/>
      <c r="E865"/>
      <c r="F865"/>
      <c r="G865"/>
      <c r="H865"/>
      <c r="I865"/>
    </row>
    <row r="866" spans="1:9" x14ac:dyDescent="0.25">
      <c r="A866"/>
      <c r="B866"/>
      <c r="C866"/>
      <c r="D866"/>
      <c r="E866"/>
      <c r="F866"/>
      <c r="G866"/>
      <c r="H866"/>
      <c r="I866"/>
    </row>
    <row r="867" spans="1:9" x14ac:dyDescent="0.25">
      <c r="A867"/>
      <c r="B867"/>
      <c r="C867"/>
      <c r="D867"/>
      <c r="E867"/>
      <c r="F867"/>
      <c r="G867"/>
      <c r="H867"/>
      <c r="I867"/>
    </row>
    <row r="868" spans="1:9" x14ac:dyDescent="0.25">
      <c r="A868"/>
      <c r="B868"/>
      <c r="C868"/>
      <c r="D868"/>
      <c r="E868"/>
      <c r="F868"/>
      <c r="G868"/>
      <c r="H868"/>
      <c r="I868"/>
    </row>
    <row r="869" spans="1:9" x14ac:dyDescent="0.25">
      <c r="A869"/>
      <c r="B869"/>
      <c r="C869"/>
      <c r="D869"/>
      <c r="E869"/>
      <c r="F869"/>
      <c r="G869"/>
      <c r="H869"/>
      <c r="I869"/>
    </row>
    <row r="870" spans="1:9" x14ac:dyDescent="0.25">
      <c r="A870"/>
      <c r="B870"/>
      <c r="C870"/>
      <c r="D870"/>
      <c r="E870"/>
      <c r="F870"/>
      <c r="G870"/>
      <c r="H870"/>
      <c r="I870"/>
    </row>
    <row r="871" spans="1:9" x14ac:dyDescent="0.25">
      <c r="A871"/>
      <c r="B871"/>
      <c r="C871"/>
      <c r="D871"/>
      <c r="E871"/>
      <c r="F871"/>
      <c r="G871"/>
      <c r="H871"/>
      <c r="I871"/>
    </row>
    <row r="872" spans="1:9" x14ac:dyDescent="0.25">
      <c r="A872"/>
      <c r="B872"/>
      <c r="C872"/>
      <c r="D872"/>
      <c r="E872"/>
      <c r="F872"/>
      <c r="G872"/>
      <c r="H872"/>
      <c r="I872"/>
    </row>
    <row r="873" spans="1:9" x14ac:dyDescent="0.25">
      <c r="A873"/>
      <c r="B873"/>
      <c r="C873"/>
      <c r="D873"/>
      <c r="E873"/>
      <c r="F873"/>
      <c r="G873"/>
      <c r="H873"/>
      <c r="I873"/>
    </row>
    <row r="874" spans="1:9" x14ac:dyDescent="0.25">
      <c r="A874"/>
      <c r="B874"/>
      <c r="C874"/>
      <c r="D874"/>
      <c r="E874"/>
      <c r="F874"/>
      <c r="G874"/>
      <c r="H874"/>
      <c r="I874"/>
    </row>
    <row r="875" spans="1:9" x14ac:dyDescent="0.25">
      <c r="A875"/>
      <c r="B875"/>
      <c r="C875"/>
      <c r="D875"/>
      <c r="E875"/>
      <c r="F875"/>
      <c r="G875"/>
      <c r="H875"/>
      <c r="I875"/>
    </row>
    <row r="876" spans="1:9" x14ac:dyDescent="0.25">
      <c r="A876"/>
      <c r="B876"/>
      <c r="C876"/>
      <c r="D876"/>
      <c r="E876"/>
      <c r="F876"/>
      <c r="G876"/>
      <c r="H876"/>
      <c r="I876"/>
    </row>
    <row r="877" spans="1:9" x14ac:dyDescent="0.25">
      <c r="A877"/>
      <c r="B877"/>
      <c r="C877"/>
      <c r="D877"/>
      <c r="E877"/>
      <c r="F877"/>
      <c r="G877"/>
      <c r="H877"/>
      <c r="I877"/>
    </row>
  </sheetData>
  <printOptions horizontalCentered="1"/>
  <pageMargins left="0.25" right="0.25" top="0.75" bottom="0.75" header="0.3" footer="0.3"/>
  <pageSetup paperSize="9" scale="64" fitToHeight="3" orientation="portrait" r:id="rId2"/>
  <drawing r:id="rId3"/>
  <extLst>
    <ext xmlns:x14="http://schemas.microsoft.com/office/spreadsheetml/2009/9/main" uri="{A8765BA9-456A-4dab-B4F3-ACF838C121DE}">
      <x14:slicerList>
        <x14:slicer r:id="rId4"/>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8C25D-1485-48F5-8BF6-06EDC460DE89}">
  <sheetPr>
    <pageSetUpPr fitToPage="1"/>
  </sheetPr>
  <dimension ref="A9:N877"/>
  <sheetViews>
    <sheetView showGridLines="0" view="pageBreakPreview" topLeftCell="A4" zoomScale="85" zoomScaleNormal="100" zoomScaleSheetLayoutView="85" workbookViewId="0">
      <selection activeCell="J107" sqref="J107"/>
    </sheetView>
  </sheetViews>
  <sheetFormatPr defaultRowHeight="15" x14ac:dyDescent="0.25"/>
  <cols>
    <col min="1" max="1" width="13.28515625" style="79" bestFit="1" customWidth="1"/>
    <col min="2" max="2" width="16.140625" style="191" bestFit="1" customWidth="1"/>
    <col min="3" max="5" width="11.5703125" style="192" bestFit="1" customWidth="1"/>
    <col min="6" max="6" width="13.5703125" style="79" bestFit="1" customWidth="1"/>
    <col min="7" max="7" width="18.28515625" style="192" bestFit="1" customWidth="1"/>
    <col min="8" max="8" width="13.28515625" style="192" bestFit="1" customWidth="1"/>
    <col min="9" max="9" width="16.42578125" style="79" bestFit="1" customWidth="1"/>
    <col min="10" max="10" width="28.85546875" style="79" bestFit="1" customWidth="1"/>
    <col min="11" max="13" width="9.140625" style="79"/>
    <col min="14" max="14" width="24.7109375" style="79" bestFit="1" customWidth="1"/>
    <col min="15" max="16384" width="9.140625" style="79"/>
  </cols>
  <sheetData>
    <row r="9" spans="14:14" x14ac:dyDescent="0.25">
      <c r="N9" s="79" t="s">
        <v>1177</v>
      </c>
    </row>
    <row r="10" spans="14:14" x14ac:dyDescent="0.25">
      <c r="N10" s="79" t="s">
        <v>1163</v>
      </c>
    </row>
    <row r="11" spans="14:14" x14ac:dyDescent="0.25">
      <c r="N11" s="79">
        <f>COUNT(B18:B162)</f>
        <v>89</v>
      </c>
    </row>
    <row r="12" spans="14:14" x14ac:dyDescent="0.25">
      <c r="N12" s="79" t="s">
        <v>1164</v>
      </c>
    </row>
    <row r="13" spans="14:14" x14ac:dyDescent="0.25">
      <c r="N13" s="79" t="s">
        <v>1301</v>
      </c>
    </row>
    <row r="14" spans="14:14" x14ac:dyDescent="0.25">
      <c r="N14" s="226">
        <f>GETPIVOTDATA("Sum of TOTAL UNIT VALUE (SEMI FINISHED)",'PROJECT SUMMARY DASH'!$A$1,"SELLING PHASE NAME","R 4")</f>
        <v>753224540.62943995</v>
      </c>
    </row>
    <row r="18" spans="1:10" s="160" customFormat="1" ht="60" x14ac:dyDescent="0.25">
      <c r="A18" s="160" t="s">
        <v>733</v>
      </c>
      <c r="B18" s="160" t="s">
        <v>1303</v>
      </c>
      <c r="C18" s="160" t="s">
        <v>713</v>
      </c>
      <c r="D18" s="160" t="s">
        <v>1302</v>
      </c>
      <c r="E18" s="225" t="s">
        <v>1151</v>
      </c>
      <c r="F18" s="225" t="s">
        <v>1152</v>
      </c>
      <c r="G18" s="160" t="s">
        <v>1298</v>
      </c>
      <c r="H18" s="160" t="s">
        <v>1299</v>
      </c>
      <c r="I18" s="160" t="s">
        <v>1300</v>
      </c>
      <c r="J18" s="290" t="str">
        <f>Table1[[#Headers],[NO. OF BEDROOMS]]</f>
        <v>NO. OF BEDROOMS</v>
      </c>
    </row>
    <row r="19" spans="1:10" x14ac:dyDescent="0.25">
      <c r="A19" s="121" t="s">
        <v>735</v>
      </c>
      <c r="B19" s="191">
        <v>49154.375</v>
      </c>
      <c r="C19" s="191">
        <v>111</v>
      </c>
      <c r="D19" s="191">
        <v>50.507800000000003</v>
      </c>
      <c r="E19" s="122">
        <v>819284.18273625011</v>
      </c>
      <c r="F19" s="122">
        <v>533410.68365758122</v>
      </c>
      <c r="G19" s="122">
        <v>6490419.8077362496</v>
      </c>
      <c r="H19" s="122">
        <v>6989919.8077362496</v>
      </c>
      <c r="I19" s="122">
        <v>7322919.8077362496</v>
      </c>
      <c r="J19" s="79" t="str">
        <f>VLOOKUP(A19,Table1[[Unit Number]:[NO. OF BEDROOMS]],2,FALSE)</f>
        <v>2 BEDROOM</v>
      </c>
    </row>
    <row r="20" spans="1:10" x14ac:dyDescent="0.25">
      <c r="A20" s="121" t="s">
        <v>246</v>
      </c>
      <c r="B20" s="191">
        <v>47756.875</v>
      </c>
      <c r="C20" s="191">
        <v>136</v>
      </c>
      <c r="D20" s="191"/>
      <c r="E20" s="122">
        <v>0</v>
      </c>
      <c r="F20" s="122">
        <v>552069.47500000009</v>
      </c>
      <c r="G20" s="122">
        <v>6709935</v>
      </c>
      <c r="H20" s="122">
        <v>7321935</v>
      </c>
      <c r="I20" s="122">
        <v>7729935</v>
      </c>
      <c r="J20" s="79" t="str">
        <f>VLOOKUP(A20,Table1[[Unit Number]:[NO. OF BEDROOMS]],2,FALSE)</f>
        <v>2 BEDROOM</v>
      </c>
    </row>
    <row r="21" spans="1:10" x14ac:dyDescent="0.25">
      <c r="A21" s="121" t="s">
        <v>744</v>
      </c>
      <c r="B21" s="191">
        <v>49154.375</v>
      </c>
      <c r="C21" s="191">
        <v>111</v>
      </c>
      <c r="D21" s="191">
        <v>50.503900000000002</v>
      </c>
      <c r="E21" s="122">
        <v>819220.92105562508</v>
      </c>
      <c r="F21" s="122">
        <v>533405.30641472817</v>
      </c>
      <c r="G21" s="122">
        <v>6490356.5460556252</v>
      </c>
      <c r="H21" s="122">
        <v>6989856.5460556252</v>
      </c>
      <c r="I21" s="122">
        <v>7322856.5460556252</v>
      </c>
      <c r="J21" s="79" t="str">
        <f>VLOOKUP(A21,Table1[[Unit Number]:[NO. OF BEDROOMS]],2,FALSE)</f>
        <v>2 BEDROOM</v>
      </c>
    </row>
    <row r="22" spans="1:10" x14ac:dyDescent="0.25">
      <c r="A22" s="121" t="s">
        <v>745</v>
      </c>
      <c r="B22" s="191">
        <v>49154.375</v>
      </c>
      <c r="C22" s="191">
        <v>121</v>
      </c>
      <c r="D22" s="191">
        <v>50.705300000000001</v>
      </c>
      <c r="E22" s="122">
        <v>822487.81912687502</v>
      </c>
      <c r="F22" s="122">
        <v>575464.21150078438</v>
      </c>
      <c r="G22" s="122">
        <v>6985167.1941268751</v>
      </c>
      <c r="H22" s="122">
        <v>7529667.1941268751</v>
      </c>
      <c r="I22" s="122">
        <v>7892667.1941268751</v>
      </c>
      <c r="J22" s="79" t="str">
        <f>VLOOKUP(A22,Table1[[Unit Number]:[NO. OF BEDROOMS]],2,FALSE)</f>
        <v>2 BEDROOM</v>
      </c>
    </row>
    <row r="23" spans="1:10" x14ac:dyDescent="0.25">
      <c r="A23" s="121" t="s">
        <v>345</v>
      </c>
      <c r="B23" s="191">
        <v>49100.625</v>
      </c>
      <c r="C23" s="191">
        <v>122</v>
      </c>
      <c r="D23" s="191"/>
      <c r="E23" s="122">
        <v>0</v>
      </c>
      <c r="F23" s="122">
        <v>509173.48125000001</v>
      </c>
      <c r="G23" s="122">
        <v>6205276.25</v>
      </c>
      <c r="H23" s="122">
        <v>6754276.25</v>
      </c>
      <c r="I23" s="122">
        <v>7120276.25</v>
      </c>
      <c r="J23" s="79" t="str">
        <f>VLOOKUP(A23,Table1[[Unit Number]:[NO. OF BEDROOMS]],2,FALSE)</f>
        <v>2 BEDROOM</v>
      </c>
    </row>
    <row r="24" spans="1:10" x14ac:dyDescent="0.25">
      <c r="A24" s="121" t="s">
        <v>346</v>
      </c>
      <c r="B24" s="191">
        <v>49100.625</v>
      </c>
      <c r="C24" s="191">
        <v>112</v>
      </c>
      <c r="D24" s="191"/>
      <c r="E24" s="122">
        <v>0</v>
      </c>
      <c r="F24" s="122">
        <v>467437.95</v>
      </c>
      <c r="G24" s="122">
        <v>5714270</v>
      </c>
      <c r="H24" s="122">
        <v>6218270</v>
      </c>
      <c r="I24" s="122">
        <v>6554270</v>
      </c>
      <c r="J24" s="79" t="str">
        <f>VLOOKUP(A24,Table1[[Unit Number]:[NO. OF BEDROOMS]],2,FALSE)</f>
        <v>2 BEDROOM</v>
      </c>
    </row>
    <row r="25" spans="1:10" x14ac:dyDescent="0.25">
      <c r="A25" s="121" t="s">
        <v>361</v>
      </c>
      <c r="B25" s="191">
        <v>49100.625</v>
      </c>
      <c r="C25" s="191">
        <v>112</v>
      </c>
      <c r="D25" s="191"/>
      <c r="E25" s="122">
        <v>0</v>
      </c>
      <c r="F25" s="122">
        <v>467437.95</v>
      </c>
      <c r="G25" s="122">
        <v>5714270</v>
      </c>
      <c r="H25" s="122">
        <v>6218270</v>
      </c>
      <c r="I25" s="122">
        <v>6554270</v>
      </c>
      <c r="J25" s="79" t="str">
        <f>VLOOKUP(A25,Table1[[Unit Number]:[NO. OF BEDROOMS]],2,FALSE)</f>
        <v>2 BEDROOM</v>
      </c>
    </row>
    <row r="26" spans="1:10" x14ac:dyDescent="0.25">
      <c r="A26" s="121" t="s">
        <v>380</v>
      </c>
      <c r="B26" s="191">
        <v>49087.1875</v>
      </c>
      <c r="C26" s="191">
        <v>172</v>
      </c>
      <c r="D26" s="191"/>
      <c r="E26" s="122">
        <v>0</v>
      </c>
      <c r="F26" s="122">
        <v>717654.68125000002</v>
      </c>
      <c r="G26" s="122">
        <v>8657996.25</v>
      </c>
      <c r="H26" s="122">
        <v>9431996.25</v>
      </c>
      <c r="I26" s="122">
        <v>9947996.25</v>
      </c>
      <c r="J26" s="79" t="str">
        <f>VLOOKUP(A26,Table1[[Unit Number]:[NO. OF BEDROOMS]],2,FALSE)</f>
        <v>3 BEDROOM</v>
      </c>
    </row>
    <row r="27" spans="1:10" x14ac:dyDescent="0.25">
      <c r="A27" s="121" t="s">
        <v>381</v>
      </c>
      <c r="B27" s="191">
        <v>49880</v>
      </c>
      <c r="C27" s="191">
        <v>201</v>
      </c>
      <c r="D27" s="191"/>
      <c r="E27" s="122">
        <v>0</v>
      </c>
      <c r="F27" s="122">
        <v>852199.8</v>
      </c>
      <c r="G27" s="122">
        <v>10240880</v>
      </c>
      <c r="H27" s="122">
        <v>11145380</v>
      </c>
      <c r="I27" s="122">
        <v>11748380</v>
      </c>
      <c r="J27" s="79" t="str">
        <f>VLOOKUP(A27,Table1[[Unit Number]:[NO. OF BEDROOMS]],2,FALSE)</f>
        <v>3 BEDROOM</v>
      </c>
    </row>
    <row r="28" spans="1:10" x14ac:dyDescent="0.25">
      <c r="A28" s="121" t="s">
        <v>384</v>
      </c>
      <c r="B28" s="191">
        <v>47810.625</v>
      </c>
      <c r="C28" s="191">
        <v>116</v>
      </c>
      <c r="D28" s="191">
        <v>63.930199999999999</v>
      </c>
      <c r="E28" s="122">
        <v>1008659.13006375</v>
      </c>
      <c r="F28" s="122">
        <v>557148.78855541872</v>
      </c>
      <c r="G28" s="122">
        <v>6769691.6300637498</v>
      </c>
      <c r="H28" s="122">
        <v>7291691.6300637498</v>
      </c>
      <c r="I28" s="122">
        <v>7639691.6300637498</v>
      </c>
      <c r="J28" s="79" t="str">
        <f>VLOOKUP(A28,Table1[[Unit Number]:[NO. OF BEDROOMS]],2,FALSE)</f>
        <v>2 BEDROOM</v>
      </c>
    </row>
    <row r="29" spans="1:10" x14ac:dyDescent="0.25">
      <c r="A29" s="121" t="s">
        <v>390</v>
      </c>
      <c r="B29" s="191">
        <v>49906.875</v>
      </c>
      <c r="C29" s="191">
        <v>228</v>
      </c>
      <c r="D29" s="191"/>
      <c r="E29" s="122">
        <v>0</v>
      </c>
      <c r="F29" s="122">
        <v>967195.23750000005</v>
      </c>
      <c r="G29" s="122">
        <v>11593767.5</v>
      </c>
      <c r="H29" s="122">
        <v>12619767.5</v>
      </c>
      <c r="I29" s="122">
        <v>13303767.5</v>
      </c>
      <c r="J29" s="79" t="str">
        <f>VLOOKUP(A29,Table1[[Unit Number]:[NO. OF BEDROOMS]],2,FALSE)</f>
        <v>3 BEDROOM + LIVING</v>
      </c>
    </row>
    <row r="30" spans="1:10" x14ac:dyDescent="0.25">
      <c r="A30" s="121" t="s">
        <v>393</v>
      </c>
      <c r="B30" s="191">
        <v>47810.625</v>
      </c>
      <c r="C30" s="191">
        <v>176</v>
      </c>
      <c r="D30" s="191"/>
      <c r="E30" s="122">
        <v>0</v>
      </c>
      <c r="F30" s="122">
        <v>715246.95000000007</v>
      </c>
      <c r="G30" s="122">
        <v>8629670</v>
      </c>
      <c r="H30" s="122">
        <v>9421670</v>
      </c>
      <c r="I30" s="122">
        <v>9949670</v>
      </c>
      <c r="J30" s="79" t="str">
        <f>VLOOKUP(A30,Table1[[Unit Number]:[NO. OF BEDROOMS]],2,FALSE)</f>
        <v>3 BEDROOM</v>
      </c>
    </row>
    <row r="31" spans="1:10" x14ac:dyDescent="0.25">
      <c r="A31" s="121" t="s">
        <v>394</v>
      </c>
      <c r="B31" s="191">
        <v>47783.75</v>
      </c>
      <c r="C31" s="191">
        <v>170</v>
      </c>
      <c r="D31" s="191"/>
      <c r="E31" s="122">
        <v>0</v>
      </c>
      <c r="F31" s="122">
        <v>690475.1875</v>
      </c>
      <c r="G31" s="122">
        <v>8338237.5</v>
      </c>
      <c r="H31" s="122">
        <v>9103237.5</v>
      </c>
      <c r="I31" s="122">
        <v>9613237.5</v>
      </c>
      <c r="J31" s="79" t="str">
        <f>VLOOKUP(A31,Table1[[Unit Number]:[NO. OF BEDROOMS]],2,FALSE)</f>
        <v>3 BEDROOM</v>
      </c>
    </row>
    <row r="32" spans="1:10" x14ac:dyDescent="0.25">
      <c r="A32" s="121" t="s">
        <v>397</v>
      </c>
      <c r="B32" s="191">
        <v>47810.625</v>
      </c>
      <c r="C32" s="191">
        <v>116</v>
      </c>
      <c r="D32" s="191">
        <v>63.399000000000001</v>
      </c>
      <c r="E32" s="122">
        <v>1000278.11874375</v>
      </c>
      <c r="F32" s="122">
        <v>556436.40259321884</v>
      </c>
      <c r="G32" s="122">
        <v>6761310.6187437503</v>
      </c>
      <c r="H32" s="122">
        <v>7283310.6187437503</v>
      </c>
      <c r="I32" s="122">
        <v>7631310.6187437503</v>
      </c>
      <c r="J32" s="79" t="str">
        <f>VLOOKUP(A32,Table1[[Unit Number]:[NO. OF BEDROOMS]],2,FALSE)</f>
        <v>2 BEDROOM</v>
      </c>
    </row>
    <row r="33" spans="1:10" x14ac:dyDescent="0.25">
      <c r="A33" s="121" t="s">
        <v>406</v>
      </c>
      <c r="B33" s="191">
        <v>47783.75</v>
      </c>
      <c r="C33" s="191">
        <v>170</v>
      </c>
      <c r="D33" s="191"/>
      <c r="E33" s="122">
        <v>0</v>
      </c>
      <c r="F33" s="122">
        <v>690475.1875</v>
      </c>
      <c r="G33" s="122">
        <v>8338237.5</v>
      </c>
      <c r="H33" s="122">
        <v>9103237.5</v>
      </c>
      <c r="I33" s="122">
        <v>9613237.5</v>
      </c>
      <c r="J33" s="79" t="str">
        <f>VLOOKUP(A33,Table1[[Unit Number]:[NO. OF BEDROOMS]],2,FALSE)</f>
        <v>3 BEDROOM</v>
      </c>
    </row>
    <row r="34" spans="1:10" x14ac:dyDescent="0.25">
      <c r="A34" s="121" t="s">
        <v>407</v>
      </c>
      <c r="B34" s="191">
        <v>47783.75</v>
      </c>
      <c r="C34" s="191">
        <v>170</v>
      </c>
      <c r="D34" s="191"/>
      <c r="E34" s="122">
        <v>0</v>
      </c>
      <c r="F34" s="122">
        <v>690475.1875</v>
      </c>
      <c r="G34" s="122">
        <v>8338237.5</v>
      </c>
      <c r="H34" s="122">
        <v>9103237.5</v>
      </c>
      <c r="I34" s="122">
        <v>9613237.5</v>
      </c>
      <c r="J34" s="79" t="str">
        <f>VLOOKUP(A34,Table1[[Unit Number]:[NO. OF BEDROOMS]],2,FALSE)</f>
        <v>3 BEDROOM</v>
      </c>
    </row>
    <row r="35" spans="1:10" x14ac:dyDescent="0.25">
      <c r="A35" s="121" t="s">
        <v>410</v>
      </c>
      <c r="B35" s="191">
        <v>47810.625</v>
      </c>
      <c r="C35" s="191">
        <v>116</v>
      </c>
      <c r="D35" s="191">
        <v>61.981200000000001</v>
      </c>
      <c r="E35" s="122">
        <v>977908.77038250002</v>
      </c>
      <c r="F35" s="122">
        <v>554535.00798251259</v>
      </c>
      <c r="G35" s="122">
        <v>6738941.2703825003</v>
      </c>
      <c r="H35" s="122">
        <v>7260941.2703825003</v>
      </c>
      <c r="I35" s="122">
        <v>7608941.2703825003</v>
      </c>
      <c r="J35" s="79" t="str">
        <f>VLOOKUP(A35,Table1[[Unit Number]:[NO. OF BEDROOMS]],2,FALSE)</f>
        <v>2 BEDROOM</v>
      </c>
    </row>
    <row r="36" spans="1:10" x14ac:dyDescent="0.25">
      <c r="A36" s="121" t="s">
        <v>843</v>
      </c>
      <c r="B36" s="191">
        <v>49122.125</v>
      </c>
      <c r="C36" s="191">
        <v>224</v>
      </c>
      <c r="D36" s="191"/>
      <c r="E36" s="122">
        <v>0</v>
      </c>
      <c r="F36" s="122">
        <v>935285.26</v>
      </c>
      <c r="G36" s="122">
        <v>11218356</v>
      </c>
      <c r="H36" s="122">
        <v>12226356</v>
      </c>
      <c r="I36" s="122">
        <v>12898356</v>
      </c>
      <c r="J36" s="79" t="str">
        <f>VLOOKUP(A36,Table1[[Unit Number]:[NO. OF BEDROOMS]],2,FALSE)</f>
        <v>3 BEDROOM + LIVING</v>
      </c>
    </row>
    <row r="37" spans="1:10" x14ac:dyDescent="0.25">
      <c r="A37" s="121" t="s">
        <v>420</v>
      </c>
      <c r="B37" s="191">
        <v>47783.75</v>
      </c>
      <c r="C37" s="191">
        <v>170</v>
      </c>
      <c r="D37" s="191"/>
      <c r="E37" s="122">
        <v>0</v>
      </c>
      <c r="F37" s="122">
        <v>690475.1875</v>
      </c>
      <c r="G37" s="122">
        <v>8338237.5</v>
      </c>
      <c r="H37" s="122">
        <v>9103237.5</v>
      </c>
      <c r="I37" s="122">
        <v>9613237.5</v>
      </c>
      <c r="J37" s="79" t="str">
        <f>VLOOKUP(A37,Table1[[Unit Number]:[NO. OF BEDROOMS]],2,FALSE)</f>
        <v>3 BEDROOM</v>
      </c>
    </row>
    <row r="38" spans="1:10" x14ac:dyDescent="0.25">
      <c r="A38" s="121" t="s">
        <v>421</v>
      </c>
      <c r="B38" s="191">
        <v>47810.625</v>
      </c>
      <c r="C38" s="191">
        <v>106</v>
      </c>
      <c r="D38" s="191">
        <v>64.4328</v>
      </c>
      <c r="E38" s="122">
        <v>1016588.904705</v>
      </c>
      <c r="F38" s="122">
        <v>517183.78814992507</v>
      </c>
      <c r="G38" s="122">
        <v>6299515.1547050001</v>
      </c>
      <c r="H38" s="122">
        <v>6776515.1547050001</v>
      </c>
      <c r="I38" s="122">
        <v>7094515.1547050001</v>
      </c>
      <c r="J38" s="79" t="str">
        <f>VLOOKUP(A38,Table1[[Unit Number]:[NO. OF BEDROOMS]],2,FALSE)</f>
        <v>2 BEDROOM</v>
      </c>
    </row>
    <row r="39" spans="1:10" x14ac:dyDescent="0.25">
      <c r="A39" s="121" t="s">
        <v>429</v>
      </c>
      <c r="B39" s="191">
        <v>49906.875</v>
      </c>
      <c r="C39" s="191">
        <v>160</v>
      </c>
      <c r="D39" s="191"/>
      <c r="E39" s="122">
        <v>0</v>
      </c>
      <c r="F39" s="122">
        <v>678733.5</v>
      </c>
      <c r="G39" s="122">
        <v>8200100</v>
      </c>
      <c r="H39" s="122">
        <v>8920100</v>
      </c>
      <c r="I39" s="122">
        <v>9400100</v>
      </c>
      <c r="J39" s="79" t="str">
        <f>VLOOKUP(A39,Table1[[Unit Number]:[NO. OF BEDROOMS]],2,FALSE)</f>
        <v>3 BEDROOM</v>
      </c>
    </row>
    <row r="40" spans="1:10" x14ac:dyDescent="0.25">
      <c r="A40" s="121" t="s">
        <v>434</v>
      </c>
      <c r="B40" s="191">
        <v>47810.625</v>
      </c>
      <c r="C40" s="191">
        <v>106</v>
      </c>
      <c r="D40" s="191">
        <v>64.038600000000002</v>
      </c>
      <c r="E40" s="122">
        <v>1010369.4117412501</v>
      </c>
      <c r="F40" s="122">
        <v>516655.13124800631</v>
      </c>
      <c r="G40" s="122">
        <v>6293295.6617412502</v>
      </c>
      <c r="H40" s="122">
        <v>6770295.6617412502</v>
      </c>
      <c r="I40" s="122">
        <v>7088295.6617412502</v>
      </c>
      <c r="J40" s="79" t="str">
        <f>VLOOKUP(A40,Table1[[Unit Number]:[NO. OF BEDROOMS]],2,FALSE)</f>
        <v>2 BEDROOM</v>
      </c>
    </row>
    <row r="41" spans="1:10" x14ac:dyDescent="0.25">
      <c r="A41" s="121" t="s">
        <v>445</v>
      </c>
      <c r="B41" s="191">
        <v>47810.625</v>
      </c>
      <c r="C41" s="191">
        <v>106</v>
      </c>
      <c r="D41" s="191">
        <v>63.087899999999998</v>
      </c>
      <c r="E41" s="122">
        <v>995369.736549375</v>
      </c>
      <c r="F41" s="122">
        <v>515380.15885669686</v>
      </c>
      <c r="G41" s="122">
        <v>6278295.9865493756</v>
      </c>
      <c r="H41" s="122">
        <v>6755295.9865493746</v>
      </c>
      <c r="I41" s="122">
        <v>7073295.9865493756</v>
      </c>
      <c r="J41" s="79" t="str">
        <f>VLOOKUP(A41,Table1[[Unit Number]:[NO. OF BEDROOMS]],2,FALSE)</f>
        <v>2 BEDROOM</v>
      </c>
    </row>
    <row r="42" spans="1:10" x14ac:dyDescent="0.25">
      <c r="A42" s="121" t="s">
        <v>453</v>
      </c>
      <c r="B42" s="191">
        <v>47810.625</v>
      </c>
      <c r="C42" s="191">
        <v>116</v>
      </c>
      <c r="D42" s="191">
        <v>62.982999999999997</v>
      </c>
      <c r="E42" s="122">
        <v>993714.67614374997</v>
      </c>
      <c r="F42" s="122">
        <v>555878.50997221877</v>
      </c>
      <c r="G42" s="122">
        <v>6754747.1761437505</v>
      </c>
      <c r="H42" s="122">
        <v>7276747.1761437496</v>
      </c>
      <c r="I42" s="122">
        <v>7624747.1761437505</v>
      </c>
      <c r="J42" s="79" t="str">
        <f>VLOOKUP(A42,Table1[[Unit Number]:[NO. OF BEDROOMS]],2,FALSE)</f>
        <v>2 BEDROOM</v>
      </c>
    </row>
    <row r="43" spans="1:10" x14ac:dyDescent="0.25">
      <c r="A43" s="121" t="s">
        <v>461</v>
      </c>
      <c r="B43" s="191">
        <v>47783.75</v>
      </c>
      <c r="C43" s="191">
        <v>170</v>
      </c>
      <c r="D43" s="191"/>
      <c r="E43" s="122">
        <v>0</v>
      </c>
      <c r="F43" s="122">
        <v>690475.1875</v>
      </c>
      <c r="G43" s="122">
        <v>8338237.5</v>
      </c>
      <c r="H43" s="122">
        <v>9103237.5</v>
      </c>
      <c r="I43" s="122">
        <v>9613237.5</v>
      </c>
      <c r="J43" s="79" t="str">
        <f>VLOOKUP(A43,Table1[[Unit Number]:[NO. OF BEDROOMS]],2,FALSE)</f>
        <v>3 BEDROOM</v>
      </c>
    </row>
    <row r="44" spans="1:10" x14ac:dyDescent="0.25">
      <c r="A44" s="121" t="s">
        <v>462</v>
      </c>
      <c r="B44" s="191">
        <v>49880</v>
      </c>
      <c r="C44" s="191">
        <v>199</v>
      </c>
      <c r="D44" s="191"/>
      <c r="E44" s="122">
        <v>0</v>
      </c>
      <c r="F44" s="122">
        <v>843720.20000000007</v>
      </c>
      <c r="G44" s="122">
        <v>10141120</v>
      </c>
      <c r="H44" s="122">
        <v>11036620</v>
      </c>
      <c r="I44" s="122">
        <v>11633620</v>
      </c>
      <c r="J44" s="79" t="str">
        <f>VLOOKUP(A44,Table1[[Unit Number]:[NO. OF BEDROOMS]],2,FALSE)</f>
        <v>3 BEDROOM</v>
      </c>
    </row>
    <row r="45" spans="1:10" x14ac:dyDescent="0.25">
      <c r="A45" s="121" t="s">
        <v>892</v>
      </c>
      <c r="B45" s="191">
        <v>49826.25</v>
      </c>
      <c r="C45" s="191">
        <v>199</v>
      </c>
      <c r="D45" s="191">
        <v>76.321799999999996</v>
      </c>
      <c r="E45" s="122">
        <v>1254933.5987925001</v>
      </c>
      <c r="F45" s="122">
        <v>949480.37464736262</v>
      </c>
      <c r="G45" s="122">
        <v>11385357.348792501</v>
      </c>
      <c r="H45" s="122">
        <v>12280857.348792501</v>
      </c>
      <c r="I45" s="122">
        <v>12877857.348792501</v>
      </c>
      <c r="J45" s="79" t="str">
        <f>VLOOKUP(A45,Table1[[Unit Number]:[NO. OF BEDROOMS]],2,FALSE)</f>
        <v>3 BEDROOM</v>
      </c>
    </row>
    <row r="46" spans="1:10" x14ac:dyDescent="0.25">
      <c r="A46" s="121" t="s">
        <v>468</v>
      </c>
      <c r="B46" s="191">
        <v>49880</v>
      </c>
      <c r="C46" s="191">
        <v>199</v>
      </c>
      <c r="D46" s="191"/>
      <c r="E46" s="122">
        <v>0</v>
      </c>
      <c r="F46" s="122">
        <v>843720.20000000007</v>
      </c>
      <c r="G46" s="122">
        <v>10141120</v>
      </c>
      <c r="H46" s="122">
        <v>11036620</v>
      </c>
      <c r="I46" s="122">
        <v>11633620</v>
      </c>
      <c r="J46" s="79" t="str">
        <f>VLOOKUP(A46,Table1[[Unit Number]:[NO. OF BEDROOMS]],2,FALSE)</f>
        <v>3 BEDROOM</v>
      </c>
    </row>
    <row r="47" spans="1:10" x14ac:dyDescent="0.25">
      <c r="A47" s="121" t="s">
        <v>483</v>
      </c>
      <c r="B47" s="191">
        <v>47810.625</v>
      </c>
      <c r="C47" s="191">
        <v>157</v>
      </c>
      <c r="D47" s="191"/>
      <c r="E47" s="122">
        <v>0</v>
      </c>
      <c r="F47" s="122">
        <v>638032.79062500002</v>
      </c>
      <c r="G47" s="122">
        <v>7721268.125</v>
      </c>
      <c r="H47" s="122">
        <v>8427768.125</v>
      </c>
      <c r="I47" s="122">
        <v>8898768.125</v>
      </c>
      <c r="J47" s="79" t="str">
        <f>VLOOKUP(A47,Table1[[Unit Number]:[NO. OF BEDROOMS]],2,FALSE)</f>
        <v>3 BEDROOM</v>
      </c>
    </row>
    <row r="48" spans="1:10" x14ac:dyDescent="0.25">
      <c r="A48" s="121" t="s">
        <v>489</v>
      </c>
      <c r="B48" s="191">
        <v>47756.875</v>
      </c>
      <c r="C48" s="191">
        <v>158</v>
      </c>
      <c r="D48" s="191"/>
      <c r="E48" s="122">
        <v>0</v>
      </c>
      <c r="F48" s="122">
        <v>641374.83125000005</v>
      </c>
      <c r="G48" s="122">
        <v>7760586.25</v>
      </c>
      <c r="H48" s="122">
        <v>8471586.25</v>
      </c>
      <c r="I48" s="122">
        <v>8945586.25</v>
      </c>
      <c r="J48" s="79" t="str">
        <f>VLOOKUP(A48,Table1[[Unit Number]:[NO. OF BEDROOMS]],2,FALSE)</f>
        <v>3 BEDROOM</v>
      </c>
    </row>
    <row r="49" spans="1:10" x14ac:dyDescent="0.25">
      <c r="A49" s="121" t="s">
        <v>502</v>
      </c>
      <c r="B49" s="191">
        <v>47810.625</v>
      </c>
      <c r="C49" s="191">
        <v>157</v>
      </c>
      <c r="D49" s="191"/>
      <c r="E49" s="122">
        <v>0</v>
      </c>
      <c r="F49" s="122">
        <v>638032.79062500002</v>
      </c>
      <c r="G49" s="122">
        <v>7721268.125</v>
      </c>
      <c r="H49" s="122">
        <v>8427768.125</v>
      </c>
      <c r="I49" s="122">
        <v>8898768.125</v>
      </c>
      <c r="J49" s="79" t="str">
        <f>VLOOKUP(A49,Table1[[Unit Number]:[NO. OF BEDROOMS]],2,FALSE)</f>
        <v>3 BEDROOM</v>
      </c>
    </row>
    <row r="50" spans="1:10" x14ac:dyDescent="0.25">
      <c r="A50" s="121" t="s">
        <v>946</v>
      </c>
      <c r="B50" s="191">
        <v>49826.25</v>
      </c>
      <c r="C50" s="191">
        <v>198</v>
      </c>
      <c r="D50" s="191"/>
      <c r="E50" s="122">
        <v>0</v>
      </c>
      <c r="F50" s="122">
        <v>838575.78750000009</v>
      </c>
      <c r="G50" s="122">
        <v>10080597.5</v>
      </c>
      <c r="H50" s="122">
        <v>10971597.5</v>
      </c>
      <c r="I50" s="122">
        <v>11565597.5</v>
      </c>
      <c r="J50" s="79" t="str">
        <f>VLOOKUP(A50,Table1[[Unit Number]:[NO. OF BEDROOMS]],2,FALSE)</f>
        <v>3 BEDROOM</v>
      </c>
    </row>
    <row r="51" spans="1:10" x14ac:dyDescent="0.25">
      <c r="A51" s="121" t="s">
        <v>513</v>
      </c>
      <c r="B51" s="191">
        <v>47756.875</v>
      </c>
      <c r="C51" s="191">
        <v>173</v>
      </c>
      <c r="D51" s="191"/>
      <c r="E51" s="122">
        <v>0</v>
      </c>
      <c r="F51" s="122">
        <v>702264.84687500005</v>
      </c>
      <c r="G51" s="122">
        <v>8476939.375</v>
      </c>
      <c r="H51" s="122">
        <v>9255439.375</v>
      </c>
      <c r="I51" s="122">
        <v>9774439.375</v>
      </c>
      <c r="J51" s="79" t="str">
        <f>VLOOKUP(A51,Table1[[Unit Number]:[NO. OF BEDROOMS]],2,FALSE)</f>
        <v>3 BEDROOM</v>
      </c>
    </row>
    <row r="52" spans="1:10" x14ac:dyDescent="0.25">
      <c r="A52" s="121" t="s">
        <v>960</v>
      </c>
      <c r="B52" s="191">
        <v>49826.25</v>
      </c>
      <c r="C52" s="191">
        <v>173</v>
      </c>
      <c r="D52" s="191"/>
      <c r="E52" s="122">
        <v>0</v>
      </c>
      <c r="F52" s="122">
        <v>732695.00625000009</v>
      </c>
      <c r="G52" s="122">
        <v>8834941.25</v>
      </c>
      <c r="H52" s="122">
        <v>9613441.25</v>
      </c>
      <c r="I52" s="122">
        <v>10132441.25</v>
      </c>
      <c r="J52" s="79" t="str">
        <f>VLOOKUP(A52,Table1[[Unit Number]:[NO. OF BEDROOMS]],2,FALSE)</f>
        <v>3 BEDROOM</v>
      </c>
    </row>
    <row r="53" spans="1:10" x14ac:dyDescent="0.25">
      <c r="A53" s="121" t="s">
        <v>961</v>
      </c>
      <c r="B53" s="191">
        <v>49826.25</v>
      </c>
      <c r="C53" s="191">
        <v>173</v>
      </c>
      <c r="D53" s="191"/>
      <c r="E53" s="122">
        <v>0</v>
      </c>
      <c r="F53" s="122">
        <v>732695.00625000009</v>
      </c>
      <c r="G53" s="122">
        <v>8834941.25</v>
      </c>
      <c r="H53" s="122">
        <v>9613441.25</v>
      </c>
      <c r="I53" s="122">
        <v>10132441.25</v>
      </c>
      <c r="J53" s="79" t="str">
        <f>VLOOKUP(A53,Table1[[Unit Number]:[NO. OF BEDROOMS]],2,FALSE)</f>
        <v>3 BEDROOM</v>
      </c>
    </row>
    <row r="54" spans="1:10" x14ac:dyDescent="0.25">
      <c r="A54" s="121" t="s">
        <v>962</v>
      </c>
      <c r="B54" s="191">
        <v>49853.125</v>
      </c>
      <c r="C54" s="191">
        <v>224</v>
      </c>
      <c r="D54" s="191">
        <v>61.522199999999998</v>
      </c>
      <c r="E54" s="122">
        <v>1012134.3958687499</v>
      </c>
      <c r="F54" s="122">
        <v>1035234.9236488439</v>
      </c>
      <c r="G54" s="122">
        <v>12394234.39586875</v>
      </c>
      <c r="H54" s="122">
        <v>13402234.39586875</v>
      </c>
      <c r="I54" s="122">
        <v>14074234.39586875</v>
      </c>
      <c r="J54" s="79" t="str">
        <f>VLOOKUP(A54,Table1[[Unit Number]:[NO. OF BEDROOMS]],2,FALSE)</f>
        <v>3 BEDROOM + LIVING</v>
      </c>
    </row>
    <row r="55" spans="1:10" x14ac:dyDescent="0.25">
      <c r="A55" s="121" t="s">
        <v>534</v>
      </c>
      <c r="B55" s="191">
        <v>47756.875</v>
      </c>
      <c r="C55" s="191">
        <v>173</v>
      </c>
      <c r="D55" s="191"/>
      <c r="E55" s="122">
        <v>0</v>
      </c>
      <c r="F55" s="122">
        <v>702264.84687500005</v>
      </c>
      <c r="G55" s="122">
        <v>8476939.375</v>
      </c>
      <c r="H55" s="122">
        <v>9255439.375</v>
      </c>
      <c r="I55" s="122">
        <v>9774439.375</v>
      </c>
      <c r="J55" s="79" t="str">
        <f>VLOOKUP(A55,Table1[[Unit Number]:[NO. OF BEDROOMS]],2,FALSE)</f>
        <v>3 BEDROOM</v>
      </c>
    </row>
    <row r="56" spans="1:10" x14ac:dyDescent="0.25">
      <c r="A56" s="121" t="s">
        <v>965</v>
      </c>
      <c r="B56" s="191">
        <v>49826.25</v>
      </c>
      <c r="C56" s="191">
        <v>198</v>
      </c>
      <c r="D56" s="191"/>
      <c r="E56" s="122">
        <v>0</v>
      </c>
      <c r="F56" s="122">
        <v>838575.78750000009</v>
      </c>
      <c r="G56" s="122">
        <v>10080597.5</v>
      </c>
      <c r="H56" s="122">
        <v>10971597.5</v>
      </c>
      <c r="I56" s="122">
        <v>11565597.5</v>
      </c>
      <c r="J56" s="79" t="str">
        <f>VLOOKUP(A56,Table1[[Unit Number]:[NO. OF BEDROOMS]],2,FALSE)</f>
        <v>3 BEDROOM</v>
      </c>
    </row>
    <row r="57" spans="1:10" x14ac:dyDescent="0.25">
      <c r="A57" s="121" t="s">
        <v>541</v>
      </c>
      <c r="B57" s="191">
        <v>49906.875</v>
      </c>
      <c r="C57" s="191">
        <v>222</v>
      </c>
      <c r="D57" s="191"/>
      <c r="E57" s="122">
        <v>0</v>
      </c>
      <c r="F57" s="122">
        <v>941742.73125000007</v>
      </c>
      <c r="G57" s="122">
        <v>11294326.25</v>
      </c>
      <c r="H57" s="122">
        <v>12293326.25</v>
      </c>
      <c r="I57" s="122">
        <v>12959326.25</v>
      </c>
      <c r="J57" s="79" t="str">
        <f>VLOOKUP(A57,Table1[[Unit Number]:[NO. OF BEDROOMS]],2,FALSE)</f>
        <v>3 BEDROOM + LIVING</v>
      </c>
    </row>
    <row r="58" spans="1:10" x14ac:dyDescent="0.25">
      <c r="A58" s="121" t="s">
        <v>545</v>
      </c>
      <c r="B58" s="191">
        <v>49087.1875</v>
      </c>
      <c r="C58" s="191">
        <v>172</v>
      </c>
      <c r="D58" s="191"/>
      <c r="E58" s="122">
        <v>0</v>
      </c>
      <c r="F58" s="122">
        <v>717654.68125000002</v>
      </c>
      <c r="G58" s="122">
        <v>8657996.25</v>
      </c>
      <c r="H58" s="122">
        <v>9431996.25</v>
      </c>
      <c r="I58" s="122">
        <v>9947996.25</v>
      </c>
      <c r="J58" s="79" t="str">
        <f>VLOOKUP(A58,Table1[[Unit Number]:[NO. OF BEDROOMS]],2,FALSE)</f>
        <v>3 BEDROOM</v>
      </c>
    </row>
    <row r="59" spans="1:10" x14ac:dyDescent="0.25">
      <c r="A59" s="121" t="s">
        <v>546</v>
      </c>
      <c r="B59" s="191">
        <v>49880</v>
      </c>
      <c r="C59" s="191">
        <v>201</v>
      </c>
      <c r="D59" s="191"/>
      <c r="E59" s="122">
        <v>0</v>
      </c>
      <c r="F59" s="122">
        <v>852199.8</v>
      </c>
      <c r="G59" s="122">
        <v>10240880</v>
      </c>
      <c r="H59" s="122">
        <v>11145380</v>
      </c>
      <c r="I59" s="122">
        <v>11748380</v>
      </c>
      <c r="J59" s="79" t="str">
        <f>VLOOKUP(A59,Table1[[Unit Number]:[NO. OF BEDROOMS]],2,FALSE)</f>
        <v>3 BEDROOM</v>
      </c>
    </row>
    <row r="60" spans="1:10" x14ac:dyDescent="0.25">
      <c r="A60" s="121" t="s">
        <v>552</v>
      </c>
      <c r="B60" s="191">
        <v>49880</v>
      </c>
      <c r="C60" s="191">
        <v>201</v>
      </c>
      <c r="D60" s="191"/>
      <c r="E60" s="122">
        <v>0</v>
      </c>
      <c r="F60" s="122">
        <v>852199.8</v>
      </c>
      <c r="G60" s="122">
        <v>10240880</v>
      </c>
      <c r="H60" s="122">
        <v>11145380</v>
      </c>
      <c r="I60" s="122">
        <v>11748380</v>
      </c>
      <c r="J60" s="79" t="str">
        <f>VLOOKUP(A60,Table1[[Unit Number]:[NO. OF BEDROOMS]],2,FALSE)</f>
        <v>3 BEDROOM</v>
      </c>
    </row>
    <row r="61" spans="1:10" x14ac:dyDescent="0.25">
      <c r="A61" s="121" t="s">
        <v>553</v>
      </c>
      <c r="B61" s="191">
        <v>49906.875</v>
      </c>
      <c r="C61" s="191">
        <v>176</v>
      </c>
      <c r="D61" s="191"/>
      <c r="E61" s="122">
        <v>0</v>
      </c>
      <c r="F61" s="122">
        <v>746606.85000000009</v>
      </c>
      <c r="G61" s="122">
        <v>8998610</v>
      </c>
      <c r="H61" s="122">
        <v>9790610</v>
      </c>
      <c r="I61" s="122">
        <v>10318610</v>
      </c>
      <c r="J61" s="79" t="str">
        <f>VLOOKUP(A61,Table1[[Unit Number]:[NO. OF BEDROOMS]],2,FALSE)</f>
        <v>3 BEDROOM</v>
      </c>
    </row>
    <row r="62" spans="1:10" x14ac:dyDescent="0.25">
      <c r="A62" s="121" t="s">
        <v>559</v>
      </c>
      <c r="B62" s="191">
        <v>47783.75</v>
      </c>
      <c r="C62" s="191">
        <v>172</v>
      </c>
      <c r="D62" s="191"/>
      <c r="E62" s="122">
        <v>0</v>
      </c>
      <c r="F62" s="122">
        <v>698598.42500000005</v>
      </c>
      <c r="G62" s="122">
        <v>8433805</v>
      </c>
      <c r="H62" s="122">
        <v>9207805</v>
      </c>
      <c r="I62" s="122">
        <v>9723805</v>
      </c>
      <c r="J62" s="79" t="str">
        <f>VLOOKUP(A62,Table1[[Unit Number]:[NO. OF BEDROOMS]],2,FALSE)</f>
        <v>3 BEDROOM</v>
      </c>
    </row>
    <row r="63" spans="1:10" x14ac:dyDescent="0.25">
      <c r="A63" s="121" t="s">
        <v>560</v>
      </c>
      <c r="B63" s="191">
        <v>47783.75</v>
      </c>
      <c r="C63" s="191">
        <v>172</v>
      </c>
      <c r="D63" s="191"/>
      <c r="E63" s="122">
        <v>0</v>
      </c>
      <c r="F63" s="122">
        <v>698598.42500000005</v>
      </c>
      <c r="G63" s="122">
        <v>8433805</v>
      </c>
      <c r="H63" s="122">
        <v>9207805</v>
      </c>
      <c r="I63" s="122">
        <v>9723805</v>
      </c>
      <c r="J63" s="79" t="str">
        <f>VLOOKUP(A63,Table1[[Unit Number]:[NO. OF BEDROOMS]],2,FALSE)</f>
        <v>3 BEDROOM</v>
      </c>
    </row>
    <row r="64" spans="1:10" x14ac:dyDescent="0.25">
      <c r="A64" s="121" t="s">
        <v>1009</v>
      </c>
      <c r="B64" s="191">
        <v>49853.125</v>
      </c>
      <c r="C64" s="191">
        <v>224</v>
      </c>
      <c r="D64" s="191">
        <v>61.522199999999998</v>
      </c>
      <c r="E64" s="122">
        <v>1012134.3958687499</v>
      </c>
      <c r="F64" s="122">
        <v>1035234.9236488439</v>
      </c>
      <c r="G64" s="122">
        <v>12394234.39586875</v>
      </c>
      <c r="H64" s="122">
        <v>13402234.39586875</v>
      </c>
      <c r="I64" s="122">
        <v>14074234.39586875</v>
      </c>
      <c r="J64" s="79" t="str">
        <f>VLOOKUP(A64,Table1[[Unit Number]:[NO. OF BEDROOMS]],2,FALSE)</f>
        <v>3 BEDROOM + LIVING</v>
      </c>
    </row>
    <row r="65" spans="1:10" x14ac:dyDescent="0.25">
      <c r="A65" s="121" t="s">
        <v>1011</v>
      </c>
      <c r="B65" s="191">
        <v>49175.875</v>
      </c>
      <c r="C65" s="191">
        <v>173</v>
      </c>
      <c r="D65" s="191"/>
      <c r="E65" s="122">
        <v>0</v>
      </c>
      <c r="F65" s="122">
        <v>723131.24187500007</v>
      </c>
      <c r="G65" s="122">
        <v>8722426.375</v>
      </c>
      <c r="H65" s="122">
        <v>9500926.375</v>
      </c>
      <c r="I65" s="122">
        <v>10019926.375</v>
      </c>
      <c r="J65" s="79" t="str">
        <f>VLOOKUP(A65,Table1[[Unit Number]:[NO. OF BEDROOMS]],2,FALSE)</f>
        <v>3 BEDROOM</v>
      </c>
    </row>
    <row r="66" spans="1:10" x14ac:dyDescent="0.25">
      <c r="A66" s="121" t="s">
        <v>569</v>
      </c>
      <c r="B66" s="191">
        <v>49880</v>
      </c>
      <c r="C66" s="191">
        <v>201</v>
      </c>
      <c r="D66" s="191"/>
      <c r="E66" s="122">
        <v>0</v>
      </c>
      <c r="F66" s="122">
        <v>852199.8</v>
      </c>
      <c r="G66" s="122">
        <v>10240880</v>
      </c>
      <c r="H66" s="122">
        <v>11145380</v>
      </c>
      <c r="I66" s="122">
        <v>11748380</v>
      </c>
      <c r="J66" s="79" t="str">
        <f>VLOOKUP(A66,Table1[[Unit Number]:[NO. OF BEDROOMS]],2,FALSE)</f>
        <v>3 BEDROOM</v>
      </c>
    </row>
    <row r="67" spans="1:10" x14ac:dyDescent="0.25">
      <c r="A67" s="121" t="s">
        <v>1019</v>
      </c>
      <c r="B67" s="191">
        <v>49122.125</v>
      </c>
      <c r="C67" s="191">
        <v>173</v>
      </c>
      <c r="D67" s="191"/>
      <c r="E67" s="122">
        <v>0</v>
      </c>
      <c r="F67" s="122">
        <v>722340.84812500002</v>
      </c>
      <c r="G67" s="122">
        <v>8713127.625</v>
      </c>
      <c r="H67" s="122">
        <v>9491627.625</v>
      </c>
      <c r="I67" s="122">
        <v>10010627.625</v>
      </c>
      <c r="J67" s="79" t="str">
        <f>VLOOKUP(A67,Table1[[Unit Number]:[NO. OF BEDROOMS]],2,FALSE)</f>
        <v>3 BEDROOM</v>
      </c>
    </row>
    <row r="68" spans="1:10" x14ac:dyDescent="0.25">
      <c r="A68" s="121" t="s">
        <v>571</v>
      </c>
      <c r="B68" s="191">
        <v>49906.875</v>
      </c>
      <c r="C68" s="191">
        <v>222</v>
      </c>
      <c r="D68" s="191"/>
      <c r="E68" s="122">
        <v>0</v>
      </c>
      <c r="F68" s="122">
        <v>941742.73125000007</v>
      </c>
      <c r="G68" s="122">
        <v>11294326.25</v>
      </c>
      <c r="H68" s="122">
        <v>12293326.25</v>
      </c>
      <c r="I68" s="122">
        <v>12959326.25</v>
      </c>
      <c r="J68" s="79" t="str">
        <f>VLOOKUP(A68,Table1[[Unit Number]:[NO. OF BEDROOMS]],2,FALSE)</f>
        <v>3 BEDROOM + LIVING</v>
      </c>
    </row>
    <row r="69" spans="1:10" x14ac:dyDescent="0.25">
      <c r="A69" s="121" t="s">
        <v>575</v>
      </c>
      <c r="B69" s="191">
        <v>47810.625</v>
      </c>
      <c r="C69" s="191">
        <v>117</v>
      </c>
      <c r="D69" s="191"/>
      <c r="E69" s="122">
        <v>0</v>
      </c>
      <c r="F69" s="122">
        <v>475476.66562500002</v>
      </c>
      <c r="G69" s="122">
        <v>5808843.125</v>
      </c>
      <c r="H69" s="122">
        <v>6335343.125</v>
      </c>
      <c r="I69" s="122">
        <v>6686343.125</v>
      </c>
      <c r="J69" s="79" t="str">
        <f>VLOOKUP(A69,Table1[[Unit Number]:[NO. OF BEDROOMS]],2,FALSE)</f>
        <v>2 BEDROOM</v>
      </c>
    </row>
    <row r="70" spans="1:10" x14ac:dyDescent="0.25">
      <c r="A70" s="121" t="s">
        <v>577</v>
      </c>
      <c r="B70" s="191">
        <v>49906.875</v>
      </c>
      <c r="C70" s="191">
        <v>228</v>
      </c>
      <c r="D70" s="191"/>
      <c r="E70" s="122">
        <v>0</v>
      </c>
      <c r="F70" s="122">
        <v>967195.23750000005</v>
      </c>
      <c r="G70" s="122">
        <v>11593767.5</v>
      </c>
      <c r="H70" s="122">
        <v>12619767.5</v>
      </c>
      <c r="I70" s="122">
        <v>13303767.5</v>
      </c>
      <c r="J70" s="79" t="str">
        <f>VLOOKUP(A70,Table1[[Unit Number]:[NO. OF BEDROOMS]],2,FALSE)</f>
        <v>3 BEDROOM + LIVING</v>
      </c>
    </row>
    <row r="71" spans="1:10" x14ac:dyDescent="0.25">
      <c r="A71" s="121" t="s">
        <v>1030</v>
      </c>
      <c r="B71" s="191">
        <v>49874.625</v>
      </c>
      <c r="C71" s="191">
        <v>176</v>
      </c>
      <c r="D71" s="191"/>
      <c r="E71" s="122">
        <v>0</v>
      </c>
      <c r="F71" s="122">
        <v>746124.39</v>
      </c>
      <c r="G71" s="122">
        <v>8992934</v>
      </c>
      <c r="H71" s="122">
        <v>9784934</v>
      </c>
      <c r="I71" s="122">
        <v>10312934</v>
      </c>
      <c r="J71" s="79" t="str">
        <f>VLOOKUP(A71,Table1[[Unit Number]:[NO. OF BEDROOMS]],2,FALSE)</f>
        <v>3 BEDROOM</v>
      </c>
    </row>
    <row r="72" spans="1:10" x14ac:dyDescent="0.25">
      <c r="A72" s="121" t="s">
        <v>1031</v>
      </c>
      <c r="B72" s="191">
        <v>49127.5</v>
      </c>
      <c r="C72" s="191">
        <v>198</v>
      </c>
      <c r="D72" s="191"/>
      <c r="E72" s="122">
        <v>0</v>
      </c>
      <c r="F72" s="122">
        <v>826815.82500000007</v>
      </c>
      <c r="G72" s="122">
        <v>9942245</v>
      </c>
      <c r="H72" s="122">
        <v>10833245</v>
      </c>
      <c r="I72" s="122">
        <v>11427245</v>
      </c>
      <c r="J72" s="79" t="str">
        <f>VLOOKUP(A72,Table1[[Unit Number]:[NO. OF BEDROOMS]],2,FALSE)</f>
        <v>3 BEDROOM</v>
      </c>
    </row>
    <row r="73" spans="1:10" x14ac:dyDescent="0.25">
      <c r="A73" s="121" t="s">
        <v>581</v>
      </c>
      <c r="B73" s="191">
        <v>47810.625</v>
      </c>
      <c r="C73" s="191">
        <v>116</v>
      </c>
      <c r="D73" s="191">
        <v>63.177900000000001</v>
      </c>
      <c r="E73" s="122">
        <v>996789.71211187507</v>
      </c>
      <c r="F73" s="122">
        <v>556139.88802950946</v>
      </c>
      <c r="G73" s="122">
        <v>6757822.2121118754</v>
      </c>
      <c r="H73" s="122">
        <v>7279822.2121118754</v>
      </c>
      <c r="I73" s="122">
        <v>7627822.2121118754</v>
      </c>
      <c r="J73" s="79" t="str">
        <f>VLOOKUP(A73,Table1[[Unit Number]:[NO. OF BEDROOMS]],2,FALSE)</f>
        <v>2 BEDROOM</v>
      </c>
    </row>
    <row r="74" spans="1:10" x14ac:dyDescent="0.25">
      <c r="A74" s="121" t="s">
        <v>588</v>
      </c>
      <c r="B74" s="191">
        <v>47783.75</v>
      </c>
      <c r="C74" s="191">
        <v>170</v>
      </c>
      <c r="D74" s="191"/>
      <c r="E74" s="122">
        <v>0</v>
      </c>
      <c r="F74" s="122">
        <v>690475.1875</v>
      </c>
      <c r="G74" s="122">
        <v>8338237.5</v>
      </c>
      <c r="H74" s="122">
        <v>9103237.5</v>
      </c>
      <c r="I74" s="122">
        <v>9613237.5</v>
      </c>
      <c r="J74" s="79" t="str">
        <f>VLOOKUP(A74,Table1[[Unit Number]:[NO. OF BEDROOMS]],2,FALSE)</f>
        <v>3 BEDROOM</v>
      </c>
    </row>
    <row r="75" spans="1:10" x14ac:dyDescent="0.25">
      <c r="A75" s="121" t="s">
        <v>589</v>
      </c>
      <c r="B75" s="191">
        <v>47783.75</v>
      </c>
      <c r="C75" s="191">
        <v>170</v>
      </c>
      <c r="D75" s="191"/>
      <c r="E75" s="122">
        <v>0</v>
      </c>
      <c r="F75" s="122">
        <v>690475.1875</v>
      </c>
      <c r="G75" s="122">
        <v>8338237.5</v>
      </c>
      <c r="H75" s="122">
        <v>9103237.5</v>
      </c>
      <c r="I75" s="122">
        <v>9613237.5</v>
      </c>
      <c r="J75" s="79" t="str">
        <f>VLOOKUP(A75,Table1[[Unit Number]:[NO. OF BEDROOMS]],2,FALSE)</f>
        <v>3 BEDROOM</v>
      </c>
    </row>
    <row r="76" spans="1:10" x14ac:dyDescent="0.25">
      <c r="A76" s="121" t="s">
        <v>594</v>
      </c>
      <c r="B76" s="191">
        <v>47810.625</v>
      </c>
      <c r="C76" s="191">
        <v>117</v>
      </c>
      <c r="D76" s="191"/>
      <c r="E76" s="122">
        <v>0</v>
      </c>
      <c r="F76" s="122">
        <v>475476.66562500002</v>
      </c>
      <c r="G76" s="122">
        <v>5808843.125</v>
      </c>
      <c r="H76" s="122">
        <v>6335343.125</v>
      </c>
      <c r="I76" s="122">
        <v>6686343.125</v>
      </c>
      <c r="J76" s="79" t="str">
        <f>VLOOKUP(A76,Table1[[Unit Number]:[NO. OF BEDROOMS]],2,FALSE)</f>
        <v>2 BEDROOM</v>
      </c>
    </row>
    <row r="77" spans="1:10" x14ac:dyDescent="0.25">
      <c r="A77" s="121" t="s">
        <v>595</v>
      </c>
      <c r="B77" s="191">
        <v>49114.0625</v>
      </c>
      <c r="C77" s="191">
        <v>176</v>
      </c>
      <c r="D77" s="191"/>
      <c r="E77" s="122">
        <v>0</v>
      </c>
      <c r="F77" s="122">
        <v>734746.375</v>
      </c>
      <c r="G77" s="122">
        <v>8859075</v>
      </c>
      <c r="H77" s="122">
        <v>9651075</v>
      </c>
      <c r="I77" s="122">
        <v>10179075</v>
      </c>
      <c r="J77" s="79" t="str">
        <f>VLOOKUP(A77,Table1[[Unit Number]:[NO. OF BEDROOMS]],2,FALSE)</f>
        <v>3 BEDROOM</v>
      </c>
    </row>
    <row r="78" spans="1:10" x14ac:dyDescent="0.25">
      <c r="A78" s="121" t="s">
        <v>1050</v>
      </c>
      <c r="B78" s="191">
        <v>49853.125</v>
      </c>
      <c r="C78" s="191">
        <v>228</v>
      </c>
      <c r="D78" s="191"/>
      <c r="E78" s="122">
        <v>0</v>
      </c>
      <c r="F78" s="122">
        <v>966153.56250000012</v>
      </c>
      <c r="G78" s="122">
        <v>11581512.5</v>
      </c>
      <c r="H78" s="122">
        <v>12607512.5</v>
      </c>
      <c r="I78" s="122">
        <v>13291512.5</v>
      </c>
      <c r="J78" s="79" t="str">
        <f>VLOOKUP(A78,Table1[[Unit Number]:[NO. OF BEDROOMS]],2,FALSE)</f>
        <v>3 BEDROOM + LIVING</v>
      </c>
    </row>
    <row r="79" spans="1:10" x14ac:dyDescent="0.25">
      <c r="A79" s="121" t="s">
        <v>1053</v>
      </c>
      <c r="B79" s="191">
        <v>49127.5</v>
      </c>
      <c r="C79" s="191">
        <v>198</v>
      </c>
      <c r="D79" s="191"/>
      <c r="E79" s="122">
        <v>0</v>
      </c>
      <c r="F79" s="122">
        <v>826815.82500000007</v>
      </c>
      <c r="G79" s="122">
        <v>9942245</v>
      </c>
      <c r="H79" s="122">
        <v>10833245</v>
      </c>
      <c r="I79" s="122">
        <v>11427245</v>
      </c>
      <c r="J79" s="79" t="str">
        <f>VLOOKUP(A79,Table1[[Unit Number]:[NO. OF BEDROOMS]],2,FALSE)</f>
        <v>3 BEDROOM</v>
      </c>
    </row>
    <row r="80" spans="1:10" x14ac:dyDescent="0.25">
      <c r="A80" s="121" t="s">
        <v>603</v>
      </c>
      <c r="B80" s="191">
        <v>47810.625</v>
      </c>
      <c r="C80" s="191">
        <v>157</v>
      </c>
      <c r="D80" s="191"/>
      <c r="E80" s="122">
        <v>0</v>
      </c>
      <c r="F80" s="122">
        <v>638032.79062500002</v>
      </c>
      <c r="G80" s="122">
        <v>7721268.125</v>
      </c>
      <c r="H80" s="122">
        <v>8427768.125</v>
      </c>
      <c r="I80" s="122">
        <v>8898768.125</v>
      </c>
      <c r="J80" s="79" t="str">
        <f>VLOOKUP(A80,Table1[[Unit Number]:[NO. OF BEDROOMS]],2,FALSE)</f>
        <v>3 BEDROOM</v>
      </c>
    </row>
    <row r="81" spans="1:10" x14ac:dyDescent="0.25">
      <c r="A81" s="121" t="s">
        <v>610</v>
      </c>
      <c r="B81" s="191">
        <v>47756.875</v>
      </c>
      <c r="C81" s="191">
        <v>158</v>
      </c>
      <c r="D81" s="191"/>
      <c r="E81" s="122">
        <v>0</v>
      </c>
      <c r="F81" s="122">
        <v>641374.83125000005</v>
      </c>
      <c r="G81" s="122">
        <v>7760586.25</v>
      </c>
      <c r="H81" s="122">
        <v>8471586.25</v>
      </c>
      <c r="I81" s="122">
        <v>8945586.25</v>
      </c>
      <c r="J81" s="79" t="str">
        <f>VLOOKUP(A81,Table1[[Unit Number]:[NO. OF BEDROOMS]],2,FALSE)</f>
        <v>3 BEDROOM</v>
      </c>
    </row>
    <row r="82" spans="1:10" x14ac:dyDescent="0.25">
      <c r="A82" s="121" t="s">
        <v>1063</v>
      </c>
      <c r="B82" s="191">
        <v>49100.625</v>
      </c>
      <c r="C82" s="191">
        <v>309</v>
      </c>
      <c r="D82" s="191">
        <v>86.075999999999993</v>
      </c>
      <c r="E82" s="122">
        <v>1394707.181175</v>
      </c>
      <c r="F82" s="122">
        <v>1408178.0260248752</v>
      </c>
      <c r="G82" s="122">
        <v>16781800.306175001</v>
      </c>
      <c r="H82" s="122">
        <v>18172300.306175001</v>
      </c>
      <c r="I82" s="122">
        <v>19099300.306175001</v>
      </c>
      <c r="J82" s="79" t="str">
        <f>VLOOKUP(A82,Table1[[Unit Number]:[NO. OF BEDROOMS]],2,FALSE)</f>
        <v>3 BEDROOM + LIVING (DUPLEX)</v>
      </c>
    </row>
    <row r="83" spans="1:10" x14ac:dyDescent="0.25">
      <c r="A83" s="121" t="s">
        <v>1064</v>
      </c>
      <c r="B83" s="191">
        <v>49100.625</v>
      </c>
      <c r="C83" s="191">
        <v>301</v>
      </c>
      <c r="D83" s="191">
        <v>85.509600000000006</v>
      </c>
      <c r="E83" s="122">
        <v>1385529.6851550003</v>
      </c>
      <c r="F83" s="122">
        <v>1374009.5138631752</v>
      </c>
      <c r="G83" s="122">
        <v>16379817.810155001</v>
      </c>
      <c r="H83" s="122">
        <v>17734317.810155001</v>
      </c>
      <c r="I83" s="122">
        <v>18637317.810155001</v>
      </c>
      <c r="J83" s="79" t="str">
        <f>VLOOKUP(A83,Table1[[Unit Number]:[NO. OF BEDROOMS]],2,FALSE)</f>
        <v>3 BEDROOM + LIVING (DUPLEX)</v>
      </c>
    </row>
    <row r="84" spans="1:10" x14ac:dyDescent="0.25">
      <c r="A84" s="121" t="s">
        <v>623</v>
      </c>
      <c r="B84" s="191">
        <v>47810.625</v>
      </c>
      <c r="C84" s="191">
        <v>157</v>
      </c>
      <c r="D84" s="191"/>
      <c r="E84" s="122">
        <v>0</v>
      </c>
      <c r="F84" s="122">
        <v>638032.79062500002</v>
      </c>
      <c r="G84" s="122">
        <v>7721268.125</v>
      </c>
      <c r="H84" s="122">
        <v>8427768.125</v>
      </c>
      <c r="I84" s="122">
        <v>8898768.125</v>
      </c>
      <c r="J84" s="79" t="str">
        <f>VLOOKUP(A84,Table1[[Unit Number]:[NO. OF BEDROOMS]],2,FALSE)</f>
        <v>3 BEDROOM</v>
      </c>
    </row>
    <row r="85" spans="1:10" x14ac:dyDescent="0.25">
      <c r="A85" s="121" t="s">
        <v>630</v>
      </c>
      <c r="B85" s="191">
        <v>47756.875</v>
      </c>
      <c r="C85" s="191">
        <v>158</v>
      </c>
      <c r="D85" s="191"/>
      <c r="E85" s="122">
        <v>0</v>
      </c>
      <c r="F85" s="122">
        <v>641374.83125000005</v>
      </c>
      <c r="G85" s="122">
        <v>7760586.25</v>
      </c>
      <c r="H85" s="122">
        <v>8471586.25</v>
      </c>
      <c r="I85" s="122">
        <v>8945586.25</v>
      </c>
      <c r="J85" s="79" t="str">
        <f>VLOOKUP(A85,Table1[[Unit Number]:[NO. OF BEDROOMS]],2,FALSE)</f>
        <v>3 BEDROOM</v>
      </c>
    </row>
    <row r="86" spans="1:10" x14ac:dyDescent="0.25">
      <c r="A86" s="121" t="s">
        <v>632</v>
      </c>
      <c r="B86" s="191">
        <v>47810.625</v>
      </c>
      <c r="C86" s="191">
        <v>108</v>
      </c>
      <c r="D86" s="191">
        <v>67.5261</v>
      </c>
      <c r="E86" s="122">
        <v>1065393.4647881251</v>
      </c>
      <c r="F86" s="122">
        <v>529459.9820069907</v>
      </c>
      <c r="G86" s="122">
        <v>6443940.9647881249</v>
      </c>
      <c r="H86" s="122">
        <v>6929940.9647881249</v>
      </c>
      <c r="I86" s="122">
        <v>7253940.9647881249</v>
      </c>
      <c r="J86" s="79" t="str">
        <f>VLOOKUP(A86,Table1[[Unit Number]:[NO. OF BEDROOMS]],2,FALSE)</f>
        <v>2 BEDROOM</v>
      </c>
    </row>
    <row r="87" spans="1:10" x14ac:dyDescent="0.25">
      <c r="A87" s="121" t="s">
        <v>1082</v>
      </c>
      <c r="B87" s="191">
        <v>49154.375</v>
      </c>
      <c r="C87" s="191">
        <v>158</v>
      </c>
      <c r="D87" s="191">
        <v>84.0732</v>
      </c>
      <c r="E87" s="122">
        <v>1363746.6480825001</v>
      </c>
      <c r="F87" s="122">
        <v>776061.7213370126</v>
      </c>
      <c r="G87" s="122">
        <v>9345137.8980825003</v>
      </c>
      <c r="H87" s="122">
        <v>10056137.8980825</v>
      </c>
      <c r="I87" s="122">
        <v>10530137.8980825</v>
      </c>
      <c r="J87" s="79" t="str">
        <f>VLOOKUP(A87,Table1[[Unit Number]:[NO. OF BEDROOMS]],2,FALSE)</f>
        <v>3 BEDROOM</v>
      </c>
    </row>
    <row r="88" spans="1:10" x14ac:dyDescent="0.25">
      <c r="A88" s="121" t="s">
        <v>1084</v>
      </c>
      <c r="B88" s="191">
        <v>49127.5</v>
      </c>
      <c r="C88" s="191">
        <v>154</v>
      </c>
      <c r="D88" s="191"/>
      <c r="E88" s="122">
        <v>0</v>
      </c>
      <c r="F88" s="122">
        <v>643078.97500000009</v>
      </c>
      <c r="G88" s="122">
        <v>7780635</v>
      </c>
      <c r="H88" s="122">
        <v>8473635</v>
      </c>
      <c r="I88" s="122">
        <v>8935635</v>
      </c>
      <c r="J88" s="79" t="str">
        <f>VLOOKUP(A88,Table1[[Unit Number]:[NO. OF BEDROOMS]],2,FALSE)</f>
        <v>3 BEDROOM</v>
      </c>
    </row>
    <row r="89" spans="1:10" x14ac:dyDescent="0.25">
      <c r="A89" s="121" t="s">
        <v>1091</v>
      </c>
      <c r="B89" s="191">
        <v>49154.375</v>
      </c>
      <c r="C89" s="191">
        <v>161</v>
      </c>
      <c r="D89" s="191"/>
      <c r="E89" s="122">
        <v>0</v>
      </c>
      <c r="F89" s="122">
        <v>672677.62187500007</v>
      </c>
      <c r="G89" s="122">
        <v>8128854.375</v>
      </c>
      <c r="H89" s="122">
        <v>8853354.375</v>
      </c>
      <c r="I89" s="122">
        <v>9336354.375</v>
      </c>
      <c r="J89" s="79" t="str">
        <f>VLOOKUP(A89,Table1[[Unit Number]:[NO. OF BEDROOMS]],2,FALSE)</f>
        <v>3 BEDROOM</v>
      </c>
    </row>
    <row r="90" spans="1:10" x14ac:dyDescent="0.25">
      <c r="A90" s="121" t="s">
        <v>1092</v>
      </c>
      <c r="B90" s="191">
        <v>49154.375</v>
      </c>
      <c r="C90" s="191">
        <v>158</v>
      </c>
      <c r="D90" s="191">
        <v>84.0732</v>
      </c>
      <c r="E90" s="122">
        <v>1363746.6480825001</v>
      </c>
      <c r="F90" s="122">
        <v>776061.7213370126</v>
      </c>
      <c r="G90" s="122">
        <v>9345137.8980825003</v>
      </c>
      <c r="H90" s="122">
        <v>10056137.8980825</v>
      </c>
      <c r="I90" s="122">
        <v>10530137.8980825</v>
      </c>
      <c r="J90" s="79" t="str">
        <f>VLOOKUP(A90,Table1[[Unit Number]:[NO. OF BEDROOMS]],2,FALSE)</f>
        <v>3 BEDROOM</v>
      </c>
    </row>
    <row r="91" spans="1:10" x14ac:dyDescent="0.25">
      <c r="A91" s="121" t="s">
        <v>1094</v>
      </c>
      <c r="B91" s="191">
        <v>49127.5</v>
      </c>
      <c r="C91" s="191">
        <v>154</v>
      </c>
      <c r="D91" s="191"/>
      <c r="E91" s="122">
        <v>0</v>
      </c>
      <c r="F91" s="122">
        <v>643078.97500000009</v>
      </c>
      <c r="G91" s="122">
        <v>7780635</v>
      </c>
      <c r="H91" s="122">
        <v>8473635</v>
      </c>
      <c r="I91" s="122">
        <v>8935635</v>
      </c>
      <c r="J91" s="79" t="str">
        <f>VLOOKUP(A91,Table1[[Unit Number]:[NO. OF BEDROOMS]],2,FALSE)</f>
        <v>3 BEDROOM</v>
      </c>
    </row>
    <row r="92" spans="1:10" x14ac:dyDescent="0.25">
      <c r="A92" s="121" t="s">
        <v>646</v>
      </c>
      <c r="B92" s="191">
        <v>47810.625</v>
      </c>
      <c r="C92" s="191">
        <v>108</v>
      </c>
      <c r="D92" s="191"/>
      <c r="E92" s="122">
        <v>0</v>
      </c>
      <c r="F92" s="122">
        <v>438901.53750000003</v>
      </c>
      <c r="G92" s="122">
        <v>5378547.5</v>
      </c>
      <c r="H92" s="122">
        <v>5864547.5</v>
      </c>
      <c r="I92" s="122">
        <v>6188547.5</v>
      </c>
      <c r="J92" s="79" t="str">
        <f>VLOOKUP(A92,Table1[[Unit Number]:[NO. OF BEDROOMS]],2,FALSE)</f>
        <v>2 BEDROOM</v>
      </c>
    </row>
    <row r="93" spans="1:10" x14ac:dyDescent="0.25">
      <c r="A93" s="121" t="s">
        <v>1099</v>
      </c>
      <c r="B93" s="191">
        <v>49154.375</v>
      </c>
      <c r="C93" s="191">
        <v>161</v>
      </c>
      <c r="D93" s="191"/>
      <c r="E93" s="122">
        <v>0</v>
      </c>
      <c r="F93" s="122">
        <v>672677.62187500007</v>
      </c>
      <c r="G93" s="122">
        <v>8128854.375</v>
      </c>
      <c r="H93" s="122">
        <v>8853354.375</v>
      </c>
      <c r="I93" s="122">
        <v>9336354.375</v>
      </c>
      <c r="J93" s="79" t="str">
        <f>VLOOKUP(A93,Table1[[Unit Number]:[NO. OF BEDROOMS]],2,FALSE)</f>
        <v>3 BEDROOM</v>
      </c>
    </row>
    <row r="94" spans="1:10" x14ac:dyDescent="0.25">
      <c r="A94" s="121" t="s">
        <v>659</v>
      </c>
      <c r="B94" s="191">
        <v>47810.625</v>
      </c>
      <c r="C94" s="191">
        <v>161</v>
      </c>
      <c r="D94" s="191"/>
      <c r="E94" s="122">
        <v>0</v>
      </c>
      <c r="F94" s="122">
        <v>654288.40312500007</v>
      </c>
      <c r="G94" s="122">
        <v>7912510.625</v>
      </c>
      <c r="H94" s="122">
        <v>8637010.625</v>
      </c>
      <c r="I94" s="122">
        <v>9120010.625</v>
      </c>
      <c r="J94" s="79" t="str">
        <f>VLOOKUP(A94,Table1[[Unit Number]:[NO. OF BEDROOMS]],2,FALSE)</f>
        <v>3 BEDROOM</v>
      </c>
    </row>
    <row r="95" spans="1:10" x14ac:dyDescent="0.25">
      <c r="A95" s="121" t="s">
        <v>665</v>
      </c>
      <c r="B95" s="191">
        <v>49423.125</v>
      </c>
      <c r="C95" s="191">
        <v>158</v>
      </c>
      <c r="D95" s="191">
        <v>84.0732</v>
      </c>
      <c r="E95" s="122">
        <v>1371202.8900075001</v>
      </c>
      <c r="F95" s="122">
        <v>780304.81440063752</v>
      </c>
      <c r="G95" s="122">
        <v>9395056.6400074996</v>
      </c>
      <c r="H95" s="122">
        <v>10106056.6400075</v>
      </c>
      <c r="I95" s="122">
        <v>10580056.6400075</v>
      </c>
      <c r="J95" s="79" t="str">
        <f>VLOOKUP(A95,Table1[[Unit Number]:[NO. OF BEDROOMS]],2,FALSE)</f>
        <v>3 BEDROOM</v>
      </c>
    </row>
    <row r="96" spans="1:10" x14ac:dyDescent="0.25">
      <c r="A96" s="121" t="s">
        <v>1113</v>
      </c>
      <c r="B96" s="191">
        <v>47541.875</v>
      </c>
      <c r="C96" s="191">
        <v>108</v>
      </c>
      <c r="D96" s="191"/>
      <c r="E96" s="122">
        <v>0</v>
      </c>
      <c r="F96" s="122">
        <v>436434.41250000003</v>
      </c>
      <c r="G96" s="122">
        <v>5349522.5</v>
      </c>
      <c r="H96" s="122">
        <v>5835522.5</v>
      </c>
      <c r="I96" s="122">
        <v>6159522.5</v>
      </c>
      <c r="J96" s="79" t="str">
        <f>VLOOKUP(A96,Table1[[Unit Number]:[NO. OF BEDROOMS]],2,FALSE)</f>
        <v>2 BEDROOM</v>
      </c>
    </row>
    <row r="97" spans="1:10" x14ac:dyDescent="0.25">
      <c r="A97" s="121" t="s">
        <v>671</v>
      </c>
      <c r="B97" s="191">
        <v>49423.125</v>
      </c>
      <c r="C97" s="191">
        <v>161</v>
      </c>
      <c r="D97" s="191"/>
      <c r="E97" s="122">
        <v>0</v>
      </c>
      <c r="F97" s="122">
        <v>676355.46562500007</v>
      </c>
      <c r="G97" s="122">
        <v>8172123.125</v>
      </c>
      <c r="H97" s="122">
        <v>8896623.125</v>
      </c>
      <c r="I97" s="122">
        <v>9379623.125</v>
      </c>
      <c r="J97" s="79" t="str">
        <f>VLOOKUP(A97,Table1[[Unit Number]:[NO. OF BEDROOMS]],2,FALSE)</f>
        <v>3 BEDROOM</v>
      </c>
    </row>
    <row r="98" spans="1:10" x14ac:dyDescent="0.25">
      <c r="A98" s="121" t="s">
        <v>673</v>
      </c>
      <c r="B98" s="191">
        <v>47810.625</v>
      </c>
      <c r="C98" s="191">
        <v>106</v>
      </c>
      <c r="D98" s="191">
        <v>73.757099999999994</v>
      </c>
      <c r="E98" s="122">
        <v>1163703.106231875</v>
      </c>
      <c r="F98" s="122">
        <v>529688.49527970934</v>
      </c>
      <c r="G98" s="122">
        <v>6446629.3562318748</v>
      </c>
      <c r="H98" s="122">
        <v>6923629.3562318748</v>
      </c>
      <c r="I98" s="122">
        <v>7241629.3562318748</v>
      </c>
      <c r="J98" s="79" t="str">
        <f>VLOOKUP(A98,Table1[[Unit Number]:[NO. OF BEDROOMS]],2,FALSE)</f>
        <v>2 BEDROOM</v>
      </c>
    </row>
    <row r="99" spans="1:10" x14ac:dyDescent="0.25">
      <c r="A99" s="121" t="s">
        <v>1121</v>
      </c>
      <c r="B99" s="191">
        <v>49154.375</v>
      </c>
      <c r="C99" s="191">
        <v>158</v>
      </c>
      <c r="D99" s="191">
        <v>84.075199999999995</v>
      </c>
      <c r="E99" s="122">
        <v>1363779.0899699999</v>
      </c>
      <c r="F99" s="122">
        <v>776064.47889745003</v>
      </c>
      <c r="G99" s="122">
        <v>9345170.3399700001</v>
      </c>
      <c r="H99" s="122">
        <v>10056170.33997</v>
      </c>
      <c r="I99" s="122">
        <v>10530170.33997</v>
      </c>
      <c r="J99" s="79" t="str">
        <f>VLOOKUP(A99,Table1[[Unit Number]:[NO. OF BEDROOMS]],2,FALSE)</f>
        <v>3 BEDROOM</v>
      </c>
    </row>
    <row r="100" spans="1:10" x14ac:dyDescent="0.25">
      <c r="A100" s="121" t="s">
        <v>1122</v>
      </c>
      <c r="B100" s="191">
        <v>49127.5</v>
      </c>
      <c r="C100" s="191">
        <v>155</v>
      </c>
      <c r="D100" s="191"/>
      <c r="E100" s="122">
        <v>0</v>
      </c>
      <c r="F100" s="122">
        <v>647254.8125</v>
      </c>
      <c r="G100" s="122">
        <v>7829762.5</v>
      </c>
      <c r="H100" s="122">
        <v>8527262.5</v>
      </c>
      <c r="I100" s="122">
        <v>8992262.5</v>
      </c>
      <c r="J100" s="79" t="str">
        <f>VLOOKUP(A100,Table1[[Unit Number]:[NO. OF BEDROOMS]],2,FALSE)</f>
        <v>3 BEDROOM</v>
      </c>
    </row>
    <row r="101" spans="1:10" x14ac:dyDescent="0.25">
      <c r="A101" s="121" t="s">
        <v>1129</v>
      </c>
      <c r="B101" s="191">
        <v>49154.375</v>
      </c>
      <c r="C101" s="191">
        <v>160</v>
      </c>
      <c r="D101" s="191"/>
      <c r="E101" s="122">
        <v>0</v>
      </c>
      <c r="F101" s="122">
        <v>668499.5</v>
      </c>
      <c r="G101" s="122">
        <v>8079700</v>
      </c>
      <c r="H101" s="122">
        <v>8799700</v>
      </c>
      <c r="I101" s="122">
        <v>9279700</v>
      </c>
      <c r="J101" s="79" t="str">
        <f>VLOOKUP(A101,Table1[[Unit Number]:[NO. OF BEDROOMS]],2,FALSE)</f>
        <v>3 BEDROOM</v>
      </c>
    </row>
    <row r="102" spans="1:10" x14ac:dyDescent="0.25">
      <c r="A102" s="121" t="s">
        <v>687</v>
      </c>
      <c r="B102" s="191">
        <v>47810.625</v>
      </c>
      <c r="C102" s="191">
        <v>106</v>
      </c>
      <c r="D102" s="191">
        <v>73.371899999999997</v>
      </c>
      <c r="E102" s="122">
        <v>1157625.6108243749</v>
      </c>
      <c r="F102" s="122">
        <v>529171.9081700719</v>
      </c>
      <c r="G102" s="122">
        <v>6440551.8608243745</v>
      </c>
      <c r="H102" s="122">
        <v>6917551.8608243745</v>
      </c>
      <c r="I102" s="122">
        <v>7235551.8608243745</v>
      </c>
      <c r="J102" s="79" t="str">
        <f>VLOOKUP(A102,Table1[[Unit Number]:[NO. OF BEDROOMS]],2,FALSE)</f>
        <v>2 BEDROOM</v>
      </c>
    </row>
    <row r="103" spans="1:10" x14ac:dyDescent="0.25">
      <c r="A103" s="121" t="s">
        <v>1136</v>
      </c>
      <c r="B103" s="191">
        <v>49154.375</v>
      </c>
      <c r="C103" s="191">
        <v>158</v>
      </c>
      <c r="D103" s="191">
        <v>84.036199999999994</v>
      </c>
      <c r="E103" s="122">
        <v>1363146.47316375</v>
      </c>
      <c r="F103" s="122">
        <v>776010.70646891883</v>
      </c>
      <c r="G103" s="122">
        <v>9344537.72316375</v>
      </c>
      <c r="H103" s="122">
        <v>10055537.72316375</v>
      </c>
      <c r="I103" s="122">
        <v>10529537.72316375</v>
      </c>
      <c r="J103" s="79" t="str">
        <f>VLOOKUP(A103,Table1[[Unit Number]:[NO. OF BEDROOMS]],2,FALSE)</f>
        <v>3 BEDROOM</v>
      </c>
    </row>
    <row r="104" spans="1:10" x14ac:dyDescent="0.25">
      <c r="A104" s="121" t="s">
        <v>700</v>
      </c>
      <c r="B104" s="191">
        <v>47810.625</v>
      </c>
      <c r="C104" s="191">
        <v>106</v>
      </c>
      <c r="D104" s="191">
        <v>72.451099999999997</v>
      </c>
      <c r="E104" s="122">
        <v>1143097.6830693749</v>
      </c>
      <c r="F104" s="122">
        <v>527937.03431089688</v>
      </c>
      <c r="G104" s="122">
        <v>6426023.9330693744</v>
      </c>
      <c r="H104" s="122">
        <v>6903023.9330693744</v>
      </c>
      <c r="I104" s="122">
        <v>7221023.9330693744</v>
      </c>
      <c r="J104" s="79" t="str">
        <f>VLOOKUP(A104,Table1[[Unit Number]:[NO. OF BEDROOMS]],2,FALSE)</f>
        <v>2 BEDROOM</v>
      </c>
    </row>
    <row r="105" spans="1:10" x14ac:dyDescent="0.25">
      <c r="A105" s="121" t="s">
        <v>1138</v>
      </c>
      <c r="B105" s="191">
        <v>49127.5</v>
      </c>
      <c r="C105" s="191">
        <v>155</v>
      </c>
      <c r="D105" s="191"/>
      <c r="E105" s="122">
        <v>0</v>
      </c>
      <c r="F105" s="122">
        <v>647254.8125</v>
      </c>
      <c r="G105" s="122">
        <v>7829762.5</v>
      </c>
      <c r="H105" s="122">
        <v>8527262.5</v>
      </c>
      <c r="I105" s="122">
        <v>8992262.5</v>
      </c>
      <c r="J105" s="79" t="str">
        <f>VLOOKUP(A105,Table1[[Unit Number]:[NO. OF BEDROOMS]],2,FALSE)</f>
        <v>3 BEDROOM</v>
      </c>
    </row>
    <row r="106" spans="1:10" x14ac:dyDescent="0.25">
      <c r="A106" s="121" t="s">
        <v>1144</v>
      </c>
      <c r="B106" s="191">
        <v>49154.375</v>
      </c>
      <c r="C106" s="191">
        <v>160</v>
      </c>
      <c r="D106" s="191"/>
      <c r="E106" s="122">
        <v>0</v>
      </c>
      <c r="F106" s="122">
        <v>668499.5</v>
      </c>
      <c r="G106" s="122">
        <v>8079700</v>
      </c>
      <c r="H106" s="122">
        <v>8799700</v>
      </c>
      <c r="I106" s="122">
        <v>9279700</v>
      </c>
      <c r="J106" s="79" t="str">
        <f>VLOOKUP(A106,Table1[[Unit Number]:[NO. OF BEDROOMS]],2,FALSE)</f>
        <v>3 BEDROOM</v>
      </c>
    </row>
    <row r="107" spans="1:10" x14ac:dyDescent="0.25">
      <c r="A107" s="121" t="s">
        <v>709</v>
      </c>
      <c r="B107" s="122">
        <v>4289967.5625</v>
      </c>
      <c r="C107" s="122">
        <v>14456</v>
      </c>
      <c r="D107" s="122">
        <v>1737.1366000000003</v>
      </c>
      <c r="E107" s="122">
        <v>27875552.254440002</v>
      </c>
      <c r="F107" s="122">
        <v>62415885.953502432</v>
      </c>
      <c r="G107" s="122">
        <v>753224540.62943995</v>
      </c>
      <c r="H107" s="122">
        <v>818276540.62943995</v>
      </c>
      <c r="I107" s="122">
        <v>861644540.62943995</v>
      </c>
    </row>
    <row r="108" spans="1:10" x14ac:dyDescent="0.25">
      <c r="A108"/>
      <c r="B108"/>
      <c r="C108"/>
      <c r="D108"/>
      <c r="E108"/>
      <c r="F108"/>
      <c r="G108"/>
      <c r="H108"/>
      <c r="I108"/>
      <c r="J108" s="79" t="e">
        <f>VLOOKUP(A108,Table1[[Unit Number]:[NO. OF BEDROOMS]],2,FALSE)</f>
        <v>#N/A</v>
      </c>
    </row>
    <row r="109" spans="1:10" x14ac:dyDescent="0.25">
      <c r="A109"/>
      <c r="B109"/>
      <c r="C109"/>
      <c r="D109"/>
      <c r="E109"/>
      <c r="F109"/>
      <c r="G109"/>
      <c r="H109"/>
      <c r="I109"/>
      <c r="J109" s="79" t="e">
        <f>VLOOKUP(A109,Table1[[Unit Number]:[NO. OF BEDROOMS]],2,FALSE)</f>
        <v>#N/A</v>
      </c>
    </row>
    <row r="110" spans="1:10" x14ac:dyDescent="0.25">
      <c r="A110"/>
      <c r="B110"/>
      <c r="C110"/>
      <c r="D110"/>
      <c r="E110"/>
      <c r="F110"/>
      <c r="G110"/>
      <c r="H110"/>
      <c r="I110"/>
      <c r="J110" s="79" t="e">
        <f>VLOOKUP(A110,Table1[[Unit Number]:[NO. OF BEDROOMS]],2,FALSE)</f>
        <v>#N/A</v>
      </c>
    </row>
    <row r="111" spans="1:10" x14ac:dyDescent="0.25">
      <c r="A111"/>
      <c r="B111"/>
      <c r="C111"/>
      <c r="D111"/>
      <c r="E111"/>
      <c r="F111"/>
      <c r="G111"/>
      <c r="H111"/>
      <c r="I111"/>
      <c r="J111" s="79" t="e">
        <f>VLOOKUP(A111,Table1[[Unit Number]:[NO. OF BEDROOMS]],2,FALSE)</f>
        <v>#N/A</v>
      </c>
    </row>
    <row r="112" spans="1:10" x14ac:dyDescent="0.25">
      <c r="A112"/>
      <c r="B112"/>
      <c r="C112"/>
      <c r="D112"/>
      <c r="E112"/>
      <c r="F112"/>
      <c r="G112"/>
      <c r="H112"/>
      <c r="I112"/>
      <c r="J112" s="79" t="e">
        <f>VLOOKUP(A112,Table1[[Unit Number]:[NO. OF BEDROOMS]],2,FALSE)</f>
        <v>#N/A</v>
      </c>
    </row>
    <row r="113" spans="1:10" x14ac:dyDescent="0.25">
      <c r="A113"/>
      <c r="B113"/>
      <c r="C113"/>
      <c r="D113"/>
      <c r="E113"/>
      <c r="F113"/>
      <c r="G113"/>
      <c r="H113"/>
      <c r="I113"/>
      <c r="J113" s="79" t="e">
        <f>VLOOKUP(A113,Table1[[Unit Number]:[NO. OF BEDROOMS]],2,FALSE)</f>
        <v>#N/A</v>
      </c>
    </row>
    <row r="114" spans="1:10" x14ac:dyDescent="0.25">
      <c r="A114"/>
      <c r="B114"/>
      <c r="C114"/>
      <c r="D114"/>
      <c r="E114"/>
      <c r="F114"/>
      <c r="G114"/>
      <c r="H114"/>
      <c r="I114"/>
      <c r="J114" s="79" t="e">
        <f>VLOOKUP(A114,Table1[[Unit Number]:[NO. OF BEDROOMS]],2,FALSE)</f>
        <v>#N/A</v>
      </c>
    </row>
    <row r="115" spans="1:10" x14ac:dyDescent="0.25">
      <c r="A115"/>
      <c r="B115"/>
      <c r="C115"/>
      <c r="D115"/>
      <c r="E115"/>
      <c r="F115"/>
      <c r="G115"/>
      <c r="H115"/>
      <c r="I115"/>
      <c r="J115" s="79" t="e">
        <f>VLOOKUP(A115,Table1[[Unit Number]:[NO. OF BEDROOMS]],2,FALSE)</f>
        <v>#N/A</v>
      </c>
    </row>
    <row r="116" spans="1:10" x14ac:dyDescent="0.25">
      <c r="A116"/>
      <c r="B116"/>
      <c r="C116"/>
      <c r="D116"/>
      <c r="E116"/>
      <c r="F116"/>
      <c r="G116"/>
      <c r="H116"/>
      <c r="I116"/>
      <c r="J116" s="79" t="e">
        <f>VLOOKUP(A116,Table1[[Unit Number]:[NO. OF BEDROOMS]],2,FALSE)</f>
        <v>#N/A</v>
      </c>
    </row>
    <row r="117" spans="1:10" x14ac:dyDescent="0.25">
      <c r="A117"/>
      <c r="B117"/>
      <c r="C117"/>
      <c r="D117"/>
      <c r="E117"/>
      <c r="F117"/>
      <c r="G117"/>
      <c r="H117"/>
      <c r="I117"/>
      <c r="J117" s="79" t="e">
        <f>VLOOKUP(A117,Table1[[Unit Number]:[NO. OF BEDROOMS]],2,FALSE)</f>
        <v>#N/A</v>
      </c>
    </row>
    <row r="118" spans="1:10" x14ac:dyDescent="0.25">
      <c r="A118"/>
      <c r="B118"/>
      <c r="C118"/>
      <c r="D118"/>
      <c r="E118"/>
      <c r="F118"/>
      <c r="G118"/>
      <c r="H118"/>
      <c r="I118"/>
      <c r="J118" s="79" t="e">
        <f>VLOOKUP(A118,Table1[[Unit Number]:[NO. OF BEDROOMS]],2,FALSE)</f>
        <v>#N/A</v>
      </c>
    </row>
    <row r="119" spans="1:10" x14ac:dyDescent="0.25">
      <c r="A119"/>
      <c r="B119"/>
      <c r="C119"/>
      <c r="D119"/>
      <c r="E119"/>
      <c r="F119"/>
      <c r="G119"/>
      <c r="H119"/>
      <c r="I119"/>
      <c r="J119" s="79" t="e">
        <f>VLOOKUP(A119,Table1[[Unit Number]:[NO. OF BEDROOMS]],2,FALSE)</f>
        <v>#N/A</v>
      </c>
    </row>
    <row r="120" spans="1:10" x14ac:dyDescent="0.25">
      <c r="A120"/>
      <c r="B120"/>
      <c r="C120"/>
      <c r="D120"/>
      <c r="E120"/>
      <c r="F120"/>
      <c r="G120"/>
      <c r="H120"/>
      <c r="I120"/>
      <c r="J120" s="79" t="e">
        <f>VLOOKUP(A120,Table1[[Unit Number]:[NO. OF BEDROOMS]],2,FALSE)</f>
        <v>#N/A</v>
      </c>
    </row>
    <row r="121" spans="1:10" x14ac:dyDescent="0.25">
      <c r="A121"/>
      <c r="B121"/>
      <c r="C121"/>
      <c r="D121"/>
      <c r="E121"/>
      <c r="F121"/>
      <c r="G121"/>
      <c r="H121"/>
      <c r="I121"/>
      <c r="J121" s="79" t="e">
        <f>VLOOKUP(A121,Table1[[Unit Number]:[NO. OF BEDROOMS]],2,FALSE)</f>
        <v>#N/A</v>
      </c>
    </row>
    <row r="122" spans="1:10" x14ac:dyDescent="0.25">
      <c r="A122"/>
      <c r="B122"/>
      <c r="C122"/>
      <c r="D122"/>
      <c r="E122"/>
      <c r="F122"/>
      <c r="G122"/>
      <c r="H122"/>
      <c r="I122"/>
      <c r="J122" s="79" t="e">
        <f>VLOOKUP(A122,Table1[[Unit Number]:[NO. OF BEDROOMS]],2,FALSE)</f>
        <v>#N/A</v>
      </c>
    </row>
    <row r="123" spans="1:10" x14ac:dyDescent="0.25">
      <c r="A123"/>
      <c r="B123"/>
      <c r="C123"/>
      <c r="D123"/>
      <c r="E123"/>
      <c r="F123"/>
      <c r="G123"/>
      <c r="H123"/>
      <c r="I123"/>
      <c r="J123" s="79" t="e">
        <f>VLOOKUP(A123,Table1[[Unit Number]:[NO. OF BEDROOMS]],2,FALSE)</f>
        <v>#N/A</v>
      </c>
    </row>
    <row r="124" spans="1:10" x14ac:dyDescent="0.25">
      <c r="A124"/>
      <c r="B124"/>
      <c r="C124"/>
      <c r="D124"/>
      <c r="E124"/>
      <c r="F124"/>
      <c r="G124"/>
      <c r="H124"/>
      <c r="I124"/>
      <c r="J124" s="79" t="e">
        <f>VLOOKUP(A124,Table1[[Unit Number]:[NO. OF BEDROOMS]],2,FALSE)</f>
        <v>#N/A</v>
      </c>
    </row>
    <row r="125" spans="1:10" x14ac:dyDescent="0.25">
      <c r="A125"/>
      <c r="B125"/>
      <c r="C125"/>
      <c r="D125"/>
      <c r="E125"/>
      <c r="F125"/>
      <c r="G125"/>
      <c r="H125"/>
      <c r="I125"/>
      <c r="J125" s="79" t="e">
        <f>VLOOKUP(A125,Table1[[Unit Number]:[NO. OF BEDROOMS]],2,FALSE)</f>
        <v>#N/A</v>
      </c>
    </row>
    <row r="126" spans="1:10" x14ac:dyDescent="0.25">
      <c r="A126"/>
      <c r="B126"/>
      <c r="C126"/>
      <c r="D126"/>
      <c r="E126"/>
      <c r="F126"/>
      <c r="G126"/>
      <c r="H126"/>
      <c r="I126"/>
      <c r="J126" s="79" t="e">
        <f>VLOOKUP(A126,Table1[[Unit Number]:[NO. OF BEDROOMS]],2,FALSE)</f>
        <v>#N/A</v>
      </c>
    </row>
    <row r="127" spans="1:10" x14ac:dyDescent="0.25">
      <c r="A127"/>
      <c r="B127"/>
      <c r="C127"/>
      <c r="D127"/>
      <c r="E127"/>
      <c r="F127"/>
      <c r="G127"/>
      <c r="H127"/>
      <c r="I127"/>
      <c r="J127" s="79" t="e">
        <f>VLOOKUP(A127,Table1[[Unit Number]:[NO. OF BEDROOMS]],2,FALSE)</f>
        <v>#N/A</v>
      </c>
    </row>
    <row r="128" spans="1:10" x14ac:dyDescent="0.25">
      <c r="A128"/>
      <c r="B128"/>
      <c r="C128"/>
      <c r="D128"/>
      <c r="E128"/>
      <c r="F128"/>
      <c r="G128"/>
      <c r="H128"/>
      <c r="I128"/>
      <c r="J128" s="79" t="e">
        <f>VLOOKUP(A128,Table1[[Unit Number]:[NO. OF BEDROOMS]],2,FALSE)</f>
        <v>#N/A</v>
      </c>
    </row>
    <row r="129" spans="1:10" x14ac:dyDescent="0.25">
      <c r="A129"/>
      <c r="B129"/>
      <c r="C129"/>
      <c r="D129"/>
      <c r="E129"/>
      <c r="F129"/>
      <c r="G129"/>
      <c r="H129"/>
      <c r="I129"/>
      <c r="J129" s="79" t="e">
        <f>VLOOKUP(A129,Table1[[Unit Number]:[NO. OF BEDROOMS]],2,FALSE)</f>
        <v>#N/A</v>
      </c>
    </row>
    <row r="130" spans="1:10" x14ac:dyDescent="0.25">
      <c r="A130"/>
      <c r="B130"/>
      <c r="C130"/>
      <c r="D130"/>
      <c r="E130"/>
      <c r="F130"/>
      <c r="G130"/>
      <c r="H130"/>
      <c r="I130"/>
      <c r="J130" s="79" t="e">
        <f>VLOOKUP(A130,Table1[[Unit Number]:[NO. OF BEDROOMS]],2,FALSE)</f>
        <v>#N/A</v>
      </c>
    </row>
    <row r="131" spans="1:10" x14ac:dyDescent="0.25">
      <c r="A131"/>
      <c r="B131"/>
      <c r="C131"/>
      <c r="D131"/>
      <c r="E131"/>
      <c r="F131"/>
      <c r="G131"/>
      <c r="H131"/>
      <c r="I131"/>
      <c r="J131" s="79" t="e">
        <f>VLOOKUP(A131,Table1[[Unit Number]:[NO. OF BEDROOMS]],2,FALSE)</f>
        <v>#N/A</v>
      </c>
    </row>
    <row r="132" spans="1:10" x14ac:dyDescent="0.25">
      <c r="A132"/>
      <c r="B132"/>
      <c r="C132"/>
      <c r="D132"/>
      <c r="E132"/>
      <c r="F132"/>
      <c r="G132"/>
      <c r="H132"/>
      <c r="I132"/>
      <c r="J132" s="79" t="e">
        <f>VLOOKUP(A132,Table1[[Unit Number]:[NO. OF BEDROOMS]],2,FALSE)</f>
        <v>#N/A</v>
      </c>
    </row>
    <row r="133" spans="1:10" x14ac:dyDescent="0.25">
      <c r="A133"/>
      <c r="B133"/>
      <c r="C133"/>
      <c r="D133"/>
      <c r="E133"/>
      <c r="F133"/>
      <c r="G133"/>
      <c r="H133"/>
      <c r="I133"/>
      <c r="J133" s="79" t="e">
        <f>VLOOKUP(A133,Table1[[Unit Number]:[NO. OF BEDROOMS]],2,FALSE)</f>
        <v>#N/A</v>
      </c>
    </row>
    <row r="134" spans="1:10" x14ac:dyDescent="0.25">
      <c r="A134"/>
      <c r="B134"/>
      <c r="C134"/>
      <c r="D134"/>
      <c r="E134"/>
      <c r="F134"/>
      <c r="G134"/>
      <c r="H134"/>
      <c r="I134"/>
      <c r="J134" s="79" t="e">
        <f>VLOOKUP(A134,Table1[[Unit Number]:[NO. OF BEDROOMS]],2,FALSE)</f>
        <v>#N/A</v>
      </c>
    </row>
    <row r="135" spans="1:10" x14ac:dyDescent="0.25">
      <c r="A135"/>
      <c r="B135"/>
      <c r="C135"/>
      <c r="D135"/>
      <c r="E135"/>
      <c r="F135"/>
      <c r="G135"/>
      <c r="H135"/>
      <c r="I135"/>
      <c r="J135" s="79" t="e">
        <f>VLOOKUP(A135,Table1[[Unit Number]:[NO. OF BEDROOMS]],2,FALSE)</f>
        <v>#N/A</v>
      </c>
    </row>
    <row r="136" spans="1:10" x14ac:dyDescent="0.25">
      <c r="A136"/>
      <c r="B136"/>
      <c r="C136"/>
      <c r="D136"/>
      <c r="E136"/>
      <c r="F136"/>
      <c r="G136"/>
      <c r="H136"/>
      <c r="I136"/>
      <c r="J136" s="79" t="e">
        <f>VLOOKUP(A136,Table1[[Unit Number]:[NO. OF BEDROOMS]],2,FALSE)</f>
        <v>#N/A</v>
      </c>
    </row>
    <row r="137" spans="1:10" x14ac:dyDescent="0.25">
      <c r="A137"/>
      <c r="B137"/>
      <c r="C137"/>
      <c r="D137"/>
      <c r="E137"/>
      <c r="F137"/>
      <c r="G137"/>
      <c r="H137"/>
      <c r="I137"/>
      <c r="J137" s="79" t="e">
        <f>VLOOKUP(A137,Table1[[Unit Number]:[NO. OF BEDROOMS]],2,FALSE)</f>
        <v>#N/A</v>
      </c>
    </row>
    <row r="138" spans="1:10" x14ac:dyDescent="0.25">
      <c r="A138"/>
      <c r="B138"/>
      <c r="C138"/>
      <c r="D138"/>
      <c r="E138"/>
      <c r="F138"/>
      <c r="G138"/>
      <c r="H138"/>
      <c r="I138"/>
      <c r="J138" s="79" t="e">
        <f>VLOOKUP(A138,Table1[[Unit Number]:[NO. OF BEDROOMS]],2,FALSE)</f>
        <v>#N/A</v>
      </c>
    </row>
    <row r="139" spans="1:10" x14ac:dyDescent="0.25">
      <c r="A139"/>
      <c r="B139"/>
      <c r="C139"/>
      <c r="D139"/>
      <c r="E139"/>
      <c r="F139"/>
      <c r="G139"/>
      <c r="H139"/>
      <c r="I139"/>
      <c r="J139" s="79" t="e">
        <f>VLOOKUP(A139,Table1[[Unit Number]:[NO. OF BEDROOMS]],2,FALSE)</f>
        <v>#N/A</v>
      </c>
    </row>
    <row r="140" spans="1:10" x14ac:dyDescent="0.25">
      <c r="A140"/>
      <c r="B140"/>
      <c r="C140"/>
      <c r="D140"/>
      <c r="E140"/>
      <c r="F140"/>
      <c r="G140"/>
      <c r="H140"/>
      <c r="I140"/>
      <c r="J140" s="79" t="e">
        <f>VLOOKUP(A140,Table1[[Unit Number]:[NO. OF BEDROOMS]],2,FALSE)</f>
        <v>#N/A</v>
      </c>
    </row>
    <row r="141" spans="1:10" x14ac:dyDescent="0.25">
      <c r="A141"/>
      <c r="B141"/>
      <c r="C141"/>
      <c r="D141"/>
      <c r="E141"/>
      <c r="F141"/>
      <c r="G141"/>
      <c r="H141"/>
      <c r="I141"/>
      <c r="J141" s="79" t="e">
        <f>VLOOKUP(A141,Table1[[Unit Number]:[NO. OF BEDROOMS]],2,FALSE)</f>
        <v>#N/A</v>
      </c>
    </row>
    <row r="142" spans="1:10" x14ac:dyDescent="0.25">
      <c r="A142"/>
      <c r="B142"/>
      <c r="C142"/>
      <c r="D142"/>
      <c r="E142"/>
      <c r="F142"/>
      <c r="G142"/>
      <c r="H142"/>
      <c r="I142"/>
      <c r="J142" s="79" t="e">
        <f>VLOOKUP(A142,Table1[[Unit Number]:[NO. OF BEDROOMS]],2,FALSE)</f>
        <v>#N/A</v>
      </c>
    </row>
    <row r="143" spans="1:10" x14ac:dyDescent="0.25">
      <c r="A143"/>
      <c r="B143"/>
      <c r="C143"/>
      <c r="D143"/>
      <c r="E143"/>
      <c r="F143"/>
      <c r="G143"/>
      <c r="H143"/>
      <c r="I143"/>
      <c r="J143" s="79" t="e">
        <f>VLOOKUP(A143,Table1[[Unit Number]:[NO. OF BEDROOMS]],2,FALSE)</f>
        <v>#N/A</v>
      </c>
    </row>
    <row r="144" spans="1:10" x14ac:dyDescent="0.25">
      <c r="A144"/>
      <c r="B144"/>
      <c r="C144"/>
      <c r="D144"/>
      <c r="E144"/>
      <c r="F144"/>
      <c r="G144"/>
      <c r="H144"/>
      <c r="I144"/>
      <c r="J144" s="79" t="e">
        <f>VLOOKUP(A144,Table1[[Unit Number]:[NO. OF BEDROOMS]],2,FALSE)</f>
        <v>#N/A</v>
      </c>
    </row>
    <row r="145" spans="1:10" x14ac:dyDescent="0.25">
      <c r="A145"/>
      <c r="B145"/>
      <c r="C145"/>
      <c r="D145"/>
      <c r="E145"/>
      <c r="F145"/>
      <c r="G145"/>
      <c r="H145"/>
      <c r="I145"/>
      <c r="J145" s="79" t="e">
        <f>VLOOKUP(A145,Table1[[Unit Number]:[NO. OF BEDROOMS]],2,FALSE)</f>
        <v>#N/A</v>
      </c>
    </row>
    <row r="146" spans="1:10" x14ac:dyDescent="0.25">
      <c r="A146"/>
      <c r="B146"/>
      <c r="C146"/>
      <c r="D146"/>
      <c r="E146"/>
      <c r="F146"/>
      <c r="G146"/>
      <c r="H146"/>
      <c r="I146"/>
      <c r="J146" s="79" t="e">
        <f>VLOOKUP(A146,Table1[[Unit Number]:[NO. OF BEDROOMS]],2,FALSE)</f>
        <v>#N/A</v>
      </c>
    </row>
    <row r="147" spans="1:10" x14ac:dyDescent="0.25">
      <c r="A147"/>
      <c r="B147"/>
      <c r="C147"/>
      <c r="D147"/>
      <c r="E147"/>
      <c r="F147"/>
      <c r="G147"/>
      <c r="H147"/>
      <c r="I147"/>
      <c r="J147" s="79" t="e">
        <f>VLOOKUP(A147,Table1[[Unit Number]:[NO. OF BEDROOMS]],2,FALSE)</f>
        <v>#N/A</v>
      </c>
    </row>
    <row r="148" spans="1:10" x14ac:dyDescent="0.25">
      <c r="A148"/>
      <c r="B148"/>
      <c r="C148"/>
      <c r="D148"/>
      <c r="E148"/>
      <c r="F148"/>
      <c r="G148"/>
      <c r="H148"/>
      <c r="I148"/>
      <c r="J148" s="79" t="e">
        <f>VLOOKUP(A148,Table1[[Unit Number]:[NO. OF BEDROOMS]],2,FALSE)</f>
        <v>#N/A</v>
      </c>
    </row>
    <row r="149" spans="1:10" x14ac:dyDescent="0.25">
      <c r="A149"/>
      <c r="B149"/>
      <c r="C149"/>
      <c r="D149"/>
      <c r="E149"/>
      <c r="F149"/>
      <c r="G149"/>
      <c r="H149"/>
      <c r="I149"/>
      <c r="J149" s="79" t="e">
        <f>VLOOKUP(A149,Table1[[Unit Number]:[NO. OF BEDROOMS]],2,FALSE)</f>
        <v>#N/A</v>
      </c>
    </row>
    <row r="150" spans="1:10" x14ac:dyDescent="0.25">
      <c r="A150"/>
      <c r="B150"/>
      <c r="C150"/>
      <c r="D150"/>
      <c r="E150"/>
      <c r="F150"/>
      <c r="G150"/>
      <c r="H150"/>
      <c r="I150"/>
      <c r="J150" s="79" t="e">
        <f>VLOOKUP(A150,Table1[[Unit Number]:[NO. OF BEDROOMS]],2,FALSE)</f>
        <v>#N/A</v>
      </c>
    </row>
    <row r="151" spans="1:10" x14ac:dyDescent="0.25">
      <c r="A151"/>
      <c r="B151"/>
      <c r="C151"/>
      <c r="D151"/>
      <c r="E151"/>
      <c r="F151"/>
      <c r="G151"/>
      <c r="H151"/>
      <c r="I151"/>
      <c r="J151" s="79" t="e">
        <f>VLOOKUP(A151,Table1[[Unit Number]:[NO. OF BEDROOMS]],2,FALSE)</f>
        <v>#N/A</v>
      </c>
    </row>
    <row r="152" spans="1:10" x14ac:dyDescent="0.25">
      <c r="A152"/>
      <c r="B152"/>
      <c r="C152"/>
      <c r="D152"/>
      <c r="E152"/>
      <c r="F152"/>
      <c r="G152"/>
      <c r="H152"/>
      <c r="I152"/>
      <c r="J152" s="79" t="e">
        <f>VLOOKUP(A152,Table1[[Unit Number]:[NO. OF BEDROOMS]],2,FALSE)</f>
        <v>#N/A</v>
      </c>
    </row>
    <row r="153" spans="1:10" x14ac:dyDescent="0.25">
      <c r="A153"/>
      <c r="B153"/>
      <c r="C153"/>
      <c r="D153"/>
      <c r="E153"/>
      <c r="F153"/>
      <c r="G153"/>
      <c r="H153"/>
      <c r="I153"/>
      <c r="J153" s="79" t="e">
        <f>VLOOKUP(A153,Table1[[Unit Number]:[NO. OF BEDROOMS]],2,FALSE)</f>
        <v>#N/A</v>
      </c>
    </row>
    <row r="154" spans="1:10" x14ac:dyDescent="0.25">
      <c r="A154"/>
      <c r="B154"/>
      <c r="C154"/>
      <c r="D154"/>
      <c r="E154"/>
      <c r="F154"/>
      <c r="G154"/>
      <c r="H154"/>
      <c r="I154"/>
      <c r="J154" s="79" t="e">
        <f>VLOOKUP(A154,Table1[[Unit Number]:[NO. OF BEDROOMS]],2,FALSE)</f>
        <v>#N/A</v>
      </c>
    </row>
    <row r="155" spans="1:10" x14ac:dyDescent="0.25">
      <c r="A155"/>
      <c r="B155"/>
      <c r="C155"/>
      <c r="D155"/>
      <c r="E155"/>
      <c r="F155"/>
      <c r="G155"/>
      <c r="H155"/>
      <c r="I155"/>
      <c r="J155" s="79" t="e">
        <f>VLOOKUP(A155,Table1[[Unit Number]:[NO. OF BEDROOMS]],2,FALSE)</f>
        <v>#N/A</v>
      </c>
    </row>
    <row r="156" spans="1:10" x14ac:dyDescent="0.25">
      <c r="A156"/>
      <c r="B156"/>
      <c r="C156"/>
      <c r="D156"/>
      <c r="E156"/>
      <c r="F156"/>
      <c r="G156"/>
      <c r="H156"/>
      <c r="I156"/>
      <c r="J156" s="79" t="e">
        <f>VLOOKUP(A156,Table1[[Unit Number]:[NO. OF BEDROOMS]],2,FALSE)</f>
        <v>#N/A</v>
      </c>
    </row>
    <row r="157" spans="1:10" x14ac:dyDescent="0.25">
      <c r="A157"/>
      <c r="B157"/>
      <c r="C157"/>
      <c r="D157"/>
      <c r="E157"/>
      <c r="F157"/>
      <c r="G157"/>
      <c r="H157"/>
      <c r="I157"/>
      <c r="J157" s="79" t="e">
        <f>VLOOKUP(A157,Table1[[Unit Number]:[NO. OF BEDROOMS]],2,FALSE)</f>
        <v>#N/A</v>
      </c>
    </row>
    <row r="158" spans="1:10" x14ac:dyDescent="0.25">
      <c r="A158"/>
      <c r="B158"/>
      <c r="C158"/>
      <c r="D158"/>
      <c r="E158"/>
      <c r="F158"/>
      <c r="G158"/>
      <c r="H158"/>
      <c r="I158"/>
      <c r="J158" s="79" t="e">
        <f>VLOOKUP(A158,Table1[[Unit Number]:[NO. OF BEDROOMS]],2,FALSE)</f>
        <v>#N/A</v>
      </c>
    </row>
    <row r="159" spans="1:10" x14ac:dyDescent="0.25">
      <c r="A159"/>
      <c r="B159"/>
      <c r="C159"/>
      <c r="D159"/>
      <c r="E159"/>
      <c r="F159"/>
      <c r="G159"/>
      <c r="H159"/>
      <c r="I159"/>
      <c r="J159" s="79" t="e">
        <f>VLOOKUP(A159,Table1[[Unit Number]:[NO. OF BEDROOMS]],2,FALSE)</f>
        <v>#N/A</v>
      </c>
    </row>
    <row r="160" spans="1:10" x14ac:dyDescent="0.25">
      <c r="A160"/>
      <c r="B160"/>
      <c r="C160"/>
      <c r="D160"/>
      <c r="E160"/>
      <c r="F160"/>
      <c r="G160"/>
      <c r="H160"/>
      <c r="I160"/>
      <c r="J160" s="79" t="e">
        <f>VLOOKUP(A160,Table1[[Unit Number]:[NO. OF BEDROOMS]],2,FALSE)</f>
        <v>#N/A</v>
      </c>
    </row>
    <row r="161" spans="1:10" x14ac:dyDescent="0.25">
      <c r="A161"/>
      <c r="B161"/>
      <c r="C161"/>
      <c r="D161"/>
      <c r="E161"/>
      <c r="F161"/>
      <c r="G161"/>
      <c r="H161"/>
      <c r="I161"/>
      <c r="J161" s="79" t="e">
        <f>VLOOKUP(A161,Table1[[Unit Number]:[NO. OF BEDROOMS]],2,FALSE)</f>
        <v>#N/A</v>
      </c>
    </row>
    <row r="162" spans="1:10" x14ac:dyDescent="0.25">
      <c r="A162"/>
      <c r="B162"/>
      <c r="C162"/>
      <c r="D162"/>
      <c r="E162"/>
      <c r="F162"/>
      <c r="G162"/>
      <c r="H162"/>
      <c r="I162"/>
      <c r="J162" s="79" t="e">
        <f>VLOOKUP(A162,Table1[[Unit Number]:[NO. OF BEDROOMS]],2,FALSE)</f>
        <v>#N/A</v>
      </c>
    </row>
    <row r="163" spans="1:10" x14ac:dyDescent="0.25">
      <c r="A163"/>
      <c r="B163"/>
      <c r="C163"/>
      <c r="D163"/>
      <c r="E163"/>
      <c r="F163"/>
      <c r="G163"/>
      <c r="H163"/>
      <c r="I163"/>
    </row>
    <row r="164" spans="1:10" x14ac:dyDescent="0.25">
      <c r="A164"/>
      <c r="B164"/>
      <c r="C164"/>
      <c r="D164"/>
      <c r="E164"/>
      <c r="F164"/>
      <c r="G164"/>
      <c r="H164"/>
      <c r="I164"/>
    </row>
    <row r="165" spans="1:10" x14ac:dyDescent="0.25">
      <c r="A165"/>
      <c r="B165"/>
      <c r="C165"/>
      <c r="D165"/>
      <c r="E165"/>
      <c r="F165"/>
      <c r="G165"/>
      <c r="H165"/>
      <c r="I165"/>
    </row>
    <row r="166" spans="1:10" x14ac:dyDescent="0.25">
      <c r="A166"/>
      <c r="B166"/>
      <c r="C166"/>
      <c r="D166"/>
      <c r="E166"/>
      <c r="F166"/>
      <c r="G166"/>
      <c r="H166"/>
      <c r="I166"/>
    </row>
    <row r="167" spans="1:10" x14ac:dyDescent="0.25">
      <c r="A167"/>
      <c r="B167"/>
      <c r="C167"/>
      <c r="D167"/>
      <c r="E167"/>
      <c r="F167"/>
      <c r="G167"/>
      <c r="H167"/>
      <c r="I167"/>
    </row>
    <row r="168" spans="1:10" x14ac:dyDescent="0.25">
      <c r="A168"/>
      <c r="B168"/>
      <c r="C168"/>
      <c r="D168"/>
      <c r="E168"/>
      <c r="F168"/>
      <c r="G168"/>
      <c r="H168"/>
      <c r="I168"/>
    </row>
    <row r="169" spans="1:10" x14ac:dyDescent="0.25">
      <c r="A169"/>
      <c r="B169"/>
      <c r="C169"/>
      <c r="D169"/>
      <c r="E169"/>
      <c r="F169"/>
      <c r="G169"/>
      <c r="H169"/>
      <c r="I169"/>
    </row>
    <row r="170" spans="1:10" x14ac:dyDescent="0.25">
      <c r="A170"/>
      <c r="B170"/>
      <c r="C170"/>
      <c r="D170"/>
      <c r="E170"/>
      <c r="F170"/>
      <c r="G170"/>
      <c r="H170"/>
      <c r="I170"/>
    </row>
    <row r="171" spans="1:10" x14ac:dyDescent="0.25">
      <c r="A171"/>
      <c r="B171"/>
      <c r="C171"/>
      <c r="D171"/>
      <c r="E171"/>
      <c r="F171"/>
      <c r="G171"/>
      <c r="H171"/>
      <c r="I171"/>
    </row>
    <row r="172" spans="1:10" x14ac:dyDescent="0.25">
      <c r="A172"/>
      <c r="B172"/>
      <c r="C172"/>
      <c r="D172"/>
      <c r="E172"/>
      <c r="F172"/>
      <c r="G172"/>
      <c r="H172"/>
      <c r="I172"/>
    </row>
    <row r="173" spans="1:10" x14ac:dyDescent="0.25">
      <c r="A173"/>
      <c r="B173"/>
      <c r="C173"/>
      <c r="D173"/>
      <c r="E173"/>
      <c r="F173"/>
      <c r="G173"/>
      <c r="H173"/>
      <c r="I173"/>
    </row>
    <row r="174" spans="1:10" x14ac:dyDescent="0.25">
      <c r="A174"/>
      <c r="B174"/>
      <c r="C174"/>
      <c r="D174"/>
      <c r="E174"/>
      <c r="F174"/>
      <c r="G174"/>
      <c r="H174"/>
      <c r="I174"/>
    </row>
    <row r="175" spans="1:10" x14ac:dyDescent="0.25">
      <c r="A175"/>
      <c r="B175"/>
      <c r="C175"/>
      <c r="D175"/>
      <c r="E175"/>
      <c r="F175"/>
      <c r="G175"/>
      <c r="H175"/>
      <c r="I175"/>
    </row>
    <row r="176" spans="1:10" x14ac:dyDescent="0.25">
      <c r="A176"/>
      <c r="B176"/>
      <c r="C176"/>
      <c r="D176"/>
      <c r="E176"/>
      <c r="F176"/>
      <c r="G176"/>
      <c r="H176"/>
      <c r="I176"/>
    </row>
    <row r="177" spans="1:9" x14ac:dyDescent="0.25">
      <c r="A177"/>
      <c r="B177"/>
      <c r="C177"/>
      <c r="D177"/>
      <c r="E177"/>
      <c r="F177"/>
      <c r="G177"/>
      <c r="H177"/>
      <c r="I177"/>
    </row>
    <row r="178" spans="1:9" x14ac:dyDescent="0.25">
      <c r="A178"/>
      <c r="B178"/>
      <c r="C178"/>
      <c r="D178"/>
      <c r="E178"/>
      <c r="F178"/>
      <c r="G178"/>
      <c r="H178"/>
      <c r="I178"/>
    </row>
    <row r="179" spans="1:9" x14ac:dyDescent="0.25">
      <c r="A179"/>
      <c r="B179"/>
      <c r="C179"/>
      <c r="D179"/>
      <c r="E179"/>
      <c r="F179"/>
      <c r="G179"/>
      <c r="H179"/>
      <c r="I179"/>
    </row>
    <row r="180" spans="1:9" x14ac:dyDescent="0.25">
      <c r="A180"/>
      <c r="B180"/>
      <c r="C180"/>
      <c r="D180"/>
      <c r="E180"/>
      <c r="F180"/>
      <c r="G180"/>
      <c r="H180"/>
      <c r="I180"/>
    </row>
    <row r="181" spans="1:9" x14ac:dyDescent="0.25">
      <c r="A181"/>
      <c r="B181"/>
      <c r="C181"/>
      <c r="D181"/>
      <c r="E181"/>
      <c r="F181"/>
      <c r="G181"/>
      <c r="H181"/>
      <c r="I181"/>
    </row>
    <row r="182" spans="1:9" x14ac:dyDescent="0.25">
      <c r="A182"/>
      <c r="B182"/>
      <c r="C182"/>
      <c r="D182"/>
      <c r="E182"/>
      <c r="F182"/>
      <c r="G182"/>
      <c r="H182"/>
      <c r="I182"/>
    </row>
    <row r="183" spans="1:9" x14ac:dyDescent="0.25">
      <c r="A183"/>
      <c r="B183"/>
      <c r="C183"/>
      <c r="D183"/>
      <c r="E183"/>
      <c r="F183"/>
      <c r="G183"/>
      <c r="H183"/>
      <c r="I183"/>
    </row>
    <row r="184" spans="1:9" x14ac:dyDescent="0.25">
      <c r="A184"/>
      <c r="B184"/>
      <c r="C184"/>
      <c r="D184"/>
      <c r="E184"/>
      <c r="F184"/>
      <c r="G184"/>
      <c r="H184"/>
      <c r="I184"/>
    </row>
    <row r="185" spans="1:9" x14ac:dyDescent="0.25">
      <c r="A185"/>
      <c r="B185"/>
      <c r="C185"/>
      <c r="D185"/>
      <c r="E185"/>
      <c r="F185"/>
      <c r="G185"/>
      <c r="H185"/>
      <c r="I185"/>
    </row>
    <row r="186" spans="1:9" x14ac:dyDescent="0.25">
      <c r="A186"/>
      <c r="B186"/>
      <c r="C186"/>
      <c r="D186"/>
      <c r="E186"/>
      <c r="F186"/>
      <c r="G186"/>
      <c r="H186"/>
      <c r="I186"/>
    </row>
    <row r="187" spans="1:9" x14ac:dyDescent="0.25">
      <c r="A187"/>
      <c r="B187"/>
      <c r="C187"/>
      <c r="D187"/>
      <c r="E187"/>
      <c r="F187"/>
      <c r="G187"/>
      <c r="H187"/>
      <c r="I187"/>
    </row>
    <row r="188" spans="1:9" x14ac:dyDescent="0.25">
      <c r="A188"/>
      <c r="B188"/>
      <c r="C188"/>
      <c r="D188"/>
      <c r="E188"/>
      <c r="F188"/>
      <c r="G188"/>
      <c r="H188"/>
      <c r="I188"/>
    </row>
    <row r="189" spans="1:9" x14ac:dyDescent="0.25">
      <c r="A189"/>
      <c r="B189"/>
      <c r="C189"/>
      <c r="D189"/>
      <c r="E189"/>
      <c r="F189"/>
      <c r="G189"/>
      <c r="H189"/>
      <c r="I189"/>
    </row>
    <row r="190" spans="1:9" x14ac:dyDescent="0.25">
      <c r="A190"/>
      <c r="B190"/>
      <c r="C190"/>
      <c r="D190"/>
      <c r="E190"/>
      <c r="F190"/>
      <c r="G190"/>
      <c r="H190"/>
      <c r="I190"/>
    </row>
    <row r="191" spans="1:9" x14ac:dyDescent="0.25">
      <c r="A191"/>
      <c r="B191"/>
      <c r="C191"/>
      <c r="D191"/>
      <c r="E191"/>
      <c r="F191"/>
      <c r="G191"/>
      <c r="H191"/>
      <c r="I191"/>
    </row>
    <row r="192" spans="1:9" x14ac:dyDescent="0.25">
      <c r="A192"/>
      <c r="B192"/>
      <c r="C192"/>
      <c r="D192"/>
      <c r="E192"/>
      <c r="F192"/>
      <c r="G192"/>
      <c r="H192"/>
      <c r="I192"/>
    </row>
    <row r="193" spans="1:9" x14ac:dyDescent="0.25">
      <c r="A193"/>
      <c r="B193"/>
      <c r="C193"/>
      <c r="D193"/>
      <c r="E193"/>
      <c r="F193"/>
      <c r="G193"/>
      <c r="H193"/>
      <c r="I193"/>
    </row>
    <row r="194" spans="1:9" x14ac:dyDescent="0.25">
      <c r="A194"/>
      <c r="B194"/>
      <c r="C194"/>
      <c r="D194"/>
      <c r="E194"/>
      <c r="F194"/>
      <c r="G194"/>
      <c r="H194"/>
      <c r="I194"/>
    </row>
    <row r="195" spans="1:9" x14ac:dyDescent="0.25">
      <c r="A195"/>
      <c r="B195"/>
      <c r="C195"/>
      <c r="D195"/>
      <c r="E195"/>
      <c r="F195"/>
      <c r="G195"/>
      <c r="H195"/>
      <c r="I195"/>
    </row>
    <row r="196" spans="1:9" x14ac:dyDescent="0.25">
      <c r="A196"/>
      <c r="B196"/>
      <c r="C196"/>
      <c r="D196"/>
      <c r="E196"/>
      <c r="F196"/>
      <c r="G196"/>
      <c r="H196"/>
      <c r="I196"/>
    </row>
    <row r="197" spans="1:9" x14ac:dyDescent="0.25">
      <c r="A197"/>
      <c r="B197"/>
      <c r="C197"/>
      <c r="D197"/>
      <c r="E197"/>
      <c r="F197"/>
      <c r="G197"/>
      <c r="H197"/>
      <c r="I197"/>
    </row>
    <row r="198" spans="1:9" x14ac:dyDescent="0.25">
      <c r="A198"/>
      <c r="B198"/>
      <c r="C198"/>
      <c r="D198"/>
      <c r="E198"/>
      <c r="F198"/>
      <c r="G198"/>
      <c r="H198"/>
      <c r="I198"/>
    </row>
    <row r="199" spans="1:9" x14ac:dyDescent="0.25">
      <c r="A199"/>
      <c r="B199"/>
      <c r="C199"/>
      <c r="D199"/>
      <c r="E199"/>
      <c r="F199"/>
      <c r="G199"/>
      <c r="H199"/>
      <c r="I199"/>
    </row>
    <row r="200" spans="1:9" x14ac:dyDescent="0.25">
      <c r="A200"/>
      <c r="B200"/>
      <c r="C200"/>
      <c r="D200"/>
      <c r="E200"/>
      <c r="F200"/>
      <c r="G200"/>
      <c r="H200"/>
      <c r="I200"/>
    </row>
    <row r="201" spans="1:9" x14ac:dyDescent="0.25">
      <c r="A201"/>
      <c r="B201"/>
      <c r="C201"/>
      <c r="D201"/>
      <c r="E201"/>
      <c r="F201"/>
      <c r="G201"/>
      <c r="H201"/>
      <c r="I201"/>
    </row>
    <row r="202" spans="1:9" x14ac:dyDescent="0.25">
      <c r="A202"/>
      <c r="B202"/>
      <c r="C202"/>
      <c r="D202"/>
      <c r="E202"/>
      <c r="F202"/>
      <c r="G202"/>
      <c r="H202"/>
      <c r="I202"/>
    </row>
    <row r="203" spans="1:9" x14ac:dyDescent="0.25">
      <c r="A203"/>
      <c r="B203"/>
      <c r="C203"/>
      <c r="D203"/>
      <c r="E203"/>
      <c r="F203"/>
      <c r="G203"/>
      <c r="H203"/>
      <c r="I203"/>
    </row>
    <row r="204" spans="1:9" x14ac:dyDescent="0.25">
      <c r="A204"/>
      <c r="B204"/>
      <c r="C204"/>
      <c r="D204"/>
      <c r="E204"/>
      <c r="F204"/>
      <c r="G204"/>
      <c r="H204"/>
      <c r="I204"/>
    </row>
    <row r="205" spans="1:9" x14ac:dyDescent="0.25">
      <c r="A205"/>
      <c r="B205"/>
      <c r="C205"/>
      <c r="D205"/>
      <c r="E205"/>
      <c r="F205"/>
      <c r="G205"/>
      <c r="H205"/>
      <c r="I205"/>
    </row>
    <row r="206" spans="1:9" x14ac:dyDescent="0.25">
      <c r="A206"/>
      <c r="B206"/>
      <c r="C206"/>
      <c r="D206"/>
      <c r="E206"/>
      <c r="F206"/>
      <c r="G206"/>
      <c r="H206"/>
      <c r="I206"/>
    </row>
    <row r="207" spans="1:9" x14ac:dyDescent="0.25">
      <c r="A207"/>
      <c r="B207"/>
      <c r="C207"/>
      <c r="D207"/>
      <c r="E207"/>
      <c r="F207"/>
      <c r="G207"/>
      <c r="H207"/>
      <c r="I207"/>
    </row>
    <row r="208" spans="1:9" x14ac:dyDescent="0.25">
      <c r="A208"/>
      <c r="B208"/>
      <c r="C208"/>
      <c r="D208"/>
      <c r="E208"/>
      <c r="F208"/>
      <c r="G208"/>
      <c r="H208"/>
      <c r="I208"/>
    </row>
    <row r="209" spans="1:9" x14ac:dyDescent="0.25">
      <c r="A209"/>
      <c r="B209"/>
      <c r="C209"/>
      <c r="D209"/>
      <c r="E209"/>
      <c r="F209"/>
      <c r="G209"/>
      <c r="H209"/>
      <c r="I209"/>
    </row>
    <row r="210" spans="1:9" x14ac:dyDescent="0.25">
      <c r="A210"/>
      <c r="B210"/>
      <c r="C210"/>
      <c r="D210"/>
      <c r="E210"/>
      <c r="F210"/>
      <c r="G210"/>
      <c r="H210"/>
      <c r="I210"/>
    </row>
    <row r="211" spans="1:9" x14ac:dyDescent="0.25">
      <c r="A211"/>
      <c r="B211"/>
      <c r="C211"/>
      <c r="D211"/>
      <c r="E211"/>
      <c r="F211"/>
      <c r="G211"/>
      <c r="H211"/>
      <c r="I211"/>
    </row>
    <row r="212" spans="1:9" x14ac:dyDescent="0.25">
      <c r="A212"/>
      <c r="B212"/>
      <c r="C212"/>
      <c r="D212"/>
      <c r="E212"/>
      <c r="F212"/>
      <c r="G212"/>
      <c r="H212"/>
      <c r="I212"/>
    </row>
    <row r="213" spans="1:9" x14ac:dyDescent="0.25">
      <c r="A213"/>
      <c r="B213"/>
      <c r="C213"/>
      <c r="D213"/>
      <c r="E213"/>
      <c r="F213"/>
      <c r="G213"/>
      <c r="H213"/>
      <c r="I213"/>
    </row>
    <row r="214" spans="1:9" x14ac:dyDescent="0.25">
      <c r="A214"/>
      <c r="B214"/>
      <c r="C214"/>
      <c r="D214"/>
      <c r="E214"/>
      <c r="F214"/>
      <c r="G214"/>
      <c r="H214"/>
      <c r="I214"/>
    </row>
    <row r="215" spans="1:9" x14ac:dyDescent="0.25">
      <c r="A215"/>
      <c r="B215"/>
      <c r="C215"/>
      <c r="D215"/>
      <c r="E215"/>
      <c r="F215"/>
      <c r="G215"/>
      <c r="H215"/>
      <c r="I215"/>
    </row>
    <row r="216" spans="1:9" x14ac:dyDescent="0.25">
      <c r="A216"/>
      <c r="B216"/>
      <c r="C216"/>
      <c r="D216"/>
      <c r="E216"/>
      <c r="F216"/>
      <c r="G216"/>
      <c r="H216"/>
      <c r="I216"/>
    </row>
    <row r="217" spans="1:9" x14ac:dyDescent="0.25">
      <c r="A217"/>
      <c r="B217"/>
      <c r="C217"/>
      <c r="D217"/>
      <c r="E217"/>
      <c r="F217"/>
      <c r="G217"/>
      <c r="H217"/>
      <c r="I217"/>
    </row>
    <row r="218" spans="1:9" x14ac:dyDescent="0.25">
      <c r="A218"/>
      <c r="B218"/>
      <c r="C218"/>
      <c r="D218"/>
      <c r="E218"/>
      <c r="F218"/>
      <c r="G218"/>
      <c r="H218"/>
      <c r="I218"/>
    </row>
    <row r="219" spans="1:9" x14ac:dyDescent="0.25">
      <c r="A219"/>
      <c r="B219"/>
      <c r="C219"/>
      <c r="D219"/>
      <c r="E219"/>
      <c r="F219"/>
      <c r="G219"/>
      <c r="H219"/>
      <c r="I219"/>
    </row>
    <row r="220" spans="1:9" x14ac:dyDescent="0.25">
      <c r="A220"/>
      <c r="B220"/>
      <c r="C220"/>
      <c r="D220"/>
      <c r="E220"/>
      <c r="F220"/>
      <c r="G220"/>
      <c r="H220"/>
      <c r="I220"/>
    </row>
    <row r="221" spans="1:9" x14ac:dyDescent="0.25">
      <c r="A221"/>
      <c r="B221"/>
      <c r="C221"/>
      <c r="D221"/>
      <c r="E221"/>
      <c r="F221"/>
      <c r="G221"/>
      <c r="H221"/>
      <c r="I221"/>
    </row>
    <row r="222" spans="1:9" x14ac:dyDescent="0.25">
      <c r="A222"/>
      <c r="B222"/>
      <c r="C222"/>
      <c r="D222"/>
      <c r="E222"/>
      <c r="F222"/>
      <c r="G222"/>
      <c r="H222"/>
      <c r="I222"/>
    </row>
    <row r="223" spans="1:9" x14ac:dyDescent="0.25">
      <c r="A223"/>
      <c r="B223"/>
      <c r="C223"/>
      <c r="D223"/>
      <c r="E223"/>
      <c r="F223"/>
      <c r="G223"/>
      <c r="H223"/>
      <c r="I223"/>
    </row>
    <row r="224" spans="1:9" x14ac:dyDescent="0.25">
      <c r="A224"/>
      <c r="B224"/>
      <c r="C224"/>
      <c r="D224"/>
      <c r="E224"/>
      <c r="F224"/>
      <c r="G224"/>
      <c r="H224"/>
      <c r="I224"/>
    </row>
    <row r="225" spans="1:9" x14ac:dyDescent="0.25">
      <c r="A225"/>
      <c r="B225"/>
      <c r="C225"/>
      <c r="D225"/>
      <c r="E225"/>
      <c r="F225"/>
      <c r="G225"/>
      <c r="H225"/>
      <c r="I225"/>
    </row>
    <row r="226" spans="1:9" x14ac:dyDescent="0.25">
      <c r="A226"/>
      <c r="B226"/>
      <c r="C226"/>
      <c r="D226"/>
      <c r="E226"/>
      <c r="F226"/>
      <c r="G226"/>
      <c r="H226"/>
      <c r="I226"/>
    </row>
    <row r="227" spans="1:9" x14ac:dyDescent="0.25">
      <c r="A227"/>
      <c r="B227"/>
      <c r="C227"/>
      <c r="D227"/>
      <c r="E227"/>
      <c r="F227"/>
      <c r="G227"/>
      <c r="H227"/>
      <c r="I227"/>
    </row>
    <row r="228" spans="1:9" x14ac:dyDescent="0.25">
      <c r="A228"/>
      <c r="B228"/>
      <c r="C228"/>
      <c r="D228"/>
      <c r="E228"/>
      <c r="F228"/>
      <c r="G228"/>
      <c r="H228"/>
      <c r="I228"/>
    </row>
    <row r="229" spans="1:9" x14ac:dyDescent="0.25">
      <c r="A229"/>
      <c r="B229"/>
      <c r="C229"/>
      <c r="D229"/>
      <c r="E229"/>
      <c r="F229"/>
      <c r="G229"/>
      <c r="H229"/>
      <c r="I229"/>
    </row>
    <row r="230" spans="1:9" x14ac:dyDescent="0.25">
      <c r="A230"/>
      <c r="B230"/>
      <c r="C230"/>
      <c r="D230"/>
      <c r="E230"/>
      <c r="F230"/>
      <c r="G230"/>
      <c r="H230"/>
      <c r="I230"/>
    </row>
    <row r="231" spans="1:9" x14ac:dyDescent="0.25">
      <c r="A231"/>
      <c r="B231"/>
      <c r="C231"/>
      <c r="D231"/>
      <c r="E231"/>
      <c r="F231"/>
      <c r="G231"/>
      <c r="H231"/>
      <c r="I231"/>
    </row>
    <row r="232" spans="1:9" x14ac:dyDescent="0.25">
      <c r="A232"/>
      <c r="B232"/>
      <c r="C232"/>
      <c r="D232"/>
      <c r="E232"/>
      <c r="F232"/>
      <c r="G232"/>
      <c r="H232"/>
      <c r="I232"/>
    </row>
    <row r="233" spans="1:9" x14ac:dyDescent="0.25">
      <c r="A233"/>
      <c r="B233"/>
      <c r="C233"/>
      <c r="D233"/>
      <c r="E233"/>
      <c r="F233"/>
      <c r="G233"/>
      <c r="H233"/>
      <c r="I233"/>
    </row>
    <row r="234" spans="1:9" x14ac:dyDescent="0.25">
      <c r="A234"/>
      <c r="B234"/>
      <c r="C234"/>
      <c r="D234"/>
      <c r="E234"/>
      <c r="F234"/>
      <c r="G234"/>
      <c r="H234"/>
      <c r="I234"/>
    </row>
    <row r="235" spans="1:9" x14ac:dyDescent="0.25">
      <c r="A235"/>
      <c r="B235"/>
      <c r="C235"/>
      <c r="D235"/>
      <c r="E235"/>
      <c r="F235"/>
      <c r="G235"/>
      <c r="H235"/>
      <c r="I235"/>
    </row>
    <row r="236" spans="1:9" x14ac:dyDescent="0.25">
      <c r="A236"/>
      <c r="B236"/>
      <c r="C236"/>
      <c r="D236"/>
      <c r="E236"/>
      <c r="F236"/>
      <c r="G236"/>
      <c r="H236"/>
      <c r="I236"/>
    </row>
    <row r="237" spans="1:9" x14ac:dyDescent="0.25">
      <c r="A237"/>
      <c r="B237"/>
      <c r="C237"/>
      <c r="D237"/>
      <c r="E237"/>
      <c r="F237"/>
      <c r="G237"/>
      <c r="H237"/>
      <c r="I237"/>
    </row>
    <row r="238" spans="1:9" x14ac:dyDescent="0.25">
      <c r="A238"/>
      <c r="B238"/>
      <c r="C238"/>
      <c r="D238"/>
      <c r="E238"/>
      <c r="F238"/>
      <c r="G238"/>
      <c r="H238"/>
      <c r="I238"/>
    </row>
    <row r="239" spans="1:9" x14ac:dyDescent="0.25">
      <c r="A239"/>
      <c r="B239"/>
      <c r="C239"/>
      <c r="D239"/>
      <c r="E239"/>
      <c r="F239"/>
      <c r="G239"/>
      <c r="H239"/>
      <c r="I239"/>
    </row>
    <row r="240" spans="1:9" x14ac:dyDescent="0.25">
      <c r="A240"/>
      <c r="B240"/>
      <c r="C240"/>
      <c r="D240"/>
      <c r="E240"/>
      <c r="F240"/>
      <c r="G240"/>
      <c r="H240"/>
      <c r="I240"/>
    </row>
    <row r="241" spans="1:9" x14ac:dyDescent="0.25">
      <c r="A241"/>
      <c r="B241"/>
      <c r="C241"/>
      <c r="D241"/>
      <c r="E241"/>
      <c r="F241"/>
      <c r="G241"/>
      <c r="H241"/>
      <c r="I241"/>
    </row>
    <row r="242" spans="1:9" x14ac:dyDescent="0.25">
      <c r="A242"/>
      <c r="B242"/>
      <c r="C242"/>
      <c r="D242"/>
      <c r="E242"/>
      <c r="F242"/>
      <c r="G242"/>
      <c r="H242"/>
      <c r="I242"/>
    </row>
    <row r="243" spans="1:9" x14ac:dyDescent="0.25">
      <c r="A243"/>
      <c r="B243"/>
      <c r="C243"/>
      <c r="D243"/>
      <c r="E243"/>
      <c r="F243"/>
      <c r="G243"/>
      <c r="H243"/>
      <c r="I243"/>
    </row>
    <row r="244" spans="1:9" x14ac:dyDescent="0.25">
      <c r="A244"/>
      <c r="B244"/>
      <c r="C244"/>
      <c r="D244"/>
      <c r="E244"/>
      <c r="F244"/>
      <c r="G244"/>
      <c r="H244"/>
      <c r="I244"/>
    </row>
    <row r="245" spans="1:9" x14ac:dyDescent="0.25">
      <c r="A245"/>
      <c r="B245"/>
      <c r="C245"/>
      <c r="D245"/>
      <c r="E245"/>
      <c r="F245"/>
      <c r="G245"/>
      <c r="H245"/>
      <c r="I245"/>
    </row>
    <row r="246" spans="1:9" x14ac:dyDescent="0.25">
      <c r="A246"/>
      <c r="B246"/>
      <c r="C246"/>
      <c r="D246"/>
      <c r="E246"/>
      <c r="F246"/>
      <c r="G246"/>
      <c r="H246"/>
      <c r="I246"/>
    </row>
    <row r="247" spans="1:9" x14ac:dyDescent="0.25">
      <c r="A247"/>
      <c r="B247"/>
      <c r="C247"/>
      <c r="D247"/>
      <c r="E247"/>
      <c r="F247"/>
      <c r="G247"/>
      <c r="H247"/>
      <c r="I247"/>
    </row>
    <row r="248" spans="1:9" x14ac:dyDescent="0.25">
      <c r="A248"/>
      <c r="B248"/>
      <c r="C248"/>
      <c r="D248"/>
      <c r="E248"/>
      <c r="F248"/>
      <c r="G248"/>
      <c r="H248"/>
      <c r="I248"/>
    </row>
    <row r="249" spans="1:9" x14ac:dyDescent="0.25">
      <c r="A249"/>
      <c r="B249"/>
      <c r="C249"/>
      <c r="D249"/>
      <c r="E249"/>
      <c r="F249"/>
      <c r="G249"/>
      <c r="H249"/>
      <c r="I249"/>
    </row>
    <row r="250" spans="1:9" x14ac:dyDescent="0.25">
      <c r="A250"/>
      <c r="B250"/>
      <c r="C250"/>
      <c r="D250"/>
      <c r="E250"/>
      <c r="F250"/>
      <c r="G250"/>
      <c r="H250"/>
      <c r="I250"/>
    </row>
    <row r="251" spans="1:9" x14ac:dyDescent="0.25">
      <c r="A251"/>
      <c r="B251"/>
      <c r="C251"/>
      <c r="D251"/>
      <c r="E251"/>
      <c r="F251"/>
      <c r="G251"/>
      <c r="H251"/>
      <c r="I251"/>
    </row>
    <row r="252" spans="1:9" x14ac:dyDescent="0.25">
      <c r="A252"/>
      <c r="B252"/>
      <c r="C252"/>
      <c r="D252"/>
      <c r="E252"/>
      <c r="F252"/>
      <c r="G252"/>
      <c r="H252"/>
      <c r="I252"/>
    </row>
    <row r="253" spans="1:9" x14ac:dyDescent="0.25">
      <c r="A253"/>
      <c r="B253"/>
      <c r="C253"/>
      <c r="D253"/>
      <c r="E253"/>
      <c r="F253"/>
      <c r="G253"/>
      <c r="H253"/>
      <c r="I253"/>
    </row>
    <row r="254" spans="1:9" x14ac:dyDescent="0.25">
      <c r="A254"/>
      <c r="B254"/>
      <c r="C254"/>
      <c r="D254"/>
      <c r="E254"/>
      <c r="F254"/>
      <c r="G254"/>
      <c r="H254"/>
      <c r="I254"/>
    </row>
    <row r="255" spans="1:9" x14ac:dyDescent="0.25">
      <c r="A255"/>
      <c r="B255"/>
      <c r="C255"/>
      <c r="D255"/>
      <c r="E255"/>
      <c r="F255"/>
      <c r="G255"/>
      <c r="H255"/>
      <c r="I255"/>
    </row>
    <row r="256" spans="1:9" x14ac:dyDescent="0.25">
      <c r="A256"/>
      <c r="B256"/>
      <c r="C256"/>
      <c r="D256"/>
      <c r="E256"/>
      <c r="F256"/>
      <c r="G256"/>
      <c r="H256"/>
      <c r="I256"/>
    </row>
    <row r="257" spans="1:9" x14ac:dyDescent="0.25">
      <c r="A257"/>
      <c r="B257"/>
      <c r="C257"/>
      <c r="D257"/>
      <c r="E257"/>
      <c r="F257"/>
      <c r="G257"/>
      <c r="H257"/>
      <c r="I257"/>
    </row>
    <row r="258" spans="1:9" x14ac:dyDescent="0.25">
      <c r="A258"/>
      <c r="B258"/>
      <c r="C258"/>
      <c r="D258"/>
      <c r="E258"/>
      <c r="F258"/>
      <c r="G258"/>
      <c r="H258"/>
      <c r="I258"/>
    </row>
    <row r="259" spans="1:9" x14ac:dyDescent="0.25">
      <c r="A259"/>
      <c r="B259"/>
      <c r="C259"/>
      <c r="D259"/>
      <c r="E259"/>
      <c r="F259"/>
      <c r="G259"/>
      <c r="H259"/>
      <c r="I259"/>
    </row>
    <row r="260" spans="1:9" x14ac:dyDescent="0.25">
      <c r="A260"/>
      <c r="B260"/>
      <c r="C260"/>
      <c r="D260"/>
      <c r="E260"/>
      <c r="F260"/>
      <c r="G260"/>
      <c r="H260"/>
      <c r="I260"/>
    </row>
    <row r="261" spans="1:9" x14ac:dyDescent="0.25">
      <c r="A261"/>
      <c r="B261"/>
      <c r="C261"/>
      <c r="D261"/>
      <c r="E261"/>
      <c r="F261"/>
      <c r="G261"/>
      <c r="H261"/>
      <c r="I261"/>
    </row>
    <row r="262" spans="1:9" x14ac:dyDescent="0.25">
      <c r="A262"/>
      <c r="B262"/>
      <c r="C262"/>
      <c r="D262"/>
      <c r="E262"/>
      <c r="F262"/>
      <c r="G262"/>
      <c r="H262"/>
      <c r="I262"/>
    </row>
    <row r="263" spans="1:9" x14ac:dyDescent="0.25">
      <c r="A263"/>
      <c r="B263"/>
      <c r="C263"/>
      <c r="D263"/>
      <c r="E263"/>
      <c r="F263"/>
      <c r="G263"/>
      <c r="H263"/>
      <c r="I263"/>
    </row>
    <row r="264" spans="1:9" x14ac:dyDescent="0.25">
      <c r="A264"/>
      <c r="B264"/>
      <c r="C264"/>
      <c r="D264"/>
      <c r="E264"/>
      <c r="F264"/>
      <c r="G264"/>
      <c r="H264"/>
      <c r="I264"/>
    </row>
    <row r="265" spans="1:9" x14ac:dyDescent="0.25">
      <c r="A265"/>
      <c r="B265"/>
      <c r="C265"/>
      <c r="D265"/>
      <c r="E265"/>
      <c r="F265"/>
      <c r="G265"/>
      <c r="H265"/>
      <c r="I265"/>
    </row>
    <row r="266" spans="1:9" x14ac:dyDescent="0.25">
      <c r="A266"/>
      <c r="B266"/>
      <c r="C266"/>
      <c r="D266"/>
      <c r="E266"/>
      <c r="F266"/>
      <c r="G266"/>
      <c r="H266"/>
      <c r="I266"/>
    </row>
    <row r="267" spans="1:9" x14ac:dyDescent="0.25">
      <c r="A267"/>
      <c r="B267"/>
      <c r="C267"/>
      <c r="D267"/>
      <c r="E267"/>
      <c r="F267"/>
      <c r="G267"/>
      <c r="H267"/>
      <c r="I267"/>
    </row>
    <row r="268" spans="1:9" x14ac:dyDescent="0.25">
      <c r="A268"/>
      <c r="B268"/>
      <c r="C268"/>
      <c r="D268"/>
      <c r="E268"/>
      <c r="F268"/>
      <c r="G268"/>
      <c r="H268"/>
      <c r="I268"/>
    </row>
    <row r="269" spans="1:9" x14ac:dyDescent="0.25">
      <c r="A269"/>
      <c r="B269"/>
      <c r="C269"/>
      <c r="D269"/>
      <c r="E269"/>
      <c r="F269"/>
      <c r="G269"/>
      <c r="H269"/>
      <c r="I269"/>
    </row>
    <row r="270" spans="1:9" x14ac:dyDescent="0.25">
      <c r="A270"/>
      <c r="B270"/>
      <c r="C270"/>
      <c r="D270"/>
      <c r="E270"/>
      <c r="F270"/>
      <c r="G270"/>
      <c r="H270"/>
      <c r="I270"/>
    </row>
    <row r="271" spans="1:9" x14ac:dyDescent="0.25">
      <c r="A271"/>
      <c r="B271"/>
      <c r="C271"/>
      <c r="D271"/>
      <c r="E271"/>
      <c r="F271"/>
      <c r="G271"/>
      <c r="H271"/>
      <c r="I271"/>
    </row>
    <row r="272" spans="1:9" x14ac:dyDescent="0.25">
      <c r="A272"/>
      <c r="B272"/>
      <c r="C272"/>
      <c r="D272"/>
      <c r="E272"/>
      <c r="F272"/>
      <c r="G272"/>
      <c r="H272"/>
      <c r="I272"/>
    </row>
    <row r="273" spans="1:9" x14ac:dyDescent="0.25">
      <c r="A273"/>
      <c r="B273"/>
      <c r="C273"/>
      <c r="D273"/>
      <c r="E273"/>
      <c r="F273"/>
      <c r="G273"/>
      <c r="H273"/>
      <c r="I273"/>
    </row>
    <row r="274" spans="1:9" x14ac:dyDescent="0.25">
      <c r="A274"/>
      <c r="B274"/>
      <c r="C274"/>
      <c r="D274"/>
      <c r="E274"/>
      <c r="F274"/>
      <c r="G274"/>
      <c r="H274"/>
      <c r="I274"/>
    </row>
    <row r="275" spans="1:9" x14ac:dyDescent="0.25">
      <c r="A275"/>
      <c r="B275"/>
      <c r="C275"/>
      <c r="D275"/>
      <c r="E275"/>
      <c r="F275"/>
      <c r="G275"/>
      <c r="H275"/>
      <c r="I275"/>
    </row>
    <row r="276" spans="1:9" x14ac:dyDescent="0.25">
      <c r="A276"/>
      <c r="B276"/>
      <c r="C276"/>
      <c r="D276"/>
      <c r="E276"/>
      <c r="F276"/>
      <c r="G276"/>
      <c r="H276"/>
      <c r="I276"/>
    </row>
    <row r="277" spans="1:9" x14ac:dyDescent="0.25">
      <c r="A277"/>
      <c r="B277"/>
      <c r="C277"/>
      <c r="D277"/>
      <c r="E277"/>
      <c r="F277"/>
      <c r="G277"/>
      <c r="H277"/>
      <c r="I277"/>
    </row>
    <row r="278" spans="1:9" x14ac:dyDescent="0.25">
      <c r="A278"/>
      <c r="B278"/>
      <c r="C278"/>
      <c r="D278"/>
      <c r="E278"/>
      <c r="F278"/>
      <c r="G278"/>
      <c r="H278"/>
      <c r="I278"/>
    </row>
    <row r="279" spans="1:9" x14ac:dyDescent="0.25">
      <c r="A279"/>
      <c r="B279"/>
      <c r="C279"/>
      <c r="D279"/>
      <c r="E279"/>
      <c r="F279"/>
      <c r="G279"/>
      <c r="H279"/>
      <c r="I279"/>
    </row>
    <row r="280" spans="1:9" x14ac:dyDescent="0.25">
      <c r="A280"/>
      <c r="B280"/>
      <c r="C280"/>
      <c r="D280"/>
      <c r="E280"/>
      <c r="F280"/>
      <c r="G280"/>
      <c r="H280"/>
      <c r="I280"/>
    </row>
    <row r="281" spans="1:9" x14ac:dyDescent="0.25">
      <c r="A281"/>
      <c r="B281"/>
      <c r="C281"/>
      <c r="D281"/>
      <c r="E281"/>
      <c r="F281"/>
      <c r="G281"/>
      <c r="H281"/>
      <c r="I281"/>
    </row>
    <row r="282" spans="1:9" x14ac:dyDescent="0.25">
      <c r="A282"/>
      <c r="B282"/>
      <c r="C282"/>
      <c r="D282"/>
      <c r="E282"/>
      <c r="F282"/>
      <c r="G282"/>
      <c r="H282"/>
      <c r="I282"/>
    </row>
    <row r="283" spans="1:9" x14ac:dyDescent="0.25">
      <c r="A283"/>
      <c r="B283"/>
      <c r="C283"/>
      <c r="D283"/>
      <c r="E283"/>
      <c r="F283"/>
      <c r="G283"/>
      <c r="H283"/>
      <c r="I283"/>
    </row>
    <row r="284" spans="1:9" x14ac:dyDescent="0.25">
      <c r="A284"/>
      <c r="B284"/>
      <c r="C284"/>
      <c r="D284"/>
      <c r="E284"/>
      <c r="F284"/>
      <c r="G284"/>
      <c r="H284"/>
      <c r="I284"/>
    </row>
    <row r="285" spans="1:9" x14ac:dyDescent="0.25">
      <c r="A285"/>
      <c r="B285"/>
      <c r="C285"/>
      <c r="D285"/>
      <c r="E285"/>
      <c r="F285"/>
      <c r="G285"/>
      <c r="H285"/>
      <c r="I285"/>
    </row>
    <row r="286" spans="1:9" x14ac:dyDescent="0.25">
      <c r="A286"/>
      <c r="B286"/>
      <c r="C286"/>
      <c r="D286"/>
      <c r="E286"/>
      <c r="F286"/>
      <c r="G286"/>
      <c r="H286"/>
      <c r="I286"/>
    </row>
    <row r="287" spans="1:9" x14ac:dyDescent="0.25">
      <c r="A287"/>
      <c r="B287"/>
      <c r="C287"/>
      <c r="D287"/>
      <c r="E287"/>
      <c r="F287"/>
      <c r="G287"/>
      <c r="H287"/>
      <c r="I287"/>
    </row>
    <row r="288" spans="1:9" x14ac:dyDescent="0.25">
      <c r="A288"/>
      <c r="B288"/>
      <c r="C288"/>
      <c r="D288"/>
      <c r="E288"/>
      <c r="F288"/>
      <c r="G288"/>
      <c r="H288"/>
      <c r="I288"/>
    </row>
    <row r="289" spans="1:9" x14ac:dyDescent="0.25">
      <c r="A289"/>
      <c r="B289"/>
      <c r="C289"/>
      <c r="D289"/>
      <c r="E289"/>
      <c r="F289"/>
      <c r="G289"/>
      <c r="H289"/>
      <c r="I289"/>
    </row>
    <row r="290" spans="1:9" x14ac:dyDescent="0.25">
      <c r="A290"/>
      <c r="B290"/>
      <c r="C290"/>
      <c r="D290"/>
      <c r="E290"/>
      <c r="F290"/>
      <c r="G290"/>
      <c r="H290"/>
      <c r="I290"/>
    </row>
    <row r="291" spans="1:9" x14ac:dyDescent="0.25">
      <c r="A291"/>
      <c r="B291"/>
      <c r="C291"/>
      <c r="D291"/>
      <c r="E291"/>
      <c r="F291"/>
      <c r="G291"/>
      <c r="H291"/>
      <c r="I291"/>
    </row>
    <row r="292" spans="1:9" x14ac:dyDescent="0.25">
      <c r="A292"/>
      <c r="B292"/>
      <c r="C292"/>
      <c r="D292"/>
      <c r="E292"/>
      <c r="F292"/>
      <c r="G292"/>
      <c r="H292"/>
      <c r="I292"/>
    </row>
    <row r="293" spans="1:9" x14ac:dyDescent="0.25">
      <c r="A293"/>
      <c r="B293"/>
      <c r="C293"/>
      <c r="D293"/>
      <c r="E293"/>
      <c r="F293"/>
      <c r="G293"/>
      <c r="H293"/>
      <c r="I293"/>
    </row>
    <row r="294" spans="1:9" x14ac:dyDescent="0.25">
      <c r="A294"/>
      <c r="B294"/>
      <c r="C294"/>
      <c r="D294"/>
      <c r="E294"/>
      <c r="F294"/>
      <c r="G294"/>
      <c r="H294"/>
      <c r="I294"/>
    </row>
    <row r="295" spans="1:9" x14ac:dyDescent="0.25">
      <c r="A295"/>
      <c r="B295"/>
      <c r="C295"/>
      <c r="D295"/>
      <c r="E295"/>
      <c r="F295"/>
      <c r="G295"/>
      <c r="H295"/>
      <c r="I295"/>
    </row>
    <row r="296" spans="1:9" x14ac:dyDescent="0.25">
      <c r="A296"/>
      <c r="B296"/>
      <c r="C296"/>
      <c r="D296"/>
      <c r="E296"/>
      <c r="F296"/>
      <c r="G296"/>
      <c r="H296"/>
      <c r="I296"/>
    </row>
    <row r="297" spans="1:9" x14ac:dyDescent="0.25">
      <c r="A297"/>
      <c r="B297"/>
      <c r="C297"/>
      <c r="D297"/>
      <c r="E297"/>
      <c r="F297"/>
      <c r="G297"/>
      <c r="H297"/>
      <c r="I297"/>
    </row>
    <row r="298" spans="1:9" x14ac:dyDescent="0.25">
      <c r="A298"/>
      <c r="B298"/>
      <c r="C298"/>
      <c r="D298"/>
      <c r="E298"/>
      <c r="F298"/>
      <c r="G298"/>
      <c r="H298"/>
      <c r="I298"/>
    </row>
    <row r="299" spans="1:9" x14ac:dyDescent="0.25">
      <c r="A299"/>
      <c r="B299"/>
      <c r="C299"/>
      <c r="D299"/>
      <c r="E299"/>
      <c r="F299"/>
      <c r="G299"/>
      <c r="H299"/>
      <c r="I299"/>
    </row>
    <row r="300" spans="1:9" x14ac:dyDescent="0.25">
      <c r="A300"/>
      <c r="B300"/>
      <c r="C300"/>
      <c r="D300"/>
      <c r="E300"/>
      <c r="F300"/>
      <c r="G300"/>
      <c r="H300"/>
      <c r="I300"/>
    </row>
    <row r="301" spans="1:9" x14ac:dyDescent="0.25">
      <c r="A301"/>
      <c r="B301"/>
      <c r="C301"/>
      <c r="D301"/>
      <c r="E301"/>
      <c r="F301"/>
      <c r="G301"/>
      <c r="H301"/>
      <c r="I301"/>
    </row>
    <row r="302" spans="1:9" x14ac:dyDescent="0.25">
      <c r="A302"/>
      <c r="B302"/>
      <c r="C302"/>
      <c r="D302"/>
      <c r="E302"/>
      <c r="F302"/>
      <c r="G302"/>
      <c r="H302"/>
      <c r="I302"/>
    </row>
    <row r="303" spans="1:9" x14ac:dyDescent="0.25">
      <c r="A303"/>
      <c r="B303"/>
      <c r="C303"/>
      <c r="D303"/>
      <c r="E303"/>
      <c r="F303"/>
      <c r="G303"/>
      <c r="H303"/>
      <c r="I303"/>
    </row>
    <row r="304" spans="1:9" x14ac:dyDescent="0.25">
      <c r="A304"/>
      <c r="B304"/>
      <c r="C304"/>
      <c r="D304"/>
      <c r="E304"/>
      <c r="F304"/>
      <c r="G304"/>
      <c r="H304"/>
      <c r="I304"/>
    </row>
    <row r="305" spans="1:9" x14ac:dyDescent="0.25">
      <c r="A305"/>
      <c r="B305"/>
      <c r="C305"/>
      <c r="D305"/>
      <c r="E305"/>
      <c r="F305"/>
      <c r="G305"/>
      <c r="H305"/>
      <c r="I305"/>
    </row>
    <row r="306" spans="1:9" x14ac:dyDescent="0.25">
      <c r="A306"/>
      <c r="B306"/>
      <c r="C306"/>
      <c r="D306"/>
      <c r="E306"/>
      <c r="F306"/>
      <c r="G306"/>
      <c r="H306"/>
      <c r="I306"/>
    </row>
    <row r="307" spans="1:9" x14ac:dyDescent="0.25">
      <c r="A307"/>
      <c r="B307"/>
      <c r="C307"/>
      <c r="D307"/>
      <c r="E307"/>
      <c r="F307"/>
      <c r="G307"/>
      <c r="H307"/>
      <c r="I307"/>
    </row>
    <row r="308" spans="1:9" x14ac:dyDescent="0.25">
      <c r="A308"/>
      <c r="B308"/>
      <c r="C308"/>
      <c r="D308"/>
      <c r="E308"/>
      <c r="F308"/>
      <c r="G308"/>
      <c r="H308"/>
      <c r="I308"/>
    </row>
    <row r="309" spans="1:9" x14ac:dyDescent="0.25">
      <c r="A309"/>
      <c r="B309"/>
      <c r="C309"/>
      <c r="D309"/>
      <c r="E309"/>
      <c r="F309"/>
      <c r="G309"/>
      <c r="H309"/>
      <c r="I309"/>
    </row>
    <row r="310" spans="1:9" x14ac:dyDescent="0.25">
      <c r="A310"/>
      <c r="B310"/>
      <c r="C310"/>
      <c r="D310"/>
      <c r="E310"/>
      <c r="F310"/>
      <c r="G310"/>
      <c r="H310"/>
      <c r="I310"/>
    </row>
    <row r="311" spans="1:9" x14ac:dyDescent="0.25">
      <c r="A311"/>
      <c r="B311"/>
      <c r="C311"/>
      <c r="D311"/>
      <c r="E311"/>
      <c r="F311"/>
      <c r="G311"/>
      <c r="H311"/>
      <c r="I311"/>
    </row>
    <row r="312" spans="1:9" x14ac:dyDescent="0.25">
      <c r="A312"/>
      <c r="B312"/>
      <c r="C312"/>
      <c r="D312"/>
      <c r="E312"/>
      <c r="F312"/>
      <c r="G312"/>
      <c r="H312"/>
      <c r="I312"/>
    </row>
    <row r="313" spans="1:9" x14ac:dyDescent="0.25">
      <c r="A313"/>
      <c r="B313"/>
      <c r="C313"/>
      <c r="D313"/>
      <c r="E313"/>
      <c r="F313"/>
      <c r="G313"/>
      <c r="H313"/>
      <c r="I313"/>
    </row>
    <row r="314" spans="1:9" x14ac:dyDescent="0.25">
      <c r="A314"/>
      <c r="B314"/>
      <c r="C314"/>
      <c r="D314"/>
      <c r="E314"/>
      <c r="F314"/>
      <c r="G314"/>
      <c r="H314"/>
      <c r="I314"/>
    </row>
    <row r="315" spans="1:9" x14ac:dyDescent="0.25">
      <c r="A315"/>
      <c r="B315"/>
      <c r="C315"/>
      <c r="D315"/>
      <c r="E315"/>
      <c r="F315"/>
      <c r="G315"/>
      <c r="H315"/>
      <c r="I315"/>
    </row>
    <row r="316" spans="1:9" x14ac:dyDescent="0.25">
      <c r="A316"/>
      <c r="B316"/>
      <c r="C316"/>
      <c r="D316"/>
      <c r="E316"/>
      <c r="F316"/>
      <c r="G316"/>
      <c r="H316"/>
      <c r="I316"/>
    </row>
    <row r="317" spans="1:9" x14ac:dyDescent="0.25">
      <c r="A317"/>
      <c r="B317"/>
      <c r="C317"/>
      <c r="D317"/>
      <c r="E317"/>
      <c r="F317"/>
      <c r="G317"/>
      <c r="H317"/>
      <c r="I317"/>
    </row>
    <row r="318" spans="1:9" x14ac:dyDescent="0.25">
      <c r="A318"/>
      <c r="B318"/>
      <c r="C318"/>
      <c r="D318"/>
      <c r="E318"/>
      <c r="F318"/>
      <c r="G318"/>
      <c r="H318"/>
      <c r="I318"/>
    </row>
    <row r="319" spans="1:9" x14ac:dyDescent="0.25">
      <c r="A319"/>
      <c r="B319"/>
      <c r="C319"/>
      <c r="D319"/>
      <c r="E319"/>
      <c r="F319"/>
      <c r="G319"/>
      <c r="H319"/>
      <c r="I319"/>
    </row>
    <row r="320" spans="1:9" x14ac:dyDescent="0.25">
      <c r="A320"/>
      <c r="B320"/>
      <c r="C320"/>
      <c r="D320"/>
      <c r="E320"/>
      <c r="F320"/>
      <c r="G320"/>
      <c r="H320"/>
      <c r="I320"/>
    </row>
    <row r="321" spans="1:9" x14ac:dyDescent="0.25">
      <c r="A321"/>
      <c r="B321"/>
      <c r="C321"/>
      <c r="D321"/>
      <c r="E321"/>
      <c r="F321"/>
      <c r="G321"/>
      <c r="H321"/>
      <c r="I321"/>
    </row>
    <row r="322" spans="1:9" x14ac:dyDescent="0.25">
      <c r="A322"/>
      <c r="B322"/>
      <c r="C322"/>
      <c r="D322"/>
      <c r="E322"/>
      <c r="F322"/>
      <c r="G322"/>
      <c r="H322"/>
      <c r="I322"/>
    </row>
    <row r="323" spans="1:9" x14ac:dyDescent="0.25">
      <c r="A323"/>
      <c r="B323"/>
      <c r="C323"/>
      <c r="D323"/>
      <c r="E323"/>
      <c r="F323"/>
      <c r="G323"/>
      <c r="H323"/>
      <c r="I323"/>
    </row>
    <row r="324" spans="1:9" x14ac:dyDescent="0.25">
      <c r="A324"/>
      <c r="B324"/>
      <c r="C324"/>
      <c r="D324"/>
      <c r="E324"/>
      <c r="F324"/>
      <c r="G324"/>
      <c r="H324"/>
      <c r="I324"/>
    </row>
    <row r="325" spans="1:9" x14ac:dyDescent="0.25">
      <c r="A325"/>
      <c r="B325"/>
      <c r="C325"/>
      <c r="D325"/>
      <c r="E325"/>
      <c r="F325"/>
      <c r="G325"/>
      <c r="H325"/>
      <c r="I325"/>
    </row>
    <row r="326" spans="1:9" x14ac:dyDescent="0.25">
      <c r="A326"/>
      <c r="B326"/>
      <c r="C326"/>
      <c r="D326"/>
      <c r="E326"/>
      <c r="F326"/>
      <c r="G326"/>
      <c r="H326"/>
      <c r="I326"/>
    </row>
    <row r="327" spans="1:9" x14ac:dyDescent="0.25">
      <c r="A327"/>
      <c r="B327"/>
      <c r="C327"/>
      <c r="D327"/>
      <c r="E327"/>
      <c r="F327"/>
      <c r="G327"/>
      <c r="H327"/>
      <c r="I327"/>
    </row>
    <row r="328" spans="1:9" x14ac:dyDescent="0.25">
      <c r="A328"/>
      <c r="B328"/>
      <c r="C328"/>
      <c r="D328"/>
      <c r="E328"/>
      <c r="F328"/>
      <c r="G328"/>
      <c r="H328"/>
      <c r="I328"/>
    </row>
    <row r="329" spans="1:9" x14ac:dyDescent="0.25">
      <c r="A329"/>
      <c r="B329"/>
      <c r="C329"/>
      <c r="D329"/>
      <c r="E329"/>
      <c r="F329"/>
      <c r="G329"/>
      <c r="H329"/>
      <c r="I329"/>
    </row>
    <row r="330" spans="1:9" x14ac:dyDescent="0.25">
      <c r="A330"/>
      <c r="B330"/>
      <c r="C330"/>
      <c r="D330"/>
      <c r="E330"/>
      <c r="F330"/>
      <c r="G330"/>
      <c r="H330"/>
      <c r="I330"/>
    </row>
    <row r="331" spans="1:9" x14ac:dyDescent="0.25">
      <c r="A331"/>
      <c r="B331"/>
      <c r="C331"/>
      <c r="D331"/>
      <c r="E331"/>
      <c r="F331"/>
      <c r="G331"/>
      <c r="H331"/>
      <c r="I331"/>
    </row>
    <row r="332" spans="1:9" x14ac:dyDescent="0.25">
      <c r="A332"/>
      <c r="B332"/>
      <c r="C332"/>
      <c r="D332"/>
      <c r="E332"/>
      <c r="F332"/>
      <c r="G332"/>
      <c r="H332"/>
      <c r="I332"/>
    </row>
    <row r="333" spans="1:9" x14ac:dyDescent="0.25">
      <c r="A333"/>
      <c r="B333"/>
      <c r="C333"/>
      <c r="D333"/>
      <c r="E333"/>
      <c r="F333"/>
      <c r="G333"/>
      <c r="H333"/>
      <c r="I333"/>
    </row>
    <row r="334" spans="1:9" x14ac:dyDescent="0.25">
      <c r="A334"/>
      <c r="B334"/>
      <c r="C334"/>
      <c r="D334"/>
      <c r="E334"/>
      <c r="F334"/>
      <c r="G334"/>
      <c r="H334"/>
      <c r="I334"/>
    </row>
    <row r="335" spans="1:9" x14ac:dyDescent="0.25">
      <c r="A335"/>
      <c r="B335"/>
      <c r="C335"/>
      <c r="D335"/>
      <c r="E335"/>
      <c r="F335"/>
      <c r="G335"/>
      <c r="H335"/>
      <c r="I335"/>
    </row>
    <row r="336" spans="1:9" x14ac:dyDescent="0.25">
      <c r="A336"/>
      <c r="B336"/>
      <c r="C336"/>
      <c r="D336"/>
      <c r="E336"/>
      <c r="F336"/>
      <c r="G336"/>
      <c r="H336"/>
      <c r="I336"/>
    </row>
    <row r="337" spans="1:9" x14ac:dyDescent="0.25">
      <c r="A337"/>
      <c r="B337"/>
      <c r="C337"/>
      <c r="D337"/>
      <c r="E337"/>
      <c r="F337"/>
      <c r="G337"/>
      <c r="H337"/>
      <c r="I337"/>
    </row>
    <row r="338" spans="1:9" x14ac:dyDescent="0.25">
      <c r="A338"/>
      <c r="B338"/>
      <c r="C338"/>
      <c r="D338"/>
      <c r="E338"/>
      <c r="F338"/>
      <c r="G338"/>
      <c r="H338"/>
      <c r="I338"/>
    </row>
    <row r="339" spans="1:9" x14ac:dyDescent="0.25">
      <c r="A339"/>
      <c r="B339"/>
      <c r="C339"/>
      <c r="D339"/>
      <c r="E339"/>
      <c r="F339"/>
      <c r="G339"/>
      <c r="H339"/>
      <c r="I339"/>
    </row>
    <row r="340" spans="1:9" x14ac:dyDescent="0.25">
      <c r="A340"/>
      <c r="B340"/>
      <c r="C340"/>
      <c r="D340"/>
      <c r="E340"/>
      <c r="F340"/>
      <c r="G340"/>
      <c r="H340"/>
      <c r="I340"/>
    </row>
    <row r="341" spans="1:9" x14ac:dyDescent="0.25">
      <c r="A341"/>
      <c r="B341"/>
      <c r="C341"/>
      <c r="D341"/>
      <c r="E341"/>
      <c r="F341"/>
      <c r="G341"/>
      <c r="H341"/>
      <c r="I341"/>
    </row>
    <row r="342" spans="1:9" x14ac:dyDescent="0.25">
      <c r="A342"/>
      <c r="B342"/>
      <c r="C342"/>
      <c r="D342"/>
      <c r="E342"/>
      <c r="F342"/>
      <c r="G342"/>
      <c r="H342"/>
      <c r="I342"/>
    </row>
    <row r="343" spans="1:9" x14ac:dyDescent="0.25">
      <c r="A343"/>
      <c r="B343"/>
      <c r="C343"/>
      <c r="D343"/>
      <c r="E343"/>
      <c r="F343"/>
      <c r="G343"/>
      <c r="H343"/>
      <c r="I343"/>
    </row>
    <row r="344" spans="1:9" x14ac:dyDescent="0.25">
      <c r="A344"/>
      <c r="B344"/>
      <c r="C344"/>
      <c r="D344"/>
      <c r="E344"/>
      <c r="F344"/>
      <c r="G344"/>
      <c r="H344"/>
      <c r="I344"/>
    </row>
    <row r="345" spans="1:9" x14ac:dyDescent="0.25">
      <c r="A345"/>
      <c r="B345"/>
      <c r="C345"/>
      <c r="D345"/>
      <c r="E345"/>
      <c r="F345"/>
      <c r="G345"/>
      <c r="H345"/>
      <c r="I345"/>
    </row>
    <row r="346" spans="1:9" x14ac:dyDescent="0.25">
      <c r="A346"/>
      <c r="B346"/>
      <c r="C346"/>
      <c r="D346"/>
      <c r="E346"/>
      <c r="F346"/>
      <c r="G346"/>
      <c r="H346"/>
      <c r="I346"/>
    </row>
    <row r="347" spans="1:9" x14ac:dyDescent="0.25">
      <c r="A347"/>
      <c r="B347"/>
      <c r="C347"/>
      <c r="D347"/>
      <c r="E347"/>
      <c r="F347"/>
      <c r="G347"/>
      <c r="H347"/>
      <c r="I347"/>
    </row>
    <row r="348" spans="1:9" x14ac:dyDescent="0.25">
      <c r="A348"/>
      <c r="B348"/>
      <c r="C348"/>
      <c r="D348"/>
      <c r="E348"/>
      <c r="F348"/>
      <c r="G348"/>
      <c r="H348"/>
      <c r="I348"/>
    </row>
    <row r="349" spans="1:9" x14ac:dyDescent="0.25">
      <c r="A349"/>
      <c r="B349"/>
      <c r="C349"/>
      <c r="D349"/>
      <c r="E349"/>
      <c r="F349"/>
      <c r="G349"/>
      <c r="H349"/>
      <c r="I349"/>
    </row>
    <row r="350" spans="1:9" x14ac:dyDescent="0.25">
      <c r="A350"/>
      <c r="B350"/>
      <c r="C350"/>
      <c r="D350"/>
      <c r="E350"/>
      <c r="F350"/>
      <c r="G350"/>
      <c r="H350"/>
      <c r="I350"/>
    </row>
    <row r="351" spans="1:9" x14ac:dyDescent="0.25">
      <c r="A351"/>
      <c r="B351"/>
      <c r="C351"/>
      <c r="D351"/>
      <c r="E351"/>
      <c r="F351"/>
      <c r="G351"/>
      <c r="H351"/>
      <c r="I351"/>
    </row>
    <row r="352" spans="1:9" x14ac:dyDescent="0.25">
      <c r="A352"/>
      <c r="B352"/>
      <c r="C352"/>
      <c r="D352"/>
      <c r="E352"/>
      <c r="F352"/>
      <c r="G352"/>
      <c r="H352"/>
      <c r="I352"/>
    </row>
    <row r="353" spans="1:9" x14ac:dyDescent="0.25">
      <c r="A353"/>
      <c r="B353"/>
      <c r="C353"/>
      <c r="D353"/>
      <c r="E353"/>
      <c r="F353"/>
      <c r="G353"/>
      <c r="H353"/>
      <c r="I353"/>
    </row>
    <row r="354" spans="1:9" x14ac:dyDescent="0.25">
      <c r="A354"/>
      <c r="B354"/>
      <c r="C354"/>
      <c r="D354"/>
      <c r="E354"/>
      <c r="F354"/>
      <c r="G354"/>
      <c r="H354"/>
      <c r="I354"/>
    </row>
    <row r="355" spans="1:9" x14ac:dyDescent="0.25">
      <c r="A355"/>
      <c r="B355"/>
      <c r="C355"/>
      <c r="D355"/>
      <c r="E355"/>
      <c r="F355"/>
      <c r="G355"/>
      <c r="H355"/>
      <c r="I355"/>
    </row>
    <row r="356" spans="1:9" x14ac:dyDescent="0.25">
      <c r="A356"/>
      <c r="B356"/>
      <c r="C356"/>
      <c r="D356"/>
      <c r="E356"/>
      <c r="F356"/>
      <c r="G356"/>
      <c r="H356"/>
      <c r="I356"/>
    </row>
    <row r="357" spans="1:9" x14ac:dyDescent="0.25">
      <c r="A357"/>
      <c r="B357"/>
      <c r="C357"/>
      <c r="D357"/>
      <c r="E357"/>
      <c r="F357"/>
      <c r="G357"/>
      <c r="H357"/>
      <c r="I357"/>
    </row>
    <row r="358" spans="1:9" x14ac:dyDescent="0.25">
      <c r="A358"/>
      <c r="B358"/>
      <c r="C358"/>
      <c r="D358"/>
      <c r="E358"/>
      <c r="F358"/>
      <c r="G358"/>
      <c r="H358"/>
      <c r="I358"/>
    </row>
    <row r="359" spans="1:9" x14ac:dyDescent="0.25">
      <c r="A359"/>
      <c r="B359"/>
      <c r="C359"/>
      <c r="D359"/>
      <c r="E359"/>
      <c r="F359"/>
      <c r="G359"/>
      <c r="H359"/>
      <c r="I359"/>
    </row>
    <row r="360" spans="1:9" x14ac:dyDescent="0.25">
      <c r="A360"/>
      <c r="B360"/>
      <c r="C360"/>
      <c r="D360"/>
      <c r="E360"/>
      <c r="F360"/>
      <c r="G360"/>
      <c r="H360"/>
      <c r="I360"/>
    </row>
    <row r="361" spans="1:9" x14ac:dyDescent="0.25">
      <c r="A361"/>
      <c r="B361"/>
      <c r="C361"/>
      <c r="D361"/>
      <c r="E361"/>
      <c r="F361"/>
      <c r="G361"/>
      <c r="H361"/>
      <c r="I361"/>
    </row>
    <row r="362" spans="1:9" x14ac:dyDescent="0.25">
      <c r="A362"/>
      <c r="B362"/>
      <c r="C362"/>
      <c r="D362"/>
      <c r="E362"/>
      <c r="F362"/>
      <c r="G362"/>
      <c r="H362"/>
      <c r="I362"/>
    </row>
    <row r="363" spans="1:9" x14ac:dyDescent="0.25">
      <c r="A363"/>
      <c r="B363"/>
      <c r="C363"/>
      <c r="D363"/>
      <c r="E363"/>
      <c r="F363"/>
      <c r="G363"/>
      <c r="H363"/>
      <c r="I363"/>
    </row>
    <row r="364" spans="1:9" x14ac:dyDescent="0.25">
      <c r="A364"/>
      <c r="B364"/>
      <c r="C364"/>
      <c r="D364"/>
      <c r="E364"/>
      <c r="F364"/>
      <c r="G364"/>
      <c r="H364"/>
      <c r="I364"/>
    </row>
    <row r="365" spans="1:9" x14ac:dyDescent="0.25">
      <c r="A365"/>
      <c r="B365"/>
      <c r="C365"/>
      <c r="D365"/>
      <c r="E365"/>
      <c r="F365"/>
      <c r="G365"/>
      <c r="H365"/>
      <c r="I365"/>
    </row>
    <row r="366" spans="1:9" x14ac:dyDescent="0.25">
      <c r="A366"/>
      <c r="B366"/>
      <c r="C366"/>
      <c r="D366"/>
      <c r="E366"/>
      <c r="F366"/>
      <c r="G366"/>
      <c r="H366"/>
      <c r="I366"/>
    </row>
    <row r="367" spans="1:9" x14ac:dyDescent="0.25">
      <c r="A367"/>
      <c r="B367"/>
      <c r="C367"/>
      <c r="D367"/>
      <c r="E367"/>
      <c r="F367"/>
      <c r="G367"/>
      <c r="H367"/>
      <c r="I367"/>
    </row>
    <row r="368" spans="1:9" x14ac:dyDescent="0.25">
      <c r="A368"/>
      <c r="B368"/>
      <c r="C368"/>
      <c r="D368"/>
      <c r="E368"/>
      <c r="F368"/>
      <c r="G368"/>
      <c r="H368"/>
      <c r="I368"/>
    </row>
    <row r="369" spans="1:9" x14ac:dyDescent="0.25">
      <c r="A369"/>
      <c r="B369"/>
      <c r="C369"/>
      <c r="D369"/>
      <c r="E369"/>
      <c r="F369"/>
      <c r="G369"/>
      <c r="H369"/>
      <c r="I369"/>
    </row>
    <row r="370" spans="1:9" x14ac:dyDescent="0.25">
      <c r="A370"/>
      <c r="B370"/>
      <c r="C370"/>
      <c r="D370"/>
      <c r="E370"/>
      <c r="F370"/>
      <c r="G370"/>
      <c r="H370"/>
      <c r="I370"/>
    </row>
    <row r="371" spans="1:9" x14ac:dyDescent="0.25">
      <c r="A371"/>
      <c r="B371"/>
      <c r="C371"/>
      <c r="D371"/>
      <c r="E371"/>
      <c r="F371"/>
      <c r="G371"/>
      <c r="H371"/>
      <c r="I371"/>
    </row>
    <row r="372" spans="1:9" x14ac:dyDescent="0.25">
      <c r="A372"/>
      <c r="B372"/>
      <c r="C372"/>
      <c r="D372"/>
      <c r="E372"/>
      <c r="F372"/>
      <c r="G372"/>
      <c r="H372"/>
      <c r="I372"/>
    </row>
    <row r="373" spans="1:9" x14ac:dyDescent="0.25">
      <c r="A373"/>
      <c r="B373"/>
      <c r="C373"/>
      <c r="D373"/>
      <c r="E373"/>
      <c r="F373"/>
      <c r="G373"/>
      <c r="H373"/>
      <c r="I373"/>
    </row>
    <row r="374" spans="1:9" x14ac:dyDescent="0.25">
      <c r="A374"/>
      <c r="B374"/>
      <c r="C374"/>
      <c r="D374"/>
      <c r="E374"/>
      <c r="F374"/>
      <c r="G374"/>
      <c r="H374"/>
      <c r="I374"/>
    </row>
    <row r="375" spans="1:9" x14ac:dyDescent="0.25">
      <c r="A375"/>
      <c r="B375"/>
      <c r="C375"/>
      <c r="D375"/>
      <c r="E375"/>
      <c r="F375"/>
      <c r="G375"/>
      <c r="H375"/>
      <c r="I375"/>
    </row>
    <row r="376" spans="1:9" x14ac:dyDescent="0.25">
      <c r="A376"/>
      <c r="B376"/>
      <c r="C376"/>
      <c r="D376"/>
      <c r="E376"/>
      <c r="F376"/>
      <c r="G376"/>
      <c r="H376"/>
      <c r="I376"/>
    </row>
    <row r="377" spans="1:9" x14ac:dyDescent="0.25">
      <c r="A377"/>
      <c r="B377"/>
      <c r="C377"/>
      <c r="D377"/>
      <c r="E377"/>
      <c r="F377"/>
      <c r="G377"/>
      <c r="H377"/>
      <c r="I377"/>
    </row>
    <row r="378" spans="1:9" x14ac:dyDescent="0.25">
      <c r="A378"/>
      <c r="B378"/>
      <c r="C378"/>
      <c r="D378"/>
      <c r="E378"/>
      <c r="F378"/>
      <c r="G378"/>
      <c r="H378"/>
      <c r="I378"/>
    </row>
    <row r="379" spans="1:9" x14ac:dyDescent="0.25">
      <c r="A379"/>
      <c r="B379"/>
      <c r="C379"/>
      <c r="D379"/>
      <c r="E379"/>
      <c r="F379"/>
      <c r="G379"/>
      <c r="H379"/>
      <c r="I379"/>
    </row>
    <row r="380" spans="1:9" x14ac:dyDescent="0.25">
      <c r="A380"/>
      <c r="B380"/>
      <c r="C380"/>
      <c r="D380"/>
      <c r="E380"/>
      <c r="F380"/>
      <c r="G380"/>
      <c r="H380"/>
      <c r="I380"/>
    </row>
    <row r="381" spans="1:9" x14ac:dyDescent="0.25">
      <c r="A381"/>
      <c r="B381"/>
      <c r="C381"/>
      <c r="D381"/>
      <c r="E381"/>
      <c r="F381"/>
      <c r="G381"/>
      <c r="H381"/>
      <c r="I381"/>
    </row>
    <row r="382" spans="1:9" x14ac:dyDescent="0.25">
      <c r="A382"/>
      <c r="B382"/>
      <c r="C382"/>
      <c r="D382"/>
      <c r="E382"/>
      <c r="F382"/>
      <c r="G382"/>
      <c r="H382"/>
      <c r="I382"/>
    </row>
    <row r="383" spans="1:9" x14ac:dyDescent="0.25">
      <c r="A383"/>
      <c r="B383"/>
      <c r="C383"/>
      <c r="D383"/>
      <c r="E383"/>
      <c r="F383"/>
      <c r="G383"/>
      <c r="H383"/>
      <c r="I383"/>
    </row>
    <row r="384" spans="1:9" x14ac:dyDescent="0.25">
      <c r="A384"/>
      <c r="B384"/>
      <c r="C384"/>
      <c r="D384"/>
      <c r="E384"/>
      <c r="F384"/>
      <c r="G384"/>
      <c r="H384"/>
      <c r="I384"/>
    </row>
    <row r="385" spans="1:9" x14ac:dyDescent="0.25">
      <c r="A385"/>
      <c r="B385"/>
      <c r="C385"/>
      <c r="D385"/>
      <c r="E385"/>
      <c r="F385"/>
      <c r="G385"/>
      <c r="H385"/>
      <c r="I385"/>
    </row>
    <row r="386" spans="1:9" x14ac:dyDescent="0.25">
      <c r="A386"/>
      <c r="B386"/>
      <c r="C386"/>
      <c r="D386"/>
      <c r="E386"/>
      <c r="F386"/>
      <c r="G386"/>
      <c r="H386"/>
      <c r="I386"/>
    </row>
    <row r="387" spans="1:9" x14ac:dyDescent="0.25">
      <c r="A387"/>
      <c r="B387"/>
      <c r="C387"/>
      <c r="D387"/>
      <c r="E387"/>
      <c r="F387"/>
      <c r="G387"/>
      <c r="H387"/>
      <c r="I387"/>
    </row>
    <row r="388" spans="1:9" x14ac:dyDescent="0.25">
      <c r="A388"/>
      <c r="B388"/>
      <c r="C388"/>
      <c r="D388"/>
      <c r="E388"/>
      <c r="F388"/>
      <c r="G388"/>
      <c r="H388"/>
      <c r="I388"/>
    </row>
    <row r="389" spans="1:9" x14ac:dyDescent="0.25">
      <c r="A389"/>
      <c r="B389"/>
      <c r="C389"/>
      <c r="D389"/>
      <c r="E389"/>
      <c r="F389"/>
      <c r="G389"/>
      <c r="H389"/>
      <c r="I389"/>
    </row>
    <row r="390" spans="1:9" x14ac:dyDescent="0.25">
      <c r="A390"/>
      <c r="B390"/>
      <c r="C390"/>
      <c r="D390"/>
      <c r="E390"/>
      <c r="F390"/>
      <c r="G390"/>
      <c r="H390"/>
      <c r="I390"/>
    </row>
    <row r="391" spans="1:9" x14ac:dyDescent="0.25">
      <c r="A391"/>
      <c r="B391"/>
      <c r="C391"/>
      <c r="D391"/>
      <c r="E391"/>
      <c r="F391"/>
      <c r="G391"/>
      <c r="H391"/>
      <c r="I391"/>
    </row>
    <row r="392" spans="1:9" x14ac:dyDescent="0.25">
      <c r="A392"/>
      <c r="B392"/>
      <c r="C392"/>
      <c r="D392"/>
      <c r="E392"/>
      <c r="F392"/>
      <c r="G392"/>
      <c r="H392"/>
      <c r="I392"/>
    </row>
    <row r="393" spans="1:9" x14ac:dyDescent="0.25">
      <c r="A393"/>
      <c r="B393"/>
      <c r="C393"/>
      <c r="D393"/>
      <c r="E393"/>
      <c r="F393"/>
      <c r="G393"/>
      <c r="H393"/>
      <c r="I393"/>
    </row>
    <row r="394" spans="1:9" x14ac:dyDescent="0.25">
      <c r="A394"/>
      <c r="B394"/>
      <c r="C394"/>
      <c r="D394"/>
      <c r="E394"/>
      <c r="F394"/>
      <c r="G394"/>
      <c r="H394"/>
      <c r="I394"/>
    </row>
    <row r="395" spans="1:9" x14ac:dyDescent="0.25">
      <c r="A395"/>
      <c r="B395"/>
      <c r="C395"/>
      <c r="D395"/>
      <c r="E395"/>
      <c r="F395"/>
      <c r="G395"/>
      <c r="H395"/>
      <c r="I395"/>
    </row>
    <row r="396" spans="1:9" x14ac:dyDescent="0.25">
      <c r="A396"/>
      <c r="B396"/>
      <c r="C396"/>
      <c r="D396"/>
      <c r="E396"/>
      <c r="F396"/>
      <c r="G396"/>
      <c r="H396"/>
      <c r="I396"/>
    </row>
    <row r="397" spans="1:9" x14ac:dyDescent="0.25">
      <c r="A397"/>
      <c r="B397"/>
      <c r="C397"/>
      <c r="D397"/>
      <c r="E397"/>
      <c r="F397"/>
      <c r="G397"/>
      <c r="H397"/>
      <c r="I397"/>
    </row>
    <row r="398" spans="1:9" x14ac:dyDescent="0.25">
      <c r="A398"/>
      <c r="B398"/>
      <c r="C398"/>
      <c r="D398"/>
      <c r="E398"/>
      <c r="F398"/>
      <c r="G398"/>
      <c r="H398"/>
      <c r="I398"/>
    </row>
    <row r="399" spans="1:9" x14ac:dyDescent="0.25">
      <c r="A399"/>
      <c r="B399"/>
      <c r="C399"/>
      <c r="D399"/>
      <c r="E399"/>
      <c r="F399"/>
      <c r="G399"/>
      <c r="H399"/>
      <c r="I399"/>
    </row>
    <row r="400" spans="1:9" x14ac:dyDescent="0.25">
      <c r="A400"/>
      <c r="B400"/>
      <c r="C400"/>
      <c r="D400"/>
      <c r="E400"/>
      <c r="F400"/>
      <c r="G400"/>
      <c r="H400"/>
      <c r="I400"/>
    </row>
    <row r="401" spans="1:9" x14ac:dyDescent="0.25">
      <c r="A401"/>
      <c r="B401"/>
      <c r="C401"/>
      <c r="D401"/>
      <c r="E401"/>
      <c r="F401"/>
      <c r="G401"/>
      <c r="H401"/>
      <c r="I401"/>
    </row>
    <row r="402" spans="1:9" x14ac:dyDescent="0.25">
      <c r="A402"/>
      <c r="B402"/>
      <c r="C402"/>
      <c r="D402"/>
      <c r="E402"/>
      <c r="F402"/>
      <c r="G402"/>
      <c r="H402"/>
      <c r="I402"/>
    </row>
    <row r="403" spans="1:9" x14ac:dyDescent="0.25">
      <c r="A403"/>
      <c r="B403"/>
      <c r="C403"/>
      <c r="D403"/>
      <c r="E403"/>
      <c r="F403"/>
      <c r="G403"/>
      <c r="H403"/>
      <c r="I403"/>
    </row>
    <row r="404" spans="1:9" x14ac:dyDescent="0.25">
      <c r="A404"/>
      <c r="B404"/>
      <c r="C404"/>
      <c r="D404"/>
      <c r="E404"/>
      <c r="F404"/>
      <c r="G404"/>
      <c r="H404"/>
      <c r="I404"/>
    </row>
    <row r="405" spans="1:9" x14ac:dyDescent="0.25">
      <c r="A405"/>
      <c r="B405"/>
      <c r="C405"/>
      <c r="D405"/>
      <c r="E405"/>
      <c r="F405"/>
      <c r="G405"/>
      <c r="H405"/>
      <c r="I405"/>
    </row>
    <row r="406" spans="1:9" x14ac:dyDescent="0.25">
      <c r="A406"/>
      <c r="B406"/>
      <c r="C406"/>
      <c r="D406"/>
      <c r="E406"/>
      <c r="F406"/>
      <c r="G406"/>
      <c r="H406"/>
      <c r="I406"/>
    </row>
    <row r="407" spans="1:9" x14ac:dyDescent="0.25">
      <c r="A407"/>
      <c r="B407"/>
      <c r="C407"/>
      <c r="D407"/>
      <c r="E407"/>
      <c r="F407"/>
      <c r="G407"/>
      <c r="H407"/>
      <c r="I407"/>
    </row>
    <row r="408" spans="1:9" x14ac:dyDescent="0.25">
      <c r="A408"/>
      <c r="B408"/>
      <c r="C408"/>
      <c r="D408"/>
      <c r="E408"/>
      <c r="F408"/>
      <c r="G408"/>
      <c r="H408"/>
      <c r="I408"/>
    </row>
    <row r="409" spans="1:9" x14ac:dyDescent="0.25">
      <c r="A409"/>
      <c r="B409"/>
      <c r="C409"/>
      <c r="D409"/>
      <c r="E409"/>
      <c r="F409"/>
      <c r="G409"/>
      <c r="H409"/>
      <c r="I409"/>
    </row>
    <row r="410" spans="1:9" x14ac:dyDescent="0.25">
      <c r="A410"/>
      <c r="B410"/>
      <c r="C410"/>
      <c r="D410"/>
      <c r="E410"/>
      <c r="F410"/>
      <c r="G410"/>
      <c r="H410"/>
      <c r="I410"/>
    </row>
    <row r="411" spans="1:9" x14ac:dyDescent="0.25">
      <c r="A411"/>
      <c r="B411"/>
      <c r="C411"/>
      <c r="D411"/>
      <c r="E411"/>
      <c r="F411"/>
      <c r="G411"/>
      <c r="H411"/>
      <c r="I411"/>
    </row>
    <row r="412" spans="1:9" x14ac:dyDescent="0.25">
      <c r="A412"/>
      <c r="B412"/>
      <c r="C412"/>
      <c r="D412"/>
      <c r="E412"/>
      <c r="F412"/>
      <c r="G412"/>
      <c r="H412"/>
      <c r="I412"/>
    </row>
    <row r="413" spans="1:9" x14ac:dyDescent="0.25">
      <c r="A413"/>
      <c r="B413"/>
      <c r="C413"/>
      <c r="D413"/>
      <c r="E413"/>
      <c r="F413"/>
      <c r="G413"/>
      <c r="H413"/>
      <c r="I413"/>
    </row>
    <row r="414" spans="1:9" x14ac:dyDescent="0.25">
      <c r="A414"/>
      <c r="B414"/>
      <c r="C414"/>
      <c r="D414"/>
      <c r="E414"/>
      <c r="F414"/>
      <c r="G414"/>
      <c r="H414"/>
      <c r="I414"/>
    </row>
    <row r="415" spans="1:9" x14ac:dyDescent="0.25">
      <c r="A415"/>
      <c r="B415"/>
      <c r="C415"/>
      <c r="D415"/>
      <c r="E415"/>
      <c r="F415"/>
      <c r="G415"/>
      <c r="H415"/>
      <c r="I415"/>
    </row>
    <row r="416" spans="1:9" x14ac:dyDescent="0.25">
      <c r="A416"/>
      <c r="B416"/>
      <c r="C416"/>
      <c r="D416"/>
      <c r="E416"/>
      <c r="F416"/>
      <c r="G416"/>
      <c r="H416"/>
      <c r="I416"/>
    </row>
    <row r="417" spans="1:9" x14ac:dyDescent="0.25">
      <c r="A417"/>
      <c r="B417"/>
      <c r="C417"/>
      <c r="D417"/>
      <c r="E417"/>
      <c r="F417"/>
      <c r="G417"/>
      <c r="H417"/>
      <c r="I417"/>
    </row>
    <row r="418" spans="1:9" x14ac:dyDescent="0.25">
      <c r="A418"/>
      <c r="B418"/>
      <c r="C418"/>
      <c r="D418"/>
      <c r="E418"/>
      <c r="F418"/>
      <c r="G418"/>
      <c r="H418"/>
      <c r="I418"/>
    </row>
    <row r="419" spans="1:9" x14ac:dyDescent="0.25">
      <c r="A419"/>
      <c r="B419"/>
      <c r="C419"/>
      <c r="D419"/>
      <c r="E419"/>
      <c r="F419"/>
      <c r="G419"/>
      <c r="H419"/>
      <c r="I419"/>
    </row>
    <row r="420" spans="1:9" x14ac:dyDescent="0.25">
      <c r="A420"/>
      <c r="B420"/>
      <c r="C420"/>
      <c r="D420"/>
      <c r="E420"/>
      <c r="F420"/>
      <c r="G420"/>
      <c r="H420"/>
      <c r="I420"/>
    </row>
    <row r="421" spans="1:9" x14ac:dyDescent="0.25">
      <c r="A421"/>
      <c r="B421"/>
      <c r="C421"/>
      <c r="D421"/>
      <c r="E421"/>
      <c r="F421"/>
      <c r="G421"/>
      <c r="H421"/>
      <c r="I421"/>
    </row>
    <row r="422" spans="1:9" x14ac:dyDescent="0.25">
      <c r="A422"/>
      <c r="B422"/>
      <c r="C422"/>
      <c r="D422"/>
      <c r="E422"/>
      <c r="F422"/>
      <c r="G422"/>
      <c r="H422"/>
      <c r="I422"/>
    </row>
    <row r="423" spans="1:9" x14ac:dyDescent="0.25">
      <c r="A423"/>
      <c r="B423"/>
      <c r="C423"/>
      <c r="D423"/>
      <c r="E423"/>
      <c r="F423"/>
      <c r="G423"/>
      <c r="H423"/>
      <c r="I423"/>
    </row>
    <row r="424" spans="1:9" x14ac:dyDescent="0.25">
      <c r="A424"/>
      <c r="B424"/>
      <c r="C424"/>
      <c r="D424"/>
      <c r="E424"/>
      <c r="F424"/>
      <c r="G424"/>
      <c r="H424"/>
      <c r="I424"/>
    </row>
    <row r="425" spans="1:9" x14ac:dyDescent="0.25">
      <c r="A425"/>
      <c r="B425"/>
      <c r="C425"/>
      <c r="D425"/>
      <c r="E425"/>
      <c r="F425"/>
      <c r="G425"/>
      <c r="H425"/>
      <c r="I425"/>
    </row>
    <row r="426" spans="1:9" x14ac:dyDescent="0.25">
      <c r="A426"/>
      <c r="B426"/>
      <c r="C426"/>
      <c r="D426"/>
      <c r="E426"/>
      <c r="F426"/>
      <c r="G426"/>
      <c r="H426"/>
      <c r="I426"/>
    </row>
    <row r="427" spans="1:9" x14ac:dyDescent="0.25">
      <c r="A427"/>
      <c r="B427"/>
      <c r="C427"/>
      <c r="D427"/>
      <c r="E427"/>
      <c r="F427"/>
      <c r="G427"/>
      <c r="H427"/>
      <c r="I427"/>
    </row>
    <row r="428" spans="1:9" x14ac:dyDescent="0.25">
      <c r="A428"/>
      <c r="B428"/>
      <c r="C428"/>
      <c r="D428"/>
      <c r="E428"/>
      <c r="F428"/>
      <c r="G428"/>
      <c r="H428"/>
      <c r="I428"/>
    </row>
    <row r="429" spans="1:9" x14ac:dyDescent="0.25">
      <c r="A429"/>
      <c r="B429"/>
      <c r="C429"/>
      <c r="D429"/>
      <c r="E429"/>
      <c r="F429"/>
      <c r="G429"/>
      <c r="H429"/>
      <c r="I429"/>
    </row>
    <row r="430" spans="1:9" x14ac:dyDescent="0.25">
      <c r="A430"/>
      <c r="B430"/>
      <c r="C430"/>
      <c r="D430"/>
      <c r="E430"/>
      <c r="F430"/>
      <c r="G430"/>
      <c r="H430"/>
      <c r="I430"/>
    </row>
    <row r="431" spans="1:9" x14ac:dyDescent="0.25">
      <c r="A431"/>
      <c r="B431"/>
      <c r="C431"/>
      <c r="D431"/>
      <c r="E431"/>
      <c r="F431"/>
      <c r="G431"/>
      <c r="H431"/>
      <c r="I431"/>
    </row>
    <row r="432" spans="1:9" x14ac:dyDescent="0.25">
      <c r="A432"/>
      <c r="B432"/>
      <c r="C432"/>
      <c r="D432"/>
      <c r="E432"/>
      <c r="F432"/>
      <c r="G432"/>
      <c r="H432"/>
      <c r="I432"/>
    </row>
    <row r="433" spans="1:9" x14ac:dyDescent="0.25">
      <c r="A433"/>
      <c r="B433"/>
      <c r="C433"/>
      <c r="D433"/>
      <c r="E433"/>
      <c r="F433"/>
      <c r="G433"/>
      <c r="H433"/>
      <c r="I433"/>
    </row>
    <row r="434" spans="1:9" x14ac:dyDescent="0.25">
      <c r="A434"/>
      <c r="B434"/>
      <c r="C434"/>
      <c r="D434"/>
      <c r="E434"/>
      <c r="F434"/>
      <c r="G434"/>
      <c r="H434"/>
      <c r="I434"/>
    </row>
    <row r="435" spans="1:9" x14ac:dyDescent="0.25">
      <c r="A435"/>
      <c r="B435"/>
      <c r="C435"/>
      <c r="D435"/>
      <c r="E435"/>
      <c r="F435"/>
      <c r="G435"/>
      <c r="H435"/>
      <c r="I435"/>
    </row>
    <row r="436" spans="1:9" x14ac:dyDescent="0.25">
      <c r="A436"/>
      <c r="B436"/>
      <c r="C436"/>
      <c r="D436"/>
      <c r="E436"/>
      <c r="F436"/>
      <c r="G436"/>
      <c r="H436"/>
      <c r="I436"/>
    </row>
    <row r="437" spans="1:9" x14ac:dyDescent="0.25">
      <c r="A437"/>
      <c r="B437"/>
      <c r="C437"/>
      <c r="D437"/>
      <c r="E437"/>
      <c r="F437"/>
      <c r="G437"/>
      <c r="H437"/>
      <c r="I437"/>
    </row>
    <row r="438" spans="1:9" x14ac:dyDescent="0.25">
      <c r="A438"/>
      <c r="B438"/>
      <c r="C438"/>
      <c r="D438"/>
      <c r="E438"/>
      <c r="F438"/>
      <c r="G438"/>
      <c r="H438"/>
      <c r="I438"/>
    </row>
    <row r="439" spans="1:9" x14ac:dyDescent="0.25">
      <c r="A439"/>
      <c r="B439"/>
      <c r="C439"/>
      <c r="D439"/>
      <c r="E439"/>
      <c r="F439"/>
      <c r="G439"/>
      <c r="H439"/>
      <c r="I439"/>
    </row>
    <row r="440" spans="1:9" x14ac:dyDescent="0.25">
      <c r="A440"/>
      <c r="B440"/>
      <c r="C440"/>
      <c r="D440"/>
      <c r="E440"/>
      <c r="F440"/>
      <c r="G440"/>
      <c r="H440"/>
      <c r="I440"/>
    </row>
    <row r="441" spans="1:9" x14ac:dyDescent="0.25">
      <c r="A441"/>
      <c r="B441"/>
      <c r="C441"/>
      <c r="D441"/>
      <c r="E441"/>
      <c r="F441"/>
      <c r="G441"/>
      <c r="H441"/>
      <c r="I441"/>
    </row>
    <row r="442" spans="1:9" x14ac:dyDescent="0.25">
      <c r="A442"/>
      <c r="B442"/>
      <c r="C442"/>
      <c r="D442"/>
      <c r="E442"/>
      <c r="F442"/>
      <c r="G442"/>
      <c r="H442"/>
      <c r="I442"/>
    </row>
    <row r="443" spans="1:9" x14ac:dyDescent="0.25">
      <c r="A443"/>
      <c r="B443"/>
      <c r="C443"/>
      <c r="D443"/>
      <c r="E443"/>
      <c r="F443"/>
      <c r="G443"/>
      <c r="H443"/>
      <c r="I443"/>
    </row>
    <row r="444" spans="1:9" x14ac:dyDescent="0.25">
      <c r="A444"/>
      <c r="B444"/>
      <c r="C444"/>
      <c r="D444"/>
      <c r="E444"/>
      <c r="F444"/>
      <c r="G444"/>
      <c r="H444"/>
      <c r="I444"/>
    </row>
    <row r="445" spans="1:9" x14ac:dyDescent="0.25">
      <c r="A445"/>
      <c r="B445"/>
      <c r="C445"/>
      <c r="D445"/>
      <c r="E445"/>
      <c r="F445"/>
      <c r="G445"/>
      <c r="H445"/>
      <c r="I445"/>
    </row>
    <row r="446" spans="1:9" x14ac:dyDescent="0.25">
      <c r="A446"/>
      <c r="B446"/>
      <c r="C446"/>
      <c r="D446"/>
      <c r="E446"/>
      <c r="F446"/>
      <c r="G446"/>
      <c r="H446"/>
      <c r="I446"/>
    </row>
    <row r="447" spans="1:9" x14ac:dyDescent="0.25">
      <c r="A447"/>
      <c r="B447"/>
      <c r="C447"/>
      <c r="D447"/>
      <c r="E447"/>
      <c r="F447"/>
      <c r="G447"/>
      <c r="H447"/>
      <c r="I447"/>
    </row>
    <row r="448" spans="1:9" x14ac:dyDescent="0.25">
      <c r="A448"/>
      <c r="B448"/>
      <c r="C448"/>
      <c r="D448"/>
      <c r="E448"/>
      <c r="F448"/>
      <c r="G448"/>
      <c r="H448"/>
      <c r="I448"/>
    </row>
    <row r="449" spans="1:9" x14ac:dyDescent="0.25">
      <c r="A449"/>
      <c r="B449"/>
      <c r="C449"/>
      <c r="D449"/>
      <c r="E449"/>
      <c r="F449"/>
      <c r="G449"/>
      <c r="H449"/>
      <c r="I449"/>
    </row>
    <row r="450" spans="1:9" x14ac:dyDescent="0.25">
      <c r="A450"/>
      <c r="B450"/>
      <c r="C450"/>
      <c r="D450"/>
      <c r="E450"/>
      <c r="F450"/>
      <c r="G450"/>
      <c r="H450"/>
      <c r="I450"/>
    </row>
    <row r="451" spans="1:9" x14ac:dyDescent="0.25">
      <c r="A451"/>
      <c r="B451"/>
      <c r="C451"/>
      <c r="D451"/>
      <c r="E451"/>
      <c r="F451"/>
      <c r="G451"/>
      <c r="H451"/>
      <c r="I451"/>
    </row>
    <row r="452" spans="1:9" x14ac:dyDescent="0.25">
      <c r="A452"/>
      <c r="B452"/>
      <c r="C452"/>
      <c r="D452"/>
      <c r="E452"/>
      <c r="F452"/>
      <c r="G452"/>
      <c r="H452"/>
      <c r="I452"/>
    </row>
    <row r="453" spans="1:9" x14ac:dyDescent="0.25">
      <c r="A453"/>
      <c r="B453"/>
      <c r="C453"/>
      <c r="D453"/>
      <c r="E453"/>
      <c r="F453"/>
      <c r="G453"/>
      <c r="H453"/>
      <c r="I453"/>
    </row>
    <row r="454" spans="1:9" x14ac:dyDescent="0.25">
      <c r="A454"/>
      <c r="B454"/>
      <c r="C454"/>
      <c r="D454"/>
      <c r="E454"/>
      <c r="F454"/>
      <c r="G454"/>
      <c r="H454"/>
      <c r="I454"/>
    </row>
    <row r="455" spans="1:9" x14ac:dyDescent="0.25">
      <c r="A455"/>
      <c r="B455"/>
      <c r="C455"/>
      <c r="D455"/>
      <c r="E455"/>
      <c r="F455"/>
      <c r="G455"/>
      <c r="H455"/>
      <c r="I455"/>
    </row>
    <row r="456" spans="1:9" x14ac:dyDescent="0.25">
      <c r="A456"/>
      <c r="B456"/>
      <c r="C456"/>
      <c r="D456"/>
      <c r="E456"/>
      <c r="F456"/>
      <c r="G456"/>
      <c r="H456"/>
      <c r="I456"/>
    </row>
    <row r="457" spans="1:9" x14ac:dyDescent="0.25">
      <c r="A457"/>
      <c r="B457"/>
      <c r="C457"/>
      <c r="D457"/>
      <c r="E457"/>
      <c r="F457"/>
      <c r="G457"/>
      <c r="H457"/>
      <c r="I457"/>
    </row>
    <row r="458" spans="1:9" x14ac:dyDescent="0.25">
      <c r="A458"/>
      <c r="B458"/>
      <c r="C458"/>
      <c r="D458"/>
      <c r="E458"/>
      <c r="F458"/>
      <c r="G458"/>
      <c r="H458"/>
      <c r="I458"/>
    </row>
    <row r="459" spans="1:9" x14ac:dyDescent="0.25">
      <c r="A459"/>
      <c r="B459"/>
      <c r="C459"/>
      <c r="D459"/>
      <c r="E459"/>
      <c r="F459"/>
      <c r="G459"/>
      <c r="H459"/>
      <c r="I459"/>
    </row>
    <row r="460" spans="1:9" x14ac:dyDescent="0.25">
      <c r="A460"/>
      <c r="B460"/>
      <c r="C460"/>
      <c r="D460"/>
      <c r="E460"/>
      <c r="F460"/>
      <c r="G460"/>
      <c r="H460"/>
      <c r="I460"/>
    </row>
    <row r="461" spans="1:9" x14ac:dyDescent="0.25">
      <c r="A461"/>
      <c r="B461"/>
      <c r="C461"/>
      <c r="D461"/>
      <c r="E461"/>
      <c r="F461"/>
      <c r="G461"/>
      <c r="H461"/>
      <c r="I461"/>
    </row>
    <row r="462" spans="1:9" x14ac:dyDescent="0.25">
      <c r="A462"/>
      <c r="B462"/>
      <c r="C462"/>
      <c r="D462"/>
      <c r="E462"/>
      <c r="F462"/>
      <c r="G462"/>
      <c r="H462"/>
      <c r="I462"/>
    </row>
    <row r="463" spans="1:9" x14ac:dyDescent="0.25">
      <c r="A463"/>
      <c r="B463"/>
      <c r="C463"/>
      <c r="D463"/>
      <c r="E463"/>
      <c r="F463"/>
      <c r="G463"/>
      <c r="H463"/>
      <c r="I463"/>
    </row>
    <row r="464" spans="1:9" x14ac:dyDescent="0.25">
      <c r="A464"/>
      <c r="B464"/>
      <c r="C464"/>
      <c r="D464"/>
      <c r="E464"/>
      <c r="F464"/>
      <c r="G464"/>
      <c r="H464"/>
      <c r="I464"/>
    </row>
    <row r="465" spans="1:9" x14ac:dyDescent="0.25">
      <c r="A465"/>
      <c r="B465"/>
      <c r="C465"/>
      <c r="D465"/>
      <c r="E465"/>
      <c r="F465"/>
      <c r="G465"/>
      <c r="H465"/>
      <c r="I465"/>
    </row>
    <row r="466" spans="1:9" x14ac:dyDescent="0.25">
      <c r="A466"/>
      <c r="B466"/>
      <c r="C466"/>
      <c r="D466"/>
      <c r="E466"/>
      <c r="F466"/>
      <c r="G466"/>
      <c r="H466"/>
      <c r="I466"/>
    </row>
    <row r="467" spans="1:9" x14ac:dyDescent="0.25">
      <c r="A467"/>
      <c r="B467"/>
      <c r="C467"/>
      <c r="D467"/>
      <c r="E467"/>
      <c r="F467"/>
      <c r="G467"/>
      <c r="H467"/>
      <c r="I467"/>
    </row>
    <row r="468" spans="1:9" x14ac:dyDescent="0.25">
      <c r="A468"/>
      <c r="B468"/>
      <c r="C468"/>
      <c r="D468"/>
      <c r="E468"/>
      <c r="F468"/>
      <c r="G468"/>
      <c r="H468"/>
      <c r="I468"/>
    </row>
    <row r="469" spans="1:9" x14ac:dyDescent="0.25">
      <c r="A469"/>
      <c r="B469"/>
      <c r="C469"/>
      <c r="D469"/>
      <c r="E469"/>
      <c r="F469"/>
      <c r="G469"/>
      <c r="H469"/>
      <c r="I469"/>
    </row>
    <row r="470" spans="1:9" x14ac:dyDescent="0.25">
      <c r="A470"/>
      <c r="B470"/>
      <c r="C470"/>
      <c r="D470"/>
      <c r="E470"/>
      <c r="F470"/>
      <c r="G470"/>
      <c r="H470"/>
      <c r="I470"/>
    </row>
    <row r="471" spans="1:9" x14ac:dyDescent="0.25">
      <c r="A471"/>
      <c r="B471"/>
      <c r="C471"/>
      <c r="D471"/>
      <c r="E471"/>
      <c r="F471"/>
      <c r="G471"/>
      <c r="H471"/>
      <c r="I471"/>
    </row>
    <row r="472" spans="1:9" x14ac:dyDescent="0.25">
      <c r="A472"/>
      <c r="B472"/>
      <c r="C472"/>
      <c r="D472"/>
      <c r="E472"/>
      <c r="F472"/>
      <c r="G472"/>
      <c r="H472"/>
      <c r="I472"/>
    </row>
    <row r="473" spans="1:9" x14ac:dyDescent="0.25">
      <c r="A473"/>
      <c r="B473"/>
      <c r="C473"/>
      <c r="D473"/>
      <c r="E473"/>
      <c r="F473"/>
      <c r="G473"/>
      <c r="H473"/>
      <c r="I473"/>
    </row>
    <row r="474" spans="1:9" x14ac:dyDescent="0.25">
      <c r="A474"/>
      <c r="B474"/>
      <c r="C474"/>
      <c r="D474"/>
      <c r="E474"/>
      <c r="F474"/>
      <c r="G474"/>
      <c r="H474"/>
      <c r="I474"/>
    </row>
    <row r="475" spans="1:9" x14ac:dyDescent="0.25">
      <c r="A475"/>
      <c r="B475"/>
      <c r="C475"/>
      <c r="D475"/>
      <c r="E475"/>
      <c r="F475"/>
      <c r="G475"/>
      <c r="H475"/>
      <c r="I475"/>
    </row>
    <row r="476" spans="1:9" x14ac:dyDescent="0.25">
      <c r="A476"/>
      <c r="B476"/>
      <c r="C476"/>
      <c r="D476"/>
      <c r="E476"/>
      <c r="F476"/>
      <c r="G476"/>
      <c r="H476"/>
      <c r="I476"/>
    </row>
    <row r="477" spans="1:9" x14ac:dyDescent="0.25">
      <c r="A477"/>
      <c r="B477"/>
      <c r="C477"/>
      <c r="D477"/>
      <c r="E477"/>
      <c r="F477"/>
      <c r="G477"/>
      <c r="H477"/>
      <c r="I477"/>
    </row>
    <row r="478" spans="1:9" x14ac:dyDescent="0.25">
      <c r="A478"/>
      <c r="B478"/>
      <c r="C478"/>
      <c r="D478"/>
      <c r="E478"/>
      <c r="F478"/>
      <c r="G478"/>
      <c r="H478"/>
      <c r="I478"/>
    </row>
    <row r="479" spans="1:9" x14ac:dyDescent="0.25">
      <c r="A479"/>
      <c r="B479"/>
      <c r="C479"/>
      <c r="D479"/>
      <c r="E479"/>
      <c r="F479"/>
      <c r="G479"/>
      <c r="H479"/>
      <c r="I479"/>
    </row>
    <row r="480" spans="1:9" x14ac:dyDescent="0.25">
      <c r="A480"/>
      <c r="B480"/>
      <c r="C480"/>
      <c r="D480"/>
      <c r="E480"/>
      <c r="F480"/>
      <c r="G480"/>
      <c r="H480"/>
      <c r="I480"/>
    </row>
    <row r="481" spans="1:9" x14ac:dyDescent="0.25">
      <c r="A481"/>
      <c r="B481"/>
      <c r="C481"/>
      <c r="D481"/>
      <c r="E481"/>
      <c r="F481"/>
      <c r="G481"/>
      <c r="H481"/>
      <c r="I481"/>
    </row>
    <row r="482" spans="1:9" x14ac:dyDescent="0.25">
      <c r="A482"/>
      <c r="B482"/>
      <c r="C482"/>
      <c r="D482"/>
      <c r="E482"/>
      <c r="F482"/>
      <c r="G482"/>
      <c r="H482"/>
      <c r="I482"/>
    </row>
    <row r="483" spans="1:9" x14ac:dyDescent="0.25">
      <c r="A483"/>
      <c r="B483"/>
      <c r="C483"/>
      <c r="D483"/>
      <c r="E483"/>
      <c r="F483"/>
      <c r="G483"/>
      <c r="H483"/>
      <c r="I483"/>
    </row>
    <row r="484" spans="1:9" x14ac:dyDescent="0.25">
      <c r="A484"/>
      <c r="B484"/>
      <c r="C484"/>
      <c r="D484"/>
      <c r="E484"/>
      <c r="F484"/>
      <c r="G484"/>
      <c r="H484"/>
      <c r="I484"/>
    </row>
    <row r="485" spans="1:9" x14ac:dyDescent="0.25">
      <c r="A485"/>
      <c r="B485"/>
      <c r="C485"/>
      <c r="D485"/>
      <c r="E485"/>
      <c r="F485"/>
      <c r="G485"/>
      <c r="H485"/>
      <c r="I485"/>
    </row>
    <row r="486" spans="1:9" x14ac:dyDescent="0.25">
      <c r="A486"/>
      <c r="B486"/>
      <c r="C486"/>
      <c r="D486"/>
      <c r="E486"/>
      <c r="F486"/>
      <c r="G486"/>
      <c r="H486"/>
      <c r="I486"/>
    </row>
    <row r="487" spans="1:9" x14ac:dyDescent="0.25">
      <c r="A487"/>
      <c r="B487"/>
      <c r="C487"/>
      <c r="D487"/>
      <c r="E487"/>
      <c r="F487"/>
      <c r="G487"/>
      <c r="H487"/>
      <c r="I487"/>
    </row>
    <row r="488" spans="1:9" x14ac:dyDescent="0.25">
      <c r="A488"/>
      <c r="B488"/>
      <c r="C488"/>
      <c r="D488"/>
      <c r="E488"/>
      <c r="F488"/>
      <c r="G488"/>
      <c r="H488"/>
      <c r="I488"/>
    </row>
    <row r="489" spans="1:9" x14ac:dyDescent="0.25">
      <c r="A489"/>
      <c r="B489"/>
      <c r="C489"/>
      <c r="D489"/>
      <c r="E489"/>
      <c r="F489"/>
      <c r="G489"/>
      <c r="H489"/>
      <c r="I489"/>
    </row>
    <row r="490" spans="1:9" x14ac:dyDescent="0.25">
      <c r="A490"/>
      <c r="B490"/>
      <c r="C490"/>
      <c r="D490"/>
      <c r="E490"/>
      <c r="F490"/>
      <c r="G490"/>
      <c r="H490"/>
      <c r="I490"/>
    </row>
    <row r="491" spans="1:9" x14ac:dyDescent="0.25">
      <c r="A491"/>
      <c r="B491"/>
      <c r="C491"/>
      <c r="D491"/>
      <c r="E491"/>
      <c r="F491"/>
      <c r="G491"/>
      <c r="H491"/>
      <c r="I491"/>
    </row>
    <row r="492" spans="1:9" x14ac:dyDescent="0.25">
      <c r="A492"/>
      <c r="B492"/>
      <c r="C492"/>
      <c r="D492"/>
      <c r="E492"/>
      <c r="F492"/>
      <c r="G492"/>
      <c r="H492"/>
      <c r="I492"/>
    </row>
    <row r="493" spans="1:9" x14ac:dyDescent="0.25">
      <c r="A493"/>
      <c r="B493"/>
      <c r="C493"/>
      <c r="D493"/>
      <c r="E493"/>
      <c r="F493"/>
      <c r="G493"/>
      <c r="H493"/>
      <c r="I493"/>
    </row>
    <row r="494" spans="1:9" x14ac:dyDescent="0.25">
      <c r="A494"/>
      <c r="B494"/>
      <c r="C494"/>
      <c r="D494"/>
      <c r="E494"/>
      <c r="F494"/>
      <c r="G494"/>
      <c r="H494"/>
      <c r="I494"/>
    </row>
    <row r="495" spans="1:9" x14ac:dyDescent="0.25">
      <c r="A495"/>
      <c r="B495"/>
      <c r="C495"/>
      <c r="D495"/>
      <c r="E495"/>
      <c r="F495"/>
      <c r="G495"/>
      <c r="H495"/>
      <c r="I495"/>
    </row>
    <row r="496" spans="1:9" x14ac:dyDescent="0.25">
      <c r="A496"/>
      <c r="B496"/>
      <c r="C496"/>
      <c r="D496"/>
      <c r="E496"/>
      <c r="F496"/>
      <c r="G496"/>
      <c r="H496"/>
      <c r="I496"/>
    </row>
    <row r="497" spans="1:9" x14ac:dyDescent="0.25">
      <c r="A497"/>
      <c r="B497"/>
      <c r="C497"/>
      <c r="D497"/>
      <c r="E497"/>
      <c r="F497"/>
      <c r="G497"/>
      <c r="H497"/>
      <c r="I497"/>
    </row>
    <row r="498" spans="1:9" x14ac:dyDescent="0.25">
      <c r="A498"/>
      <c r="B498"/>
      <c r="C498"/>
      <c r="D498"/>
      <c r="E498"/>
      <c r="F498"/>
      <c r="G498"/>
      <c r="H498"/>
      <c r="I498"/>
    </row>
    <row r="499" spans="1:9" x14ac:dyDescent="0.25">
      <c r="A499"/>
      <c r="B499"/>
      <c r="C499"/>
      <c r="D499"/>
      <c r="E499"/>
      <c r="F499"/>
      <c r="G499"/>
      <c r="H499"/>
      <c r="I499"/>
    </row>
    <row r="500" spans="1:9" x14ac:dyDescent="0.25">
      <c r="A500"/>
      <c r="B500"/>
      <c r="C500"/>
      <c r="D500"/>
      <c r="E500"/>
      <c r="F500"/>
      <c r="G500"/>
      <c r="H500"/>
      <c r="I500"/>
    </row>
    <row r="501" spans="1:9" x14ac:dyDescent="0.25">
      <c r="A501"/>
      <c r="B501"/>
      <c r="C501"/>
      <c r="D501"/>
      <c r="E501"/>
      <c r="F501"/>
      <c r="G501"/>
      <c r="H501"/>
      <c r="I501"/>
    </row>
    <row r="502" spans="1:9" x14ac:dyDescent="0.25">
      <c r="A502"/>
      <c r="B502"/>
      <c r="C502"/>
      <c r="D502"/>
      <c r="E502"/>
      <c r="F502"/>
      <c r="G502"/>
      <c r="H502"/>
      <c r="I502"/>
    </row>
    <row r="503" spans="1:9" x14ac:dyDescent="0.25">
      <c r="A503"/>
      <c r="B503"/>
      <c r="C503"/>
      <c r="D503"/>
      <c r="E503"/>
      <c r="F503"/>
      <c r="G503"/>
      <c r="H503"/>
      <c r="I503"/>
    </row>
    <row r="504" spans="1:9" x14ac:dyDescent="0.25">
      <c r="A504"/>
      <c r="B504"/>
      <c r="C504"/>
      <c r="D504"/>
      <c r="E504"/>
      <c r="F504"/>
      <c r="G504"/>
      <c r="H504"/>
      <c r="I504"/>
    </row>
    <row r="505" spans="1:9" x14ac:dyDescent="0.25">
      <c r="A505"/>
      <c r="B505"/>
      <c r="C505"/>
      <c r="D505"/>
      <c r="E505"/>
      <c r="F505"/>
      <c r="G505"/>
      <c r="H505"/>
      <c r="I505"/>
    </row>
    <row r="506" spans="1:9" x14ac:dyDescent="0.25">
      <c r="A506"/>
      <c r="B506"/>
      <c r="C506"/>
      <c r="D506"/>
      <c r="E506"/>
      <c r="F506"/>
      <c r="G506"/>
      <c r="H506"/>
      <c r="I506"/>
    </row>
    <row r="507" spans="1:9" x14ac:dyDescent="0.25">
      <c r="A507"/>
      <c r="B507"/>
      <c r="C507"/>
      <c r="D507"/>
      <c r="E507"/>
      <c r="F507"/>
      <c r="G507"/>
      <c r="H507"/>
      <c r="I507"/>
    </row>
    <row r="508" spans="1:9" x14ac:dyDescent="0.25">
      <c r="A508"/>
      <c r="B508"/>
      <c r="C508"/>
      <c r="D508"/>
      <c r="E508"/>
      <c r="F508"/>
      <c r="G508"/>
      <c r="H508"/>
      <c r="I508"/>
    </row>
    <row r="509" spans="1:9" x14ac:dyDescent="0.25">
      <c r="A509"/>
      <c r="B509"/>
      <c r="C509"/>
      <c r="D509"/>
      <c r="E509"/>
      <c r="F509"/>
      <c r="G509"/>
      <c r="H509"/>
      <c r="I509"/>
    </row>
    <row r="510" spans="1:9" x14ac:dyDescent="0.25">
      <c r="A510"/>
      <c r="B510"/>
      <c r="C510"/>
      <c r="D510"/>
      <c r="E510"/>
      <c r="F510"/>
      <c r="G510"/>
      <c r="H510"/>
      <c r="I510"/>
    </row>
    <row r="511" spans="1:9" x14ac:dyDescent="0.25">
      <c r="A511"/>
      <c r="B511"/>
      <c r="C511"/>
      <c r="D511"/>
      <c r="E511"/>
      <c r="F511"/>
      <c r="G511"/>
      <c r="H511"/>
      <c r="I511"/>
    </row>
    <row r="512" spans="1:9" x14ac:dyDescent="0.25">
      <c r="A512"/>
      <c r="B512"/>
      <c r="C512"/>
      <c r="D512"/>
      <c r="E512"/>
      <c r="F512"/>
      <c r="G512"/>
      <c r="H512"/>
      <c r="I512"/>
    </row>
    <row r="513" spans="1:9" x14ac:dyDescent="0.25">
      <c r="A513"/>
      <c r="B513"/>
      <c r="C513"/>
      <c r="D513"/>
      <c r="E513"/>
      <c r="F513"/>
      <c r="G513"/>
      <c r="H513"/>
      <c r="I513"/>
    </row>
    <row r="514" spans="1:9" x14ac:dyDescent="0.25">
      <c r="A514"/>
      <c r="B514"/>
      <c r="C514"/>
      <c r="D514"/>
      <c r="E514"/>
      <c r="F514"/>
      <c r="G514"/>
      <c r="H514"/>
      <c r="I514"/>
    </row>
    <row r="515" spans="1:9" x14ac:dyDescent="0.25">
      <c r="A515"/>
      <c r="B515"/>
      <c r="C515"/>
      <c r="D515"/>
      <c r="E515"/>
      <c r="F515"/>
      <c r="G515"/>
      <c r="H515"/>
      <c r="I515"/>
    </row>
    <row r="516" spans="1:9" x14ac:dyDescent="0.25">
      <c r="A516"/>
      <c r="B516"/>
      <c r="C516"/>
      <c r="D516"/>
      <c r="E516"/>
      <c r="F516"/>
      <c r="G516"/>
      <c r="H516"/>
      <c r="I516"/>
    </row>
    <row r="517" spans="1:9" x14ac:dyDescent="0.25">
      <c r="A517"/>
      <c r="B517"/>
      <c r="C517"/>
      <c r="D517"/>
      <c r="E517"/>
      <c r="F517"/>
      <c r="G517"/>
      <c r="H517"/>
      <c r="I517"/>
    </row>
    <row r="518" spans="1:9" x14ac:dyDescent="0.25">
      <c r="A518"/>
      <c r="B518"/>
      <c r="C518"/>
      <c r="D518"/>
      <c r="E518"/>
      <c r="F518"/>
      <c r="G518"/>
      <c r="H518"/>
      <c r="I518"/>
    </row>
    <row r="519" spans="1:9" x14ac:dyDescent="0.25">
      <c r="A519"/>
      <c r="B519"/>
      <c r="C519"/>
      <c r="D519"/>
      <c r="E519"/>
      <c r="F519"/>
      <c r="G519"/>
      <c r="H519"/>
      <c r="I519"/>
    </row>
    <row r="520" spans="1:9" x14ac:dyDescent="0.25">
      <c r="A520"/>
      <c r="B520"/>
      <c r="C520"/>
      <c r="D520"/>
      <c r="E520"/>
      <c r="F520"/>
      <c r="G520"/>
      <c r="H520"/>
      <c r="I520"/>
    </row>
    <row r="521" spans="1:9" x14ac:dyDescent="0.25">
      <c r="A521"/>
      <c r="B521"/>
      <c r="C521"/>
      <c r="D521"/>
      <c r="E521"/>
      <c r="F521"/>
      <c r="G521"/>
      <c r="H521"/>
      <c r="I521"/>
    </row>
    <row r="522" spans="1:9" x14ac:dyDescent="0.25">
      <c r="A522"/>
      <c r="B522"/>
      <c r="C522"/>
      <c r="D522"/>
      <c r="E522"/>
      <c r="F522"/>
      <c r="G522"/>
      <c r="H522"/>
      <c r="I522"/>
    </row>
    <row r="523" spans="1:9" x14ac:dyDescent="0.25">
      <c r="A523"/>
      <c r="B523"/>
      <c r="C523"/>
      <c r="D523"/>
      <c r="E523"/>
      <c r="F523"/>
      <c r="G523"/>
      <c r="H523"/>
      <c r="I523"/>
    </row>
    <row r="524" spans="1:9" x14ac:dyDescent="0.25">
      <c r="A524"/>
      <c r="B524"/>
      <c r="C524"/>
      <c r="D524"/>
      <c r="E524"/>
      <c r="F524"/>
      <c r="G524"/>
      <c r="H524"/>
      <c r="I524"/>
    </row>
    <row r="525" spans="1:9" x14ac:dyDescent="0.25">
      <c r="A525"/>
      <c r="B525"/>
      <c r="C525"/>
      <c r="D525"/>
      <c r="E525"/>
      <c r="F525"/>
      <c r="G525"/>
      <c r="H525"/>
      <c r="I525"/>
    </row>
    <row r="526" spans="1:9" x14ac:dyDescent="0.25">
      <c r="A526"/>
      <c r="B526"/>
      <c r="C526"/>
      <c r="D526"/>
      <c r="E526"/>
      <c r="F526"/>
      <c r="G526"/>
      <c r="H526"/>
      <c r="I526"/>
    </row>
    <row r="527" spans="1:9" x14ac:dyDescent="0.25">
      <c r="A527"/>
      <c r="B527"/>
      <c r="C527"/>
      <c r="D527"/>
      <c r="E527"/>
      <c r="F527"/>
      <c r="G527"/>
      <c r="H527"/>
      <c r="I527"/>
    </row>
    <row r="528" spans="1:9" x14ac:dyDescent="0.25">
      <c r="A528"/>
      <c r="B528"/>
      <c r="C528"/>
      <c r="D528"/>
      <c r="E528"/>
      <c r="F528"/>
      <c r="G528"/>
      <c r="H528"/>
      <c r="I528"/>
    </row>
    <row r="529" spans="1:9" x14ac:dyDescent="0.25">
      <c r="A529"/>
      <c r="B529"/>
      <c r="C529"/>
      <c r="D529"/>
      <c r="E529"/>
      <c r="F529"/>
      <c r="G529"/>
      <c r="H529"/>
      <c r="I529"/>
    </row>
    <row r="530" spans="1:9" x14ac:dyDescent="0.25">
      <c r="A530"/>
      <c r="B530"/>
      <c r="C530"/>
      <c r="D530"/>
      <c r="E530"/>
      <c r="F530"/>
      <c r="G530"/>
      <c r="H530"/>
      <c r="I530"/>
    </row>
    <row r="531" spans="1:9" x14ac:dyDescent="0.25">
      <c r="A531"/>
      <c r="B531"/>
      <c r="C531"/>
      <c r="D531"/>
      <c r="E531"/>
      <c r="F531"/>
      <c r="G531"/>
      <c r="H531"/>
      <c r="I531"/>
    </row>
    <row r="532" spans="1:9" x14ac:dyDescent="0.25">
      <c r="A532"/>
      <c r="B532"/>
      <c r="C532"/>
      <c r="D532"/>
      <c r="E532"/>
      <c r="F532"/>
      <c r="G532"/>
      <c r="H532"/>
      <c r="I532"/>
    </row>
    <row r="533" spans="1:9" x14ac:dyDescent="0.25">
      <c r="A533"/>
      <c r="B533"/>
      <c r="C533"/>
      <c r="D533"/>
      <c r="E533"/>
      <c r="F533"/>
      <c r="G533"/>
      <c r="H533"/>
      <c r="I533"/>
    </row>
    <row r="534" spans="1:9" x14ac:dyDescent="0.25">
      <c r="A534"/>
      <c r="B534"/>
      <c r="C534"/>
      <c r="D534"/>
      <c r="E534"/>
      <c r="F534"/>
      <c r="G534"/>
      <c r="H534"/>
      <c r="I534"/>
    </row>
    <row r="535" spans="1:9" x14ac:dyDescent="0.25">
      <c r="A535"/>
      <c r="B535"/>
      <c r="C535"/>
      <c r="D535"/>
      <c r="E535"/>
      <c r="F535"/>
      <c r="G535"/>
      <c r="H535"/>
      <c r="I535"/>
    </row>
    <row r="536" spans="1:9" x14ac:dyDescent="0.25">
      <c r="A536"/>
      <c r="B536"/>
      <c r="C536"/>
      <c r="D536"/>
      <c r="E536"/>
      <c r="F536"/>
      <c r="G536"/>
      <c r="H536"/>
      <c r="I536"/>
    </row>
    <row r="537" spans="1:9" x14ac:dyDescent="0.25">
      <c r="A537"/>
      <c r="B537"/>
      <c r="C537"/>
      <c r="D537"/>
      <c r="E537"/>
      <c r="F537"/>
      <c r="G537"/>
      <c r="H537"/>
      <c r="I537"/>
    </row>
    <row r="538" spans="1:9" x14ac:dyDescent="0.25">
      <c r="A538"/>
      <c r="B538"/>
      <c r="C538"/>
      <c r="D538"/>
      <c r="E538"/>
      <c r="F538"/>
      <c r="G538"/>
      <c r="H538"/>
      <c r="I538"/>
    </row>
    <row r="539" spans="1:9" x14ac:dyDescent="0.25">
      <c r="A539"/>
      <c r="B539"/>
      <c r="C539"/>
      <c r="D539"/>
      <c r="E539"/>
      <c r="F539"/>
      <c r="G539"/>
      <c r="H539"/>
      <c r="I539"/>
    </row>
    <row r="540" spans="1:9" x14ac:dyDescent="0.25">
      <c r="A540"/>
      <c r="B540"/>
      <c r="C540"/>
      <c r="D540"/>
      <c r="E540"/>
      <c r="F540"/>
      <c r="G540"/>
      <c r="H540"/>
      <c r="I540"/>
    </row>
    <row r="541" spans="1:9" x14ac:dyDescent="0.25">
      <c r="A541"/>
      <c r="B541"/>
      <c r="C541"/>
      <c r="D541"/>
      <c r="E541"/>
      <c r="F541"/>
      <c r="G541"/>
      <c r="H541"/>
      <c r="I541"/>
    </row>
    <row r="542" spans="1:9" x14ac:dyDescent="0.25">
      <c r="A542"/>
      <c r="B542"/>
      <c r="C542"/>
      <c r="D542"/>
      <c r="E542"/>
      <c r="F542"/>
      <c r="G542"/>
      <c r="H542"/>
      <c r="I542"/>
    </row>
    <row r="543" spans="1:9" x14ac:dyDescent="0.25">
      <c r="A543"/>
      <c r="B543"/>
      <c r="C543"/>
      <c r="D543"/>
      <c r="E543"/>
      <c r="F543"/>
      <c r="G543"/>
      <c r="H543"/>
      <c r="I543"/>
    </row>
    <row r="544" spans="1:9" x14ac:dyDescent="0.25">
      <c r="A544"/>
      <c r="B544"/>
      <c r="C544"/>
      <c r="D544"/>
      <c r="E544"/>
      <c r="F544"/>
      <c r="G544"/>
      <c r="H544"/>
      <c r="I544"/>
    </row>
    <row r="545" spans="1:9" x14ac:dyDescent="0.25">
      <c r="A545"/>
      <c r="B545"/>
      <c r="C545"/>
      <c r="D545"/>
      <c r="E545"/>
      <c r="F545"/>
      <c r="G545"/>
      <c r="H545"/>
      <c r="I545"/>
    </row>
    <row r="546" spans="1:9" x14ac:dyDescent="0.25">
      <c r="A546"/>
      <c r="B546"/>
      <c r="C546"/>
      <c r="D546"/>
      <c r="E546"/>
      <c r="F546"/>
      <c r="G546"/>
      <c r="H546"/>
      <c r="I546"/>
    </row>
    <row r="547" spans="1:9" x14ac:dyDescent="0.25">
      <c r="A547"/>
      <c r="B547"/>
      <c r="C547"/>
      <c r="D547"/>
      <c r="E547"/>
      <c r="F547"/>
      <c r="G547"/>
      <c r="H547"/>
      <c r="I547"/>
    </row>
    <row r="548" spans="1:9" x14ac:dyDescent="0.25">
      <c r="A548"/>
      <c r="B548"/>
      <c r="C548"/>
      <c r="D548"/>
      <c r="E548"/>
      <c r="F548"/>
      <c r="G548"/>
      <c r="H548"/>
      <c r="I548"/>
    </row>
    <row r="549" spans="1:9" x14ac:dyDescent="0.25">
      <c r="A549"/>
      <c r="B549"/>
      <c r="C549"/>
      <c r="D549"/>
      <c r="E549"/>
      <c r="F549"/>
      <c r="G549"/>
      <c r="H549"/>
      <c r="I549"/>
    </row>
    <row r="550" spans="1:9" x14ac:dyDescent="0.25">
      <c r="A550"/>
      <c r="B550"/>
      <c r="C550"/>
      <c r="D550"/>
      <c r="E550"/>
      <c r="F550"/>
      <c r="G550"/>
      <c r="H550"/>
      <c r="I550"/>
    </row>
    <row r="551" spans="1:9" x14ac:dyDescent="0.25">
      <c r="A551"/>
      <c r="B551"/>
      <c r="C551"/>
      <c r="D551"/>
      <c r="E551"/>
      <c r="F551"/>
      <c r="G551"/>
      <c r="H551"/>
      <c r="I551"/>
    </row>
    <row r="552" spans="1:9" x14ac:dyDescent="0.25">
      <c r="A552"/>
      <c r="B552"/>
      <c r="C552"/>
      <c r="D552"/>
      <c r="E552"/>
      <c r="F552"/>
      <c r="G552"/>
      <c r="H552"/>
      <c r="I552"/>
    </row>
    <row r="553" spans="1:9" x14ac:dyDescent="0.25">
      <c r="A553"/>
      <c r="B553"/>
      <c r="C553"/>
      <c r="D553"/>
      <c r="E553"/>
      <c r="F553"/>
      <c r="G553"/>
      <c r="H553"/>
      <c r="I553"/>
    </row>
    <row r="554" spans="1:9" x14ac:dyDescent="0.25">
      <c r="A554"/>
      <c r="B554"/>
      <c r="C554"/>
      <c r="D554"/>
      <c r="E554"/>
      <c r="F554"/>
      <c r="G554"/>
      <c r="H554"/>
      <c r="I554"/>
    </row>
    <row r="555" spans="1:9" x14ac:dyDescent="0.25">
      <c r="A555"/>
      <c r="B555"/>
      <c r="C555"/>
      <c r="D555"/>
      <c r="E555"/>
      <c r="F555"/>
      <c r="G555"/>
      <c r="H555"/>
      <c r="I555"/>
    </row>
    <row r="556" spans="1:9" x14ac:dyDescent="0.25">
      <c r="A556"/>
      <c r="B556"/>
      <c r="C556"/>
      <c r="D556"/>
      <c r="E556"/>
      <c r="F556"/>
      <c r="G556"/>
      <c r="H556"/>
      <c r="I556"/>
    </row>
    <row r="557" spans="1:9" x14ac:dyDescent="0.25">
      <c r="A557"/>
      <c r="B557"/>
      <c r="C557"/>
      <c r="D557"/>
      <c r="E557"/>
      <c r="F557"/>
      <c r="G557"/>
      <c r="H557"/>
      <c r="I557"/>
    </row>
    <row r="558" spans="1:9" x14ac:dyDescent="0.25">
      <c r="A558"/>
      <c r="B558"/>
      <c r="C558"/>
      <c r="D558"/>
      <c r="E558"/>
      <c r="F558"/>
      <c r="G558"/>
      <c r="H558"/>
      <c r="I558"/>
    </row>
    <row r="559" spans="1:9" x14ac:dyDescent="0.25">
      <c r="A559"/>
      <c r="B559"/>
      <c r="C559"/>
      <c r="D559"/>
      <c r="E559"/>
      <c r="F559"/>
      <c r="G559"/>
      <c r="H559"/>
      <c r="I559"/>
    </row>
    <row r="560" spans="1:9" x14ac:dyDescent="0.25">
      <c r="A560"/>
      <c r="B560"/>
      <c r="C560"/>
      <c r="D560"/>
      <c r="E560"/>
      <c r="F560"/>
      <c r="G560"/>
      <c r="H560"/>
      <c r="I560"/>
    </row>
    <row r="561" spans="1:9" x14ac:dyDescent="0.25">
      <c r="A561"/>
      <c r="B561"/>
      <c r="C561"/>
      <c r="D561"/>
      <c r="E561"/>
      <c r="F561"/>
      <c r="G561"/>
      <c r="H561"/>
      <c r="I561"/>
    </row>
    <row r="562" spans="1:9" x14ac:dyDescent="0.25">
      <c r="A562"/>
      <c r="B562"/>
      <c r="C562"/>
      <c r="D562"/>
      <c r="E562"/>
      <c r="F562"/>
      <c r="G562"/>
      <c r="H562"/>
      <c r="I562"/>
    </row>
    <row r="563" spans="1:9" x14ac:dyDescent="0.25">
      <c r="A563"/>
      <c r="B563"/>
      <c r="C563"/>
      <c r="D563"/>
      <c r="E563"/>
      <c r="F563"/>
      <c r="G563"/>
      <c r="H563"/>
      <c r="I563"/>
    </row>
    <row r="564" spans="1:9" x14ac:dyDescent="0.25">
      <c r="A564"/>
      <c r="B564"/>
      <c r="C564"/>
      <c r="D564"/>
      <c r="E564"/>
      <c r="F564"/>
      <c r="G564"/>
      <c r="H564"/>
      <c r="I564"/>
    </row>
    <row r="565" spans="1:9" x14ac:dyDescent="0.25">
      <c r="A565"/>
      <c r="B565"/>
      <c r="C565"/>
      <c r="D565"/>
      <c r="E565"/>
      <c r="F565"/>
      <c r="G565"/>
      <c r="H565"/>
      <c r="I565"/>
    </row>
    <row r="566" spans="1:9" x14ac:dyDescent="0.25">
      <c r="A566"/>
      <c r="B566"/>
      <c r="C566"/>
      <c r="D566"/>
      <c r="E566"/>
      <c r="F566"/>
      <c r="G566"/>
      <c r="H566"/>
      <c r="I566"/>
    </row>
    <row r="567" spans="1:9" x14ac:dyDescent="0.25">
      <c r="A567"/>
      <c r="B567"/>
      <c r="C567"/>
      <c r="D567"/>
      <c r="E567"/>
      <c r="F567"/>
      <c r="G567"/>
      <c r="H567"/>
      <c r="I567"/>
    </row>
    <row r="568" spans="1:9" x14ac:dyDescent="0.25">
      <c r="A568"/>
      <c r="B568"/>
      <c r="C568"/>
      <c r="D568"/>
      <c r="E568"/>
      <c r="F568"/>
      <c r="G568"/>
      <c r="H568"/>
      <c r="I568"/>
    </row>
    <row r="569" spans="1:9" x14ac:dyDescent="0.25">
      <c r="A569"/>
      <c r="B569"/>
      <c r="C569"/>
      <c r="D569"/>
      <c r="E569"/>
      <c r="F569"/>
      <c r="G569"/>
      <c r="H569"/>
      <c r="I569"/>
    </row>
    <row r="570" spans="1:9" x14ac:dyDescent="0.25">
      <c r="A570"/>
      <c r="B570"/>
      <c r="C570"/>
      <c r="D570"/>
      <c r="E570"/>
      <c r="F570"/>
      <c r="G570"/>
      <c r="H570"/>
      <c r="I570"/>
    </row>
    <row r="571" spans="1:9" x14ac:dyDescent="0.25">
      <c r="A571"/>
      <c r="B571"/>
      <c r="C571"/>
      <c r="D571"/>
      <c r="E571"/>
      <c r="F571"/>
      <c r="G571"/>
      <c r="H571"/>
      <c r="I571"/>
    </row>
    <row r="572" spans="1:9" x14ac:dyDescent="0.25">
      <c r="A572"/>
      <c r="B572"/>
      <c r="C572"/>
      <c r="D572"/>
      <c r="E572"/>
      <c r="F572"/>
      <c r="G572"/>
      <c r="H572"/>
      <c r="I572"/>
    </row>
    <row r="573" spans="1:9" x14ac:dyDescent="0.25">
      <c r="A573"/>
      <c r="B573"/>
      <c r="C573"/>
      <c r="D573"/>
      <c r="E573"/>
      <c r="F573"/>
      <c r="G573"/>
      <c r="H573"/>
      <c r="I573"/>
    </row>
    <row r="574" spans="1:9" x14ac:dyDescent="0.25">
      <c r="A574"/>
      <c r="B574"/>
      <c r="C574"/>
      <c r="D574"/>
      <c r="E574"/>
      <c r="F574"/>
      <c r="G574"/>
      <c r="H574"/>
      <c r="I574"/>
    </row>
    <row r="575" spans="1:9" x14ac:dyDescent="0.25">
      <c r="A575"/>
      <c r="B575"/>
      <c r="C575"/>
      <c r="D575"/>
      <c r="E575"/>
      <c r="F575"/>
      <c r="G575"/>
      <c r="H575"/>
      <c r="I575"/>
    </row>
    <row r="576" spans="1:9" x14ac:dyDescent="0.25">
      <c r="A576"/>
      <c r="B576"/>
      <c r="C576"/>
      <c r="D576"/>
      <c r="E576"/>
      <c r="F576"/>
      <c r="G576"/>
      <c r="H576"/>
      <c r="I576"/>
    </row>
    <row r="577" spans="1:9" x14ac:dyDescent="0.25">
      <c r="A577"/>
      <c r="B577"/>
      <c r="C577"/>
      <c r="D577"/>
      <c r="E577"/>
      <c r="F577"/>
      <c r="G577"/>
      <c r="H577"/>
      <c r="I577"/>
    </row>
    <row r="578" spans="1:9" x14ac:dyDescent="0.25">
      <c r="A578"/>
      <c r="B578"/>
      <c r="C578"/>
      <c r="D578"/>
      <c r="E578"/>
      <c r="F578"/>
      <c r="G578"/>
      <c r="H578"/>
      <c r="I578"/>
    </row>
    <row r="579" spans="1:9" x14ac:dyDescent="0.25">
      <c r="A579"/>
      <c r="B579"/>
      <c r="C579"/>
      <c r="D579"/>
      <c r="E579"/>
      <c r="F579"/>
      <c r="G579"/>
      <c r="H579"/>
      <c r="I579"/>
    </row>
    <row r="580" spans="1:9" x14ac:dyDescent="0.25">
      <c r="A580"/>
      <c r="B580"/>
      <c r="C580"/>
      <c r="D580"/>
      <c r="E580"/>
      <c r="F580"/>
      <c r="G580"/>
      <c r="H580"/>
      <c r="I580"/>
    </row>
    <row r="581" spans="1:9" x14ac:dyDescent="0.25">
      <c r="A581"/>
      <c r="B581"/>
      <c r="C581"/>
      <c r="D581"/>
      <c r="E581"/>
      <c r="F581"/>
      <c r="G581"/>
      <c r="H581"/>
      <c r="I581"/>
    </row>
    <row r="582" spans="1:9" x14ac:dyDescent="0.25">
      <c r="A582"/>
      <c r="B582"/>
      <c r="C582"/>
      <c r="D582"/>
      <c r="E582"/>
      <c r="F582"/>
      <c r="G582"/>
      <c r="H582"/>
      <c r="I582"/>
    </row>
    <row r="583" spans="1:9" x14ac:dyDescent="0.25">
      <c r="A583"/>
      <c r="B583"/>
      <c r="C583"/>
      <c r="D583"/>
      <c r="E583"/>
      <c r="F583"/>
      <c r="G583"/>
      <c r="H583"/>
      <c r="I583"/>
    </row>
    <row r="584" spans="1:9" x14ac:dyDescent="0.25">
      <c r="A584"/>
      <c r="B584"/>
      <c r="C584"/>
      <c r="D584"/>
      <c r="E584"/>
      <c r="F584"/>
      <c r="G584"/>
      <c r="H584"/>
      <c r="I584"/>
    </row>
    <row r="585" spans="1:9" x14ac:dyDescent="0.25">
      <c r="A585"/>
      <c r="B585"/>
      <c r="C585"/>
      <c r="D585"/>
      <c r="E585"/>
      <c r="F585"/>
      <c r="G585"/>
      <c r="H585"/>
      <c r="I585"/>
    </row>
    <row r="586" spans="1:9" x14ac:dyDescent="0.25">
      <c r="A586"/>
      <c r="B586"/>
      <c r="C586"/>
      <c r="D586"/>
      <c r="E586"/>
      <c r="F586"/>
      <c r="G586"/>
      <c r="H586"/>
      <c r="I586"/>
    </row>
    <row r="587" spans="1:9" x14ac:dyDescent="0.25">
      <c r="A587"/>
      <c r="B587"/>
      <c r="C587"/>
      <c r="D587"/>
      <c r="E587"/>
      <c r="F587"/>
      <c r="G587"/>
      <c r="H587"/>
      <c r="I587"/>
    </row>
    <row r="588" spans="1:9" x14ac:dyDescent="0.25">
      <c r="A588"/>
      <c r="B588"/>
      <c r="C588"/>
      <c r="D588"/>
      <c r="E588"/>
      <c r="F588"/>
      <c r="G588"/>
      <c r="H588"/>
      <c r="I588"/>
    </row>
    <row r="589" spans="1:9" x14ac:dyDescent="0.25">
      <c r="A589"/>
      <c r="B589"/>
      <c r="C589"/>
      <c r="D589"/>
      <c r="E589"/>
      <c r="F589"/>
      <c r="G589"/>
      <c r="H589"/>
      <c r="I589"/>
    </row>
    <row r="590" spans="1:9" x14ac:dyDescent="0.25">
      <c r="A590"/>
      <c r="B590"/>
      <c r="C590"/>
      <c r="D590"/>
      <c r="E590"/>
      <c r="F590"/>
      <c r="G590"/>
      <c r="H590"/>
      <c r="I590"/>
    </row>
    <row r="591" spans="1:9" x14ac:dyDescent="0.25">
      <c r="A591"/>
      <c r="B591"/>
      <c r="C591"/>
      <c r="D591"/>
      <c r="E591"/>
      <c r="F591"/>
      <c r="G591"/>
      <c r="H591"/>
      <c r="I591"/>
    </row>
    <row r="592" spans="1:9" x14ac:dyDescent="0.25">
      <c r="A592"/>
      <c r="B592"/>
      <c r="C592"/>
      <c r="D592"/>
      <c r="E592"/>
      <c r="F592"/>
      <c r="G592"/>
      <c r="H592"/>
      <c r="I592"/>
    </row>
    <row r="593" spans="1:9" x14ac:dyDescent="0.25">
      <c r="A593"/>
      <c r="B593"/>
      <c r="C593"/>
      <c r="D593"/>
      <c r="E593"/>
      <c r="F593"/>
      <c r="G593"/>
      <c r="H593"/>
      <c r="I593"/>
    </row>
    <row r="594" spans="1:9" x14ac:dyDescent="0.25">
      <c r="A594"/>
      <c r="B594"/>
      <c r="C594"/>
      <c r="D594"/>
      <c r="E594"/>
      <c r="F594"/>
      <c r="G594"/>
      <c r="H594"/>
      <c r="I594"/>
    </row>
    <row r="595" spans="1:9" x14ac:dyDescent="0.25">
      <c r="A595"/>
      <c r="B595"/>
      <c r="C595"/>
      <c r="D595"/>
      <c r="E595"/>
      <c r="F595"/>
      <c r="G595"/>
      <c r="H595"/>
      <c r="I595"/>
    </row>
    <row r="596" spans="1:9" x14ac:dyDescent="0.25">
      <c r="A596"/>
      <c r="B596"/>
      <c r="C596"/>
      <c r="D596"/>
      <c r="E596"/>
      <c r="F596"/>
      <c r="G596"/>
      <c r="H596"/>
      <c r="I596"/>
    </row>
    <row r="597" spans="1:9" x14ac:dyDescent="0.25">
      <c r="A597"/>
      <c r="B597"/>
      <c r="C597"/>
      <c r="D597"/>
      <c r="E597"/>
      <c r="F597"/>
      <c r="G597"/>
      <c r="H597"/>
      <c r="I597"/>
    </row>
    <row r="598" spans="1:9" x14ac:dyDescent="0.25">
      <c r="A598"/>
      <c r="B598"/>
      <c r="C598"/>
      <c r="D598"/>
      <c r="E598"/>
      <c r="F598"/>
      <c r="G598"/>
      <c r="H598"/>
      <c r="I598"/>
    </row>
    <row r="599" spans="1:9" x14ac:dyDescent="0.25">
      <c r="A599"/>
      <c r="B599"/>
      <c r="C599"/>
      <c r="D599"/>
      <c r="E599"/>
      <c r="F599"/>
      <c r="G599"/>
      <c r="H599"/>
      <c r="I599"/>
    </row>
    <row r="600" spans="1:9" x14ac:dyDescent="0.25">
      <c r="A600"/>
      <c r="B600"/>
      <c r="C600"/>
      <c r="D600"/>
      <c r="E600"/>
      <c r="F600"/>
      <c r="G600"/>
      <c r="H600"/>
      <c r="I600"/>
    </row>
    <row r="601" spans="1:9" x14ac:dyDescent="0.25">
      <c r="A601"/>
      <c r="B601"/>
      <c r="C601"/>
      <c r="D601"/>
      <c r="E601"/>
      <c r="F601"/>
      <c r="G601"/>
      <c r="H601"/>
      <c r="I601"/>
    </row>
    <row r="602" spans="1:9" x14ac:dyDescent="0.25">
      <c r="A602"/>
      <c r="B602"/>
      <c r="C602"/>
      <c r="D602"/>
      <c r="E602"/>
      <c r="F602"/>
      <c r="G602"/>
      <c r="H602"/>
      <c r="I602"/>
    </row>
    <row r="603" spans="1:9" x14ac:dyDescent="0.25">
      <c r="A603"/>
      <c r="B603"/>
      <c r="C603"/>
      <c r="D603"/>
      <c r="E603"/>
      <c r="F603"/>
      <c r="G603"/>
      <c r="H603"/>
      <c r="I603"/>
    </row>
    <row r="604" spans="1:9" x14ac:dyDescent="0.25">
      <c r="A604"/>
      <c r="B604"/>
      <c r="C604"/>
      <c r="D604"/>
      <c r="E604"/>
      <c r="F604"/>
      <c r="G604"/>
      <c r="H604"/>
      <c r="I604"/>
    </row>
    <row r="605" spans="1:9" x14ac:dyDescent="0.25">
      <c r="A605"/>
      <c r="B605"/>
      <c r="C605"/>
      <c r="D605"/>
      <c r="E605"/>
      <c r="F605"/>
      <c r="G605"/>
      <c r="H605"/>
      <c r="I605"/>
    </row>
    <row r="606" spans="1:9" x14ac:dyDescent="0.25">
      <c r="A606"/>
      <c r="B606"/>
      <c r="C606"/>
      <c r="D606"/>
      <c r="E606"/>
      <c r="F606"/>
      <c r="G606"/>
      <c r="H606"/>
      <c r="I606"/>
    </row>
    <row r="607" spans="1:9" x14ac:dyDescent="0.25">
      <c r="A607"/>
      <c r="B607"/>
      <c r="C607"/>
      <c r="D607"/>
      <c r="E607"/>
      <c r="F607"/>
      <c r="G607"/>
      <c r="H607"/>
      <c r="I607"/>
    </row>
    <row r="608" spans="1:9" x14ac:dyDescent="0.25">
      <c r="A608"/>
      <c r="B608"/>
      <c r="C608"/>
      <c r="D608"/>
      <c r="E608"/>
      <c r="F608"/>
      <c r="G608"/>
      <c r="H608"/>
      <c r="I608"/>
    </row>
    <row r="609" spans="1:9" x14ac:dyDescent="0.25">
      <c r="A609"/>
      <c r="B609"/>
      <c r="C609"/>
      <c r="D609"/>
      <c r="E609"/>
      <c r="F609"/>
      <c r="G609"/>
      <c r="H609"/>
      <c r="I609"/>
    </row>
    <row r="610" spans="1:9" x14ac:dyDescent="0.25">
      <c r="A610"/>
      <c r="B610"/>
      <c r="C610"/>
      <c r="D610"/>
      <c r="E610"/>
      <c r="F610"/>
      <c r="G610"/>
      <c r="H610"/>
      <c r="I610"/>
    </row>
    <row r="611" spans="1:9" x14ac:dyDescent="0.25">
      <c r="A611"/>
      <c r="B611"/>
      <c r="C611"/>
      <c r="D611"/>
      <c r="E611"/>
      <c r="F611"/>
      <c r="G611"/>
      <c r="H611"/>
      <c r="I611"/>
    </row>
    <row r="612" spans="1:9" x14ac:dyDescent="0.25">
      <c r="A612"/>
      <c r="B612"/>
      <c r="C612"/>
      <c r="D612"/>
      <c r="E612"/>
      <c r="F612"/>
      <c r="G612"/>
      <c r="H612"/>
      <c r="I612"/>
    </row>
    <row r="613" spans="1:9" x14ac:dyDescent="0.25">
      <c r="A613"/>
      <c r="B613"/>
      <c r="C613"/>
      <c r="D613"/>
      <c r="E613"/>
      <c r="F613"/>
      <c r="G613"/>
      <c r="H613"/>
      <c r="I613"/>
    </row>
    <row r="614" spans="1:9" x14ac:dyDescent="0.25">
      <c r="A614"/>
      <c r="B614"/>
      <c r="C614"/>
      <c r="D614"/>
      <c r="E614"/>
      <c r="F614"/>
      <c r="G614"/>
      <c r="H614"/>
      <c r="I614"/>
    </row>
    <row r="615" spans="1:9" x14ac:dyDescent="0.25">
      <c r="A615"/>
      <c r="B615"/>
      <c r="C615"/>
      <c r="D615"/>
      <c r="E615"/>
      <c r="F615"/>
      <c r="G615"/>
      <c r="H615"/>
      <c r="I615"/>
    </row>
    <row r="616" spans="1:9" x14ac:dyDescent="0.25">
      <c r="A616"/>
      <c r="B616"/>
      <c r="C616"/>
      <c r="D616"/>
      <c r="E616"/>
      <c r="F616"/>
      <c r="G616"/>
      <c r="H616"/>
      <c r="I616"/>
    </row>
    <row r="617" spans="1:9" x14ac:dyDescent="0.25">
      <c r="A617"/>
      <c r="B617"/>
      <c r="C617"/>
      <c r="D617"/>
      <c r="E617"/>
      <c r="F617"/>
      <c r="G617"/>
      <c r="H617"/>
      <c r="I617"/>
    </row>
    <row r="618" spans="1:9" x14ac:dyDescent="0.25">
      <c r="A618"/>
      <c r="B618"/>
      <c r="C618"/>
      <c r="D618"/>
      <c r="E618"/>
      <c r="F618"/>
      <c r="G618"/>
      <c r="H618"/>
      <c r="I618"/>
    </row>
    <row r="619" spans="1:9" x14ac:dyDescent="0.25">
      <c r="A619"/>
      <c r="B619"/>
      <c r="C619"/>
      <c r="D619"/>
      <c r="E619"/>
      <c r="F619"/>
      <c r="G619"/>
      <c r="H619"/>
      <c r="I619"/>
    </row>
    <row r="620" spans="1:9" x14ac:dyDescent="0.25">
      <c r="A620"/>
      <c r="B620"/>
      <c r="C620"/>
      <c r="D620"/>
      <c r="E620"/>
      <c r="F620"/>
      <c r="G620"/>
      <c r="H620"/>
      <c r="I620"/>
    </row>
    <row r="621" spans="1:9" x14ac:dyDescent="0.25">
      <c r="A621"/>
      <c r="B621"/>
      <c r="C621"/>
      <c r="D621"/>
      <c r="E621"/>
      <c r="F621"/>
      <c r="G621"/>
      <c r="H621"/>
      <c r="I621"/>
    </row>
    <row r="622" spans="1:9" x14ac:dyDescent="0.25">
      <c r="A622"/>
      <c r="B622"/>
      <c r="C622"/>
      <c r="D622"/>
      <c r="E622"/>
      <c r="F622"/>
      <c r="G622"/>
      <c r="H622"/>
      <c r="I622"/>
    </row>
    <row r="623" spans="1:9" x14ac:dyDescent="0.25">
      <c r="A623"/>
      <c r="B623"/>
      <c r="C623"/>
      <c r="D623"/>
      <c r="E623"/>
      <c r="F623"/>
      <c r="G623"/>
      <c r="H623"/>
      <c r="I623"/>
    </row>
    <row r="624" spans="1:9" x14ac:dyDescent="0.25">
      <c r="A624"/>
      <c r="B624"/>
      <c r="C624"/>
      <c r="D624"/>
      <c r="E624"/>
      <c r="F624"/>
      <c r="G624"/>
      <c r="H624"/>
      <c r="I624"/>
    </row>
    <row r="625" spans="1:9" x14ac:dyDescent="0.25">
      <c r="A625"/>
      <c r="B625"/>
      <c r="C625"/>
      <c r="D625"/>
      <c r="E625"/>
      <c r="F625"/>
      <c r="G625"/>
      <c r="H625"/>
      <c r="I625"/>
    </row>
    <row r="626" spans="1:9" x14ac:dyDescent="0.25">
      <c r="A626"/>
      <c r="B626"/>
      <c r="C626"/>
      <c r="D626"/>
      <c r="E626"/>
      <c r="F626"/>
      <c r="G626"/>
      <c r="H626"/>
      <c r="I626"/>
    </row>
    <row r="627" spans="1:9" x14ac:dyDescent="0.25">
      <c r="A627"/>
      <c r="B627"/>
      <c r="C627"/>
      <c r="D627"/>
      <c r="E627"/>
      <c r="F627"/>
      <c r="G627"/>
      <c r="H627"/>
      <c r="I627"/>
    </row>
    <row r="628" spans="1:9" x14ac:dyDescent="0.25">
      <c r="A628"/>
      <c r="B628"/>
      <c r="C628"/>
      <c r="D628"/>
      <c r="E628"/>
      <c r="F628"/>
      <c r="G628"/>
      <c r="H628"/>
      <c r="I628"/>
    </row>
    <row r="629" spans="1:9" x14ac:dyDescent="0.25">
      <c r="A629"/>
      <c r="B629"/>
      <c r="C629"/>
      <c r="D629"/>
      <c r="E629"/>
      <c r="F629"/>
      <c r="G629"/>
      <c r="H629"/>
      <c r="I629"/>
    </row>
    <row r="630" spans="1:9" x14ac:dyDescent="0.25">
      <c r="A630"/>
      <c r="B630"/>
      <c r="C630"/>
      <c r="D630"/>
      <c r="E630"/>
      <c r="F630"/>
      <c r="G630"/>
      <c r="H630"/>
      <c r="I630"/>
    </row>
    <row r="631" spans="1:9" x14ac:dyDescent="0.25">
      <c r="A631"/>
      <c r="B631"/>
      <c r="C631"/>
      <c r="D631"/>
      <c r="E631"/>
      <c r="F631"/>
      <c r="G631"/>
      <c r="H631"/>
      <c r="I631"/>
    </row>
    <row r="632" spans="1:9" x14ac:dyDescent="0.25">
      <c r="A632"/>
      <c r="B632"/>
      <c r="C632"/>
      <c r="D632"/>
      <c r="E632"/>
      <c r="F632"/>
      <c r="G632"/>
      <c r="H632"/>
      <c r="I632"/>
    </row>
    <row r="633" spans="1:9" x14ac:dyDescent="0.25">
      <c r="A633"/>
      <c r="B633"/>
      <c r="C633"/>
      <c r="D633"/>
      <c r="E633"/>
      <c r="F633"/>
      <c r="G633"/>
      <c r="H633"/>
      <c r="I633"/>
    </row>
    <row r="634" spans="1:9" x14ac:dyDescent="0.25">
      <c r="A634"/>
      <c r="B634"/>
      <c r="C634"/>
      <c r="D634"/>
      <c r="E634"/>
      <c r="F634"/>
      <c r="G634"/>
      <c r="H634"/>
      <c r="I634"/>
    </row>
    <row r="635" spans="1:9" x14ac:dyDescent="0.25">
      <c r="A635"/>
      <c r="B635"/>
      <c r="C635"/>
      <c r="D635"/>
      <c r="E635"/>
      <c r="F635"/>
      <c r="G635"/>
      <c r="H635"/>
      <c r="I635"/>
    </row>
    <row r="636" spans="1:9" x14ac:dyDescent="0.25">
      <c r="A636"/>
      <c r="B636"/>
      <c r="C636"/>
      <c r="D636"/>
      <c r="E636"/>
      <c r="F636"/>
      <c r="G636"/>
      <c r="H636"/>
      <c r="I636"/>
    </row>
    <row r="637" spans="1:9" x14ac:dyDescent="0.25">
      <c r="A637"/>
      <c r="B637"/>
      <c r="C637"/>
      <c r="D637"/>
      <c r="E637"/>
      <c r="F637"/>
      <c r="G637"/>
      <c r="H637"/>
      <c r="I637"/>
    </row>
    <row r="638" spans="1:9" x14ac:dyDescent="0.25">
      <c r="A638"/>
      <c r="B638"/>
      <c r="C638"/>
      <c r="D638"/>
      <c r="E638"/>
      <c r="F638"/>
      <c r="G638"/>
      <c r="H638"/>
      <c r="I638"/>
    </row>
    <row r="639" spans="1:9" x14ac:dyDescent="0.25">
      <c r="A639"/>
      <c r="B639"/>
      <c r="C639"/>
      <c r="D639"/>
      <c r="E639"/>
      <c r="F639"/>
      <c r="G639"/>
      <c r="H639"/>
      <c r="I639"/>
    </row>
    <row r="640" spans="1:9" x14ac:dyDescent="0.25">
      <c r="A640"/>
      <c r="B640"/>
      <c r="C640"/>
      <c r="D640"/>
      <c r="E640"/>
      <c r="F640"/>
      <c r="G640"/>
      <c r="H640"/>
      <c r="I640"/>
    </row>
    <row r="641" spans="1:9" x14ac:dyDescent="0.25">
      <c r="A641"/>
      <c r="B641"/>
      <c r="C641"/>
      <c r="D641"/>
      <c r="E641"/>
      <c r="F641"/>
      <c r="G641"/>
      <c r="H641"/>
      <c r="I641"/>
    </row>
    <row r="642" spans="1:9" x14ac:dyDescent="0.25">
      <c r="A642"/>
      <c r="B642"/>
      <c r="C642"/>
      <c r="D642"/>
      <c r="E642"/>
      <c r="F642"/>
      <c r="G642"/>
      <c r="H642"/>
      <c r="I642"/>
    </row>
    <row r="643" spans="1:9" x14ac:dyDescent="0.25">
      <c r="A643"/>
      <c r="B643"/>
      <c r="C643"/>
      <c r="D643"/>
      <c r="E643"/>
      <c r="F643"/>
      <c r="G643"/>
      <c r="H643"/>
      <c r="I643"/>
    </row>
    <row r="644" spans="1:9" x14ac:dyDescent="0.25">
      <c r="A644"/>
      <c r="B644"/>
      <c r="C644"/>
      <c r="D644"/>
      <c r="E644"/>
      <c r="F644"/>
      <c r="G644"/>
      <c r="H644"/>
      <c r="I644"/>
    </row>
    <row r="645" spans="1:9" x14ac:dyDescent="0.25">
      <c r="A645"/>
      <c r="B645"/>
      <c r="C645"/>
      <c r="D645"/>
      <c r="E645"/>
      <c r="F645"/>
      <c r="G645"/>
      <c r="H645"/>
      <c r="I645"/>
    </row>
    <row r="646" spans="1:9" x14ac:dyDescent="0.25">
      <c r="A646"/>
      <c r="B646"/>
      <c r="C646"/>
      <c r="D646"/>
      <c r="E646"/>
      <c r="F646"/>
      <c r="G646"/>
      <c r="H646"/>
      <c r="I646"/>
    </row>
    <row r="647" spans="1:9" x14ac:dyDescent="0.25">
      <c r="A647"/>
      <c r="B647"/>
      <c r="C647"/>
      <c r="D647"/>
      <c r="E647"/>
      <c r="F647"/>
      <c r="G647"/>
      <c r="H647"/>
      <c r="I647"/>
    </row>
    <row r="648" spans="1:9" x14ac:dyDescent="0.25">
      <c r="A648"/>
      <c r="B648"/>
      <c r="C648"/>
      <c r="D648"/>
      <c r="E648"/>
      <c r="F648"/>
      <c r="G648"/>
      <c r="H648"/>
      <c r="I648"/>
    </row>
    <row r="649" spans="1:9" x14ac:dyDescent="0.25">
      <c r="A649"/>
      <c r="B649"/>
      <c r="C649"/>
      <c r="D649"/>
      <c r="E649"/>
      <c r="F649"/>
      <c r="G649"/>
      <c r="H649"/>
      <c r="I649"/>
    </row>
    <row r="650" spans="1:9" x14ac:dyDescent="0.25">
      <c r="A650"/>
      <c r="B650"/>
      <c r="C650"/>
      <c r="D650"/>
      <c r="E650"/>
      <c r="F650"/>
      <c r="G650"/>
      <c r="H650"/>
      <c r="I650"/>
    </row>
    <row r="651" spans="1:9" x14ac:dyDescent="0.25">
      <c r="A651"/>
      <c r="B651"/>
      <c r="C651"/>
      <c r="D651"/>
      <c r="E651"/>
      <c r="F651"/>
      <c r="G651"/>
      <c r="H651"/>
      <c r="I651"/>
    </row>
    <row r="652" spans="1:9" x14ac:dyDescent="0.25">
      <c r="A652"/>
      <c r="B652"/>
      <c r="C652"/>
      <c r="D652"/>
      <c r="E652"/>
      <c r="F652"/>
      <c r="G652"/>
      <c r="H652"/>
      <c r="I652"/>
    </row>
    <row r="653" spans="1:9" x14ac:dyDescent="0.25">
      <c r="A653"/>
      <c r="B653"/>
      <c r="C653"/>
      <c r="D653"/>
      <c r="E653"/>
      <c r="F653"/>
      <c r="G653"/>
      <c r="H653"/>
      <c r="I653"/>
    </row>
    <row r="654" spans="1:9" x14ac:dyDescent="0.25">
      <c r="A654"/>
      <c r="B654"/>
      <c r="C654"/>
      <c r="D654"/>
      <c r="E654"/>
      <c r="F654"/>
      <c r="G654"/>
      <c r="H654"/>
      <c r="I654"/>
    </row>
    <row r="655" spans="1:9" x14ac:dyDescent="0.25">
      <c r="A655"/>
      <c r="B655"/>
      <c r="C655"/>
      <c r="D655"/>
      <c r="E655"/>
      <c r="F655"/>
      <c r="G655"/>
      <c r="H655"/>
      <c r="I655"/>
    </row>
    <row r="656" spans="1:9" x14ac:dyDescent="0.25">
      <c r="A656"/>
      <c r="B656"/>
      <c r="C656"/>
      <c r="D656"/>
      <c r="E656"/>
      <c r="F656"/>
      <c r="G656"/>
      <c r="H656"/>
      <c r="I656"/>
    </row>
    <row r="657" spans="1:9" x14ac:dyDescent="0.25">
      <c r="A657"/>
      <c r="B657"/>
      <c r="C657"/>
      <c r="D657"/>
      <c r="E657"/>
      <c r="F657"/>
      <c r="G657"/>
      <c r="H657"/>
      <c r="I657"/>
    </row>
    <row r="658" spans="1:9" x14ac:dyDescent="0.25">
      <c r="A658"/>
      <c r="B658"/>
      <c r="C658"/>
      <c r="D658"/>
      <c r="E658"/>
      <c r="F658"/>
      <c r="G658"/>
      <c r="H658"/>
      <c r="I658"/>
    </row>
    <row r="659" spans="1:9" x14ac:dyDescent="0.25">
      <c r="A659"/>
      <c r="B659"/>
      <c r="C659"/>
      <c r="D659"/>
      <c r="E659"/>
      <c r="F659"/>
      <c r="G659"/>
      <c r="H659"/>
      <c r="I659"/>
    </row>
    <row r="660" spans="1:9" x14ac:dyDescent="0.25">
      <c r="A660"/>
      <c r="B660"/>
      <c r="C660"/>
      <c r="D660"/>
      <c r="E660"/>
      <c r="F660"/>
      <c r="G660"/>
      <c r="H660"/>
      <c r="I660"/>
    </row>
    <row r="661" spans="1:9" x14ac:dyDescent="0.25">
      <c r="A661"/>
      <c r="B661"/>
      <c r="C661"/>
      <c r="D661"/>
      <c r="E661"/>
      <c r="F661"/>
      <c r="G661"/>
      <c r="H661"/>
      <c r="I661"/>
    </row>
    <row r="662" spans="1:9" x14ac:dyDescent="0.25">
      <c r="A662"/>
      <c r="B662"/>
      <c r="C662"/>
      <c r="D662"/>
      <c r="E662"/>
      <c r="F662"/>
      <c r="G662"/>
      <c r="H662"/>
      <c r="I662"/>
    </row>
    <row r="663" spans="1:9" x14ac:dyDescent="0.25">
      <c r="A663"/>
      <c r="B663"/>
      <c r="C663"/>
      <c r="D663"/>
      <c r="E663"/>
      <c r="F663"/>
      <c r="G663"/>
      <c r="H663"/>
      <c r="I663"/>
    </row>
    <row r="664" spans="1:9" x14ac:dyDescent="0.25">
      <c r="A664"/>
      <c r="B664"/>
      <c r="C664"/>
      <c r="D664"/>
      <c r="E664"/>
      <c r="F664"/>
      <c r="G664"/>
      <c r="H664"/>
      <c r="I664"/>
    </row>
    <row r="665" spans="1:9" x14ac:dyDescent="0.25">
      <c r="A665"/>
      <c r="B665"/>
      <c r="C665"/>
      <c r="D665"/>
      <c r="E665"/>
      <c r="F665"/>
      <c r="G665"/>
      <c r="H665"/>
      <c r="I665"/>
    </row>
    <row r="666" spans="1:9" x14ac:dyDescent="0.25">
      <c r="A666"/>
      <c r="B666"/>
      <c r="C666"/>
      <c r="D666"/>
      <c r="E666"/>
      <c r="F666"/>
      <c r="G666"/>
      <c r="H666"/>
      <c r="I666"/>
    </row>
    <row r="667" spans="1:9" x14ac:dyDescent="0.25">
      <c r="A667"/>
      <c r="B667"/>
      <c r="C667"/>
      <c r="D667"/>
      <c r="E667"/>
      <c r="F667"/>
      <c r="G667"/>
      <c r="H667"/>
      <c r="I667"/>
    </row>
    <row r="668" spans="1:9" x14ac:dyDescent="0.25">
      <c r="A668"/>
      <c r="B668"/>
      <c r="C668"/>
      <c r="D668"/>
      <c r="E668"/>
      <c r="F668"/>
      <c r="G668"/>
      <c r="H668"/>
      <c r="I668"/>
    </row>
    <row r="669" spans="1:9" x14ac:dyDescent="0.25">
      <c r="A669"/>
      <c r="B669"/>
      <c r="C669"/>
      <c r="D669"/>
      <c r="E669"/>
      <c r="F669"/>
      <c r="G669"/>
      <c r="H669"/>
      <c r="I669"/>
    </row>
    <row r="670" spans="1:9" x14ac:dyDescent="0.25">
      <c r="A670"/>
      <c r="B670"/>
      <c r="C670"/>
      <c r="D670"/>
      <c r="E670"/>
      <c r="F670"/>
      <c r="G670"/>
      <c r="H670"/>
      <c r="I670"/>
    </row>
    <row r="671" spans="1:9" x14ac:dyDescent="0.25">
      <c r="A671"/>
      <c r="B671"/>
      <c r="C671"/>
      <c r="D671"/>
      <c r="E671"/>
      <c r="F671"/>
      <c r="G671"/>
      <c r="H671"/>
      <c r="I671"/>
    </row>
    <row r="672" spans="1:9" x14ac:dyDescent="0.25">
      <c r="A672"/>
      <c r="B672"/>
      <c r="C672"/>
      <c r="D672"/>
      <c r="E672"/>
      <c r="F672"/>
      <c r="G672"/>
      <c r="H672"/>
      <c r="I672"/>
    </row>
    <row r="673" spans="1:9" x14ac:dyDescent="0.25">
      <c r="A673"/>
      <c r="B673"/>
      <c r="C673"/>
      <c r="D673"/>
      <c r="E673"/>
      <c r="F673"/>
      <c r="G673"/>
      <c r="H673"/>
      <c r="I673"/>
    </row>
    <row r="674" spans="1:9" x14ac:dyDescent="0.25">
      <c r="A674"/>
      <c r="B674"/>
      <c r="C674"/>
      <c r="D674"/>
      <c r="E674"/>
      <c r="F674"/>
      <c r="G674"/>
      <c r="H674"/>
      <c r="I674"/>
    </row>
    <row r="675" spans="1:9" x14ac:dyDescent="0.25">
      <c r="A675"/>
      <c r="B675"/>
      <c r="C675"/>
      <c r="D675"/>
      <c r="E675"/>
      <c r="F675"/>
      <c r="G675"/>
      <c r="H675"/>
      <c r="I675"/>
    </row>
    <row r="676" spans="1:9" x14ac:dyDescent="0.25">
      <c r="A676"/>
      <c r="B676"/>
      <c r="C676"/>
      <c r="D676"/>
      <c r="E676"/>
      <c r="F676"/>
      <c r="G676"/>
      <c r="H676"/>
      <c r="I676"/>
    </row>
    <row r="677" spans="1:9" x14ac:dyDescent="0.25">
      <c r="A677"/>
      <c r="B677"/>
      <c r="C677"/>
      <c r="D677"/>
      <c r="E677"/>
      <c r="F677"/>
      <c r="G677"/>
      <c r="H677"/>
      <c r="I677"/>
    </row>
    <row r="678" spans="1:9" x14ac:dyDescent="0.25">
      <c r="A678"/>
      <c r="B678"/>
      <c r="C678"/>
      <c r="D678"/>
      <c r="E678"/>
      <c r="F678"/>
      <c r="G678"/>
      <c r="H678"/>
      <c r="I678"/>
    </row>
    <row r="679" spans="1:9" x14ac:dyDescent="0.25">
      <c r="A679"/>
      <c r="B679"/>
      <c r="C679"/>
      <c r="D679"/>
      <c r="E679"/>
      <c r="F679"/>
      <c r="G679"/>
      <c r="H679"/>
      <c r="I679"/>
    </row>
    <row r="680" spans="1:9" x14ac:dyDescent="0.25">
      <c r="A680"/>
      <c r="B680"/>
      <c r="C680"/>
      <c r="D680"/>
      <c r="E680"/>
      <c r="F680"/>
      <c r="G680"/>
      <c r="H680"/>
      <c r="I680"/>
    </row>
    <row r="681" spans="1:9" x14ac:dyDescent="0.25">
      <c r="A681"/>
      <c r="B681"/>
      <c r="C681"/>
      <c r="D681"/>
      <c r="E681"/>
      <c r="F681"/>
      <c r="G681"/>
      <c r="H681"/>
      <c r="I681"/>
    </row>
    <row r="682" spans="1:9" x14ac:dyDescent="0.25">
      <c r="A682"/>
      <c r="B682"/>
      <c r="C682"/>
      <c r="D682"/>
      <c r="E682"/>
      <c r="F682"/>
      <c r="G682"/>
      <c r="H682"/>
      <c r="I682"/>
    </row>
    <row r="683" spans="1:9" x14ac:dyDescent="0.25">
      <c r="A683"/>
      <c r="B683"/>
      <c r="C683"/>
      <c r="D683"/>
      <c r="E683"/>
      <c r="F683"/>
      <c r="G683"/>
      <c r="H683"/>
      <c r="I683"/>
    </row>
    <row r="684" spans="1:9" x14ac:dyDescent="0.25">
      <c r="A684"/>
      <c r="B684"/>
      <c r="C684"/>
      <c r="D684"/>
      <c r="E684"/>
      <c r="F684"/>
      <c r="G684"/>
      <c r="H684"/>
      <c r="I684"/>
    </row>
    <row r="685" spans="1:9" x14ac:dyDescent="0.25">
      <c r="A685"/>
      <c r="B685"/>
      <c r="C685"/>
      <c r="D685"/>
      <c r="E685"/>
      <c r="F685"/>
      <c r="G685"/>
      <c r="H685"/>
      <c r="I685"/>
    </row>
    <row r="686" spans="1:9" x14ac:dyDescent="0.25">
      <c r="A686"/>
      <c r="B686"/>
      <c r="C686"/>
      <c r="D686"/>
      <c r="E686"/>
      <c r="F686"/>
      <c r="G686"/>
      <c r="H686"/>
      <c r="I686"/>
    </row>
    <row r="687" spans="1:9" x14ac:dyDescent="0.25">
      <c r="A687"/>
      <c r="B687"/>
      <c r="C687"/>
      <c r="D687"/>
      <c r="E687"/>
      <c r="F687"/>
      <c r="G687"/>
      <c r="H687"/>
      <c r="I687"/>
    </row>
    <row r="688" spans="1:9" x14ac:dyDescent="0.25">
      <c r="A688"/>
      <c r="B688"/>
      <c r="C688"/>
      <c r="D688"/>
      <c r="E688"/>
      <c r="F688"/>
      <c r="G688"/>
      <c r="H688"/>
      <c r="I688"/>
    </row>
    <row r="689" spans="1:9" x14ac:dyDescent="0.25">
      <c r="A689"/>
      <c r="B689"/>
      <c r="C689"/>
      <c r="D689"/>
      <c r="E689"/>
      <c r="F689"/>
      <c r="G689"/>
      <c r="H689"/>
      <c r="I689"/>
    </row>
    <row r="690" spans="1:9" x14ac:dyDescent="0.25">
      <c r="A690"/>
      <c r="B690"/>
      <c r="C690"/>
      <c r="D690"/>
      <c r="E690"/>
      <c r="F690"/>
      <c r="G690"/>
      <c r="H690"/>
      <c r="I690"/>
    </row>
    <row r="691" spans="1:9" x14ac:dyDescent="0.25">
      <c r="A691"/>
      <c r="B691"/>
      <c r="C691"/>
      <c r="D691"/>
      <c r="E691"/>
      <c r="F691"/>
      <c r="G691"/>
      <c r="H691"/>
      <c r="I691"/>
    </row>
    <row r="692" spans="1:9" x14ac:dyDescent="0.25">
      <c r="A692"/>
      <c r="B692"/>
      <c r="C692"/>
      <c r="D692"/>
      <c r="E692"/>
      <c r="F692"/>
      <c r="G692"/>
      <c r="H692"/>
      <c r="I692"/>
    </row>
    <row r="693" spans="1:9" x14ac:dyDescent="0.25">
      <c r="A693"/>
      <c r="B693"/>
      <c r="C693"/>
      <c r="D693"/>
      <c r="E693"/>
      <c r="F693"/>
      <c r="G693"/>
      <c r="H693"/>
      <c r="I693"/>
    </row>
    <row r="694" spans="1:9" x14ac:dyDescent="0.25">
      <c r="A694"/>
      <c r="B694"/>
      <c r="C694"/>
      <c r="D694"/>
      <c r="E694"/>
      <c r="F694"/>
      <c r="G694"/>
      <c r="H694"/>
      <c r="I694"/>
    </row>
    <row r="695" spans="1:9" x14ac:dyDescent="0.25">
      <c r="A695"/>
      <c r="B695"/>
      <c r="C695"/>
      <c r="D695"/>
      <c r="E695"/>
      <c r="F695"/>
      <c r="G695"/>
      <c r="H695"/>
      <c r="I695"/>
    </row>
    <row r="696" spans="1:9" x14ac:dyDescent="0.25">
      <c r="A696"/>
      <c r="B696"/>
      <c r="C696"/>
      <c r="D696"/>
      <c r="E696"/>
      <c r="F696"/>
      <c r="G696"/>
      <c r="H696"/>
      <c r="I696"/>
    </row>
    <row r="697" spans="1:9" x14ac:dyDescent="0.25">
      <c r="A697"/>
      <c r="B697"/>
      <c r="C697"/>
      <c r="D697"/>
      <c r="E697"/>
      <c r="F697"/>
      <c r="G697"/>
      <c r="H697"/>
      <c r="I697"/>
    </row>
    <row r="698" spans="1:9" x14ac:dyDescent="0.25">
      <c r="A698"/>
      <c r="B698"/>
      <c r="C698"/>
      <c r="D698"/>
      <c r="E698"/>
      <c r="F698"/>
      <c r="G698"/>
      <c r="H698"/>
      <c r="I698"/>
    </row>
    <row r="699" spans="1:9" x14ac:dyDescent="0.25">
      <c r="A699"/>
      <c r="B699"/>
      <c r="C699"/>
      <c r="D699"/>
      <c r="E699"/>
      <c r="F699"/>
      <c r="G699"/>
      <c r="H699"/>
      <c r="I699"/>
    </row>
    <row r="700" spans="1:9" x14ac:dyDescent="0.25">
      <c r="A700"/>
      <c r="B700"/>
      <c r="C700"/>
      <c r="D700"/>
      <c r="E700"/>
      <c r="F700"/>
      <c r="G700"/>
      <c r="H700"/>
      <c r="I700"/>
    </row>
    <row r="701" spans="1:9" x14ac:dyDescent="0.25">
      <c r="A701"/>
      <c r="B701"/>
      <c r="C701"/>
      <c r="D701"/>
      <c r="E701"/>
      <c r="F701"/>
      <c r="G701"/>
      <c r="H701"/>
      <c r="I701"/>
    </row>
    <row r="702" spans="1:9" x14ac:dyDescent="0.25">
      <c r="A702"/>
      <c r="B702"/>
      <c r="C702"/>
      <c r="D702"/>
      <c r="E702"/>
      <c r="F702"/>
      <c r="G702"/>
      <c r="H702"/>
      <c r="I702"/>
    </row>
    <row r="703" spans="1:9" x14ac:dyDescent="0.25">
      <c r="A703"/>
      <c r="B703"/>
      <c r="C703"/>
      <c r="D703"/>
      <c r="E703"/>
      <c r="F703"/>
      <c r="G703"/>
      <c r="H703"/>
      <c r="I703"/>
    </row>
    <row r="704" spans="1:9" x14ac:dyDescent="0.25">
      <c r="A704"/>
      <c r="B704"/>
      <c r="C704"/>
      <c r="D704"/>
      <c r="E704"/>
      <c r="F704"/>
      <c r="G704"/>
      <c r="H704"/>
      <c r="I704"/>
    </row>
    <row r="705" spans="1:9" x14ac:dyDescent="0.25">
      <c r="A705"/>
      <c r="B705"/>
      <c r="C705"/>
      <c r="D705"/>
      <c r="E705"/>
      <c r="F705"/>
      <c r="G705"/>
      <c r="H705"/>
      <c r="I705"/>
    </row>
    <row r="706" spans="1:9" x14ac:dyDescent="0.25">
      <c r="A706"/>
      <c r="B706"/>
      <c r="C706"/>
      <c r="D706"/>
      <c r="E706"/>
      <c r="F706"/>
      <c r="G706"/>
      <c r="H706"/>
      <c r="I706"/>
    </row>
    <row r="707" spans="1:9" x14ac:dyDescent="0.25">
      <c r="A707"/>
      <c r="B707"/>
      <c r="C707"/>
      <c r="D707"/>
      <c r="E707"/>
      <c r="F707"/>
      <c r="G707"/>
      <c r="H707"/>
      <c r="I707"/>
    </row>
    <row r="708" spans="1:9" x14ac:dyDescent="0.25">
      <c r="A708"/>
      <c r="B708"/>
      <c r="C708"/>
      <c r="D708"/>
      <c r="E708"/>
      <c r="F708"/>
      <c r="G708"/>
      <c r="H708"/>
      <c r="I708"/>
    </row>
    <row r="709" spans="1:9" x14ac:dyDescent="0.25">
      <c r="A709"/>
      <c r="B709"/>
      <c r="C709"/>
      <c r="D709"/>
      <c r="E709"/>
      <c r="F709"/>
      <c r="G709"/>
      <c r="H709"/>
      <c r="I709"/>
    </row>
    <row r="710" spans="1:9" x14ac:dyDescent="0.25">
      <c r="A710"/>
      <c r="B710"/>
      <c r="C710"/>
      <c r="D710"/>
      <c r="E710"/>
      <c r="F710"/>
      <c r="G710"/>
      <c r="H710"/>
      <c r="I710"/>
    </row>
    <row r="711" spans="1:9" x14ac:dyDescent="0.25">
      <c r="A711"/>
      <c r="B711"/>
      <c r="C711"/>
      <c r="D711"/>
      <c r="E711"/>
      <c r="F711"/>
      <c r="G711"/>
      <c r="H711"/>
      <c r="I711"/>
    </row>
    <row r="712" spans="1:9" x14ac:dyDescent="0.25">
      <c r="A712"/>
      <c r="B712"/>
      <c r="C712"/>
      <c r="D712"/>
      <c r="E712"/>
      <c r="F712"/>
      <c r="G712"/>
      <c r="H712"/>
      <c r="I712"/>
    </row>
    <row r="713" spans="1:9" x14ac:dyDescent="0.25">
      <c r="A713"/>
      <c r="B713"/>
      <c r="C713"/>
      <c r="D713"/>
      <c r="E713"/>
      <c r="F713"/>
      <c r="G713"/>
      <c r="H713"/>
      <c r="I713"/>
    </row>
    <row r="714" spans="1:9" x14ac:dyDescent="0.25">
      <c r="A714"/>
      <c r="B714"/>
      <c r="C714"/>
      <c r="D714"/>
      <c r="E714"/>
      <c r="F714"/>
      <c r="G714"/>
      <c r="H714"/>
      <c r="I714"/>
    </row>
    <row r="715" spans="1:9" x14ac:dyDescent="0.25">
      <c r="A715"/>
      <c r="B715"/>
      <c r="C715"/>
      <c r="D715"/>
      <c r="E715"/>
      <c r="F715"/>
      <c r="G715"/>
      <c r="H715"/>
      <c r="I715"/>
    </row>
    <row r="716" spans="1:9" x14ac:dyDescent="0.25">
      <c r="A716"/>
      <c r="B716"/>
      <c r="C716"/>
      <c r="D716"/>
      <c r="E716"/>
      <c r="F716"/>
      <c r="G716"/>
      <c r="H716"/>
      <c r="I716"/>
    </row>
    <row r="717" spans="1:9" x14ac:dyDescent="0.25">
      <c r="A717"/>
      <c r="B717"/>
      <c r="C717"/>
      <c r="D717"/>
      <c r="E717"/>
      <c r="F717"/>
      <c r="G717"/>
      <c r="H717"/>
      <c r="I717"/>
    </row>
    <row r="718" spans="1:9" x14ac:dyDescent="0.25">
      <c r="A718"/>
      <c r="B718"/>
      <c r="C718"/>
      <c r="D718"/>
      <c r="E718"/>
      <c r="F718"/>
      <c r="G718"/>
      <c r="H718"/>
      <c r="I718"/>
    </row>
    <row r="719" spans="1:9" x14ac:dyDescent="0.25">
      <c r="A719"/>
      <c r="B719"/>
      <c r="C719"/>
      <c r="D719"/>
      <c r="E719"/>
      <c r="F719"/>
      <c r="G719"/>
      <c r="H719"/>
      <c r="I719"/>
    </row>
    <row r="720" spans="1:9" x14ac:dyDescent="0.25">
      <c r="A720"/>
      <c r="B720"/>
      <c r="C720"/>
      <c r="D720"/>
      <c r="E720"/>
      <c r="F720"/>
      <c r="G720"/>
      <c r="H720"/>
      <c r="I720"/>
    </row>
    <row r="721" spans="1:9" x14ac:dyDescent="0.25">
      <c r="A721"/>
      <c r="B721"/>
      <c r="C721"/>
      <c r="D721"/>
      <c r="E721"/>
      <c r="F721"/>
      <c r="G721"/>
      <c r="H721"/>
      <c r="I721"/>
    </row>
    <row r="722" spans="1:9" x14ac:dyDescent="0.25">
      <c r="A722"/>
      <c r="B722"/>
      <c r="C722"/>
      <c r="D722"/>
      <c r="E722"/>
      <c r="F722"/>
      <c r="G722"/>
      <c r="H722"/>
      <c r="I722"/>
    </row>
    <row r="723" spans="1:9" x14ac:dyDescent="0.25">
      <c r="A723"/>
      <c r="B723"/>
      <c r="C723"/>
      <c r="D723"/>
      <c r="E723"/>
      <c r="F723"/>
      <c r="G723"/>
      <c r="H723"/>
      <c r="I723"/>
    </row>
    <row r="724" spans="1:9" x14ac:dyDescent="0.25">
      <c r="A724"/>
      <c r="B724"/>
      <c r="C724"/>
      <c r="D724"/>
      <c r="E724"/>
      <c r="F724"/>
      <c r="G724"/>
      <c r="H724"/>
      <c r="I724"/>
    </row>
    <row r="725" spans="1:9" x14ac:dyDescent="0.25">
      <c r="A725"/>
      <c r="B725"/>
      <c r="C725"/>
      <c r="D725"/>
      <c r="E725"/>
      <c r="F725"/>
      <c r="G725"/>
      <c r="H725"/>
      <c r="I725"/>
    </row>
    <row r="726" spans="1:9" x14ac:dyDescent="0.25">
      <c r="A726"/>
      <c r="B726"/>
      <c r="C726"/>
      <c r="D726"/>
      <c r="E726"/>
      <c r="F726"/>
      <c r="G726"/>
      <c r="H726"/>
      <c r="I726"/>
    </row>
    <row r="727" spans="1:9" x14ac:dyDescent="0.25">
      <c r="A727"/>
      <c r="B727"/>
      <c r="C727"/>
      <c r="D727"/>
      <c r="E727"/>
      <c r="F727"/>
      <c r="G727"/>
      <c r="H727"/>
      <c r="I727"/>
    </row>
    <row r="728" spans="1:9" x14ac:dyDescent="0.25">
      <c r="A728"/>
      <c r="B728"/>
      <c r="C728"/>
      <c r="D728"/>
      <c r="E728"/>
      <c r="F728"/>
      <c r="G728"/>
      <c r="H728"/>
      <c r="I728"/>
    </row>
    <row r="729" spans="1:9" x14ac:dyDescent="0.25">
      <c r="A729"/>
      <c r="B729"/>
      <c r="C729"/>
      <c r="D729"/>
      <c r="E729"/>
      <c r="F729"/>
      <c r="G729"/>
      <c r="H729"/>
      <c r="I729"/>
    </row>
    <row r="730" spans="1:9" x14ac:dyDescent="0.25">
      <c r="A730"/>
      <c r="B730"/>
      <c r="C730"/>
      <c r="D730"/>
      <c r="E730"/>
      <c r="F730"/>
      <c r="G730"/>
      <c r="H730"/>
      <c r="I730"/>
    </row>
    <row r="731" spans="1:9" x14ac:dyDescent="0.25">
      <c r="A731"/>
      <c r="B731"/>
      <c r="C731"/>
      <c r="D731"/>
      <c r="E731"/>
      <c r="F731"/>
      <c r="G731"/>
      <c r="H731"/>
      <c r="I731"/>
    </row>
    <row r="732" spans="1:9" x14ac:dyDescent="0.25">
      <c r="A732"/>
      <c r="B732"/>
      <c r="C732"/>
      <c r="D732"/>
      <c r="E732"/>
      <c r="F732"/>
      <c r="G732"/>
      <c r="H732"/>
      <c r="I732"/>
    </row>
    <row r="733" spans="1:9" x14ac:dyDescent="0.25">
      <c r="A733"/>
      <c r="B733"/>
      <c r="C733"/>
      <c r="D733"/>
      <c r="E733"/>
      <c r="F733"/>
      <c r="G733"/>
      <c r="H733"/>
      <c r="I733"/>
    </row>
    <row r="734" spans="1:9" x14ac:dyDescent="0.25">
      <c r="A734"/>
      <c r="B734"/>
      <c r="C734"/>
      <c r="D734"/>
      <c r="E734"/>
      <c r="F734"/>
      <c r="G734"/>
      <c r="H734"/>
      <c r="I734"/>
    </row>
    <row r="735" spans="1:9" x14ac:dyDescent="0.25">
      <c r="A735"/>
      <c r="B735"/>
      <c r="C735"/>
      <c r="D735"/>
      <c r="E735"/>
      <c r="F735"/>
      <c r="G735"/>
      <c r="H735"/>
      <c r="I735"/>
    </row>
    <row r="736" spans="1:9" x14ac:dyDescent="0.25">
      <c r="A736"/>
      <c r="B736"/>
      <c r="C736"/>
      <c r="D736"/>
      <c r="E736"/>
      <c r="F736"/>
      <c r="G736"/>
      <c r="H736"/>
      <c r="I736"/>
    </row>
    <row r="737" spans="1:9" x14ac:dyDescent="0.25">
      <c r="A737"/>
      <c r="B737"/>
      <c r="C737"/>
      <c r="D737"/>
      <c r="E737"/>
      <c r="F737"/>
      <c r="G737"/>
      <c r="H737"/>
      <c r="I737"/>
    </row>
    <row r="738" spans="1:9" x14ac:dyDescent="0.25">
      <c r="A738"/>
      <c r="B738"/>
      <c r="C738"/>
      <c r="D738"/>
      <c r="E738"/>
      <c r="F738"/>
      <c r="G738"/>
      <c r="H738"/>
      <c r="I738"/>
    </row>
    <row r="739" spans="1:9" x14ac:dyDescent="0.25">
      <c r="A739"/>
      <c r="B739"/>
      <c r="C739"/>
      <c r="D739"/>
      <c r="E739"/>
      <c r="F739"/>
      <c r="G739"/>
      <c r="H739"/>
      <c r="I739"/>
    </row>
    <row r="740" spans="1:9" x14ac:dyDescent="0.25">
      <c r="A740"/>
      <c r="B740"/>
      <c r="C740"/>
      <c r="D740"/>
      <c r="E740"/>
      <c r="F740"/>
      <c r="G740"/>
      <c r="H740"/>
      <c r="I740"/>
    </row>
    <row r="741" spans="1:9" x14ac:dyDescent="0.25">
      <c r="A741"/>
      <c r="B741"/>
      <c r="C741"/>
      <c r="D741"/>
      <c r="E741"/>
      <c r="F741"/>
      <c r="G741"/>
      <c r="H741"/>
      <c r="I741"/>
    </row>
    <row r="742" spans="1:9" x14ac:dyDescent="0.25">
      <c r="A742"/>
      <c r="B742"/>
      <c r="C742"/>
      <c r="D742"/>
      <c r="E742"/>
      <c r="F742"/>
      <c r="G742"/>
      <c r="H742"/>
      <c r="I742"/>
    </row>
    <row r="743" spans="1:9" x14ac:dyDescent="0.25">
      <c r="A743"/>
      <c r="B743"/>
      <c r="C743"/>
      <c r="D743"/>
      <c r="E743"/>
      <c r="F743"/>
      <c r="G743"/>
      <c r="H743"/>
      <c r="I743"/>
    </row>
    <row r="744" spans="1:9" x14ac:dyDescent="0.25">
      <c r="A744"/>
      <c r="B744"/>
      <c r="C744"/>
      <c r="D744"/>
      <c r="E744"/>
      <c r="F744"/>
      <c r="G744"/>
      <c r="H744"/>
      <c r="I744"/>
    </row>
    <row r="745" spans="1:9" x14ac:dyDescent="0.25">
      <c r="A745"/>
      <c r="B745"/>
      <c r="C745"/>
      <c r="D745"/>
      <c r="E745"/>
      <c r="F745"/>
      <c r="G745"/>
      <c r="H745"/>
      <c r="I745"/>
    </row>
    <row r="746" spans="1:9" x14ac:dyDescent="0.25">
      <c r="A746"/>
      <c r="B746"/>
      <c r="C746"/>
      <c r="D746"/>
      <c r="E746"/>
      <c r="F746"/>
      <c r="G746"/>
      <c r="H746"/>
      <c r="I746"/>
    </row>
    <row r="747" spans="1:9" x14ac:dyDescent="0.25">
      <c r="A747"/>
      <c r="B747"/>
      <c r="C747"/>
      <c r="D747"/>
      <c r="E747"/>
      <c r="F747"/>
      <c r="G747"/>
      <c r="H747"/>
      <c r="I747"/>
    </row>
    <row r="748" spans="1:9" x14ac:dyDescent="0.25">
      <c r="A748"/>
      <c r="B748"/>
      <c r="C748"/>
      <c r="D748"/>
      <c r="E748"/>
      <c r="F748"/>
      <c r="G748"/>
      <c r="H748"/>
      <c r="I748"/>
    </row>
    <row r="749" spans="1:9" x14ac:dyDescent="0.25">
      <c r="A749"/>
      <c r="B749"/>
      <c r="C749"/>
      <c r="D749"/>
      <c r="E749"/>
      <c r="F749"/>
      <c r="G749"/>
      <c r="H749"/>
      <c r="I749"/>
    </row>
    <row r="750" spans="1:9" x14ac:dyDescent="0.25">
      <c r="A750"/>
      <c r="B750"/>
      <c r="C750"/>
      <c r="D750"/>
      <c r="E750"/>
      <c r="F750"/>
      <c r="G750"/>
      <c r="H750"/>
      <c r="I750"/>
    </row>
    <row r="751" spans="1:9" x14ac:dyDescent="0.25">
      <c r="A751"/>
      <c r="B751"/>
      <c r="C751"/>
      <c r="D751"/>
      <c r="E751"/>
      <c r="F751"/>
      <c r="G751"/>
      <c r="H751"/>
      <c r="I751"/>
    </row>
    <row r="752" spans="1:9" x14ac:dyDescent="0.25">
      <c r="A752"/>
      <c r="B752"/>
      <c r="C752"/>
      <c r="D752"/>
      <c r="E752"/>
      <c r="F752"/>
      <c r="G752"/>
      <c r="H752"/>
      <c r="I752"/>
    </row>
    <row r="753" spans="1:9" x14ac:dyDescent="0.25">
      <c r="A753"/>
      <c r="B753"/>
      <c r="C753"/>
      <c r="D753"/>
      <c r="E753"/>
      <c r="F753"/>
      <c r="G753"/>
      <c r="H753"/>
      <c r="I753"/>
    </row>
    <row r="754" spans="1:9" x14ac:dyDescent="0.25">
      <c r="A754"/>
      <c r="B754"/>
      <c r="C754"/>
      <c r="D754"/>
      <c r="E754"/>
      <c r="F754"/>
      <c r="G754"/>
      <c r="H754"/>
      <c r="I754"/>
    </row>
    <row r="755" spans="1:9" x14ac:dyDescent="0.25">
      <c r="A755"/>
      <c r="B755"/>
      <c r="C755"/>
      <c r="D755"/>
      <c r="E755"/>
      <c r="F755"/>
      <c r="G755"/>
      <c r="H755"/>
      <c r="I755"/>
    </row>
    <row r="756" spans="1:9" x14ac:dyDescent="0.25">
      <c r="A756"/>
      <c r="B756"/>
      <c r="C756"/>
      <c r="D756"/>
      <c r="E756"/>
      <c r="F756"/>
      <c r="G756"/>
      <c r="H756"/>
      <c r="I756"/>
    </row>
    <row r="757" spans="1:9" x14ac:dyDescent="0.25">
      <c r="A757"/>
      <c r="B757"/>
      <c r="C757"/>
      <c r="D757"/>
      <c r="E757"/>
      <c r="F757"/>
      <c r="G757"/>
      <c r="H757"/>
      <c r="I757"/>
    </row>
    <row r="758" spans="1:9" x14ac:dyDescent="0.25">
      <c r="A758"/>
      <c r="B758"/>
      <c r="C758"/>
      <c r="D758"/>
      <c r="E758"/>
      <c r="F758"/>
      <c r="G758"/>
      <c r="H758"/>
      <c r="I758"/>
    </row>
    <row r="759" spans="1:9" x14ac:dyDescent="0.25">
      <c r="A759"/>
      <c r="B759"/>
      <c r="C759"/>
      <c r="D759"/>
      <c r="E759"/>
      <c r="F759"/>
      <c r="G759"/>
      <c r="H759"/>
      <c r="I759"/>
    </row>
    <row r="760" spans="1:9" x14ac:dyDescent="0.25">
      <c r="A760"/>
      <c r="B760"/>
      <c r="C760"/>
      <c r="D760"/>
      <c r="E760"/>
      <c r="F760"/>
      <c r="G760"/>
      <c r="H760"/>
      <c r="I760"/>
    </row>
    <row r="761" spans="1:9" x14ac:dyDescent="0.25">
      <c r="A761"/>
      <c r="B761"/>
      <c r="C761"/>
      <c r="D761"/>
      <c r="E761"/>
      <c r="F761"/>
      <c r="G761"/>
      <c r="H761"/>
      <c r="I761"/>
    </row>
    <row r="762" spans="1:9" x14ac:dyDescent="0.25">
      <c r="A762"/>
      <c r="B762"/>
      <c r="C762"/>
      <c r="D762"/>
      <c r="E762"/>
      <c r="F762"/>
      <c r="G762"/>
      <c r="H762"/>
      <c r="I762"/>
    </row>
    <row r="763" spans="1:9" x14ac:dyDescent="0.25">
      <c r="A763"/>
      <c r="B763"/>
      <c r="C763"/>
      <c r="D763"/>
      <c r="E763"/>
      <c r="F763"/>
      <c r="G763"/>
      <c r="H763"/>
      <c r="I763"/>
    </row>
    <row r="764" spans="1:9" x14ac:dyDescent="0.25">
      <c r="A764"/>
      <c r="B764"/>
      <c r="C764"/>
      <c r="D764"/>
      <c r="E764"/>
      <c r="F764"/>
      <c r="G764"/>
      <c r="H764"/>
      <c r="I764"/>
    </row>
    <row r="765" spans="1:9" x14ac:dyDescent="0.25">
      <c r="A765"/>
      <c r="B765"/>
      <c r="C765"/>
      <c r="D765"/>
      <c r="E765"/>
      <c r="F765"/>
      <c r="G765"/>
      <c r="H765"/>
      <c r="I765"/>
    </row>
    <row r="766" spans="1:9" x14ac:dyDescent="0.25">
      <c r="A766"/>
      <c r="B766"/>
      <c r="C766"/>
      <c r="D766"/>
      <c r="E766"/>
      <c r="F766"/>
      <c r="G766"/>
      <c r="H766"/>
      <c r="I766"/>
    </row>
    <row r="767" spans="1:9" x14ac:dyDescent="0.25">
      <c r="A767"/>
      <c r="B767"/>
      <c r="C767"/>
      <c r="D767"/>
      <c r="E767"/>
      <c r="F767"/>
      <c r="G767"/>
      <c r="H767"/>
      <c r="I767"/>
    </row>
    <row r="768" spans="1:9" x14ac:dyDescent="0.25">
      <c r="A768"/>
      <c r="B768"/>
      <c r="C768"/>
      <c r="D768"/>
      <c r="E768"/>
      <c r="F768"/>
      <c r="G768"/>
      <c r="H768"/>
      <c r="I768"/>
    </row>
    <row r="769" spans="1:9" x14ac:dyDescent="0.25">
      <c r="A769"/>
      <c r="B769"/>
      <c r="C769"/>
      <c r="D769"/>
      <c r="E769"/>
      <c r="F769"/>
      <c r="G769"/>
      <c r="H769"/>
      <c r="I769"/>
    </row>
    <row r="770" spans="1:9" x14ac:dyDescent="0.25">
      <c r="A770"/>
      <c r="B770"/>
      <c r="C770"/>
      <c r="D770"/>
      <c r="E770"/>
      <c r="F770"/>
      <c r="G770"/>
      <c r="H770"/>
      <c r="I770"/>
    </row>
    <row r="771" spans="1:9" x14ac:dyDescent="0.25">
      <c r="A771"/>
      <c r="B771"/>
      <c r="C771"/>
      <c r="D771"/>
      <c r="E771"/>
      <c r="F771"/>
      <c r="G771"/>
      <c r="H771"/>
      <c r="I771"/>
    </row>
    <row r="772" spans="1:9" x14ac:dyDescent="0.25">
      <c r="A772"/>
      <c r="B772"/>
      <c r="C772"/>
      <c r="D772"/>
      <c r="E772"/>
      <c r="F772"/>
      <c r="G772"/>
      <c r="H772"/>
      <c r="I772"/>
    </row>
    <row r="773" spans="1:9" x14ac:dyDescent="0.25">
      <c r="A773"/>
      <c r="B773"/>
      <c r="C773"/>
      <c r="D773"/>
      <c r="E773"/>
      <c r="F773"/>
      <c r="G773"/>
      <c r="H773"/>
      <c r="I773"/>
    </row>
    <row r="774" spans="1:9" x14ac:dyDescent="0.25">
      <c r="A774"/>
      <c r="B774"/>
      <c r="C774"/>
      <c r="D774"/>
      <c r="E774"/>
      <c r="F774"/>
      <c r="G774"/>
      <c r="H774"/>
      <c r="I774"/>
    </row>
    <row r="775" spans="1:9" x14ac:dyDescent="0.25">
      <c r="A775"/>
      <c r="B775"/>
      <c r="C775"/>
      <c r="D775"/>
      <c r="E775"/>
      <c r="F775"/>
      <c r="G775"/>
      <c r="H775"/>
      <c r="I775"/>
    </row>
    <row r="776" spans="1:9" x14ac:dyDescent="0.25">
      <c r="A776"/>
      <c r="B776"/>
      <c r="C776"/>
      <c r="D776"/>
      <c r="E776"/>
      <c r="F776"/>
      <c r="G776"/>
      <c r="H776"/>
      <c r="I776"/>
    </row>
    <row r="777" spans="1:9" x14ac:dyDescent="0.25">
      <c r="A777"/>
      <c r="B777"/>
      <c r="C777"/>
      <c r="D777"/>
      <c r="E777"/>
      <c r="F777"/>
      <c r="G777"/>
      <c r="H777"/>
      <c r="I777"/>
    </row>
    <row r="778" spans="1:9" x14ac:dyDescent="0.25">
      <c r="A778"/>
      <c r="B778"/>
      <c r="C778"/>
      <c r="D778"/>
      <c r="E778"/>
      <c r="F778"/>
      <c r="G778"/>
      <c r="H778"/>
      <c r="I778"/>
    </row>
    <row r="779" spans="1:9" x14ac:dyDescent="0.25">
      <c r="A779"/>
      <c r="B779"/>
      <c r="C779"/>
      <c r="D779"/>
      <c r="E779"/>
      <c r="F779"/>
      <c r="G779"/>
      <c r="H779"/>
      <c r="I779"/>
    </row>
    <row r="780" spans="1:9" x14ac:dyDescent="0.25">
      <c r="A780"/>
      <c r="B780"/>
      <c r="C780"/>
      <c r="D780"/>
      <c r="E780"/>
      <c r="F780"/>
      <c r="G780"/>
      <c r="H780"/>
      <c r="I780"/>
    </row>
    <row r="781" spans="1:9" x14ac:dyDescent="0.25">
      <c r="A781"/>
      <c r="B781"/>
      <c r="C781"/>
      <c r="D781"/>
      <c r="E781"/>
      <c r="F781"/>
      <c r="G781"/>
      <c r="H781"/>
      <c r="I781"/>
    </row>
    <row r="782" spans="1:9" x14ac:dyDescent="0.25">
      <c r="A782"/>
      <c r="B782"/>
      <c r="C782"/>
      <c r="D782"/>
      <c r="E782"/>
      <c r="F782"/>
      <c r="G782"/>
      <c r="H782"/>
      <c r="I782"/>
    </row>
    <row r="783" spans="1:9" x14ac:dyDescent="0.25">
      <c r="A783"/>
      <c r="B783"/>
      <c r="C783"/>
      <c r="D783"/>
      <c r="E783"/>
      <c r="F783"/>
      <c r="G783"/>
      <c r="H783"/>
      <c r="I783"/>
    </row>
    <row r="784" spans="1:9" x14ac:dyDescent="0.25">
      <c r="A784"/>
      <c r="B784"/>
      <c r="C784"/>
      <c r="D784"/>
      <c r="E784"/>
      <c r="F784"/>
      <c r="G784"/>
      <c r="H784"/>
      <c r="I784"/>
    </row>
    <row r="785" spans="1:9" x14ac:dyDescent="0.25">
      <c r="A785"/>
      <c r="B785"/>
      <c r="C785"/>
      <c r="D785"/>
      <c r="E785"/>
      <c r="F785"/>
      <c r="G785"/>
      <c r="H785"/>
      <c r="I785"/>
    </row>
    <row r="786" spans="1:9" x14ac:dyDescent="0.25">
      <c r="A786"/>
      <c r="B786"/>
      <c r="C786"/>
      <c r="D786"/>
      <c r="E786"/>
      <c r="F786"/>
      <c r="G786"/>
      <c r="H786"/>
      <c r="I786"/>
    </row>
    <row r="787" spans="1:9" x14ac:dyDescent="0.25">
      <c r="A787"/>
      <c r="B787"/>
      <c r="C787"/>
      <c r="D787"/>
      <c r="E787"/>
      <c r="F787"/>
      <c r="G787"/>
      <c r="H787"/>
      <c r="I787"/>
    </row>
    <row r="788" spans="1:9" x14ac:dyDescent="0.25">
      <c r="A788"/>
      <c r="B788"/>
      <c r="C788"/>
      <c r="D788"/>
      <c r="E788"/>
      <c r="F788"/>
      <c r="G788"/>
      <c r="H788"/>
      <c r="I788"/>
    </row>
    <row r="789" spans="1:9" x14ac:dyDescent="0.25">
      <c r="A789"/>
      <c r="B789"/>
      <c r="C789"/>
      <c r="D789"/>
      <c r="E789"/>
      <c r="F789"/>
      <c r="G789"/>
      <c r="H789"/>
      <c r="I789"/>
    </row>
    <row r="790" spans="1:9" x14ac:dyDescent="0.25">
      <c r="A790"/>
      <c r="B790"/>
      <c r="C790"/>
      <c r="D790"/>
      <c r="E790"/>
      <c r="F790"/>
      <c r="G790"/>
      <c r="H790"/>
      <c r="I790"/>
    </row>
    <row r="791" spans="1:9" x14ac:dyDescent="0.25">
      <c r="A791"/>
      <c r="B791"/>
      <c r="C791"/>
      <c r="D791"/>
      <c r="E791"/>
      <c r="F791"/>
      <c r="G791"/>
      <c r="H791"/>
      <c r="I791"/>
    </row>
    <row r="792" spans="1:9" x14ac:dyDescent="0.25">
      <c r="A792"/>
      <c r="B792"/>
      <c r="C792"/>
      <c r="D792"/>
      <c r="E792"/>
      <c r="F792"/>
      <c r="G792"/>
      <c r="H792"/>
      <c r="I792"/>
    </row>
    <row r="793" spans="1:9" x14ac:dyDescent="0.25">
      <c r="A793"/>
      <c r="B793"/>
      <c r="C793"/>
      <c r="D793"/>
      <c r="E793"/>
      <c r="F793"/>
      <c r="G793"/>
      <c r="H793"/>
      <c r="I793"/>
    </row>
    <row r="794" spans="1:9" x14ac:dyDescent="0.25">
      <c r="A794"/>
      <c r="B794"/>
      <c r="C794"/>
      <c r="D794"/>
      <c r="E794"/>
      <c r="F794"/>
      <c r="G794"/>
      <c r="H794"/>
      <c r="I794"/>
    </row>
    <row r="795" spans="1:9" x14ac:dyDescent="0.25">
      <c r="A795"/>
      <c r="B795"/>
      <c r="C795"/>
      <c r="D795"/>
      <c r="E795"/>
      <c r="F795"/>
      <c r="G795"/>
      <c r="H795"/>
      <c r="I795"/>
    </row>
    <row r="796" spans="1:9" x14ac:dyDescent="0.25">
      <c r="A796"/>
      <c r="B796"/>
      <c r="C796"/>
      <c r="D796"/>
      <c r="E796"/>
      <c r="F796"/>
      <c r="G796"/>
      <c r="H796"/>
      <c r="I796"/>
    </row>
    <row r="797" spans="1:9" x14ac:dyDescent="0.25">
      <c r="A797"/>
      <c r="B797"/>
      <c r="C797"/>
      <c r="D797"/>
      <c r="E797"/>
      <c r="F797"/>
      <c r="G797"/>
      <c r="H797"/>
      <c r="I797"/>
    </row>
    <row r="798" spans="1:9" x14ac:dyDescent="0.25">
      <c r="A798"/>
      <c r="B798"/>
      <c r="C798"/>
      <c r="D798"/>
      <c r="E798"/>
      <c r="F798"/>
      <c r="G798"/>
      <c r="H798"/>
      <c r="I798"/>
    </row>
    <row r="799" spans="1:9" x14ac:dyDescent="0.25">
      <c r="A799"/>
      <c r="B799"/>
      <c r="C799"/>
      <c r="D799"/>
      <c r="E799"/>
      <c r="F799"/>
      <c r="G799"/>
      <c r="H799"/>
      <c r="I799"/>
    </row>
    <row r="800" spans="1:9" x14ac:dyDescent="0.25">
      <c r="A800"/>
      <c r="B800"/>
      <c r="C800"/>
      <c r="D800"/>
      <c r="E800"/>
      <c r="F800"/>
      <c r="G800"/>
      <c r="H800"/>
      <c r="I800"/>
    </row>
    <row r="801" spans="1:9" x14ac:dyDescent="0.25">
      <c r="A801"/>
      <c r="B801"/>
      <c r="C801"/>
      <c r="D801"/>
      <c r="E801"/>
      <c r="F801"/>
      <c r="G801"/>
      <c r="H801"/>
      <c r="I801"/>
    </row>
    <row r="802" spans="1:9" x14ac:dyDescent="0.25">
      <c r="A802"/>
      <c r="B802"/>
      <c r="C802"/>
      <c r="D802"/>
      <c r="E802"/>
      <c r="F802"/>
      <c r="G802"/>
      <c r="H802"/>
      <c r="I802"/>
    </row>
    <row r="803" spans="1:9" x14ac:dyDescent="0.25">
      <c r="A803"/>
      <c r="B803"/>
      <c r="C803"/>
      <c r="D803"/>
      <c r="E803"/>
      <c r="F803"/>
      <c r="G803"/>
      <c r="H803"/>
      <c r="I803"/>
    </row>
    <row r="804" spans="1:9" x14ac:dyDescent="0.25">
      <c r="A804"/>
      <c r="B804"/>
      <c r="C804"/>
      <c r="D804"/>
      <c r="E804"/>
      <c r="F804"/>
      <c r="G804"/>
      <c r="H804"/>
      <c r="I804"/>
    </row>
    <row r="805" spans="1:9" x14ac:dyDescent="0.25">
      <c r="A805"/>
      <c r="B805"/>
      <c r="C805"/>
      <c r="D805"/>
      <c r="E805"/>
      <c r="F805"/>
      <c r="G805"/>
      <c r="H805"/>
      <c r="I805"/>
    </row>
    <row r="806" spans="1:9" x14ac:dyDescent="0.25">
      <c r="A806"/>
      <c r="B806"/>
      <c r="C806"/>
      <c r="D806"/>
      <c r="E806"/>
      <c r="F806"/>
      <c r="G806"/>
      <c r="H806"/>
      <c r="I806"/>
    </row>
    <row r="807" spans="1:9" x14ac:dyDescent="0.25">
      <c r="A807"/>
      <c r="B807"/>
      <c r="C807"/>
      <c r="D807"/>
      <c r="E807"/>
      <c r="F807"/>
      <c r="G807"/>
      <c r="H807"/>
      <c r="I807"/>
    </row>
    <row r="808" spans="1:9" x14ac:dyDescent="0.25">
      <c r="A808"/>
      <c r="B808"/>
      <c r="C808"/>
      <c r="D808"/>
      <c r="E808"/>
      <c r="F808"/>
      <c r="G808"/>
      <c r="H808"/>
      <c r="I808"/>
    </row>
    <row r="809" spans="1:9" x14ac:dyDescent="0.25">
      <c r="A809"/>
      <c r="B809"/>
      <c r="C809"/>
      <c r="D809"/>
      <c r="E809"/>
      <c r="F809"/>
      <c r="G809"/>
      <c r="H809"/>
      <c r="I809"/>
    </row>
    <row r="810" spans="1:9" x14ac:dyDescent="0.25">
      <c r="A810"/>
      <c r="B810"/>
      <c r="C810"/>
      <c r="D810"/>
      <c r="E810"/>
      <c r="F810"/>
      <c r="G810"/>
      <c r="H810"/>
      <c r="I810"/>
    </row>
    <row r="811" spans="1:9" x14ac:dyDescent="0.25">
      <c r="A811"/>
      <c r="B811"/>
      <c r="C811"/>
      <c r="D811"/>
      <c r="E811"/>
      <c r="F811"/>
      <c r="G811"/>
      <c r="H811"/>
      <c r="I811"/>
    </row>
    <row r="812" spans="1:9" x14ac:dyDescent="0.25">
      <c r="A812"/>
      <c r="B812"/>
      <c r="C812"/>
      <c r="D812"/>
      <c r="E812"/>
      <c r="F812"/>
      <c r="G812"/>
      <c r="H812"/>
      <c r="I812"/>
    </row>
    <row r="813" spans="1:9" x14ac:dyDescent="0.25">
      <c r="A813"/>
      <c r="B813"/>
      <c r="C813"/>
      <c r="D813"/>
      <c r="E813"/>
      <c r="F813"/>
      <c r="G813"/>
      <c r="H813"/>
      <c r="I813"/>
    </row>
    <row r="814" spans="1:9" x14ac:dyDescent="0.25">
      <c r="A814"/>
      <c r="B814"/>
      <c r="C814"/>
      <c r="D814"/>
      <c r="E814"/>
      <c r="F814"/>
      <c r="G814"/>
      <c r="H814"/>
      <c r="I814"/>
    </row>
    <row r="815" spans="1:9" x14ac:dyDescent="0.25">
      <c r="A815"/>
      <c r="B815"/>
      <c r="C815"/>
      <c r="D815"/>
      <c r="E815"/>
      <c r="F815"/>
      <c r="G815"/>
      <c r="H815"/>
      <c r="I815"/>
    </row>
    <row r="816" spans="1:9" x14ac:dyDescent="0.25">
      <c r="A816"/>
      <c r="B816"/>
      <c r="C816"/>
      <c r="D816"/>
      <c r="E816"/>
      <c r="F816"/>
      <c r="G816"/>
      <c r="H816"/>
      <c r="I816"/>
    </row>
    <row r="817" spans="1:9" x14ac:dyDescent="0.25">
      <c r="A817"/>
      <c r="B817"/>
      <c r="C817"/>
      <c r="D817"/>
      <c r="E817"/>
      <c r="F817"/>
      <c r="G817"/>
      <c r="H817"/>
      <c r="I817"/>
    </row>
    <row r="818" spans="1:9" x14ac:dyDescent="0.25">
      <c r="A818"/>
      <c r="B818"/>
      <c r="C818"/>
      <c r="D818"/>
      <c r="E818"/>
      <c r="F818"/>
      <c r="G818"/>
      <c r="H818"/>
      <c r="I818"/>
    </row>
    <row r="819" spans="1:9" x14ac:dyDescent="0.25">
      <c r="A819"/>
      <c r="B819"/>
      <c r="C819"/>
      <c r="D819"/>
      <c r="E819"/>
      <c r="F819"/>
      <c r="G819"/>
      <c r="H819"/>
      <c r="I819"/>
    </row>
    <row r="820" spans="1:9" x14ac:dyDescent="0.25">
      <c r="A820"/>
      <c r="B820"/>
      <c r="C820"/>
      <c r="D820"/>
      <c r="E820"/>
      <c r="F820"/>
      <c r="G820"/>
      <c r="H820"/>
      <c r="I820"/>
    </row>
    <row r="821" spans="1:9" x14ac:dyDescent="0.25">
      <c r="A821"/>
      <c r="B821"/>
      <c r="C821"/>
      <c r="D821"/>
      <c r="E821"/>
      <c r="F821"/>
      <c r="G821"/>
      <c r="H821"/>
      <c r="I821"/>
    </row>
    <row r="822" spans="1:9" x14ac:dyDescent="0.25">
      <c r="A822"/>
      <c r="B822"/>
      <c r="C822"/>
      <c r="D822"/>
      <c r="E822"/>
      <c r="F822"/>
      <c r="G822"/>
      <c r="H822"/>
      <c r="I822"/>
    </row>
    <row r="823" spans="1:9" x14ac:dyDescent="0.25">
      <c r="A823"/>
      <c r="B823"/>
      <c r="C823"/>
      <c r="D823"/>
      <c r="E823"/>
      <c r="F823"/>
      <c r="G823"/>
      <c r="H823"/>
      <c r="I823"/>
    </row>
    <row r="824" spans="1:9" x14ac:dyDescent="0.25">
      <c r="A824"/>
      <c r="B824"/>
      <c r="C824"/>
      <c r="D824"/>
      <c r="E824"/>
      <c r="F824"/>
      <c r="G824"/>
      <c r="H824"/>
      <c r="I824"/>
    </row>
    <row r="825" spans="1:9" x14ac:dyDescent="0.25">
      <c r="A825"/>
      <c r="B825"/>
      <c r="C825"/>
      <c r="D825"/>
      <c r="E825"/>
      <c r="F825"/>
      <c r="G825"/>
      <c r="H825"/>
      <c r="I825"/>
    </row>
    <row r="826" spans="1:9" x14ac:dyDescent="0.25">
      <c r="A826"/>
      <c r="B826"/>
      <c r="C826"/>
      <c r="D826"/>
      <c r="E826"/>
      <c r="F826"/>
      <c r="G826"/>
      <c r="H826"/>
      <c r="I826"/>
    </row>
    <row r="827" spans="1:9" x14ac:dyDescent="0.25">
      <c r="A827"/>
      <c r="B827"/>
      <c r="C827"/>
      <c r="D827"/>
      <c r="E827"/>
      <c r="F827"/>
      <c r="G827"/>
      <c r="H827"/>
      <c r="I827"/>
    </row>
    <row r="828" spans="1:9" x14ac:dyDescent="0.25">
      <c r="A828"/>
      <c r="B828"/>
      <c r="C828"/>
      <c r="D828"/>
      <c r="E828"/>
      <c r="F828"/>
      <c r="G828"/>
      <c r="H828"/>
      <c r="I828"/>
    </row>
    <row r="829" spans="1:9" x14ac:dyDescent="0.25">
      <c r="A829"/>
      <c r="B829"/>
      <c r="C829"/>
      <c r="D829"/>
      <c r="E829"/>
      <c r="F829"/>
      <c r="G829"/>
      <c r="H829"/>
      <c r="I829"/>
    </row>
    <row r="830" spans="1:9" x14ac:dyDescent="0.25">
      <c r="A830"/>
      <c r="B830"/>
      <c r="C830"/>
      <c r="D830"/>
      <c r="E830"/>
      <c r="F830"/>
      <c r="G830"/>
      <c r="H830"/>
      <c r="I830"/>
    </row>
    <row r="831" spans="1:9" x14ac:dyDescent="0.25">
      <c r="A831"/>
      <c r="B831"/>
      <c r="C831"/>
      <c r="D831"/>
      <c r="E831"/>
      <c r="F831"/>
      <c r="G831"/>
      <c r="H831"/>
      <c r="I831"/>
    </row>
    <row r="832" spans="1:9" x14ac:dyDescent="0.25">
      <c r="A832"/>
      <c r="B832"/>
      <c r="C832"/>
      <c r="D832"/>
      <c r="E832"/>
      <c r="F832"/>
      <c r="G832"/>
      <c r="H832"/>
      <c r="I832"/>
    </row>
    <row r="833" spans="1:9" x14ac:dyDescent="0.25">
      <c r="A833"/>
      <c r="B833"/>
      <c r="C833"/>
      <c r="D833"/>
      <c r="E833"/>
      <c r="F833"/>
      <c r="G833"/>
      <c r="H833"/>
      <c r="I833"/>
    </row>
    <row r="834" spans="1:9" x14ac:dyDescent="0.25">
      <c r="A834"/>
      <c r="B834"/>
      <c r="C834"/>
      <c r="D834"/>
      <c r="E834"/>
      <c r="F834"/>
      <c r="G834"/>
      <c r="H834"/>
      <c r="I834"/>
    </row>
    <row r="835" spans="1:9" x14ac:dyDescent="0.25">
      <c r="A835"/>
      <c r="B835"/>
      <c r="C835"/>
      <c r="D835"/>
      <c r="E835"/>
      <c r="F835"/>
      <c r="G835"/>
      <c r="H835"/>
      <c r="I835"/>
    </row>
    <row r="836" spans="1:9" x14ac:dyDescent="0.25">
      <c r="A836"/>
      <c r="B836"/>
      <c r="C836"/>
      <c r="D836"/>
      <c r="E836"/>
      <c r="F836"/>
      <c r="G836"/>
      <c r="H836"/>
      <c r="I836"/>
    </row>
    <row r="837" spans="1:9" x14ac:dyDescent="0.25">
      <c r="A837"/>
      <c r="B837"/>
      <c r="C837"/>
      <c r="D837"/>
      <c r="E837"/>
      <c r="F837"/>
      <c r="G837"/>
      <c r="H837"/>
      <c r="I837"/>
    </row>
    <row r="838" spans="1:9" x14ac:dyDescent="0.25">
      <c r="A838"/>
      <c r="B838"/>
      <c r="C838"/>
      <c r="D838"/>
      <c r="E838"/>
      <c r="F838"/>
      <c r="G838"/>
      <c r="H838"/>
      <c r="I838"/>
    </row>
    <row r="839" spans="1:9" x14ac:dyDescent="0.25">
      <c r="A839"/>
      <c r="B839"/>
      <c r="C839"/>
      <c r="D839"/>
      <c r="E839"/>
      <c r="F839"/>
      <c r="G839"/>
      <c r="H839"/>
      <c r="I839"/>
    </row>
    <row r="840" spans="1:9" x14ac:dyDescent="0.25">
      <c r="A840"/>
      <c r="B840"/>
      <c r="C840"/>
      <c r="D840"/>
      <c r="E840"/>
      <c r="F840"/>
      <c r="G840"/>
      <c r="H840"/>
      <c r="I840"/>
    </row>
    <row r="841" spans="1:9" x14ac:dyDescent="0.25">
      <c r="A841"/>
      <c r="B841"/>
      <c r="C841"/>
      <c r="D841"/>
      <c r="E841"/>
      <c r="F841"/>
      <c r="G841"/>
      <c r="H841"/>
      <c r="I841"/>
    </row>
    <row r="842" spans="1:9" x14ac:dyDescent="0.25">
      <c r="A842"/>
      <c r="B842"/>
      <c r="C842"/>
      <c r="D842"/>
      <c r="E842"/>
      <c r="F842"/>
      <c r="G842"/>
      <c r="H842"/>
      <c r="I842"/>
    </row>
    <row r="843" spans="1:9" x14ac:dyDescent="0.25">
      <c r="A843"/>
      <c r="B843"/>
      <c r="C843"/>
      <c r="D843"/>
      <c r="E843"/>
      <c r="F843"/>
      <c r="G843"/>
      <c r="H843"/>
      <c r="I843"/>
    </row>
    <row r="844" spans="1:9" x14ac:dyDescent="0.25">
      <c r="A844"/>
      <c r="B844"/>
      <c r="C844"/>
      <c r="D844"/>
      <c r="E844"/>
      <c r="F844"/>
      <c r="G844"/>
      <c r="H844"/>
      <c r="I844"/>
    </row>
    <row r="845" spans="1:9" x14ac:dyDescent="0.25">
      <c r="A845"/>
      <c r="B845"/>
      <c r="C845"/>
      <c r="D845"/>
      <c r="E845"/>
      <c r="F845"/>
      <c r="G845"/>
      <c r="H845"/>
      <c r="I845"/>
    </row>
    <row r="846" spans="1:9" x14ac:dyDescent="0.25">
      <c r="A846"/>
      <c r="B846"/>
      <c r="C846"/>
      <c r="D846"/>
      <c r="E846"/>
      <c r="F846"/>
      <c r="G846"/>
      <c r="H846"/>
      <c r="I846"/>
    </row>
    <row r="847" spans="1:9" x14ac:dyDescent="0.25">
      <c r="A847"/>
      <c r="B847"/>
      <c r="C847"/>
      <c r="D847"/>
      <c r="E847"/>
      <c r="F847"/>
      <c r="G847"/>
      <c r="H847"/>
      <c r="I847"/>
    </row>
    <row r="848" spans="1:9" x14ac:dyDescent="0.25">
      <c r="A848"/>
      <c r="B848"/>
      <c r="C848"/>
      <c r="D848"/>
      <c r="E848"/>
      <c r="F848"/>
      <c r="G848"/>
      <c r="H848"/>
      <c r="I848"/>
    </row>
    <row r="849" spans="1:9" x14ac:dyDescent="0.25">
      <c r="A849"/>
      <c r="B849"/>
      <c r="C849"/>
      <c r="D849"/>
      <c r="E849"/>
      <c r="F849"/>
      <c r="G849"/>
      <c r="H849"/>
      <c r="I849"/>
    </row>
    <row r="850" spans="1:9" x14ac:dyDescent="0.25">
      <c r="A850"/>
      <c r="B850"/>
      <c r="C850"/>
      <c r="D850"/>
      <c r="E850"/>
      <c r="F850"/>
      <c r="G850"/>
      <c r="H850"/>
      <c r="I850"/>
    </row>
    <row r="851" spans="1:9" x14ac:dyDescent="0.25">
      <c r="A851"/>
      <c r="B851"/>
      <c r="C851"/>
      <c r="D851"/>
      <c r="E851"/>
      <c r="F851"/>
      <c r="G851"/>
      <c r="H851"/>
      <c r="I851"/>
    </row>
    <row r="852" spans="1:9" x14ac:dyDescent="0.25">
      <c r="A852"/>
      <c r="B852"/>
      <c r="C852"/>
      <c r="D852"/>
      <c r="E852"/>
      <c r="F852"/>
      <c r="G852"/>
      <c r="H852"/>
      <c r="I852"/>
    </row>
    <row r="853" spans="1:9" x14ac:dyDescent="0.25">
      <c r="A853"/>
      <c r="B853"/>
      <c r="C853"/>
      <c r="D853"/>
      <c r="E853"/>
      <c r="F853"/>
      <c r="G853"/>
      <c r="H853"/>
      <c r="I853"/>
    </row>
    <row r="854" spans="1:9" x14ac:dyDescent="0.25">
      <c r="A854"/>
      <c r="B854"/>
      <c r="C854"/>
      <c r="D854"/>
      <c r="E854"/>
      <c r="F854"/>
      <c r="G854"/>
      <c r="H854"/>
      <c r="I854"/>
    </row>
    <row r="855" spans="1:9" x14ac:dyDescent="0.25">
      <c r="A855"/>
      <c r="B855"/>
      <c r="C855"/>
      <c r="D855"/>
      <c r="E855"/>
      <c r="F855"/>
      <c r="G855"/>
      <c r="H855"/>
      <c r="I855"/>
    </row>
    <row r="856" spans="1:9" x14ac:dyDescent="0.25">
      <c r="A856"/>
      <c r="B856"/>
      <c r="C856"/>
      <c r="D856"/>
      <c r="E856"/>
      <c r="F856"/>
      <c r="G856"/>
      <c r="H856"/>
      <c r="I856"/>
    </row>
    <row r="857" spans="1:9" x14ac:dyDescent="0.25">
      <c r="A857"/>
      <c r="B857"/>
      <c r="C857"/>
      <c r="D857"/>
      <c r="E857"/>
      <c r="F857"/>
      <c r="G857"/>
      <c r="H857"/>
      <c r="I857"/>
    </row>
    <row r="858" spans="1:9" x14ac:dyDescent="0.25">
      <c r="A858"/>
      <c r="B858"/>
      <c r="C858"/>
      <c r="D858"/>
      <c r="E858"/>
      <c r="F858"/>
      <c r="G858"/>
      <c r="H858"/>
      <c r="I858"/>
    </row>
    <row r="859" spans="1:9" x14ac:dyDescent="0.25">
      <c r="A859"/>
      <c r="B859"/>
      <c r="C859"/>
      <c r="D859"/>
      <c r="E859"/>
      <c r="F859"/>
      <c r="G859"/>
      <c r="H859"/>
      <c r="I859"/>
    </row>
    <row r="860" spans="1:9" x14ac:dyDescent="0.25">
      <c r="A860"/>
      <c r="B860"/>
      <c r="C860"/>
      <c r="D860"/>
      <c r="E860"/>
      <c r="F860"/>
      <c r="G860"/>
      <c r="H860"/>
      <c r="I860"/>
    </row>
    <row r="861" spans="1:9" x14ac:dyDescent="0.25">
      <c r="A861"/>
      <c r="B861"/>
      <c r="C861"/>
      <c r="D861"/>
      <c r="E861"/>
      <c r="F861"/>
      <c r="G861"/>
      <c r="H861"/>
      <c r="I861"/>
    </row>
    <row r="862" spans="1:9" x14ac:dyDescent="0.25">
      <c r="A862"/>
      <c r="B862"/>
      <c r="C862"/>
      <c r="D862"/>
      <c r="E862"/>
      <c r="F862"/>
      <c r="G862"/>
      <c r="H862"/>
      <c r="I862"/>
    </row>
    <row r="863" spans="1:9" x14ac:dyDescent="0.25">
      <c r="A863"/>
      <c r="B863"/>
      <c r="C863"/>
      <c r="D863"/>
      <c r="E863"/>
      <c r="F863"/>
      <c r="G863"/>
      <c r="H863"/>
      <c r="I863"/>
    </row>
    <row r="864" spans="1:9" x14ac:dyDescent="0.25">
      <c r="A864"/>
      <c r="B864"/>
      <c r="C864"/>
      <c r="D864"/>
      <c r="E864"/>
      <c r="F864"/>
      <c r="G864"/>
      <c r="H864"/>
      <c r="I864"/>
    </row>
    <row r="865" spans="1:9" x14ac:dyDescent="0.25">
      <c r="A865"/>
      <c r="B865"/>
      <c r="C865"/>
      <c r="D865"/>
      <c r="E865"/>
      <c r="F865"/>
      <c r="G865"/>
      <c r="H865"/>
      <c r="I865"/>
    </row>
    <row r="866" spans="1:9" x14ac:dyDescent="0.25">
      <c r="A866"/>
      <c r="B866"/>
      <c r="C866"/>
      <c r="D866"/>
      <c r="E866"/>
      <c r="F866"/>
      <c r="G866"/>
      <c r="H866"/>
      <c r="I866"/>
    </row>
    <row r="867" spans="1:9" x14ac:dyDescent="0.25">
      <c r="A867"/>
      <c r="B867"/>
      <c r="C867"/>
      <c r="D867"/>
      <c r="E867"/>
      <c r="F867"/>
      <c r="G867"/>
      <c r="H867"/>
      <c r="I867"/>
    </row>
    <row r="868" spans="1:9" x14ac:dyDescent="0.25">
      <c r="A868"/>
      <c r="B868"/>
      <c r="C868"/>
      <c r="D868"/>
      <c r="E868"/>
      <c r="F868"/>
      <c r="G868"/>
      <c r="H868"/>
      <c r="I868"/>
    </row>
    <row r="869" spans="1:9" x14ac:dyDescent="0.25">
      <c r="A869"/>
      <c r="B869"/>
      <c r="C869"/>
      <c r="D869"/>
      <c r="E869"/>
      <c r="F869"/>
      <c r="G869"/>
      <c r="H869"/>
      <c r="I869"/>
    </row>
    <row r="870" spans="1:9" x14ac:dyDescent="0.25">
      <c r="A870"/>
      <c r="B870"/>
      <c r="C870"/>
      <c r="D870"/>
      <c r="E870"/>
      <c r="F870"/>
      <c r="G870"/>
      <c r="H870"/>
      <c r="I870"/>
    </row>
    <row r="871" spans="1:9" x14ac:dyDescent="0.25">
      <c r="A871"/>
      <c r="B871"/>
      <c r="C871"/>
      <c r="D871"/>
      <c r="E871"/>
      <c r="F871"/>
      <c r="G871"/>
      <c r="H871"/>
      <c r="I871"/>
    </row>
    <row r="872" spans="1:9" x14ac:dyDescent="0.25">
      <c r="A872"/>
      <c r="B872"/>
      <c r="C872"/>
      <c r="D872"/>
      <c r="E872"/>
      <c r="F872"/>
      <c r="G872"/>
      <c r="H872"/>
      <c r="I872"/>
    </row>
    <row r="873" spans="1:9" x14ac:dyDescent="0.25">
      <c r="A873"/>
      <c r="B873"/>
      <c r="C873"/>
      <c r="D873"/>
      <c r="E873"/>
      <c r="F873"/>
      <c r="G873"/>
      <c r="H873"/>
      <c r="I873"/>
    </row>
    <row r="874" spans="1:9" x14ac:dyDescent="0.25">
      <c r="A874"/>
      <c r="B874"/>
      <c r="C874"/>
      <c r="D874"/>
      <c r="E874"/>
      <c r="F874"/>
      <c r="G874"/>
      <c r="H874"/>
      <c r="I874"/>
    </row>
    <row r="875" spans="1:9" x14ac:dyDescent="0.25">
      <c r="A875"/>
      <c r="B875"/>
      <c r="C875"/>
      <c r="D875"/>
      <c r="E875"/>
      <c r="F875"/>
      <c r="G875"/>
      <c r="H875"/>
      <c r="I875"/>
    </row>
    <row r="876" spans="1:9" x14ac:dyDescent="0.25">
      <c r="A876"/>
      <c r="B876"/>
      <c r="C876"/>
      <c r="D876"/>
      <c r="E876"/>
      <c r="F876"/>
      <c r="G876"/>
      <c r="H876"/>
      <c r="I876"/>
    </row>
    <row r="877" spans="1:9" x14ac:dyDescent="0.25">
      <c r="A877"/>
      <c r="B877"/>
      <c r="C877"/>
      <c r="D877"/>
      <c r="E877"/>
      <c r="F877"/>
      <c r="G877"/>
      <c r="H877"/>
      <c r="I877"/>
    </row>
  </sheetData>
  <printOptions horizontalCentered="1"/>
  <pageMargins left="0.25" right="0.25" top="0.75" bottom="0.75" header="0.3" footer="0.3"/>
  <pageSetup paperSize="9" scale="64" fitToHeight="3" orientation="portrait" r:id="rId2"/>
  <drawing r:id="rId3"/>
  <extLst>
    <ext xmlns:x14="http://schemas.microsoft.com/office/spreadsheetml/2009/9/main" uri="{A8765BA9-456A-4dab-B4F3-ACF838C121DE}">
      <x14:slicerList>
        <x14:slicer r:id="rId4"/>
      </x14:slicerList>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DEE72-002A-413C-AFEB-FA1E8EAA77D2}">
  <sheetPr>
    <pageSetUpPr fitToPage="1"/>
  </sheetPr>
  <dimension ref="A9:N877"/>
  <sheetViews>
    <sheetView showGridLines="0" view="pageBreakPreview" topLeftCell="A31" zoomScale="85" zoomScaleNormal="100" zoomScaleSheetLayoutView="85" workbookViewId="0">
      <selection activeCell="J80" sqref="J80"/>
    </sheetView>
  </sheetViews>
  <sheetFormatPr defaultRowHeight="15" x14ac:dyDescent="0.25"/>
  <cols>
    <col min="1" max="1" width="13.28515625" style="79" bestFit="1" customWidth="1"/>
    <col min="2" max="2" width="16.140625" style="191" bestFit="1" customWidth="1"/>
    <col min="3" max="5" width="11.5703125" style="192" bestFit="1" customWidth="1"/>
    <col min="6" max="6" width="13.5703125" style="79" bestFit="1" customWidth="1"/>
    <col min="7" max="7" width="18.28515625" style="192" bestFit="1" customWidth="1"/>
    <col min="8" max="8" width="13.28515625" style="192" bestFit="1" customWidth="1"/>
    <col min="9" max="9" width="16.42578125" style="79" bestFit="1" customWidth="1"/>
    <col min="10" max="10" width="28.85546875" style="79" bestFit="1" customWidth="1"/>
    <col min="11" max="13" width="9.140625" style="79"/>
    <col min="14" max="14" width="24.7109375" style="79" bestFit="1" customWidth="1"/>
    <col min="15" max="16384" width="9.140625" style="79"/>
  </cols>
  <sheetData>
    <row r="9" spans="14:14" x14ac:dyDescent="0.25">
      <c r="N9" s="79" t="s">
        <v>1177</v>
      </c>
    </row>
    <row r="10" spans="14:14" x14ac:dyDescent="0.25">
      <c r="N10" s="79" t="s">
        <v>1174</v>
      </c>
    </row>
    <row r="11" spans="14:14" x14ac:dyDescent="0.25">
      <c r="N11" s="79">
        <f>COUNT(B18:B162)</f>
        <v>62</v>
      </c>
    </row>
    <row r="12" spans="14:14" x14ac:dyDescent="0.25">
      <c r="N12" s="79" t="s">
        <v>1164</v>
      </c>
    </row>
    <row r="13" spans="14:14" x14ac:dyDescent="0.25">
      <c r="N13" s="79" t="s">
        <v>1301</v>
      </c>
    </row>
    <row r="14" spans="14:14" x14ac:dyDescent="0.25">
      <c r="N14" s="226">
        <f>GETPIVOTDATA("Sum of TOTAL UNIT VALUE (SEMI FINISHED)",'PROJECT SUMMARY DASH'!$A$1,"SELLING PHASE NAME","R 5")</f>
        <v>547233428.51969016</v>
      </c>
    </row>
    <row r="18" spans="1:10" s="160" customFormat="1" ht="60" x14ac:dyDescent="0.25">
      <c r="A18" s="160" t="s">
        <v>733</v>
      </c>
      <c r="B18" s="160" t="s">
        <v>1303</v>
      </c>
      <c r="C18" s="160" t="s">
        <v>713</v>
      </c>
      <c r="D18" s="160" t="s">
        <v>1302</v>
      </c>
      <c r="E18" s="225" t="s">
        <v>1151</v>
      </c>
      <c r="F18" s="225" t="s">
        <v>1152</v>
      </c>
      <c r="G18" s="160" t="s">
        <v>1298</v>
      </c>
      <c r="H18" s="160" t="s">
        <v>1299</v>
      </c>
      <c r="I18" s="160" t="s">
        <v>1300</v>
      </c>
      <c r="J18" s="290" t="str">
        <f>Table1[[#Headers],[NO. OF BEDROOMS]]</f>
        <v>NO. OF BEDROOMS</v>
      </c>
    </row>
    <row r="19" spans="1:10" x14ac:dyDescent="0.25">
      <c r="A19" s="121" t="s">
        <v>737</v>
      </c>
      <c r="B19" s="191">
        <v>50407.500000000007</v>
      </c>
      <c r="C19" s="191">
        <v>110</v>
      </c>
      <c r="D19" s="191"/>
      <c r="E19" s="122">
        <v>0</v>
      </c>
      <c r="F19" s="122">
        <v>471310.12500000012</v>
      </c>
      <c r="G19" s="122">
        <v>5764825.0000000009</v>
      </c>
      <c r="H19" s="122">
        <v>6259825.0000000009</v>
      </c>
      <c r="I19" s="122">
        <v>6589825.0000000009</v>
      </c>
      <c r="J19" s="79" t="str">
        <f>VLOOKUP(A19,Table1[[Unit Number]:[NO. OF BEDROOMS]],2,FALSE)</f>
        <v>2 BEDROOM</v>
      </c>
    </row>
    <row r="20" spans="1:10" x14ac:dyDescent="0.25">
      <c r="A20" s="121" t="s">
        <v>249</v>
      </c>
      <c r="B20" s="191">
        <v>48977.500000000007</v>
      </c>
      <c r="C20" s="191">
        <v>112</v>
      </c>
      <c r="D20" s="191"/>
      <c r="E20" s="122">
        <v>0</v>
      </c>
      <c r="F20" s="122">
        <v>466265.8000000001</v>
      </c>
      <c r="G20" s="122">
        <v>5705480.0000000009</v>
      </c>
      <c r="H20" s="122">
        <v>6209480.0000000009</v>
      </c>
      <c r="I20" s="122">
        <v>6545480.0000000009</v>
      </c>
      <c r="J20" s="79" t="str">
        <f>VLOOKUP(A20,Table1[[Unit Number]:[NO. OF BEDROOMS]],2,FALSE)</f>
        <v>2 BEDROOM</v>
      </c>
    </row>
    <row r="21" spans="1:10" x14ac:dyDescent="0.25">
      <c r="A21" s="121" t="s">
        <v>743</v>
      </c>
      <c r="B21" s="191">
        <v>50352.500000000007</v>
      </c>
      <c r="C21" s="191">
        <v>110</v>
      </c>
      <c r="D21" s="191"/>
      <c r="E21" s="122">
        <v>0</v>
      </c>
      <c r="F21" s="122">
        <v>470795.87500000012</v>
      </c>
      <c r="G21" s="122">
        <v>5758775.0000000009</v>
      </c>
      <c r="H21" s="122">
        <v>6253775.0000000009</v>
      </c>
      <c r="I21" s="122">
        <v>6583775.0000000009</v>
      </c>
      <c r="J21" s="79" t="str">
        <f>VLOOKUP(A21,Table1[[Unit Number]:[NO. OF BEDROOMS]],2,FALSE)</f>
        <v>2 BEDROOM</v>
      </c>
    </row>
    <row r="22" spans="1:10" x14ac:dyDescent="0.25">
      <c r="A22" s="121" t="s">
        <v>746</v>
      </c>
      <c r="B22" s="191">
        <v>50407.500000000007</v>
      </c>
      <c r="C22" s="191">
        <v>110</v>
      </c>
      <c r="D22" s="191"/>
      <c r="E22" s="122">
        <v>0</v>
      </c>
      <c r="F22" s="122">
        <v>471310.12500000012</v>
      </c>
      <c r="G22" s="122">
        <v>5764825.0000000009</v>
      </c>
      <c r="H22" s="122">
        <v>6259825.0000000009</v>
      </c>
      <c r="I22" s="122">
        <v>6589825.0000000009</v>
      </c>
      <c r="J22" s="79" t="str">
        <f>VLOOKUP(A22,Table1[[Unit Number]:[NO. OF BEDROOMS]],2,FALSE)</f>
        <v>2 BEDROOM</v>
      </c>
    </row>
    <row r="23" spans="1:10" x14ac:dyDescent="0.25">
      <c r="A23" s="121" t="s">
        <v>747</v>
      </c>
      <c r="B23" s="191">
        <v>50407.500000000007</v>
      </c>
      <c r="C23" s="191">
        <v>120</v>
      </c>
      <c r="D23" s="191"/>
      <c r="E23" s="122">
        <v>0</v>
      </c>
      <c r="F23" s="122">
        <v>514156.50000000012</v>
      </c>
      <c r="G23" s="122">
        <v>6268900.0000000009</v>
      </c>
      <c r="H23" s="122">
        <v>6808900.0000000009</v>
      </c>
      <c r="I23" s="122">
        <v>7168900.0000000009</v>
      </c>
      <c r="J23" s="79" t="str">
        <f>VLOOKUP(A23,Table1[[Unit Number]:[NO. OF BEDROOMS]],2,FALSE)</f>
        <v>2 BEDROOM</v>
      </c>
    </row>
    <row r="24" spans="1:10" x14ac:dyDescent="0.25">
      <c r="A24" s="121" t="s">
        <v>752</v>
      </c>
      <c r="B24" s="191">
        <v>50352.500000000007</v>
      </c>
      <c r="C24" s="191">
        <v>111</v>
      </c>
      <c r="D24" s="191"/>
      <c r="E24" s="122">
        <v>0</v>
      </c>
      <c r="F24" s="122">
        <v>475075.83750000014</v>
      </c>
      <c r="G24" s="122">
        <v>5809127.5000000009</v>
      </c>
      <c r="H24" s="122">
        <v>6308627.5000000009</v>
      </c>
      <c r="I24" s="122">
        <v>6641627.5000000009</v>
      </c>
      <c r="J24" s="79" t="str">
        <f>VLOOKUP(A24,Table1[[Unit Number]:[NO. OF BEDROOMS]],2,FALSE)</f>
        <v>2 BEDROOM</v>
      </c>
    </row>
    <row r="25" spans="1:10" x14ac:dyDescent="0.25">
      <c r="A25" s="121" t="s">
        <v>753</v>
      </c>
      <c r="B25" s="191">
        <v>50352.500000000007</v>
      </c>
      <c r="C25" s="191">
        <v>121</v>
      </c>
      <c r="D25" s="191"/>
      <c r="E25" s="122">
        <v>0</v>
      </c>
      <c r="F25" s="122">
        <v>517875.46250000014</v>
      </c>
      <c r="G25" s="122">
        <v>6312652.5000000009</v>
      </c>
      <c r="H25" s="122">
        <v>6857152.5000000009</v>
      </c>
      <c r="I25" s="122">
        <v>7220152.5000000009</v>
      </c>
      <c r="J25" s="79" t="str">
        <f>VLOOKUP(A25,Table1[[Unit Number]:[NO. OF BEDROOMS]],2,FALSE)</f>
        <v>2 BEDROOM</v>
      </c>
    </row>
    <row r="26" spans="1:10" x14ac:dyDescent="0.25">
      <c r="A26" s="121" t="s">
        <v>272</v>
      </c>
      <c r="B26" s="191">
        <v>48977.500000000007</v>
      </c>
      <c r="C26" s="191">
        <v>112</v>
      </c>
      <c r="D26" s="191"/>
      <c r="E26" s="122">
        <v>0</v>
      </c>
      <c r="F26" s="122">
        <v>466265.8000000001</v>
      </c>
      <c r="G26" s="122">
        <v>5705480.0000000009</v>
      </c>
      <c r="H26" s="122">
        <v>6209480.0000000009</v>
      </c>
      <c r="I26" s="122">
        <v>6545480.0000000009</v>
      </c>
      <c r="J26" s="79" t="str">
        <f>VLOOKUP(A26,Table1[[Unit Number]:[NO. OF BEDROOMS]],2,FALSE)</f>
        <v>2 BEDROOM</v>
      </c>
    </row>
    <row r="27" spans="1:10" x14ac:dyDescent="0.25">
      <c r="A27" s="121" t="s">
        <v>324</v>
      </c>
      <c r="B27" s="191">
        <v>48922.500000000007</v>
      </c>
      <c r="C27" s="191">
        <v>110</v>
      </c>
      <c r="D27" s="191"/>
      <c r="E27" s="122">
        <v>0</v>
      </c>
      <c r="F27" s="122">
        <v>457425.37500000012</v>
      </c>
      <c r="G27" s="122">
        <v>5601475.0000000009</v>
      </c>
      <c r="H27" s="122">
        <v>6096475.0000000009</v>
      </c>
      <c r="I27" s="122">
        <v>6426475.0000000009</v>
      </c>
      <c r="J27" s="79" t="str">
        <f>VLOOKUP(A27,Table1[[Unit Number]:[NO. OF BEDROOMS]],2,FALSE)</f>
        <v>2 BEDROOM</v>
      </c>
    </row>
    <row r="28" spans="1:10" x14ac:dyDescent="0.25">
      <c r="A28" s="121" t="s">
        <v>782</v>
      </c>
      <c r="B28" s="191">
        <v>50352.500000000007</v>
      </c>
      <c r="C28" s="191">
        <v>138</v>
      </c>
      <c r="D28" s="191"/>
      <c r="E28" s="122">
        <v>0</v>
      </c>
      <c r="F28" s="122">
        <v>590634.82500000007</v>
      </c>
      <c r="G28" s="122">
        <v>7168645.0000000009</v>
      </c>
      <c r="H28" s="122">
        <v>7789645.0000000009</v>
      </c>
      <c r="I28" s="122">
        <v>8203645.0000000009</v>
      </c>
      <c r="J28" s="79" t="str">
        <f>VLOOKUP(A28,Table1[[Unit Number]:[NO. OF BEDROOMS]],2,FALSE)</f>
        <v>2 BEDROOM</v>
      </c>
    </row>
    <row r="29" spans="1:10" x14ac:dyDescent="0.25">
      <c r="A29" s="121" t="s">
        <v>367</v>
      </c>
      <c r="B29" s="191">
        <v>48950.000000000007</v>
      </c>
      <c r="C29" s="191">
        <v>173</v>
      </c>
      <c r="D29" s="191">
        <v>49.875</v>
      </c>
      <c r="E29" s="122">
        <v>805655.81250000023</v>
      </c>
      <c r="F29" s="122">
        <v>788290.49406250019</v>
      </c>
      <c r="G29" s="122">
        <v>9494005.8125000019</v>
      </c>
      <c r="H29" s="122">
        <v>10272505.812500002</v>
      </c>
      <c r="I29" s="122">
        <v>10791505.812500002</v>
      </c>
      <c r="J29" s="79" t="str">
        <f>VLOOKUP(A29,Table1[[Unit Number]:[NO. OF BEDROOMS]],2,FALSE)</f>
        <v>3 BEDROOM</v>
      </c>
    </row>
    <row r="30" spans="1:10" x14ac:dyDescent="0.25">
      <c r="A30" s="121" t="s">
        <v>787</v>
      </c>
      <c r="B30" s="191">
        <v>50407.500000000007</v>
      </c>
      <c r="C30" s="191">
        <v>344</v>
      </c>
      <c r="D30" s="191">
        <v>97.868200000000002</v>
      </c>
      <c r="E30" s="122">
        <v>1627986.1261950003</v>
      </c>
      <c r="F30" s="122">
        <v>1612294.1207265754</v>
      </c>
      <c r="G30" s="122">
        <v>19188166.126195002</v>
      </c>
      <c r="H30" s="122">
        <v>20736166.126195002</v>
      </c>
      <c r="I30" s="122">
        <v>21768166.126195002</v>
      </c>
      <c r="J30" s="79" t="str">
        <f>VLOOKUP(A30,Table1[[Unit Number]:[NO. OF BEDROOMS]],2,FALSE)</f>
        <v>3 BEDROOM + LIVING (DUPLEX)</v>
      </c>
    </row>
    <row r="31" spans="1:10" x14ac:dyDescent="0.25">
      <c r="A31" s="121" t="s">
        <v>788</v>
      </c>
      <c r="B31" s="191">
        <v>50407.500000000007</v>
      </c>
      <c r="C31" s="191">
        <v>344</v>
      </c>
      <c r="D31" s="191">
        <v>97.259299999999996</v>
      </c>
      <c r="E31" s="122">
        <v>1617857.3943675002</v>
      </c>
      <c r="F31" s="122">
        <v>1611433.178521238</v>
      </c>
      <c r="G31" s="122">
        <v>19178037.394367505</v>
      </c>
      <c r="H31" s="122">
        <v>20726037.394367505</v>
      </c>
      <c r="I31" s="122">
        <v>21758037.394367505</v>
      </c>
      <c r="J31" s="79" t="str">
        <f>VLOOKUP(A31,Table1[[Unit Number]:[NO. OF BEDROOMS]],2,FALSE)</f>
        <v>3 BEDROOM + LIVING (DUPLEX)</v>
      </c>
    </row>
    <row r="32" spans="1:10" x14ac:dyDescent="0.25">
      <c r="A32" s="121" t="s">
        <v>795</v>
      </c>
      <c r="B32" s="191">
        <v>50325.000000000007</v>
      </c>
      <c r="C32" s="191">
        <v>173</v>
      </c>
      <c r="D32" s="191"/>
      <c r="E32" s="122">
        <v>0</v>
      </c>
      <c r="F32" s="122">
        <v>740029.12500000023</v>
      </c>
      <c r="G32" s="122">
        <v>8926225.0000000019</v>
      </c>
      <c r="H32" s="122">
        <v>9704725.0000000019</v>
      </c>
      <c r="I32" s="122">
        <v>10223725.000000002</v>
      </c>
      <c r="J32" s="79" t="str">
        <f>VLOOKUP(A32,Table1[[Unit Number]:[NO. OF BEDROOMS]],2,FALSE)</f>
        <v>3 BEDROOM</v>
      </c>
    </row>
    <row r="33" spans="1:10" x14ac:dyDescent="0.25">
      <c r="A33" s="121" t="s">
        <v>374</v>
      </c>
      <c r="B33" s="191">
        <v>51095.000000000007</v>
      </c>
      <c r="C33" s="191">
        <v>174</v>
      </c>
      <c r="D33" s="191"/>
      <c r="E33" s="122">
        <v>0</v>
      </c>
      <c r="F33" s="122">
        <v>755695.05000000016</v>
      </c>
      <c r="G33" s="122">
        <v>9110530.0000000019</v>
      </c>
      <c r="H33" s="122">
        <v>9893530.0000000019</v>
      </c>
      <c r="I33" s="122">
        <v>10415530.000000002</v>
      </c>
      <c r="J33" s="79" t="str">
        <f>VLOOKUP(A33,Table1[[Unit Number]:[NO. OF BEDROOMS]],2,FALSE)</f>
        <v>3 BEDROOM</v>
      </c>
    </row>
    <row r="34" spans="1:10" x14ac:dyDescent="0.25">
      <c r="A34" s="121" t="s">
        <v>375</v>
      </c>
      <c r="B34" s="191">
        <v>51095.000000000007</v>
      </c>
      <c r="C34" s="191">
        <v>174</v>
      </c>
      <c r="D34" s="191"/>
      <c r="E34" s="122">
        <v>0</v>
      </c>
      <c r="F34" s="122">
        <v>755695.05000000016</v>
      </c>
      <c r="G34" s="122">
        <v>9110530.0000000019</v>
      </c>
      <c r="H34" s="122">
        <v>9893530.0000000019</v>
      </c>
      <c r="I34" s="122">
        <v>10415530.000000002</v>
      </c>
      <c r="J34" s="79" t="str">
        <f>VLOOKUP(A34,Table1[[Unit Number]:[NO. OF BEDROOMS]],2,FALSE)</f>
        <v>3 BEDROOM</v>
      </c>
    </row>
    <row r="35" spans="1:10" x14ac:dyDescent="0.25">
      <c r="A35" s="121" t="s">
        <v>796</v>
      </c>
      <c r="B35" s="191">
        <v>50325.000000000007</v>
      </c>
      <c r="C35" s="191">
        <v>173</v>
      </c>
      <c r="D35" s="191"/>
      <c r="E35" s="122">
        <v>0</v>
      </c>
      <c r="F35" s="122">
        <v>740029.12500000023</v>
      </c>
      <c r="G35" s="122">
        <v>8926225.0000000019</v>
      </c>
      <c r="H35" s="122">
        <v>9704725.0000000019</v>
      </c>
      <c r="I35" s="122">
        <v>10223725.000000002</v>
      </c>
      <c r="J35" s="79" t="str">
        <f>VLOOKUP(A35,Table1[[Unit Number]:[NO. OF BEDROOMS]],2,FALSE)</f>
        <v>3 BEDROOM</v>
      </c>
    </row>
    <row r="36" spans="1:10" x14ac:dyDescent="0.25">
      <c r="A36" s="121" t="s">
        <v>399</v>
      </c>
      <c r="B36" s="191">
        <v>48950.000000000007</v>
      </c>
      <c r="C36" s="191">
        <v>174</v>
      </c>
      <c r="D36" s="191"/>
      <c r="E36" s="122">
        <v>0</v>
      </c>
      <c r="F36" s="122">
        <v>723970.50000000023</v>
      </c>
      <c r="G36" s="122">
        <v>8737300.0000000019</v>
      </c>
      <c r="H36" s="122">
        <v>9520300.0000000019</v>
      </c>
      <c r="I36" s="122">
        <v>10042300.000000002</v>
      </c>
      <c r="J36" s="79" t="str">
        <f>VLOOKUP(A36,Table1[[Unit Number]:[NO. OF BEDROOMS]],2,FALSE)</f>
        <v>3 BEDROOM</v>
      </c>
    </row>
    <row r="37" spans="1:10" x14ac:dyDescent="0.25">
      <c r="A37" s="121" t="s">
        <v>422</v>
      </c>
      <c r="B37" s="191">
        <v>51095.000000000007</v>
      </c>
      <c r="C37" s="191">
        <v>153</v>
      </c>
      <c r="D37" s="191">
        <v>85.619500000000002</v>
      </c>
      <c r="E37" s="122">
        <v>1443660.3563250003</v>
      </c>
      <c r="F37" s="122">
        <v>787201.60528762511</v>
      </c>
      <c r="G37" s="122">
        <v>9481195.3563250005</v>
      </c>
      <c r="H37" s="122">
        <v>10169695.356325002</v>
      </c>
      <c r="I37" s="122">
        <v>10628695.356325002</v>
      </c>
      <c r="J37" s="79" t="str">
        <f>VLOOKUP(A37,Table1[[Unit Number]:[NO. OF BEDROOMS]],2,FALSE)</f>
        <v>3 BEDROOM</v>
      </c>
    </row>
    <row r="38" spans="1:10" x14ac:dyDescent="0.25">
      <c r="A38" s="121" t="s">
        <v>423</v>
      </c>
      <c r="B38" s="191">
        <v>48977.500000000007</v>
      </c>
      <c r="C38" s="191">
        <v>160</v>
      </c>
      <c r="D38" s="191">
        <v>72.604399999999998</v>
      </c>
      <c r="E38" s="122">
        <v>1173474.0603300002</v>
      </c>
      <c r="F38" s="122">
        <v>765839.29512805014</v>
      </c>
      <c r="G38" s="122">
        <v>9229874.0603300016</v>
      </c>
      <c r="H38" s="122">
        <v>9949874.0603300016</v>
      </c>
      <c r="I38" s="122">
        <v>10429874.060330002</v>
      </c>
      <c r="J38" s="79" t="str">
        <f>VLOOKUP(A38,Table1[[Unit Number]:[NO. OF BEDROOMS]],2,FALSE)</f>
        <v>3 BEDROOM</v>
      </c>
    </row>
    <row r="39" spans="1:10" x14ac:dyDescent="0.25">
      <c r="A39" s="121" t="s">
        <v>430</v>
      </c>
      <c r="B39" s="191">
        <v>48950.000000000007</v>
      </c>
      <c r="C39" s="191">
        <v>153</v>
      </c>
      <c r="D39" s="191"/>
      <c r="E39" s="122">
        <v>0</v>
      </c>
      <c r="F39" s="122">
        <v>636594.75000000012</v>
      </c>
      <c r="G39" s="122">
        <v>7709350.0000000009</v>
      </c>
      <c r="H39" s="122">
        <v>8397850.0000000019</v>
      </c>
      <c r="I39" s="122">
        <v>8856850.0000000019</v>
      </c>
      <c r="J39" s="79" t="str">
        <f>VLOOKUP(A39,Table1[[Unit Number]:[NO. OF BEDROOMS]],2,FALSE)</f>
        <v>3 BEDROOM</v>
      </c>
    </row>
    <row r="40" spans="1:10" x14ac:dyDescent="0.25">
      <c r="A40" s="121" t="s">
        <v>435</v>
      </c>
      <c r="B40" s="191">
        <v>48950.000000000007</v>
      </c>
      <c r="C40" s="191">
        <v>162</v>
      </c>
      <c r="D40" s="191"/>
      <c r="E40" s="122">
        <v>0</v>
      </c>
      <c r="F40" s="122">
        <v>674041.50000000012</v>
      </c>
      <c r="G40" s="122">
        <v>8149900.0000000009</v>
      </c>
      <c r="H40" s="122">
        <v>8878900.0000000019</v>
      </c>
      <c r="I40" s="122">
        <v>9364900.0000000019</v>
      </c>
      <c r="J40" s="79" t="str">
        <f>VLOOKUP(A40,Table1[[Unit Number]:[NO. OF BEDROOMS]],2,FALSE)</f>
        <v>3 BEDROOM</v>
      </c>
    </row>
    <row r="41" spans="1:10" x14ac:dyDescent="0.25">
      <c r="A41" s="121" t="s">
        <v>441</v>
      </c>
      <c r="B41" s="191">
        <v>48950.000000000007</v>
      </c>
      <c r="C41" s="191">
        <v>158</v>
      </c>
      <c r="D41" s="191"/>
      <c r="E41" s="122">
        <v>0</v>
      </c>
      <c r="F41" s="122">
        <v>657398.50000000012</v>
      </c>
      <c r="G41" s="122">
        <v>7954100.0000000009</v>
      </c>
      <c r="H41" s="122">
        <v>8665100.0000000019</v>
      </c>
      <c r="I41" s="122">
        <v>9139100.0000000019</v>
      </c>
      <c r="J41" s="79" t="str">
        <f>VLOOKUP(A41,Table1[[Unit Number]:[NO. OF BEDROOMS]],2,FALSE)</f>
        <v>3 BEDROOM</v>
      </c>
    </row>
    <row r="42" spans="1:10" x14ac:dyDescent="0.25">
      <c r="A42" s="121" t="s">
        <v>442</v>
      </c>
      <c r="B42" s="191">
        <v>51095.000000000007</v>
      </c>
      <c r="C42" s="191">
        <v>161</v>
      </c>
      <c r="D42" s="191"/>
      <c r="E42" s="122">
        <v>0</v>
      </c>
      <c r="F42" s="122">
        <v>699235.07500000019</v>
      </c>
      <c r="G42" s="122">
        <v>8446295.0000000019</v>
      </c>
      <c r="H42" s="122">
        <v>9170795.0000000019</v>
      </c>
      <c r="I42" s="122">
        <v>9653795.0000000019</v>
      </c>
      <c r="J42" s="79" t="str">
        <f>VLOOKUP(A42,Table1[[Unit Number]:[NO. OF BEDROOMS]],2,FALSE)</f>
        <v>3 BEDROOM</v>
      </c>
    </row>
    <row r="43" spans="1:10" x14ac:dyDescent="0.25">
      <c r="A43" s="121" t="s">
        <v>443</v>
      </c>
      <c r="B43" s="191">
        <v>48950.000000000007</v>
      </c>
      <c r="C43" s="191">
        <v>153</v>
      </c>
      <c r="D43" s="191"/>
      <c r="E43" s="122">
        <v>0</v>
      </c>
      <c r="F43" s="122">
        <v>636594.75000000012</v>
      </c>
      <c r="G43" s="122">
        <v>7709350.0000000009</v>
      </c>
      <c r="H43" s="122">
        <v>8397850.0000000019</v>
      </c>
      <c r="I43" s="122">
        <v>8856850.0000000019</v>
      </c>
      <c r="J43" s="79" t="str">
        <f>VLOOKUP(A43,Table1[[Unit Number]:[NO. OF BEDROOMS]],2,FALSE)</f>
        <v>3 BEDROOM</v>
      </c>
    </row>
    <row r="44" spans="1:10" x14ac:dyDescent="0.25">
      <c r="A44" s="121" t="s">
        <v>871</v>
      </c>
      <c r="B44" s="191">
        <v>51095.000000000007</v>
      </c>
      <c r="C44" s="191">
        <v>153</v>
      </c>
      <c r="D44" s="191">
        <v>85.562899999999999</v>
      </c>
      <c r="E44" s="122">
        <v>1442706.0039150002</v>
      </c>
      <c r="F44" s="122">
        <v>787120.48533277516</v>
      </c>
      <c r="G44" s="122">
        <v>9480241.0039150007</v>
      </c>
      <c r="H44" s="122">
        <v>10168741.003915003</v>
      </c>
      <c r="I44" s="122">
        <v>10627741.003915003</v>
      </c>
      <c r="J44" s="79" t="str">
        <f>VLOOKUP(A44,Table1[[Unit Number]:[NO. OF BEDROOMS]],2,FALSE)</f>
        <v>3 BEDROOM</v>
      </c>
    </row>
    <row r="45" spans="1:10" x14ac:dyDescent="0.25">
      <c r="A45" s="121" t="s">
        <v>452</v>
      </c>
      <c r="B45" s="191">
        <v>48950.000000000007</v>
      </c>
      <c r="C45" s="191">
        <v>153</v>
      </c>
      <c r="D45" s="191"/>
      <c r="E45" s="122">
        <v>0</v>
      </c>
      <c r="F45" s="122">
        <v>636594.75000000012</v>
      </c>
      <c r="G45" s="122">
        <v>7709350.0000000009</v>
      </c>
      <c r="H45" s="122">
        <v>8397850.0000000019</v>
      </c>
      <c r="I45" s="122">
        <v>8856850.0000000019</v>
      </c>
      <c r="J45" s="79" t="str">
        <f>VLOOKUP(A45,Table1[[Unit Number]:[NO. OF BEDROOMS]],2,FALSE)</f>
        <v>3 BEDROOM</v>
      </c>
    </row>
    <row r="46" spans="1:10" x14ac:dyDescent="0.25">
      <c r="A46" s="121" t="s">
        <v>882</v>
      </c>
      <c r="B46" s="191">
        <v>51122.500000000007</v>
      </c>
      <c r="C46" s="191">
        <v>224</v>
      </c>
      <c r="D46" s="191">
        <v>61.571399999999997</v>
      </c>
      <c r="E46" s="122">
        <v>1038735.6858450001</v>
      </c>
      <c r="F46" s="122">
        <v>1061664.9332968253</v>
      </c>
      <c r="G46" s="122">
        <v>12710175.685845003</v>
      </c>
      <c r="H46" s="122">
        <v>13718175.685845003</v>
      </c>
      <c r="I46" s="122">
        <v>14390175.685845003</v>
      </c>
      <c r="J46" s="79" t="str">
        <f>VLOOKUP(A46,Table1[[Unit Number]:[NO. OF BEDROOMS]],2,FALSE)</f>
        <v>3 BEDROOM + LIVING</v>
      </c>
    </row>
    <row r="47" spans="1:10" x14ac:dyDescent="0.25">
      <c r="A47" s="121" t="s">
        <v>456</v>
      </c>
      <c r="B47" s="191">
        <v>51095.000000000007</v>
      </c>
      <c r="C47" s="191">
        <v>199</v>
      </c>
      <c r="D47" s="191"/>
      <c r="E47" s="122">
        <v>0</v>
      </c>
      <c r="F47" s="122">
        <v>864271.92500000016</v>
      </c>
      <c r="G47" s="122">
        <v>10387905.000000002</v>
      </c>
      <c r="H47" s="122">
        <v>11283405.000000002</v>
      </c>
      <c r="I47" s="122">
        <v>11880405.000000002</v>
      </c>
      <c r="J47" s="79" t="str">
        <f>VLOOKUP(A47,Table1[[Unit Number]:[NO. OF BEDROOMS]],2,FALSE)</f>
        <v>3 BEDROOM</v>
      </c>
    </row>
    <row r="48" spans="1:10" x14ac:dyDescent="0.25">
      <c r="A48" s="121" t="s">
        <v>891</v>
      </c>
      <c r="B48" s="191">
        <v>51122.500000000007</v>
      </c>
      <c r="C48" s="191">
        <v>224</v>
      </c>
      <c r="D48" s="191">
        <v>61.571399999999997</v>
      </c>
      <c r="E48" s="122">
        <v>1038735.6858450001</v>
      </c>
      <c r="F48" s="122">
        <v>1061664.9332968253</v>
      </c>
      <c r="G48" s="122">
        <v>12710175.685845003</v>
      </c>
      <c r="H48" s="122">
        <v>13718175.685845003</v>
      </c>
      <c r="I48" s="122">
        <v>14390175.685845003</v>
      </c>
      <c r="J48" s="79" t="str">
        <f>VLOOKUP(A48,Table1[[Unit Number]:[NO. OF BEDROOMS]],2,FALSE)</f>
        <v>3 BEDROOM + LIVING</v>
      </c>
    </row>
    <row r="49" spans="1:10" x14ac:dyDescent="0.25">
      <c r="A49" s="121" t="s">
        <v>465</v>
      </c>
      <c r="B49" s="191">
        <v>51095.000000000007</v>
      </c>
      <c r="C49" s="191">
        <v>199</v>
      </c>
      <c r="D49" s="191"/>
      <c r="E49" s="122">
        <v>0</v>
      </c>
      <c r="F49" s="122">
        <v>864271.92500000016</v>
      </c>
      <c r="G49" s="122">
        <v>10387905.000000002</v>
      </c>
      <c r="H49" s="122">
        <v>11283405.000000002</v>
      </c>
      <c r="I49" s="122">
        <v>11880405.000000002</v>
      </c>
      <c r="J49" s="79" t="str">
        <f>VLOOKUP(A49,Table1[[Unit Number]:[NO. OF BEDROOMS]],2,FALSE)</f>
        <v>3 BEDROOM</v>
      </c>
    </row>
    <row r="50" spans="1:10" x14ac:dyDescent="0.25">
      <c r="A50" s="121" t="s">
        <v>474</v>
      </c>
      <c r="B50" s="191">
        <v>48922.500000000007</v>
      </c>
      <c r="C50" s="191">
        <v>176</v>
      </c>
      <c r="D50" s="191"/>
      <c r="E50" s="122">
        <v>0</v>
      </c>
      <c r="F50" s="122">
        <v>731880.60000000021</v>
      </c>
      <c r="G50" s="122">
        <v>8830360.0000000019</v>
      </c>
      <c r="H50" s="122">
        <v>9622360.0000000019</v>
      </c>
      <c r="I50" s="122">
        <v>10150360.000000002</v>
      </c>
      <c r="J50" s="79" t="str">
        <f>VLOOKUP(A50,Table1[[Unit Number]:[NO. OF BEDROOMS]],2,FALSE)</f>
        <v>3 BEDROOM</v>
      </c>
    </row>
    <row r="51" spans="1:10" x14ac:dyDescent="0.25">
      <c r="A51" s="121" t="s">
        <v>494</v>
      </c>
      <c r="B51" s="191">
        <v>48950.000000000007</v>
      </c>
      <c r="C51" s="191">
        <v>160</v>
      </c>
      <c r="D51" s="191"/>
      <c r="E51" s="122">
        <v>0</v>
      </c>
      <c r="F51" s="122">
        <v>665720.00000000012</v>
      </c>
      <c r="G51" s="122">
        <v>8052000.0000000009</v>
      </c>
      <c r="H51" s="122">
        <v>8772000.0000000019</v>
      </c>
      <c r="I51" s="122">
        <v>9252000.0000000019</v>
      </c>
      <c r="J51" s="79" t="str">
        <f>VLOOKUP(A51,Table1[[Unit Number]:[NO. OF BEDROOMS]],2,FALSE)</f>
        <v>3 BEDROOM</v>
      </c>
    </row>
    <row r="52" spans="1:10" x14ac:dyDescent="0.25">
      <c r="A52" s="121" t="s">
        <v>938</v>
      </c>
      <c r="B52" s="191">
        <v>51122.500000000007</v>
      </c>
      <c r="C52" s="191">
        <v>160</v>
      </c>
      <c r="D52" s="191"/>
      <c r="E52" s="122">
        <v>0</v>
      </c>
      <c r="F52" s="122">
        <v>695266.00000000012</v>
      </c>
      <c r="G52" s="122">
        <v>8399600.0000000019</v>
      </c>
      <c r="H52" s="122">
        <v>9119600.0000000019</v>
      </c>
      <c r="I52" s="122">
        <v>9599600.0000000019</v>
      </c>
      <c r="J52" s="79" t="str">
        <f>VLOOKUP(A52,Table1[[Unit Number]:[NO. OF BEDROOMS]],2,FALSE)</f>
        <v>3 BEDROOM</v>
      </c>
    </row>
    <row r="53" spans="1:10" x14ac:dyDescent="0.25">
      <c r="A53" s="121" t="s">
        <v>514</v>
      </c>
      <c r="B53" s="191">
        <v>48950.000000000007</v>
      </c>
      <c r="C53" s="191">
        <v>172</v>
      </c>
      <c r="D53" s="191"/>
      <c r="E53" s="122">
        <v>0</v>
      </c>
      <c r="F53" s="122">
        <v>715649.00000000023</v>
      </c>
      <c r="G53" s="122">
        <v>8639400.0000000019</v>
      </c>
      <c r="H53" s="122">
        <v>9413400.0000000019</v>
      </c>
      <c r="I53" s="122">
        <v>9929400.0000000019</v>
      </c>
      <c r="J53" s="79" t="str">
        <f>VLOOKUP(A53,Table1[[Unit Number]:[NO. OF BEDROOMS]],2,FALSE)</f>
        <v>3 BEDROOM</v>
      </c>
    </row>
    <row r="54" spans="1:10" x14ac:dyDescent="0.25">
      <c r="A54" s="121" t="s">
        <v>526</v>
      </c>
      <c r="B54" s="191">
        <v>48950.000000000007</v>
      </c>
      <c r="C54" s="191">
        <v>172</v>
      </c>
      <c r="D54" s="191"/>
      <c r="E54" s="122">
        <v>0</v>
      </c>
      <c r="F54" s="122">
        <v>715649.00000000023</v>
      </c>
      <c r="G54" s="122">
        <v>8639400.0000000019</v>
      </c>
      <c r="H54" s="122">
        <v>9413400.0000000019</v>
      </c>
      <c r="I54" s="122">
        <v>9929400.0000000019</v>
      </c>
      <c r="J54" s="79" t="str">
        <f>VLOOKUP(A54,Table1[[Unit Number]:[NO. OF BEDROOMS]],2,FALSE)</f>
        <v>3 BEDROOM</v>
      </c>
    </row>
    <row r="55" spans="1:10" x14ac:dyDescent="0.25">
      <c r="A55" s="121" t="s">
        <v>527</v>
      </c>
      <c r="B55" s="191">
        <v>48950.000000000007</v>
      </c>
      <c r="C55" s="191">
        <v>172</v>
      </c>
      <c r="D55" s="191"/>
      <c r="E55" s="122">
        <v>0</v>
      </c>
      <c r="F55" s="122">
        <v>715649.00000000023</v>
      </c>
      <c r="G55" s="122">
        <v>8639400.0000000019</v>
      </c>
      <c r="H55" s="122">
        <v>9413400.0000000019</v>
      </c>
      <c r="I55" s="122">
        <v>9929400.0000000019</v>
      </c>
      <c r="J55" s="79" t="str">
        <f>VLOOKUP(A55,Table1[[Unit Number]:[NO. OF BEDROOMS]],2,FALSE)</f>
        <v>3 BEDROOM</v>
      </c>
    </row>
    <row r="56" spans="1:10" x14ac:dyDescent="0.25">
      <c r="A56" s="121" t="s">
        <v>964</v>
      </c>
      <c r="B56" s="191">
        <v>51122.500000000007</v>
      </c>
      <c r="C56" s="191">
        <v>224</v>
      </c>
      <c r="D56" s="191"/>
      <c r="E56" s="122">
        <v>0</v>
      </c>
      <c r="F56" s="122">
        <v>973372.40000000026</v>
      </c>
      <c r="G56" s="122">
        <v>11671440.000000002</v>
      </c>
      <c r="H56" s="122">
        <v>12679440.000000002</v>
      </c>
      <c r="I56" s="122">
        <v>13351440.000000002</v>
      </c>
      <c r="J56" s="79" t="str">
        <f>VLOOKUP(A56,Table1[[Unit Number]:[NO. OF BEDROOMS]],2,FALSE)</f>
        <v>3 BEDROOM + LIVING</v>
      </c>
    </row>
    <row r="57" spans="1:10" x14ac:dyDescent="0.25">
      <c r="A57" s="121" t="s">
        <v>537</v>
      </c>
      <c r="B57" s="191">
        <v>48950.000000000007</v>
      </c>
      <c r="C57" s="191">
        <v>172</v>
      </c>
      <c r="D57" s="191"/>
      <c r="E57" s="122">
        <v>0</v>
      </c>
      <c r="F57" s="122">
        <v>715649.00000000023</v>
      </c>
      <c r="G57" s="122">
        <v>8639400.0000000019</v>
      </c>
      <c r="H57" s="122">
        <v>9413400.0000000019</v>
      </c>
      <c r="I57" s="122">
        <v>9929400.0000000019</v>
      </c>
      <c r="J57" s="79" t="str">
        <f>VLOOKUP(A57,Table1[[Unit Number]:[NO. OF BEDROOMS]],2,FALSE)</f>
        <v>3 BEDROOM</v>
      </c>
    </row>
    <row r="58" spans="1:10" x14ac:dyDescent="0.25">
      <c r="A58" s="121" t="s">
        <v>1000</v>
      </c>
      <c r="B58" s="191">
        <v>50407.500000000007</v>
      </c>
      <c r="C58" s="191">
        <v>344</v>
      </c>
      <c r="D58" s="191">
        <v>97.259299999999996</v>
      </c>
      <c r="E58" s="122">
        <v>1617857.3943675002</v>
      </c>
      <c r="F58" s="122">
        <v>1611433.178521238</v>
      </c>
      <c r="G58" s="122">
        <v>19178037.394367505</v>
      </c>
      <c r="H58" s="122">
        <v>20726037.394367505</v>
      </c>
      <c r="I58" s="122">
        <v>21758037.394367505</v>
      </c>
      <c r="J58" s="79" t="str">
        <f>VLOOKUP(A58,Table1[[Unit Number]:[NO. OF BEDROOMS]],2,FALSE)</f>
        <v>3 BEDROOM + LIVING (DUPLEX)</v>
      </c>
    </row>
    <row r="59" spans="1:10" x14ac:dyDescent="0.25">
      <c r="A59" s="121" t="s">
        <v>1005</v>
      </c>
      <c r="B59" s="191">
        <v>51095.000000000007</v>
      </c>
      <c r="C59" s="191">
        <v>174</v>
      </c>
      <c r="D59" s="191"/>
      <c r="E59" s="122">
        <v>0</v>
      </c>
      <c r="F59" s="122">
        <v>755695.05000000016</v>
      </c>
      <c r="G59" s="122">
        <v>9110530.0000000019</v>
      </c>
      <c r="H59" s="122">
        <v>9893530.0000000019</v>
      </c>
      <c r="I59" s="122">
        <v>10415530.000000002</v>
      </c>
      <c r="J59" s="79" t="str">
        <f>VLOOKUP(A59,Table1[[Unit Number]:[NO. OF BEDROOMS]],2,FALSE)</f>
        <v>3 BEDROOM</v>
      </c>
    </row>
    <row r="60" spans="1:10" x14ac:dyDescent="0.25">
      <c r="A60" s="121" t="s">
        <v>1006</v>
      </c>
      <c r="B60" s="191">
        <v>51095.000000000007</v>
      </c>
      <c r="C60" s="191">
        <v>174</v>
      </c>
      <c r="D60" s="191"/>
      <c r="E60" s="122">
        <v>0</v>
      </c>
      <c r="F60" s="122">
        <v>755695.05000000016</v>
      </c>
      <c r="G60" s="122">
        <v>9110530.0000000019</v>
      </c>
      <c r="H60" s="122">
        <v>9893530.0000000019</v>
      </c>
      <c r="I60" s="122">
        <v>10415530.000000002</v>
      </c>
      <c r="J60" s="79" t="str">
        <f>VLOOKUP(A60,Table1[[Unit Number]:[NO. OF BEDROOMS]],2,FALSE)</f>
        <v>3 BEDROOM</v>
      </c>
    </row>
    <row r="61" spans="1:10" x14ac:dyDescent="0.25">
      <c r="A61" s="121" t="s">
        <v>1012</v>
      </c>
      <c r="B61" s="191">
        <v>51122.500000000007</v>
      </c>
      <c r="C61" s="191">
        <v>224</v>
      </c>
      <c r="D61" s="191"/>
      <c r="E61" s="122">
        <v>0</v>
      </c>
      <c r="F61" s="122">
        <v>973372.40000000026</v>
      </c>
      <c r="G61" s="122">
        <v>11671440.000000002</v>
      </c>
      <c r="H61" s="122">
        <v>12679440.000000002</v>
      </c>
      <c r="I61" s="122">
        <v>13351440.000000002</v>
      </c>
      <c r="J61" s="79" t="str">
        <f>VLOOKUP(A61,Table1[[Unit Number]:[NO. OF BEDROOMS]],2,FALSE)</f>
        <v>3 BEDROOM + LIVING</v>
      </c>
    </row>
    <row r="62" spans="1:10" x14ac:dyDescent="0.25">
      <c r="A62" s="121" t="s">
        <v>1023</v>
      </c>
      <c r="B62" s="191">
        <v>50325.000000000007</v>
      </c>
      <c r="C62" s="191">
        <v>198</v>
      </c>
      <c r="D62" s="191"/>
      <c r="E62" s="122">
        <v>0</v>
      </c>
      <c r="F62" s="122">
        <v>846969.75000000023</v>
      </c>
      <c r="G62" s="122">
        <v>10184350.000000002</v>
      </c>
      <c r="H62" s="122">
        <v>11075350.000000002</v>
      </c>
      <c r="I62" s="122">
        <v>11669350.000000002</v>
      </c>
      <c r="J62" s="79" t="str">
        <f>VLOOKUP(A62,Table1[[Unit Number]:[NO. OF BEDROOMS]],2,FALSE)</f>
        <v>3 BEDROOM</v>
      </c>
    </row>
    <row r="63" spans="1:10" x14ac:dyDescent="0.25">
      <c r="A63" s="121" t="s">
        <v>582</v>
      </c>
      <c r="B63" s="191">
        <v>48950.000000000007</v>
      </c>
      <c r="C63" s="191">
        <v>174</v>
      </c>
      <c r="D63" s="191"/>
      <c r="E63" s="122">
        <v>0</v>
      </c>
      <c r="F63" s="122">
        <v>723970.50000000023</v>
      </c>
      <c r="G63" s="122">
        <v>8737300.0000000019</v>
      </c>
      <c r="H63" s="122">
        <v>9520300.0000000019</v>
      </c>
      <c r="I63" s="122">
        <v>10042300.000000002</v>
      </c>
      <c r="J63" s="79" t="str">
        <f>VLOOKUP(A63,Table1[[Unit Number]:[NO. OF BEDROOMS]],2,FALSE)</f>
        <v>3 BEDROOM</v>
      </c>
    </row>
    <row r="64" spans="1:10" x14ac:dyDescent="0.25">
      <c r="A64" s="121" t="s">
        <v>1042</v>
      </c>
      <c r="B64" s="191">
        <v>50325.000000000007</v>
      </c>
      <c r="C64" s="191">
        <v>173</v>
      </c>
      <c r="D64" s="191"/>
      <c r="E64" s="122">
        <v>0</v>
      </c>
      <c r="F64" s="122">
        <v>740029.12500000023</v>
      </c>
      <c r="G64" s="122">
        <v>8926225.0000000019</v>
      </c>
      <c r="H64" s="122">
        <v>9704725.0000000019</v>
      </c>
      <c r="I64" s="122">
        <v>10223725.000000002</v>
      </c>
      <c r="J64" s="79" t="str">
        <f>VLOOKUP(A64,Table1[[Unit Number]:[NO. OF BEDROOMS]],2,FALSE)</f>
        <v>3 BEDROOM</v>
      </c>
    </row>
    <row r="65" spans="1:10" x14ac:dyDescent="0.25">
      <c r="A65" s="121" t="s">
        <v>1043</v>
      </c>
      <c r="B65" s="191">
        <v>50325.000000000007</v>
      </c>
      <c r="C65" s="191">
        <v>173</v>
      </c>
      <c r="D65" s="191"/>
      <c r="E65" s="122">
        <v>0</v>
      </c>
      <c r="F65" s="122">
        <v>740029.12500000023</v>
      </c>
      <c r="G65" s="122">
        <v>8926225.0000000019</v>
      </c>
      <c r="H65" s="122">
        <v>9704725.0000000019</v>
      </c>
      <c r="I65" s="122">
        <v>10223725.000000002</v>
      </c>
      <c r="J65" s="79" t="str">
        <f>VLOOKUP(A65,Table1[[Unit Number]:[NO. OF BEDROOMS]],2,FALSE)</f>
        <v>3 BEDROOM</v>
      </c>
    </row>
    <row r="66" spans="1:10" x14ac:dyDescent="0.25">
      <c r="A66" s="121" t="s">
        <v>1046</v>
      </c>
      <c r="B66" s="191">
        <v>50325.000000000007</v>
      </c>
      <c r="C66" s="191">
        <v>198</v>
      </c>
      <c r="D66" s="191"/>
      <c r="E66" s="122">
        <v>0</v>
      </c>
      <c r="F66" s="122">
        <v>846969.75000000023</v>
      </c>
      <c r="G66" s="122">
        <v>10184350.000000002</v>
      </c>
      <c r="H66" s="122">
        <v>11075350.000000002</v>
      </c>
      <c r="I66" s="122">
        <v>11669350.000000002</v>
      </c>
      <c r="J66" s="79" t="str">
        <f>VLOOKUP(A66,Table1[[Unit Number]:[NO. OF BEDROOMS]],2,FALSE)</f>
        <v>3 BEDROOM</v>
      </c>
    </row>
    <row r="67" spans="1:10" x14ac:dyDescent="0.25">
      <c r="A67" s="121" t="s">
        <v>607</v>
      </c>
      <c r="B67" s="191">
        <v>51067.500000000007</v>
      </c>
      <c r="C67" s="191">
        <v>160</v>
      </c>
      <c r="D67" s="191"/>
      <c r="E67" s="122">
        <v>0</v>
      </c>
      <c r="F67" s="122">
        <v>694518.00000000012</v>
      </c>
      <c r="G67" s="122">
        <v>8390800.0000000019</v>
      </c>
      <c r="H67" s="122">
        <v>9110800.0000000019</v>
      </c>
      <c r="I67" s="122">
        <v>9590800.0000000019</v>
      </c>
      <c r="J67" s="79" t="str">
        <f>VLOOKUP(A67,Table1[[Unit Number]:[NO. OF BEDROOMS]],2,FALSE)</f>
        <v>3 BEDROOM</v>
      </c>
    </row>
    <row r="68" spans="1:10" x14ac:dyDescent="0.25">
      <c r="A68" s="121" t="s">
        <v>615</v>
      </c>
      <c r="B68" s="191">
        <v>48950.000000000007</v>
      </c>
      <c r="C68" s="191">
        <v>160</v>
      </c>
      <c r="D68" s="191"/>
      <c r="E68" s="122">
        <v>0</v>
      </c>
      <c r="F68" s="122">
        <v>665720.00000000012</v>
      </c>
      <c r="G68" s="122">
        <v>8052000.0000000009</v>
      </c>
      <c r="H68" s="122">
        <v>8772000.0000000019</v>
      </c>
      <c r="I68" s="122">
        <v>9252000.0000000019</v>
      </c>
      <c r="J68" s="79" t="str">
        <f>VLOOKUP(A68,Table1[[Unit Number]:[NO. OF BEDROOMS]],2,FALSE)</f>
        <v>3 BEDROOM</v>
      </c>
    </row>
    <row r="69" spans="1:10" x14ac:dyDescent="0.25">
      <c r="A69" s="121" t="s">
        <v>628</v>
      </c>
      <c r="B69" s="191">
        <v>51067.500000000007</v>
      </c>
      <c r="C69" s="191">
        <v>160</v>
      </c>
      <c r="D69" s="191"/>
      <c r="E69" s="122">
        <v>0</v>
      </c>
      <c r="F69" s="122">
        <v>694518.00000000012</v>
      </c>
      <c r="G69" s="122">
        <v>8390800.0000000019</v>
      </c>
      <c r="H69" s="122">
        <v>9110800.0000000019</v>
      </c>
      <c r="I69" s="122">
        <v>9590800.0000000019</v>
      </c>
      <c r="J69" s="79" t="str">
        <f>VLOOKUP(A69,Table1[[Unit Number]:[NO. OF BEDROOMS]],2,FALSE)</f>
        <v>3 BEDROOM</v>
      </c>
    </row>
    <row r="70" spans="1:10" x14ac:dyDescent="0.25">
      <c r="A70" s="121" t="s">
        <v>1090</v>
      </c>
      <c r="B70" s="191">
        <v>50352.500000000007</v>
      </c>
      <c r="C70" s="191">
        <v>161</v>
      </c>
      <c r="D70" s="191"/>
      <c r="E70" s="122">
        <v>0</v>
      </c>
      <c r="F70" s="122">
        <v>689073.96250000014</v>
      </c>
      <c r="G70" s="122">
        <v>8326752.5000000009</v>
      </c>
      <c r="H70" s="122">
        <v>9051252.5000000019</v>
      </c>
      <c r="I70" s="122">
        <v>9534252.5000000019</v>
      </c>
      <c r="J70" s="79" t="str">
        <f>VLOOKUP(A70,Table1[[Unit Number]:[NO. OF BEDROOMS]],2,FALSE)</f>
        <v>3 BEDROOM</v>
      </c>
    </row>
    <row r="71" spans="1:10" x14ac:dyDescent="0.25">
      <c r="A71" s="121" t="s">
        <v>639</v>
      </c>
      <c r="B71" s="191">
        <v>48950.000000000007</v>
      </c>
      <c r="C71" s="191">
        <v>153</v>
      </c>
      <c r="D71" s="191"/>
      <c r="E71" s="122">
        <v>0</v>
      </c>
      <c r="F71" s="122">
        <v>636594.75000000012</v>
      </c>
      <c r="G71" s="122">
        <v>7709350.0000000009</v>
      </c>
      <c r="H71" s="122">
        <v>8397850.0000000019</v>
      </c>
      <c r="I71" s="122">
        <v>8856850.0000000019</v>
      </c>
      <c r="J71" s="79" t="str">
        <f>VLOOKUP(A71,Table1[[Unit Number]:[NO. OF BEDROOMS]],2,FALSE)</f>
        <v>3 BEDROOM</v>
      </c>
    </row>
    <row r="72" spans="1:10" x14ac:dyDescent="0.25">
      <c r="A72" s="121" t="s">
        <v>661</v>
      </c>
      <c r="B72" s="191">
        <v>51067.500000000007</v>
      </c>
      <c r="C72" s="191">
        <v>161</v>
      </c>
      <c r="D72" s="191"/>
      <c r="E72" s="122">
        <v>0</v>
      </c>
      <c r="F72" s="122">
        <v>698858.73750000016</v>
      </c>
      <c r="G72" s="122">
        <v>8441867.5000000019</v>
      </c>
      <c r="H72" s="122">
        <v>9166367.5000000019</v>
      </c>
      <c r="I72" s="122">
        <v>9649367.5000000019</v>
      </c>
      <c r="J72" s="79" t="str">
        <f>VLOOKUP(A72,Table1[[Unit Number]:[NO. OF BEDROOMS]],2,FALSE)</f>
        <v>3 BEDROOM</v>
      </c>
    </row>
    <row r="73" spans="1:10" x14ac:dyDescent="0.25">
      <c r="A73" s="121" t="s">
        <v>1123</v>
      </c>
      <c r="B73" s="191">
        <v>50352.500000000007</v>
      </c>
      <c r="C73" s="191">
        <v>160</v>
      </c>
      <c r="D73" s="191"/>
      <c r="E73" s="122">
        <v>0</v>
      </c>
      <c r="F73" s="122">
        <v>684794.00000000012</v>
      </c>
      <c r="G73" s="122">
        <v>8276400.0000000009</v>
      </c>
      <c r="H73" s="122">
        <v>8996400.0000000019</v>
      </c>
      <c r="I73" s="122">
        <v>9476400.0000000019</v>
      </c>
      <c r="J73" s="79" t="str">
        <f>VLOOKUP(A73,Table1[[Unit Number]:[NO. OF BEDROOMS]],2,FALSE)</f>
        <v>3 BEDROOM</v>
      </c>
    </row>
    <row r="74" spans="1:10" x14ac:dyDescent="0.25">
      <c r="A74" s="121" t="s">
        <v>681</v>
      </c>
      <c r="B74" s="191">
        <v>48950.000000000007</v>
      </c>
      <c r="C74" s="191">
        <v>153</v>
      </c>
      <c r="D74" s="191"/>
      <c r="E74" s="122">
        <v>0</v>
      </c>
      <c r="F74" s="122">
        <v>636594.75000000012</v>
      </c>
      <c r="G74" s="122">
        <v>7709350.0000000009</v>
      </c>
      <c r="H74" s="122">
        <v>8397850.0000000019</v>
      </c>
      <c r="I74" s="122">
        <v>8856850.0000000019</v>
      </c>
      <c r="J74" s="79" t="str">
        <f>VLOOKUP(A74,Table1[[Unit Number]:[NO. OF BEDROOMS]],2,FALSE)</f>
        <v>3 BEDROOM</v>
      </c>
    </row>
    <row r="75" spans="1:10" x14ac:dyDescent="0.25">
      <c r="A75" s="121" t="s">
        <v>688</v>
      </c>
      <c r="B75" s="191">
        <v>48950.000000000007</v>
      </c>
      <c r="C75" s="191">
        <v>162</v>
      </c>
      <c r="D75" s="191"/>
      <c r="E75" s="122">
        <v>0</v>
      </c>
      <c r="F75" s="122">
        <v>674041.50000000012</v>
      </c>
      <c r="G75" s="122">
        <v>8149900.0000000009</v>
      </c>
      <c r="H75" s="122">
        <v>8878900.0000000019</v>
      </c>
      <c r="I75" s="122">
        <v>9364900.0000000019</v>
      </c>
      <c r="J75" s="79" t="str">
        <f>VLOOKUP(A75,Table1[[Unit Number]:[NO. OF BEDROOMS]],2,FALSE)</f>
        <v>3 BEDROOM</v>
      </c>
    </row>
    <row r="76" spans="1:10" x14ac:dyDescent="0.25">
      <c r="A76" s="121" t="s">
        <v>694</v>
      </c>
      <c r="B76" s="191">
        <v>48950.000000000007</v>
      </c>
      <c r="C76" s="191">
        <v>158</v>
      </c>
      <c r="D76" s="191"/>
      <c r="E76" s="122">
        <v>0</v>
      </c>
      <c r="F76" s="122">
        <v>657398.50000000012</v>
      </c>
      <c r="G76" s="122">
        <v>7954100.0000000009</v>
      </c>
      <c r="H76" s="122">
        <v>8665100.0000000019</v>
      </c>
      <c r="I76" s="122">
        <v>9139100.0000000019</v>
      </c>
      <c r="J76" s="79" t="str">
        <f>VLOOKUP(A76,Table1[[Unit Number]:[NO. OF BEDROOMS]],2,FALSE)</f>
        <v>3 BEDROOM</v>
      </c>
    </row>
    <row r="77" spans="1:10" x14ac:dyDescent="0.25">
      <c r="A77" s="121" t="s">
        <v>697</v>
      </c>
      <c r="B77" s="191">
        <v>48950.000000000007</v>
      </c>
      <c r="C77" s="191">
        <v>153</v>
      </c>
      <c r="D77" s="191"/>
      <c r="E77" s="122">
        <v>0</v>
      </c>
      <c r="F77" s="122">
        <v>636594.75000000012</v>
      </c>
      <c r="G77" s="122">
        <v>7709350.0000000009</v>
      </c>
      <c r="H77" s="122">
        <v>8397850.0000000019</v>
      </c>
      <c r="I77" s="122">
        <v>8856850.0000000019</v>
      </c>
      <c r="J77" s="79" t="str">
        <f>VLOOKUP(A77,Table1[[Unit Number]:[NO. OF BEDROOMS]],2,FALSE)</f>
        <v>3 BEDROOM</v>
      </c>
    </row>
    <row r="78" spans="1:10" x14ac:dyDescent="0.25">
      <c r="A78" s="121" t="s">
        <v>1137</v>
      </c>
      <c r="B78" s="191">
        <v>50352.500000000007</v>
      </c>
      <c r="C78" s="191">
        <v>160</v>
      </c>
      <c r="D78" s="191"/>
      <c r="E78" s="122">
        <v>0</v>
      </c>
      <c r="F78" s="122">
        <v>684794.00000000012</v>
      </c>
      <c r="G78" s="122">
        <v>8276400.0000000009</v>
      </c>
      <c r="H78" s="122">
        <v>8996400.0000000019</v>
      </c>
      <c r="I78" s="122">
        <v>9476400.0000000019</v>
      </c>
      <c r="J78" s="79" t="str">
        <f>VLOOKUP(A78,Table1[[Unit Number]:[NO. OF BEDROOMS]],2,FALSE)</f>
        <v>3 BEDROOM</v>
      </c>
    </row>
    <row r="79" spans="1:10" x14ac:dyDescent="0.25">
      <c r="A79" s="121" t="s">
        <v>708</v>
      </c>
      <c r="B79" s="191">
        <v>48950.000000000007</v>
      </c>
      <c r="C79" s="191">
        <v>153</v>
      </c>
      <c r="D79" s="191"/>
      <c r="E79" s="122">
        <v>0</v>
      </c>
      <c r="F79" s="122">
        <v>636594.75000000012</v>
      </c>
      <c r="G79" s="122">
        <v>7709350.0000000009</v>
      </c>
      <c r="H79" s="122">
        <v>8397850.0000000019</v>
      </c>
      <c r="I79" s="122">
        <v>8856850.0000000019</v>
      </c>
      <c r="J79" s="79" t="str">
        <f>VLOOKUP(A79,Table1[[Unit Number]:[NO. OF BEDROOMS]],2,FALSE)</f>
        <v>3 BEDROOM</v>
      </c>
    </row>
    <row r="80" spans="1:10" x14ac:dyDescent="0.25">
      <c r="A80" s="121" t="s">
        <v>709</v>
      </c>
      <c r="B80" s="122">
        <v>3049310.0000000005</v>
      </c>
      <c r="C80" s="122">
        <v>10429</v>
      </c>
      <c r="D80" s="122">
        <v>709.19140000000016</v>
      </c>
      <c r="E80" s="122">
        <v>11806668.519690003</v>
      </c>
      <c r="F80" s="122">
        <v>45374141.424173653</v>
      </c>
      <c r="G80" s="122">
        <v>547233428.51969016</v>
      </c>
      <c r="H80" s="122">
        <v>594163928.51969016</v>
      </c>
      <c r="I80" s="122">
        <v>625450928.51969016</v>
      </c>
    </row>
    <row r="81" spans="1:10" x14ac:dyDescent="0.25">
      <c r="A81"/>
      <c r="B81"/>
      <c r="C81"/>
      <c r="D81"/>
      <c r="E81"/>
      <c r="F81"/>
      <c r="G81"/>
      <c r="H81"/>
      <c r="I81"/>
      <c r="J81" s="79" t="e">
        <f>VLOOKUP(A81,Table1[[Unit Number]:[NO. OF BEDROOMS]],2,FALSE)</f>
        <v>#N/A</v>
      </c>
    </row>
    <row r="82" spans="1:10" x14ac:dyDescent="0.25">
      <c r="A82"/>
      <c r="B82"/>
      <c r="C82"/>
      <c r="D82"/>
      <c r="E82"/>
      <c r="F82"/>
      <c r="G82"/>
      <c r="H82"/>
      <c r="I82"/>
      <c r="J82" s="79" t="e">
        <f>VLOOKUP(A82,Table1[[Unit Number]:[NO. OF BEDROOMS]],2,FALSE)</f>
        <v>#N/A</v>
      </c>
    </row>
    <row r="83" spans="1:10" x14ac:dyDescent="0.25">
      <c r="A83"/>
      <c r="B83"/>
      <c r="C83"/>
      <c r="D83"/>
      <c r="E83"/>
      <c r="F83"/>
      <c r="G83"/>
      <c r="H83"/>
      <c r="I83"/>
      <c r="J83" s="79" t="e">
        <f>VLOOKUP(A83,Table1[[Unit Number]:[NO. OF BEDROOMS]],2,FALSE)</f>
        <v>#N/A</v>
      </c>
    </row>
    <row r="84" spans="1:10" x14ac:dyDescent="0.25">
      <c r="A84"/>
      <c r="B84"/>
      <c r="C84"/>
      <c r="D84"/>
      <c r="E84"/>
      <c r="F84"/>
      <c r="G84"/>
      <c r="H84"/>
      <c r="I84"/>
      <c r="J84" s="79" t="e">
        <f>VLOOKUP(A84,Table1[[Unit Number]:[NO. OF BEDROOMS]],2,FALSE)</f>
        <v>#N/A</v>
      </c>
    </row>
    <row r="85" spans="1:10" x14ac:dyDescent="0.25">
      <c r="A85"/>
      <c r="B85"/>
      <c r="C85"/>
      <c r="D85"/>
      <c r="E85"/>
      <c r="F85"/>
      <c r="G85"/>
      <c r="H85"/>
      <c r="I85"/>
      <c r="J85" s="79" t="e">
        <f>VLOOKUP(A85,Table1[[Unit Number]:[NO. OF BEDROOMS]],2,FALSE)</f>
        <v>#N/A</v>
      </c>
    </row>
    <row r="86" spans="1:10" x14ac:dyDescent="0.25">
      <c r="A86"/>
      <c r="B86"/>
      <c r="C86"/>
      <c r="D86"/>
      <c r="E86"/>
      <c r="F86"/>
      <c r="G86"/>
      <c r="H86"/>
      <c r="I86"/>
      <c r="J86" s="79" t="e">
        <f>VLOOKUP(A86,Table1[[Unit Number]:[NO. OF BEDROOMS]],2,FALSE)</f>
        <v>#N/A</v>
      </c>
    </row>
    <row r="87" spans="1:10" x14ac:dyDescent="0.25">
      <c r="A87"/>
      <c r="B87"/>
      <c r="C87"/>
      <c r="D87"/>
      <c r="E87"/>
      <c r="F87"/>
      <c r="G87"/>
      <c r="H87"/>
      <c r="I87"/>
      <c r="J87" s="79" t="e">
        <f>VLOOKUP(A87,Table1[[Unit Number]:[NO. OF BEDROOMS]],2,FALSE)</f>
        <v>#N/A</v>
      </c>
    </row>
    <row r="88" spans="1:10" x14ac:dyDescent="0.25">
      <c r="A88"/>
      <c r="B88"/>
      <c r="C88"/>
      <c r="D88"/>
      <c r="E88"/>
      <c r="F88"/>
      <c r="G88"/>
      <c r="H88"/>
      <c r="I88"/>
      <c r="J88" s="79" t="e">
        <f>VLOOKUP(A88,Table1[[Unit Number]:[NO. OF BEDROOMS]],2,FALSE)</f>
        <v>#N/A</v>
      </c>
    </row>
    <row r="89" spans="1:10" x14ac:dyDescent="0.25">
      <c r="A89"/>
      <c r="B89"/>
      <c r="C89"/>
      <c r="D89"/>
      <c r="E89"/>
      <c r="F89"/>
      <c r="G89"/>
      <c r="H89"/>
      <c r="I89"/>
      <c r="J89" s="79" t="e">
        <f>VLOOKUP(A89,Table1[[Unit Number]:[NO. OF BEDROOMS]],2,FALSE)</f>
        <v>#N/A</v>
      </c>
    </row>
    <row r="90" spans="1:10" x14ac:dyDescent="0.25">
      <c r="A90"/>
      <c r="B90"/>
      <c r="C90"/>
      <c r="D90"/>
      <c r="E90"/>
      <c r="F90"/>
      <c r="G90"/>
      <c r="H90"/>
      <c r="I90"/>
      <c r="J90" s="79" t="e">
        <f>VLOOKUP(A90,Table1[[Unit Number]:[NO. OF BEDROOMS]],2,FALSE)</f>
        <v>#N/A</v>
      </c>
    </row>
    <row r="91" spans="1:10" x14ac:dyDescent="0.25">
      <c r="A91"/>
      <c r="B91"/>
      <c r="C91"/>
      <c r="D91"/>
      <c r="E91"/>
      <c r="F91"/>
      <c r="G91"/>
      <c r="H91"/>
      <c r="I91"/>
      <c r="J91" s="79" t="e">
        <f>VLOOKUP(A91,Table1[[Unit Number]:[NO. OF BEDROOMS]],2,FALSE)</f>
        <v>#N/A</v>
      </c>
    </row>
    <row r="92" spans="1:10" x14ac:dyDescent="0.25">
      <c r="A92"/>
      <c r="B92"/>
      <c r="C92"/>
      <c r="D92"/>
      <c r="E92"/>
      <c r="F92"/>
      <c r="G92"/>
      <c r="H92"/>
      <c r="I92"/>
      <c r="J92" s="79" t="e">
        <f>VLOOKUP(A92,Table1[[Unit Number]:[NO. OF BEDROOMS]],2,FALSE)</f>
        <v>#N/A</v>
      </c>
    </row>
    <row r="93" spans="1:10" x14ac:dyDescent="0.25">
      <c r="A93"/>
      <c r="B93"/>
      <c r="C93"/>
      <c r="D93"/>
      <c r="E93"/>
      <c r="F93"/>
      <c r="G93"/>
      <c r="H93"/>
      <c r="I93"/>
      <c r="J93" s="79" t="e">
        <f>VLOOKUP(A93,Table1[[Unit Number]:[NO. OF BEDROOMS]],2,FALSE)</f>
        <v>#N/A</v>
      </c>
    </row>
    <row r="94" spans="1:10" x14ac:dyDescent="0.25">
      <c r="A94"/>
      <c r="B94"/>
      <c r="C94"/>
      <c r="D94"/>
      <c r="E94"/>
      <c r="F94"/>
      <c r="G94"/>
      <c r="H94"/>
      <c r="I94"/>
      <c r="J94" s="79" t="e">
        <f>VLOOKUP(A94,Table1[[Unit Number]:[NO. OF BEDROOMS]],2,FALSE)</f>
        <v>#N/A</v>
      </c>
    </row>
    <row r="95" spans="1:10" x14ac:dyDescent="0.25">
      <c r="A95"/>
      <c r="B95"/>
      <c r="C95"/>
      <c r="D95"/>
      <c r="E95"/>
      <c r="F95"/>
      <c r="G95"/>
      <c r="H95"/>
      <c r="I95"/>
      <c r="J95" s="79" t="e">
        <f>VLOOKUP(A95,Table1[[Unit Number]:[NO. OF BEDROOMS]],2,FALSE)</f>
        <v>#N/A</v>
      </c>
    </row>
    <row r="96" spans="1:10" x14ac:dyDescent="0.25">
      <c r="A96"/>
      <c r="B96"/>
      <c r="C96"/>
      <c r="D96"/>
      <c r="E96"/>
      <c r="F96"/>
      <c r="G96"/>
      <c r="H96"/>
      <c r="I96"/>
      <c r="J96" s="79" t="e">
        <f>VLOOKUP(A96,Table1[[Unit Number]:[NO. OF BEDROOMS]],2,FALSE)</f>
        <v>#N/A</v>
      </c>
    </row>
    <row r="97" spans="1:10" x14ac:dyDescent="0.25">
      <c r="A97"/>
      <c r="B97"/>
      <c r="C97"/>
      <c r="D97"/>
      <c r="E97"/>
      <c r="F97"/>
      <c r="G97"/>
      <c r="H97"/>
      <c r="I97"/>
      <c r="J97" s="79" t="e">
        <f>VLOOKUP(A97,Table1[[Unit Number]:[NO. OF BEDROOMS]],2,FALSE)</f>
        <v>#N/A</v>
      </c>
    </row>
    <row r="98" spans="1:10" x14ac:dyDescent="0.25">
      <c r="A98"/>
      <c r="B98"/>
      <c r="C98"/>
      <c r="D98"/>
      <c r="E98"/>
      <c r="F98"/>
      <c r="G98"/>
      <c r="H98"/>
      <c r="I98"/>
      <c r="J98" s="79" t="e">
        <f>VLOOKUP(A98,Table1[[Unit Number]:[NO. OF BEDROOMS]],2,FALSE)</f>
        <v>#N/A</v>
      </c>
    </row>
    <row r="99" spans="1:10" x14ac:dyDescent="0.25">
      <c r="A99"/>
      <c r="B99"/>
      <c r="C99"/>
      <c r="D99"/>
      <c r="E99"/>
      <c r="F99"/>
      <c r="G99"/>
      <c r="H99"/>
      <c r="I99"/>
      <c r="J99" s="79" t="e">
        <f>VLOOKUP(A99,Table1[[Unit Number]:[NO. OF BEDROOMS]],2,FALSE)</f>
        <v>#N/A</v>
      </c>
    </row>
    <row r="100" spans="1:10" x14ac:dyDescent="0.25">
      <c r="A100"/>
      <c r="B100"/>
      <c r="C100"/>
      <c r="D100"/>
      <c r="E100"/>
      <c r="F100"/>
      <c r="G100"/>
      <c r="H100"/>
      <c r="I100"/>
      <c r="J100" s="79" t="e">
        <f>VLOOKUP(A100,Table1[[Unit Number]:[NO. OF BEDROOMS]],2,FALSE)</f>
        <v>#N/A</v>
      </c>
    </row>
    <row r="101" spans="1:10" x14ac:dyDescent="0.25">
      <c r="A101"/>
      <c r="B101"/>
      <c r="C101"/>
      <c r="D101"/>
      <c r="E101"/>
      <c r="F101"/>
      <c r="G101"/>
      <c r="H101"/>
      <c r="I101"/>
      <c r="J101" s="79" t="e">
        <f>VLOOKUP(A101,Table1[[Unit Number]:[NO. OF BEDROOMS]],2,FALSE)</f>
        <v>#N/A</v>
      </c>
    </row>
    <row r="102" spans="1:10" x14ac:dyDescent="0.25">
      <c r="A102"/>
      <c r="B102"/>
      <c r="C102"/>
      <c r="D102"/>
      <c r="E102"/>
      <c r="F102"/>
      <c r="G102"/>
      <c r="H102"/>
      <c r="I102"/>
      <c r="J102" s="79" t="e">
        <f>VLOOKUP(A102,Table1[[Unit Number]:[NO. OF BEDROOMS]],2,FALSE)</f>
        <v>#N/A</v>
      </c>
    </row>
    <row r="103" spans="1:10" x14ac:dyDescent="0.25">
      <c r="A103"/>
      <c r="B103"/>
      <c r="C103"/>
      <c r="D103"/>
      <c r="E103"/>
      <c r="F103"/>
      <c r="G103"/>
      <c r="H103"/>
      <c r="I103"/>
      <c r="J103" s="79" t="e">
        <f>VLOOKUP(A103,Table1[[Unit Number]:[NO. OF BEDROOMS]],2,FALSE)</f>
        <v>#N/A</v>
      </c>
    </row>
    <row r="104" spans="1:10" x14ac:dyDescent="0.25">
      <c r="A104"/>
      <c r="B104"/>
      <c r="C104"/>
      <c r="D104"/>
      <c r="E104"/>
      <c r="F104"/>
      <c r="G104"/>
      <c r="H104"/>
      <c r="I104"/>
      <c r="J104" s="79" t="e">
        <f>VLOOKUP(A104,Table1[[Unit Number]:[NO. OF BEDROOMS]],2,FALSE)</f>
        <v>#N/A</v>
      </c>
    </row>
    <row r="105" spans="1:10" x14ac:dyDescent="0.25">
      <c r="A105"/>
      <c r="B105"/>
      <c r="C105"/>
      <c r="D105"/>
      <c r="E105"/>
      <c r="F105"/>
      <c r="G105"/>
      <c r="H105"/>
      <c r="I105"/>
      <c r="J105" s="79" t="e">
        <f>VLOOKUP(A105,Table1[[Unit Number]:[NO. OF BEDROOMS]],2,FALSE)</f>
        <v>#N/A</v>
      </c>
    </row>
    <row r="106" spans="1:10" x14ac:dyDescent="0.25">
      <c r="A106"/>
      <c r="B106"/>
      <c r="C106"/>
      <c r="D106"/>
      <c r="E106"/>
      <c r="F106"/>
      <c r="G106"/>
      <c r="H106"/>
      <c r="I106"/>
      <c r="J106" s="79" t="e">
        <f>VLOOKUP(A106,Table1[[Unit Number]:[NO. OF BEDROOMS]],2,FALSE)</f>
        <v>#N/A</v>
      </c>
    </row>
    <row r="107" spans="1:10" x14ac:dyDescent="0.25">
      <c r="A107"/>
      <c r="B107"/>
      <c r="C107"/>
      <c r="D107"/>
      <c r="E107"/>
      <c r="F107"/>
      <c r="G107"/>
      <c r="H107"/>
      <c r="I107"/>
      <c r="J107" s="79" t="e">
        <f>VLOOKUP(A107,Table1[[Unit Number]:[NO. OF BEDROOMS]],2,FALSE)</f>
        <v>#N/A</v>
      </c>
    </row>
    <row r="108" spans="1:10" x14ac:dyDescent="0.25">
      <c r="A108"/>
      <c r="B108"/>
      <c r="C108"/>
      <c r="D108"/>
      <c r="E108"/>
      <c r="F108"/>
      <c r="G108"/>
      <c r="H108"/>
      <c r="I108"/>
      <c r="J108" s="79" t="e">
        <f>VLOOKUP(A108,Table1[[Unit Number]:[NO. OF BEDROOMS]],2,FALSE)</f>
        <v>#N/A</v>
      </c>
    </row>
    <row r="109" spans="1:10" x14ac:dyDescent="0.25">
      <c r="A109"/>
      <c r="B109"/>
      <c r="C109"/>
      <c r="D109"/>
      <c r="E109"/>
      <c r="F109"/>
      <c r="G109"/>
      <c r="H109"/>
      <c r="I109"/>
      <c r="J109" s="79" t="e">
        <f>VLOOKUP(A109,Table1[[Unit Number]:[NO. OF BEDROOMS]],2,FALSE)</f>
        <v>#N/A</v>
      </c>
    </row>
    <row r="110" spans="1:10" x14ac:dyDescent="0.25">
      <c r="A110"/>
      <c r="B110"/>
      <c r="C110"/>
      <c r="D110"/>
      <c r="E110"/>
      <c r="F110"/>
      <c r="G110"/>
      <c r="H110"/>
      <c r="I110"/>
      <c r="J110" s="79" t="e">
        <f>VLOOKUP(A110,Table1[[Unit Number]:[NO. OF BEDROOMS]],2,FALSE)</f>
        <v>#N/A</v>
      </c>
    </row>
    <row r="111" spans="1:10" x14ac:dyDescent="0.25">
      <c r="A111"/>
      <c r="B111"/>
      <c r="C111"/>
      <c r="D111"/>
      <c r="E111"/>
      <c r="F111"/>
      <c r="G111"/>
      <c r="H111"/>
      <c r="I111"/>
      <c r="J111" s="79" t="e">
        <f>VLOOKUP(A111,Table1[[Unit Number]:[NO. OF BEDROOMS]],2,FALSE)</f>
        <v>#N/A</v>
      </c>
    </row>
    <row r="112" spans="1:10" x14ac:dyDescent="0.25">
      <c r="A112"/>
      <c r="B112"/>
      <c r="C112"/>
      <c r="D112"/>
      <c r="E112"/>
      <c r="F112"/>
      <c r="G112"/>
      <c r="H112"/>
      <c r="I112"/>
      <c r="J112" s="79" t="e">
        <f>VLOOKUP(A112,Table1[[Unit Number]:[NO. OF BEDROOMS]],2,FALSE)</f>
        <v>#N/A</v>
      </c>
    </row>
    <row r="113" spans="1:10" x14ac:dyDescent="0.25">
      <c r="A113"/>
      <c r="B113"/>
      <c r="C113"/>
      <c r="D113"/>
      <c r="E113"/>
      <c r="F113"/>
      <c r="G113"/>
      <c r="H113"/>
      <c r="I113"/>
      <c r="J113" s="79" t="e">
        <f>VLOOKUP(A113,Table1[[Unit Number]:[NO. OF BEDROOMS]],2,FALSE)</f>
        <v>#N/A</v>
      </c>
    </row>
    <row r="114" spans="1:10" x14ac:dyDescent="0.25">
      <c r="A114"/>
      <c r="B114"/>
      <c r="C114"/>
      <c r="D114"/>
      <c r="E114"/>
      <c r="F114"/>
      <c r="G114"/>
      <c r="H114"/>
      <c r="I114"/>
      <c r="J114" s="79" t="e">
        <f>VLOOKUP(A114,Table1[[Unit Number]:[NO. OF BEDROOMS]],2,FALSE)</f>
        <v>#N/A</v>
      </c>
    </row>
    <row r="115" spans="1:10" x14ac:dyDescent="0.25">
      <c r="A115"/>
      <c r="B115"/>
      <c r="C115"/>
      <c r="D115"/>
      <c r="E115"/>
      <c r="F115"/>
      <c r="G115"/>
      <c r="H115"/>
      <c r="I115"/>
      <c r="J115" s="79" t="e">
        <f>VLOOKUP(A115,Table1[[Unit Number]:[NO. OF BEDROOMS]],2,FALSE)</f>
        <v>#N/A</v>
      </c>
    </row>
    <row r="116" spans="1:10" x14ac:dyDescent="0.25">
      <c r="A116"/>
      <c r="B116"/>
      <c r="C116"/>
      <c r="D116"/>
      <c r="E116"/>
      <c r="F116"/>
      <c r="G116"/>
      <c r="H116"/>
      <c r="I116"/>
      <c r="J116" s="79" t="e">
        <f>VLOOKUP(A116,Table1[[Unit Number]:[NO. OF BEDROOMS]],2,FALSE)</f>
        <v>#N/A</v>
      </c>
    </row>
    <row r="117" spans="1:10" x14ac:dyDescent="0.25">
      <c r="A117"/>
      <c r="B117"/>
      <c r="C117"/>
      <c r="D117"/>
      <c r="E117"/>
      <c r="F117"/>
      <c r="G117"/>
      <c r="H117"/>
      <c r="I117"/>
      <c r="J117" s="79" t="e">
        <f>VLOOKUP(A117,Table1[[Unit Number]:[NO. OF BEDROOMS]],2,FALSE)</f>
        <v>#N/A</v>
      </c>
    </row>
    <row r="118" spans="1:10" x14ac:dyDescent="0.25">
      <c r="A118"/>
      <c r="B118"/>
      <c r="C118"/>
      <c r="D118"/>
      <c r="E118"/>
      <c r="F118"/>
      <c r="G118"/>
      <c r="H118"/>
      <c r="I118"/>
      <c r="J118" s="79" t="e">
        <f>VLOOKUP(A118,Table1[[Unit Number]:[NO. OF BEDROOMS]],2,FALSE)</f>
        <v>#N/A</v>
      </c>
    </row>
    <row r="119" spans="1:10" x14ac:dyDescent="0.25">
      <c r="A119"/>
      <c r="B119"/>
      <c r="C119"/>
      <c r="D119"/>
      <c r="E119"/>
      <c r="F119"/>
      <c r="G119"/>
      <c r="H119"/>
      <c r="I119"/>
      <c r="J119" s="79" t="e">
        <f>VLOOKUP(A119,Table1[[Unit Number]:[NO. OF BEDROOMS]],2,FALSE)</f>
        <v>#N/A</v>
      </c>
    </row>
    <row r="120" spans="1:10" x14ac:dyDescent="0.25">
      <c r="A120"/>
      <c r="B120"/>
      <c r="C120"/>
      <c r="D120"/>
      <c r="E120"/>
      <c r="F120"/>
      <c r="G120"/>
      <c r="H120"/>
      <c r="I120"/>
      <c r="J120" s="79" t="e">
        <f>VLOOKUP(A120,Table1[[Unit Number]:[NO. OF BEDROOMS]],2,FALSE)</f>
        <v>#N/A</v>
      </c>
    </row>
    <row r="121" spans="1:10" x14ac:dyDescent="0.25">
      <c r="A121"/>
      <c r="B121"/>
      <c r="C121"/>
      <c r="D121"/>
      <c r="E121"/>
      <c r="F121"/>
      <c r="G121"/>
      <c r="H121"/>
      <c r="I121"/>
      <c r="J121" s="79" t="e">
        <f>VLOOKUP(A121,Table1[[Unit Number]:[NO. OF BEDROOMS]],2,FALSE)</f>
        <v>#N/A</v>
      </c>
    </row>
    <row r="122" spans="1:10" x14ac:dyDescent="0.25">
      <c r="A122"/>
      <c r="B122"/>
      <c r="C122"/>
      <c r="D122"/>
      <c r="E122"/>
      <c r="F122"/>
      <c r="G122"/>
      <c r="H122"/>
      <c r="I122"/>
      <c r="J122" s="79" t="e">
        <f>VLOOKUP(A122,Table1[[Unit Number]:[NO. OF BEDROOMS]],2,FALSE)</f>
        <v>#N/A</v>
      </c>
    </row>
    <row r="123" spans="1:10" x14ac:dyDescent="0.25">
      <c r="A123"/>
      <c r="B123"/>
      <c r="C123"/>
      <c r="D123"/>
      <c r="E123"/>
      <c r="F123"/>
      <c r="G123"/>
      <c r="H123"/>
      <c r="I123"/>
      <c r="J123" s="79" t="e">
        <f>VLOOKUP(A123,Table1[[Unit Number]:[NO. OF BEDROOMS]],2,FALSE)</f>
        <v>#N/A</v>
      </c>
    </row>
    <row r="124" spans="1:10" x14ac:dyDescent="0.25">
      <c r="A124"/>
      <c r="B124"/>
      <c r="C124"/>
      <c r="D124"/>
      <c r="E124"/>
      <c r="F124"/>
      <c r="G124"/>
      <c r="H124"/>
      <c r="I124"/>
      <c r="J124" s="79" t="e">
        <f>VLOOKUP(A124,Table1[[Unit Number]:[NO. OF BEDROOMS]],2,FALSE)</f>
        <v>#N/A</v>
      </c>
    </row>
    <row r="125" spans="1:10" x14ac:dyDescent="0.25">
      <c r="A125"/>
      <c r="B125"/>
      <c r="C125"/>
      <c r="D125"/>
      <c r="E125"/>
      <c r="F125"/>
      <c r="G125"/>
      <c r="H125"/>
      <c r="I125"/>
      <c r="J125" s="79" t="e">
        <f>VLOOKUP(A125,Table1[[Unit Number]:[NO. OF BEDROOMS]],2,FALSE)</f>
        <v>#N/A</v>
      </c>
    </row>
    <row r="126" spans="1:10" x14ac:dyDescent="0.25">
      <c r="A126"/>
      <c r="B126"/>
      <c r="C126"/>
      <c r="D126"/>
      <c r="E126"/>
      <c r="F126"/>
      <c r="G126"/>
      <c r="H126"/>
      <c r="I126"/>
      <c r="J126" s="79" t="e">
        <f>VLOOKUP(A126,Table1[[Unit Number]:[NO. OF BEDROOMS]],2,FALSE)</f>
        <v>#N/A</v>
      </c>
    </row>
    <row r="127" spans="1:10" x14ac:dyDescent="0.25">
      <c r="A127"/>
      <c r="B127"/>
      <c r="C127"/>
      <c r="D127"/>
      <c r="E127"/>
      <c r="F127"/>
      <c r="G127"/>
      <c r="H127"/>
      <c r="I127"/>
      <c r="J127" s="79" t="e">
        <f>VLOOKUP(A127,Table1[[Unit Number]:[NO. OF BEDROOMS]],2,FALSE)</f>
        <v>#N/A</v>
      </c>
    </row>
    <row r="128" spans="1:10" x14ac:dyDescent="0.25">
      <c r="A128"/>
      <c r="B128"/>
      <c r="C128"/>
      <c r="D128"/>
      <c r="E128"/>
      <c r="F128"/>
      <c r="G128"/>
      <c r="H128"/>
      <c r="I128"/>
      <c r="J128" s="79" t="e">
        <f>VLOOKUP(A128,Table1[[Unit Number]:[NO. OF BEDROOMS]],2,FALSE)</f>
        <v>#N/A</v>
      </c>
    </row>
    <row r="129" spans="1:10" x14ac:dyDescent="0.25">
      <c r="A129"/>
      <c r="B129"/>
      <c r="C129"/>
      <c r="D129"/>
      <c r="E129"/>
      <c r="F129"/>
      <c r="G129"/>
      <c r="H129"/>
      <c r="I129"/>
      <c r="J129" s="79" t="e">
        <f>VLOOKUP(A129,Table1[[Unit Number]:[NO. OF BEDROOMS]],2,FALSE)</f>
        <v>#N/A</v>
      </c>
    </row>
    <row r="130" spans="1:10" x14ac:dyDescent="0.25">
      <c r="A130"/>
      <c r="B130"/>
      <c r="C130"/>
      <c r="D130"/>
      <c r="E130"/>
      <c r="F130"/>
      <c r="G130"/>
      <c r="H130"/>
      <c r="I130"/>
      <c r="J130" s="79" t="e">
        <f>VLOOKUP(A130,Table1[[Unit Number]:[NO. OF BEDROOMS]],2,FALSE)</f>
        <v>#N/A</v>
      </c>
    </row>
    <row r="131" spans="1:10" x14ac:dyDescent="0.25">
      <c r="A131"/>
      <c r="B131"/>
      <c r="C131"/>
      <c r="D131"/>
      <c r="E131"/>
      <c r="F131"/>
      <c r="G131"/>
      <c r="H131"/>
      <c r="I131"/>
      <c r="J131" s="79" t="e">
        <f>VLOOKUP(A131,Table1[[Unit Number]:[NO. OF BEDROOMS]],2,FALSE)</f>
        <v>#N/A</v>
      </c>
    </row>
    <row r="132" spans="1:10" x14ac:dyDescent="0.25">
      <c r="A132"/>
      <c r="B132"/>
      <c r="C132"/>
      <c r="D132"/>
      <c r="E132"/>
      <c r="F132"/>
      <c r="G132"/>
      <c r="H132"/>
      <c r="I132"/>
      <c r="J132" s="79" t="e">
        <f>VLOOKUP(A132,Table1[[Unit Number]:[NO. OF BEDROOMS]],2,FALSE)</f>
        <v>#N/A</v>
      </c>
    </row>
    <row r="133" spans="1:10" x14ac:dyDescent="0.25">
      <c r="A133"/>
      <c r="B133"/>
      <c r="C133"/>
      <c r="D133"/>
      <c r="E133"/>
      <c r="F133"/>
      <c r="G133"/>
      <c r="H133"/>
      <c r="I133"/>
      <c r="J133" s="79" t="e">
        <f>VLOOKUP(A133,Table1[[Unit Number]:[NO. OF BEDROOMS]],2,FALSE)</f>
        <v>#N/A</v>
      </c>
    </row>
    <row r="134" spans="1:10" x14ac:dyDescent="0.25">
      <c r="A134"/>
      <c r="B134"/>
      <c r="C134"/>
      <c r="D134"/>
      <c r="E134"/>
      <c r="F134"/>
      <c r="G134"/>
      <c r="H134"/>
      <c r="I134"/>
      <c r="J134" s="79" t="e">
        <f>VLOOKUP(A134,Table1[[Unit Number]:[NO. OF BEDROOMS]],2,FALSE)</f>
        <v>#N/A</v>
      </c>
    </row>
    <row r="135" spans="1:10" x14ac:dyDescent="0.25">
      <c r="A135"/>
      <c r="B135"/>
      <c r="C135"/>
      <c r="D135"/>
      <c r="E135"/>
      <c r="F135"/>
      <c r="G135"/>
      <c r="H135"/>
      <c r="I135"/>
      <c r="J135" s="79" t="e">
        <f>VLOOKUP(A135,Table1[[Unit Number]:[NO. OF BEDROOMS]],2,FALSE)</f>
        <v>#N/A</v>
      </c>
    </row>
    <row r="136" spans="1:10" x14ac:dyDescent="0.25">
      <c r="A136"/>
      <c r="B136"/>
      <c r="C136"/>
      <c r="D136"/>
      <c r="E136"/>
      <c r="F136"/>
      <c r="G136"/>
      <c r="H136"/>
      <c r="I136"/>
      <c r="J136" s="79" t="e">
        <f>VLOOKUP(A136,Table1[[Unit Number]:[NO. OF BEDROOMS]],2,FALSE)</f>
        <v>#N/A</v>
      </c>
    </row>
    <row r="137" spans="1:10" x14ac:dyDescent="0.25">
      <c r="A137"/>
      <c r="B137"/>
      <c r="C137"/>
      <c r="D137"/>
      <c r="E137"/>
      <c r="F137"/>
      <c r="G137"/>
      <c r="H137"/>
      <c r="I137"/>
      <c r="J137" s="79" t="e">
        <f>VLOOKUP(A137,Table1[[Unit Number]:[NO. OF BEDROOMS]],2,FALSE)</f>
        <v>#N/A</v>
      </c>
    </row>
    <row r="138" spans="1:10" x14ac:dyDescent="0.25">
      <c r="A138"/>
      <c r="B138"/>
      <c r="C138"/>
      <c r="D138"/>
      <c r="E138"/>
      <c r="F138"/>
      <c r="G138"/>
      <c r="H138"/>
      <c r="I138"/>
      <c r="J138" s="79" t="e">
        <f>VLOOKUP(A138,Table1[[Unit Number]:[NO. OF BEDROOMS]],2,FALSE)</f>
        <v>#N/A</v>
      </c>
    </row>
    <row r="139" spans="1:10" x14ac:dyDescent="0.25">
      <c r="A139"/>
      <c r="B139"/>
      <c r="C139"/>
      <c r="D139"/>
      <c r="E139"/>
      <c r="F139"/>
      <c r="G139"/>
      <c r="H139"/>
      <c r="I139"/>
      <c r="J139" s="79" t="e">
        <f>VLOOKUP(A139,Table1[[Unit Number]:[NO. OF BEDROOMS]],2,FALSE)</f>
        <v>#N/A</v>
      </c>
    </row>
    <row r="140" spans="1:10" x14ac:dyDescent="0.25">
      <c r="A140"/>
      <c r="B140"/>
      <c r="C140"/>
      <c r="D140"/>
      <c r="E140"/>
      <c r="F140"/>
      <c r="G140"/>
      <c r="H140"/>
      <c r="I140"/>
      <c r="J140" s="79" t="e">
        <f>VLOOKUP(A140,Table1[[Unit Number]:[NO. OF BEDROOMS]],2,FALSE)</f>
        <v>#N/A</v>
      </c>
    </row>
    <row r="141" spans="1:10" x14ac:dyDescent="0.25">
      <c r="A141"/>
      <c r="B141"/>
      <c r="C141"/>
      <c r="D141"/>
      <c r="E141"/>
      <c r="F141"/>
      <c r="G141"/>
      <c r="H141"/>
      <c r="I141"/>
      <c r="J141" s="79" t="e">
        <f>VLOOKUP(A141,Table1[[Unit Number]:[NO. OF BEDROOMS]],2,FALSE)</f>
        <v>#N/A</v>
      </c>
    </row>
    <row r="142" spans="1:10" x14ac:dyDescent="0.25">
      <c r="A142"/>
      <c r="B142"/>
      <c r="C142"/>
      <c r="D142"/>
      <c r="E142"/>
      <c r="F142"/>
      <c r="G142"/>
      <c r="H142"/>
      <c r="I142"/>
      <c r="J142" s="79" t="e">
        <f>VLOOKUP(A142,Table1[[Unit Number]:[NO. OF BEDROOMS]],2,FALSE)</f>
        <v>#N/A</v>
      </c>
    </row>
    <row r="143" spans="1:10" x14ac:dyDescent="0.25">
      <c r="A143"/>
      <c r="B143"/>
      <c r="C143"/>
      <c r="D143"/>
      <c r="E143"/>
      <c r="F143"/>
      <c r="G143"/>
      <c r="H143"/>
      <c r="I143"/>
      <c r="J143" s="79" t="e">
        <f>VLOOKUP(A143,Table1[[Unit Number]:[NO. OF BEDROOMS]],2,FALSE)</f>
        <v>#N/A</v>
      </c>
    </row>
    <row r="144" spans="1:10" x14ac:dyDescent="0.25">
      <c r="A144"/>
      <c r="B144"/>
      <c r="C144"/>
      <c r="D144"/>
      <c r="E144"/>
      <c r="F144"/>
      <c r="G144"/>
      <c r="H144"/>
      <c r="I144"/>
      <c r="J144" s="79" t="e">
        <f>VLOOKUP(A144,Table1[[Unit Number]:[NO. OF BEDROOMS]],2,FALSE)</f>
        <v>#N/A</v>
      </c>
    </row>
    <row r="145" spans="1:10" x14ac:dyDescent="0.25">
      <c r="A145"/>
      <c r="B145"/>
      <c r="C145"/>
      <c r="D145"/>
      <c r="E145"/>
      <c r="F145"/>
      <c r="G145"/>
      <c r="H145"/>
      <c r="I145"/>
      <c r="J145" s="79" t="e">
        <f>VLOOKUP(A145,Table1[[Unit Number]:[NO. OF BEDROOMS]],2,FALSE)</f>
        <v>#N/A</v>
      </c>
    </row>
    <row r="146" spans="1:10" x14ac:dyDescent="0.25">
      <c r="A146"/>
      <c r="B146"/>
      <c r="C146"/>
      <c r="D146"/>
      <c r="E146"/>
      <c r="F146"/>
      <c r="G146"/>
      <c r="H146"/>
      <c r="I146"/>
      <c r="J146" s="79" t="e">
        <f>VLOOKUP(A146,Table1[[Unit Number]:[NO. OF BEDROOMS]],2,FALSE)</f>
        <v>#N/A</v>
      </c>
    </row>
    <row r="147" spans="1:10" x14ac:dyDescent="0.25">
      <c r="A147"/>
      <c r="B147"/>
      <c r="C147"/>
      <c r="D147"/>
      <c r="E147"/>
      <c r="F147"/>
      <c r="G147"/>
      <c r="H147"/>
      <c r="I147"/>
      <c r="J147" s="79" t="e">
        <f>VLOOKUP(A147,Table1[[Unit Number]:[NO. OF BEDROOMS]],2,FALSE)</f>
        <v>#N/A</v>
      </c>
    </row>
    <row r="148" spans="1:10" x14ac:dyDescent="0.25">
      <c r="A148"/>
      <c r="B148"/>
      <c r="C148"/>
      <c r="D148"/>
      <c r="E148"/>
      <c r="F148"/>
      <c r="G148"/>
      <c r="H148"/>
      <c r="I148"/>
      <c r="J148" s="79" t="e">
        <f>VLOOKUP(A148,Table1[[Unit Number]:[NO. OF BEDROOMS]],2,FALSE)</f>
        <v>#N/A</v>
      </c>
    </row>
    <row r="149" spans="1:10" x14ac:dyDescent="0.25">
      <c r="A149"/>
      <c r="B149"/>
      <c r="C149"/>
      <c r="D149"/>
      <c r="E149"/>
      <c r="F149"/>
      <c r="G149"/>
      <c r="H149"/>
      <c r="I149"/>
      <c r="J149" s="79" t="e">
        <f>VLOOKUP(A149,Table1[[Unit Number]:[NO. OF BEDROOMS]],2,FALSE)</f>
        <v>#N/A</v>
      </c>
    </row>
    <row r="150" spans="1:10" x14ac:dyDescent="0.25">
      <c r="A150"/>
      <c r="B150"/>
      <c r="C150"/>
      <c r="D150"/>
      <c r="E150"/>
      <c r="F150"/>
      <c r="G150"/>
      <c r="H150"/>
      <c r="I150"/>
      <c r="J150" s="79" t="e">
        <f>VLOOKUP(A150,Table1[[Unit Number]:[NO. OF BEDROOMS]],2,FALSE)</f>
        <v>#N/A</v>
      </c>
    </row>
    <row r="151" spans="1:10" x14ac:dyDescent="0.25">
      <c r="A151"/>
      <c r="B151"/>
      <c r="C151"/>
      <c r="D151"/>
      <c r="E151"/>
      <c r="F151"/>
      <c r="G151"/>
      <c r="H151"/>
      <c r="I151"/>
      <c r="J151" s="79" t="e">
        <f>VLOOKUP(A151,Table1[[Unit Number]:[NO. OF BEDROOMS]],2,FALSE)</f>
        <v>#N/A</v>
      </c>
    </row>
    <row r="152" spans="1:10" x14ac:dyDescent="0.25">
      <c r="A152"/>
      <c r="B152"/>
      <c r="C152"/>
      <c r="D152"/>
      <c r="E152"/>
      <c r="F152"/>
      <c r="G152"/>
      <c r="H152"/>
      <c r="I152"/>
      <c r="J152" s="79" t="e">
        <f>VLOOKUP(A152,Table1[[Unit Number]:[NO. OF BEDROOMS]],2,FALSE)</f>
        <v>#N/A</v>
      </c>
    </row>
    <row r="153" spans="1:10" x14ac:dyDescent="0.25">
      <c r="A153"/>
      <c r="B153"/>
      <c r="C153"/>
      <c r="D153"/>
      <c r="E153"/>
      <c r="F153"/>
      <c r="G153"/>
      <c r="H153"/>
      <c r="I153"/>
      <c r="J153" s="79" t="e">
        <f>VLOOKUP(A153,Table1[[Unit Number]:[NO. OF BEDROOMS]],2,FALSE)</f>
        <v>#N/A</v>
      </c>
    </row>
    <row r="154" spans="1:10" x14ac:dyDescent="0.25">
      <c r="A154"/>
      <c r="B154"/>
      <c r="C154"/>
      <c r="D154"/>
      <c r="E154"/>
      <c r="F154"/>
      <c r="G154"/>
      <c r="H154"/>
      <c r="I154"/>
      <c r="J154" s="79" t="e">
        <f>VLOOKUP(A154,Table1[[Unit Number]:[NO. OF BEDROOMS]],2,FALSE)</f>
        <v>#N/A</v>
      </c>
    </row>
    <row r="155" spans="1:10" x14ac:dyDescent="0.25">
      <c r="A155"/>
      <c r="B155"/>
      <c r="C155"/>
      <c r="D155"/>
      <c r="E155"/>
      <c r="F155"/>
      <c r="G155"/>
      <c r="H155"/>
      <c r="I155"/>
      <c r="J155" s="79" t="e">
        <f>VLOOKUP(A155,Table1[[Unit Number]:[NO. OF BEDROOMS]],2,FALSE)</f>
        <v>#N/A</v>
      </c>
    </row>
    <row r="156" spans="1:10" x14ac:dyDescent="0.25">
      <c r="A156"/>
      <c r="B156"/>
      <c r="C156"/>
      <c r="D156"/>
      <c r="E156"/>
      <c r="F156"/>
      <c r="G156"/>
      <c r="H156"/>
      <c r="I156"/>
      <c r="J156" s="79" t="e">
        <f>VLOOKUP(A156,Table1[[Unit Number]:[NO. OF BEDROOMS]],2,FALSE)</f>
        <v>#N/A</v>
      </c>
    </row>
    <row r="157" spans="1:10" x14ac:dyDescent="0.25">
      <c r="A157"/>
      <c r="B157"/>
      <c r="C157"/>
      <c r="D157"/>
      <c r="E157"/>
      <c r="F157"/>
      <c r="G157"/>
      <c r="H157"/>
      <c r="I157"/>
      <c r="J157" s="79" t="e">
        <f>VLOOKUP(A157,Table1[[Unit Number]:[NO. OF BEDROOMS]],2,FALSE)</f>
        <v>#N/A</v>
      </c>
    </row>
    <row r="158" spans="1:10" x14ac:dyDescent="0.25">
      <c r="A158"/>
      <c r="B158"/>
      <c r="C158"/>
      <c r="D158"/>
      <c r="E158"/>
      <c r="F158"/>
      <c r="G158"/>
      <c r="H158"/>
      <c r="I158"/>
      <c r="J158" s="79" t="e">
        <f>VLOOKUP(A158,Table1[[Unit Number]:[NO. OF BEDROOMS]],2,FALSE)</f>
        <v>#N/A</v>
      </c>
    </row>
    <row r="159" spans="1:10" x14ac:dyDescent="0.25">
      <c r="A159"/>
      <c r="B159"/>
      <c r="C159"/>
      <c r="D159"/>
      <c r="E159"/>
      <c r="F159"/>
      <c r="G159"/>
      <c r="H159"/>
      <c r="I159"/>
      <c r="J159" s="79" t="e">
        <f>VLOOKUP(A159,Table1[[Unit Number]:[NO. OF BEDROOMS]],2,FALSE)</f>
        <v>#N/A</v>
      </c>
    </row>
    <row r="160" spans="1:10" x14ac:dyDescent="0.25">
      <c r="A160"/>
      <c r="B160"/>
      <c r="C160"/>
      <c r="D160"/>
      <c r="E160"/>
      <c r="F160"/>
      <c r="G160"/>
      <c r="H160"/>
      <c r="I160"/>
      <c r="J160" s="79" t="e">
        <f>VLOOKUP(A160,Table1[[Unit Number]:[NO. OF BEDROOMS]],2,FALSE)</f>
        <v>#N/A</v>
      </c>
    </row>
    <row r="161" spans="1:10" x14ac:dyDescent="0.25">
      <c r="A161"/>
      <c r="B161"/>
      <c r="C161"/>
      <c r="D161"/>
      <c r="E161"/>
      <c r="F161"/>
      <c r="G161"/>
      <c r="H161"/>
      <c r="I161"/>
      <c r="J161" s="79" t="e">
        <f>VLOOKUP(A161,Table1[[Unit Number]:[NO. OF BEDROOMS]],2,FALSE)</f>
        <v>#N/A</v>
      </c>
    </row>
    <row r="162" spans="1:10" x14ac:dyDescent="0.25">
      <c r="A162"/>
      <c r="B162"/>
      <c r="C162"/>
      <c r="D162"/>
      <c r="E162"/>
      <c r="F162"/>
      <c r="G162"/>
      <c r="H162"/>
      <c r="I162"/>
      <c r="J162" s="79" t="e">
        <f>VLOOKUP(A162,Table1[[Unit Number]:[NO. OF BEDROOMS]],2,FALSE)</f>
        <v>#N/A</v>
      </c>
    </row>
    <row r="163" spans="1:10" x14ac:dyDescent="0.25">
      <c r="A163"/>
      <c r="B163"/>
      <c r="C163"/>
      <c r="D163"/>
      <c r="E163"/>
      <c r="F163"/>
      <c r="G163"/>
      <c r="H163"/>
      <c r="I163"/>
    </row>
    <row r="164" spans="1:10" x14ac:dyDescent="0.25">
      <c r="A164"/>
      <c r="B164"/>
      <c r="C164"/>
      <c r="D164"/>
      <c r="E164"/>
      <c r="F164"/>
      <c r="G164"/>
      <c r="H164"/>
      <c r="I164"/>
    </row>
    <row r="165" spans="1:10" x14ac:dyDescent="0.25">
      <c r="A165"/>
      <c r="B165"/>
      <c r="C165"/>
      <c r="D165"/>
      <c r="E165"/>
      <c r="F165"/>
      <c r="G165"/>
      <c r="H165"/>
      <c r="I165"/>
    </row>
    <row r="166" spans="1:10" x14ac:dyDescent="0.25">
      <c r="A166"/>
      <c r="B166"/>
      <c r="C166"/>
      <c r="D166"/>
      <c r="E166"/>
      <c r="F166"/>
      <c r="G166"/>
      <c r="H166"/>
      <c r="I166"/>
    </row>
    <row r="167" spans="1:10" x14ac:dyDescent="0.25">
      <c r="A167"/>
      <c r="B167"/>
      <c r="C167"/>
      <c r="D167"/>
      <c r="E167"/>
      <c r="F167"/>
      <c r="G167"/>
      <c r="H167"/>
      <c r="I167"/>
    </row>
    <row r="168" spans="1:10" x14ac:dyDescent="0.25">
      <c r="A168"/>
      <c r="B168"/>
      <c r="C168"/>
      <c r="D168"/>
      <c r="E168"/>
      <c r="F168"/>
      <c r="G168"/>
      <c r="H168"/>
      <c r="I168"/>
    </row>
    <row r="169" spans="1:10" x14ac:dyDescent="0.25">
      <c r="A169"/>
      <c r="B169"/>
      <c r="C169"/>
      <c r="D169"/>
      <c r="E169"/>
      <c r="F169"/>
      <c r="G169"/>
      <c r="H169"/>
      <c r="I169"/>
    </row>
    <row r="170" spans="1:10" x14ac:dyDescent="0.25">
      <c r="A170"/>
      <c r="B170"/>
      <c r="C170"/>
      <c r="D170"/>
      <c r="E170"/>
      <c r="F170"/>
      <c r="G170"/>
      <c r="H170"/>
      <c r="I170"/>
    </row>
    <row r="171" spans="1:10" x14ac:dyDescent="0.25">
      <c r="A171"/>
      <c r="B171"/>
      <c r="C171"/>
      <c r="D171"/>
      <c r="E171"/>
      <c r="F171"/>
      <c r="G171"/>
      <c r="H171"/>
      <c r="I171"/>
    </row>
    <row r="172" spans="1:10" x14ac:dyDescent="0.25">
      <c r="A172"/>
      <c r="B172"/>
      <c r="C172"/>
      <c r="D172"/>
      <c r="E172"/>
      <c r="F172"/>
      <c r="G172"/>
      <c r="H172"/>
      <c r="I172"/>
    </row>
    <row r="173" spans="1:10" x14ac:dyDescent="0.25">
      <c r="A173"/>
      <c r="B173"/>
      <c r="C173"/>
      <c r="D173"/>
      <c r="E173"/>
      <c r="F173"/>
      <c r="G173"/>
      <c r="H173"/>
      <c r="I173"/>
    </row>
    <row r="174" spans="1:10" x14ac:dyDescent="0.25">
      <c r="A174"/>
      <c r="B174"/>
      <c r="C174"/>
      <c r="D174"/>
      <c r="E174"/>
      <c r="F174"/>
      <c r="G174"/>
      <c r="H174"/>
      <c r="I174"/>
    </row>
    <row r="175" spans="1:10" x14ac:dyDescent="0.25">
      <c r="A175"/>
      <c r="B175"/>
      <c r="C175"/>
      <c r="D175"/>
      <c r="E175"/>
      <c r="F175"/>
      <c r="G175"/>
      <c r="H175"/>
      <c r="I175"/>
    </row>
    <row r="176" spans="1:10" x14ac:dyDescent="0.25">
      <c r="A176"/>
      <c r="B176"/>
      <c r="C176"/>
      <c r="D176"/>
      <c r="E176"/>
      <c r="F176"/>
      <c r="G176"/>
      <c r="H176"/>
      <c r="I176"/>
    </row>
    <row r="177" spans="1:9" x14ac:dyDescent="0.25">
      <c r="A177"/>
      <c r="B177"/>
      <c r="C177"/>
      <c r="D177"/>
      <c r="E177"/>
      <c r="F177"/>
      <c r="G177"/>
      <c r="H177"/>
      <c r="I177"/>
    </row>
    <row r="178" spans="1:9" x14ac:dyDescent="0.25">
      <c r="A178"/>
      <c r="B178"/>
      <c r="C178"/>
      <c r="D178"/>
      <c r="E178"/>
      <c r="F178"/>
      <c r="G178"/>
      <c r="H178"/>
      <c r="I178"/>
    </row>
    <row r="179" spans="1:9" x14ac:dyDescent="0.25">
      <c r="A179"/>
      <c r="B179"/>
      <c r="C179"/>
      <c r="D179"/>
      <c r="E179"/>
      <c r="F179"/>
      <c r="G179"/>
      <c r="H179"/>
      <c r="I179"/>
    </row>
    <row r="180" spans="1:9" x14ac:dyDescent="0.25">
      <c r="A180"/>
      <c r="B180"/>
      <c r="C180"/>
      <c r="D180"/>
      <c r="E180"/>
      <c r="F180"/>
      <c r="G180"/>
      <c r="H180"/>
      <c r="I180"/>
    </row>
    <row r="181" spans="1:9" x14ac:dyDescent="0.25">
      <c r="A181"/>
      <c r="B181"/>
      <c r="C181"/>
      <c r="D181"/>
      <c r="E181"/>
      <c r="F181"/>
      <c r="G181"/>
      <c r="H181"/>
      <c r="I181"/>
    </row>
    <row r="182" spans="1:9" x14ac:dyDescent="0.25">
      <c r="A182"/>
      <c r="B182"/>
      <c r="C182"/>
      <c r="D182"/>
      <c r="E182"/>
      <c r="F182"/>
      <c r="G182"/>
      <c r="H182"/>
      <c r="I182"/>
    </row>
    <row r="183" spans="1:9" x14ac:dyDescent="0.25">
      <c r="A183"/>
      <c r="B183"/>
      <c r="C183"/>
      <c r="D183"/>
      <c r="E183"/>
      <c r="F183"/>
      <c r="G183"/>
      <c r="H183"/>
      <c r="I183"/>
    </row>
    <row r="184" spans="1:9" x14ac:dyDescent="0.25">
      <c r="A184"/>
      <c r="B184"/>
      <c r="C184"/>
      <c r="D184"/>
      <c r="E184"/>
      <c r="F184"/>
      <c r="G184"/>
      <c r="H184"/>
      <c r="I184"/>
    </row>
    <row r="185" spans="1:9" x14ac:dyDescent="0.25">
      <c r="A185"/>
      <c r="B185"/>
      <c r="C185"/>
      <c r="D185"/>
      <c r="E185"/>
      <c r="F185"/>
      <c r="G185"/>
      <c r="H185"/>
      <c r="I185"/>
    </row>
    <row r="186" spans="1:9" x14ac:dyDescent="0.25">
      <c r="A186"/>
      <c r="B186"/>
      <c r="C186"/>
      <c r="D186"/>
      <c r="E186"/>
      <c r="F186"/>
      <c r="G186"/>
      <c r="H186"/>
      <c r="I186"/>
    </row>
    <row r="187" spans="1:9" x14ac:dyDescent="0.25">
      <c r="A187"/>
      <c r="B187"/>
      <c r="C187"/>
      <c r="D187"/>
      <c r="E187"/>
      <c r="F187"/>
      <c r="G187"/>
      <c r="H187"/>
      <c r="I187"/>
    </row>
    <row r="188" spans="1:9" x14ac:dyDescent="0.25">
      <c r="A188"/>
      <c r="B188"/>
      <c r="C188"/>
      <c r="D188"/>
      <c r="E188"/>
      <c r="F188"/>
      <c r="G188"/>
      <c r="H188"/>
      <c r="I188"/>
    </row>
    <row r="189" spans="1:9" x14ac:dyDescent="0.25">
      <c r="A189"/>
      <c r="B189"/>
      <c r="C189"/>
      <c r="D189"/>
      <c r="E189"/>
      <c r="F189"/>
      <c r="G189"/>
      <c r="H189"/>
      <c r="I189"/>
    </row>
    <row r="190" spans="1:9" x14ac:dyDescent="0.25">
      <c r="A190"/>
      <c r="B190"/>
      <c r="C190"/>
      <c r="D190"/>
      <c r="E190"/>
      <c r="F190"/>
      <c r="G190"/>
      <c r="H190"/>
      <c r="I190"/>
    </row>
    <row r="191" spans="1:9" x14ac:dyDescent="0.25">
      <c r="A191"/>
      <c r="B191"/>
      <c r="C191"/>
      <c r="D191"/>
      <c r="E191"/>
      <c r="F191"/>
      <c r="G191"/>
      <c r="H191"/>
      <c r="I191"/>
    </row>
    <row r="192" spans="1:9" x14ac:dyDescent="0.25">
      <c r="A192"/>
      <c r="B192"/>
      <c r="C192"/>
      <c r="D192"/>
      <c r="E192"/>
      <c r="F192"/>
      <c r="G192"/>
      <c r="H192"/>
      <c r="I192"/>
    </row>
    <row r="193" spans="1:9" x14ac:dyDescent="0.25">
      <c r="A193"/>
      <c r="B193"/>
      <c r="C193"/>
      <c r="D193"/>
      <c r="E193"/>
      <c r="F193"/>
      <c r="G193"/>
      <c r="H193"/>
      <c r="I193"/>
    </row>
    <row r="194" spans="1:9" x14ac:dyDescent="0.25">
      <c r="A194"/>
      <c r="B194"/>
      <c r="C194"/>
      <c r="D194"/>
      <c r="E194"/>
      <c r="F194"/>
      <c r="G194"/>
      <c r="H194"/>
      <c r="I194"/>
    </row>
    <row r="195" spans="1:9" x14ac:dyDescent="0.25">
      <c r="A195"/>
      <c r="B195"/>
      <c r="C195"/>
      <c r="D195"/>
      <c r="E195"/>
      <c r="F195"/>
      <c r="G195"/>
      <c r="H195"/>
      <c r="I195"/>
    </row>
    <row r="196" spans="1:9" x14ac:dyDescent="0.25">
      <c r="A196"/>
      <c r="B196"/>
      <c r="C196"/>
      <c r="D196"/>
      <c r="E196"/>
      <c r="F196"/>
      <c r="G196"/>
      <c r="H196"/>
      <c r="I196"/>
    </row>
    <row r="197" spans="1:9" x14ac:dyDescent="0.25">
      <c r="A197"/>
      <c r="B197"/>
      <c r="C197"/>
      <c r="D197"/>
      <c r="E197"/>
      <c r="F197"/>
      <c r="G197"/>
      <c r="H197"/>
      <c r="I197"/>
    </row>
    <row r="198" spans="1:9" x14ac:dyDescent="0.25">
      <c r="A198"/>
      <c r="B198"/>
      <c r="C198"/>
      <c r="D198"/>
      <c r="E198"/>
      <c r="F198"/>
      <c r="G198"/>
      <c r="H198"/>
      <c r="I198"/>
    </row>
    <row r="199" spans="1:9" x14ac:dyDescent="0.25">
      <c r="A199"/>
      <c r="B199"/>
      <c r="C199"/>
      <c r="D199"/>
      <c r="E199"/>
      <c r="F199"/>
      <c r="G199"/>
      <c r="H199"/>
      <c r="I199"/>
    </row>
    <row r="200" spans="1:9" x14ac:dyDescent="0.25">
      <c r="A200"/>
      <c r="B200"/>
      <c r="C200"/>
      <c r="D200"/>
      <c r="E200"/>
      <c r="F200"/>
      <c r="G200"/>
      <c r="H200"/>
      <c r="I200"/>
    </row>
    <row r="201" spans="1:9" x14ac:dyDescent="0.25">
      <c r="A201"/>
      <c r="B201"/>
      <c r="C201"/>
      <c r="D201"/>
      <c r="E201"/>
      <c r="F201"/>
      <c r="G201"/>
      <c r="H201"/>
      <c r="I201"/>
    </row>
    <row r="202" spans="1:9" x14ac:dyDescent="0.25">
      <c r="A202"/>
      <c r="B202"/>
      <c r="C202"/>
      <c r="D202"/>
      <c r="E202"/>
      <c r="F202"/>
      <c r="G202"/>
      <c r="H202"/>
      <c r="I202"/>
    </row>
    <row r="203" spans="1:9" x14ac:dyDescent="0.25">
      <c r="A203"/>
      <c r="B203"/>
      <c r="C203"/>
      <c r="D203"/>
      <c r="E203"/>
      <c r="F203"/>
      <c r="G203"/>
      <c r="H203"/>
      <c r="I203"/>
    </row>
    <row r="204" spans="1:9" x14ac:dyDescent="0.25">
      <c r="A204"/>
      <c r="B204"/>
      <c r="C204"/>
      <c r="D204"/>
      <c r="E204"/>
      <c r="F204"/>
      <c r="G204"/>
      <c r="H204"/>
      <c r="I204"/>
    </row>
    <row r="205" spans="1:9" x14ac:dyDescent="0.25">
      <c r="A205"/>
      <c r="B205"/>
      <c r="C205"/>
      <c r="D205"/>
      <c r="E205"/>
      <c r="F205"/>
      <c r="G205"/>
      <c r="H205"/>
      <c r="I205"/>
    </row>
    <row r="206" spans="1:9" x14ac:dyDescent="0.25">
      <c r="A206"/>
      <c r="B206"/>
      <c r="C206"/>
      <c r="D206"/>
      <c r="E206"/>
      <c r="F206"/>
      <c r="G206"/>
      <c r="H206"/>
      <c r="I206"/>
    </row>
    <row r="207" spans="1:9" x14ac:dyDescent="0.25">
      <c r="A207"/>
      <c r="B207"/>
      <c r="C207"/>
      <c r="D207"/>
      <c r="E207"/>
      <c r="F207"/>
      <c r="G207"/>
      <c r="H207"/>
      <c r="I207"/>
    </row>
    <row r="208" spans="1:9" x14ac:dyDescent="0.25">
      <c r="A208"/>
      <c r="B208"/>
      <c r="C208"/>
      <c r="D208"/>
      <c r="E208"/>
      <c r="F208"/>
      <c r="G208"/>
      <c r="H208"/>
      <c r="I208"/>
    </row>
    <row r="209" spans="1:9" x14ac:dyDescent="0.25">
      <c r="A209"/>
      <c r="B209"/>
      <c r="C209"/>
      <c r="D209"/>
      <c r="E209"/>
      <c r="F209"/>
      <c r="G209"/>
      <c r="H209"/>
      <c r="I209"/>
    </row>
    <row r="210" spans="1:9" x14ac:dyDescent="0.25">
      <c r="A210"/>
      <c r="B210"/>
      <c r="C210"/>
      <c r="D210"/>
      <c r="E210"/>
      <c r="F210"/>
      <c r="G210"/>
      <c r="H210"/>
      <c r="I210"/>
    </row>
    <row r="211" spans="1:9" x14ac:dyDescent="0.25">
      <c r="A211"/>
      <c r="B211"/>
      <c r="C211"/>
      <c r="D211"/>
      <c r="E211"/>
      <c r="F211"/>
      <c r="G211"/>
      <c r="H211"/>
      <c r="I211"/>
    </row>
    <row r="212" spans="1:9" x14ac:dyDescent="0.25">
      <c r="A212"/>
      <c r="B212"/>
      <c r="C212"/>
      <c r="D212"/>
      <c r="E212"/>
      <c r="F212"/>
      <c r="G212"/>
      <c r="H212"/>
      <c r="I212"/>
    </row>
    <row r="213" spans="1:9" x14ac:dyDescent="0.25">
      <c r="A213"/>
      <c r="B213"/>
      <c r="C213"/>
      <c r="D213"/>
      <c r="E213"/>
      <c r="F213"/>
      <c r="G213"/>
      <c r="H213"/>
      <c r="I213"/>
    </row>
    <row r="214" spans="1:9" x14ac:dyDescent="0.25">
      <c r="A214"/>
      <c r="B214"/>
      <c r="C214"/>
      <c r="D214"/>
      <c r="E214"/>
      <c r="F214"/>
      <c r="G214"/>
      <c r="H214"/>
      <c r="I214"/>
    </row>
    <row r="215" spans="1:9" x14ac:dyDescent="0.25">
      <c r="A215"/>
      <c r="B215"/>
      <c r="C215"/>
      <c r="D215"/>
      <c r="E215"/>
      <c r="F215"/>
      <c r="G215"/>
      <c r="H215"/>
      <c r="I215"/>
    </row>
    <row r="216" spans="1:9" x14ac:dyDescent="0.25">
      <c r="A216"/>
      <c r="B216"/>
      <c r="C216"/>
      <c r="D216"/>
      <c r="E216"/>
      <c r="F216"/>
      <c r="G216"/>
      <c r="H216"/>
      <c r="I216"/>
    </row>
    <row r="217" spans="1:9" x14ac:dyDescent="0.25">
      <c r="A217"/>
      <c r="B217"/>
      <c r="C217"/>
      <c r="D217"/>
      <c r="E217"/>
      <c r="F217"/>
      <c r="G217"/>
      <c r="H217"/>
      <c r="I217"/>
    </row>
    <row r="218" spans="1:9" x14ac:dyDescent="0.25">
      <c r="A218"/>
      <c r="B218"/>
      <c r="C218"/>
      <c r="D218"/>
      <c r="E218"/>
      <c r="F218"/>
      <c r="G218"/>
      <c r="H218"/>
      <c r="I218"/>
    </row>
    <row r="219" spans="1:9" x14ac:dyDescent="0.25">
      <c r="A219"/>
      <c r="B219"/>
      <c r="C219"/>
      <c r="D219"/>
      <c r="E219"/>
      <c r="F219"/>
      <c r="G219"/>
      <c r="H219"/>
      <c r="I219"/>
    </row>
    <row r="220" spans="1:9" x14ac:dyDescent="0.25">
      <c r="A220"/>
      <c r="B220"/>
      <c r="C220"/>
      <c r="D220"/>
      <c r="E220"/>
      <c r="F220"/>
      <c r="G220"/>
      <c r="H220"/>
      <c r="I220"/>
    </row>
    <row r="221" spans="1:9" x14ac:dyDescent="0.25">
      <c r="A221"/>
      <c r="B221"/>
      <c r="C221"/>
      <c r="D221"/>
      <c r="E221"/>
      <c r="F221"/>
      <c r="G221"/>
      <c r="H221"/>
      <c r="I221"/>
    </row>
    <row r="222" spans="1:9" x14ac:dyDescent="0.25">
      <c r="A222"/>
      <c r="B222"/>
      <c r="C222"/>
      <c r="D222"/>
      <c r="E222"/>
      <c r="F222"/>
      <c r="G222"/>
      <c r="H222"/>
      <c r="I222"/>
    </row>
    <row r="223" spans="1:9" x14ac:dyDescent="0.25">
      <c r="A223"/>
      <c r="B223"/>
      <c r="C223"/>
      <c r="D223"/>
      <c r="E223"/>
      <c r="F223"/>
      <c r="G223"/>
      <c r="H223"/>
      <c r="I223"/>
    </row>
    <row r="224" spans="1:9" x14ac:dyDescent="0.25">
      <c r="A224"/>
      <c r="B224"/>
      <c r="C224"/>
      <c r="D224"/>
      <c r="E224"/>
      <c r="F224"/>
      <c r="G224"/>
      <c r="H224"/>
      <c r="I224"/>
    </row>
    <row r="225" spans="1:9" x14ac:dyDescent="0.25">
      <c r="A225"/>
      <c r="B225"/>
      <c r="C225"/>
      <c r="D225"/>
      <c r="E225"/>
      <c r="F225"/>
      <c r="G225"/>
      <c r="H225"/>
      <c r="I225"/>
    </row>
    <row r="226" spans="1:9" x14ac:dyDescent="0.25">
      <c r="A226"/>
      <c r="B226"/>
      <c r="C226"/>
      <c r="D226"/>
      <c r="E226"/>
      <c r="F226"/>
      <c r="G226"/>
      <c r="H226"/>
      <c r="I226"/>
    </row>
    <row r="227" spans="1:9" x14ac:dyDescent="0.25">
      <c r="A227"/>
      <c r="B227"/>
      <c r="C227"/>
      <c r="D227"/>
      <c r="E227"/>
      <c r="F227"/>
      <c r="G227"/>
      <c r="H227"/>
      <c r="I227"/>
    </row>
    <row r="228" spans="1:9" x14ac:dyDescent="0.25">
      <c r="A228"/>
      <c r="B228"/>
      <c r="C228"/>
      <c r="D228"/>
      <c r="E228"/>
      <c r="F228"/>
      <c r="G228"/>
      <c r="H228"/>
      <c r="I228"/>
    </row>
    <row r="229" spans="1:9" x14ac:dyDescent="0.25">
      <c r="A229"/>
      <c r="B229"/>
      <c r="C229"/>
      <c r="D229"/>
      <c r="E229"/>
      <c r="F229"/>
      <c r="G229"/>
      <c r="H229"/>
      <c r="I229"/>
    </row>
    <row r="230" spans="1:9" x14ac:dyDescent="0.25">
      <c r="A230"/>
      <c r="B230"/>
      <c r="C230"/>
      <c r="D230"/>
      <c r="E230"/>
      <c r="F230"/>
      <c r="G230"/>
      <c r="H230"/>
      <c r="I230"/>
    </row>
    <row r="231" spans="1:9" x14ac:dyDescent="0.25">
      <c r="A231"/>
      <c r="B231"/>
      <c r="C231"/>
      <c r="D231"/>
      <c r="E231"/>
      <c r="F231"/>
      <c r="G231"/>
      <c r="H231"/>
      <c r="I231"/>
    </row>
    <row r="232" spans="1:9" x14ac:dyDescent="0.25">
      <c r="A232"/>
      <c r="B232"/>
      <c r="C232"/>
      <c r="D232"/>
      <c r="E232"/>
      <c r="F232"/>
      <c r="G232"/>
      <c r="H232"/>
      <c r="I232"/>
    </row>
    <row r="233" spans="1:9" x14ac:dyDescent="0.25">
      <c r="A233"/>
      <c r="B233"/>
      <c r="C233"/>
      <c r="D233"/>
      <c r="E233"/>
      <c r="F233"/>
      <c r="G233"/>
      <c r="H233"/>
      <c r="I233"/>
    </row>
    <row r="234" spans="1:9" x14ac:dyDescent="0.25">
      <c r="A234"/>
      <c r="B234"/>
      <c r="C234"/>
      <c r="D234"/>
      <c r="E234"/>
      <c r="F234"/>
      <c r="G234"/>
      <c r="H234"/>
      <c r="I234"/>
    </row>
    <row r="235" spans="1:9" x14ac:dyDescent="0.25">
      <c r="A235"/>
      <c r="B235"/>
      <c r="C235"/>
      <c r="D235"/>
      <c r="E235"/>
      <c r="F235"/>
      <c r="G235"/>
      <c r="H235"/>
      <c r="I235"/>
    </row>
    <row r="236" spans="1:9" x14ac:dyDescent="0.25">
      <c r="A236"/>
      <c r="B236"/>
      <c r="C236"/>
      <c r="D236"/>
      <c r="E236"/>
      <c r="F236"/>
      <c r="G236"/>
      <c r="H236"/>
      <c r="I236"/>
    </row>
    <row r="237" spans="1:9" x14ac:dyDescent="0.25">
      <c r="A237"/>
      <c r="B237"/>
      <c r="C237"/>
      <c r="D237"/>
      <c r="E237"/>
      <c r="F237"/>
      <c r="G237"/>
      <c r="H237"/>
      <c r="I237"/>
    </row>
    <row r="238" spans="1:9" x14ac:dyDescent="0.25">
      <c r="A238"/>
      <c r="B238"/>
      <c r="C238"/>
      <c r="D238"/>
      <c r="E238"/>
      <c r="F238"/>
      <c r="G238"/>
      <c r="H238"/>
      <c r="I238"/>
    </row>
    <row r="239" spans="1:9" x14ac:dyDescent="0.25">
      <c r="A239"/>
      <c r="B239"/>
      <c r="C239"/>
      <c r="D239"/>
      <c r="E239"/>
      <c r="F239"/>
      <c r="G239"/>
      <c r="H239"/>
      <c r="I239"/>
    </row>
    <row r="240" spans="1:9" x14ac:dyDescent="0.25">
      <c r="A240"/>
      <c r="B240"/>
      <c r="C240"/>
      <c r="D240"/>
      <c r="E240"/>
      <c r="F240"/>
      <c r="G240"/>
      <c r="H240"/>
      <c r="I240"/>
    </row>
    <row r="241" spans="1:9" x14ac:dyDescent="0.25">
      <c r="A241"/>
      <c r="B241"/>
      <c r="C241"/>
      <c r="D241"/>
      <c r="E241"/>
      <c r="F241"/>
      <c r="G241"/>
      <c r="H241"/>
      <c r="I241"/>
    </row>
    <row r="242" spans="1:9" x14ac:dyDescent="0.25">
      <c r="A242"/>
      <c r="B242"/>
      <c r="C242"/>
      <c r="D242"/>
      <c r="E242"/>
      <c r="F242"/>
      <c r="G242"/>
      <c r="H242"/>
      <c r="I242"/>
    </row>
    <row r="243" spans="1:9" x14ac:dyDescent="0.25">
      <c r="A243"/>
      <c r="B243"/>
      <c r="C243"/>
      <c r="D243"/>
      <c r="E243"/>
      <c r="F243"/>
      <c r="G243"/>
      <c r="H243"/>
      <c r="I243"/>
    </row>
    <row r="244" spans="1:9" x14ac:dyDescent="0.25">
      <c r="A244"/>
      <c r="B244"/>
      <c r="C244"/>
      <c r="D244"/>
      <c r="E244"/>
      <c r="F244"/>
      <c r="G244"/>
      <c r="H244"/>
      <c r="I244"/>
    </row>
    <row r="245" spans="1:9" x14ac:dyDescent="0.25">
      <c r="A245"/>
      <c r="B245"/>
      <c r="C245"/>
      <c r="D245"/>
      <c r="E245"/>
      <c r="F245"/>
      <c r="G245"/>
      <c r="H245"/>
      <c r="I245"/>
    </row>
    <row r="246" spans="1:9" x14ac:dyDescent="0.25">
      <c r="A246"/>
      <c r="B246"/>
      <c r="C246"/>
      <c r="D246"/>
      <c r="E246"/>
      <c r="F246"/>
      <c r="G246"/>
      <c r="H246"/>
      <c r="I246"/>
    </row>
    <row r="247" spans="1:9" x14ac:dyDescent="0.25">
      <c r="A247"/>
      <c r="B247"/>
      <c r="C247"/>
      <c r="D247"/>
      <c r="E247"/>
      <c r="F247"/>
      <c r="G247"/>
      <c r="H247"/>
      <c r="I247"/>
    </row>
    <row r="248" spans="1:9" x14ac:dyDescent="0.25">
      <c r="A248"/>
      <c r="B248"/>
      <c r="C248"/>
      <c r="D248"/>
      <c r="E248"/>
      <c r="F248"/>
      <c r="G248"/>
      <c r="H248"/>
      <c r="I248"/>
    </row>
    <row r="249" spans="1:9" x14ac:dyDescent="0.25">
      <c r="A249"/>
      <c r="B249"/>
      <c r="C249"/>
      <c r="D249"/>
      <c r="E249"/>
      <c r="F249"/>
      <c r="G249"/>
      <c r="H249"/>
      <c r="I249"/>
    </row>
    <row r="250" spans="1:9" x14ac:dyDescent="0.25">
      <c r="A250"/>
      <c r="B250"/>
      <c r="C250"/>
      <c r="D250"/>
      <c r="E250"/>
      <c r="F250"/>
      <c r="G250"/>
      <c r="H250"/>
      <c r="I250"/>
    </row>
    <row r="251" spans="1:9" x14ac:dyDescent="0.25">
      <c r="A251"/>
      <c r="B251"/>
      <c r="C251"/>
      <c r="D251"/>
      <c r="E251"/>
      <c r="F251"/>
      <c r="G251"/>
      <c r="H251"/>
      <c r="I251"/>
    </row>
    <row r="252" spans="1:9" x14ac:dyDescent="0.25">
      <c r="A252"/>
      <c r="B252"/>
      <c r="C252"/>
      <c r="D252"/>
      <c r="E252"/>
      <c r="F252"/>
      <c r="G252"/>
      <c r="H252"/>
      <c r="I252"/>
    </row>
    <row r="253" spans="1:9" x14ac:dyDescent="0.25">
      <c r="A253"/>
      <c r="B253"/>
      <c r="C253"/>
      <c r="D253"/>
      <c r="E253"/>
      <c r="F253"/>
      <c r="G253"/>
      <c r="H253"/>
      <c r="I253"/>
    </row>
    <row r="254" spans="1:9" x14ac:dyDescent="0.25">
      <c r="A254"/>
      <c r="B254"/>
      <c r="C254"/>
      <c r="D254"/>
      <c r="E254"/>
      <c r="F254"/>
      <c r="G254"/>
      <c r="H254"/>
      <c r="I254"/>
    </row>
    <row r="255" spans="1:9" x14ac:dyDescent="0.25">
      <c r="A255"/>
      <c r="B255"/>
      <c r="C255"/>
      <c r="D255"/>
      <c r="E255"/>
      <c r="F255"/>
      <c r="G255"/>
      <c r="H255"/>
      <c r="I255"/>
    </row>
    <row r="256" spans="1:9" x14ac:dyDescent="0.25">
      <c r="A256"/>
      <c r="B256"/>
      <c r="C256"/>
      <c r="D256"/>
      <c r="E256"/>
      <c r="F256"/>
      <c r="G256"/>
      <c r="H256"/>
      <c r="I256"/>
    </row>
    <row r="257" spans="1:9" x14ac:dyDescent="0.25">
      <c r="A257"/>
      <c r="B257"/>
      <c r="C257"/>
      <c r="D257"/>
      <c r="E257"/>
      <c r="F257"/>
      <c r="G257"/>
      <c r="H257"/>
      <c r="I257"/>
    </row>
    <row r="258" spans="1:9" x14ac:dyDescent="0.25">
      <c r="A258"/>
      <c r="B258"/>
      <c r="C258"/>
      <c r="D258"/>
      <c r="E258"/>
      <c r="F258"/>
      <c r="G258"/>
      <c r="H258"/>
      <c r="I258"/>
    </row>
    <row r="259" spans="1:9" x14ac:dyDescent="0.25">
      <c r="A259"/>
      <c r="B259"/>
      <c r="C259"/>
      <c r="D259"/>
      <c r="E259"/>
      <c r="F259"/>
      <c r="G259"/>
      <c r="H259"/>
      <c r="I259"/>
    </row>
    <row r="260" spans="1:9" x14ac:dyDescent="0.25">
      <c r="A260"/>
      <c r="B260"/>
      <c r="C260"/>
      <c r="D260"/>
      <c r="E260"/>
      <c r="F260"/>
      <c r="G260"/>
      <c r="H260"/>
      <c r="I260"/>
    </row>
    <row r="261" spans="1:9" x14ac:dyDescent="0.25">
      <c r="A261"/>
      <c r="B261"/>
      <c r="C261"/>
      <c r="D261"/>
      <c r="E261"/>
      <c r="F261"/>
      <c r="G261"/>
      <c r="H261"/>
      <c r="I261"/>
    </row>
    <row r="262" spans="1:9" x14ac:dyDescent="0.25">
      <c r="A262"/>
      <c r="B262"/>
      <c r="C262"/>
      <c r="D262"/>
      <c r="E262"/>
      <c r="F262"/>
      <c r="G262"/>
      <c r="H262"/>
      <c r="I262"/>
    </row>
    <row r="263" spans="1:9" x14ac:dyDescent="0.25">
      <c r="A263"/>
      <c r="B263"/>
      <c r="C263"/>
      <c r="D263"/>
      <c r="E263"/>
      <c r="F263"/>
      <c r="G263"/>
      <c r="H263"/>
      <c r="I263"/>
    </row>
    <row r="264" spans="1:9" x14ac:dyDescent="0.25">
      <c r="A264"/>
      <c r="B264"/>
      <c r="C264"/>
      <c r="D264"/>
      <c r="E264"/>
      <c r="F264"/>
      <c r="G264"/>
      <c r="H264"/>
      <c r="I264"/>
    </row>
    <row r="265" spans="1:9" x14ac:dyDescent="0.25">
      <c r="A265"/>
      <c r="B265"/>
      <c r="C265"/>
      <c r="D265"/>
      <c r="E265"/>
      <c r="F265"/>
      <c r="G265"/>
      <c r="H265"/>
      <c r="I265"/>
    </row>
    <row r="266" spans="1:9" x14ac:dyDescent="0.25">
      <c r="A266"/>
      <c r="B266"/>
      <c r="C266"/>
      <c r="D266"/>
      <c r="E266"/>
      <c r="F266"/>
      <c r="G266"/>
      <c r="H266"/>
      <c r="I266"/>
    </row>
    <row r="267" spans="1:9" x14ac:dyDescent="0.25">
      <c r="A267"/>
      <c r="B267"/>
      <c r="C267"/>
      <c r="D267"/>
      <c r="E267"/>
      <c r="F267"/>
      <c r="G267"/>
      <c r="H267"/>
      <c r="I267"/>
    </row>
    <row r="268" spans="1:9" x14ac:dyDescent="0.25">
      <c r="A268"/>
      <c r="B268"/>
      <c r="C268"/>
      <c r="D268"/>
      <c r="E268"/>
      <c r="F268"/>
      <c r="G268"/>
      <c r="H268"/>
      <c r="I268"/>
    </row>
    <row r="269" spans="1:9" x14ac:dyDescent="0.25">
      <c r="A269"/>
      <c r="B269"/>
      <c r="C269"/>
      <c r="D269"/>
      <c r="E269"/>
      <c r="F269"/>
      <c r="G269"/>
      <c r="H269"/>
      <c r="I269"/>
    </row>
    <row r="270" spans="1:9" x14ac:dyDescent="0.25">
      <c r="A270"/>
      <c r="B270"/>
      <c r="C270"/>
      <c r="D270"/>
      <c r="E270"/>
      <c r="F270"/>
      <c r="G270"/>
      <c r="H270"/>
      <c r="I270"/>
    </row>
    <row r="271" spans="1:9" x14ac:dyDescent="0.25">
      <c r="A271"/>
      <c r="B271"/>
      <c r="C271"/>
      <c r="D271"/>
      <c r="E271"/>
      <c r="F271"/>
      <c r="G271"/>
      <c r="H271"/>
      <c r="I271"/>
    </row>
    <row r="272" spans="1:9" x14ac:dyDescent="0.25">
      <c r="A272"/>
      <c r="B272"/>
      <c r="C272"/>
      <c r="D272"/>
      <c r="E272"/>
      <c r="F272"/>
      <c r="G272"/>
      <c r="H272"/>
      <c r="I272"/>
    </row>
    <row r="273" spans="1:9" x14ac:dyDescent="0.25">
      <c r="A273"/>
      <c r="B273"/>
      <c r="C273"/>
      <c r="D273"/>
      <c r="E273"/>
      <c r="F273"/>
      <c r="G273"/>
      <c r="H273"/>
      <c r="I273"/>
    </row>
    <row r="274" spans="1:9" x14ac:dyDescent="0.25">
      <c r="A274"/>
      <c r="B274"/>
      <c r="C274"/>
      <c r="D274"/>
      <c r="E274"/>
      <c r="F274"/>
      <c r="G274"/>
      <c r="H274"/>
      <c r="I274"/>
    </row>
    <row r="275" spans="1:9" x14ac:dyDescent="0.25">
      <c r="A275"/>
      <c r="B275"/>
      <c r="C275"/>
      <c r="D275"/>
      <c r="E275"/>
      <c r="F275"/>
      <c r="G275"/>
      <c r="H275"/>
      <c r="I275"/>
    </row>
    <row r="276" spans="1:9" x14ac:dyDescent="0.25">
      <c r="A276"/>
      <c r="B276"/>
      <c r="C276"/>
      <c r="D276"/>
      <c r="E276"/>
      <c r="F276"/>
      <c r="G276"/>
      <c r="H276"/>
      <c r="I276"/>
    </row>
    <row r="277" spans="1:9" x14ac:dyDescent="0.25">
      <c r="A277"/>
      <c r="B277"/>
      <c r="C277"/>
      <c r="D277"/>
      <c r="E277"/>
      <c r="F277"/>
      <c r="G277"/>
      <c r="H277"/>
      <c r="I277"/>
    </row>
    <row r="278" spans="1:9" x14ac:dyDescent="0.25">
      <c r="A278"/>
      <c r="B278"/>
      <c r="C278"/>
      <c r="D278"/>
      <c r="E278"/>
      <c r="F278"/>
      <c r="G278"/>
      <c r="H278"/>
      <c r="I278"/>
    </row>
    <row r="279" spans="1:9" x14ac:dyDescent="0.25">
      <c r="A279"/>
      <c r="B279"/>
      <c r="C279"/>
      <c r="D279"/>
      <c r="E279"/>
      <c r="F279"/>
      <c r="G279"/>
      <c r="H279"/>
      <c r="I279"/>
    </row>
    <row r="280" spans="1:9" x14ac:dyDescent="0.25">
      <c r="A280"/>
      <c r="B280"/>
      <c r="C280"/>
      <c r="D280"/>
      <c r="E280"/>
      <c r="F280"/>
      <c r="G280"/>
      <c r="H280"/>
      <c r="I280"/>
    </row>
    <row r="281" spans="1:9" x14ac:dyDescent="0.25">
      <c r="A281"/>
      <c r="B281"/>
      <c r="C281"/>
      <c r="D281"/>
      <c r="E281"/>
      <c r="F281"/>
      <c r="G281"/>
      <c r="H281"/>
      <c r="I281"/>
    </row>
    <row r="282" spans="1:9" x14ac:dyDescent="0.25">
      <c r="A282"/>
      <c r="B282"/>
      <c r="C282"/>
      <c r="D282"/>
      <c r="E282"/>
      <c r="F282"/>
      <c r="G282"/>
      <c r="H282"/>
      <c r="I282"/>
    </row>
    <row r="283" spans="1:9" x14ac:dyDescent="0.25">
      <c r="A283"/>
      <c r="B283"/>
      <c r="C283"/>
      <c r="D283"/>
      <c r="E283"/>
      <c r="F283"/>
      <c r="G283"/>
      <c r="H283"/>
      <c r="I283"/>
    </row>
    <row r="284" spans="1:9" x14ac:dyDescent="0.25">
      <c r="A284"/>
      <c r="B284"/>
      <c r="C284"/>
      <c r="D284"/>
      <c r="E284"/>
      <c r="F284"/>
      <c r="G284"/>
      <c r="H284"/>
      <c r="I284"/>
    </row>
    <row r="285" spans="1:9" x14ac:dyDescent="0.25">
      <c r="A285"/>
      <c r="B285"/>
      <c r="C285"/>
      <c r="D285"/>
      <c r="E285"/>
      <c r="F285"/>
      <c r="G285"/>
      <c r="H285"/>
      <c r="I285"/>
    </row>
    <row r="286" spans="1:9" x14ac:dyDescent="0.25">
      <c r="A286"/>
      <c r="B286"/>
      <c r="C286"/>
      <c r="D286"/>
      <c r="E286"/>
      <c r="F286"/>
      <c r="G286"/>
      <c r="H286"/>
      <c r="I286"/>
    </row>
    <row r="287" spans="1:9" x14ac:dyDescent="0.25">
      <c r="A287"/>
      <c r="B287"/>
      <c r="C287"/>
      <c r="D287"/>
      <c r="E287"/>
      <c r="F287"/>
      <c r="G287"/>
      <c r="H287"/>
      <c r="I287"/>
    </row>
    <row r="288" spans="1:9" x14ac:dyDescent="0.25">
      <c r="A288"/>
      <c r="B288"/>
      <c r="C288"/>
      <c r="D288"/>
      <c r="E288"/>
      <c r="F288"/>
      <c r="G288"/>
      <c r="H288"/>
      <c r="I288"/>
    </row>
    <row r="289" spans="1:9" x14ac:dyDescent="0.25">
      <c r="A289"/>
      <c r="B289"/>
      <c r="C289"/>
      <c r="D289"/>
      <c r="E289"/>
      <c r="F289"/>
      <c r="G289"/>
      <c r="H289"/>
      <c r="I289"/>
    </row>
    <row r="290" spans="1:9" x14ac:dyDescent="0.25">
      <c r="A290"/>
      <c r="B290"/>
      <c r="C290"/>
      <c r="D290"/>
      <c r="E290"/>
      <c r="F290"/>
      <c r="G290"/>
      <c r="H290"/>
      <c r="I290"/>
    </row>
    <row r="291" spans="1:9" x14ac:dyDescent="0.25">
      <c r="A291"/>
      <c r="B291"/>
      <c r="C291"/>
      <c r="D291"/>
      <c r="E291"/>
      <c r="F291"/>
      <c r="G291"/>
      <c r="H291"/>
      <c r="I291"/>
    </row>
    <row r="292" spans="1:9" x14ac:dyDescent="0.25">
      <c r="A292"/>
      <c r="B292"/>
      <c r="C292"/>
      <c r="D292"/>
      <c r="E292"/>
      <c r="F292"/>
      <c r="G292"/>
      <c r="H292"/>
      <c r="I292"/>
    </row>
    <row r="293" spans="1:9" x14ac:dyDescent="0.25">
      <c r="A293"/>
      <c r="B293"/>
      <c r="C293"/>
      <c r="D293"/>
      <c r="E293"/>
      <c r="F293"/>
      <c r="G293"/>
      <c r="H293"/>
      <c r="I293"/>
    </row>
    <row r="294" spans="1:9" x14ac:dyDescent="0.25">
      <c r="A294"/>
      <c r="B294"/>
      <c r="C294"/>
      <c r="D294"/>
      <c r="E294"/>
      <c r="F294"/>
      <c r="G294"/>
      <c r="H294"/>
      <c r="I294"/>
    </row>
    <row r="295" spans="1:9" x14ac:dyDescent="0.25">
      <c r="A295"/>
      <c r="B295"/>
      <c r="C295"/>
      <c r="D295"/>
      <c r="E295"/>
      <c r="F295"/>
      <c r="G295"/>
      <c r="H295"/>
      <c r="I295"/>
    </row>
    <row r="296" spans="1:9" x14ac:dyDescent="0.25">
      <c r="A296"/>
      <c r="B296"/>
      <c r="C296"/>
      <c r="D296"/>
      <c r="E296"/>
      <c r="F296"/>
      <c r="G296"/>
      <c r="H296"/>
      <c r="I296"/>
    </row>
    <row r="297" spans="1:9" x14ac:dyDescent="0.25">
      <c r="A297"/>
      <c r="B297"/>
      <c r="C297"/>
      <c r="D297"/>
      <c r="E297"/>
      <c r="F297"/>
      <c r="G297"/>
      <c r="H297"/>
      <c r="I297"/>
    </row>
    <row r="298" spans="1:9" x14ac:dyDescent="0.25">
      <c r="A298"/>
      <c r="B298"/>
      <c r="C298"/>
      <c r="D298"/>
      <c r="E298"/>
      <c r="F298"/>
      <c r="G298"/>
      <c r="H298"/>
      <c r="I298"/>
    </row>
    <row r="299" spans="1:9" x14ac:dyDescent="0.25">
      <c r="A299"/>
      <c r="B299"/>
      <c r="C299"/>
      <c r="D299"/>
      <c r="E299"/>
      <c r="F299"/>
      <c r="G299"/>
      <c r="H299"/>
      <c r="I299"/>
    </row>
    <row r="300" spans="1:9" x14ac:dyDescent="0.25">
      <c r="A300"/>
      <c r="B300"/>
      <c r="C300"/>
      <c r="D300"/>
      <c r="E300"/>
      <c r="F300"/>
      <c r="G300"/>
      <c r="H300"/>
      <c r="I300"/>
    </row>
    <row r="301" spans="1:9" x14ac:dyDescent="0.25">
      <c r="A301"/>
      <c r="B301"/>
      <c r="C301"/>
      <c r="D301"/>
      <c r="E301"/>
      <c r="F301"/>
      <c r="G301"/>
      <c r="H301"/>
      <c r="I301"/>
    </row>
    <row r="302" spans="1:9" x14ac:dyDescent="0.25">
      <c r="A302"/>
      <c r="B302"/>
      <c r="C302"/>
      <c r="D302"/>
      <c r="E302"/>
      <c r="F302"/>
      <c r="G302"/>
      <c r="H302"/>
      <c r="I302"/>
    </row>
    <row r="303" spans="1:9" x14ac:dyDescent="0.25">
      <c r="A303"/>
      <c r="B303"/>
      <c r="C303"/>
      <c r="D303"/>
      <c r="E303"/>
      <c r="F303"/>
      <c r="G303"/>
      <c r="H303"/>
      <c r="I303"/>
    </row>
    <row r="304" spans="1:9" x14ac:dyDescent="0.25">
      <c r="A304"/>
      <c r="B304"/>
      <c r="C304"/>
      <c r="D304"/>
      <c r="E304"/>
      <c r="F304"/>
      <c r="G304"/>
      <c r="H304"/>
      <c r="I304"/>
    </row>
    <row r="305" spans="1:9" x14ac:dyDescent="0.25">
      <c r="A305"/>
      <c r="B305"/>
      <c r="C305"/>
      <c r="D305"/>
      <c r="E305"/>
      <c r="F305"/>
      <c r="G305"/>
      <c r="H305"/>
      <c r="I305"/>
    </row>
    <row r="306" spans="1:9" x14ac:dyDescent="0.25">
      <c r="A306"/>
      <c r="B306"/>
      <c r="C306"/>
      <c r="D306"/>
      <c r="E306"/>
      <c r="F306"/>
      <c r="G306"/>
      <c r="H306"/>
      <c r="I306"/>
    </row>
    <row r="307" spans="1:9" x14ac:dyDescent="0.25">
      <c r="A307"/>
      <c r="B307"/>
      <c r="C307"/>
      <c r="D307"/>
      <c r="E307"/>
      <c r="F307"/>
      <c r="G307"/>
      <c r="H307"/>
      <c r="I307"/>
    </row>
    <row r="308" spans="1:9" x14ac:dyDescent="0.25">
      <c r="A308"/>
      <c r="B308"/>
      <c r="C308"/>
      <c r="D308"/>
      <c r="E308"/>
      <c r="F308"/>
      <c r="G308"/>
      <c r="H308"/>
      <c r="I308"/>
    </row>
    <row r="309" spans="1:9" x14ac:dyDescent="0.25">
      <c r="A309"/>
      <c r="B309"/>
      <c r="C309"/>
      <c r="D309"/>
      <c r="E309"/>
      <c r="F309"/>
      <c r="G309"/>
      <c r="H309"/>
      <c r="I309"/>
    </row>
    <row r="310" spans="1:9" x14ac:dyDescent="0.25">
      <c r="A310"/>
      <c r="B310"/>
      <c r="C310"/>
      <c r="D310"/>
      <c r="E310"/>
      <c r="F310"/>
      <c r="G310"/>
      <c r="H310"/>
      <c r="I310"/>
    </row>
    <row r="311" spans="1:9" x14ac:dyDescent="0.25">
      <c r="A311"/>
      <c r="B311"/>
      <c r="C311"/>
      <c r="D311"/>
      <c r="E311"/>
      <c r="F311"/>
      <c r="G311"/>
      <c r="H311"/>
      <c r="I311"/>
    </row>
    <row r="312" spans="1:9" x14ac:dyDescent="0.25">
      <c r="A312"/>
      <c r="B312"/>
      <c r="C312"/>
      <c r="D312"/>
      <c r="E312"/>
      <c r="F312"/>
      <c r="G312"/>
      <c r="H312"/>
      <c r="I312"/>
    </row>
    <row r="313" spans="1:9" x14ac:dyDescent="0.25">
      <c r="A313"/>
      <c r="B313"/>
      <c r="C313"/>
      <c r="D313"/>
      <c r="E313"/>
      <c r="F313"/>
      <c r="G313"/>
      <c r="H313"/>
      <c r="I313"/>
    </row>
    <row r="314" spans="1:9" x14ac:dyDescent="0.25">
      <c r="A314"/>
      <c r="B314"/>
      <c r="C314"/>
      <c r="D314"/>
      <c r="E314"/>
      <c r="F314"/>
      <c r="G314"/>
      <c r="H314"/>
      <c r="I314"/>
    </row>
    <row r="315" spans="1:9" x14ac:dyDescent="0.25">
      <c r="A315"/>
      <c r="B315"/>
      <c r="C315"/>
      <c r="D315"/>
      <c r="E315"/>
      <c r="F315"/>
      <c r="G315"/>
      <c r="H315"/>
      <c r="I315"/>
    </row>
    <row r="316" spans="1:9" x14ac:dyDescent="0.25">
      <c r="A316"/>
      <c r="B316"/>
      <c r="C316"/>
      <c r="D316"/>
      <c r="E316"/>
      <c r="F316"/>
      <c r="G316"/>
      <c r="H316"/>
      <c r="I316"/>
    </row>
    <row r="317" spans="1:9" x14ac:dyDescent="0.25">
      <c r="A317"/>
      <c r="B317"/>
      <c r="C317"/>
      <c r="D317"/>
      <c r="E317"/>
      <c r="F317"/>
      <c r="G317"/>
      <c r="H317"/>
      <c r="I317"/>
    </row>
    <row r="318" spans="1:9" x14ac:dyDescent="0.25">
      <c r="A318"/>
      <c r="B318"/>
      <c r="C318"/>
      <c r="D318"/>
      <c r="E318"/>
      <c r="F318"/>
      <c r="G318"/>
      <c r="H318"/>
      <c r="I318"/>
    </row>
    <row r="319" spans="1:9" x14ac:dyDescent="0.25">
      <c r="A319"/>
      <c r="B319"/>
      <c r="C319"/>
      <c r="D319"/>
      <c r="E319"/>
      <c r="F319"/>
      <c r="G319"/>
      <c r="H319"/>
      <c r="I319"/>
    </row>
    <row r="320" spans="1:9" x14ac:dyDescent="0.25">
      <c r="A320"/>
      <c r="B320"/>
      <c r="C320"/>
      <c r="D320"/>
      <c r="E320"/>
      <c r="F320"/>
      <c r="G320"/>
      <c r="H320"/>
      <c r="I320"/>
    </row>
    <row r="321" spans="1:9" x14ac:dyDescent="0.25">
      <c r="A321"/>
      <c r="B321"/>
      <c r="C321"/>
      <c r="D321"/>
      <c r="E321"/>
      <c r="F321"/>
      <c r="G321"/>
      <c r="H321"/>
      <c r="I321"/>
    </row>
    <row r="322" spans="1:9" x14ac:dyDescent="0.25">
      <c r="A322"/>
      <c r="B322"/>
      <c r="C322"/>
      <c r="D322"/>
      <c r="E322"/>
      <c r="F322"/>
      <c r="G322"/>
      <c r="H322"/>
      <c r="I322"/>
    </row>
    <row r="323" spans="1:9" x14ac:dyDescent="0.25">
      <c r="A323"/>
      <c r="B323"/>
      <c r="C323"/>
      <c r="D323"/>
      <c r="E323"/>
      <c r="F323"/>
      <c r="G323"/>
      <c r="H323"/>
      <c r="I323"/>
    </row>
    <row r="324" spans="1:9" x14ac:dyDescent="0.25">
      <c r="A324"/>
      <c r="B324"/>
      <c r="C324"/>
      <c r="D324"/>
      <c r="E324"/>
      <c r="F324"/>
      <c r="G324"/>
      <c r="H324"/>
      <c r="I324"/>
    </row>
    <row r="325" spans="1:9" x14ac:dyDescent="0.25">
      <c r="A325"/>
      <c r="B325"/>
      <c r="C325"/>
      <c r="D325"/>
      <c r="E325"/>
      <c r="F325"/>
      <c r="G325"/>
      <c r="H325"/>
      <c r="I325"/>
    </row>
    <row r="326" spans="1:9" x14ac:dyDescent="0.25">
      <c r="A326"/>
      <c r="B326"/>
      <c r="C326"/>
      <c r="D326"/>
      <c r="E326"/>
      <c r="F326"/>
      <c r="G326"/>
      <c r="H326"/>
      <c r="I326"/>
    </row>
    <row r="327" spans="1:9" x14ac:dyDescent="0.25">
      <c r="A327"/>
      <c r="B327"/>
      <c r="C327"/>
      <c r="D327"/>
      <c r="E327"/>
      <c r="F327"/>
      <c r="G327"/>
      <c r="H327"/>
      <c r="I327"/>
    </row>
    <row r="328" spans="1:9" x14ac:dyDescent="0.25">
      <c r="A328"/>
      <c r="B328"/>
      <c r="C328"/>
      <c r="D328"/>
      <c r="E328"/>
      <c r="F328"/>
      <c r="G328"/>
      <c r="H328"/>
      <c r="I328"/>
    </row>
    <row r="329" spans="1:9" x14ac:dyDescent="0.25">
      <c r="A329"/>
      <c r="B329"/>
      <c r="C329"/>
      <c r="D329"/>
      <c r="E329"/>
      <c r="F329"/>
      <c r="G329"/>
      <c r="H329"/>
      <c r="I329"/>
    </row>
    <row r="330" spans="1:9" x14ac:dyDescent="0.25">
      <c r="A330"/>
      <c r="B330"/>
      <c r="C330"/>
      <c r="D330"/>
      <c r="E330"/>
      <c r="F330"/>
      <c r="G330"/>
      <c r="H330"/>
      <c r="I330"/>
    </row>
    <row r="331" spans="1:9" x14ac:dyDescent="0.25">
      <c r="A331"/>
      <c r="B331"/>
      <c r="C331"/>
      <c r="D331"/>
      <c r="E331"/>
      <c r="F331"/>
      <c r="G331"/>
      <c r="H331"/>
      <c r="I331"/>
    </row>
    <row r="332" spans="1:9" x14ac:dyDescent="0.25">
      <c r="A332"/>
      <c r="B332"/>
      <c r="C332"/>
      <c r="D332"/>
      <c r="E332"/>
      <c r="F332"/>
      <c r="G332"/>
      <c r="H332"/>
      <c r="I332"/>
    </row>
    <row r="333" spans="1:9" x14ac:dyDescent="0.25">
      <c r="A333"/>
      <c r="B333"/>
      <c r="C333"/>
      <c r="D333"/>
      <c r="E333"/>
      <c r="F333"/>
      <c r="G333"/>
      <c r="H333"/>
      <c r="I333"/>
    </row>
    <row r="334" spans="1:9" x14ac:dyDescent="0.25">
      <c r="A334"/>
      <c r="B334"/>
      <c r="C334"/>
      <c r="D334"/>
      <c r="E334"/>
      <c r="F334"/>
      <c r="G334"/>
      <c r="H334"/>
      <c r="I334"/>
    </row>
    <row r="335" spans="1:9" x14ac:dyDescent="0.25">
      <c r="A335"/>
      <c r="B335"/>
      <c r="C335"/>
      <c r="D335"/>
      <c r="E335"/>
      <c r="F335"/>
      <c r="G335"/>
      <c r="H335"/>
      <c r="I335"/>
    </row>
    <row r="336" spans="1:9" x14ac:dyDescent="0.25">
      <c r="A336"/>
      <c r="B336"/>
      <c r="C336"/>
      <c r="D336"/>
      <c r="E336"/>
      <c r="F336"/>
      <c r="G336"/>
      <c r="H336"/>
      <c r="I336"/>
    </row>
    <row r="337" spans="1:9" x14ac:dyDescent="0.25">
      <c r="A337"/>
      <c r="B337"/>
      <c r="C337"/>
      <c r="D337"/>
      <c r="E337"/>
      <c r="F337"/>
      <c r="G337"/>
      <c r="H337"/>
      <c r="I337"/>
    </row>
    <row r="338" spans="1:9" x14ac:dyDescent="0.25">
      <c r="A338"/>
      <c r="B338"/>
      <c r="C338"/>
      <c r="D338"/>
      <c r="E338"/>
      <c r="F338"/>
      <c r="G338"/>
      <c r="H338"/>
      <c r="I338"/>
    </row>
    <row r="339" spans="1:9" x14ac:dyDescent="0.25">
      <c r="A339"/>
      <c r="B339"/>
      <c r="C339"/>
      <c r="D339"/>
      <c r="E339"/>
      <c r="F339"/>
      <c r="G339"/>
      <c r="H339"/>
      <c r="I339"/>
    </row>
    <row r="340" spans="1:9" x14ac:dyDescent="0.25">
      <c r="A340"/>
      <c r="B340"/>
      <c r="C340"/>
      <c r="D340"/>
      <c r="E340"/>
      <c r="F340"/>
      <c r="G340"/>
      <c r="H340"/>
      <c r="I340"/>
    </row>
    <row r="341" spans="1:9" x14ac:dyDescent="0.25">
      <c r="A341"/>
      <c r="B341"/>
      <c r="C341"/>
      <c r="D341"/>
      <c r="E341"/>
      <c r="F341"/>
      <c r="G341"/>
      <c r="H341"/>
      <c r="I341"/>
    </row>
    <row r="342" spans="1:9" x14ac:dyDescent="0.25">
      <c r="A342"/>
      <c r="B342"/>
      <c r="C342"/>
      <c r="D342"/>
      <c r="E342"/>
      <c r="F342"/>
      <c r="G342"/>
      <c r="H342"/>
      <c r="I342"/>
    </row>
    <row r="343" spans="1:9" x14ac:dyDescent="0.25">
      <c r="A343"/>
      <c r="B343"/>
      <c r="C343"/>
      <c r="D343"/>
      <c r="E343"/>
      <c r="F343"/>
      <c r="G343"/>
      <c r="H343"/>
      <c r="I343"/>
    </row>
    <row r="344" spans="1:9" x14ac:dyDescent="0.25">
      <c r="A344"/>
      <c r="B344"/>
      <c r="C344"/>
      <c r="D344"/>
      <c r="E344"/>
      <c r="F344"/>
      <c r="G344"/>
      <c r="H344"/>
      <c r="I344"/>
    </row>
    <row r="345" spans="1:9" x14ac:dyDescent="0.25">
      <c r="A345"/>
      <c r="B345"/>
      <c r="C345"/>
      <c r="D345"/>
      <c r="E345"/>
      <c r="F345"/>
      <c r="G345"/>
      <c r="H345"/>
      <c r="I345"/>
    </row>
    <row r="346" spans="1:9" x14ac:dyDescent="0.25">
      <c r="A346"/>
      <c r="B346"/>
      <c r="C346"/>
      <c r="D346"/>
      <c r="E346"/>
      <c r="F346"/>
      <c r="G346"/>
      <c r="H346"/>
      <c r="I346"/>
    </row>
    <row r="347" spans="1:9" x14ac:dyDescent="0.25">
      <c r="A347"/>
      <c r="B347"/>
      <c r="C347"/>
      <c r="D347"/>
      <c r="E347"/>
      <c r="F347"/>
      <c r="G347"/>
      <c r="H347"/>
      <c r="I347"/>
    </row>
    <row r="348" spans="1:9" x14ac:dyDescent="0.25">
      <c r="A348"/>
      <c r="B348"/>
      <c r="C348"/>
      <c r="D348"/>
      <c r="E348"/>
      <c r="F348"/>
      <c r="G348"/>
      <c r="H348"/>
      <c r="I348"/>
    </row>
    <row r="349" spans="1:9" x14ac:dyDescent="0.25">
      <c r="A349"/>
      <c r="B349"/>
      <c r="C349"/>
      <c r="D349"/>
      <c r="E349"/>
      <c r="F349"/>
      <c r="G349"/>
      <c r="H349"/>
      <c r="I349"/>
    </row>
    <row r="350" spans="1:9" x14ac:dyDescent="0.25">
      <c r="A350"/>
      <c r="B350"/>
      <c r="C350"/>
      <c r="D350"/>
      <c r="E350"/>
      <c r="F350"/>
      <c r="G350"/>
      <c r="H350"/>
      <c r="I350"/>
    </row>
    <row r="351" spans="1:9" x14ac:dyDescent="0.25">
      <c r="A351"/>
      <c r="B351"/>
      <c r="C351"/>
      <c r="D351"/>
      <c r="E351"/>
      <c r="F351"/>
      <c r="G351"/>
      <c r="H351"/>
      <c r="I351"/>
    </row>
    <row r="352" spans="1:9" x14ac:dyDescent="0.25">
      <c r="A352"/>
      <c r="B352"/>
      <c r="C352"/>
      <c r="D352"/>
      <c r="E352"/>
      <c r="F352"/>
      <c r="G352"/>
      <c r="H352"/>
      <c r="I352"/>
    </row>
    <row r="353" spans="1:9" x14ac:dyDescent="0.25">
      <c r="A353"/>
      <c r="B353"/>
      <c r="C353"/>
      <c r="D353"/>
      <c r="E353"/>
      <c r="F353"/>
      <c r="G353"/>
      <c r="H353"/>
      <c r="I353"/>
    </row>
    <row r="354" spans="1:9" x14ac:dyDescent="0.25">
      <c r="A354"/>
      <c r="B354"/>
      <c r="C354"/>
      <c r="D354"/>
      <c r="E354"/>
      <c r="F354"/>
      <c r="G354"/>
      <c r="H354"/>
      <c r="I354"/>
    </row>
    <row r="355" spans="1:9" x14ac:dyDescent="0.25">
      <c r="A355"/>
      <c r="B355"/>
      <c r="C355"/>
      <c r="D355"/>
      <c r="E355"/>
      <c r="F355"/>
      <c r="G355"/>
      <c r="H355"/>
      <c r="I355"/>
    </row>
    <row r="356" spans="1:9" x14ac:dyDescent="0.25">
      <c r="A356"/>
      <c r="B356"/>
      <c r="C356"/>
      <c r="D356"/>
      <c r="E356"/>
      <c r="F356"/>
      <c r="G356"/>
      <c r="H356"/>
      <c r="I356"/>
    </row>
    <row r="357" spans="1:9" x14ac:dyDescent="0.25">
      <c r="A357"/>
      <c r="B357"/>
      <c r="C357"/>
      <c r="D357"/>
      <c r="E357"/>
      <c r="F357"/>
      <c r="G357"/>
      <c r="H357"/>
      <c r="I357"/>
    </row>
    <row r="358" spans="1:9" x14ac:dyDescent="0.25">
      <c r="A358"/>
      <c r="B358"/>
      <c r="C358"/>
      <c r="D358"/>
      <c r="E358"/>
      <c r="F358"/>
      <c r="G358"/>
      <c r="H358"/>
      <c r="I358"/>
    </row>
    <row r="359" spans="1:9" x14ac:dyDescent="0.25">
      <c r="A359"/>
      <c r="B359"/>
      <c r="C359"/>
      <c r="D359"/>
      <c r="E359"/>
      <c r="F359"/>
      <c r="G359"/>
      <c r="H359"/>
      <c r="I359"/>
    </row>
    <row r="360" spans="1:9" x14ac:dyDescent="0.25">
      <c r="A360"/>
      <c r="B360"/>
      <c r="C360"/>
      <c r="D360"/>
      <c r="E360"/>
      <c r="F360"/>
      <c r="G360"/>
      <c r="H360"/>
      <c r="I360"/>
    </row>
    <row r="361" spans="1:9" x14ac:dyDescent="0.25">
      <c r="A361"/>
      <c r="B361"/>
      <c r="C361"/>
      <c r="D361"/>
      <c r="E361"/>
      <c r="F361"/>
      <c r="G361"/>
      <c r="H361"/>
      <c r="I361"/>
    </row>
    <row r="362" spans="1:9" x14ac:dyDescent="0.25">
      <c r="A362"/>
      <c r="B362"/>
      <c r="C362"/>
      <c r="D362"/>
      <c r="E362"/>
      <c r="F362"/>
      <c r="G362"/>
      <c r="H362"/>
      <c r="I362"/>
    </row>
    <row r="363" spans="1:9" x14ac:dyDescent="0.25">
      <c r="A363"/>
      <c r="B363"/>
      <c r="C363"/>
      <c r="D363"/>
      <c r="E363"/>
      <c r="F363"/>
      <c r="G363"/>
      <c r="H363"/>
      <c r="I363"/>
    </row>
    <row r="364" spans="1:9" x14ac:dyDescent="0.25">
      <c r="A364"/>
      <c r="B364"/>
      <c r="C364"/>
      <c r="D364"/>
      <c r="E364"/>
      <c r="F364"/>
      <c r="G364"/>
      <c r="H364"/>
      <c r="I364"/>
    </row>
    <row r="365" spans="1:9" x14ac:dyDescent="0.25">
      <c r="A365"/>
      <c r="B365"/>
      <c r="C365"/>
      <c r="D365"/>
      <c r="E365"/>
      <c r="F365"/>
      <c r="G365"/>
      <c r="H365"/>
      <c r="I365"/>
    </row>
    <row r="366" spans="1:9" x14ac:dyDescent="0.25">
      <c r="A366"/>
      <c r="B366"/>
      <c r="C366"/>
      <c r="D366"/>
      <c r="E366"/>
      <c r="F366"/>
      <c r="G366"/>
      <c r="H366"/>
      <c r="I366"/>
    </row>
    <row r="367" spans="1:9" x14ac:dyDescent="0.25">
      <c r="A367"/>
      <c r="B367"/>
      <c r="C367"/>
      <c r="D367"/>
      <c r="E367"/>
      <c r="F367"/>
      <c r="G367"/>
      <c r="H367"/>
      <c r="I367"/>
    </row>
    <row r="368" spans="1:9" x14ac:dyDescent="0.25">
      <c r="A368"/>
      <c r="B368"/>
      <c r="C368"/>
      <c r="D368"/>
      <c r="E368"/>
      <c r="F368"/>
      <c r="G368"/>
      <c r="H368"/>
      <c r="I368"/>
    </row>
    <row r="369" spans="1:9" x14ac:dyDescent="0.25">
      <c r="A369"/>
      <c r="B369"/>
      <c r="C369"/>
      <c r="D369"/>
      <c r="E369"/>
      <c r="F369"/>
      <c r="G369"/>
      <c r="H369"/>
      <c r="I369"/>
    </row>
    <row r="370" spans="1:9" x14ac:dyDescent="0.25">
      <c r="A370"/>
      <c r="B370"/>
      <c r="C370"/>
      <c r="D370"/>
      <c r="E370"/>
      <c r="F370"/>
      <c r="G370"/>
      <c r="H370"/>
      <c r="I370"/>
    </row>
    <row r="371" spans="1:9" x14ac:dyDescent="0.25">
      <c r="A371"/>
      <c r="B371"/>
      <c r="C371"/>
      <c r="D371"/>
      <c r="E371"/>
      <c r="F371"/>
      <c r="G371"/>
      <c r="H371"/>
      <c r="I371"/>
    </row>
    <row r="372" spans="1:9" x14ac:dyDescent="0.25">
      <c r="A372"/>
      <c r="B372"/>
      <c r="C372"/>
      <c r="D372"/>
      <c r="E372"/>
      <c r="F372"/>
      <c r="G372"/>
      <c r="H372"/>
      <c r="I372"/>
    </row>
    <row r="373" spans="1:9" x14ac:dyDescent="0.25">
      <c r="A373"/>
      <c r="B373"/>
      <c r="C373"/>
      <c r="D373"/>
      <c r="E373"/>
      <c r="F373"/>
      <c r="G373"/>
      <c r="H373"/>
      <c r="I373"/>
    </row>
    <row r="374" spans="1:9" x14ac:dyDescent="0.25">
      <c r="A374"/>
      <c r="B374"/>
      <c r="C374"/>
      <c r="D374"/>
      <c r="E374"/>
      <c r="F374"/>
      <c r="G374"/>
      <c r="H374"/>
      <c r="I374"/>
    </row>
    <row r="375" spans="1:9" x14ac:dyDescent="0.25">
      <c r="A375"/>
      <c r="B375"/>
      <c r="C375"/>
      <c r="D375"/>
      <c r="E375"/>
      <c r="F375"/>
      <c r="G375"/>
      <c r="H375"/>
      <c r="I375"/>
    </row>
    <row r="376" spans="1:9" x14ac:dyDescent="0.25">
      <c r="A376"/>
      <c r="B376"/>
      <c r="C376"/>
      <c r="D376"/>
      <c r="E376"/>
      <c r="F376"/>
      <c r="G376"/>
      <c r="H376"/>
      <c r="I376"/>
    </row>
    <row r="377" spans="1:9" x14ac:dyDescent="0.25">
      <c r="A377"/>
      <c r="B377"/>
      <c r="C377"/>
      <c r="D377"/>
      <c r="E377"/>
      <c r="F377"/>
      <c r="G377"/>
      <c r="H377"/>
      <c r="I377"/>
    </row>
    <row r="378" spans="1:9" x14ac:dyDescent="0.25">
      <c r="A378"/>
      <c r="B378"/>
      <c r="C378"/>
      <c r="D378"/>
      <c r="E378"/>
      <c r="F378"/>
      <c r="G378"/>
      <c r="H378"/>
      <c r="I378"/>
    </row>
    <row r="379" spans="1:9" x14ac:dyDescent="0.25">
      <c r="A379"/>
      <c r="B379"/>
      <c r="C379"/>
      <c r="D379"/>
      <c r="E379"/>
      <c r="F379"/>
      <c r="G379"/>
      <c r="H379"/>
      <c r="I379"/>
    </row>
    <row r="380" spans="1:9" x14ac:dyDescent="0.25">
      <c r="A380"/>
      <c r="B380"/>
      <c r="C380"/>
      <c r="D380"/>
      <c r="E380"/>
      <c r="F380"/>
      <c r="G380"/>
      <c r="H380"/>
      <c r="I380"/>
    </row>
    <row r="381" spans="1:9" x14ac:dyDescent="0.25">
      <c r="A381"/>
      <c r="B381"/>
      <c r="C381"/>
      <c r="D381"/>
      <c r="E381"/>
      <c r="F381"/>
      <c r="G381"/>
      <c r="H381"/>
      <c r="I381"/>
    </row>
    <row r="382" spans="1:9" x14ac:dyDescent="0.25">
      <c r="A382"/>
      <c r="B382"/>
      <c r="C382"/>
      <c r="D382"/>
      <c r="E382"/>
      <c r="F382"/>
      <c r="G382"/>
      <c r="H382"/>
      <c r="I382"/>
    </row>
    <row r="383" spans="1:9" x14ac:dyDescent="0.25">
      <c r="A383"/>
      <c r="B383"/>
      <c r="C383"/>
      <c r="D383"/>
      <c r="E383"/>
      <c r="F383"/>
      <c r="G383"/>
      <c r="H383"/>
      <c r="I383"/>
    </row>
    <row r="384" spans="1:9" x14ac:dyDescent="0.25">
      <c r="A384"/>
      <c r="B384"/>
      <c r="C384"/>
      <c r="D384"/>
      <c r="E384"/>
      <c r="F384"/>
      <c r="G384"/>
      <c r="H384"/>
      <c r="I384"/>
    </row>
    <row r="385" spans="1:9" x14ac:dyDescent="0.25">
      <c r="A385"/>
      <c r="B385"/>
      <c r="C385"/>
      <c r="D385"/>
      <c r="E385"/>
      <c r="F385"/>
      <c r="G385"/>
      <c r="H385"/>
      <c r="I385"/>
    </row>
    <row r="386" spans="1:9" x14ac:dyDescent="0.25">
      <c r="A386"/>
      <c r="B386"/>
      <c r="C386"/>
      <c r="D386"/>
      <c r="E386"/>
      <c r="F386"/>
      <c r="G386"/>
      <c r="H386"/>
      <c r="I386"/>
    </row>
    <row r="387" spans="1:9" x14ac:dyDescent="0.25">
      <c r="A387"/>
      <c r="B387"/>
      <c r="C387"/>
      <c r="D387"/>
      <c r="E387"/>
      <c r="F387"/>
      <c r="G387"/>
      <c r="H387"/>
      <c r="I387"/>
    </row>
    <row r="388" spans="1:9" x14ac:dyDescent="0.25">
      <c r="A388"/>
      <c r="B388"/>
      <c r="C388"/>
      <c r="D388"/>
      <c r="E388"/>
      <c r="F388"/>
      <c r="G388"/>
      <c r="H388"/>
      <c r="I388"/>
    </row>
    <row r="389" spans="1:9" x14ac:dyDescent="0.25">
      <c r="A389"/>
      <c r="B389"/>
      <c r="C389"/>
      <c r="D389"/>
      <c r="E389"/>
      <c r="F389"/>
      <c r="G389"/>
      <c r="H389"/>
      <c r="I389"/>
    </row>
    <row r="390" spans="1:9" x14ac:dyDescent="0.25">
      <c r="A390"/>
      <c r="B390"/>
      <c r="C390"/>
      <c r="D390"/>
      <c r="E390"/>
      <c r="F390"/>
      <c r="G390"/>
      <c r="H390"/>
      <c r="I390"/>
    </row>
    <row r="391" spans="1:9" x14ac:dyDescent="0.25">
      <c r="A391"/>
      <c r="B391"/>
      <c r="C391"/>
      <c r="D391"/>
      <c r="E391"/>
      <c r="F391"/>
      <c r="G391"/>
      <c r="H391"/>
      <c r="I391"/>
    </row>
    <row r="392" spans="1:9" x14ac:dyDescent="0.25">
      <c r="A392"/>
      <c r="B392"/>
      <c r="C392"/>
      <c r="D392"/>
      <c r="E392"/>
      <c r="F392"/>
      <c r="G392"/>
      <c r="H392"/>
      <c r="I392"/>
    </row>
    <row r="393" spans="1:9" x14ac:dyDescent="0.25">
      <c r="A393"/>
      <c r="B393"/>
      <c r="C393"/>
      <c r="D393"/>
      <c r="E393"/>
      <c r="F393"/>
      <c r="G393"/>
      <c r="H393"/>
      <c r="I393"/>
    </row>
    <row r="394" spans="1:9" x14ac:dyDescent="0.25">
      <c r="A394"/>
      <c r="B394"/>
      <c r="C394"/>
      <c r="D394"/>
      <c r="E394"/>
      <c r="F394"/>
      <c r="G394"/>
      <c r="H394"/>
      <c r="I394"/>
    </row>
    <row r="395" spans="1:9" x14ac:dyDescent="0.25">
      <c r="A395"/>
      <c r="B395"/>
      <c r="C395"/>
      <c r="D395"/>
      <c r="E395"/>
      <c r="F395"/>
      <c r="G395"/>
      <c r="H395"/>
      <c r="I395"/>
    </row>
    <row r="396" spans="1:9" x14ac:dyDescent="0.25">
      <c r="A396"/>
      <c r="B396"/>
      <c r="C396"/>
      <c r="D396"/>
      <c r="E396"/>
      <c r="F396"/>
      <c r="G396"/>
      <c r="H396"/>
      <c r="I396"/>
    </row>
    <row r="397" spans="1:9" x14ac:dyDescent="0.25">
      <c r="A397"/>
      <c r="B397"/>
      <c r="C397"/>
      <c r="D397"/>
      <c r="E397"/>
      <c r="F397"/>
      <c r="G397"/>
      <c r="H397"/>
      <c r="I397"/>
    </row>
    <row r="398" spans="1:9" x14ac:dyDescent="0.25">
      <c r="A398"/>
      <c r="B398"/>
      <c r="C398"/>
      <c r="D398"/>
      <c r="E398"/>
      <c r="F398"/>
      <c r="G398"/>
      <c r="H398"/>
      <c r="I398"/>
    </row>
    <row r="399" spans="1:9" x14ac:dyDescent="0.25">
      <c r="A399"/>
      <c r="B399"/>
      <c r="C399"/>
      <c r="D399"/>
      <c r="E399"/>
      <c r="F399"/>
      <c r="G399"/>
      <c r="H399"/>
      <c r="I399"/>
    </row>
    <row r="400" spans="1:9" x14ac:dyDescent="0.25">
      <c r="A400"/>
      <c r="B400"/>
      <c r="C400"/>
      <c r="D400"/>
      <c r="E400"/>
      <c r="F400"/>
      <c r="G400"/>
      <c r="H400"/>
      <c r="I400"/>
    </row>
    <row r="401" spans="1:9" x14ac:dyDescent="0.25">
      <c r="A401"/>
      <c r="B401"/>
      <c r="C401"/>
      <c r="D401"/>
      <c r="E401"/>
      <c r="F401"/>
      <c r="G401"/>
      <c r="H401"/>
      <c r="I401"/>
    </row>
    <row r="402" spans="1:9" x14ac:dyDescent="0.25">
      <c r="A402"/>
      <c r="B402"/>
      <c r="C402"/>
      <c r="D402"/>
      <c r="E402"/>
      <c r="F402"/>
      <c r="G402"/>
      <c r="H402"/>
      <c r="I402"/>
    </row>
    <row r="403" spans="1:9" x14ac:dyDescent="0.25">
      <c r="A403"/>
      <c r="B403"/>
      <c r="C403"/>
      <c r="D403"/>
      <c r="E403"/>
      <c r="F403"/>
      <c r="G403"/>
      <c r="H403"/>
      <c r="I403"/>
    </row>
    <row r="404" spans="1:9" x14ac:dyDescent="0.25">
      <c r="A404"/>
      <c r="B404"/>
      <c r="C404"/>
      <c r="D404"/>
      <c r="E404"/>
      <c r="F404"/>
      <c r="G404"/>
      <c r="H404"/>
      <c r="I404"/>
    </row>
    <row r="405" spans="1:9" x14ac:dyDescent="0.25">
      <c r="A405"/>
      <c r="B405"/>
      <c r="C405"/>
      <c r="D405"/>
      <c r="E405"/>
      <c r="F405"/>
      <c r="G405"/>
      <c r="H405"/>
      <c r="I405"/>
    </row>
    <row r="406" spans="1:9" x14ac:dyDescent="0.25">
      <c r="A406"/>
      <c r="B406"/>
      <c r="C406"/>
      <c r="D406"/>
      <c r="E406"/>
      <c r="F406"/>
      <c r="G406"/>
      <c r="H406"/>
      <c r="I406"/>
    </row>
    <row r="407" spans="1:9" x14ac:dyDescent="0.25">
      <c r="A407"/>
      <c r="B407"/>
      <c r="C407"/>
      <c r="D407"/>
      <c r="E407"/>
      <c r="F407"/>
      <c r="G407"/>
      <c r="H407"/>
      <c r="I407"/>
    </row>
    <row r="408" spans="1:9" x14ac:dyDescent="0.25">
      <c r="A408"/>
      <c r="B408"/>
      <c r="C408"/>
      <c r="D408"/>
      <c r="E408"/>
      <c r="F408"/>
      <c r="G408"/>
      <c r="H408"/>
      <c r="I408"/>
    </row>
    <row r="409" spans="1:9" x14ac:dyDescent="0.25">
      <c r="A409"/>
      <c r="B409"/>
      <c r="C409"/>
      <c r="D409"/>
      <c r="E409"/>
      <c r="F409"/>
      <c r="G409"/>
      <c r="H409"/>
      <c r="I409"/>
    </row>
    <row r="410" spans="1:9" x14ac:dyDescent="0.25">
      <c r="A410"/>
      <c r="B410"/>
      <c r="C410"/>
      <c r="D410"/>
      <c r="E410"/>
      <c r="F410"/>
      <c r="G410"/>
      <c r="H410"/>
      <c r="I410"/>
    </row>
    <row r="411" spans="1:9" x14ac:dyDescent="0.25">
      <c r="A411"/>
      <c r="B411"/>
      <c r="C411"/>
      <c r="D411"/>
      <c r="E411"/>
      <c r="F411"/>
      <c r="G411"/>
      <c r="H411"/>
      <c r="I411"/>
    </row>
    <row r="412" spans="1:9" x14ac:dyDescent="0.25">
      <c r="A412"/>
      <c r="B412"/>
      <c r="C412"/>
      <c r="D412"/>
      <c r="E412"/>
      <c r="F412"/>
      <c r="G412"/>
      <c r="H412"/>
      <c r="I412"/>
    </row>
    <row r="413" spans="1:9" x14ac:dyDescent="0.25">
      <c r="A413"/>
      <c r="B413"/>
      <c r="C413"/>
      <c r="D413"/>
      <c r="E413"/>
      <c r="F413"/>
      <c r="G413"/>
      <c r="H413"/>
      <c r="I413"/>
    </row>
    <row r="414" spans="1:9" x14ac:dyDescent="0.25">
      <c r="A414"/>
      <c r="B414"/>
      <c r="C414"/>
      <c r="D414"/>
      <c r="E414"/>
      <c r="F414"/>
      <c r="G414"/>
      <c r="H414"/>
      <c r="I414"/>
    </row>
    <row r="415" spans="1:9" x14ac:dyDescent="0.25">
      <c r="A415"/>
      <c r="B415"/>
      <c r="C415"/>
      <c r="D415"/>
      <c r="E415"/>
      <c r="F415"/>
      <c r="G415"/>
      <c r="H415"/>
      <c r="I415"/>
    </row>
    <row r="416" spans="1:9" x14ac:dyDescent="0.25">
      <c r="A416"/>
      <c r="B416"/>
      <c r="C416"/>
      <c r="D416"/>
      <c r="E416"/>
      <c r="F416"/>
      <c r="G416"/>
      <c r="H416"/>
      <c r="I416"/>
    </row>
    <row r="417" spans="1:9" x14ac:dyDescent="0.25">
      <c r="A417"/>
      <c r="B417"/>
      <c r="C417"/>
      <c r="D417"/>
      <c r="E417"/>
      <c r="F417"/>
      <c r="G417"/>
      <c r="H417"/>
      <c r="I417"/>
    </row>
    <row r="418" spans="1:9" x14ac:dyDescent="0.25">
      <c r="A418"/>
      <c r="B418"/>
      <c r="C418"/>
      <c r="D418"/>
      <c r="E418"/>
      <c r="F418"/>
      <c r="G418"/>
      <c r="H418"/>
      <c r="I418"/>
    </row>
    <row r="419" spans="1:9" x14ac:dyDescent="0.25">
      <c r="A419"/>
      <c r="B419"/>
      <c r="C419"/>
      <c r="D419"/>
      <c r="E419"/>
      <c r="F419"/>
      <c r="G419"/>
      <c r="H419"/>
      <c r="I419"/>
    </row>
    <row r="420" spans="1:9" x14ac:dyDescent="0.25">
      <c r="A420"/>
      <c r="B420"/>
      <c r="C420"/>
      <c r="D420"/>
      <c r="E420"/>
      <c r="F420"/>
      <c r="G420"/>
      <c r="H420"/>
      <c r="I420"/>
    </row>
    <row r="421" spans="1:9" x14ac:dyDescent="0.25">
      <c r="A421"/>
      <c r="B421"/>
      <c r="C421"/>
      <c r="D421"/>
      <c r="E421"/>
      <c r="F421"/>
      <c r="G421"/>
      <c r="H421"/>
      <c r="I421"/>
    </row>
    <row r="422" spans="1:9" x14ac:dyDescent="0.25">
      <c r="A422"/>
      <c r="B422"/>
      <c r="C422"/>
      <c r="D422"/>
      <c r="E422"/>
      <c r="F422"/>
      <c r="G422"/>
      <c r="H422"/>
      <c r="I422"/>
    </row>
    <row r="423" spans="1:9" x14ac:dyDescent="0.25">
      <c r="A423"/>
      <c r="B423"/>
      <c r="C423"/>
      <c r="D423"/>
      <c r="E423"/>
      <c r="F423"/>
      <c r="G423"/>
      <c r="H423"/>
      <c r="I423"/>
    </row>
    <row r="424" spans="1:9" x14ac:dyDescent="0.25">
      <c r="A424"/>
      <c r="B424"/>
      <c r="C424"/>
      <c r="D424"/>
      <c r="E424"/>
      <c r="F424"/>
      <c r="G424"/>
      <c r="H424"/>
      <c r="I424"/>
    </row>
    <row r="425" spans="1:9" x14ac:dyDescent="0.25">
      <c r="A425"/>
      <c r="B425"/>
      <c r="C425"/>
      <c r="D425"/>
      <c r="E425"/>
      <c r="F425"/>
      <c r="G425"/>
      <c r="H425"/>
      <c r="I425"/>
    </row>
    <row r="426" spans="1:9" x14ac:dyDescent="0.25">
      <c r="A426"/>
      <c r="B426"/>
      <c r="C426"/>
      <c r="D426"/>
      <c r="E426"/>
      <c r="F426"/>
      <c r="G426"/>
      <c r="H426"/>
      <c r="I426"/>
    </row>
    <row r="427" spans="1:9" x14ac:dyDescent="0.25">
      <c r="A427"/>
      <c r="B427"/>
      <c r="C427"/>
      <c r="D427"/>
      <c r="E427"/>
      <c r="F427"/>
      <c r="G427"/>
      <c r="H427"/>
      <c r="I427"/>
    </row>
    <row r="428" spans="1:9" x14ac:dyDescent="0.25">
      <c r="A428"/>
      <c r="B428"/>
      <c r="C428"/>
      <c r="D428"/>
      <c r="E428"/>
      <c r="F428"/>
      <c r="G428"/>
      <c r="H428"/>
      <c r="I428"/>
    </row>
    <row r="429" spans="1:9" x14ac:dyDescent="0.25">
      <c r="A429"/>
      <c r="B429"/>
      <c r="C429"/>
      <c r="D429"/>
      <c r="E429"/>
      <c r="F429"/>
      <c r="G429"/>
      <c r="H429"/>
      <c r="I429"/>
    </row>
    <row r="430" spans="1:9" x14ac:dyDescent="0.25">
      <c r="A430"/>
      <c r="B430"/>
      <c r="C430"/>
      <c r="D430"/>
      <c r="E430"/>
      <c r="F430"/>
      <c r="G430"/>
      <c r="H430"/>
      <c r="I430"/>
    </row>
    <row r="431" spans="1:9" x14ac:dyDescent="0.25">
      <c r="A431"/>
      <c r="B431"/>
      <c r="C431"/>
      <c r="D431"/>
      <c r="E431"/>
      <c r="F431"/>
      <c r="G431"/>
      <c r="H431"/>
      <c r="I431"/>
    </row>
    <row r="432" spans="1:9" x14ac:dyDescent="0.25">
      <c r="A432"/>
      <c r="B432"/>
      <c r="C432"/>
      <c r="D432"/>
      <c r="E432"/>
      <c r="F432"/>
      <c r="G432"/>
      <c r="H432"/>
      <c r="I432"/>
    </row>
    <row r="433" spans="1:9" x14ac:dyDescent="0.25">
      <c r="A433"/>
      <c r="B433"/>
      <c r="C433"/>
      <c r="D433"/>
      <c r="E433"/>
      <c r="F433"/>
      <c r="G433"/>
      <c r="H433"/>
      <c r="I433"/>
    </row>
    <row r="434" spans="1:9" x14ac:dyDescent="0.25">
      <c r="A434"/>
      <c r="B434"/>
      <c r="C434"/>
      <c r="D434"/>
      <c r="E434"/>
      <c r="F434"/>
      <c r="G434"/>
      <c r="H434"/>
      <c r="I434"/>
    </row>
    <row r="435" spans="1:9" x14ac:dyDescent="0.25">
      <c r="A435"/>
      <c r="B435"/>
      <c r="C435"/>
      <c r="D435"/>
      <c r="E435"/>
      <c r="F435"/>
      <c r="G435"/>
      <c r="H435"/>
      <c r="I435"/>
    </row>
    <row r="436" spans="1:9" x14ac:dyDescent="0.25">
      <c r="A436"/>
      <c r="B436"/>
      <c r="C436"/>
      <c r="D436"/>
      <c r="E436"/>
      <c r="F436"/>
      <c r="G436"/>
      <c r="H436"/>
      <c r="I436"/>
    </row>
    <row r="437" spans="1:9" x14ac:dyDescent="0.25">
      <c r="A437"/>
      <c r="B437"/>
      <c r="C437"/>
      <c r="D437"/>
      <c r="E437"/>
      <c r="F437"/>
      <c r="G437"/>
      <c r="H437"/>
      <c r="I437"/>
    </row>
    <row r="438" spans="1:9" x14ac:dyDescent="0.25">
      <c r="A438"/>
      <c r="B438"/>
      <c r="C438"/>
      <c r="D438"/>
      <c r="E438"/>
      <c r="F438"/>
      <c r="G438"/>
      <c r="H438"/>
      <c r="I438"/>
    </row>
    <row r="439" spans="1:9" x14ac:dyDescent="0.25">
      <c r="A439"/>
      <c r="B439"/>
      <c r="C439"/>
      <c r="D439"/>
      <c r="E439"/>
      <c r="F439"/>
      <c r="G439"/>
      <c r="H439"/>
      <c r="I439"/>
    </row>
    <row r="440" spans="1:9" x14ac:dyDescent="0.25">
      <c r="A440"/>
      <c r="B440"/>
      <c r="C440"/>
      <c r="D440"/>
      <c r="E440"/>
      <c r="F440"/>
      <c r="G440"/>
      <c r="H440"/>
      <c r="I440"/>
    </row>
    <row r="441" spans="1:9" x14ac:dyDescent="0.25">
      <c r="A441"/>
      <c r="B441"/>
      <c r="C441"/>
      <c r="D441"/>
      <c r="E441"/>
      <c r="F441"/>
      <c r="G441"/>
      <c r="H441"/>
      <c r="I441"/>
    </row>
    <row r="442" spans="1:9" x14ac:dyDescent="0.25">
      <c r="A442"/>
      <c r="B442"/>
      <c r="C442"/>
      <c r="D442"/>
      <c r="E442"/>
      <c r="F442"/>
      <c r="G442"/>
      <c r="H442"/>
      <c r="I442"/>
    </row>
    <row r="443" spans="1:9" x14ac:dyDescent="0.25">
      <c r="A443"/>
      <c r="B443"/>
      <c r="C443"/>
      <c r="D443"/>
      <c r="E443"/>
      <c r="F443"/>
      <c r="G443"/>
      <c r="H443"/>
      <c r="I443"/>
    </row>
    <row r="444" spans="1:9" x14ac:dyDescent="0.25">
      <c r="A444"/>
      <c r="B444"/>
      <c r="C444"/>
      <c r="D444"/>
      <c r="E444"/>
      <c r="F444"/>
      <c r="G444"/>
      <c r="H444"/>
      <c r="I444"/>
    </row>
    <row r="445" spans="1:9" x14ac:dyDescent="0.25">
      <c r="A445"/>
      <c r="B445"/>
      <c r="C445"/>
      <c r="D445"/>
      <c r="E445"/>
      <c r="F445"/>
      <c r="G445"/>
      <c r="H445"/>
      <c r="I445"/>
    </row>
    <row r="446" spans="1:9" x14ac:dyDescent="0.25">
      <c r="A446"/>
      <c r="B446"/>
      <c r="C446"/>
      <c r="D446"/>
      <c r="E446"/>
      <c r="F446"/>
      <c r="G446"/>
      <c r="H446"/>
      <c r="I446"/>
    </row>
    <row r="447" spans="1:9" x14ac:dyDescent="0.25">
      <c r="A447"/>
      <c r="B447"/>
      <c r="C447"/>
      <c r="D447"/>
      <c r="E447"/>
      <c r="F447"/>
      <c r="G447"/>
      <c r="H447"/>
      <c r="I447"/>
    </row>
    <row r="448" spans="1:9" x14ac:dyDescent="0.25">
      <c r="A448"/>
      <c r="B448"/>
      <c r="C448"/>
      <c r="D448"/>
      <c r="E448"/>
      <c r="F448"/>
      <c r="G448"/>
      <c r="H448"/>
      <c r="I448"/>
    </row>
    <row r="449" spans="1:9" x14ac:dyDescent="0.25">
      <c r="A449"/>
      <c r="B449"/>
      <c r="C449"/>
      <c r="D449"/>
      <c r="E449"/>
      <c r="F449"/>
      <c r="G449"/>
      <c r="H449"/>
      <c r="I449"/>
    </row>
    <row r="450" spans="1:9" x14ac:dyDescent="0.25">
      <c r="A450"/>
      <c r="B450"/>
      <c r="C450"/>
      <c r="D450"/>
      <c r="E450"/>
      <c r="F450"/>
      <c r="G450"/>
      <c r="H450"/>
      <c r="I450"/>
    </row>
    <row r="451" spans="1:9" x14ac:dyDescent="0.25">
      <c r="A451"/>
      <c r="B451"/>
      <c r="C451"/>
      <c r="D451"/>
      <c r="E451"/>
      <c r="F451"/>
      <c r="G451"/>
      <c r="H451"/>
      <c r="I451"/>
    </row>
    <row r="452" spans="1:9" x14ac:dyDescent="0.25">
      <c r="A452"/>
      <c r="B452"/>
      <c r="C452"/>
      <c r="D452"/>
      <c r="E452"/>
      <c r="F452"/>
      <c r="G452"/>
      <c r="H452"/>
      <c r="I452"/>
    </row>
    <row r="453" spans="1:9" x14ac:dyDescent="0.25">
      <c r="A453"/>
      <c r="B453"/>
      <c r="C453"/>
      <c r="D453"/>
      <c r="E453"/>
      <c r="F453"/>
      <c r="G453"/>
      <c r="H453"/>
      <c r="I453"/>
    </row>
    <row r="454" spans="1:9" x14ac:dyDescent="0.25">
      <c r="A454"/>
      <c r="B454"/>
      <c r="C454"/>
      <c r="D454"/>
      <c r="E454"/>
      <c r="F454"/>
      <c r="G454"/>
      <c r="H454"/>
      <c r="I454"/>
    </row>
    <row r="455" spans="1:9" x14ac:dyDescent="0.25">
      <c r="A455"/>
      <c r="B455"/>
      <c r="C455"/>
      <c r="D455"/>
      <c r="E455"/>
      <c r="F455"/>
      <c r="G455"/>
      <c r="H455"/>
      <c r="I455"/>
    </row>
    <row r="456" spans="1:9" x14ac:dyDescent="0.25">
      <c r="A456"/>
      <c r="B456"/>
      <c r="C456"/>
      <c r="D456"/>
      <c r="E456"/>
      <c r="F456"/>
      <c r="G456"/>
      <c r="H456"/>
      <c r="I456"/>
    </row>
    <row r="457" spans="1:9" x14ac:dyDescent="0.25">
      <c r="A457"/>
      <c r="B457"/>
      <c r="C457"/>
      <c r="D457"/>
      <c r="E457"/>
      <c r="F457"/>
      <c r="G457"/>
      <c r="H457"/>
      <c r="I457"/>
    </row>
    <row r="458" spans="1:9" x14ac:dyDescent="0.25">
      <c r="A458"/>
      <c r="B458"/>
      <c r="C458"/>
      <c r="D458"/>
      <c r="E458"/>
      <c r="F458"/>
      <c r="G458"/>
      <c r="H458"/>
      <c r="I458"/>
    </row>
    <row r="459" spans="1:9" x14ac:dyDescent="0.25">
      <c r="A459"/>
      <c r="B459"/>
      <c r="C459"/>
      <c r="D459"/>
      <c r="E459"/>
      <c r="F459"/>
      <c r="G459"/>
      <c r="H459"/>
      <c r="I459"/>
    </row>
    <row r="460" spans="1:9" x14ac:dyDescent="0.25">
      <c r="A460"/>
      <c r="B460"/>
      <c r="C460"/>
      <c r="D460"/>
      <c r="E460"/>
      <c r="F460"/>
      <c r="G460"/>
      <c r="H460"/>
      <c r="I460"/>
    </row>
    <row r="461" spans="1:9" x14ac:dyDescent="0.25">
      <c r="A461"/>
      <c r="B461"/>
      <c r="C461"/>
      <c r="D461"/>
      <c r="E461"/>
      <c r="F461"/>
      <c r="G461"/>
      <c r="H461"/>
      <c r="I461"/>
    </row>
    <row r="462" spans="1:9" x14ac:dyDescent="0.25">
      <c r="A462"/>
      <c r="B462"/>
      <c r="C462"/>
      <c r="D462"/>
      <c r="E462"/>
      <c r="F462"/>
      <c r="G462"/>
      <c r="H462"/>
      <c r="I462"/>
    </row>
    <row r="463" spans="1:9" x14ac:dyDescent="0.25">
      <c r="A463"/>
      <c r="B463"/>
      <c r="C463"/>
      <c r="D463"/>
      <c r="E463"/>
      <c r="F463"/>
      <c r="G463"/>
      <c r="H463"/>
      <c r="I463"/>
    </row>
    <row r="464" spans="1:9" x14ac:dyDescent="0.25">
      <c r="A464"/>
      <c r="B464"/>
      <c r="C464"/>
      <c r="D464"/>
      <c r="E464"/>
      <c r="F464"/>
      <c r="G464"/>
      <c r="H464"/>
      <c r="I464"/>
    </row>
    <row r="465" spans="1:9" x14ac:dyDescent="0.25">
      <c r="A465"/>
      <c r="B465"/>
      <c r="C465"/>
      <c r="D465"/>
      <c r="E465"/>
      <c r="F465"/>
      <c r="G465"/>
      <c r="H465"/>
      <c r="I465"/>
    </row>
    <row r="466" spans="1:9" x14ac:dyDescent="0.25">
      <c r="A466"/>
      <c r="B466"/>
      <c r="C466"/>
      <c r="D466"/>
      <c r="E466"/>
      <c r="F466"/>
      <c r="G466"/>
      <c r="H466"/>
      <c r="I466"/>
    </row>
    <row r="467" spans="1:9" x14ac:dyDescent="0.25">
      <c r="A467"/>
      <c r="B467"/>
      <c r="C467"/>
      <c r="D467"/>
      <c r="E467"/>
      <c r="F467"/>
      <c r="G467"/>
      <c r="H467"/>
      <c r="I467"/>
    </row>
    <row r="468" spans="1:9" x14ac:dyDescent="0.25">
      <c r="A468"/>
      <c r="B468"/>
      <c r="C468"/>
      <c r="D468"/>
      <c r="E468"/>
      <c r="F468"/>
      <c r="G468"/>
      <c r="H468"/>
      <c r="I468"/>
    </row>
    <row r="469" spans="1:9" x14ac:dyDescent="0.25">
      <c r="A469"/>
      <c r="B469"/>
      <c r="C469"/>
      <c r="D469"/>
      <c r="E469"/>
      <c r="F469"/>
      <c r="G469"/>
      <c r="H469"/>
      <c r="I469"/>
    </row>
    <row r="470" spans="1:9" x14ac:dyDescent="0.25">
      <c r="A470"/>
      <c r="B470"/>
      <c r="C470"/>
      <c r="D470"/>
      <c r="E470"/>
      <c r="F470"/>
      <c r="G470"/>
      <c r="H470"/>
      <c r="I470"/>
    </row>
    <row r="471" spans="1:9" x14ac:dyDescent="0.25">
      <c r="A471"/>
      <c r="B471"/>
      <c r="C471"/>
      <c r="D471"/>
      <c r="E471"/>
      <c r="F471"/>
      <c r="G471"/>
      <c r="H471"/>
      <c r="I471"/>
    </row>
    <row r="472" spans="1:9" x14ac:dyDescent="0.25">
      <c r="A472"/>
      <c r="B472"/>
      <c r="C472"/>
      <c r="D472"/>
      <c r="E472"/>
      <c r="F472"/>
      <c r="G472"/>
      <c r="H472"/>
      <c r="I472"/>
    </row>
    <row r="473" spans="1:9" x14ac:dyDescent="0.25">
      <c r="A473"/>
      <c r="B473"/>
      <c r="C473"/>
      <c r="D473"/>
      <c r="E473"/>
      <c r="F473"/>
      <c r="G473"/>
      <c r="H473"/>
      <c r="I473"/>
    </row>
    <row r="474" spans="1:9" x14ac:dyDescent="0.25">
      <c r="A474"/>
      <c r="B474"/>
      <c r="C474"/>
      <c r="D474"/>
      <c r="E474"/>
      <c r="F474"/>
      <c r="G474"/>
      <c r="H474"/>
      <c r="I474"/>
    </row>
    <row r="475" spans="1:9" x14ac:dyDescent="0.25">
      <c r="A475"/>
      <c r="B475"/>
      <c r="C475"/>
      <c r="D475"/>
      <c r="E475"/>
      <c r="F475"/>
      <c r="G475"/>
      <c r="H475"/>
      <c r="I475"/>
    </row>
    <row r="476" spans="1:9" x14ac:dyDescent="0.25">
      <c r="A476"/>
      <c r="B476"/>
      <c r="C476"/>
      <c r="D476"/>
      <c r="E476"/>
      <c r="F476"/>
      <c r="G476"/>
      <c r="H476"/>
      <c r="I476"/>
    </row>
    <row r="477" spans="1:9" x14ac:dyDescent="0.25">
      <c r="A477"/>
      <c r="B477"/>
      <c r="C477"/>
      <c r="D477"/>
      <c r="E477"/>
      <c r="F477"/>
      <c r="G477"/>
      <c r="H477"/>
      <c r="I477"/>
    </row>
    <row r="478" spans="1:9" x14ac:dyDescent="0.25">
      <c r="A478"/>
      <c r="B478"/>
      <c r="C478"/>
      <c r="D478"/>
      <c r="E478"/>
      <c r="F478"/>
      <c r="G478"/>
      <c r="H478"/>
      <c r="I478"/>
    </row>
    <row r="479" spans="1:9" x14ac:dyDescent="0.25">
      <c r="A479"/>
      <c r="B479"/>
      <c r="C479"/>
      <c r="D479"/>
      <c r="E479"/>
      <c r="F479"/>
      <c r="G479"/>
      <c r="H479"/>
      <c r="I479"/>
    </row>
    <row r="480" spans="1:9" x14ac:dyDescent="0.25">
      <c r="A480"/>
      <c r="B480"/>
      <c r="C480"/>
      <c r="D480"/>
      <c r="E480"/>
      <c r="F480"/>
      <c r="G480"/>
      <c r="H480"/>
      <c r="I480"/>
    </row>
    <row r="481" spans="1:9" x14ac:dyDescent="0.25">
      <c r="A481"/>
      <c r="B481"/>
      <c r="C481"/>
      <c r="D481"/>
      <c r="E481"/>
      <c r="F481"/>
      <c r="G481"/>
      <c r="H481"/>
      <c r="I481"/>
    </row>
    <row r="482" spans="1:9" x14ac:dyDescent="0.25">
      <c r="A482"/>
      <c r="B482"/>
      <c r="C482"/>
      <c r="D482"/>
      <c r="E482"/>
      <c r="F482"/>
      <c r="G482"/>
      <c r="H482"/>
      <c r="I482"/>
    </row>
    <row r="483" spans="1:9" x14ac:dyDescent="0.25">
      <c r="A483"/>
      <c r="B483"/>
      <c r="C483"/>
      <c r="D483"/>
      <c r="E483"/>
      <c r="F483"/>
      <c r="G483"/>
      <c r="H483"/>
      <c r="I483"/>
    </row>
    <row r="484" spans="1:9" x14ac:dyDescent="0.25">
      <c r="A484"/>
      <c r="B484"/>
      <c r="C484"/>
      <c r="D484"/>
      <c r="E484"/>
      <c r="F484"/>
      <c r="G484"/>
      <c r="H484"/>
      <c r="I484"/>
    </row>
    <row r="485" spans="1:9" x14ac:dyDescent="0.25">
      <c r="A485"/>
      <c r="B485"/>
      <c r="C485"/>
      <c r="D485"/>
      <c r="E485"/>
      <c r="F485"/>
      <c r="G485"/>
      <c r="H485"/>
      <c r="I485"/>
    </row>
    <row r="486" spans="1:9" x14ac:dyDescent="0.25">
      <c r="A486"/>
      <c r="B486"/>
      <c r="C486"/>
      <c r="D486"/>
      <c r="E486"/>
      <c r="F486"/>
      <c r="G486"/>
      <c r="H486"/>
      <c r="I486"/>
    </row>
    <row r="487" spans="1:9" x14ac:dyDescent="0.25">
      <c r="A487"/>
      <c r="B487"/>
      <c r="C487"/>
      <c r="D487"/>
      <c r="E487"/>
      <c r="F487"/>
      <c r="G487"/>
      <c r="H487"/>
      <c r="I487"/>
    </row>
    <row r="488" spans="1:9" x14ac:dyDescent="0.25">
      <c r="A488"/>
      <c r="B488"/>
      <c r="C488"/>
      <c r="D488"/>
      <c r="E488"/>
      <c r="F488"/>
      <c r="G488"/>
      <c r="H488"/>
      <c r="I488"/>
    </row>
    <row r="489" spans="1:9" x14ac:dyDescent="0.25">
      <c r="A489"/>
      <c r="B489"/>
      <c r="C489"/>
      <c r="D489"/>
      <c r="E489"/>
      <c r="F489"/>
      <c r="G489"/>
      <c r="H489"/>
      <c r="I489"/>
    </row>
    <row r="490" spans="1:9" x14ac:dyDescent="0.25">
      <c r="A490"/>
      <c r="B490"/>
      <c r="C490"/>
      <c r="D490"/>
      <c r="E490"/>
      <c r="F490"/>
      <c r="G490"/>
      <c r="H490"/>
      <c r="I490"/>
    </row>
    <row r="491" spans="1:9" x14ac:dyDescent="0.25">
      <c r="A491"/>
      <c r="B491"/>
      <c r="C491"/>
      <c r="D491"/>
      <c r="E491"/>
      <c r="F491"/>
      <c r="G491"/>
      <c r="H491"/>
      <c r="I491"/>
    </row>
    <row r="492" spans="1:9" x14ac:dyDescent="0.25">
      <c r="A492"/>
      <c r="B492"/>
      <c r="C492"/>
      <c r="D492"/>
      <c r="E492"/>
      <c r="F492"/>
      <c r="G492"/>
      <c r="H492"/>
      <c r="I492"/>
    </row>
    <row r="493" spans="1:9" x14ac:dyDescent="0.25">
      <c r="A493"/>
      <c r="B493"/>
      <c r="C493"/>
      <c r="D493"/>
      <c r="E493"/>
      <c r="F493"/>
      <c r="G493"/>
      <c r="H493"/>
      <c r="I493"/>
    </row>
    <row r="494" spans="1:9" x14ac:dyDescent="0.25">
      <c r="A494"/>
      <c r="B494"/>
      <c r="C494"/>
      <c r="D494"/>
      <c r="E494"/>
      <c r="F494"/>
      <c r="G494"/>
      <c r="H494"/>
      <c r="I494"/>
    </row>
    <row r="495" spans="1:9" x14ac:dyDescent="0.25">
      <c r="A495"/>
      <c r="B495"/>
      <c r="C495"/>
      <c r="D495"/>
      <c r="E495"/>
      <c r="F495"/>
      <c r="G495"/>
      <c r="H495"/>
      <c r="I495"/>
    </row>
    <row r="496" spans="1:9" x14ac:dyDescent="0.25">
      <c r="A496"/>
      <c r="B496"/>
      <c r="C496"/>
      <c r="D496"/>
      <c r="E496"/>
      <c r="F496"/>
      <c r="G496"/>
      <c r="H496"/>
      <c r="I496"/>
    </row>
    <row r="497" spans="1:9" x14ac:dyDescent="0.25">
      <c r="A497"/>
      <c r="B497"/>
      <c r="C497"/>
      <c r="D497"/>
      <c r="E497"/>
      <c r="F497"/>
      <c r="G497"/>
      <c r="H497"/>
      <c r="I497"/>
    </row>
    <row r="498" spans="1:9" x14ac:dyDescent="0.25">
      <c r="A498"/>
      <c r="B498"/>
      <c r="C498"/>
      <c r="D498"/>
      <c r="E498"/>
      <c r="F498"/>
      <c r="G498"/>
      <c r="H498"/>
      <c r="I498"/>
    </row>
    <row r="499" spans="1:9" x14ac:dyDescent="0.25">
      <c r="A499"/>
      <c r="B499"/>
      <c r="C499"/>
      <c r="D499"/>
      <c r="E499"/>
      <c r="F499"/>
      <c r="G499"/>
      <c r="H499"/>
      <c r="I499"/>
    </row>
    <row r="500" spans="1:9" x14ac:dyDescent="0.25">
      <c r="A500"/>
      <c r="B500"/>
      <c r="C500"/>
      <c r="D500"/>
      <c r="E500"/>
      <c r="F500"/>
      <c r="G500"/>
      <c r="H500"/>
      <c r="I500"/>
    </row>
    <row r="501" spans="1:9" x14ac:dyDescent="0.25">
      <c r="A501"/>
      <c r="B501"/>
      <c r="C501"/>
      <c r="D501"/>
      <c r="E501"/>
      <c r="F501"/>
      <c r="G501"/>
      <c r="H501"/>
      <c r="I501"/>
    </row>
    <row r="502" spans="1:9" x14ac:dyDescent="0.25">
      <c r="A502"/>
      <c r="B502"/>
      <c r="C502"/>
      <c r="D502"/>
      <c r="E502"/>
      <c r="F502"/>
      <c r="G502"/>
      <c r="H502"/>
      <c r="I502"/>
    </row>
    <row r="503" spans="1:9" x14ac:dyDescent="0.25">
      <c r="A503"/>
      <c r="B503"/>
      <c r="C503"/>
      <c r="D503"/>
      <c r="E503"/>
      <c r="F503"/>
      <c r="G503"/>
      <c r="H503"/>
      <c r="I503"/>
    </row>
    <row r="504" spans="1:9" x14ac:dyDescent="0.25">
      <c r="A504"/>
      <c r="B504"/>
      <c r="C504"/>
      <c r="D504"/>
      <c r="E504"/>
      <c r="F504"/>
      <c r="G504"/>
      <c r="H504"/>
      <c r="I504"/>
    </row>
    <row r="505" spans="1:9" x14ac:dyDescent="0.25">
      <c r="A505"/>
      <c r="B505"/>
      <c r="C505"/>
      <c r="D505"/>
      <c r="E505"/>
      <c r="F505"/>
      <c r="G505"/>
      <c r="H505"/>
      <c r="I505"/>
    </row>
    <row r="506" spans="1:9" x14ac:dyDescent="0.25">
      <c r="A506"/>
      <c r="B506"/>
      <c r="C506"/>
      <c r="D506"/>
      <c r="E506"/>
      <c r="F506"/>
      <c r="G506"/>
      <c r="H506"/>
      <c r="I506"/>
    </row>
    <row r="507" spans="1:9" x14ac:dyDescent="0.25">
      <c r="A507"/>
      <c r="B507"/>
      <c r="C507"/>
      <c r="D507"/>
      <c r="E507"/>
      <c r="F507"/>
      <c r="G507"/>
      <c r="H507"/>
      <c r="I507"/>
    </row>
    <row r="508" spans="1:9" x14ac:dyDescent="0.25">
      <c r="A508"/>
      <c r="B508"/>
      <c r="C508"/>
      <c r="D508"/>
      <c r="E508"/>
      <c r="F508"/>
      <c r="G508"/>
      <c r="H508"/>
      <c r="I508"/>
    </row>
    <row r="509" spans="1:9" x14ac:dyDescent="0.25">
      <c r="A509"/>
      <c r="B509"/>
      <c r="C509"/>
      <c r="D509"/>
      <c r="E509"/>
      <c r="F509"/>
      <c r="G509"/>
      <c r="H509"/>
      <c r="I509"/>
    </row>
    <row r="510" spans="1:9" x14ac:dyDescent="0.25">
      <c r="A510"/>
      <c r="B510"/>
      <c r="C510"/>
      <c r="D510"/>
      <c r="E510"/>
      <c r="F510"/>
      <c r="G510"/>
      <c r="H510"/>
      <c r="I510"/>
    </row>
    <row r="511" spans="1:9" x14ac:dyDescent="0.25">
      <c r="A511"/>
      <c r="B511"/>
      <c r="C511"/>
      <c r="D511"/>
      <c r="E511"/>
      <c r="F511"/>
      <c r="G511"/>
      <c r="H511"/>
      <c r="I511"/>
    </row>
    <row r="512" spans="1:9" x14ac:dyDescent="0.25">
      <c r="A512"/>
      <c r="B512"/>
      <c r="C512"/>
      <c r="D512"/>
      <c r="E512"/>
      <c r="F512"/>
      <c r="G512"/>
      <c r="H512"/>
      <c r="I512"/>
    </row>
    <row r="513" spans="1:9" x14ac:dyDescent="0.25">
      <c r="A513"/>
      <c r="B513"/>
      <c r="C513"/>
      <c r="D513"/>
      <c r="E513"/>
      <c r="F513"/>
      <c r="G513"/>
      <c r="H513"/>
      <c r="I513"/>
    </row>
    <row r="514" spans="1:9" x14ac:dyDescent="0.25">
      <c r="A514"/>
      <c r="B514"/>
      <c r="C514"/>
      <c r="D514"/>
      <c r="E514"/>
      <c r="F514"/>
      <c r="G514"/>
      <c r="H514"/>
      <c r="I514"/>
    </row>
    <row r="515" spans="1:9" x14ac:dyDescent="0.25">
      <c r="A515"/>
      <c r="B515"/>
      <c r="C515"/>
      <c r="D515"/>
      <c r="E515"/>
      <c r="F515"/>
      <c r="G515"/>
      <c r="H515"/>
      <c r="I515"/>
    </row>
    <row r="516" spans="1:9" x14ac:dyDescent="0.25">
      <c r="A516"/>
      <c r="B516"/>
      <c r="C516"/>
      <c r="D516"/>
      <c r="E516"/>
      <c r="F516"/>
      <c r="G516"/>
      <c r="H516"/>
      <c r="I516"/>
    </row>
    <row r="517" spans="1:9" x14ac:dyDescent="0.25">
      <c r="A517"/>
      <c r="B517"/>
      <c r="C517"/>
      <c r="D517"/>
      <c r="E517"/>
      <c r="F517"/>
      <c r="G517"/>
      <c r="H517"/>
      <c r="I517"/>
    </row>
    <row r="518" spans="1:9" x14ac:dyDescent="0.25">
      <c r="A518"/>
      <c r="B518"/>
      <c r="C518"/>
      <c r="D518"/>
      <c r="E518"/>
      <c r="F518"/>
      <c r="G518"/>
      <c r="H518"/>
      <c r="I518"/>
    </row>
    <row r="519" spans="1:9" x14ac:dyDescent="0.25">
      <c r="A519"/>
      <c r="B519"/>
      <c r="C519"/>
      <c r="D519"/>
      <c r="E519"/>
      <c r="F519"/>
      <c r="G519"/>
      <c r="H519"/>
      <c r="I519"/>
    </row>
    <row r="520" spans="1:9" x14ac:dyDescent="0.25">
      <c r="A520"/>
      <c r="B520"/>
      <c r="C520"/>
      <c r="D520"/>
      <c r="E520"/>
      <c r="F520"/>
      <c r="G520"/>
      <c r="H520"/>
      <c r="I520"/>
    </row>
    <row r="521" spans="1:9" x14ac:dyDescent="0.25">
      <c r="A521"/>
      <c r="B521"/>
      <c r="C521"/>
      <c r="D521"/>
      <c r="E521"/>
      <c r="F521"/>
      <c r="G521"/>
      <c r="H521"/>
      <c r="I521"/>
    </row>
    <row r="522" spans="1:9" x14ac:dyDescent="0.25">
      <c r="A522"/>
      <c r="B522"/>
      <c r="C522"/>
      <c r="D522"/>
      <c r="E522"/>
      <c r="F522"/>
      <c r="G522"/>
      <c r="H522"/>
      <c r="I522"/>
    </row>
    <row r="523" spans="1:9" x14ac:dyDescent="0.25">
      <c r="A523"/>
      <c r="B523"/>
      <c r="C523"/>
      <c r="D523"/>
      <c r="E523"/>
      <c r="F523"/>
      <c r="G523"/>
      <c r="H523"/>
      <c r="I523"/>
    </row>
    <row r="524" spans="1:9" x14ac:dyDescent="0.25">
      <c r="A524"/>
      <c r="B524"/>
      <c r="C524"/>
      <c r="D524"/>
      <c r="E524"/>
      <c r="F524"/>
      <c r="G524"/>
      <c r="H524"/>
      <c r="I524"/>
    </row>
    <row r="525" spans="1:9" x14ac:dyDescent="0.25">
      <c r="A525"/>
      <c r="B525"/>
      <c r="C525"/>
      <c r="D525"/>
      <c r="E525"/>
      <c r="F525"/>
      <c r="G525"/>
      <c r="H525"/>
      <c r="I525"/>
    </row>
    <row r="526" spans="1:9" x14ac:dyDescent="0.25">
      <c r="A526"/>
      <c r="B526"/>
      <c r="C526"/>
      <c r="D526"/>
      <c r="E526"/>
      <c r="F526"/>
      <c r="G526"/>
      <c r="H526"/>
      <c r="I526"/>
    </row>
    <row r="527" spans="1:9" x14ac:dyDescent="0.25">
      <c r="A527"/>
      <c r="B527"/>
      <c r="C527"/>
      <c r="D527"/>
      <c r="E527"/>
      <c r="F527"/>
      <c r="G527"/>
      <c r="H527"/>
      <c r="I527"/>
    </row>
    <row r="528" spans="1:9" x14ac:dyDescent="0.25">
      <c r="A528"/>
      <c r="B528"/>
      <c r="C528"/>
      <c r="D528"/>
      <c r="E528"/>
      <c r="F528"/>
      <c r="G528"/>
      <c r="H528"/>
      <c r="I528"/>
    </row>
    <row r="529" spans="1:9" x14ac:dyDescent="0.25">
      <c r="A529"/>
      <c r="B529"/>
      <c r="C529"/>
      <c r="D529"/>
      <c r="E529"/>
      <c r="F529"/>
      <c r="G529"/>
      <c r="H529"/>
      <c r="I529"/>
    </row>
    <row r="530" spans="1:9" x14ac:dyDescent="0.25">
      <c r="A530"/>
      <c r="B530"/>
      <c r="C530"/>
      <c r="D530"/>
      <c r="E530"/>
      <c r="F530"/>
      <c r="G530"/>
      <c r="H530"/>
      <c r="I530"/>
    </row>
    <row r="531" spans="1:9" x14ac:dyDescent="0.25">
      <c r="A531"/>
      <c r="B531"/>
      <c r="C531"/>
      <c r="D531"/>
      <c r="E531"/>
      <c r="F531"/>
      <c r="G531"/>
      <c r="H531"/>
      <c r="I531"/>
    </row>
    <row r="532" spans="1:9" x14ac:dyDescent="0.25">
      <c r="A532"/>
      <c r="B532"/>
      <c r="C532"/>
      <c r="D532"/>
      <c r="E532"/>
      <c r="F532"/>
      <c r="G532"/>
      <c r="H532"/>
      <c r="I532"/>
    </row>
    <row r="533" spans="1:9" x14ac:dyDescent="0.25">
      <c r="A533"/>
      <c r="B533"/>
      <c r="C533"/>
      <c r="D533"/>
      <c r="E533"/>
      <c r="F533"/>
      <c r="G533"/>
      <c r="H533"/>
      <c r="I533"/>
    </row>
    <row r="534" spans="1:9" x14ac:dyDescent="0.25">
      <c r="A534"/>
      <c r="B534"/>
      <c r="C534"/>
      <c r="D534"/>
      <c r="E534"/>
      <c r="F534"/>
      <c r="G534"/>
      <c r="H534"/>
      <c r="I534"/>
    </row>
    <row r="535" spans="1:9" x14ac:dyDescent="0.25">
      <c r="A535"/>
      <c r="B535"/>
      <c r="C535"/>
      <c r="D535"/>
      <c r="E535"/>
      <c r="F535"/>
      <c r="G535"/>
      <c r="H535"/>
      <c r="I535"/>
    </row>
    <row r="536" spans="1:9" x14ac:dyDescent="0.25">
      <c r="A536"/>
      <c r="B536"/>
      <c r="C536"/>
      <c r="D536"/>
      <c r="E536"/>
      <c r="F536"/>
      <c r="G536"/>
      <c r="H536"/>
      <c r="I536"/>
    </row>
    <row r="537" spans="1:9" x14ac:dyDescent="0.25">
      <c r="A537"/>
      <c r="B537"/>
      <c r="C537"/>
      <c r="D537"/>
      <c r="E537"/>
      <c r="F537"/>
      <c r="G537"/>
      <c r="H537"/>
      <c r="I537"/>
    </row>
    <row r="538" spans="1:9" x14ac:dyDescent="0.25">
      <c r="A538"/>
      <c r="B538"/>
      <c r="C538"/>
      <c r="D538"/>
      <c r="E538"/>
      <c r="F538"/>
      <c r="G538"/>
      <c r="H538"/>
      <c r="I538"/>
    </row>
    <row r="539" spans="1:9" x14ac:dyDescent="0.25">
      <c r="A539"/>
      <c r="B539"/>
      <c r="C539"/>
      <c r="D539"/>
      <c r="E539"/>
      <c r="F539"/>
      <c r="G539"/>
      <c r="H539"/>
      <c r="I539"/>
    </row>
    <row r="540" spans="1:9" x14ac:dyDescent="0.25">
      <c r="A540"/>
      <c r="B540"/>
      <c r="C540"/>
      <c r="D540"/>
      <c r="E540"/>
      <c r="F540"/>
      <c r="G540"/>
      <c r="H540"/>
      <c r="I540"/>
    </row>
    <row r="541" spans="1:9" x14ac:dyDescent="0.25">
      <c r="A541"/>
      <c r="B541"/>
      <c r="C541"/>
      <c r="D541"/>
      <c r="E541"/>
      <c r="F541"/>
      <c r="G541"/>
      <c r="H541"/>
      <c r="I541"/>
    </row>
    <row r="542" spans="1:9" x14ac:dyDescent="0.25">
      <c r="A542"/>
      <c r="B542"/>
      <c r="C542"/>
      <c r="D542"/>
      <c r="E542"/>
      <c r="F542"/>
      <c r="G542"/>
      <c r="H542"/>
      <c r="I542"/>
    </row>
    <row r="543" spans="1:9" x14ac:dyDescent="0.25">
      <c r="A543"/>
      <c r="B543"/>
      <c r="C543"/>
      <c r="D543"/>
      <c r="E543"/>
      <c r="F543"/>
      <c r="G543"/>
      <c r="H543"/>
      <c r="I543"/>
    </row>
    <row r="544" spans="1:9" x14ac:dyDescent="0.25">
      <c r="A544"/>
      <c r="B544"/>
      <c r="C544"/>
      <c r="D544"/>
      <c r="E544"/>
      <c r="F544"/>
      <c r="G544"/>
      <c r="H544"/>
      <c r="I544"/>
    </row>
    <row r="545" spans="1:9" x14ac:dyDescent="0.25">
      <c r="A545"/>
      <c r="B545"/>
      <c r="C545"/>
      <c r="D545"/>
      <c r="E545"/>
      <c r="F545"/>
      <c r="G545"/>
      <c r="H545"/>
      <c r="I545"/>
    </row>
    <row r="546" spans="1:9" x14ac:dyDescent="0.25">
      <c r="A546"/>
      <c r="B546"/>
      <c r="C546"/>
      <c r="D546"/>
      <c r="E546"/>
      <c r="F546"/>
      <c r="G546"/>
      <c r="H546"/>
      <c r="I546"/>
    </row>
    <row r="547" spans="1:9" x14ac:dyDescent="0.25">
      <c r="A547"/>
      <c r="B547"/>
      <c r="C547"/>
      <c r="D547"/>
      <c r="E547"/>
      <c r="F547"/>
      <c r="G547"/>
      <c r="H547"/>
      <c r="I547"/>
    </row>
    <row r="548" spans="1:9" x14ac:dyDescent="0.25">
      <c r="A548"/>
      <c r="B548"/>
      <c r="C548"/>
      <c r="D548"/>
      <c r="E548"/>
      <c r="F548"/>
      <c r="G548"/>
      <c r="H548"/>
      <c r="I548"/>
    </row>
    <row r="549" spans="1:9" x14ac:dyDescent="0.25">
      <c r="A549"/>
      <c r="B549"/>
      <c r="C549"/>
      <c r="D549"/>
      <c r="E549"/>
      <c r="F549"/>
      <c r="G549"/>
      <c r="H549"/>
      <c r="I549"/>
    </row>
    <row r="550" spans="1:9" x14ac:dyDescent="0.25">
      <c r="A550"/>
      <c r="B550"/>
      <c r="C550"/>
      <c r="D550"/>
      <c r="E550"/>
      <c r="F550"/>
      <c r="G550"/>
      <c r="H550"/>
      <c r="I550"/>
    </row>
    <row r="551" spans="1:9" x14ac:dyDescent="0.25">
      <c r="A551"/>
      <c r="B551"/>
      <c r="C551"/>
      <c r="D551"/>
      <c r="E551"/>
      <c r="F551"/>
      <c r="G551"/>
      <c r="H551"/>
      <c r="I551"/>
    </row>
    <row r="552" spans="1:9" x14ac:dyDescent="0.25">
      <c r="A552"/>
      <c r="B552"/>
      <c r="C552"/>
      <c r="D552"/>
      <c r="E552"/>
      <c r="F552"/>
      <c r="G552"/>
      <c r="H552"/>
      <c r="I552"/>
    </row>
    <row r="553" spans="1:9" x14ac:dyDescent="0.25">
      <c r="A553"/>
      <c r="B553"/>
      <c r="C553"/>
      <c r="D553"/>
      <c r="E553"/>
      <c r="F553"/>
      <c r="G553"/>
      <c r="H553"/>
      <c r="I553"/>
    </row>
    <row r="554" spans="1:9" x14ac:dyDescent="0.25">
      <c r="A554"/>
      <c r="B554"/>
      <c r="C554"/>
      <c r="D554"/>
      <c r="E554"/>
      <c r="F554"/>
      <c r="G554"/>
      <c r="H554"/>
      <c r="I554"/>
    </row>
    <row r="555" spans="1:9" x14ac:dyDescent="0.25">
      <c r="A555"/>
      <c r="B555"/>
      <c r="C555"/>
      <c r="D555"/>
      <c r="E555"/>
      <c r="F555"/>
      <c r="G555"/>
      <c r="H555"/>
      <c r="I555"/>
    </row>
    <row r="556" spans="1:9" x14ac:dyDescent="0.25">
      <c r="A556"/>
      <c r="B556"/>
      <c r="C556"/>
      <c r="D556"/>
      <c r="E556"/>
      <c r="F556"/>
      <c r="G556"/>
      <c r="H556"/>
      <c r="I556"/>
    </row>
    <row r="557" spans="1:9" x14ac:dyDescent="0.25">
      <c r="A557"/>
      <c r="B557"/>
      <c r="C557"/>
      <c r="D557"/>
      <c r="E557"/>
      <c r="F557"/>
      <c r="G557"/>
      <c r="H557"/>
      <c r="I557"/>
    </row>
    <row r="558" spans="1:9" x14ac:dyDescent="0.25">
      <c r="A558"/>
      <c r="B558"/>
      <c r="C558"/>
      <c r="D558"/>
      <c r="E558"/>
      <c r="F558"/>
      <c r="G558"/>
      <c r="H558"/>
      <c r="I558"/>
    </row>
    <row r="559" spans="1:9" x14ac:dyDescent="0.25">
      <c r="A559"/>
      <c r="B559"/>
      <c r="C559"/>
      <c r="D559"/>
      <c r="E559"/>
      <c r="F559"/>
      <c r="G559"/>
      <c r="H559"/>
      <c r="I559"/>
    </row>
    <row r="560" spans="1:9" x14ac:dyDescent="0.25">
      <c r="A560"/>
      <c r="B560"/>
      <c r="C560"/>
      <c r="D560"/>
      <c r="E560"/>
      <c r="F560"/>
      <c r="G560"/>
      <c r="H560"/>
      <c r="I560"/>
    </row>
    <row r="561" spans="1:9" x14ac:dyDescent="0.25">
      <c r="A561"/>
      <c r="B561"/>
      <c r="C561"/>
      <c r="D561"/>
      <c r="E561"/>
      <c r="F561"/>
      <c r="G561"/>
      <c r="H561"/>
      <c r="I561"/>
    </row>
    <row r="562" spans="1:9" x14ac:dyDescent="0.25">
      <c r="A562"/>
      <c r="B562"/>
      <c r="C562"/>
      <c r="D562"/>
      <c r="E562"/>
      <c r="F562"/>
      <c r="G562"/>
      <c r="H562"/>
      <c r="I562"/>
    </row>
    <row r="563" spans="1:9" x14ac:dyDescent="0.25">
      <c r="A563"/>
      <c r="B563"/>
      <c r="C563"/>
      <c r="D563"/>
      <c r="E563"/>
      <c r="F563"/>
      <c r="G563"/>
      <c r="H563"/>
      <c r="I563"/>
    </row>
    <row r="564" spans="1:9" x14ac:dyDescent="0.25">
      <c r="A564"/>
      <c r="B564"/>
      <c r="C564"/>
      <c r="D564"/>
      <c r="E564"/>
      <c r="F564"/>
      <c r="G564"/>
      <c r="H564"/>
      <c r="I564"/>
    </row>
    <row r="565" spans="1:9" x14ac:dyDescent="0.25">
      <c r="A565"/>
      <c r="B565"/>
      <c r="C565"/>
      <c r="D565"/>
      <c r="E565"/>
      <c r="F565"/>
      <c r="G565"/>
      <c r="H565"/>
      <c r="I565"/>
    </row>
    <row r="566" spans="1:9" x14ac:dyDescent="0.25">
      <c r="A566"/>
      <c r="B566"/>
      <c r="C566"/>
      <c r="D566"/>
      <c r="E566"/>
      <c r="F566"/>
      <c r="G566"/>
      <c r="H566"/>
      <c r="I566"/>
    </row>
    <row r="567" spans="1:9" x14ac:dyDescent="0.25">
      <c r="A567"/>
      <c r="B567"/>
      <c r="C567"/>
      <c r="D567"/>
      <c r="E567"/>
      <c r="F567"/>
      <c r="G567"/>
      <c r="H567"/>
      <c r="I567"/>
    </row>
    <row r="568" spans="1:9" x14ac:dyDescent="0.25">
      <c r="A568"/>
      <c r="B568"/>
      <c r="C568"/>
      <c r="D568"/>
      <c r="E568"/>
      <c r="F568"/>
      <c r="G568"/>
      <c r="H568"/>
      <c r="I568"/>
    </row>
    <row r="569" spans="1:9" x14ac:dyDescent="0.25">
      <c r="A569"/>
      <c r="B569"/>
      <c r="C569"/>
      <c r="D569"/>
      <c r="E569"/>
      <c r="F569"/>
      <c r="G569"/>
      <c r="H569"/>
      <c r="I569"/>
    </row>
    <row r="570" spans="1:9" x14ac:dyDescent="0.25">
      <c r="A570"/>
      <c r="B570"/>
      <c r="C570"/>
      <c r="D570"/>
      <c r="E570"/>
      <c r="F570"/>
      <c r="G570"/>
      <c r="H570"/>
      <c r="I570"/>
    </row>
    <row r="571" spans="1:9" x14ac:dyDescent="0.25">
      <c r="A571"/>
      <c r="B571"/>
      <c r="C571"/>
      <c r="D571"/>
      <c r="E571"/>
      <c r="F571"/>
      <c r="G571"/>
      <c r="H571"/>
      <c r="I571"/>
    </row>
    <row r="572" spans="1:9" x14ac:dyDescent="0.25">
      <c r="A572"/>
      <c r="B572"/>
      <c r="C572"/>
      <c r="D572"/>
      <c r="E572"/>
      <c r="F572"/>
      <c r="G572"/>
      <c r="H572"/>
      <c r="I572"/>
    </row>
    <row r="573" spans="1:9" x14ac:dyDescent="0.25">
      <c r="A573"/>
      <c r="B573"/>
      <c r="C573"/>
      <c r="D573"/>
      <c r="E573"/>
      <c r="F573"/>
      <c r="G573"/>
      <c r="H573"/>
      <c r="I573"/>
    </row>
    <row r="574" spans="1:9" x14ac:dyDescent="0.25">
      <c r="A574"/>
      <c r="B574"/>
      <c r="C574"/>
      <c r="D574"/>
      <c r="E574"/>
      <c r="F574"/>
      <c r="G574"/>
      <c r="H574"/>
      <c r="I574"/>
    </row>
    <row r="575" spans="1:9" x14ac:dyDescent="0.25">
      <c r="A575"/>
      <c r="B575"/>
      <c r="C575"/>
      <c r="D575"/>
      <c r="E575"/>
      <c r="F575"/>
      <c r="G575"/>
      <c r="H575"/>
      <c r="I575"/>
    </row>
    <row r="576" spans="1:9" x14ac:dyDescent="0.25">
      <c r="A576"/>
      <c r="B576"/>
      <c r="C576"/>
      <c r="D576"/>
      <c r="E576"/>
      <c r="F576"/>
      <c r="G576"/>
      <c r="H576"/>
      <c r="I576"/>
    </row>
    <row r="577" spans="1:9" x14ac:dyDescent="0.25">
      <c r="A577"/>
      <c r="B577"/>
      <c r="C577"/>
      <c r="D577"/>
      <c r="E577"/>
      <c r="F577"/>
      <c r="G577"/>
      <c r="H577"/>
      <c r="I577"/>
    </row>
    <row r="578" spans="1:9" x14ac:dyDescent="0.25">
      <c r="A578"/>
      <c r="B578"/>
      <c r="C578"/>
      <c r="D578"/>
      <c r="E578"/>
      <c r="F578"/>
      <c r="G578"/>
      <c r="H578"/>
      <c r="I578"/>
    </row>
    <row r="579" spans="1:9" x14ac:dyDescent="0.25">
      <c r="A579"/>
      <c r="B579"/>
      <c r="C579"/>
      <c r="D579"/>
      <c r="E579"/>
      <c r="F579"/>
      <c r="G579"/>
      <c r="H579"/>
      <c r="I579"/>
    </row>
    <row r="580" spans="1:9" x14ac:dyDescent="0.25">
      <c r="A580"/>
      <c r="B580"/>
      <c r="C580"/>
      <c r="D580"/>
      <c r="E580"/>
      <c r="F580"/>
      <c r="G580"/>
      <c r="H580"/>
      <c r="I580"/>
    </row>
    <row r="581" spans="1:9" x14ac:dyDescent="0.25">
      <c r="A581"/>
      <c r="B581"/>
      <c r="C581"/>
      <c r="D581"/>
      <c r="E581"/>
      <c r="F581"/>
      <c r="G581"/>
      <c r="H581"/>
      <c r="I581"/>
    </row>
    <row r="582" spans="1:9" x14ac:dyDescent="0.25">
      <c r="A582"/>
      <c r="B582"/>
      <c r="C582"/>
      <c r="D582"/>
      <c r="E582"/>
      <c r="F582"/>
      <c r="G582"/>
      <c r="H582"/>
      <c r="I582"/>
    </row>
    <row r="583" spans="1:9" x14ac:dyDescent="0.25">
      <c r="A583"/>
      <c r="B583"/>
      <c r="C583"/>
      <c r="D583"/>
      <c r="E583"/>
      <c r="F583"/>
      <c r="G583"/>
      <c r="H583"/>
      <c r="I583"/>
    </row>
    <row r="584" spans="1:9" x14ac:dyDescent="0.25">
      <c r="A584"/>
      <c r="B584"/>
      <c r="C584"/>
      <c r="D584"/>
      <c r="E584"/>
      <c r="F584"/>
      <c r="G584"/>
      <c r="H584"/>
      <c r="I584"/>
    </row>
    <row r="585" spans="1:9" x14ac:dyDescent="0.25">
      <c r="A585"/>
      <c r="B585"/>
      <c r="C585"/>
      <c r="D585"/>
      <c r="E585"/>
      <c r="F585"/>
      <c r="G585"/>
      <c r="H585"/>
      <c r="I585"/>
    </row>
    <row r="586" spans="1:9" x14ac:dyDescent="0.25">
      <c r="A586"/>
      <c r="B586"/>
      <c r="C586"/>
      <c r="D586"/>
      <c r="E586"/>
      <c r="F586"/>
      <c r="G586"/>
      <c r="H586"/>
      <c r="I586"/>
    </row>
    <row r="587" spans="1:9" x14ac:dyDescent="0.25">
      <c r="A587"/>
      <c r="B587"/>
      <c r="C587"/>
      <c r="D587"/>
      <c r="E587"/>
      <c r="F587"/>
      <c r="G587"/>
      <c r="H587"/>
      <c r="I587"/>
    </row>
    <row r="588" spans="1:9" x14ac:dyDescent="0.25">
      <c r="A588"/>
      <c r="B588"/>
      <c r="C588"/>
      <c r="D588"/>
      <c r="E588"/>
      <c r="F588"/>
      <c r="G588"/>
      <c r="H588"/>
      <c r="I588"/>
    </row>
    <row r="589" spans="1:9" x14ac:dyDescent="0.25">
      <c r="A589"/>
      <c r="B589"/>
      <c r="C589"/>
      <c r="D589"/>
      <c r="E589"/>
      <c r="F589"/>
      <c r="G589"/>
      <c r="H589"/>
      <c r="I589"/>
    </row>
    <row r="590" spans="1:9" x14ac:dyDescent="0.25">
      <c r="A590"/>
      <c r="B590"/>
      <c r="C590"/>
      <c r="D590"/>
      <c r="E590"/>
      <c r="F590"/>
      <c r="G590"/>
      <c r="H590"/>
      <c r="I590"/>
    </row>
    <row r="591" spans="1:9" x14ac:dyDescent="0.25">
      <c r="A591"/>
      <c r="B591"/>
      <c r="C591"/>
      <c r="D591"/>
      <c r="E591"/>
      <c r="F591"/>
      <c r="G591"/>
      <c r="H591"/>
      <c r="I591"/>
    </row>
    <row r="592" spans="1:9" x14ac:dyDescent="0.25">
      <c r="A592"/>
      <c r="B592"/>
      <c r="C592"/>
      <c r="D592"/>
      <c r="E592"/>
      <c r="F592"/>
      <c r="G592"/>
      <c r="H592"/>
      <c r="I592"/>
    </row>
    <row r="593" spans="1:9" x14ac:dyDescent="0.25">
      <c r="A593"/>
      <c r="B593"/>
      <c r="C593"/>
      <c r="D593"/>
      <c r="E593"/>
      <c r="F593"/>
      <c r="G593"/>
      <c r="H593"/>
      <c r="I593"/>
    </row>
    <row r="594" spans="1:9" x14ac:dyDescent="0.25">
      <c r="A594"/>
      <c r="B594"/>
      <c r="C594"/>
      <c r="D594"/>
      <c r="E594"/>
      <c r="F594"/>
      <c r="G594"/>
      <c r="H594"/>
      <c r="I594"/>
    </row>
    <row r="595" spans="1:9" x14ac:dyDescent="0.25">
      <c r="A595"/>
      <c r="B595"/>
      <c r="C595"/>
      <c r="D595"/>
      <c r="E595"/>
      <c r="F595"/>
      <c r="G595"/>
      <c r="H595"/>
      <c r="I595"/>
    </row>
    <row r="596" spans="1:9" x14ac:dyDescent="0.25">
      <c r="A596"/>
      <c r="B596"/>
      <c r="C596"/>
      <c r="D596"/>
      <c r="E596"/>
      <c r="F596"/>
      <c r="G596"/>
      <c r="H596"/>
      <c r="I596"/>
    </row>
    <row r="597" spans="1:9" x14ac:dyDescent="0.25">
      <c r="A597"/>
      <c r="B597"/>
      <c r="C597"/>
      <c r="D597"/>
      <c r="E597"/>
      <c r="F597"/>
      <c r="G597"/>
      <c r="H597"/>
      <c r="I597"/>
    </row>
    <row r="598" spans="1:9" x14ac:dyDescent="0.25">
      <c r="A598"/>
      <c r="B598"/>
      <c r="C598"/>
      <c r="D598"/>
      <c r="E598"/>
      <c r="F598"/>
      <c r="G598"/>
      <c r="H598"/>
      <c r="I598"/>
    </row>
    <row r="599" spans="1:9" x14ac:dyDescent="0.25">
      <c r="A599"/>
      <c r="B599"/>
      <c r="C599"/>
      <c r="D599"/>
      <c r="E599"/>
      <c r="F599"/>
      <c r="G599"/>
      <c r="H599"/>
      <c r="I599"/>
    </row>
    <row r="600" spans="1:9" x14ac:dyDescent="0.25">
      <c r="A600"/>
      <c r="B600"/>
      <c r="C600"/>
      <c r="D600"/>
      <c r="E600"/>
      <c r="F600"/>
      <c r="G600"/>
      <c r="H600"/>
      <c r="I600"/>
    </row>
    <row r="601" spans="1:9" x14ac:dyDescent="0.25">
      <c r="A601"/>
      <c r="B601"/>
      <c r="C601"/>
      <c r="D601"/>
      <c r="E601"/>
      <c r="F601"/>
      <c r="G601"/>
      <c r="H601"/>
      <c r="I601"/>
    </row>
    <row r="602" spans="1:9" x14ac:dyDescent="0.25">
      <c r="A602"/>
      <c r="B602"/>
      <c r="C602"/>
      <c r="D602"/>
      <c r="E602"/>
      <c r="F602"/>
      <c r="G602"/>
      <c r="H602"/>
      <c r="I602"/>
    </row>
    <row r="603" spans="1:9" x14ac:dyDescent="0.25">
      <c r="A603"/>
      <c r="B603"/>
      <c r="C603"/>
      <c r="D603"/>
      <c r="E603"/>
      <c r="F603"/>
      <c r="G603"/>
      <c r="H603"/>
      <c r="I603"/>
    </row>
    <row r="604" spans="1:9" x14ac:dyDescent="0.25">
      <c r="A604"/>
      <c r="B604"/>
      <c r="C604"/>
      <c r="D604"/>
      <c r="E604"/>
      <c r="F604"/>
      <c r="G604"/>
      <c r="H604"/>
      <c r="I604"/>
    </row>
    <row r="605" spans="1:9" x14ac:dyDescent="0.25">
      <c r="A605"/>
      <c r="B605"/>
      <c r="C605"/>
      <c r="D605"/>
      <c r="E605"/>
      <c r="F605"/>
      <c r="G605"/>
      <c r="H605"/>
      <c r="I605"/>
    </row>
    <row r="606" spans="1:9" x14ac:dyDescent="0.25">
      <c r="A606"/>
      <c r="B606"/>
      <c r="C606"/>
      <c r="D606"/>
      <c r="E606"/>
      <c r="F606"/>
      <c r="G606"/>
      <c r="H606"/>
      <c r="I606"/>
    </row>
    <row r="607" spans="1:9" x14ac:dyDescent="0.25">
      <c r="A607"/>
      <c r="B607"/>
      <c r="C607"/>
      <c r="D607"/>
      <c r="E607"/>
      <c r="F607"/>
      <c r="G607"/>
      <c r="H607"/>
      <c r="I607"/>
    </row>
    <row r="608" spans="1:9" x14ac:dyDescent="0.25">
      <c r="A608"/>
      <c r="B608"/>
      <c r="C608"/>
      <c r="D608"/>
      <c r="E608"/>
      <c r="F608"/>
      <c r="G608"/>
      <c r="H608"/>
      <c r="I608"/>
    </row>
    <row r="609" spans="1:9" x14ac:dyDescent="0.25">
      <c r="A609"/>
      <c r="B609"/>
      <c r="C609"/>
      <c r="D609"/>
      <c r="E609"/>
      <c r="F609"/>
      <c r="G609"/>
      <c r="H609"/>
      <c r="I609"/>
    </row>
    <row r="610" spans="1:9" x14ac:dyDescent="0.25">
      <c r="A610"/>
      <c r="B610"/>
      <c r="C610"/>
      <c r="D610"/>
      <c r="E610"/>
      <c r="F610"/>
      <c r="G610"/>
      <c r="H610"/>
      <c r="I610"/>
    </row>
    <row r="611" spans="1:9" x14ac:dyDescent="0.25">
      <c r="A611"/>
      <c r="B611"/>
      <c r="C611"/>
      <c r="D611"/>
      <c r="E611"/>
      <c r="F611"/>
      <c r="G611"/>
      <c r="H611"/>
      <c r="I611"/>
    </row>
    <row r="612" spans="1:9" x14ac:dyDescent="0.25">
      <c r="A612"/>
      <c r="B612"/>
      <c r="C612"/>
      <c r="D612"/>
      <c r="E612"/>
      <c r="F612"/>
      <c r="G612"/>
      <c r="H612"/>
      <c r="I612"/>
    </row>
    <row r="613" spans="1:9" x14ac:dyDescent="0.25">
      <c r="A613"/>
      <c r="B613"/>
      <c r="C613"/>
      <c r="D613"/>
      <c r="E613"/>
      <c r="F613"/>
      <c r="G613"/>
      <c r="H613"/>
      <c r="I613"/>
    </row>
    <row r="614" spans="1:9" x14ac:dyDescent="0.25">
      <c r="A614"/>
      <c r="B614"/>
      <c r="C614"/>
      <c r="D614"/>
      <c r="E614"/>
      <c r="F614"/>
      <c r="G614"/>
      <c r="H614"/>
      <c r="I614"/>
    </row>
    <row r="615" spans="1:9" x14ac:dyDescent="0.25">
      <c r="A615"/>
      <c r="B615"/>
      <c r="C615"/>
      <c r="D615"/>
      <c r="E615"/>
      <c r="F615"/>
      <c r="G615"/>
      <c r="H615"/>
      <c r="I615"/>
    </row>
    <row r="616" spans="1:9" x14ac:dyDescent="0.25">
      <c r="A616"/>
      <c r="B616"/>
      <c r="C616"/>
      <c r="D616"/>
      <c r="E616"/>
      <c r="F616"/>
      <c r="G616"/>
      <c r="H616"/>
      <c r="I616"/>
    </row>
    <row r="617" spans="1:9" x14ac:dyDescent="0.25">
      <c r="A617"/>
      <c r="B617"/>
      <c r="C617"/>
      <c r="D617"/>
      <c r="E617"/>
      <c r="F617"/>
      <c r="G617"/>
      <c r="H617"/>
      <c r="I617"/>
    </row>
    <row r="618" spans="1:9" x14ac:dyDescent="0.25">
      <c r="A618"/>
      <c r="B618"/>
      <c r="C618"/>
      <c r="D618"/>
      <c r="E618"/>
      <c r="F618"/>
      <c r="G618"/>
      <c r="H618"/>
      <c r="I618"/>
    </row>
    <row r="619" spans="1:9" x14ac:dyDescent="0.25">
      <c r="A619"/>
      <c r="B619"/>
      <c r="C619"/>
      <c r="D619"/>
      <c r="E619"/>
      <c r="F619"/>
      <c r="G619"/>
      <c r="H619"/>
      <c r="I619"/>
    </row>
    <row r="620" spans="1:9" x14ac:dyDescent="0.25">
      <c r="A620"/>
      <c r="B620"/>
      <c r="C620"/>
      <c r="D620"/>
      <c r="E620"/>
      <c r="F620"/>
      <c r="G620"/>
      <c r="H620"/>
      <c r="I620"/>
    </row>
    <row r="621" spans="1:9" x14ac:dyDescent="0.25">
      <c r="A621"/>
      <c r="B621"/>
      <c r="C621"/>
      <c r="D621"/>
      <c r="E621"/>
      <c r="F621"/>
      <c r="G621"/>
      <c r="H621"/>
      <c r="I621"/>
    </row>
    <row r="622" spans="1:9" x14ac:dyDescent="0.25">
      <c r="A622"/>
      <c r="B622"/>
      <c r="C622"/>
      <c r="D622"/>
      <c r="E622"/>
      <c r="F622"/>
      <c r="G622"/>
      <c r="H622"/>
      <c r="I622"/>
    </row>
    <row r="623" spans="1:9" x14ac:dyDescent="0.25">
      <c r="A623"/>
      <c r="B623"/>
      <c r="C623"/>
      <c r="D623"/>
      <c r="E623"/>
      <c r="F623"/>
      <c r="G623"/>
      <c r="H623"/>
      <c r="I623"/>
    </row>
    <row r="624" spans="1:9" x14ac:dyDescent="0.25">
      <c r="A624"/>
      <c r="B624"/>
      <c r="C624"/>
      <c r="D624"/>
      <c r="E624"/>
      <c r="F624"/>
      <c r="G624"/>
      <c r="H624"/>
      <c r="I624"/>
    </row>
    <row r="625" spans="1:9" x14ac:dyDescent="0.25">
      <c r="A625"/>
      <c r="B625"/>
      <c r="C625"/>
      <c r="D625"/>
      <c r="E625"/>
      <c r="F625"/>
      <c r="G625"/>
      <c r="H625"/>
      <c r="I625"/>
    </row>
    <row r="626" spans="1:9" x14ac:dyDescent="0.25">
      <c r="A626"/>
      <c r="B626"/>
      <c r="C626"/>
      <c r="D626"/>
      <c r="E626"/>
      <c r="F626"/>
      <c r="G626"/>
      <c r="H626"/>
      <c r="I626"/>
    </row>
    <row r="627" spans="1:9" x14ac:dyDescent="0.25">
      <c r="A627"/>
      <c r="B627"/>
      <c r="C627"/>
      <c r="D627"/>
      <c r="E627"/>
      <c r="F627"/>
      <c r="G627"/>
      <c r="H627"/>
      <c r="I627"/>
    </row>
    <row r="628" spans="1:9" x14ac:dyDescent="0.25">
      <c r="A628"/>
      <c r="B628"/>
      <c r="C628"/>
      <c r="D628"/>
      <c r="E628"/>
      <c r="F628"/>
      <c r="G628"/>
      <c r="H628"/>
      <c r="I628"/>
    </row>
    <row r="629" spans="1:9" x14ac:dyDescent="0.25">
      <c r="A629"/>
      <c r="B629"/>
      <c r="C629"/>
      <c r="D629"/>
      <c r="E629"/>
      <c r="F629"/>
      <c r="G629"/>
      <c r="H629"/>
      <c r="I629"/>
    </row>
    <row r="630" spans="1:9" x14ac:dyDescent="0.25">
      <c r="A630"/>
      <c r="B630"/>
      <c r="C630"/>
      <c r="D630"/>
      <c r="E630"/>
      <c r="F630"/>
      <c r="G630"/>
      <c r="H630"/>
      <c r="I630"/>
    </row>
    <row r="631" spans="1:9" x14ac:dyDescent="0.25">
      <c r="A631"/>
      <c r="B631"/>
      <c r="C631"/>
      <c r="D631"/>
      <c r="E631"/>
      <c r="F631"/>
      <c r="G631"/>
      <c r="H631"/>
      <c r="I631"/>
    </row>
    <row r="632" spans="1:9" x14ac:dyDescent="0.25">
      <c r="A632"/>
      <c r="B632"/>
      <c r="C632"/>
      <c r="D632"/>
      <c r="E632"/>
      <c r="F632"/>
      <c r="G632"/>
      <c r="H632"/>
      <c r="I632"/>
    </row>
    <row r="633" spans="1:9" x14ac:dyDescent="0.25">
      <c r="A633"/>
      <c r="B633"/>
      <c r="C633"/>
      <c r="D633"/>
      <c r="E633"/>
      <c r="F633"/>
      <c r="G633"/>
      <c r="H633"/>
      <c r="I633"/>
    </row>
    <row r="634" spans="1:9" x14ac:dyDescent="0.25">
      <c r="A634"/>
      <c r="B634"/>
      <c r="C634"/>
      <c r="D634"/>
      <c r="E634"/>
      <c r="F634"/>
      <c r="G634"/>
      <c r="H634"/>
      <c r="I634"/>
    </row>
    <row r="635" spans="1:9" x14ac:dyDescent="0.25">
      <c r="A635"/>
      <c r="B635"/>
      <c r="C635"/>
      <c r="D635"/>
      <c r="E635"/>
      <c r="F635"/>
      <c r="G635"/>
      <c r="H635"/>
      <c r="I635"/>
    </row>
    <row r="636" spans="1:9" x14ac:dyDescent="0.25">
      <c r="A636"/>
      <c r="B636"/>
      <c r="C636"/>
      <c r="D636"/>
      <c r="E636"/>
      <c r="F636"/>
      <c r="G636"/>
      <c r="H636"/>
      <c r="I636"/>
    </row>
    <row r="637" spans="1:9" x14ac:dyDescent="0.25">
      <c r="A637"/>
      <c r="B637"/>
      <c r="C637"/>
      <c r="D637"/>
      <c r="E637"/>
      <c r="F637"/>
      <c r="G637"/>
      <c r="H637"/>
      <c r="I637"/>
    </row>
    <row r="638" spans="1:9" x14ac:dyDescent="0.25">
      <c r="A638"/>
      <c r="B638"/>
      <c r="C638"/>
      <c r="D638"/>
      <c r="E638"/>
      <c r="F638"/>
      <c r="G638"/>
      <c r="H638"/>
      <c r="I638"/>
    </row>
    <row r="639" spans="1:9" x14ac:dyDescent="0.25">
      <c r="A639"/>
      <c r="B639"/>
      <c r="C639"/>
      <c r="D639"/>
      <c r="E639"/>
      <c r="F639"/>
      <c r="G639"/>
      <c r="H639"/>
      <c r="I639"/>
    </row>
    <row r="640" spans="1:9" x14ac:dyDescent="0.25">
      <c r="A640"/>
      <c r="B640"/>
      <c r="C640"/>
      <c r="D640"/>
      <c r="E640"/>
      <c r="F640"/>
      <c r="G640"/>
      <c r="H640"/>
      <c r="I640"/>
    </row>
    <row r="641" spans="1:9" x14ac:dyDescent="0.25">
      <c r="A641"/>
      <c r="B641"/>
      <c r="C641"/>
      <c r="D641"/>
      <c r="E641"/>
      <c r="F641"/>
      <c r="G641"/>
      <c r="H641"/>
      <c r="I641"/>
    </row>
    <row r="642" spans="1:9" x14ac:dyDescent="0.25">
      <c r="A642"/>
      <c r="B642"/>
      <c r="C642"/>
      <c r="D642"/>
      <c r="E642"/>
      <c r="F642"/>
      <c r="G642"/>
      <c r="H642"/>
      <c r="I642"/>
    </row>
    <row r="643" spans="1:9" x14ac:dyDescent="0.25">
      <c r="A643"/>
      <c r="B643"/>
      <c r="C643"/>
      <c r="D643"/>
      <c r="E643"/>
      <c r="F643"/>
      <c r="G643"/>
      <c r="H643"/>
      <c r="I643"/>
    </row>
    <row r="644" spans="1:9" x14ac:dyDescent="0.25">
      <c r="A644"/>
      <c r="B644"/>
      <c r="C644"/>
      <c r="D644"/>
      <c r="E644"/>
      <c r="F644"/>
      <c r="G644"/>
      <c r="H644"/>
      <c r="I644"/>
    </row>
    <row r="645" spans="1:9" x14ac:dyDescent="0.25">
      <c r="A645"/>
      <c r="B645"/>
      <c r="C645"/>
      <c r="D645"/>
      <c r="E645"/>
      <c r="F645"/>
      <c r="G645"/>
      <c r="H645"/>
      <c r="I645"/>
    </row>
    <row r="646" spans="1:9" x14ac:dyDescent="0.25">
      <c r="A646"/>
      <c r="B646"/>
      <c r="C646"/>
      <c r="D646"/>
      <c r="E646"/>
      <c r="F646"/>
      <c r="G646"/>
      <c r="H646"/>
      <c r="I646"/>
    </row>
    <row r="647" spans="1:9" x14ac:dyDescent="0.25">
      <c r="A647"/>
      <c r="B647"/>
      <c r="C647"/>
      <c r="D647"/>
      <c r="E647"/>
      <c r="F647"/>
      <c r="G647"/>
      <c r="H647"/>
      <c r="I647"/>
    </row>
    <row r="648" spans="1:9" x14ac:dyDescent="0.25">
      <c r="A648"/>
      <c r="B648"/>
      <c r="C648"/>
      <c r="D648"/>
      <c r="E648"/>
      <c r="F648"/>
      <c r="G648"/>
      <c r="H648"/>
      <c r="I648"/>
    </row>
    <row r="649" spans="1:9" x14ac:dyDescent="0.25">
      <c r="A649"/>
      <c r="B649"/>
      <c r="C649"/>
      <c r="D649"/>
      <c r="E649"/>
      <c r="F649"/>
      <c r="G649"/>
      <c r="H649"/>
      <c r="I649"/>
    </row>
    <row r="650" spans="1:9" x14ac:dyDescent="0.25">
      <c r="A650"/>
      <c r="B650"/>
      <c r="C650"/>
      <c r="D650"/>
      <c r="E650"/>
      <c r="F650"/>
      <c r="G650"/>
      <c r="H650"/>
      <c r="I650"/>
    </row>
    <row r="651" spans="1:9" x14ac:dyDescent="0.25">
      <c r="A651"/>
      <c r="B651"/>
      <c r="C651"/>
      <c r="D651"/>
      <c r="E651"/>
      <c r="F651"/>
      <c r="G651"/>
      <c r="H651"/>
      <c r="I651"/>
    </row>
    <row r="652" spans="1:9" x14ac:dyDescent="0.25">
      <c r="A652"/>
      <c r="B652"/>
      <c r="C652"/>
      <c r="D652"/>
      <c r="E652"/>
      <c r="F652"/>
      <c r="G652"/>
      <c r="H652"/>
      <c r="I652"/>
    </row>
    <row r="653" spans="1:9" x14ac:dyDescent="0.25">
      <c r="A653"/>
      <c r="B653"/>
      <c r="C653"/>
      <c r="D653"/>
      <c r="E653"/>
      <c r="F653"/>
      <c r="G653"/>
      <c r="H653"/>
      <c r="I653"/>
    </row>
    <row r="654" spans="1:9" x14ac:dyDescent="0.25">
      <c r="A654"/>
      <c r="B654"/>
      <c r="C654"/>
      <c r="D654"/>
      <c r="E654"/>
      <c r="F654"/>
      <c r="G654"/>
      <c r="H654"/>
      <c r="I654"/>
    </row>
    <row r="655" spans="1:9" x14ac:dyDescent="0.25">
      <c r="A655"/>
      <c r="B655"/>
      <c r="C655"/>
      <c r="D655"/>
      <c r="E655"/>
      <c r="F655"/>
      <c r="G655"/>
      <c r="H655"/>
      <c r="I655"/>
    </row>
    <row r="656" spans="1:9" x14ac:dyDescent="0.25">
      <c r="A656"/>
      <c r="B656"/>
      <c r="C656"/>
      <c r="D656"/>
      <c r="E656"/>
      <c r="F656"/>
      <c r="G656"/>
      <c r="H656"/>
      <c r="I656"/>
    </row>
    <row r="657" spans="1:9" x14ac:dyDescent="0.25">
      <c r="A657"/>
      <c r="B657"/>
      <c r="C657"/>
      <c r="D657"/>
      <c r="E657"/>
      <c r="F657"/>
      <c r="G657"/>
      <c r="H657"/>
      <c r="I657"/>
    </row>
    <row r="658" spans="1:9" x14ac:dyDescent="0.25">
      <c r="A658"/>
      <c r="B658"/>
      <c r="C658"/>
      <c r="D658"/>
      <c r="E658"/>
      <c r="F658"/>
      <c r="G658"/>
      <c r="H658"/>
      <c r="I658"/>
    </row>
    <row r="659" spans="1:9" x14ac:dyDescent="0.25">
      <c r="A659"/>
      <c r="B659"/>
      <c r="C659"/>
      <c r="D659"/>
      <c r="E659"/>
      <c r="F659"/>
      <c r="G659"/>
      <c r="H659"/>
      <c r="I659"/>
    </row>
    <row r="660" spans="1:9" x14ac:dyDescent="0.25">
      <c r="A660"/>
      <c r="B660"/>
      <c r="C660"/>
      <c r="D660"/>
      <c r="E660"/>
      <c r="F660"/>
      <c r="G660"/>
      <c r="H660"/>
      <c r="I660"/>
    </row>
    <row r="661" spans="1:9" x14ac:dyDescent="0.25">
      <c r="A661"/>
      <c r="B661"/>
      <c r="C661"/>
      <c r="D661"/>
      <c r="E661"/>
      <c r="F661"/>
      <c r="G661"/>
      <c r="H661"/>
      <c r="I661"/>
    </row>
    <row r="662" spans="1:9" x14ac:dyDescent="0.25">
      <c r="A662"/>
      <c r="B662"/>
      <c r="C662"/>
      <c r="D662"/>
      <c r="E662"/>
      <c r="F662"/>
      <c r="G662"/>
      <c r="H662"/>
      <c r="I662"/>
    </row>
    <row r="663" spans="1:9" x14ac:dyDescent="0.25">
      <c r="A663"/>
      <c r="B663"/>
      <c r="C663"/>
      <c r="D663"/>
      <c r="E663"/>
      <c r="F663"/>
      <c r="G663"/>
      <c r="H663"/>
      <c r="I663"/>
    </row>
    <row r="664" spans="1:9" x14ac:dyDescent="0.25">
      <c r="A664"/>
      <c r="B664"/>
      <c r="C664"/>
      <c r="D664"/>
      <c r="E664"/>
      <c r="F664"/>
      <c r="G664"/>
      <c r="H664"/>
      <c r="I664"/>
    </row>
    <row r="665" spans="1:9" x14ac:dyDescent="0.25">
      <c r="A665"/>
      <c r="B665"/>
      <c r="C665"/>
      <c r="D665"/>
      <c r="E665"/>
      <c r="F665"/>
      <c r="G665"/>
      <c r="H665"/>
      <c r="I665"/>
    </row>
    <row r="666" spans="1:9" x14ac:dyDescent="0.25">
      <c r="A666"/>
      <c r="B666"/>
      <c r="C666"/>
      <c r="D666"/>
      <c r="E666"/>
      <c r="F666"/>
      <c r="G666"/>
      <c r="H666"/>
      <c r="I666"/>
    </row>
    <row r="667" spans="1:9" x14ac:dyDescent="0.25">
      <c r="A667"/>
      <c r="B667"/>
      <c r="C667"/>
      <c r="D667"/>
      <c r="E667"/>
      <c r="F667"/>
      <c r="G667"/>
      <c r="H667"/>
      <c r="I667"/>
    </row>
    <row r="668" spans="1:9" x14ac:dyDescent="0.25">
      <c r="A668"/>
      <c r="B668"/>
      <c r="C668"/>
      <c r="D668"/>
      <c r="E668"/>
      <c r="F668"/>
      <c r="G668"/>
      <c r="H668"/>
      <c r="I668"/>
    </row>
    <row r="669" spans="1:9" x14ac:dyDescent="0.25">
      <c r="A669"/>
      <c r="B669"/>
      <c r="C669"/>
      <c r="D669"/>
      <c r="E669"/>
      <c r="F669"/>
      <c r="G669"/>
      <c r="H669"/>
      <c r="I669"/>
    </row>
    <row r="670" spans="1:9" x14ac:dyDescent="0.25">
      <c r="A670"/>
      <c r="B670"/>
      <c r="C670"/>
      <c r="D670"/>
      <c r="E670"/>
      <c r="F670"/>
      <c r="G670"/>
      <c r="H670"/>
      <c r="I670"/>
    </row>
    <row r="671" spans="1:9" x14ac:dyDescent="0.25">
      <c r="A671"/>
      <c r="B671"/>
      <c r="C671"/>
      <c r="D671"/>
      <c r="E671"/>
      <c r="F671"/>
      <c r="G671"/>
      <c r="H671"/>
      <c r="I671"/>
    </row>
    <row r="672" spans="1:9" x14ac:dyDescent="0.25">
      <c r="A672"/>
      <c r="B672"/>
      <c r="C672"/>
      <c r="D672"/>
      <c r="E672"/>
      <c r="F672"/>
      <c r="G672"/>
      <c r="H672"/>
      <c r="I672"/>
    </row>
    <row r="673" spans="1:9" x14ac:dyDescent="0.25">
      <c r="A673"/>
      <c r="B673"/>
      <c r="C673"/>
      <c r="D673"/>
      <c r="E673"/>
      <c r="F673"/>
      <c r="G673"/>
      <c r="H673"/>
      <c r="I673"/>
    </row>
    <row r="674" spans="1:9" x14ac:dyDescent="0.25">
      <c r="A674"/>
      <c r="B674"/>
      <c r="C674"/>
      <c r="D674"/>
      <c r="E674"/>
      <c r="F674"/>
      <c r="G674"/>
      <c r="H674"/>
      <c r="I674"/>
    </row>
    <row r="675" spans="1:9" x14ac:dyDescent="0.25">
      <c r="A675"/>
      <c r="B675"/>
      <c r="C675"/>
      <c r="D675"/>
      <c r="E675"/>
      <c r="F675"/>
      <c r="G675"/>
      <c r="H675"/>
      <c r="I675"/>
    </row>
    <row r="676" spans="1:9" x14ac:dyDescent="0.25">
      <c r="A676"/>
      <c r="B676"/>
      <c r="C676"/>
      <c r="D676"/>
      <c r="E676"/>
      <c r="F676"/>
      <c r="G676"/>
      <c r="H676"/>
      <c r="I676"/>
    </row>
    <row r="677" spans="1:9" x14ac:dyDescent="0.25">
      <c r="A677"/>
      <c r="B677"/>
      <c r="C677"/>
      <c r="D677"/>
      <c r="E677"/>
      <c r="F677"/>
      <c r="G677"/>
      <c r="H677"/>
      <c r="I677"/>
    </row>
    <row r="678" spans="1:9" x14ac:dyDescent="0.25">
      <c r="A678"/>
      <c r="B678"/>
      <c r="C678"/>
      <c r="D678"/>
      <c r="E678"/>
      <c r="F678"/>
      <c r="G678"/>
      <c r="H678"/>
      <c r="I678"/>
    </row>
    <row r="679" spans="1:9" x14ac:dyDescent="0.25">
      <c r="A679"/>
      <c r="B679"/>
      <c r="C679"/>
      <c r="D679"/>
      <c r="E679"/>
      <c r="F679"/>
      <c r="G679"/>
      <c r="H679"/>
      <c r="I679"/>
    </row>
    <row r="680" spans="1:9" x14ac:dyDescent="0.25">
      <c r="A680"/>
      <c r="B680"/>
      <c r="C680"/>
      <c r="D680"/>
      <c r="E680"/>
      <c r="F680"/>
      <c r="G680"/>
      <c r="H680"/>
      <c r="I680"/>
    </row>
    <row r="681" spans="1:9" x14ac:dyDescent="0.25">
      <c r="A681"/>
      <c r="B681"/>
      <c r="C681"/>
      <c r="D681"/>
      <c r="E681"/>
      <c r="F681"/>
      <c r="G681"/>
      <c r="H681"/>
      <c r="I681"/>
    </row>
    <row r="682" spans="1:9" x14ac:dyDescent="0.25">
      <c r="A682"/>
      <c r="B682"/>
      <c r="C682"/>
      <c r="D682"/>
      <c r="E682"/>
      <c r="F682"/>
      <c r="G682"/>
      <c r="H682"/>
      <c r="I682"/>
    </row>
    <row r="683" spans="1:9" x14ac:dyDescent="0.25">
      <c r="A683"/>
      <c r="B683"/>
      <c r="C683"/>
      <c r="D683"/>
      <c r="E683"/>
      <c r="F683"/>
      <c r="G683"/>
      <c r="H683"/>
      <c r="I683"/>
    </row>
    <row r="684" spans="1:9" x14ac:dyDescent="0.25">
      <c r="A684"/>
      <c r="B684"/>
      <c r="C684"/>
      <c r="D684"/>
      <c r="E684"/>
      <c r="F684"/>
      <c r="G684"/>
      <c r="H684"/>
      <c r="I684"/>
    </row>
    <row r="685" spans="1:9" x14ac:dyDescent="0.25">
      <c r="A685"/>
      <c r="B685"/>
      <c r="C685"/>
      <c r="D685"/>
      <c r="E685"/>
      <c r="F685"/>
      <c r="G685"/>
      <c r="H685"/>
      <c r="I685"/>
    </row>
    <row r="686" spans="1:9" x14ac:dyDescent="0.25">
      <c r="A686"/>
      <c r="B686"/>
      <c r="C686"/>
      <c r="D686"/>
      <c r="E686"/>
      <c r="F686"/>
      <c r="G686"/>
      <c r="H686"/>
      <c r="I686"/>
    </row>
    <row r="687" spans="1:9" x14ac:dyDescent="0.25">
      <c r="A687"/>
      <c r="B687"/>
      <c r="C687"/>
      <c r="D687"/>
      <c r="E687"/>
      <c r="F687"/>
      <c r="G687"/>
      <c r="H687"/>
      <c r="I687"/>
    </row>
    <row r="688" spans="1:9" x14ac:dyDescent="0.25">
      <c r="A688"/>
      <c r="B688"/>
      <c r="C688"/>
      <c r="D688"/>
      <c r="E688"/>
      <c r="F688"/>
      <c r="G688"/>
      <c r="H688"/>
      <c r="I688"/>
    </row>
    <row r="689" spans="1:9" x14ac:dyDescent="0.25">
      <c r="A689"/>
      <c r="B689"/>
      <c r="C689"/>
      <c r="D689"/>
      <c r="E689"/>
      <c r="F689"/>
      <c r="G689"/>
      <c r="H689"/>
      <c r="I689"/>
    </row>
    <row r="690" spans="1:9" x14ac:dyDescent="0.25">
      <c r="A690"/>
      <c r="B690"/>
      <c r="C690"/>
      <c r="D690"/>
      <c r="E690"/>
      <c r="F690"/>
      <c r="G690"/>
      <c r="H690"/>
      <c r="I690"/>
    </row>
    <row r="691" spans="1:9" x14ac:dyDescent="0.25">
      <c r="A691"/>
      <c r="B691"/>
      <c r="C691"/>
      <c r="D691"/>
      <c r="E691"/>
      <c r="F691"/>
      <c r="G691"/>
      <c r="H691"/>
      <c r="I691"/>
    </row>
    <row r="692" spans="1:9" x14ac:dyDescent="0.25">
      <c r="A692"/>
      <c r="B692"/>
      <c r="C692"/>
      <c r="D692"/>
      <c r="E692"/>
      <c r="F692"/>
      <c r="G692"/>
      <c r="H692"/>
      <c r="I692"/>
    </row>
    <row r="693" spans="1:9" x14ac:dyDescent="0.25">
      <c r="A693"/>
      <c r="B693"/>
      <c r="C693"/>
      <c r="D693"/>
      <c r="E693"/>
      <c r="F693"/>
      <c r="G693"/>
      <c r="H693"/>
      <c r="I693"/>
    </row>
    <row r="694" spans="1:9" x14ac:dyDescent="0.25">
      <c r="A694"/>
      <c r="B694"/>
      <c r="C694"/>
      <c r="D694"/>
      <c r="E694"/>
      <c r="F694"/>
      <c r="G694"/>
      <c r="H694"/>
      <c r="I694"/>
    </row>
    <row r="695" spans="1:9" x14ac:dyDescent="0.25">
      <c r="A695"/>
      <c r="B695"/>
      <c r="C695"/>
      <c r="D695"/>
      <c r="E695"/>
      <c r="F695"/>
      <c r="G695"/>
      <c r="H695"/>
      <c r="I695"/>
    </row>
    <row r="696" spans="1:9" x14ac:dyDescent="0.25">
      <c r="A696"/>
      <c r="B696"/>
      <c r="C696"/>
      <c r="D696"/>
      <c r="E696"/>
      <c r="F696"/>
      <c r="G696"/>
      <c r="H696"/>
      <c r="I696"/>
    </row>
    <row r="697" spans="1:9" x14ac:dyDescent="0.25">
      <c r="A697"/>
      <c r="B697"/>
      <c r="C697"/>
      <c r="D697"/>
      <c r="E697"/>
      <c r="F697"/>
      <c r="G697"/>
      <c r="H697"/>
      <c r="I697"/>
    </row>
    <row r="698" spans="1:9" x14ac:dyDescent="0.25">
      <c r="A698"/>
      <c r="B698"/>
      <c r="C698"/>
      <c r="D698"/>
      <c r="E698"/>
      <c r="F698"/>
      <c r="G698"/>
      <c r="H698"/>
      <c r="I698"/>
    </row>
    <row r="699" spans="1:9" x14ac:dyDescent="0.25">
      <c r="A699"/>
      <c r="B699"/>
      <c r="C699"/>
      <c r="D699"/>
      <c r="E699"/>
      <c r="F699"/>
      <c r="G699"/>
      <c r="H699"/>
      <c r="I699"/>
    </row>
    <row r="700" spans="1:9" x14ac:dyDescent="0.25">
      <c r="A700"/>
      <c r="B700"/>
      <c r="C700"/>
      <c r="D700"/>
      <c r="E700"/>
      <c r="F700"/>
      <c r="G700"/>
      <c r="H700"/>
      <c r="I700"/>
    </row>
    <row r="701" spans="1:9" x14ac:dyDescent="0.25">
      <c r="A701"/>
      <c r="B701"/>
      <c r="C701"/>
      <c r="D701"/>
      <c r="E701"/>
      <c r="F701"/>
      <c r="G701"/>
      <c r="H701"/>
      <c r="I701"/>
    </row>
    <row r="702" spans="1:9" x14ac:dyDescent="0.25">
      <c r="A702"/>
      <c r="B702"/>
      <c r="C702"/>
      <c r="D702"/>
      <c r="E702"/>
      <c r="F702"/>
      <c r="G702"/>
      <c r="H702"/>
      <c r="I702"/>
    </row>
    <row r="703" spans="1:9" x14ac:dyDescent="0.25">
      <c r="A703"/>
      <c r="B703"/>
      <c r="C703"/>
      <c r="D703"/>
      <c r="E703"/>
      <c r="F703"/>
      <c r="G703"/>
      <c r="H703"/>
      <c r="I703"/>
    </row>
    <row r="704" spans="1:9" x14ac:dyDescent="0.25">
      <c r="A704"/>
      <c r="B704"/>
      <c r="C704"/>
      <c r="D704"/>
      <c r="E704"/>
      <c r="F704"/>
      <c r="G704"/>
      <c r="H704"/>
      <c r="I704"/>
    </row>
    <row r="705" spans="1:9" x14ac:dyDescent="0.25">
      <c r="A705"/>
      <c r="B705"/>
      <c r="C705"/>
      <c r="D705"/>
      <c r="E705"/>
      <c r="F705"/>
      <c r="G705"/>
      <c r="H705"/>
      <c r="I705"/>
    </row>
    <row r="706" spans="1:9" x14ac:dyDescent="0.25">
      <c r="A706"/>
      <c r="B706"/>
      <c r="C706"/>
      <c r="D706"/>
      <c r="E706"/>
      <c r="F706"/>
      <c r="G706"/>
      <c r="H706"/>
      <c r="I706"/>
    </row>
    <row r="707" spans="1:9" x14ac:dyDescent="0.25">
      <c r="A707"/>
      <c r="B707"/>
      <c r="C707"/>
      <c r="D707"/>
      <c r="E707"/>
      <c r="F707"/>
      <c r="G707"/>
      <c r="H707"/>
      <c r="I707"/>
    </row>
    <row r="708" spans="1:9" x14ac:dyDescent="0.25">
      <c r="A708"/>
      <c r="B708"/>
      <c r="C708"/>
      <c r="D708"/>
      <c r="E708"/>
      <c r="F708"/>
      <c r="G708"/>
      <c r="H708"/>
      <c r="I708"/>
    </row>
    <row r="709" spans="1:9" x14ac:dyDescent="0.25">
      <c r="A709"/>
      <c r="B709"/>
      <c r="C709"/>
      <c r="D709"/>
      <c r="E709"/>
      <c r="F709"/>
      <c r="G709"/>
      <c r="H709"/>
      <c r="I709"/>
    </row>
    <row r="710" spans="1:9" x14ac:dyDescent="0.25">
      <c r="A710"/>
      <c r="B710"/>
      <c r="C710"/>
      <c r="D710"/>
      <c r="E710"/>
      <c r="F710"/>
      <c r="G710"/>
      <c r="H710"/>
      <c r="I710"/>
    </row>
    <row r="711" spans="1:9" x14ac:dyDescent="0.25">
      <c r="A711"/>
      <c r="B711"/>
      <c r="C711"/>
      <c r="D711"/>
      <c r="E711"/>
      <c r="F711"/>
      <c r="G711"/>
      <c r="H711"/>
      <c r="I711"/>
    </row>
    <row r="712" spans="1:9" x14ac:dyDescent="0.25">
      <c r="A712"/>
      <c r="B712"/>
      <c r="C712"/>
      <c r="D712"/>
      <c r="E712"/>
      <c r="F712"/>
      <c r="G712"/>
      <c r="H712"/>
      <c r="I712"/>
    </row>
    <row r="713" spans="1:9" x14ac:dyDescent="0.25">
      <c r="A713"/>
      <c r="B713"/>
      <c r="C713"/>
      <c r="D713"/>
      <c r="E713"/>
      <c r="F713"/>
      <c r="G713"/>
      <c r="H713"/>
      <c r="I713"/>
    </row>
    <row r="714" spans="1:9" x14ac:dyDescent="0.25">
      <c r="A714"/>
      <c r="B714"/>
      <c r="C714"/>
      <c r="D714"/>
      <c r="E714"/>
      <c r="F714"/>
      <c r="G714"/>
      <c r="H714"/>
      <c r="I714"/>
    </row>
    <row r="715" spans="1:9" x14ac:dyDescent="0.25">
      <c r="A715"/>
      <c r="B715"/>
      <c r="C715"/>
      <c r="D715"/>
      <c r="E715"/>
      <c r="F715"/>
      <c r="G715"/>
      <c r="H715"/>
      <c r="I715"/>
    </row>
    <row r="716" spans="1:9" x14ac:dyDescent="0.25">
      <c r="A716"/>
      <c r="B716"/>
      <c r="C716"/>
      <c r="D716"/>
      <c r="E716"/>
      <c r="F716"/>
      <c r="G716"/>
      <c r="H716"/>
      <c r="I716"/>
    </row>
    <row r="717" spans="1:9" x14ac:dyDescent="0.25">
      <c r="A717"/>
      <c r="B717"/>
      <c r="C717"/>
      <c r="D717"/>
      <c r="E717"/>
      <c r="F717"/>
      <c r="G717"/>
      <c r="H717"/>
      <c r="I717"/>
    </row>
    <row r="718" spans="1:9" x14ac:dyDescent="0.25">
      <c r="A718"/>
      <c r="B718"/>
      <c r="C718"/>
      <c r="D718"/>
      <c r="E718"/>
      <c r="F718"/>
      <c r="G718"/>
      <c r="H718"/>
      <c r="I718"/>
    </row>
    <row r="719" spans="1:9" x14ac:dyDescent="0.25">
      <c r="A719"/>
      <c r="B719"/>
      <c r="C719"/>
      <c r="D719"/>
      <c r="E719"/>
      <c r="F719"/>
      <c r="G719"/>
      <c r="H719"/>
      <c r="I719"/>
    </row>
    <row r="720" spans="1:9" x14ac:dyDescent="0.25">
      <c r="A720"/>
      <c r="B720"/>
      <c r="C720"/>
      <c r="D720"/>
      <c r="E720"/>
      <c r="F720"/>
      <c r="G720"/>
      <c r="H720"/>
      <c r="I720"/>
    </row>
    <row r="721" spans="1:9" x14ac:dyDescent="0.25">
      <c r="A721"/>
      <c r="B721"/>
      <c r="C721"/>
      <c r="D721"/>
      <c r="E721"/>
      <c r="F721"/>
      <c r="G721"/>
      <c r="H721"/>
      <c r="I721"/>
    </row>
    <row r="722" spans="1:9" x14ac:dyDescent="0.25">
      <c r="A722"/>
      <c r="B722"/>
      <c r="C722"/>
      <c r="D722"/>
      <c r="E722"/>
      <c r="F722"/>
      <c r="G722"/>
      <c r="H722"/>
      <c r="I722"/>
    </row>
    <row r="723" spans="1:9" x14ac:dyDescent="0.25">
      <c r="A723"/>
      <c r="B723"/>
      <c r="C723"/>
      <c r="D723"/>
      <c r="E723"/>
      <c r="F723"/>
      <c r="G723"/>
      <c r="H723"/>
      <c r="I723"/>
    </row>
    <row r="724" spans="1:9" x14ac:dyDescent="0.25">
      <c r="A724"/>
      <c r="B724"/>
      <c r="C724"/>
      <c r="D724"/>
      <c r="E724"/>
      <c r="F724"/>
      <c r="G724"/>
      <c r="H724"/>
      <c r="I724"/>
    </row>
    <row r="725" spans="1:9" x14ac:dyDescent="0.25">
      <c r="A725"/>
      <c r="B725"/>
      <c r="C725"/>
      <c r="D725"/>
      <c r="E725"/>
      <c r="F725"/>
      <c r="G725"/>
      <c r="H725"/>
      <c r="I725"/>
    </row>
    <row r="726" spans="1:9" x14ac:dyDescent="0.25">
      <c r="A726"/>
      <c r="B726"/>
      <c r="C726"/>
      <c r="D726"/>
      <c r="E726"/>
      <c r="F726"/>
      <c r="G726"/>
      <c r="H726"/>
      <c r="I726"/>
    </row>
    <row r="727" spans="1:9" x14ac:dyDescent="0.25">
      <c r="A727"/>
      <c r="B727"/>
      <c r="C727"/>
      <c r="D727"/>
      <c r="E727"/>
      <c r="F727"/>
      <c r="G727"/>
      <c r="H727"/>
      <c r="I727"/>
    </row>
    <row r="728" spans="1:9" x14ac:dyDescent="0.25">
      <c r="A728"/>
      <c r="B728"/>
      <c r="C728"/>
      <c r="D728"/>
      <c r="E728"/>
      <c r="F728"/>
      <c r="G728"/>
      <c r="H728"/>
      <c r="I728"/>
    </row>
    <row r="729" spans="1:9" x14ac:dyDescent="0.25">
      <c r="A729"/>
      <c r="B729"/>
      <c r="C729"/>
      <c r="D729"/>
      <c r="E729"/>
      <c r="F729"/>
      <c r="G729"/>
      <c r="H729"/>
      <c r="I729"/>
    </row>
    <row r="730" spans="1:9" x14ac:dyDescent="0.25">
      <c r="A730"/>
      <c r="B730"/>
      <c r="C730"/>
      <c r="D730"/>
      <c r="E730"/>
      <c r="F730"/>
      <c r="G730"/>
      <c r="H730"/>
      <c r="I730"/>
    </row>
    <row r="731" spans="1:9" x14ac:dyDescent="0.25">
      <c r="A731"/>
      <c r="B731"/>
      <c r="C731"/>
      <c r="D731"/>
      <c r="E731"/>
      <c r="F731"/>
      <c r="G731"/>
      <c r="H731"/>
      <c r="I731"/>
    </row>
    <row r="732" spans="1:9" x14ac:dyDescent="0.25">
      <c r="A732"/>
      <c r="B732"/>
      <c r="C732"/>
      <c r="D732"/>
      <c r="E732"/>
      <c r="F732"/>
      <c r="G732"/>
      <c r="H732"/>
      <c r="I732"/>
    </row>
    <row r="733" spans="1:9" x14ac:dyDescent="0.25">
      <c r="A733"/>
      <c r="B733"/>
      <c r="C733"/>
      <c r="D733"/>
      <c r="E733"/>
      <c r="F733"/>
      <c r="G733"/>
      <c r="H733"/>
      <c r="I733"/>
    </row>
    <row r="734" spans="1:9" x14ac:dyDescent="0.25">
      <c r="A734"/>
      <c r="B734"/>
      <c r="C734"/>
      <c r="D734"/>
      <c r="E734"/>
      <c r="F734"/>
      <c r="G734"/>
      <c r="H734"/>
      <c r="I734"/>
    </row>
    <row r="735" spans="1:9" x14ac:dyDescent="0.25">
      <c r="A735"/>
      <c r="B735"/>
      <c r="C735"/>
      <c r="D735"/>
      <c r="E735"/>
      <c r="F735"/>
      <c r="G735"/>
      <c r="H735"/>
      <c r="I735"/>
    </row>
    <row r="736" spans="1:9" x14ac:dyDescent="0.25">
      <c r="A736"/>
      <c r="B736"/>
      <c r="C736"/>
      <c r="D736"/>
      <c r="E736"/>
      <c r="F736"/>
      <c r="G736"/>
      <c r="H736"/>
      <c r="I736"/>
    </row>
    <row r="737" spans="1:9" x14ac:dyDescent="0.25">
      <c r="A737"/>
      <c r="B737"/>
      <c r="C737"/>
      <c r="D737"/>
      <c r="E737"/>
      <c r="F737"/>
      <c r="G737"/>
      <c r="H737"/>
      <c r="I737"/>
    </row>
    <row r="738" spans="1:9" x14ac:dyDescent="0.25">
      <c r="A738"/>
      <c r="B738"/>
      <c r="C738"/>
      <c r="D738"/>
      <c r="E738"/>
      <c r="F738"/>
      <c r="G738"/>
      <c r="H738"/>
      <c r="I738"/>
    </row>
    <row r="739" spans="1:9" x14ac:dyDescent="0.25">
      <c r="A739"/>
      <c r="B739"/>
      <c r="C739"/>
      <c r="D739"/>
      <c r="E739"/>
      <c r="F739"/>
      <c r="G739"/>
      <c r="H739"/>
      <c r="I739"/>
    </row>
    <row r="740" spans="1:9" x14ac:dyDescent="0.25">
      <c r="A740"/>
      <c r="B740"/>
      <c r="C740"/>
      <c r="D740"/>
      <c r="E740"/>
      <c r="F740"/>
      <c r="G740"/>
      <c r="H740"/>
      <c r="I740"/>
    </row>
    <row r="741" spans="1:9" x14ac:dyDescent="0.25">
      <c r="A741"/>
      <c r="B741"/>
      <c r="C741"/>
      <c r="D741"/>
      <c r="E741"/>
      <c r="F741"/>
      <c r="G741"/>
      <c r="H741"/>
      <c r="I741"/>
    </row>
    <row r="742" spans="1:9" x14ac:dyDescent="0.25">
      <c r="A742"/>
      <c r="B742"/>
      <c r="C742"/>
      <c r="D742"/>
      <c r="E742"/>
      <c r="F742"/>
      <c r="G742"/>
      <c r="H742"/>
      <c r="I742"/>
    </row>
    <row r="743" spans="1:9" x14ac:dyDescent="0.25">
      <c r="A743"/>
      <c r="B743"/>
      <c r="C743"/>
      <c r="D743"/>
      <c r="E743"/>
      <c r="F743"/>
      <c r="G743"/>
      <c r="H743"/>
      <c r="I743"/>
    </row>
    <row r="744" spans="1:9" x14ac:dyDescent="0.25">
      <c r="A744"/>
      <c r="B744"/>
      <c r="C744"/>
      <c r="D744"/>
      <c r="E744"/>
      <c r="F744"/>
      <c r="G744"/>
      <c r="H744"/>
      <c r="I744"/>
    </row>
    <row r="745" spans="1:9" x14ac:dyDescent="0.25">
      <c r="A745"/>
      <c r="B745"/>
      <c r="C745"/>
      <c r="D745"/>
      <c r="E745"/>
      <c r="F745"/>
      <c r="G745"/>
      <c r="H745"/>
      <c r="I745"/>
    </row>
    <row r="746" spans="1:9" x14ac:dyDescent="0.25">
      <c r="A746"/>
      <c r="B746"/>
      <c r="C746"/>
      <c r="D746"/>
      <c r="E746"/>
      <c r="F746"/>
      <c r="G746"/>
      <c r="H746"/>
      <c r="I746"/>
    </row>
    <row r="747" spans="1:9" x14ac:dyDescent="0.25">
      <c r="A747"/>
      <c r="B747"/>
      <c r="C747"/>
      <c r="D747"/>
      <c r="E747"/>
      <c r="F747"/>
      <c r="G747"/>
      <c r="H747"/>
      <c r="I747"/>
    </row>
    <row r="748" spans="1:9" x14ac:dyDescent="0.25">
      <c r="A748"/>
      <c r="B748"/>
      <c r="C748"/>
      <c r="D748"/>
      <c r="E748"/>
      <c r="F748"/>
      <c r="G748"/>
      <c r="H748"/>
      <c r="I748"/>
    </row>
    <row r="749" spans="1:9" x14ac:dyDescent="0.25">
      <c r="A749"/>
      <c r="B749"/>
      <c r="C749"/>
      <c r="D749"/>
      <c r="E749"/>
      <c r="F749"/>
      <c r="G749"/>
      <c r="H749"/>
      <c r="I749"/>
    </row>
    <row r="750" spans="1:9" x14ac:dyDescent="0.25">
      <c r="A750"/>
      <c r="B750"/>
      <c r="C750"/>
      <c r="D750"/>
      <c r="E750"/>
      <c r="F750"/>
      <c r="G750"/>
      <c r="H750"/>
      <c r="I750"/>
    </row>
    <row r="751" spans="1:9" x14ac:dyDescent="0.25">
      <c r="A751"/>
      <c r="B751"/>
      <c r="C751"/>
      <c r="D751"/>
      <c r="E751"/>
      <c r="F751"/>
      <c r="G751"/>
      <c r="H751"/>
      <c r="I751"/>
    </row>
    <row r="752" spans="1:9" x14ac:dyDescent="0.25">
      <c r="A752"/>
      <c r="B752"/>
      <c r="C752"/>
      <c r="D752"/>
      <c r="E752"/>
      <c r="F752"/>
      <c r="G752"/>
      <c r="H752"/>
      <c r="I752"/>
    </row>
    <row r="753" spans="1:9" x14ac:dyDescent="0.25">
      <c r="A753"/>
      <c r="B753"/>
      <c r="C753"/>
      <c r="D753"/>
      <c r="E753"/>
      <c r="F753"/>
      <c r="G753"/>
      <c r="H753"/>
      <c r="I753"/>
    </row>
    <row r="754" spans="1:9" x14ac:dyDescent="0.25">
      <c r="A754"/>
      <c r="B754"/>
      <c r="C754"/>
      <c r="D754"/>
      <c r="E754"/>
      <c r="F754"/>
      <c r="G754"/>
      <c r="H754"/>
      <c r="I754"/>
    </row>
    <row r="755" spans="1:9" x14ac:dyDescent="0.25">
      <c r="A755"/>
      <c r="B755"/>
      <c r="C755"/>
      <c r="D755"/>
      <c r="E755"/>
      <c r="F755"/>
      <c r="G755"/>
      <c r="H755"/>
      <c r="I755"/>
    </row>
    <row r="756" spans="1:9" x14ac:dyDescent="0.25">
      <c r="A756"/>
      <c r="B756"/>
      <c r="C756"/>
      <c r="D756"/>
      <c r="E756"/>
      <c r="F756"/>
      <c r="G756"/>
      <c r="H756"/>
      <c r="I756"/>
    </row>
    <row r="757" spans="1:9" x14ac:dyDescent="0.25">
      <c r="A757"/>
      <c r="B757"/>
      <c r="C757"/>
      <c r="D757"/>
      <c r="E757"/>
      <c r="F757"/>
      <c r="G757"/>
      <c r="H757"/>
      <c r="I757"/>
    </row>
    <row r="758" spans="1:9" x14ac:dyDescent="0.25">
      <c r="A758"/>
      <c r="B758"/>
      <c r="C758"/>
      <c r="D758"/>
      <c r="E758"/>
      <c r="F758"/>
      <c r="G758"/>
      <c r="H758"/>
      <c r="I758"/>
    </row>
    <row r="759" spans="1:9" x14ac:dyDescent="0.25">
      <c r="A759"/>
      <c r="B759"/>
      <c r="C759"/>
      <c r="D759"/>
      <c r="E759"/>
      <c r="F759"/>
      <c r="G759"/>
      <c r="H759"/>
      <c r="I759"/>
    </row>
    <row r="760" spans="1:9" x14ac:dyDescent="0.25">
      <c r="A760"/>
      <c r="B760"/>
      <c r="C760"/>
      <c r="D760"/>
      <c r="E760"/>
      <c r="F760"/>
      <c r="G760"/>
      <c r="H760"/>
      <c r="I760"/>
    </row>
    <row r="761" spans="1:9" x14ac:dyDescent="0.25">
      <c r="A761"/>
      <c r="B761"/>
      <c r="C761"/>
      <c r="D761"/>
      <c r="E761"/>
      <c r="F761"/>
      <c r="G761"/>
      <c r="H761"/>
      <c r="I761"/>
    </row>
    <row r="762" spans="1:9" x14ac:dyDescent="0.25">
      <c r="A762"/>
      <c r="B762"/>
      <c r="C762"/>
      <c r="D762"/>
      <c r="E762"/>
      <c r="F762"/>
      <c r="G762"/>
      <c r="H762"/>
      <c r="I762"/>
    </row>
    <row r="763" spans="1:9" x14ac:dyDescent="0.25">
      <c r="A763"/>
      <c r="B763"/>
      <c r="C763"/>
      <c r="D763"/>
      <c r="E763"/>
      <c r="F763"/>
      <c r="G763"/>
      <c r="H763"/>
      <c r="I763"/>
    </row>
    <row r="764" spans="1:9" x14ac:dyDescent="0.25">
      <c r="A764"/>
      <c r="B764"/>
      <c r="C764"/>
      <c r="D764"/>
      <c r="E764"/>
      <c r="F764"/>
      <c r="G764"/>
      <c r="H764"/>
      <c r="I764"/>
    </row>
    <row r="765" spans="1:9" x14ac:dyDescent="0.25">
      <c r="A765"/>
      <c r="B765"/>
      <c r="C765"/>
      <c r="D765"/>
      <c r="E765"/>
      <c r="F765"/>
      <c r="G765"/>
      <c r="H765"/>
      <c r="I765"/>
    </row>
    <row r="766" spans="1:9" x14ac:dyDescent="0.25">
      <c r="A766"/>
      <c r="B766"/>
      <c r="C766"/>
      <c r="D766"/>
      <c r="E766"/>
      <c r="F766"/>
      <c r="G766"/>
      <c r="H766"/>
      <c r="I766"/>
    </row>
    <row r="767" spans="1:9" x14ac:dyDescent="0.25">
      <c r="A767"/>
      <c r="B767"/>
      <c r="C767"/>
      <c r="D767"/>
      <c r="E767"/>
      <c r="F767"/>
      <c r="G767"/>
      <c r="H767"/>
      <c r="I767"/>
    </row>
    <row r="768" spans="1:9" x14ac:dyDescent="0.25">
      <c r="A768"/>
      <c r="B768"/>
      <c r="C768"/>
      <c r="D768"/>
      <c r="E768"/>
      <c r="F768"/>
      <c r="G768"/>
      <c r="H768"/>
      <c r="I768"/>
    </row>
    <row r="769" spans="1:9" x14ac:dyDescent="0.25">
      <c r="A769"/>
      <c r="B769"/>
      <c r="C769"/>
      <c r="D769"/>
      <c r="E769"/>
      <c r="F769"/>
      <c r="G769"/>
      <c r="H769"/>
      <c r="I769"/>
    </row>
    <row r="770" spans="1:9" x14ac:dyDescent="0.25">
      <c r="A770"/>
      <c r="B770"/>
      <c r="C770"/>
      <c r="D770"/>
      <c r="E770"/>
      <c r="F770"/>
      <c r="G770"/>
      <c r="H770"/>
      <c r="I770"/>
    </row>
    <row r="771" spans="1:9" x14ac:dyDescent="0.25">
      <c r="A771"/>
      <c r="B771"/>
      <c r="C771"/>
      <c r="D771"/>
      <c r="E771"/>
      <c r="F771"/>
      <c r="G771"/>
      <c r="H771"/>
      <c r="I771"/>
    </row>
    <row r="772" spans="1:9" x14ac:dyDescent="0.25">
      <c r="A772"/>
      <c r="B772"/>
      <c r="C772"/>
      <c r="D772"/>
      <c r="E772"/>
      <c r="F772"/>
      <c r="G772"/>
      <c r="H772"/>
      <c r="I772"/>
    </row>
    <row r="773" spans="1:9" x14ac:dyDescent="0.25">
      <c r="A773"/>
      <c r="B773"/>
      <c r="C773"/>
      <c r="D773"/>
      <c r="E773"/>
      <c r="F773"/>
      <c r="G773"/>
      <c r="H773"/>
      <c r="I773"/>
    </row>
    <row r="774" spans="1:9" x14ac:dyDescent="0.25">
      <c r="A774"/>
      <c r="B774"/>
      <c r="C774"/>
      <c r="D774"/>
      <c r="E774"/>
      <c r="F774"/>
      <c r="G774"/>
      <c r="H774"/>
      <c r="I774"/>
    </row>
    <row r="775" spans="1:9" x14ac:dyDescent="0.25">
      <c r="A775"/>
      <c r="B775"/>
      <c r="C775"/>
      <c r="D775"/>
      <c r="E775"/>
      <c r="F775"/>
      <c r="G775"/>
      <c r="H775"/>
      <c r="I775"/>
    </row>
    <row r="776" spans="1:9" x14ac:dyDescent="0.25">
      <c r="A776"/>
      <c r="B776"/>
      <c r="C776"/>
      <c r="D776"/>
      <c r="E776"/>
      <c r="F776"/>
      <c r="G776"/>
      <c r="H776"/>
      <c r="I776"/>
    </row>
    <row r="777" spans="1:9" x14ac:dyDescent="0.25">
      <c r="A777"/>
      <c r="B777"/>
      <c r="C777"/>
      <c r="D777"/>
      <c r="E777"/>
      <c r="F777"/>
      <c r="G777"/>
      <c r="H777"/>
      <c r="I777"/>
    </row>
    <row r="778" spans="1:9" x14ac:dyDescent="0.25">
      <c r="A778"/>
      <c r="B778"/>
      <c r="C778"/>
      <c r="D778"/>
      <c r="E778"/>
      <c r="F778"/>
      <c r="G778"/>
      <c r="H778"/>
      <c r="I778"/>
    </row>
    <row r="779" spans="1:9" x14ac:dyDescent="0.25">
      <c r="A779"/>
      <c r="B779"/>
      <c r="C779"/>
      <c r="D779"/>
      <c r="E779"/>
      <c r="F779"/>
      <c r="G779"/>
      <c r="H779"/>
      <c r="I779"/>
    </row>
    <row r="780" spans="1:9" x14ac:dyDescent="0.25">
      <c r="A780"/>
      <c r="B780"/>
      <c r="C780"/>
      <c r="D780"/>
      <c r="E780"/>
      <c r="F780"/>
      <c r="G780"/>
      <c r="H780"/>
      <c r="I780"/>
    </row>
    <row r="781" spans="1:9" x14ac:dyDescent="0.25">
      <c r="A781"/>
      <c r="B781"/>
      <c r="C781"/>
      <c r="D781"/>
      <c r="E781"/>
      <c r="F781"/>
      <c r="G781"/>
      <c r="H781"/>
      <c r="I781"/>
    </row>
    <row r="782" spans="1:9" x14ac:dyDescent="0.25">
      <c r="A782"/>
      <c r="B782"/>
      <c r="C782"/>
      <c r="D782"/>
      <c r="E782"/>
      <c r="F782"/>
      <c r="G782"/>
      <c r="H782"/>
      <c r="I782"/>
    </row>
    <row r="783" spans="1:9" x14ac:dyDescent="0.25">
      <c r="A783"/>
      <c r="B783"/>
      <c r="C783"/>
      <c r="D783"/>
      <c r="E783"/>
      <c r="F783"/>
      <c r="G783"/>
      <c r="H783"/>
      <c r="I783"/>
    </row>
    <row r="784" spans="1:9" x14ac:dyDescent="0.25">
      <c r="A784"/>
      <c r="B784"/>
      <c r="C784"/>
      <c r="D784"/>
      <c r="E784"/>
      <c r="F784"/>
      <c r="G784"/>
      <c r="H784"/>
      <c r="I784"/>
    </row>
    <row r="785" spans="1:9" x14ac:dyDescent="0.25">
      <c r="A785"/>
      <c r="B785"/>
      <c r="C785"/>
      <c r="D785"/>
      <c r="E785"/>
      <c r="F785"/>
      <c r="G785"/>
      <c r="H785"/>
      <c r="I785"/>
    </row>
    <row r="786" spans="1:9" x14ac:dyDescent="0.25">
      <c r="A786"/>
      <c r="B786"/>
      <c r="C786"/>
      <c r="D786"/>
      <c r="E786"/>
      <c r="F786"/>
      <c r="G786"/>
      <c r="H786"/>
      <c r="I786"/>
    </row>
    <row r="787" spans="1:9" x14ac:dyDescent="0.25">
      <c r="A787"/>
      <c r="B787"/>
      <c r="C787"/>
      <c r="D787"/>
      <c r="E787"/>
      <c r="F787"/>
      <c r="G787"/>
      <c r="H787"/>
      <c r="I787"/>
    </row>
    <row r="788" spans="1:9" x14ac:dyDescent="0.25">
      <c r="A788"/>
      <c r="B788"/>
      <c r="C788"/>
      <c r="D788"/>
      <c r="E788"/>
      <c r="F788"/>
      <c r="G788"/>
      <c r="H788"/>
      <c r="I788"/>
    </row>
    <row r="789" spans="1:9" x14ac:dyDescent="0.25">
      <c r="A789"/>
      <c r="B789"/>
      <c r="C789"/>
      <c r="D789"/>
      <c r="E789"/>
      <c r="F789"/>
      <c r="G789"/>
      <c r="H789"/>
      <c r="I789"/>
    </row>
    <row r="790" spans="1:9" x14ac:dyDescent="0.25">
      <c r="A790"/>
      <c r="B790"/>
      <c r="C790"/>
      <c r="D790"/>
      <c r="E790"/>
      <c r="F790"/>
      <c r="G790"/>
      <c r="H790"/>
      <c r="I790"/>
    </row>
    <row r="791" spans="1:9" x14ac:dyDescent="0.25">
      <c r="A791"/>
      <c r="B791"/>
      <c r="C791"/>
      <c r="D791"/>
      <c r="E791"/>
      <c r="F791"/>
      <c r="G791"/>
      <c r="H791"/>
      <c r="I791"/>
    </row>
    <row r="792" spans="1:9" x14ac:dyDescent="0.25">
      <c r="A792"/>
      <c r="B792"/>
      <c r="C792"/>
      <c r="D792"/>
      <c r="E792"/>
      <c r="F792"/>
      <c r="G792"/>
      <c r="H792"/>
      <c r="I792"/>
    </row>
    <row r="793" spans="1:9" x14ac:dyDescent="0.25">
      <c r="A793"/>
      <c r="B793"/>
      <c r="C793"/>
      <c r="D793"/>
      <c r="E793"/>
      <c r="F793"/>
      <c r="G793"/>
      <c r="H793"/>
      <c r="I793"/>
    </row>
    <row r="794" spans="1:9" x14ac:dyDescent="0.25">
      <c r="A794"/>
      <c r="B794"/>
      <c r="C794"/>
      <c r="D794"/>
      <c r="E794"/>
      <c r="F794"/>
      <c r="G794"/>
      <c r="H794"/>
      <c r="I794"/>
    </row>
    <row r="795" spans="1:9" x14ac:dyDescent="0.25">
      <c r="A795"/>
      <c r="B795"/>
      <c r="C795"/>
      <c r="D795"/>
      <c r="E795"/>
      <c r="F795"/>
      <c r="G795"/>
      <c r="H795"/>
      <c r="I795"/>
    </row>
    <row r="796" spans="1:9" x14ac:dyDescent="0.25">
      <c r="A796"/>
      <c r="B796"/>
      <c r="C796"/>
      <c r="D796"/>
      <c r="E796"/>
      <c r="F796"/>
      <c r="G796"/>
      <c r="H796"/>
      <c r="I796"/>
    </row>
    <row r="797" spans="1:9" x14ac:dyDescent="0.25">
      <c r="A797"/>
      <c r="B797"/>
      <c r="C797"/>
      <c r="D797"/>
      <c r="E797"/>
      <c r="F797"/>
      <c r="G797"/>
      <c r="H797"/>
      <c r="I797"/>
    </row>
    <row r="798" spans="1:9" x14ac:dyDescent="0.25">
      <c r="A798"/>
      <c r="B798"/>
      <c r="C798"/>
      <c r="D798"/>
      <c r="E798"/>
      <c r="F798"/>
      <c r="G798"/>
      <c r="H798"/>
      <c r="I798"/>
    </row>
    <row r="799" spans="1:9" x14ac:dyDescent="0.25">
      <c r="A799"/>
      <c r="B799"/>
      <c r="C799"/>
      <c r="D799"/>
      <c r="E799"/>
      <c r="F799"/>
      <c r="G799"/>
      <c r="H799"/>
      <c r="I799"/>
    </row>
    <row r="800" spans="1:9" x14ac:dyDescent="0.25">
      <c r="A800"/>
      <c r="B800"/>
      <c r="C800"/>
      <c r="D800"/>
      <c r="E800"/>
      <c r="F800"/>
      <c r="G800"/>
      <c r="H800"/>
      <c r="I800"/>
    </row>
    <row r="801" spans="1:9" x14ac:dyDescent="0.25">
      <c r="A801"/>
      <c r="B801"/>
      <c r="C801"/>
      <c r="D801"/>
      <c r="E801"/>
      <c r="F801"/>
      <c r="G801"/>
      <c r="H801"/>
      <c r="I801"/>
    </row>
    <row r="802" spans="1:9" x14ac:dyDescent="0.25">
      <c r="A802"/>
      <c r="B802"/>
      <c r="C802"/>
      <c r="D802"/>
      <c r="E802"/>
      <c r="F802"/>
      <c r="G802"/>
      <c r="H802"/>
      <c r="I802"/>
    </row>
    <row r="803" spans="1:9" x14ac:dyDescent="0.25">
      <c r="A803"/>
      <c r="B803"/>
      <c r="C803"/>
      <c r="D803"/>
      <c r="E803"/>
      <c r="F803"/>
      <c r="G803"/>
      <c r="H803"/>
      <c r="I803"/>
    </row>
    <row r="804" spans="1:9" x14ac:dyDescent="0.25">
      <c r="A804"/>
      <c r="B804"/>
      <c r="C804"/>
      <c r="D804"/>
      <c r="E804"/>
      <c r="F804"/>
      <c r="G804"/>
      <c r="H804"/>
      <c r="I804"/>
    </row>
    <row r="805" spans="1:9" x14ac:dyDescent="0.25">
      <c r="A805"/>
      <c r="B805"/>
      <c r="C805"/>
      <c r="D805"/>
      <c r="E805"/>
      <c r="F805"/>
      <c r="G805"/>
      <c r="H805"/>
      <c r="I805"/>
    </row>
    <row r="806" spans="1:9" x14ac:dyDescent="0.25">
      <c r="A806"/>
      <c r="B806"/>
      <c r="C806"/>
      <c r="D806"/>
      <c r="E806"/>
      <c r="F806"/>
      <c r="G806"/>
      <c r="H806"/>
      <c r="I806"/>
    </row>
    <row r="807" spans="1:9" x14ac:dyDescent="0.25">
      <c r="A807"/>
      <c r="B807"/>
      <c r="C807"/>
      <c r="D807"/>
      <c r="E807"/>
      <c r="F807"/>
      <c r="G807"/>
      <c r="H807"/>
      <c r="I807"/>
    </row>
    <row r="808" spans="1:9" x14ac:dyDescent="0.25">
      <c r="A808"/>
      <c r="B808"/>
      <c r="C808"/>
      <c r="D808"/>
      <c r="E808"/>
      <c r="F808"/>
      <c r="G808"/>
      <c r="H808"/>
      <c r="I808"/>
    </row>
    <row r="809" spans="1:9" x14ac:dyDescent="0.25">
      <c r="A809"/>
      <c r="B809"/>
      <c r="C809"/>
      <c r="D809"/>
      <c r="E809"/>
      <c r="F809"/>
      <c r="G809"/>
      <c r="H809"/>
      <c r="I809"/>
    </row>
    <row r="810" spans="1:9" x14ac:dyDescent="0.25">
      <c r="A810"/>
      <c r="B810"/>
      <c r="C810"/>
      <c r="D810"/>
      <c r="E810"/>
      <c r="F810"/>
      <c r="G810"/>
      <c r="H810"/>
      <c r="I810"/>
    </row>
    <row r="811" spans="1:9" x14ac:dyDescent="0.25">
      <c r="A811"/>
      <c r="B811"/>
      <c r="C811"/>
      <c r="D811"/>
      <c r="E811"/>
      <c r="F811"/>
      <c r="G811"/>
      <c r="H811"/>
      <c r="I811"/>
    </row>
    <row r="812" spans="1:9" x14ac:dyDescent="0.25">
      <c r="A812"/>
      <c r="B812"/>
      <c r="C812"/>
      <c r="D812"/>
      <c r="E812"/>
      <c r="F812"/>
      <c r="G812"/>
      <c r="H812"/>
      <c r="I812"/>
    </row>
    <row r="813" spans="1:9" x14ac:dyDescent="0.25">
      <c r="A813"/>
      <c r="B813"/>
      <c r="C813"/>
      <c r="D813"/>
      <c r="E813"/>
      <c r="F813"/>
      <c r="G813"/>
      <c r="H813"/>
      <c r="I813"/>
    </row>
    <row r="814" spans="1:9" x14ac:dyDescent="0.25">
      <c r="A814"/>
      <c r="B814"/>
      <c r="C814"/>
      <c r="D814"/>
      <c r="E814"/>
      <c r="F814"/>
      <c r="G814"/>
      <c r="H814"/>
      <c r="I814"/>
    </row>
    <row r="815" spans="1:9" x14ac:dyDescent="0.25">
      <c r="A815"/>
      <c r="B815"/>
      <c r="C815"/>
      <c r="D815"/>
      <c r="E815"/>
      <c r="F815"/>
      <c r="G815"/>
      <c r="H815"/>
      <c r="I815"/>
    </row>
    <row r="816" spans="1:9" x14ac:dyDescent="0.25">
      <c r="A816"/>
      <c r="B816"/>
      <c r="C816"/>
      <c r="D816"/>
      <c r="E816"/>
      <c r="F816"/>
      <c r="G816"/>
      <c r="H816"/>
      <c r="I816"/>
    </row>
    <row r="817" spans="1:9" x14ac:dyDescent="0.25">
      <c r="A817"/>
      <c r="B817"/>
      <c r="C817"/>
      <c r="D817"/>
      <c r="E817"/>
      <c r="F817"/>
      <c r="G817"/>
      <c r="H817"/>
      <c r="I817"/>
    </row>
    <row r="818" spans="1:9" x14ac:dyDescent="0.25">
      <c r="A818"/>
      <c r="B818"/>
      <c r="C818"/>
      <c r="D818"/>
      <c r="E818"/>
      <c r="F818"/>
      <c r="G818"/>
      <c r="H818"/>
      <c r="I818"/>
    </row>
    <row r="819" spans="1:9" x14ac:dyDescent="0.25">
      <c r="A819"/>
      <c r="B819"/>
      <c r="C819"/>
      <c r="D819"/>
      <c r="E819"/>
      <c r="F819"/>
      <c r="G819"/>
      <c r="H819"/>
      <c r="I819"/>
    </row>
    <row r="820" spans="1:9" x14ac:dyDescent="0.25">
      <c r="A820"/>
      <c r="B820"/>
      <c r="C820"/>
      <c r="D820"/>
      <c r="E820"/>
      <c r="F820"/>
      <c r="G820"/>
      <c r="H820"/>
      <c r="I820"/>
    </row>
    <row r="821" spans="1:9" x14ac:dyDescent="0.25">
      <c r="A821"/>
      <c r="B821"/>
      <c r="C821"/>
      <c r="D821"/>
      <c r="E821"/>
      <c r="F821"/>
      <c r="G821"/>
      <c r="H821"/>
      <c r="I821"/>
    </row>
    <row r="822" spans="1:9" x14ac:dyDescent="0.25">
      <c r="A822"/>
      <c r="B822"/>
      <c r="C822"/>
      <c r="D822"/>
      <c r="E822"/>
      <c r="F822"/>
      <c r="G822"/>
      <c r="H822"/>
      <c r="I822"/>
    </row>
    <row r="823" spans="1:9" x14ac:dyDescent="0.25">
      <c r="A823"/>
      <c r="B823"/>
      <c r="C823"/>
      <c r="D823"/>
      <c r="E823"/>
      <c r="F823"/>
      <c r="G823"/>
      <c r="H823"/>
      <c r="I823"/>
    </row>
    <row r="824" spans="1:9" x14ac:dyDescent="0.25">
      <c r="A824"/>
      <c r="B824"/>
      <c r="C824"/>
      <c r="D824"/>
      <c r="E824"/>
      <c r="F824"/>
      <c r="G824"/>
      <c r="H824"/>
      <c r="I824"/>
    </row>
    <row r="825" spans="1:9" x14ac:dyDescent="0.25">
      <c r="A825"/>
      <c r="B825"/>
      <c r="C825"/>
      <c r="D825"/>
      <c r="E825"/>
      <c r="F825"/>
      <c r="G825"/>
      <c r="H825"/>
      <c r="I825"/>
    </row>
    <row r="826" spans="1:9" x14ac:dyDescent="0.25">
      <c r="A826"/>
      <c r="B826"/>
      <c r="C826"/>
      <c r="D826"/>
      <c r="E826"/>
      <c r="F826"/>
      <c r="G826"/>
      <c r="H826"/>
      <c r="I826"/>
    </row>
    <row r="827" spans="1:9" x14ac:dyDescent="0.25">
      <c r="A827"/>
      <c r="B827"/>
      <c r="C827"/>
      <c r="D827"/>
      <c r="E827"/>
      <c r="F827"/>
      <c r="G827"/>
      <c r="H827"/>
      <c r="I827"/>
    </row>
    <row r="828" spans="1:9" x14ac:dyDescent="0.25">
      <c r="A828"/>
      <c r="B828"/>
      <c r="C828"/>
      <c r="D828"/>
      <c r="E828"/>
      <c r="F828"/>
      <c r="G828"/>
      <c r="H828"/>
      <c r="I828"/>
    </row>
    <row r="829" spans="1:9" x14ac:dyDescent="0.25">
      <c r="A829"/>
      <c r="B829"/>
      <c r="C829"/>
      <c r="D829"/>
      <c r="E829"/>
      <c r="F829"/>
      <c r="G829"/>
      <c r="H829"/>
      <c r="I829"/>
    </row>
    <row r="830" spans="1:9" x14ac:dyDescent="0.25">
      <c r="A830"/>
      <c r="B830"/>
      <c r="C830"/>
      <c r="D830"/>
      <c r="E830"/>
      <c r="F830"/>
      <c r="G830"/>
      <c r="H830"/>
      <c r="I830"/>
    </row>
    <row r="831" spans="1:9" x14ac:dyDescent="0.25">
      <c r="A831"/>
      <c r="B831"/>
      <c r="C831"/>
      <c r="D831"/>
      <c r="E831"/>
      <c r="F831"/>
      <c r="G831"/>
      <c r="H831"/>
      <c r="I831"/>
    </row>
    <row r="832" spans="1:9" x14ac:dyDescent="0.25">
      <c r="A832"/>
      <c r="B832"/>
      <c r="C832"/>
      <c r="D832"/>
      <c r="E832"/>
      <c r="F832"/>
      <c r="G832"/>
      <c r="H832"/>
      <c r="I832"/>
    </row>
    <row r="833" spans="1:9" x14ac:dyDescent="0.25">
      <c r="A833"/>
      <c r="B833"/>
      <c r="C833"/>
      <c r="D833"/>
      <c r="E833"/>
      <c r="F833"/>
      <c r="G833"/>
      <c r="H833"/>
      <c r="I833"/>
    </row>
    <row r="834" spans="1:9" x14ac:dyDescent="0.25">
      <c r="A834"/>
      <c r="B834"/>
      <c r="C834"/>
      <c r="D834"/>
      <c r="E834"/>
      <c r="F834"/>
      <c r="G834"/>
      <c r="H834"/>
      <c r="I834"/>
    </row>
    <row r="835" spans="1:9" x14ac:dyDescent="0.25">
      <c r="A835"/>
      <c r="B835"/>
      <c r="C835"/>
      <c r="D835"/>
      <c r="E835"/>
      <c r="F835"/>
      <c r="G835"/>
      <c r="H835"/>
      <c r="I835"/>
    </row>
    <row r="836" spans="1:9" x14ac:dyDescent="0.25">
      <c r="A836"/>
      <c r="B836"/>
      <c r="C836"/>
      <c r="D836"/>
      <c r="E836"/>
      <c r="F836"/>
      <c r="G836"/>
      <c r="H836"/>
      <c r="I836"/>
    </row>
    <row r="837" spans="1:9" x14ac:dyDescent="0.25">
      <c r="A837"/>
      <c r="B837"/>
      <c r="C837"/>
      <c r="D837"/>
      <c r="E837"/>
      <c r="F837"/>
      <c r="G837"/>
      <c r="H837"/>
      <c r="I837"/>
    </row>
    <row r="838" spans="1:9" x14ac:dyDescent="0.25">
      <c r="A838"/>
      <c r="B838"/>
      <c r="C838"/>
      <c r="D838"/>
      <c r="E838"/>
      <c r="F838"/>
      <c r="G838"/>
      <c r="H838"/>
      <c r="I838"/>
    </row>
    <row r="839" spans="1:9" x14ac:dyDescent="0.25">
      <c r="A839"/>
      <c r="B839"/>
      <c r="C839"/>
      <c r="D839"/>
      <c r="E839"/>
      <c r="F839"/>
      <c r="G839"/>
      <c r="H839"/>
      <c r="I839"/>
    </row>
    <row r="840" spans="1:9" x14ac:dyDescent="0.25">
      <c r="A840"/>
      <c r="B840"/>
      <c r="C840"/>
      <c r="D840"/>
      <c r="E840"/>
      <c r="F840"/>
      <c r="G840"/>
      <c r="H840"/>
      <c r="I840"/>
    </row>
    <row r="841" spans="1:9" x14ac:dyDescent="0.25">
      <c r="A841"/>
      <c r="B841"/>
      <c r="C841"/>
      <c r="D841"/>
      <c r="E841"/>
      <c r="F841"/>
      <c r="G841"/>
      <c r="H841"/>
      <c r="I841"/>
    </row>
    <row r="842" spans="1:9" x14ac:dyDescent="0.25">
      <c r="A842"/>
      <c r="B842"/>
      <c r="C842"/>
      <c r="D842"/>
      <c r="E842"/>
      <c r="F842"/>
      <c r="G842"/>
      <c r="H842"/>
      <c r="I842"/>
    </row>
    <row r="843" spans="1:9" x14ac:dyDescent="0.25">
      <c r="A843"/>
      <c r="B843"/>
      <c r="C843"/>
      <c r="D843"/>
      <c r="E843"/>
      <c r="F843"/>
      <c r="G843"/>
      <c r="H843"/>
      <c r="I843"/>
    </row>
    <row r="844" spans="1:9" x14ac:dyDescent="0.25">
      <c r="A844"/>
      <c r="B844"/>
      <c r="C844"/>
      <c r="D844"/>
      <c r="E844"/>
      <c r="F844"/>
      <c r="G844"/>
      <c r="H844"/>
      <c r="I844"/>
    </row>
    <row r="845" spans="1:9" x14ac:dyDescent="0.25">
      <c r="A845"/>
      <c r="B845"/>
      <c r="C845"/>
      <c r="D845"/>
      <c r="E845"/>
      <c r="F845"/>
      <c r="G845"/>
      <c r="H845"/>
      <c r="I845"/>
    </row>
    <row r="846" spans="1:9" x14ac:dyDescent="0.25">
      <c r="A846"/>
      <c r="B846"/>
      <c r="C846"/>
      <c r="D846"/>
      <c r="E846"/>
      <c r="F846"/>
      <c r="G846"/>
      <c r="H846"/>
      <c r="I846"/>
    </row>
    <row r="847" spans="1:9" x14ac:dyDescent="0.25">
      <c r="A847"/>
      <c r="B847"/>
      <c r="C847"/>
      <c r="D847"/>
      <c r="E847"/>
      <c r="F847"/>
      <c r="G847"/>
      <c r="H847"/>
      <c r="I847"/>
    </row>
    <row r="848" spans="1:9" x14ac:dyDescent="0.25">
      <c r="A848"/>
      <c r="B848"/>
      <c r="C848"/>
      <c r="D848"/>
      <c r="E848"/>
      <c r="F848"/>
      <c r="G848"/>
      <c r="H848"/>
      <c r="I848"/>
    </row>
    <row r="849" spans="1:9" x14ac:dyDescent="0.25">
      <c r="A849"/>
      <c r="B849"/>
      <c r="C849"/>
      <c r="D849"/>
      <c r="E849"/>
      <c r="F849"/>
      <c r="G849"/>
      <c r="H849"/>
      <c r="I849"/>
    </row>
    <row r="850" spans="1:9" x14ac:dyDescent="0.25">
      <c r="A850"/>
      <c r="B850"/>
      <c r="C850"/>
      <c r="D850"/>
      <c r="E850"/>
      <c r="F850"/>
      <c r="G850"/>
      <c r="H850"/>
      <c r="I850"/>
    </row>
    <row r="851" spans="1:9" x14ac:dyDescent="0.25">
      <c r="A851"/>
      <c r="B851"/>
      <c r="C851"/>
      <c r="D851"/>
      <c r="E851"/>
      <c r="F851"/>
      <c r="G851"/>
      <c r="H851"/>
      <c r="I851"/>
    </row>
    <row r="852" spans="1:9" x14ac:dyDescent="0.25">
      <c r="A852"/>
      <c r="B852"/>
      <c r="C852"/>
      <c r="D852"/>
      <c r="E852"/>
      <c r="F852"/>
      <c r="G852"/>
      <c r="H852"/>
      <c r="I852"/>
    </row>
    <row r="853" spans="1:9" x14ac:dyDescent="0.25">
      <c r="A853"/>
      <c r="B853"/>
      <c r="C853"/>
      <c r="D853"/>
      <c r="E853"/>
      <c r="F853"/>
      <c r="G853"/>
      <c r="H853"/>
      <c r="I853"/>
    </row>
    <row r="854" spans="1:9" x14ac:dyDescent="0.25">
      <c r="A854"/>
      <c r="B854"/>
      <c r="C854"/>
      <c r="D854"/>
      <c r="E854"/>
      <c r="F854"/>
      <c r="G854"/>
      <c r="H854"/>
      <c r="I854"/>
    </row>
    <row r="855" spans="1:9" x14ac:dyDescent="0.25">
      <c r="A855"/>
      <c r="B855"/>
      <c r="C855"/>
      <c r="D855"/>
      <c r="E855"/>
      <c r="F855"/>
      <c r="G855"/>
      <c r="H855"/>
      <c r="I855"/>
    </row>
    <row r="856" spans="1:9" x14ac:dyDescent="0.25">
      <c r="A856"/>
      <c r="B856"/>
      <c r="C856"/>
      <c r="D856"/>
      <c r="E856"/>
      <c r="F856"/>
      <c r="G856"/>
      <c r="H856"/>
      <c r="I856"/>
    </row>
    <row r="857" spans="1:9" x14ac:dyDescent="0.25">
      <c r="A857"/>
      <c r="B857"/>
      <c r="C857"/>
      <c r="D857"/>
      <c r="E857"/>
      <c r="F857"/>
      <c r="G857"/>
      <c r="H857"/>
      <c r="I857"/>
    </row>
    <row r="858" spans="1:9" x14ac:dyDescent="0.25">
      <c r="A858"/>
      <c r="B858"/>
      <c r="C858"/>
      <c r="D858"/>
      <c r="E858"/>
      <c r="F858"/>
      <c r="G858"/>
      <c r="H858"/>
      <c r="I858"/>
    </row>
    <row r="859" spans="1:9" x14ac:dyDescent="0.25">
      <c r="A859"/>
      <c r="B859"/>
      <c r="C859"/>
      <c r="D859"/>
      <c r="E859"/>
      <c r="F859"/>
      <c r="G859"/>
      <c r="H859"/>
      <c r="I859"/>
    </row>
    <row r="860" spans="1:9" x14ac:dyDescent="0.25">
      <c r="A860"/>
      <c r="B860"/>
      <c r="C860"/>
      <c r="D860"/>
      <c r="E860"/>
      <c r="F860"/>
      <c r="G860"/>
      <c r="H860"/>
      <c r="I860"/>
    </row>
    <row r="861" spans="1:9" x14ac:dyDescent="0.25">
      <c r="A861"/>
      <c r="B861"/>
      <c r="C861"/>
      <c r="D861"/>
      <c r="E861"/>
      <c r="F861"/>
      <c r="G861"/>
      <c r="H861"/>
      <c r="I861"/>
    </row>
    <row r="862" spans="1:9" x14ac:dyDescent="0.25">
      <c r="A862"/>
      <c r="B862"/>
      <c r="C862"/>
      <c r="D862"/>
      <c r="E862"/>
      <c r="F862"/>
      <c r="G862"/>
      <c r="H862"/>
      <c r="I862"/>
    </row>
    <row r="863" spans="1:9" x14ac:dyDescent="0.25">
      <c r="A863"/>
      <c r="B863"/>
      <c r="C863"/>
      <c r="D863"/>
      <c r="E863"/>
      <c r="F863"/>
      <c r="G863"/>
      <c r="H863"/>
      <c r="I863"/>
    </row>
    <row r="864" spans="1:9" x14ac:dyDescent="0.25">
      <c r="A864"/>
      <c r="B864"/>
      <c r="C864"/>
      <c r="D864"/>
      <c r="E864"/>
      <c r="F864"/>
      <c r="G864"/>
      <c r="H864"/>
      <c r="I864"/>
    </row>
    <row r="865" spans="1:9" x14ac:dyDescent="0.25">
      <c r="A865"/>
      <c r="B865"/>
      <c r="C865"/>
      <c r="D865"/>
      <c r="E865"/>
      <c r="F865"/>
      <c r="G865"/>
      <c r="H865"/>
      <c r="I865"/>
    </row>
    <row r="866" spans="1:9" x14ac:dyDescent="0.25">
      <c r="A866"/>
      <c r="B866"/>
      <c r="C866"/>
      <c r="D866"/>
      <c r="E866"/>
      <c r="F866"/>
      <c r="G866"/>
      <c r="H866"/>
      <c r="I866"/>
    </row>
    <row r="867" spans="1:9" x14ac:dyDescent="0.25">
      <c r="A867"/>
      <c r="B867"/>
      <c r="C867"/>
      <c r="D867"/>
      <c r="E867"/>
      <c r="F867"/>
      <c r="G867"/>
      <c r="H867"/>
      <c r="I867"/>
    </row>
    <row r="868" spans="1:9" x14ac:dyDescent="0.25">
      <c r="A868"/>
      <c r="B868"/>
      <c r="C868"/>
      <c r="D868"/>
      <c r="E868"/>
      <c r="F868"/>
      <c r="G868"/>
      <c r="H868"/>
      <c r="I868"/>
    </row>
    <row r="869" spans="1:9" x14ac:dyDescent="0.25">
      <c r="A869"/>
      <c r="B869"/>
      <c r="C869"/>
      <c r="D869"/>
      <c r="E869"/>
      <c r="F869"/>
      <c r="G869"/>
      <c r="H869"/>
      <c r="I869"/>
    </row>
    <row r="870" spans="1:9" x14ac:dyDescent="0.25">
      <c r="A870"/>
      <c r="B870"/>
      <c r="C870"/>
      <c r="D870"/>
      <c r="E870"/>
      <c r="F870"/>
      <c r="G870"/>
      <c r="H870"/>
      <c r="I870"/>
    </row>
    <row r="871" spans="1:9" x14ac:dyDescent="0.25">
      <c r="A871"/>
      <c r="B871"/>
      <c r="C871"/>
      <c r="D871"/>
      <c r="E871"/>
      <c r="F871"/>
      <c r="G871"/>
      <c r="H871"/>
      <c r="I871"/>
    </row>
    <row r="872" spans="1:9" x14ac:dyDescent="0.25">
      <c r="A872"/>
      <c r="B872"/>
      <c r="C872"/>
      <c r="D872"/>
      <c r="E872"/>
      <c r="F872"/>
      <c r="G872"/>
      <c r="H872"/>
      <c r="I872"/>
    </row>
    <row r="873" spans="1:9" x14ac:dyDescent="0.25">
      <c r="A873"/>
      <c r="B873"/>
      <c r="C873"/>
      <c r="D873"/>
      <c r="E873"/>
      <c r="F873"/>
      <c r="G873"/>
      <c r="H873"/>
      <c r="I873"/>
    </row>
    <row r="874" spans="1:9" x14ac:dyDescent="0.25">
      <c r="A874"/>
      <c r="B874"/>
      <c r="C874"/>
      <c r="D874"/>
      <c r="E874"/>
      <c r="F874"/>
      <c r="G874"/>
      <c r="H874"/>
      <c r="I874"/>
    </row>
    <row r="875" spans="1:9" x14ac:dyDescent="0.25">
      <c r="A875"/>
      <c r="B875"/>
      <c r="C875"/>
      <c r="D875"/>
      <c r="E875"/>
      <c r="F875"/>
      <c r="G875"/>
      <c r="H875"/>
      <c r="I875"/>
    </row>
    <row r="876" spans="1:9" x14ac:dyDescent="0.25">
      <c r="A876"/>
      <c r="B876"/>
      <c r="C876"/>
      <c r="D876"/>
      <c r="E876"/>
      <c r="F876"/>
      <c r="G876"/>
      <c r="H876"/>
      <c r="I876"/>
    </row>
    <row r="877" spans="1:9" x14ac:dyDescent="0.25">
      <c r="A877"/>
      <c r="B877"/>
      <c r="C877"/>
      <c r="D877"/>
      <c r="E877"/>
      <c r="F877"/>
      <c r="G877"/>
      <c r="H877"/>
      <c r="I877"/>
    </row>
  </sheetData>
  <printOptions horizontalCentered="1"/>
  <pageMargins left="0.25" right="0.25" top="0.75" bottom="0.75" header="0.3" footer="0.3"/>
  <pageSetup paperSize="9" scale="64" fitToHeight="3" orientation="portrait" r:id="rId2"/>
  <drawing r:id="rId3"/>
  <extLst>
    <ext xmlns:x14="http://schemas.microsoft.com/office/spreadsheetml/2009/9/main" uri="{A8765BA9-456A-4dab-B4F3-ACF838C121DE}">
      <x14:slicerList>
        <x14:slicer r:id="rId4"/>
      </x14:slicerList>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E98C6-CA85-4599-BA41-6C7E03CDE78B}">
  <sheetPr>
    <pageSetUpPr fitToPage="1"/>
  </sheetPr>
  <dimension ref="A9:N877"/>
  <sheetViews>
    <sheetView showGridLines="0" view="pageBreakPreview" topLeftCell="A37" zoomScale="85" zoomScaleNormal="100" zoomScaleSheetLayoutView="85" workbookViewId="0">
      <selection activeCell="J73" sqref="J73"/>
    </sheetView>
  </sheetViews>
  <sheetFormatPr defaultRowHeight="15" x14ac:dyDescent="0.25"/>
  <cols>
    <col min="1" max="1" width="13.28515625" style="79" bestFit="1" customWidth="1"/>
    <col min="2" max="2" width="16.140625" style="191" bestFit="1" customWidth="1"/>
    <col min="3" max="5" width="11.5703125" style="192" bestFit="1" customWidth="1"/>
    <col min="6" max="6" width="13.5703125" style="79" bestFit="1" customWidth="1"/>
    <col min="7" max="7" width="18.28515625" style="192" bestFit="1" customWidth="1"/>
    <col min="8" max="8" width="13.28515625" style="192" bestFit="1" customWidth="1"/>
    <col min="9" max="9" width="16.42578125" style="79" bestFit="1" customWidth="1"/>
    <col min="10" max="10" width="28.85546875" style="79" bestFit="1" customWidth="1"/>
    <col min="11" max="13" width="9.140625" style="79"/>
    <col min="14" max="14" width="24.7109375" style="79" bestFit="1" customWidth="1"/>
    <col min="15" max="16384" width="9.140625" style="79"/>
  </cols>
  <sheetData>
    <row r="9" spans="14:14" x14ac:dyDescent="0.25">
      <c r="N9" s="79" t="s">
        <v>1177</v>
      </c>
    </row>
    <row r="10" spans="14:14" x14ac:dyDescent="0.25">
      <c r="N10" s="79" t="s">
        <v>1173</v>
      </c>
    </row>
    <row r="11" spans="14:14" x14ac:dyDescent="0.25">
      <c r="N11" s="79">
        <f>COUNT(B18:B162)</f>
        <v>55</v>
      </c>
    </row>
    <row r="12" spans="14:14" x14ac:dyDescent="0.25">
      <c r="N12" s="79" t="s">
        <v>1164</v>
      </c>
    </row>
    <row r="13" spans="14:14" x14ac:dyDescent="0.25">
      <c r="N13" s="79" t="s">
        <v>1301</v>
      </c>
    </row>
    <row r="14" spans="14:14" x14ac:dyDescent="0.25">
      <c r="N14" s="226">
        <f>GETPIVOTDATA("Sum of TOTAL UNIT VALUE (SEMI FINISHED)",'PROJECT SUMMARY DASH'!$A$1,"SELLING PHASE NAME","R 6")</f>
        <v>516221240.95984352</v>
      </c>
    </row>
    <row r="18" spans="1:10" s="160" customFormat="1" ht="60" x14ac:dyDescent="0.25">
      <c r="A18" s="160" t="s">
        <v>733</v>
      </c>
      <c r="B18" s="160" t="s">
        <v>1303</v>
      </c>
      <c r="C18" s="160" t="s">
        <v>713</v>
      </c>
      <c r="D18" s="160" t="s">
        <v>1302</v>
      </c>
      <c r="E18" s="225" t="s">
        <v>1151</v>
      </c>
      <c r="F18" s="225" t="s">
        <v>1152</v>
      </c>
      <c r="G18" s="160" t="s">
        <v>1298</v>
      </c>
      <c r="H18" s="160" t="s">
        <v>1299</v>
      </c>
      <c r="I18" s="160" t="s">
        <v>1300</v>
      </c>
      <c r="J18" s="290" t="str">
        <f>Table1[[#Headers],[NO. OF BEDROOMS]]</f>
        <v>NO. OF BEDROOMS</v>
      </c>
    </row>
    <row r="19" spans="1:10" x14ac:dyDescent="0.25">
      <c r="A19" s="121" t="s">
        <v>734</v>
      </c>
      <c r="B19" s="191">
        <v>52240.500000000007</v>
      </c>
      <c r="C19" s="191">
        <v>135</v>
      </c>
      <c r="D19" s="191">
        <v>59.482100000000003</v>
      </c>
      <c r="E19" s="122">
        <v>1025433.6328665002</v>
      </c>
      <c r="F19" s="122">
        <v>686621.59629365266</v>
      </c>
      <c r="G19" s="122">
        <v>8305901.1328665009</v>
      </c>
      <c r="H19" s="122">
        <v>8913401.1328665018</v>
      </c>
      <c r="I19" s="122">
        <v>9318401.1328665018</v>
      </c>
      <c r="J19" s="79" t="str">
        <f>VLOOKUP(A19,Table1[[Unit Number]:[NO. OF BEDROOMS]],2,FALSE)</f>
        <v>2 BEDROOM</v>
      </c>
    </row>
    <row r="20" spans="1:10" x14ac:dyDescent="0.25">
      <c r="A20" s="121" t="s">
        <v>742</v>
      </c>
      <c r="B20" s="191">
        <v>52297.500000000007</v>
      </c>
      <c r="C20" s="191">
        <v>136</v>
      </c>
      <c r="D20" s="191"/>
      <c r="E20" s="122">
        <v>0</v>
      </c>
      <c r="F20" s="122">
        <v>604559.10000000009</v>
      </c>
      <c r="G20" s="122">
        <v>7340460.0000000009</v>
      </c>
      <c r="H20" s="122">
        <v>7952460.0000000009</v>
      </c>
      <c r="I20" s="122">
        <v>8360460.0000000009</v>
      </c>
      <c r="J20" s="79" t="str">
        <f>VLOOKUP(A20,Table1[[Unit Number]:[NO. OF BEDROOMS]],2,FALSE)</f>
        <v>2 BEDROOM</v>
      </c>
    </row>
    <row r="21" spans="1:10" x14ac:dyDescent="0.25">
      <c r="A21" s="121" t="s">
        <v>258</v>
      </c>
      <c r="B21" s="191">
        <v>50758.500000000007</v>
      </c>
      <c r="C21" s="191">
        <v>112</v>
      </c>
      <c r="D21" s="191"/>
      <c r="E21" s="122">
        <v>0</v>
      </c>
      <c r="F21" s="122">
        <v>483220.9200000001</v>
      </c>
      <c r="G21" s="122">
        <v>5912952.0000000009</v>
      </c>
      <c r="H21" s="122">
        <v>6416952.0000000009</v>
      </c>
      <c r="I21" s="122">
        <v>6752952.0000000009</v>
      </c>
      <c r="J21" s="79" t="str">
        <f>VLOOKUP(A21,Table1[[Unit Number]:[NO. OF BEDROOMS]],2,FALSE)</f>
        <v>2 BEDROOM</v>
      </c>
    </row>
    <row r="22" spans="1:10" x14ac:dyDescent="0.25">
      <c r="A22" s="121" t="s">
        <v>259</v>
      </c>
      <c r="B22" s="191">
        <v>50758.500000000007</v>
      </c>
      <c r="C22" s="191">
        <v>122</v>
      </c>
      <c r="D22" s="191"/>
      <c r="E22" s="122">
        <v>0</v>
      </c>
      <c r="F22" s="122">
        <v>526365.64500000014</v>
      </c>
      <c r="G22" s="122">
        <v>6420537.0000000009</v>
      </c>
      <c r="H22" s="122">
        <v>6969537.0000000009</v>
      </c>
      <c r="I22" s="122">
        <v>7335537.0000000009</v>
      </c>
      <c r="J22" s="79" t="str">
        <f>VLOOKUP(A22,Table1[[Unit Number]:[NO. OF BEDROOMS]],2,FALSE)</f>
        <v>2 BEDROOM</v>
      </c>
    </row>
    <row r="23" spans="1:10" x14ac:dyDescent="0.25">
      <c r="A23" s="121" t="s">
        <v>271</v>
      </c>
      <c r="B23" s="191">
        <v>50758.500000000007</v>
      </c>
      <c r="C23" s="191">
        <v>122</v>
      </c>
      <c r="D23" s="191"/>
      <c r="E23" s="122">
        <v>0</v>
      </c>
      <c r="F23" s="122">
        <v>526365.64500000014</v>
      </c>
      <c r="G23" s="122">
        <v>6420537.0000000009</v>
      </c>
      <c r="H23" s="122">
        <v>6969537.0000000009</v>
      </c>
      <c r="I23" s="122">
        <v>7335537.0000000009</v>
      </c>
      <c r="J23" s="79" t="str">
        <f>VLOOKUP(A23,Table1[[Unit Number]:[NO. OF BEDROOMS]],2,FALSE)</f>
        <v>2 BEDROOM</v>
      </c>
    </row>
    <row r="24" spans="1:10" x14ac:dyDescent="0.25">
      <c r="A24" s="121" t="s">
        <v>322</v>
      </c>
      <c r="B24" s="191">
        <v>50815.500000000007</v>
      </c>
      <c r="C24" s="191">
        <v>121</v>
      </c>
      <c r="D24" s="191">
        <v>31.597200000000001</v>
      </c>
      <c r="E24" s="122">
        <v>529857.08047800011</v>
      </c>
      <c r="F24" s="122">
        <v>567675.26934063016</v>
      </c>
      <c r="G24" s="122">
        <v>6906532.5804780014</v>
      </c>
      <c r="H24" s="122">
        <v>7451032.5804780014</v>
      </c>
      <c r="I24" s="122">
        <v>7814032.5804780014</v>
      </c>
      <c r="J24" s="79" t="str">
        <f>VLOOKUP(A24,Table1[[Unit Number]:[NO. OF BEDROOMS]],2,FALSE)</f>
        <v>2 BEDROOM</v>
      </c>
    </row>
    <row r="25" spans="1:10" x14ac:dyDescent="0.25">
      <c r="A25" s="121" t="s">
        <v>336</v>
      </c>
      <c r="B25" s="191">
        <v>50815.500000000007</v>
      </c>
      <c r="C25" s="191">
        <v>121</v>
      </c>
      <c r="D25" s="191">
        <v>31.597899999999999</v>
      </c>
      <c r="E25" s="122">
        <v>529868.81885849999</v>
      </c>
      <c r="F25" s="122">
        <v>567676.2671029726</v>
      </c>
      <c r="G25" s="122">
        <v>6906544.3188585006</v>
      </c>
      <c r="H25" s="122">
        <v>7451044.3188585006</v>
      </c>
      <c r="I25" s="122">
        <v>7814044.3188585006</v>
      </c>
      <c r="J25" s="79" t="str">
        <f>VLOOKUP(A25,Table1[[Unit Number]:[NO. OF BEDROOMS]],2,FALSE)</f>
        <v>2 BEDROOM</v>
      </c>
    </row>
    <row r="26" spans="1:10" x14ac:dyDescent="0.25">
      <c r="A26" s="121" t="s">
        <v>779</v>
      </c>
      <c r="B26" s="191">
        <v>52297.500000000007</v>
      </c>
      <c r="C26" s="191">
        <v>119</v>
      </c>
      <c r="D26" s="191"/>
      <c r="E26" s="122">
        <v>0</v>
      </c>
      <c r="F26" s="122">
        <v>528989.21250000014</v>
      </c>
      <c r="G26" s="122">
        <v>6451402.5000000009</v>
      </c>
      <c r="H26" s="122">
        <v>6986902.5000000009</v>
      </c>
      <c r="I26" s="122">
        <v>7343902.5000000009</v>
      </c>
      <c r="J26" s="79" t="str">
        <f>VLOOKUP(A26,Table1[[Unit Number]:[NO. OF BEDROOMS]],2,FALSE)</f>
        <v>2 BEDROOM</v>
      </c>
    </row>
    <row r="27" spans="1:10" x14ac:dyDescent="0.25">
      <c r="A27" s="121" t="s">
        <v>780</v>
      </c>
      <c r="B27" s="191">
        <v>52297.500000000007</v>
      </c>
      <c r="C27" s="191">
        <v>110</v>
      </c>
      <c r="D27" s="191"/>
      <c r="E27" s="122">
        <v>0</v>
      </c>
      <c r="F27" s="122">
        <v>488981.62500000012</v>
      </c>
      <c r="G27" s="122">
        <v>5980725.0000000009</v>
      </c>
      <c r="H27" s="122">
        <v>6475725.0000000009</v>
      </c>
      <c r="I27" s="122">
        <v>6805725.0000000009</v>
      </c>
      <c r="J27" s="79" t="str">
        <f>VLOOKUP(A27,Table1[[Unit Number]:[NO. OF BEDROOMS]],2,FALSE)</f>
        <v>2 BEDROOM</v>
      </c>
    </row>
    <row r="28" spans="1:10" x14ac:dyDescent="0.25">
      <c r="A28" s="121" t="s">
        <v>784</v>
      </c>
      <c r="B28" s="191">
        <v>52297.500000000007</v>
      </c>
      <c r="C28" s="191">
        <v>110</v>
      </c>
      <c r="D28" s="191"/>
      <c r="E28" s="122">
        <v>0</v>
      </c>
      <c r="F28" s="122">
        <v>488981.62500000012</v>
      </c>
      <c r="G28" s="122">
        <v>5980725.0000000009</v>
      </c>
      <c r="H28" s="122">
        <v>6475725.0000000009</v>
      </c>
      <c r="I28" s="122">
        <v>6805725.0000000009</v>
      </c>
      <c r="J28" s="79" t="str">
        <f>VLOOKUP(A28,Table1[[Unit Number]:[NO. OF BEDROOMS]],2,FALSE)</f>
        <v>2 BEDROOM</v>
      </c>
    </row>
    <row r="29" spans="1:10" x14ac:dyDescent="0.25">
      <c r="A29" s="121" t="s">
        <v>368</v>
      </c>
      <c r="B29" s="191">
        <v>50815.500000000007</v>
      </c>
      <c r="C29" s="191">
        <v>116</v>
      </c>
      <c r="D29" s="191">
        <v>42.098799999999997</v>
      </c>
      <c r="E29" s="122">
        <v>705959.61856199999</v>
      </c>
      <c r="F29" s="122">
        <v>561047.39757777005</v>
      </c>
      <c r="G29" s="122">
        <v>6828557.6185620008</v>
      </c>
      <c r="H29" s="122">
        <v>7350557.6185620008</v>
      </c>
      <c r="I29" s="122">
        <v>7698557.6185620008</v>
      </c>
      <c r="J29" s="79" t="str">
        <f>VLOOKUP(A29,Table1[[Unit Number]:[NO. OF BEDROOMS]],2,FALSE)</f>
        <v>2 BEDROOM</v>
      </c>
    </row>
    <row r="30" spans="1:10" x14ac:dyDescent="0.25">
      <c r="A30" s="121" t="s">
        <v>812</v>
      </c>
      <c r="B30" s="191">
        <v>53038.500000000007</v>
      </c>
      <c r="C30" s="191">
        <v>176</v>
      </c>
      <c r="D30" s="191"/>
      <c r="E30" s="122">
        <v>0</v>
      </c>
      <c r="F30" s="122">
        <v>793455.9600000002</v>
      </c>
      <c r="G30" s="122">
        <v>9562776.0000000019</v>
      </c>
      <c r="H30" s="122">
        <v>10354776.000000002</v>
      </c>
      <c r="I30" s="122">
        <v>10882776.000000002</v>
      </c>
      <c r="J30" s="79" t="str">
        <f>VLOOKUP(A30,Table1[[Unit Number]:[NO. OF BEDROOMS]],2,FALSE)</f>
        <v>3 BEDROOM</v>
      </c>
    </row>
    <row r="31" spans="1:10" x14ac:dyDescent="0.25">
      <c r="A31" s="121" t="s">
        <v>813</v>
      </c>
      <c r="B31" s="191">
        <v>53038.500000000007</v>
      </c>
      <c r="C31" s="191">
        <v>228</v>
      </c>
      <c r="D31" s="191"/>
      <c r="E31" s="122">
        <v>0</v>
      </c>
      <c r="F31" s="122">
        <v>1027886.1300000002</v>
      </c>
      <c r="G31" s="122">
        <v>12320778.000000002</v>
      </c>
      <c r="H31" s="122">
        <v>13346778.000000002</v>
      </c>
      <c r="I31" s="122">
        <v>14030778.000000002</v>
      </c>
      <c r="J31" s="79" t="str">
        <f>VLOOKUP(A31,Table1[[Unit Number]:[NO. OF BEDROOMS]],2,FALSE)</f>
        <v>3 BEDROOM + LIVING</v>
      </c>
    </row>
    <row r="32" spans="1:10" x14ac:dyDescent="0.25">
      <c r="A32" s="121" t="s">
        <v>814</v>
      </c>
      <c r="B32" s="191">
        <v>52283.250000000007</v>
      </c>
      <c r="C32" s="191">
        <v>172</v>
      </c>
      <c r="D32" s="191"/>
      <c r="E32" s="122">
        <v>0</v>
      </c>
      <c r="F32" s="122">
        <v>764381.11500000022</v>
      </c>
      <c r="G32" s="122">
        <v>9220719.0000000019</v>
      </c>
      <c r="H32" s="122">
        <v>9994719.0000000019</v>
      </c>
      <c r="I32" s="122">
        <v>10510719.000000002</v>
      </c>
      <c r="J32" s="79" t="str">
        <f>VLOOKUP(A32,Table1[[Unit Number]:[NO. OF BEDROOMS]],2,FALSE)</f>
        <v>3 BEDROOM</v>
      </c>
    </row>
    <row r="33" spans="1:10" x14ac:dyDescent="0.25">
      <c r="A33" s="121" t="s">
        <v>385</v>
      </c>
      <c r="B33" s="191">
        <v>50758.500000000007</v>
      </c>
      <c r="C33" s="191">
        <v>180</v>
      </c>
      <c r="D33" s="191">
        <v>86.260099999999994</v>
      </c>
      <c r="E33" s="122">
        <v>1444882.9843305002</v>
      </c>
      <c r="F33" s="122">
        <v>899420.10366809263</v>
      </c>
      <c r="G33" s="122">
        <v>10809412.984330501</v>
      </c>
      <c r="H33" s="122">
        <v>11619412.984330501</v>
      </c>
      <c r="I33" s="122">
        <v>12159412.984330501</v>
      </c>
      <c r="J33" s="79" t="str">
        <f>VLOOKUP(A33,Table1[[Unit Number]:[NO. OF BEDROOMS]],2,FALSE)</f>
        <v>3 BEDROOM</v>
      </c>
    </row>
    <row r="34" spans="1:10" x14ac:dyDescent="0.25">
      <c r="A34" s="121" t="s">
        <v>825</v>
      </c>
      <c r="B34" s="191">
        <v>53010.000000000007</v>
      </c>
      <c r="C34" s="191">
        <v>201</v>
      </c>
      <c r="D34" s="191"/>
      <c r="E34" s="122">
        <v>0</v>
      </c>
      <c r="F34" s="122">
        <v>905675.85000000021</v>
      </c>
      <c r="G34" s="122">
        <v>10883010.000000002</v>
      </c>
      <c r="H34" s="122">
        <v>11787510.000000002</v>
      </c>
      <c r="I34" s="122">
        <v>12390510.000000002</v>
      </c>
      <c r="J34" s="79" t="str">
        <f>VLOOKUP(A34,Table1[[Unit Number]:[NO. OF BEDROOMS]],2,FALSE)</f>
        <v>3 BEDROOM</v>
      </c>
    </row>
    <row r="35" spans="1:10" x14ac:dyDescent="0.25">
      <c r="A35" s="121" t="s">
        <v>398</v>
      </c>
      <c r="B35" s="191">
        <v>50787.000000000007</v>
      </c>
      <c r="C35" s="191">
        <v>172</v>
      </c>
      <c r="D35" s="191"/>
      <c r="E35" s="122">
        <v>0</v>
      </c>
      <c r="F35" s="122">
        <v>742505.94000000018</v>
      </c>
      <c r="G35" s="122">
        <v>8963364.0000000019</v>
      </c>
      <c r="H35" s="122">
        <v>9737364.0000000019</v>
      </c>
      <c r="I35" s="122">
        <v>10253364.000000002</v>
      </c>
      <c r="J35" s="79" t="str">
        <f>VLOOKUP(A35,Table1[[Unit Number]:[NO. OF BEDROOMS]],2,FALSE)</f>
        <v>3 BEDROOM</v>
      </c>
    </row>
    <row r="36" spans="1:10" x14ac:dyDescent="0.25">
      <c r="A36" s="121" t="s">
        <v>408</v>
      </c>
      <c r="B36" s="191">
        <v>50758.500000000007</v>
      </c>
      <c r="C36" s="191">
        <v>176</v>
      </c>
      <c r="D36" s="191">
        <v>77.696799999999996</v>
      </c>
      <c r="E36" s="122">
        <v>1301445.0975240003</v>
      </c>
      <c r="F36" s="122">
        <v>869969.99328954029</v>
      </c>
      <c r="G36" s="122">
        <v>10462941.097524002</v>
      </c>
      <c r="H36" s="122">
        <v>11254941.097524002</v>
      </c>
      <c r="I36" s="122">
        <v>11782941.097524002</v>
      </c>
      <c r="J36" s="79" t="str">
        <f>VLOOKUP(A36,Table1[[Unit Number]:[NO. OF BEDROOMS]],2,FALSE)</f>
        <v>3 BEDROOM</v>
      </c>
    </row>
    <row r="37" spans="1:10" x14ac:dyDescent="0.25">
      <c r="A37" s="121" t="s">
        <v>851</v>
      </c>
      <c r="B37" s="191">
        <v>53010.000000000007</v>
      </c>
      <c r="C37" s="191">
        <v>201</v>
      </c>
      <c r="D37" s="191"/>
      <c r="E37" s="122">
        <v>0</v>
      </c>
      <c r="F37" s="122">
        <v>905675.85000000021</v>
      </c>
      <c r="G37" s="122">
        <v>10883010.000000002</v>
      </c>
      <c r="H37" s="122">
        <v>11787510.000000002</v>
      </c>
      <c r="I37" s="122">
        <v>12390510.000000002</v>
      </c>
      <c r="J37" s="79" t="str">
        <f>VLOOKUP(A37,Table1[[Unit Number]:[NO. OF BEDROOMS]],2,FALSE)</f>
        <v>3 BEDROOM</v>
      </c>
    </row>
    <row r="38" spans="1:10" x14ac:dyDescent="0.25">
      <c r="A38" s="121" t="s">
        <v>860</v>
      </c>
      <c r="B38" s="191">
        <v>53010.000000000007</v>
      </c>
      <c r="C38" s="191">
        <v>155</v>
      </c>
      <c r="D38" s="191"/>
      <c r="E38" s="122">
        <v>0</v>
      </c>
      <c r="F38" s="122">
        <v>698406.75000000012</v>
      </c>
      <c r="G38" s="122">
        <v>8444550.0000000019</v>
      </c>
      <c r="H38" s="122">
        <v>9142050.0000000019</v>
      </c>
      <c r="I38" s="122">
        <v>9607050.0000000019</v>
      </c>
      <c r="J38" s="79" t="str">
        <f>VLOOKUP(A38,Table1[[Unit Number]:[NO. OF BEDROOMS]],2,FALSE)</f>
        <v>3 BEDROOM</v>
      </c>
    </row>
    <row r="39" spans="1:10" x14ac:dyDescent="0.25">
      <c r="A39" s="121" t="s">
        <v>869</v>
      </c>
      <c r="B39" s="191">
        <v>53010.000000000007</v>
      </c>
      <c r="C39" s="191">
        <v>155</v>
      </c>
      <c r="D39" s="191"/>
      <c r="E39" s="122">
        <v>0</v>
      </c>
      <c r="F39" s="122">
        <v>698406.75000000012</v>
      </c>
      <c r="G39" s="122">
        <v>8444550.0000000019</v>
      </c>
      <c r="H39" s="122">
        <v>9142050.0000000019</v>
      </c>
      <c r="I39" s="122">
        <v>9607050.0000000019</v>
      </c>
      <c r="J39" s="79" t="str">
        <f>VLOOKUP(A39,Table1[[Unit Number]:[NO. OF BEDROOMS]],2,FALSE)</f>
        <v>3 BEDROOM</v>
      </c>
    </row>
    <row r="40" spans="1:10" x14ac:dyDescent="0.25">
      <c r="A40" s="121" t="s">
        <v>444</v>
      </c>
      <c r="B40" s="191">
        <v>50758.500000000007</v>
      </c>
      <c r="C40" s="191">
        <v>160</v>
      </c>
      <c r="D40" s="191">
        <v>75.3416</v>
      </c>
      <c r="E40" s="122">
        <v>1261994.7791880004</v>
      </c>
      <c r="F40" s="122">
        <v>797585.15623098018</v>
      </c>
      <c r="G40" s="122">
        <v>9611354.7791880015</v>
      </c>
      <c r="H40" s="122">
        <v>10331354.779188002</v>
      </c>
      <c r="I40" s="122">
        <v>10811354.779188002</v>
      </c>
      <c r="J40" s="79" t="str">
        <f>VLOOKUP(A40,Table1[[Unit Number]:[NO. OF BEDROOMS]],2,FALSE)</f>
        <v>3 BEDROOM</v>
      </c>
    </row>
    <row r="41" spans="1:10" x14ac:dyDescent="0.25">
      <c r="A41" s="121" t="s">
        <v>880</v>
      </c>
      <c r="B41" s="191">
        <v>53010.000000000007</v>
      </c>
      <c r="C41" s="191">
        <v>155</v>
      </c>
      <c r="D41" s="191"/>
      <c r="E41" s="122">
        <v>0</v>
      </c>
      <c r="F41" s="122">
        <v>698406.75000000012</v>
      </c>
      <c r="G41" s="122">
        <v>8444550.0000000019</v>
      </c>
      <c r="H41" s="122">
        <v>9142050.0000000019</v>
      </c>
      <c r="I41" s="122">
        <v>9607050.0000000019</v>
      </c>
      <c r="J41" s="79" t="str">
        <f>VLOOKUP(A41,Table1[[Unit Number]:[NO. OF BEDROOMS]],2,FALSE)</f>
        <v>3 BEDROOM</v>
      </c>
    </row>
    <row r="42" spans="1:10" x14ac:dyDescent="0.25">
      <c r="A42" s="121" t="s">
        <v>454</v>
      </c>
      <c r="B42" s="191">
        <v>50758.500000000007</v>
      </c>
      <c r="C42" s="191">
        <v>176</v>
      </c>
      <c r="D42" s="191">
        <v>85.360500000000002</v>
      </c>
      <c r="E42" s="122">
        <v>1429814.4099525004</v>
      </c>
      <c r="F42" s="122">
        <v>880881.38484596275</v>
      </c>
      <c r="G42" s="122">
        <v>10591310.409952503</v>
      </c>
      <c r="H42" s="122">
        <v>11383310.409952503</v>
      </c>
      <c r="I42" s="122">
        <v>11911310.409952503</v>
      </c>
      <c r="J42" s="79" t="str">
        <f>VLOOKUP(A42,Table1[[Unit Number]:[NO. OF BEDROOMS]],2,FALSE)</f>
        <v>3 BEDROOM</v>
      </c>
    </row>
    <row r="43" spans="1:10" x14ac:dyDescent="0.25">
      <c r="A43" s="121" t="s">
        <v>889</v>
      </c>
      <c r="B43" s="191">
        <v>53038.500000000007</v>
      </c>
      <c r="C43" s="191">
        <v>223</v>
      </c>
      <c r="D43" s="191"/>
      <c r="E43" s="122">
        <v>0</v>
      </c>
      <c r="F43" s="122">
        <v>1005344.7675000002</v>
      </c>
      <c r="G43" s="122">
        <v>12055585.500000002</v>
      </c>
      <c r="H43" s="122">
        <v>13059085.500000002</v>
      </c>
      <c r="I43" s="122">
        <v>13728085.500000002</v>
      </c>
      <c r="J43" s="79" t="str">
        <f>VLOOKUP(A43,Table1[[Unit Number]:[NO. OF BEDROOMS]],2,FALSE)</f>
        <v>3 BEDROOM + LIVING</v>
      </c>
    </row>
    <row r="44" spans="1:10" x14ac:dyDescent="0.25">
      <c r="A44" s="121" t="s">
        <v>903</v>
      </c>
      <c r="B44" s="191">
        <v>53038.500000000007</v>
      </c>
      <c r="C44" s="191">
        <v>223</v>
      </c>
      <c r="D44" s="191"/>
      <c r="E44" s="122">
        <v>0</v>
      </c>
      <c r="F44" s="122">
        <v>1005344.7675000002</v>
      </c>
      <c r="G44" s="122">
        <v>12055585.500000002</v>
      </c>
      <c r="H44" s="122">
        <v>13059085.500000002</v>
      </c>
      <c r="I44" s="122">
        <v>13728085.500000002</v>
      </c>
      <c r="J44" s="79" t="str">
        <f>VLOOKUP(A44,Table1[[Unit Number]:[NO. OF BEDROOMS]],2,FALSE)</f>
        <v>3 BEDROOM + LIVING</v>
      </c>
    </row>
    <row r="45" spans="1:10" x14ac:dyDescent="0.25">
      <c r="A45" s="121" t="s">
        <v>477</v>
      </c>
      <c r="B45" s="191">
        <v>50787.000000000007</v>
      </c>
      <c r="C45" s="191">
        <v>172</v>
      </c>
      <c r="D45" s="191"/>
      <c r="E45" s="122">
        <v>0</v>
      </c>
      <c r="F45" s="122">
        <v>742505.94000000018</v>
      </c>
      <c r="G45" s="122">
        <v>8963364.0000000019</v>
      </c>
      <c r="H45" s="122">
        <v>9737364.0000000019</v>
      </c>
      <c r="I45" s="122">
        <v>10253364.000000002</v>
      </c>
      <c r="J45" s="79" t="str">
        <f>VLOOKUP(A45,Table1[[Unit Number]:[NO. OF BEDROOMS]],2,FALSE)</f>
        <v>3 BEDROOM</v>
      </c>
    </row>
    <row r="46" spans="1:10" x14ac:dyDescent="0.25">
      <c r="A46" s="121" t="s">
        <v>484</v>
      </c>
      <c r="B46" s="191">
        <v>50787.000000000007</v>
      </c>
      <c r="C46" s="191">
        <v>155</v>
      </c>
      <c r="D46" s="191"/>
      <c r="E46" s="122">
        <v>0</v>
      </c>
      <c r="F46" s="122">
        <v>669118.72500000009</v>
      </c>
      <c r="G46" s="122">
        <v>8099985.0000000009</v>
      </c>
      <c r="H46" s="122">
        <v>8797485.0000000019</v>
      </c>
      <c r="I46" s="122">
        <v>9262485.0000000019</v>
      </c>
      <c r="J46" s="79" t="str">
        <f>VLOOKUP(A46,Table1[[Unit Number]:[NO. OF BEDROOMS]],2,FALSE)</f>
        <v>3 BEDROOM</v>
      </c>
    </row>
    <row r="47" spans="1:10" x14ac:dyDescent="0.25">
      <c r="A47" s="121" t="s">
        <v>924</v>
      </c>
      <c r="B47" s="191">
        <v>53038.500000000007</v>
      </c>
      <c r="C47" s="191">
        <v>309</v>
      </c>
      <c r="D47" s="191">
        <v>86.075999999999993</v>
      </c>
      <c r="E47" s="122">
        <v>1506562.83558</v>
      </c>
      <c r="F47" s="122">
        <v>1521114.0435243002</v>
      </c>
      <c r="G47" s="122">
        <v>18123459.335580003</v>
      </c>
      <c r="H47" s="122">
        <v>19513959.335580003</v>
      </c>
      <c r="I47" s="122">
        <v>20440959.335580003</v>
      </c>
      <c r="J47" s="79" t="str">
        <f>VLOOKUP(A47,Table1[[Unit Number]:[NO. OF BEDROOMS]],2,FALSE)</f>
        <v>3 BEDROOM + LIVING (DUPLEX)</v>
      </c>
    </row>
    <row r="48" spans="1:10" x14ac:dyDescent="0.25">
      <c r="A48" s="121" t="s">
        <v>925</v>
      </c>
      <c r="B48" s="191">
        <v>53038.500000000007</v>
      </c>
      <c r="C48" s="191">
        <v>301</v>
      </c>
      <c r="D48" s="191">
        <v>85.509600000000006</v>
      </c>
      <c r="E48" s="122">
        <v>1496649.3034680001</v>
      </c>
      <c r="F48" s="122">
        <v>1484205.2132947803</v>
      </c>
      <c r="G48" s="122">
        <v>17689237.803468004</v>
      </c>
      <c r="H48" s="122">
        <v>19043737.803468004</v>
      </c>
      <c r="I48" s="122">
        <v>19946737.803468004</v>
      </c>
      <c r="J48" s="79" t="str">
        <f>VLOOKUP(A48,Table1[[Unit Number]:[NO. OF BEDROOMS]],2,FALSE)</f>
        <v>3 BEDROOM + LIVING (DUPLEX)</v>
      </c>
    </row>
    <row r="49" spans="1:10" x14ac:dyDescent="0.25">
      <c r="A49" s="121" t="s">
        <v>495</v>
      </c>
      <c r="B49" s="191">
        <v>50787.000000000007</v>
      </c>
      <c r="C49" s="191">
        <v>155</v>
      </c>
      <c r="D49" s="191"/>
      <c r="E49" s="122">
        <v>0</v>
      </c>
      <c r="F49" s="122">
        <v>669118.72500000009</v>
      </c>
      <c r="G49" s="122">
        <v>8099985.0000000009</v>
      </c>
      <c r="H49" s="122">
        <v>8797485.0000000019</v>
      </c>
      <c r="I49" s="122">
        <v>9262485.0000000019</v>
      </c>
      <c r="J49" s="79" t="str">
        <f>VLOOKUP(A49,Table1[[Unit Number]:[NO. OF BEDROOMS]],2,FALSE)</f>
        <v>3 BEDROOM</v>
      </c>
    </row>
    <row r="50" spans="1:10" x14ac:dyDescent="0.25">
      <c r="A50" s="121" t="s">
        <v>505</v>
      </c>
      <c r="B50" s="191">
        <v>50787.000000000007</v>
      </c>
      <c r="C50" s="191">
        <v>155</v>
      </c>
      <c r="D50" s="191"/>
      <c r="E50" s="122">
        <v>0</v>
      </c>
      <c r="F50" s="122">
        <v>669118.72500000009</v>
      </c>
      <c r="G50" s="122">
        <v>8099985.0000000009</v>
      </c>
      <c r="H50" s="122">
        <v>8797485.0000000019</v>
      </c>
      <c r="I50" s="122">
        <v>9262485.0000000019</v>
      </c>
      <c r="J50" s="79" t="str">
        <f>VLOOKUP(A50,Table1[[Unit Number]:[NO. OF BEDROOMS]],2,FALSE)</f>
        <v>3 BEDROOM</v>
      </c>
    </row>
    <row r="51" spans="1:10" x14ac:dyDescent="0.25">
      <c r="A51" s="121" t="s">
        <v>945</v>
      </c>
      <c r="B51" s="191">
        <v>52263.30000000001</v>
      </c>
      <c r="C51" s="191">
        <v>224</v>
      </c>
      <c r="D51" s="191">
        <v>54.576500000000003</v>
      </c>
      <c r="E51" s="122">
        <v>941274.8375085002</v>
      </c>
      <c r="F51" s="122">
        <v>1075101.5931882227</v>
      </c>
      <c r="G51" s="122">
        <v>12876254.037508503</v>
      </c>
      <c r="H51" s="122">
        <v>13884254.037508503</v>
      </c>
      <c r="I51" s="122">
        <v>14556254.037508503</v>
      </c>
      <c r="J51" s="79" t="str">
        <f>VLOOKUP(A51,Table1[[Unit Number]:[NO. OF BEDROOMS]],2,FALSE)</f>
        <v>3 BEDROOM + LIVING</v>
      </c>
    </row>
    <row r="52" spans="1:10" x14ac:dyDescent="0.25">
      <c r="A52" s="121" t="s">
        <v>980</v>
      </c>
      <c r="B52" s="191">
        <v>52283.250000000007</v>
      </c>
      <c r="C52" s="191">
        <v>172</v>
      </c>
      <c r="D52" s="191"/>
      <c r="E52" s="122">
        <v>0</v>
      </c>
      <c r="F52" s="122">
        <v>764381.11500000022</v>
      </c>
      <c r="G52" s="122">
        <v>9220719.0000000019</v>
      </c>
      <c r="H52" s="122">
        <v>9994719.0000000019</v>
      </c>
      <c r="I52" s="122">
        <v>10510719.000000002</v>
      </c>
      <c r="J52" s="79" t="str">
        <f>VLOOKUP(A52,Table1[[Unit Number]:[NO. OF BEDROOMS]],2,FALSE)</f>
        <v>3 BEDROOM</v>
      </c>
    </row>
    <row r="53" spans="1:10" x14ac:dyDescent="0.25">
      <c r="A53" s="121" t="s">
        <v>981</v>
      </c>
      <c r="B53" s="191">
        <v>53038.500000000007</v>
      </c>
      <c r="C53" s="191">
        <v>228</v>
      </c>
      <c r="D53" s="191"/>
      <c r="E53" s="122">
        <v>0</v>
      </c>
      <c r="F53" s="122">
        <v>1027886.1300000002</v>
      </c>
      <c r="G53" s="122">
        <v>12320778.000000002</v>
      </c>
      <c r="H53" s="122">
        <v>13346778.000000002</v>
      </c>
      <c r="I53" s="122">
        <v>14030778.000000002</v>
      </c>
      <c r="J53" s="79" t="str">
        <f>VLOOKUP(A53,Table1[[Unit Number]:[NO. OF BEDROOMS]],2,FALSE)</f>
        <v>3 BEDROOM + LIVING</v>
      </c>
    </row>
    <row r="54" spans="1:10" x14ac:dyDescent="0.25">
      <c r="A54" s="121" t="s">
        <v>982</v>
      </c>
      <c r="B54" s="191">
        <v>53038.500000000007</v>
      </c>
      <c r="C54" s="191">
        <v>176</v>
      </c>
      <c r="D54" s="191"/>
      <c r="E54" s="122">
        <v>0</v>
      </c>
      <c r="F54" s="122">
        <v>793455.9600000002</v>
      </c>
      <c r="G54" s="122">
        <v>9562776.0000000019</v>
      </c>
      <c r="H54" s="122">
        <v>10354776.000000002</v>
      </c>
      <c r="I54" s="122">
        <v>10882776.000000002</v>
      </c>
      <c r="J54" s="79" t="str">
        <f>VLOOKUP(A54,Table1[[Unit Number]:[NO. OF BEDROOMS]],2,FALSE)</f>
        <v>3 BEDROOM</v>
      </c>
    </row>
    <row r="55" spans="1:10" x14ac:dyDescent="0.25">
      <c r="A55" s="121" t="s">
        <v>551</v>
      </c>
      <c r="B55" s="191">
        <v>50787.000000000007</v>
      </c>
      <c r="C55" s="191">
        <v>172</v>
      </c>
      <c r="D55" s="191"/>
      <c r="E55" s="122">
        <v>0</v>
      </c>
      <c r="F55" s="122">
        <v>742505.94000000018</v>
      </c>
      <c r="G55" s="122">
        <v>8963364.0000000019</v>
      </c>
      <c r="H55" s="122">
        <v>9737364.0000000019</v>
      </c>
      <c r="I55" s="122">
        <v>10253364.000000002</v>
      </c>
      <c r="J55" s="79" t="str">
        <f>VLOOKUP(A55,Table1[[Unit Number]:[NO. OF BEDROOMS]],2,FALSE)</f>
        <v>3 BEDROOM</v>
      </c>
    </row>
    <row r="56" spans="1:10" x14ac:dyDescent="0.25">
      <c r="A56" s="121" t="s">
        <v>999</v>
      </c>
      <c r="B56" s="191">
        <v>52240.500000000007</v>
      </c>
      <c r="C56" s="191">
        <v>344</v>
      </c>
      <c r="D56" s="191">
        <v>97.868200000000002</v>
      </c>
      <c r="E56" s="122">
        <v>1687185.6216930002</v>
      </c>
      <c r="F56" s="122">
        <v>1670922.9978439054</v>
      </c>
      <c r="G56" s="122">
        <v>19885917.621693004</v>
      </c>
      <c r="H56" s="122">
        <v>21433917.621693004</v>
      </c>
      <c r="I56" s="122">
        <v>22465917.621693004</v>
      </c>
      <c r="J56" s="79" t="str">
        <f>VLOOKUP(A56,Table1[[Unit Number]:[NO. OF BEDROOMS]],2,FALSE)</f>
        <v>3 BEDROOM + LIVING (DUPLEX)</v>
      </c>
    </row>
    <row r="57" spans="1:10" x14ac:dyDescent="0.25">
      <c r="A57" s="121" t="s">
        <v>570</v>
      </c>
      <c r="B57" s="191">
        <v>50787.000000000007</v>
      </c>
      <c r="C57" s="191">
        <v>172</v>
      </c>
      <c r="D57" s="191"/>
      <c r="E57" s="122">
        <v>0</v>
      </c>
      <c r="F57" s="122">
        <v>742505.94000000018</v>
      </c>
      <c r="G57" s="122">
        <v>8963364.0000000019</v>
      </c>
      <c r="H57" s="122">
        <v>9737364.0000000019</v>
      </c>
      <c r="I57" s="122">
        <v>10253364.000000002</v>
      </c>
      <c r="J57" s="79" t="str">
        <f>VLOOKUP(A57,Table1[[Unit Number]:[NO. OF BEDROOMS]],2,FALSE)</f>
        <v>3 BEDROOM</v>
      </c>
    </row>
    <row r="58" spans="1:10" x14ac:dyDescent="0.25">
      <c r="A58" s="121" t="s">
        <v>1044</v>
      </c>
      <c r="B58" s="191">
        <v>52297.500000000007</v>
      </c>
      <c r="C58" s="191">
        <v>224</v>
      </c>
      <c r="D58" s="191">
        <v>61.522199999999998</v>
      </c>
      <c r="E58" s="122">
        <v>1061760.8939850002</v>
      </c>
      <c r="F58" s="122">
        <v>1085994.0759887253</v>
      </c>
      <c r="G58" s="122">
        <v>13004400.893985001</v>
      </c>
      <c r="H58" s="122">
        <v>14012400.893985001</v>
      </c>
      <c r="I58" s="122">
        <v>14684400.893985001</v>
      </c>
      <c r="J58" s="79" t="str">
        <f>VLOOKUP(A58,Table1[[Unit Number]:[NO. OF BEDROOMS]],2,FALSE)</f>
        <v>3 BEDROOM + LIVING</v>
      </c>
    </row>
    <row r="59" spans="1:10" x14ac:dyDescent="0.25">
      <c r="A59" s="121" t="s">
        <v>1049</v>
      </c>
      <c r="B59" s="191">
        <v>52311.750000000007</v>
      </c>
      <c r="C59" s="191">
        <v>176</v>
      </c>
      <c r="D59" s="191"/>
      <c r="E59" s="122">
        <v>0</v>
      </c>
      <c r="F59" s="122">
        <v>782583.78000000026</v>
      </c>
      <c r="G59" s="122">
        <v>9434868.0000000019</v>
      </c>
      <c r="H59" s="122">
        <v>10226868.000000002</v>
      </c>
      <c r="I59" s="122">
        <v>10754868.000000002</v>
      </c>
      <c r="J59" s="79" t="str">
        <f>VLOOKUP(A59,Table1[[Unit Number]:[NO. OF BEDROOMS]],2,FALSE)</f>
        <v>3 BEDROOM</v>
      </c>
    </row>
    <row r="60" spans="1:10" x14ac:dyDescent="0.25">
      <c r="A60" s="121" t="s">
        <v>1054</v>
      </c>
      <c r="B60" s="191">
        <v>52269.000000000007</v>
      </c>
      <c r="C60" s="191">
        <v>153</v>
      </c>
      <c r="D60" s="191">
        <v>85.619500000000002</v>
      </c>
      <c r="E60" s="122">
        <v>1476831.0630150004</v>
      </c>
      <c r="F60" s="122">
        <v>805288.98535627511</v>
      </c>
      <c r="G60" s="122">
        <v>9701988.0630150009</v>
      </c>
      <c r="H60" s="122">
        <v>10390488.063015003</v>
      </c>
      <c r="I60" s="122">
        <v>10849488.063015003</v>
      </c>
      <c r="J60" s="79" t="str">
        <f>VLOOKUP(A60,Table1[[Unit Number]:[NO. OF BEDROOMS]],2,FALSE)</f>
        <v>3 BEDROOM</v>
      </c>
    </row>
    <row r="61" spans="1:10" x14ac:dyDescent="0.25">
      <c r="A61" s="121" t="s">
        <v>604</v>
      </c>
      <c r="B61" s="191">
        <v>50787.000000000007</v>
      </c>
      <c r="C61" s="191">
        <v>155</v>
      </c>
      <c r="D61" s="191"/>
      <c r="E61" s="122">
        <v>0</v>
      </c>
      <c r="F61" s="122">
        <v>669118.72500000009</v>
      </c>
      <c r="G61" s="122">
        <v>8099985.0000000009</v>
      </c>
      <c r="H61" s="122">
        <v>8797485.0000000019</v>
      </c>
      <c r="I61" s="122">
        <v>9262485.0000000019</v>
      </c>
      <c r="J61" s="79" t="str">
        <f>VLOOKUP(A61,Table1[[Unit Number]:[NO. OF BEDROOMS]],2,FALSE)</f>
        <v>3 BEDROOM</v>
      </c>
    </row>
    <row r="62" spans="1:10" x14ac:dyDescent="0.25">
      <c r="A62" s="121" t="s">
        <v>616</v>
      </c>
      <c r="B62" s="191">
        <v>50787.000000000007</v>
      </c>
      <c r="C62" s="191">
        <v>155</v>
      </c>
      <c r="D62" s="191"/>
      <c r="E62" s="122">
        <v>0</v>
      </c>
      <c r="F62" s="122">
        <v>669118.72500000009</v>
      </c>
      <c r="G62" s="122">
        <v>8099985.0000000009</v>
      </c>
      <c r="H62" s="122">
        <v>8797485.0000000019</v>
      </c>
      <c r="I62" s="122">
        <v>9262485.0000000019</v>
      </c>
      <c r="J62" s="79" t="str">
        <f>VLOOKUP(A62,Table1[[Unit Number]:[NO. OF BEDROOMS]],2,FALSE)</f>
        <v>3 BEDROOM</v>
      </c>
    </row>
    <row r="63" spans="1:10" x14ac:dyDescent="0.25">
      <c r="A63" s="121" t="s">
        <v>1071</v>
      </c>
      <c r="B63" s="191">
        <v>52269.000000000007</v>
      </c>
      <c r="C63" s="191">
        <v>161</v>
      </c>
      <c r="D63" s="191"/>
      <c r="E63" s="122">
        <v>0</v>
      </c>
      <c r="F63" s="122">
        <v>715301.26500000025</v>
      </c>
      <c r="G63" s="122">
        <v>8643309.0000000019</v>
      </c>
      <c r="H63" s="122">
        <v>9367809.0000000019</v>
      </c>
      <c r="I63" s="122">
        <v>9850809.0000000019</v>
      </c>
      <c r="J63" s="79" t="str">
        <f>VLOOKUP(A63,Table1[[Unit Number]:[NO. OF BEDROOMS]],2,FALSE)</f>
        <v>3 BEDROOM</v>
      </c>
    </row>
    <row r="64" spans="1:10" x14ac:dyDescent="0.25">
      <c r="A64" s="121" t="s">
        <v>1074</v>
      </c>
      <c r="B64" s="191">
        <v>52269.000000000007</v>
      </c>
      <c r="C64" s="191">
        <v>153</v>
      </c>
      <c r="D64" s="191">
        <v>85.562899999999999</v>
      </c>
      <c r="E64" s="122">
        <v>1475854.7826330003</v>
      </c>
      <c r="F64" s="122">
        <v>805206.00152380508</v>
      </c>
      <c r="G64" s="122">
        <v>9701011.782633001</v>
      </c>
      <c r="H64" s="122">
        <v>10389511.782633003</v>
      </c>
      <c r="I64" s="122">
        <v>10848511.782633003</v>
      </c>
      <c r="J64" s="79" t="str">
        <f>VLOOKUP(A64,Table1[[Unit Number]:[NO. OF BEDROOMS]],2,FALSE)</f>
        <v>3 BEDROOM</v>
      </c>
    </row>
    <row r="65" spans="1:10" x14ac:dyDescent="0.25">
      <c r="A65" s="121" t="s">
        <v>626</v>
      </c>
      <c r="B65" s="191">
        <v>50787.000000000007</v>
      </c>
      <c r="C65" s="191">
        <v>155</v>
      </c>
      <c r="D65" s="191"/>
      <c r="E65" s="122">
        <v>0</v>
      </c>
      <c r="F65" s="122">
        <v>669118.72500000009</v>
      </c>
      <c r="G65" s="122">
        <v>8099985.0000000009</v>
      </c>
      <c r="H65" s="122">
        <v>8797485.0000000019</v>
      </c>
      <c r="I65" s="122">
        <v>9262485.0000000019</v>
      </c>
      <c r="J65" s="79" t="str">
        <f>VLOOKUP(A65,Table1[[Unit Number]:[NO. OF BEDROOMS]],2,FALSE)</f>
        <v>3 BEDROOM</v>
      </c>
    </row>
    <row r="66" spans="1:10" x14ac:dyDescent="0.25">
      <c r="A66" s="121" t="s">
        <v>1085</v>
      </c>
      <c r="B66" s="191">
        <v>52183.500000000007</v>
      </c>
      <c r="C66" s="191">
        <v>160</v>
      </c>
      <c r="D66" s="191"/>
      <c r="E66" s="122">
        <v>0</v>
      </c>
      <c r="F66" s="122">
        <v>709695.60000000009</v>
      </c>
      <c r="G66" s="122">
        <v>8577360.0000000019</v>
      </c>
      <c r="H66" s="122">
        <v>9297360.0000000019</v>
      </c>
      <c r="I66" s="122">
        <v>9777360.0000000019</v>
      </c>
      <c r="J66" s="79" t="str">
        <f>VLOOKUP(A66,Table1[[Unit Number]:[NO. OF BEDROOMS]],2,FALSE)</f>
        <v>3 BEDROOM</v>
      </c>
    </row>
    <row r="67" spans="1:10" x14ac:dyDescent="0.25">
      <c r="A67" s="121" t="s">
        <v>1093</v>
      </c>
      <c r="B67" s="191">
        <v>52183.500000000007</v>
      </c>
      <c r="C67" s="191">
        <v>160</v>
      </c>
      <c r="D67" s="191"/>
      <c r="E67" s="122">
        <v>0</v>
      </c>
      <c r="F67" s="122">
        <v>709695.60000000009</v>
      </c>
      <c r="G67" s="122">
        <v>8577360.0000000019</v>
      </c>
      <c r="H67" s="122">
        <v>9297360.0000000019</v>
      </c>
      <c r="I67" s="122">
        <v>9777360.0000000019</v>
      </c>
      <c r="J67" s="79" t="str">
        <f>VLOOKUP(A67,Table1[[Unit Number]:[NO. OF BEDROOMS]],2,FALSE)</f>
        <v>3 BEDROOM</v>
      </c>
    </row>
    <row r="68" spans="1:10" x14ac:dyDescent="0.25">
      <c r="A68" s="121" t="s">
        <v>651</v>
      </c>
      <c r="B68" s="191">
        <v>50758.500000000007</v>
      </c>
      <c r="C68" s="191">
        <v>158</v>
      </c>
      <c r="D68" s="191"/>
      <c r="E68" s="122">
        <v>0</v>
      </c>
      <c r="F68" s="122">
        <v>681686.65500000014</v>
      </c>
      <c r="G68" s="122">
        <v>8247843.0000000009</v>
      </c>
      <c r="H68" s="122">
        <v>8958843.0000000019</v>
      </c>
      <c r="I68" s="122">
        <v>9432843.0000000019</v>
      </c>
      <c r="J68" s="79" t="str">
        <f>VLOOKUP(A68,Table1[[Unit Number]:[NO. OF BEDROOMS]],2,FALSE)</f>
        <v>3 BEDROOM</v>
      </c>
    </row>
    <row r="69" spans="1:10" x14ac:dyDescent="0.25">
      <c r="A69" s="121" t="s">
        <v>1100</v>
      </c>
      <c r="B69" s="191">
        <v>52269.000000000007</v>
      </c>
      <c r="C69" s="191">
        <v>152</v>
      </c>
      <c r="D69" s="191">
        <v>85.417599999999993</v>
      </c>
      <c r="E69" s="122">
        <v>1473348.5363520002</v>
      </c>
      <c r="F69" s="122">
        <v>800550.10558992019</v>
      </c>
      <c r="G69" s="122">
        <v>9646236.5363520011</v>
      </c>
      <c r="H69" s="122">
        <v>10330236.536352001</v>
      </c>
      <c r="I69" s="122">
        <v>10786236.536352001</v>
      </c>
      <c r="J69" s="79" t="str">
        <f>VLOOKUP(A69,Table1[[Unit Number]:[NO. OF BEDROOMS]],2,FALSE)</f>
        <v>3 BEDROOM</v>
      </c>
    </row>
    <row r="70" spans="1:10" x14ac:dyDescent="0.25">
      <c r="A70" s="121" t="s">
        <v>1110</v>
      </c>
      <c r="B70" s="191">
        <v>52269.000000000007</v>
      </c>
      <c r="C70" s="191">
        <v>152</v>
      </c>
      <c r="D70" s="191">
        <v>85.417599999999993</v>
      </c>
      <c r="E70" s="122">
        <v>1473348.5363520002</v>
      </c>
      <c r="F70" s="122">
        <v>800550.10558992019</v>
      </c>
      <c r="G70" s="122">
        <v>9646236.5363520011</v>
      </c>
      <c r="H70" s="122">
        <v>10330236.536352001</v>
      </c>
      <c r="I70" s="122">
        <v>10786236.536352001</v>
      </c>
      <c r="J70" s="79" t="str">
        <f>VLOOKUP(A70,Table1[[Unit Number]:[NO. OF BEDROOMS]],2,FALSE)</f>
        <v>3 BEDROOM</v>
      </c>
    </row>
    <row r="71" spans="1:10" x14ac:dyDescent="0.25">
      <c r="A71" s="121" t="s">
        <v>675</v>
      </c>
      <c r="B71" s="191">
        <v>50758.500000000007</v>
      </c>
      <c r="C71" s="191">
        <v>160</v>
      </c>
      <c r="D71" s="191">
        <v>88.6297</v>
      </c>
      <c r="E71" s="122">
        <v>1484574.5070585003</v>
      </c>
      <c r="F71" s="122">
        <v>816504.43309997267</v>
      </c>
      <c r="G71" s="122">
        <v>9833934.5070585012</v>
      </c>
      <c r="H71" s="122">
        <v>10553934.507058501</v>
      </c>
      <c r="I71" s="122">
        <v>11033934.507058501</v>
      </c>
      <c r="J71" s="79" t="str">
        <f>VLOOKUP(A71,Table1[[Unit Number]:[NO. OF BEDROOMS]],2,FALSE)</f>
        <v>3 BEDROOM</v>
      </c>
    </row>
    <row r="72" spans="1:10" x14ac:dyDescent="0.25">
      <c r="A72" s="121" t="s">
        <v>698</v>
      </c>
      <c r="B72" s="191">
        <v>50758.500000000007</v>
      </c>
      <c r="C72" s="191">
        <v>160</v>
      </c>
      <c r="D72" s="191">
        <v>88.345699999999994</v>
      </c>
      <c r="E72" s="122">
        <v>1479817.4204385004</v>
      </c>
      <c r="F72" s="122">
        <v>816100.08073727274</v>
      </c>
      <c r="G72" s="122">
        <v>9829177.420438502</v>
      </c>
      <c r="H72" s="122">
        <v>10549177.420438502</v>
      </c>
      <c r="I72" s="122">
        <v>11029177.420438502</v>
      </c>
      <c r="J72" s="79" t="str">
        <f>VLOOKUP(A72,Table1[[Unit Number]:[NO. OF BEDROOMS]],2,FALSE)</f>
        <v>3 BEDROOM</v>
      </c>
    </row>
    <row r="73" spans="1:10" x14ac:dyDescent="0.25">
      <c r="A73" s="121" t="s">
        <v>709</v>
      </c>
      <c r="B73" s="122">
        <v>2798081.5500000003</v>
      </c>
      <c r="C73" s="122">
        <v>9246</v>
      </c>
      <c r="D73" s="122">
        <v>1393.9804999999999</v>
      </c>
      <c r="E73" s="122">
        <v>23786464.75984351</v>
      </c>
      <c r="F73" s="122">
        <v>42832285.481586717</v>
      </c>
      <c r="G73" s="122">
        <v>516221240.95984346</v>
      </c>
      <c r="H73" s="122">
        <v>557828240.9598434</v>
      </c>
      <c r="I73" s="122">
        <v>585566240.95984364</v>
      </c>
    </row>
    <row r="74" spans="1:10" x14ac:dyDescent="0.25">
      <c r="A74"/>
      <c r="B74"/>
      <c r="C74"/>
      <c r="D74"/>
      <c r="E74"/>
      <c r="F74"/>
      <c r="G74"/>
      <c r="H74"/>
      <c r="I74"/>
      <c r="J74" s="79" t="e">
        <f>VLOOKUP(A74,Table1[[Unit Number]:[NO. OF BEDROOMS]],2,FALSE)</f>
        <v>#N/A</v>
      </c>
    </row>
    <row r="75" spans="1:10" x14ac:dyDescent="0.25">
      <c r="A75"/>
      <c r="B75"/>
      <c r="C75"/>
      <c r="D75"/>
      <c r="E75"/>
      <c r="F75"/>
      <c r="G75"/>
      <c r="H75"/>
      <c r="I75"/>
      <c r="J75" s="79" t="e">
        <f>VLOOKUP(A75,Table1[[Unit Number]:[NO. OF BEDROOMS]],2,FALSE)</f>
        <v>#N/A</v>
      </c>
    </row>
    <row r="76" spans="1:10" x14ac:dyDescent="0.25">
      <c r="A76"/>
      <c r="B76"/>
      <c r="C76"/>
      <c r="D76"/>
      <c r="E76"/>
      <c r="F76"/>
      <c r="G76"/>
      <c r="H76"/>
      <c r="I76"/>
      <c r="J76" s="79" t="e">
        <f>VLOOKUP(A76,Table1[[Unit Number]:[NO. OF BEDROOMS]],2,FALSE)</f>
        <v>#N/A</v>
      </c>
    </row>
    <row r="77" spans="1:10" x14ac:dyDescent="0.25">
      <c r="A77"/>
      <c r="B77"/>
      <c r="C77"/>
      <c r="D77"/>
      <c r="E77"/>
      <c r="F77"/>
      <c r="G77"/>
      <c r="H77"/>
      <c r="I77"/>
      <c r="J77" s="79" t="e">
        <f>VLOOKUP(A77,Table1[[Unit Number]:[NO. OF BEDROOMS]],2,FALSE)</f>
        <v>#N/A</v>
      </c>
    </row>
    <row r="78" spans="1:10" x14ac:dyDescent="0.25">
      <c r="A78"/>
      <c r="B78"/>
      <c r="C78"/>
      <c r="D78"/>
      <c r="E78"/>
      <c r="F78"/>
      <c r="G78"/>
      <c r="H78"/>
      <c r="I78"/>
      <c r="J78" s="79" t="e">
        <f>VLOOKUP(A78,Table1[[Unit Number]:[NO. OF BEDROOMS]],2,FALSE)</f>
        <v>#N/A</v>
      </c>
    </row>
    <row r="79" spans="1:10" x14ac:dyDescent="0.25">
      <c r="A79"/>
      <c r="B79"/>
      <c r="C79"/>
      <c r="D79"/>
      <c r="E79"/>
      <c r="F79"/>
      <c r="G79"/>
      <c r="H79"/>
      <c r="I79"/>
      <c r="J79" s="79" t="e">
        <f>VLOOKUP(A79,Table1[[Unit Number]:[NO. OF BEDROOMS]],2,FALSE)</f>
        <v>#N/A</v>
      </c>
    </row>
    <row r="80" spans="1:10" x14ac:dyDescent="0.25">
      <c r="A80"/>
      <c r="B80"/>
      <c r="C80"/>
      <c r="D80"/>
      <c r="E80"/>
      <c r="F80"/>
      <c r="G80"/>
      <c r="H80"/>
      <c r="I80"/>
      <c r="J80" s="79" t="e">
        <f>VLOOKUP(A80,Table1[[Unit Number]:[NO. OF BEDROOMS]],2,FALSE)</f>
        <v>#N/A</v>
      </c>
    </row>
    <row r="81" spans="1:10" x14ac:dyDescent="0.25">
      <c r="A81"/>
      <c r="B81"/>
      <c r="C81"/>
      <c r="D81"/>
      <c r="E81"/>
      <c r="F81"/>
      <c r="G81"/>
      <c r="H81"/>
      <c r="I81"/>
      <c r="J81" s="79" t="e">
        <f>VLOOKUP(A81,Table1[[Unit Number]:[NO. OF BEDROOMS]],2,FALSE)</f>
        <v>#N/A</v>
      </c>
    </row>
    <row r="82" spans="1:10" x14ac:dyDescent="0.25">
      <c r="A82"/>
      <c r="B82"/>
      <c r="C82"/>
      <c r="D82"/>
      <c r="E82"/>
      <c r="F82"/>
      <c r="G82"/>
      <c r="H82"/>
      <c r="I82"/>
      <c r="J82" s="79" t="e">
        <f>VLOOKUP(A82,Table1[[Unit Number]:[NO. OF BEDROOMS]],2,FALSE)</f>
        <v>#N/A</v>
      </c>
    </row>
    <row r="83" spans="1:10" x14ac:dyDescent="0.25">
      <c r="A83"/>
      <c r="B83"/>
      <c r="C83"/>
      <c r="D83"/>
      <c r="E83"/>
      <c r="F83"/>
      <c r="G83"/>
      <c r="H83"/>
      <c r="I83"/>
      <c r="J83" s="79" t="e">
        <f>VLOOKUP(A83,Table1[[Unit Number]:[NO. OF BEDROOMS]],2,FALSE)</f>
        <v>#N/A</v>
      </c>
    </row>
    <row r="84" spans="1:10" x14ac:dyDescent="0.25">
      <c r="A84"/>
      <c r="B84"/>
      <c r="C84"/>
      <c r="D84"/>
      <c r="E84"/>
      <c r="F84"/>
      <c r="G84"/>
      <c r="H84"/>
      <c r="I84"/>
      <c r="J84" s="79" t="e">
        <f>VLOOKUP(A84,Table1[[Unit Number]:[NO. OF BEDROOMS]],2,FALSE)</f>
        <v>#N/A</v>
      </c>
    </row>
    <row r="85" spans="1:10" x14ac:dyDescent="0.25">
      <c r="A85"/>
      <c r="B85"/>
      <c r="C85"/>
      <c r="D85"/>
      <c r="E85"/>
      <c r="F85"/>
      <c r="G85"/>
      <c r="H85"/>
      <c r="I85"/>
      <c r="J85" s="79" t="e">
        <f>VLOOKUP(A85,Table1[[Unit Number]:[NO. OF BEDROOMS]],2,FALSE)</f>
        <v>#N/A</v>
      </c>
    </row>
    <row r="86" spans="1:10" x14ac:dyDescent="0.25">
      <c r="A86"/>
      <c r="B86"/>
      <c r="C86"/>
      <c r="D86"/>
      <c r="E86"/>
      <c r="F86"/>
      <c r="G86"/>
      <c r="H86"/>
      <c r="I86"/>
      <c r="J86" s="79" t="e">
        <f>VLOOKUP(A86,Table1[[Unit Number]:[NO. OF BEDROOMS]],2,FALSE)</f>
        <v>#N/A</v>
      </c>
    </row>
    <row r="87" spans="1:10" x14ac:dyDescent="0.25">
      <c r="A87"/>
      <c r="B87"/>
      <c r="C87"/>
      <c r="D87"/>
      <c r="E87"/>
      <c r="F87"/>
      <c r="G87"/>
      <c r="H87"/>
      <c r="I87"/>
      <c r="J87" s="79" t="e">
        <f>VLOOKUP(A87,Table1[[Unit Number]:[NO. OF BEDROOMS]],2,FALSE)</f>
        <v>#N/A</v>
      </c>
    </row>
    <row r="88" spans="1:10" x14ac:dyDescent="0.25">
      <c r="A88"/>
      <c r="B88"/>
      <c r="C88"/>
      <c r="D88"/>
      <c r="E88"/>
      <c r="F88"/>
      <c r="G88"/>
      <c r="H88"/>
      <c r="I88"/>
      <c r="J88" s="79" t="e">
        <f>VLOOKUP(A88,Table1[[Unit Number]:[NO. OF BEDROOMS]],2,FALSE)</f>
        <v>#N/A</v>
      </c>
    </row>
    <row r="89" spans="1:10" x14ac:dyDescent="0.25">
      <c r="A89"/>
      <c r="B89"/>
      <c r="C89"/>
      <c r="D89"/>
      <c r="E89"/>
      <c r="F89"/>
      <c r="G89"/>
      <c r="H89"/>
      <c r="I89"/>
      <c r="J89" s="79" t="e">
        <f>VLOOKUP(A89,Table1[[Unit Number]:[NO. OF BEDROOMS]],2,FALSE)</f>
        <v>#N/A</v>
      </c>
    </row>
    <row r="90" spans="1:10" x14ac:dyDescent="0.25">
      <c r="A90"/>
      <c r="B90"/>
      <c r="C90"/>
      <c r="D90"/>
      <c r="E90"/>
      <c r="F90"/>
      <c r="G90"/>
      <c r="H90"/>
      <c r="I90"/>
      <c r="J90" s="79" t="e">
        <f>VLOOKUP(A90,Table1[[Unit Number]:[NO. OF BEDROOMS]],2,FALSE)</f>
        <v>#N/A</v>
      </c>
    </row>
    <row r="91" spans="1:10" x14ac:dyDescent="0.25">
      <c r="A91"/>
      <c r="B91"/>
      <c r="C91"/>
      <c r="D91"/>
      <c r="E91"/>
      <c r="F91"/>
      <c r="G91"/>
      <c r="H91"/>
      <c r="I91"/>
      <c r="J91" s="79" t="e">
        <f>VLOOKUP(A91,Table1[[Unit Number]:[NO. OF BEDROOMS]],2,FALSE)</f>
        <v>#N/A</v>
      </c>
    </row>
    <row r="92" spans="1:10" x14ac:dyDescent="0.25">
      <c r="A92"/>
      <c r="B92"/>
      <c r="C92"/>
      <c r="D92"/>
      <c r="E92"/>
      <c r="F92"/>
      <c r="G92"/>
      <c r="H92"/>
      <c r="I92"/>
      <c r="J92" s="79" t="e">
        <f>VLOOKUP(A92,Table1[[Unit Number]:[NO. OF BEDROOMS]],2,FALSE)</f>
        <v>#N/A</v>
      </c>
    </row>
    <row r="93" spans="1:10" x14ac:dyDescent="0.25">
      <c r="A93"/>
      <c r="B93"/>
      <c r="C93"/>
      <c r="D93"/>
      <c r="E93"/>
      <c r="F93"/>
      <c r="G93"/>
      <c r="H93"/>
      <c r="I93"/>
      <c r="J93" s="79" t="e">
        <f>VLOOKUP(A93,Table1[[Unit Number]:[NO. OF BEDROOMS]],2,FALSE)</f>
        <v>#N/A</v>
      </c>
    </row>
    <row r="94" spans="1:10" x14ac:dyDescent="0.25">
      <c r="A94"/>
      <c r="B94"/>
      <c r="C94"/>
      <c r="D94"/>
      <c r="E94"/>
      <c r="F94"/>
      <c r="G94"/>
      <c r="H94"/>
      <c r="I94"/>
      <c r="J94" s="79" t="e">
        <f>VLOOKUP(A94,Table1[[Unit Number]:[NO. OF BEDROOMS]],2,FALSE)</f>
        <v>#N/A</v>
      </c>
    </row>
    <row r="95" spans="1:10" x14ac:dyDescent="0.25">
      <c r="A95"/>
      <c r="B95"/>
      <c r="C95"/>
      <c r="D95"/>
      <c r="E95"/>
      <c r="F95"/>
      <c r="G95"/>
      <c r="H95"/>
      <c r="I95"/>
      <c r="J95" s="79" t="e">
        <f>VLOOKUP(A95,Table1[[Unit Number]:[NO. OF BEDROOMS]],2,FALSE)</f>
        <v>#N/A</v>
      </c>
    </row>
    <row r="96" spans="1:10" x14ac:dyDescent="0.25">
      <c r="A96"/>
      <c r="B96"/>
      <c r="C96"/>
      <c r="D96"/>
      <c r="E96"/>
      <c r="F96"/>
      <c r="G96"/>
      <c r="H96"/>
      <c r="I96"/>
      <c r="J96" s="79" t="e">
        <f>VLOOKUP(A96,Table1[[Unit Number]:[NO. OF BEDROOMS]],2,FALSE)</f>
        <v>#N/A</v>
      </c>
    </row>
    <row r="97" spans="1:10" x14ac:dyDescent="0.25">
      <c r="A97"/>
      <c r="B97"/>
      <c r="C97"/>
      <c r="D97"/>
      <c r="E97"/>
      <c r="F97"/>
      <c r="G97"/>
      <c r="H97"/>
      <c r="I97"/>
      <c r="J97" s="79" t="e">
        <f>VLOOKUP(A97,Table1[[Unit Number]:[NO. OF BEDROOMS]],2,FALSE)</f>
        <v>#N/A</v>
      </c>
    </row>
    <row r="98" spans="1:10" x14ac:dyDescent="0.25">
      <c r="A98"/>
      <c r="B98"/>
      <c r="C98"/>
      <c r="D98"/>
      <c r="E98"/>
      <c r="F98"/>
      <c r="G98"/>
      <c r="H98"/>
      <c r="I98"/>
      <c r="J98" s="79" t="e">
        <f>VLOOKUP(A98,Table1[[Unit Number]:[NO. OF BEDROOMS]],2,FALSE)</f>
        <v>#N/A</v>
      </c>
    </row>
    <row r="99" spans="1:10" x14ac:dyDescent="0.25">
      <c r="A99"/>
      <c r="B99"/>
      <c r="C99"/>
      <c r="D99"/>
      <c r="E99"/>
      <c r="F99"/>
      <c r="G99"/>
      <c r="H99"/>
      <c r="I99"/>
      <c r="J99" s="79" t="e">
        <f>VLOOKUP(A99,Table1[[Unit Number]:[NO. OF BEDROOMS]],2,FALSE)</f>
        <v>#N/A</v>
      </c>
    </row>
    <row r="100" spans="1:10" x14ac:dyDescent="0.25">
      <c r="A100"/>
      <c r="B100"/>
      <c r="C100"/>
      <c r="D100"/>
      <c r="E100"/>
      <c r="F100"/>
      <c r="G100"/>
      <c r="H100"/>
      <c r="I100"/>
      <c r="J100" s="79" t="e">
        <f>VLOOKUP(A100,Table1[[Unit Number]:[NO. OF BEDROOMS]],2,FALSE)</f>
        <v>#N/A</v>
      </c>
    </row>
    <row r="101" spans="1:10" x14ac:dyDescent="0.25">
      <c r="A101"/>
      <c r="B101"/>
      <c r="C101"/>
      <c r="D101"/>
      <c r="E101"/>
      <c r="F101"/>
      <c r="G101"/>
      <c r="H101"/>
      <c r="I101"/>
      <c r="J101" s="79" t="e">
        <f>VLOOKUP(A101,Table1[[Unit Number]:[NO. OF BEDROOMS]],2,FALSE)</f>
        <v>#N/A</v>
      </c>
    </row>
    <row r="102" spans="1:10" x14ac:dyDescent="0.25">
      <c r="A102"/>
      <c r="B102"/>
      <c r="C102"/>
      <c r="D102"/>
      <c r="E102"/>
      <c r="F102"/>
      <c r="G102"/>
      <c r="H102"/>
      <c r="I102"/>
      <c r="J102" s="79" t="e">
        <f>VLOOKUP(A102,Table1[[Unit Number]:[NO. OF BEDROOMS]],2,FALSE)</f>
        <v>#N/A</v>
      </c>
    </row>
    <row r="103" spans="1:10" x14ac:dyDescent="0.25">
      <c r="A103"/>
      <c r="B103"/>
      <c r="C103"/>
      <c r="D103"/>
      <c r="E103"/>
      <c r="F103"/>
      <c r="G103"/>
      <c r="H103"/>
      <c r="I103"/>
      <c r="J103" s="79" t="e">
        <f>VLOOKUP(A103,Table1[[Unit Number]:[NO. OF BEDROOMS]],2,FALSE)</f>
        <v>#N/A</v>
      </c>
    </row>
    <row r="104" spans="1:10" x14ac:dyDescent="0.25">
      <c r="A104"/>
      <c r="B104"/>
      <c r="C104"/>
      <c r="D104"/>
      <c r="E104"/>
      <c r="F104"/>
      <c r="G104"/>
      <c r="H104"/>
      <c r="I104"/>
      <c r="J104" s="79" t="e">
        <f>VLOOKUP(A104,Table1[[Unit Number]:[NO. OF BEDROOMS]],2,FALSE)</f>
        <v>#N/A</v>
      </c>
    </row>
    <row r="105" spans="1:10" x14ac:dyDescent="0.25">
      <c r="A105"/>
      <c r="B105"/>
      <c r="C105"/>
      <c r="D105"/>
      <c r="E105"/>
      <c r="F105"/>
      <c r="G105"/>
      <c r="H105"/>
      <c r="I105"/>
      <c r="J105" s="79" t="e">
        <f>VLOOKUP(A105,Table1[[Unit Number]:[NO. OF BEDROOMS]],2,FALSE)</f>
        <v>#N/A</v>
      </c>
    </row>
    <row r="106" spans="1:10" x14ac:dyDescent="0.25">
      <c r="A106"/>
      <c r="B106"/>
      <c r="C106"/>
      <c r="D106"/>
      <c r="E106"/>
      <c r="F106"/>
      <c r="G106"/>
      <c r="H106"/>
      <c r="I106"/>
      <c r="J106" s="79" t="e">
        <f>VLOOKUP(A106,Table1[[Unit Number]:[NO. OF BEDROOMS]],2,FALSE)</f>
        <v>#N/A</v>
      </c>
    </row>
    <row r="107" spans="1:10" x14ac:dyDescent="0.25">
      <c r="A107"/>
      <c r="B107"/>
      <c r="C107"/>
      <c r="D107"/>
      <c r="E107"/>
      <c r="F107"/>
      <c r="G107"/>
      <c r="H107"/>
      <c r="I107"/>
      <c r="J107" s="79" t="e">
        <f>VLOOKUP(A107,Table1[[Unit Number]:[NO. OF BEDROOMS]],2,FALSE)</f>
        <v>#N/A</v>
      </c>
    </row>
    <row r="108" spans="1:10" x14ac:dyDescent="0.25">
      <c r="A108"/>
      <c r="B108"/>
      <c r="C108"/>
      <c r="D108"/>
      <c r="E108"/>
      <c r="F108"/>
      <c r="G108"/>
      <c r="H108"/>
      <c r="I108"/>
      <c r="J108" s="79" t="e">
        <f>VLOOKUP(A108,Table1[[Unit Number]:[NO. OF BEDROOMS]],2,FALSE)</f>
        <v>#N/A</v>
      </c>
    </row>
    <row r="109" spans="1:10" x14ac:dyDescent="0.25">
      <c r="A109"/>
      <c r="B109"/>
      <c r="C109"/>
      <c r="D109"/>
      <c r="E109"/>
      <c r="F109"/>
      <c r="G109"/>
      <c r="H109"/>
      <c r="I109"/>
      <c r="J109" s="79" t="e">
        <f>VLOOKUP(A109,Table1[[Unit Number]:[NO. OF BEDROOMS]],2,FALSE)</f>
        <v>#N/A</v>
      </c>
    </row>
    <row r="110" spans="1:10" x14ac:dyDescent="0.25">
      <c r="A110"/>
      <c r="B110"/>
      <c r="C110"/>
      <c r="D110"/>
      <c r="E110"/>
      <c r="F110"/>
      <c r="G110"/>
      <c r="H110"/>
      <c r="I110"/>
      <c r="J110" s="79" t="e">
        <f>VLOOKUP(A110,Table1[[Unit Number]:[NO. OF BEDROOMS]],2,FALSE)</f>
        <v>#N/A</v>
      </c>
    </row>
    <row r="111" spans="1:10" x14ac:dyDescent="0.25">
      <c r="A111"/>
      <c r="B111"/>
      <c r="C111"/>
      <c r="D111"/>
      <c r="E111"/>
      <c r="F111"/>
      <c r="G111"/>
      <c r="H111"/>
      <c r="I111"/>
      <c r="J111" s="79" t="e">
        <f>VLOOKUP(A111,Table1[[Unit Number]:[NO. OF BEDROOMS]],2,FALSE)</f>
        <v>#N/A</v>
      </c>
    </row>
    <row r="112" spans="1:10" x14ac:dyDescent="0.25">
      <c r="A112"/>
      <c r="B112"/>
      <c r="C112"/>
      <c r="D112"/>
      <c r="E112"/>
      <c r="F112"/>
      <c r="G112"/>
      <c r="H112"/>
      <c r="I112"/>
      <c r="J112" s="79" t="e">
        <f>VLOOKUP(A112,Table1[[Unit Number]:[NO. OF BEDROOMS]],2,FALSE)</f>
        <v>#N/A</v>
      </c>
    </row>
    <row r="113" spans="1:10" x14ac:dyDescent="0.25">
      <c r="A113"/>
      <c r="B113"/>
      <c r="C113"/>
      <c r="D113"/>
      <c r="E113"/>
      <c r="F113"/>
      <c r="G113"/>
      <c r="H113"/>
      <c r="I113"/>
      <c r="J113" s="79" t="e">
        <f>VLOOKUP(A113,Table1[[Unit Number]:[NO. OF BEDROOMS]],2,FALSE)</f>
        <v>#N/A</v>
      </c>
    </row>
    <row r="114" spans="1:10" x14ac:dyDescent="0.25">
      <c r="A114"/>
      <c r="B114"/>
      <c r="C114"/>
      <c r="D114"/>
      <c r="E114"/>
      <c r="F114"/>
      <c r="G114"/>
      <c r="H114"/>
      <c r="I114"/>
      <c r="J114" s="79" t="e">
        <f>VLOOKUP(A114,Table1[[Unit Number]:[NO. OF BEDROOMS]],2,FALSE)</f>
        <v>#N/A</v>
      </c>
    </row>
    <row r="115" spans="1:10" x14ac:dyDescent="0.25">
      <c r="A115"/>
      <c r="B115"/>
      <c r="C115"/>
      <c r="D115"/>
      <c r="E115"/>
      <c r="F115"/>
      <c r="G115"/>
      <c r="H115"/>
      <c r="I115"/>
      <c r="J115" s="79" t="e">
        <f>VLOOKUP(A115,Table1[[Unit Number]:[NO. OF BEDROOMS]],2,FALSE)</f>
        <v>#N/A</v>
      </c>
    </row>
    <row r="116" spans="1:10" x14ac:dyDescent="0.25">
      <c r="A116"/>
      <c r="B116"/>
      <c r="C116"/>
      <c r="D116"/>
      <c r="E116"/>
      <c r="F116"/>
      <c r="G116"/>
      <c r="H116"/>
      <c r="I116"/>
      <c r="J116" s="79" t="e">
        <f>VLOOKUP(A116,Table1[[Unit Number]:[NO. OF BEDROOMS]],2,FALSE)</f>
        <v>#N/A</v>
      </c>
    </row>
    <row r="117" spans="1:10" x14ac:dyDescent="0.25">
      <c r="A117"/>
      <c r="B117"/>
      <c r="C117"/>
      <c r="D117"/>
      <c r="E117"/>
      <c r="F117"/>
      <c r="G117"/>
      <c r="H117"/>
      <c r="I117"/>
      <c r="J117" s="79" t="e">
        <f>VLOOKUP(A117,Table1[[Unit Number]:[NO. OF BEDROOMS]],2,FALSE)</f>
        <v>#N/A</v>
      </c>
    </row>
    <row r="118" spans="1:10" x14ac:dyDescent="0.25">
      <c r="A118"/>
      <c r="B118"/>
      <c r="C118"/>
      <c r="D118"/>
      <c r="E118"/>
      <c r="F118"/>
      <c r="G118"/>
      <c r="H118"/>
      <c r="I118"/>
      <c r="J118" s="79" t="e">
        <f>VLOOKUP(A118,Table1[[Unit Number]:[NO. OF BEDROOMS]],2,FALSE)</f>
        <v>#N/A</v>
      </c>
    </row>
    <row r="119" spans="1:10" x14ac:dyDescent="0.25">
      <c r="A119"/>
      <c r="B119"/>
      <c r="C119"/>
      <c r="D119"/>
      <c r="E119"/>
      <c r="F119"/>
      <c r="G119"/>
      <c r="H119"/>
      <c r="I119"/>
      <c r="J119" s="79" t="e">
        <f>VLOOKUP(A119,Table1[[Unit Number]:[NO. OF BEDROOMS]],2,FALSE)</f>
        <v>#N/A</v>
      </c>
    </row>
    <row r="120" spans="1:10" x14ac:dyDescent="0.25">
      <c r="A120"/>
      <c r="B120"/>
      <c r="C120"/>
      <c r="D120"/>
      <c r="E120"/>
      <c r="F120"/>
      <c r="G120"/>
      <c r="H120"/>
      <c r="I120"/>
      <c r="J120" s="79" t="e">
        <f>VLOOKUP(A120,Table1[[Unit Number]:[NO. OF BEDROOMS]],2,FALSE)</f>
        <v>#N/A</v>
      </c>
    </row>
    <row r="121" spans="1:10" x14ac:dyDescent="0.25">
      <c r="A121"/>
      <c r="B121"/>
      <c r="C121"/>
      <c r="D121"/>
      <c r="E121"/>
      <c r="F121"/>
      <c r="G121"/>
      <c r="H121"/>
      <c r="I121"/>
      <c r="J121" s="79" t="e">
        <f>VLOOKUP(A121,Table1[[Unit Number]:[NO. OF BEDROOMS]],2,FALSE)</f>
        <v>#N/A</v>
      </c>
    </row>
    <row r="122" spans="1:10" x14ac:dyDescent="0.25">
      <c r="A122"/>
      <c r="B122"/>
      <c r="C122"/>
      <c r="D122"/>
      <c r="E122"/>
      <c r="F122"/>
      <c r="G122"/>
      <c r="H122"/>
      <c r="I122"/>
      <c r="J122" s="79" t="e">
        <f>VLOOKUP(A122,Table1[[Unit Number]:[NO. OF BEDROOMS]],2,FALSE)</f>
        <v>#N/A</v>
      </c>
    </row>
    <row r="123" spans="1:10" x14ac:dyDescent="0.25">
      <c r="A123"/>
      <c r="B123"/>
      <c r="C123"/>
      <c r="D123"/>
      <c r="E123"/>
      <c r="F123"/>
      <c r="G123"/>
      <c r="H123"/>
      <c r="I123"/>
      <c r="J123" s="79" t="e">
        <f>VLOOKUP(A123,Table1[[Unit Number]:[NO. OF BEDROOMS]],2,FALSE)</f>
        <v>#N/A</v>
      </c>
    </row>
    <row r="124" spans="1:10" x14ac:dyDescent="0.25">
      <c r="A124"/>
      <c r="B124"/>
      <c r="C124"/>
      <c r="D124"/>
      <c r="E124"/>
      <c r="F124"/>
      <c r="G124"/>
      <c r="H124"/>
      <c r="I124"/>
      <c r="J124" s="79" t="e">
        <f>VLOOKUP(A124,Table1[[Unit Number]:[NO. OF BEDROOMS]],2,FALSE)</f>
        <v>#N/A</v>
      </c>
    </row>
    <row r="125" spans="1:10" x14ac:dyDescent="0.25">
      <c r="A125"/>
      <c r="B125"/>
      <c r="C125"/>
      <c r="D125"/>
      <c r="E125"/>
      <c r="F125"/>
      <c r="G125"/>
      <c r="H125"/>
      <c r="I125"/>
      <c r="J125" s="79" t="e">
        <f>VLOOKUP(A125,Table1[[Unit Number]:[NO. OF BEDROOMS]],2,FALSE)</f>
        <v>#N/A</v>
      </c>
    </row>
    <row r="126" spans="1:10" x14ac:dyDescent="0.25">
      <c r="A126"/>
      <c r="B126"/>
      <c r="C126"/>
      <c r="D126"/>
      <c r="E126"/>
      <c r="F126"/>
      <c r="G126"/>
      <c r="H126"/>
      <c r="I126"/>
      <c r="J126" s="79" t="e">
        <f>VLOOKUP(A126,Table1[[Unit Number]:[NO. OF BEDROOMS]],2,FALSE)</f>
        <v>#N/A</v>
      </c>
    </row>
    <row r="127" spans="1:10" x14ac:dyDescent="0.25">
      <c r="A127"/>
      <c r="B127"/>
      <c r="C127"/>
      <c r="D127"/>
      <c r="E127"/>
      <c r="F127"/>
      <c r="G127"/>
      <c r="H127"/>
      <c r="I127"/>
      <c r="J127" s="79" t="e">
        <f>VLOOKUP(A127,Table1[[Unit Number]:[NO. OF BEDROOMS]],2,FALSE)</f>
        <v>#N/A</v>
      </c>
    </row>
    <row r="128" spans="1:10" x14ac:dyDescent="0.25">
      <c r="A128"/>
      <c r="B128"/>
      <c r="C128"/>
      <c r="D128"/>
      <c r="E128"/>
      <c r="F128"/>
      <c r="G128"/>
      <c r="H128"/>
      <c r="I128"/>
      <c r="J128" s="79" t="e">
        <f>VLOOKUP(A128,Table1[[Unit Number]:[NO. OF BEDROOMS]],2,FALSE)</f>
        <v>#N/A</v>
      </c>
    </row>
    <row r="129" spans="1:10" x14ac:dyDescent="0.25">
      <c r="A129"/>
      <c r="B129"/>
      <c r="C129"/>
      <c r="D129"/>
      <c r="E129"/>
      <c r="F129"/>
      <c r="G129"/>
      <c r="H129"/>
      <c r="I129"/>
      <c r="J129" s="79" t="e">
        <f>VLOOKUP(A129,Table1[[Unit Number]:[NO. OF BEDROOMS]],2,FALSE)</f>
        <v>#N/A</v>
      </c>
    </row>
    <row r="130" spans="1:10" x14ac:dyDescent="0.25">
      <c r="A130"/>
      <c r="B130"/>
      <c r="C130"/>
      <c r="D130"/>
      <c r="E130"/>
      <c r="F130"/>
      <c r="G130"/>
      <c r="H130"/>
      <c r="I130"/>
      <c r="J130" s="79" t="e">
        <f>VLOOKUP(A130,Table1[[Unit Number]:[NO. OF BEDROOMS]],2,FALSE)</f>
        <v>#N/A</v>
      </c>
    </row>
    <row r="131" spans="1:10" x14ac:dyDescent="0.25">
      <c r="A131"/>
      <c r="B131"/>
      <c r="C131"/>
      <c r="D131"/>
      <c r="E131"/>
      <c r="F131"/>
      <c r="G131"/>
      <c r="H131"/>
      <c r="I131"/>
      <c r="J131" s="79" t="e">
        <f>VLOOKUP(A131,Table1[[Unit Number]:[NO. OF BEDROOMS]],2,FALSE)</f>
        <v>#N/A</v>
      </c>
    </row>
    <row r="132" spans="1:10" x14ac:dyDescent="0.25">
      <c r="A132"/>
      <c r="B132"/>
      <c r="C132"/>
      <c r="D132"/>
      <c r="E132"/>
      <c r="F132"/>
      <c r="G132"/>
      <c r="H132"/>
      <c r="I132"/>
      <c r="J132" s="79" t="e">
        <f>VLOOKUP(A132,Table1[[Unit Number]:[NO. OF BEDROOMS]],2,FALSE)</f>
        <v>#N/A</v>
      </c>
    </row>
    <row r="133" spans="1:10" x14ac:dyDescent="0.25">
      <c r="A133"/>
      <c r="B133"/>
      <c r="C133"/>
      <c r="D133"/>
      <c r="E133"/>
      <c r="F133"/>
      <c r="G133"/>
      <c r="H133"/>
      <c r="I133"/>
      <c r="J133" s="79" t="e">
        <f>VLOOKUP(A133,Table1[[Unit Number]:[NO. OF BEDROOMS]],2,FALSE)</f>
        <v>#N/A</v>
      </c>
    </row>
    <row r="134" spans="1:10" x14ac:dyDescent="0.25">
      <c r="A134"/>
      <c r="B134"/>
      <c r="C134"/>
      <c r="D134"/>
      <c r="E134"/>
      <c r="F134"/>
      <c r="G134"/>
      <c r="H134"/>
      <c r="I134"/>
      <c r="J134" s="79" t="e">
        <f>VLOOKUP(A134,Table1[[Unit Number]:[NO. OF BEDROOMS]],2,FALSE)</f>
        <v>#N/A</v>
      </c>
    </row>
    <row r="135" spans="1:10" x14ac:dyDescent="0.25">
      <c r="A135"/>
      <c r="B135"/>
      <c r="C135"/>
      <c r="D135"/>
      <c r="E135"/>
      <c r="F135"/>
      <c r="G135"/>
      <c r="H135"/>
      <c r="I135"/>
      <c r="J135" s="79" t="e">
        <f>VLOOKUP(A135,Table1[[Unit Number]:[NO. OF BEDROOMS]],2,FALSE)</f>
        <v>#N/A</v>
      </c>
    </row>
    <row r="136" spans="1:10" x14ac:dyDescent="0.25">
      <c r="A136"/>
      <c r="B136"/>
      <c r="C136"/>
      <c r="D136"/>
      <c r="E136"/>
      <c r="F136"/>
      <c r="G136"/>
      <c r="H136"/>
      <c r="I136"/>
      <c r="J136" s="79" t="e">
        <f>VLOOKUP(A136,Table1[[Unit Number]:[NO. OF BEDROOMS]],2,FALSE)</f>
        <v>#N/A</v>
      </c>
    </row>
    <row r="137" spans="1:10" x14ac:dyDescent="0.25">
      <c r="A137"/>
      <c r="B137"/>
      <c r="C137"/>
      <c r="D137"/>
      <c r="E137"/>
      <c r="F137"/>
      <c r="G137"/>
      <c r="H137"/>
      <c r="I137"/>
      <c r="J137" s="79" t="e">
        <f>VLOOKUP(A137,Table1[[Unit Number]:[NO. OF BEDROOMS]],2,FALSE)</f>
        <v>#N/A</v>
      </c>
    </row>
    <row r="138" spans="1:10" x14ac:dyDescent="0.25">
      <c r="A138"/>
      <c r="B138"/>
      <c r="C138"/>
      <c r="D138"/>
      <c r="E138"/>
      <c r="F138"/>
      <c r="G138"/>
      <c r="H138"/>
      <c r="I138"/>
      <c r="J138" s="79" t="e">
        <f>VLOOKUP(A138,Table1[[Unit Number]:[NO. OF BEDROOMS]],2,FALSE)</f>
        <v>#N/A</v>
      </c>
    </row>
    <row r="139" spans="1:10" x14ac:dyDescent="0.25">
      <c r="A139"/>
      <c r="B139"/>
      <c r="C139"/>
      <c r="D139"/>
      <c r="E139"/>
      <c r="F139"/>
      <c r="G139"/>
      <c r="H139"/>
      <c r="I139"/>
      <c r="J139" s="79" t="e">
        <f>VLOOKUP(A139,Table1[[Unit Number]:[NO. OF BEDROOMS]],2,FALSE)</f>
        <v>#N/A</v>
      </c>
    </row>
    <row r="140" spans="1:10" x14ac:dyDescent="0.25">
      <c r="A140"/>
      <c r="B140"/>
      <c r="C140"/>
      <c r="D140"/>
      <c r="E140"/>
      <c r="F140"/>
      <c r="G140"/>
      <c r="H140"/>
      <c r="I140"/>
      <c r="J140" s="79" t="e">
        <f>VLOOKUP(A140,Table1[[Unit Number]:[NO. OF BEDROOMS]],2,FALSE)</f>
        <v>#N/A</v>
      </c>
    </row>
    <row r="141" spans="1:10" x14ac:dyDescent="0.25">
      <c r="A141"/>
      <c r="B141"/>
      <c r="C141"/>
      <c r="D141"/>
      <c r="E141"/>
      <c r="F141"/>
      <c r="G141"/>
      <c r="H141"/>
      <c r="I141"/>
      <c r="J141" s="79" t="e">
        <f>VLOOKUP(A141,Table1[[Unit Number]:[NO. OF BEDROOMS]],2,FALSE)</f>
        <v>#N/A</v>
      </c>
    </row>
    <row r="142" spans="1:10" x14ac:dyDescent="0.25">
      <c r="A142"/>
      <c r="B142"/>
      <c r="C142"/>
      <c r="D142"/>
      <c r="E142"/>
      <c r="F142"/>
      <c r="G142"/>
      <c r="H142"/>
      <c r="I142"/>
      <c r="J142" s="79" t="e">
        <f>VLOOKUP(A142,Table1[[Unit Number]:[NO. OF BEDROOMS]],2,FALSE)</f>
        <v>#N/A</v>
      </c>
    </row>
    <row r="143" spans="1:10" x14ac:dyDescent="0.25">
      <c r="A143"/>
      <c r="B143"/>
      <c r="C143"/>
      <c r="D143"/>
      <c r="E143"/>
      <c r="F143"/>
      <c r="G143"/>
      <c r="H143"/>
      <c r="I143"/>
      <c r="J143" s="79" t="e">
        <f>VLOOKUP(A143,Table1[[Unit Number]:[NO. OF BEDROOMS]],2,FALSE)</f>
        <v>#N/A</v>
      </c>
    </row>
    <row r="144" spans="1:10" x14ac:dyDescent="0.25">
      <c r="A144"/>
      <c r="B144"/>
      <c r="C144"/>
      <c r="D144"/>
      <c r="E144"/>
      <c r="F144"/>
      <c r="G144"/>
      <c r="H144"/>
      <c r="I144"/>
      <c r="J144" s="79" t="e">
        <f>VLOOKUP(A144,Table1[[Unit Number]:[NO. OF BEDROOMS]],2,FALSE)</f>
        <v>#N/A</v>
      </c>
    </row>
    <row r="145" spans="1:10" x14ac:dyDescent="0.25">
      <c r="A145"/>
      <c r="B145"/>
      <c r="C145"/>
      <c r="D145"/>
      <c r="E145"/>
      <c r="F145"/>
      <c r="G145"/>
      <c r="H145"/>
      <c r="I145"/>
      <c r="J145" s="79" t="e">
        <f>VLOOKUP(A145,Table1[[Unit Number]:[NO. OF BEDROOMS]],2,FALSE)</f>
        <v>#N/A</v>
      </c>
    </row>
    <row r="146" spans="1:10" x14ac:dyDescent="0.25">
      <c r="A146"/>
      <c r="B146"/>
      <c r="C146"/>
      <c r="D146"/>
      <c r="E146"/>
      <c r="F146"/>
      <c r="G146"/>
      <c r="H146"/>
      <c r="I146"/>
      <c r="J146" s="79" t="e">
        <f>VLOOKUP(A146,Table1[[Unit Number]:[NO. OF BEDROOMS]],2,FALSE)</f>
        <v>#N/A</v>
      </c>
    </row>
    <row r="147" spans="1:10" x14ac:dyDescent="0.25">
      <c r="A147"/>
      <c r="B147"/>
      <c r="C147"/>
      <c r="D147"/>
      <c r="E147"/>
      <c r="F147"/>
      <c r="G147"/>
      <c r="H147"/>
      <c r="I147"/>
      <c r="J147" s="79" t="e">
        <f>VLOOKUP(A147,Table1[[Unit Number]:[NO. OF BEDROOMS]],2,FALSE)</f>
        <v>#N/A</v>
      </c>
    </row>
    <row r="148" spans="1:10" x14ac:dyDescent="0.25">
      <c r="A148"/>
      <c r="B148"/>
      <c r="C148"/>
      <c r="D148"/>
      <c r="E148"/>
      <c r="F148"/>
      <c r="G148"/>
      <c r="H148"/>
      <c r="I148"/>
      <c r="J148" s="79" t="e">
        <f>VLOOKUP(A148,Table1[[Unit Number]:[NO. OF BEDROOMS]],2,FALSE)</f>
        <v>#N/A</v>
      </c>
    </row>
    <row r="149" spans="1:10" x14ac:dyDescent="0.25">
      <c r="A149"/>
      <c r="B149"/>
      <c r="C149"/>
      <c r="D149"/>
      <c r="E149"/>
      <c r="F149"/>
      <c r="G149"/>
      <c r="H149"/>
      <c r="I149"/>
      <c r="J149" s="79" t="e">
        <f>VLOOKUP(A149,Table1[[Unit Number]:[NO. OF BEDROOMS]],2,FALSE)</f>
        <v>#N/A</v>
      </c>
    </row>
    <row r="150" spans="1:10" x14ac:dyDescent="0.25">
      <c r="A150"/>
      <c r="B150"/>
      <c r="C150"/>
      <c r="D150"/>
      <c r="E150"/>
      <c r="F150"/>
      <c r="G150"/>
      <c r="H150"/>
      <c r="I150"/>
      <c r="J150" s="79" t="e">
        <f>VLOOKUP(A150,Table1[[Unit Number]:[NO. OF BEDROOMS]],2,FALSE)</f>
        <v>#N/A</v>
      </c>
    </row>
    <row r="151" spans="1:10" x14ac:dyDescent="0.25">
      <c r="A151"/>
      <c r="B151"/>
      <c r="C151"/>
      <c r="D151"/>
      <c r="E151"/>
      <c r="F151"/>
      <c r="G151"/>
      <c r="H151"/>
      <c r="I151"/>
      <c r="J151" s="79" t="e">
        <f>VLOOKUP(A151,Table1[[Unit Number]:[NO. OF BEDROOMS]],2,FALSE)</f>
        <v>#N/A</v>
      </c>
    </row>
    <row r="152" spans="1:10" x14ac:dyDescent="0.25">
      <c r="A152"/>
      <c r="B152"/>
      <c r="C152"/>
      <c r="D152"/>
      <c r="E152"/>
      <c r="F152"/>
      <c r="G152"/>
      <c r="H152"/>
      <c r="I152"/>
      <c r="J152" s="79" t="e">
        <f>VLOOKUP(A152,Table1[[Unit Number]:[NO. OF BEDROOMS]],2,FALSE)</f>
        <v>#N/A</v>
      </c>
    </row>
    <row r="153" spans="1:10" x14ac:dyDescent="0.25">
      <c r="A153"/>
      <c r="B153"/>
      <c r="C153"/>
      <c r="D153"/>
      <c r="E153"/>
      <c r="F153"/>
      <c r="G153"/>
      <c r="H153"/>
      <c r="I153"/>
      <c r="J153" s="79" t="e">
        <f>VLOOKUP(A153,Table1[[Unit Number]:[NO. OF BEDROOMS]],2,FALSE)</f>
        <v>#N/A</v>
      </c>
    </row>
    <row r="154" spans="1:10" x14ac:dyDescent="0.25">
      <c r="A154"/>
      <c r="B154"/>
      <c r="C154"/>
      <c r="D154"/>
      <c r="E154"/>
      <c r="F154"/>
      <c r="G154"/>
      <c r="H154"/>
      <c r="I154"/>
      <c r="J154" s="79" t="e">
        <f>VLOOKUP(A154,Table1[[Unit Number]:[NO. OF BEDROOMS]],2,FALSE)</f>
        <v>#N/A</v>
      </c>
    </row>
    <row r="155" spans="1:10" x14ac:dyDescent="0.25">
      <c r="A155"/>
      <c r="B155"/>
      <c r="C155"/>
      <c r="D155"/>
      <c r="E155"/>
      <c r="F155"/>
      <c r="G155"/>
      <c r="H155"/>
      <c r="I155"/>
      <c r="J155" s="79" t="e">
        <f>VLOOKUP(A155,Table1[[Unit Number]:[NO. OF BEDROOMS]],2,FALSE)</f>
        <v>#N/A</v>
      </c>
    </row>
    <row r="156" spans="1:10" x14ac:dyDescent="0.25">
      <c r="A156"/>
      <c r="B156"/>
      <c r="C156"/>
      <c r="D156"/>
      <c r="E156"/>
      <c r="F156"/>
      <c r="G156"/>
      <c r="H156"/>
      <c r="I156"/>
      <c r="J156" s="79" t="e">
        <f>VLOOKUP(A156,Table1[[Unit Number]:[NO. OF BEDROOMS]],2,FALSE)</f>
        <v>#N/A</v>
      </c>
    </row>
    <row r="157" spans="1:10" x14ac:dyDescent="0.25">
      <c r="A157"/>
      <c r="B157"/>
      <c r="C157"/>
      <c r="D157"/>
      <c r="E157"/>
      <c r="F157"/>
      <c r="G157"/>
      <c r="H157"/>
      <c r="I157"/>
      <c r="J157" s="79" t="e">
        <f>VLOOKUP(A157,Table1[[Unit Number]:[NO. OF BEDROOMS]],2,FALSE)</f>
        <v>#N/A</v>
      </c>
    </row>
    <row r="158" spans="1:10" x14ac:dyDescent="0.25">
      <c r="A158"/>
      <c r="B158"/>
      <c r="C158"/>
      <c r="D158"/>
      <c r="E158"/>
      <c r="F158"/>
      <c r="G158"/>
      <c r="H158"/>
      <c r="I158"/>
      <c r="J158" s="79" t="e">
        <f>VLOOKUP(A158,Table1[[Unit Number]:[NO. OF BEDROOMS]],2,FALSE)</f>
        <v>#N/A</v>
      </c>
    </row>
    <row r="159" spans="1:10" x14ac:dyDescent="0.25">
      <c r="A159"/>
      <c r="B159"/>
      <c r="C159"/>
      <c r="D159"/>
      <c r="E159"/>
      <c r="F159"/>
      <c r="G159"/>
      <c r="H159"/>
      <c r="I159"/>
      <c r="J159" s="79" t="e">
        <f>VLOOKUP(A159,Table1[[Unit Number]:[NO. OF BEDROOMS]],2,FALSE)</f>
        <v>#N/A</v>
      </c>
    </row>
    <row r="160" spans="1:10" x14ac:dyDescent="0.25">
      <c r="A160"/>
      <c r="B160"/>
      <c r="C160"/>
      <c r="D160"/>
      <c r="E160"/>
      <c r="F160"/>
      <c r="G160"/>
      <c r="H160"/>
      <c r="I160"/>
      <c r="J160" s="79" t="e">
        <f>VLOOKUP(A160,Table1[[Unit Number]:[NO. OF BEDROOMS]],2,FALSE)</f>
        <v>#N/A</v>
      </c>
    </row>
    <row r="161" spans="1:10" x14ac:dyDescent="0.25">
      <c r="A161"/>
      <c r="B161"/>
      <c r="C161"/>
      <c r="D161"/>
      <c r="E161"/>
      <c r="F161"/>
      <c r="G161"/>
      <c r="H161"/>
      <c r="I161"/>
      <c r="J161" s="79" t="e">
        <f>VLOOKUP(A161,Table1[[Unit Number]:[NO. OF BEDROOMS]],2,FALSE)</f>
        <v>#N/A</v>
      </c>
    </row>
    <row r="162" spans="1:10" x14ac:dyDescent="0.25">
      <c r="A162"/>
      <c r="B162"/>
      <c r="C162"/>
      <c r="D162"/>
      <c r="E162"/>
      <c r="F162"/>
      <c r="G162"/>
      <c r="H162"/>
      <c r="I162"/>
      <c r="J162" s="79" t="e">
        <f>VLOOKUP(A162,Table1[[Unit Number]:[NO. OF BEDROOMS]],2,FALSE)</f>
        <v>#N/A</v>
      </c>
    </row>
    <row r="163" spans="1:10" x14ac:dyDescent="0.25">
      <c r="A163"/>
      <c r="B163"/>
      <c r="C163"/>
      <c r="D163"/>
      <c r="E163"/>
      <c r="F163"/>
      <c r="G163"/>
      <c r="H163"/>
      <c r="I163"/>
    </row>
    <row r="164" spans="1:10" x14ac:dyDescent="0.25">
      <c r="A164"/>
      <c r="B164"/>
      <c r="C164"/>
      <c r="D164"/>
      <c r="E164"/>
      <c r="F164"/>
      <c r="G164"/>
      <c r="H164"/>
      <c r="I164"/>
    </row>
    <row r="165" spans="1:10" x14ac:dyDescent="0.25">
      <c r="A165"/>
      <c r="B165"/>
      <c r="C165"/>
      <c r="D165"/>
      <c r="E165"/>
      <c r="F165"/>
      <c r="G165"/>
      <c r="H165"/>
      <c r="I165"/>
    </row>
    <row r="166" spans="1:10" x14ac:dyDescent="0.25">
      <c r="A166"/>
      <c r="B166"/>
      <c r="C166"/>
      <c r="D166"/>
      <c r="E166"/>
      <c r="F166"/>
      <c r="G166"/>
      <c r="H166"/>
      <c r="I166"/>
    </row>
    <row r="167" spans="1:10" x14ac:dyDescent="0.25">
      <c r="A167"/>
      <c r="B167"/>
      <c r="C167"/>
      <c r="D167"/>
      <c r="E167"/>
      <c r="F167"/>
      <c r="G167"/>
      <c r="H167"/>
      <c r="I167"/>
    </row>
    <row r="168" spans="1:10" x14ac:dyDescent="0.25">
      <c r="A168"/>
      <c r="B168"/>
      <c r="C168"/>
      <c r="D168"/>
      <c r="E168"/>
      <c r="F168"/>
      <c r="G168"/>
      <c r="H168"/>
      <c r="I168"/>
    </row>
    <row r="169" spans="1:10" x14ac:dyDescent="0.25">
      <c r="A169"/>
      <c r="B169"/>
      <c r="C169"/>
      <c r="D169"/>
      <c r="E169"/>
      <c r="F169"/>
      <c r="G169"/>
      <c r="H169"/>
      <c r="I169"/>
    </row>
    <row r="170" spans="1:10" x14ac:dyDescent="0.25">
      <c r="A170"/>
      <c r="B170"/>
      <c r="C170"/>
      <c r="D170"/>
      <c r="E170"/>
      <c r="F170"/>
      <c r="G170"/>
      <c r="H170"/>
      <c r="I170"/>
    </row>
    <row r="171" spans="1:10" x14ac:dyDescent="0.25">
      <c r="A171"/>
      <c r="B171"/>
      <c r="C171"/>
      <c r="D171"/>
      <c r="E171"/>
      <c r="F171"/>
      <c r="G171"/>
      <c r="H171"/>
      <c r="I171"/>
    </row>
    <row r="172" spans="1:10" x14ac:dyDescent="0.25">
      <c r="A172"/>
      <c r="B172"/>
      <c r="C172"/>
      <c r="D172"/>
      <c r="E172"/>
      <c r="F172"/>
      <c r="G172"/>
      <c r="H172"/>
      <c r="I172"/>
    </row>
    <row r="173" spans="1:10" x14ac:dyDescent="0.25">
      <c r="A173"/>
      <c r="B173"/>
      <c r="C173"/>
      <c r="D173"/>
      <c r="E173"/>
      <c r="F173"/>
      <c r="G173"/>
      <c r="H173"/>
      <c r="I173"/>
    </row>
    <row r="174" spans="1:10" x14ac:dyDescent="0.25">
      <c r="A174"/>
      <c r="B174"/>
      <c r="C174"/>
      <c r="D174"/>
      <c r="E174"/>
      <c r="F174"/>
      <c r="G174"/>
      <c r="H174"/>
      <c r="I174"/>
    </row>
    <row r="175" spans="1:10" x14ac:dyDescent="0.25">
      <c r="A175"/>
      <c r="B175"/>
      <c r="C175"/>
      <c r="D175"/>
      <c r="E175"/>
      <c r="F175"/>
      <c r="G175"/>
      <c r="H175"/>
      <c r="I175"/>
    </row>
    <row r="176" spans="1:10" x14ac:dyDescent="0.25">
      <c r="A176"/>
      <c r="B176"/>
      <c r="C176"/>
      <c r="D176"/>
      <c r="E176"/>
      <c r="F176"/>
      <c r="G176"/>
      <c r="H176"/>
      <c r="I176"/>
    </row>
    <row r="177" spans="1:9" x14ac:dyDescent="0.25">
      <c r="A177"/>
      <c r="B177"/>
      <c r="C177"/>
      <c r="D177"/>
      <c r="E177"/>
      <c r="F177"/>
      <c r="G177"/>
      <c r="H177"/>
      <c r="I177"/>
    </row>
    <row r="178" spans="1:9" x14ac:dyDescent="0.25">
      <c r="A178"/>
      <c r="B178"/>
      <c r="C178"/>
      <c r="D178"/>
      <c r="E178"/>
      <c r="F178"/>
      <c r="G178"/>
      <c r="H178"/>
      <c r="I178"/>
    </row>
    <row r="179" spans="1:9" x14ac:dyDescent="0.25">
      <c r="A179"/>
      <c r="B179"/>
      <c r="C179"/>
      <c r="D179"/>
      <c r="E179"/>
      <c r="F179"/>
      <c r="G179"/>
      <c r="H179"/>
      <c r="I179"/>
    </row>
    <row r="180" spans="1:9" x14ac:dyDescent="0.25">
      <c r="A180"/>
      <c r="B180"/>
      <c r="C180"/>
      <c r="D180"/>
      <c r="E180"/>
      <c r="F180"/>
      <c r="G180"/>
      <c r="H180"/>
      <c r="I180"/>
    </row>
    <row r="181" spans="1:9" x14ac:dyDescent="0.25">
      <c r="A181"/>
      <c r="B181"/>
      <c r="C181"/>
      <c r="D181"/>
      <c r="E181"/>
      <c r="F181"/>
      <c r="G181"/>
      <c r="H181"/>
      <c r="I181"/>
    </row>
    <row r="182" spans="1:9" x14ac:dyDescent="0.25">
      <c r="A182"/>
      <c r="B182"/>
      <c r="C182"/>
      <c r="D182"/>
      <c r="E182"/>
      <c r="F182"/>
      <c r="G182"/>
      <c r="H182"/>
      <c r="I182"/>
    </row>
    <row r="183" spans="1:9" x14ac:dyDescent="0.25">
      <c r="A183"/>
      <c r="B183"/>
      <c r="C183"/>
      <c r="D183"/>
      <c r="E183"/>
      <c r="F183"/>
      <c r="G183"/>
      <c r="H183"/>
      <c r="I183"/>
    </row>
    <row r="184" spans="1:9" x14ac:dyDescent="0.25">
      <c r="A184"/>
      <c r="B184"/>
      <c r="C184"/>
      <c r="D184"/>
      <c r="E184"/>
      <c r="F184"/>
      <c r="G184"/>
      <c r="H184"/>
      <c r="I184"/>
    </row>
    <row r="185" spans="1:9" x14ac:dyDescent="0.25">
      <c r="A185"/>
      <c r="B185"/>
      <c r="C185"/>
      <c r="D185"/>
      <c r="E185"/>
      <c r="F185"/>
      <c r="G185"/>
      <c r="H185"/>
      <c r="I185"/>
    </row>
    <row r="186" spans="1:9" x14ac:dyDescent="0.25">
      <c r="A186"/>
      <c r="B186"/>
      <c r="C186"/>
      <c r="D186"/>
      <c r="E186"/>
      <c r="F186"/>
      <c r="G186"/>
      <c r="H186"/>
      <c r="I186"/>
    </row>
    <row r="187" spans="1:9" x14ac:dyDescent="0.25">
      <c r="A187"/>
      <c r="B187"/>
      <c r="C187"/>
      <c r="D187"/>
      <c r="E187"/>
      <c r="F187"/>
      <c r="G187"/>
      <c r="H187"/>
      <c r="I187"/>
    </row>
    <row r="188" spans="1:9" x14ac:dyDescent="0.25">
      <c r="A188"/>
      <c r="B188"/>
      <c r="C188"/>
      <c r="D188"/>
      <c r="E188"/>
      <c r="F188"/>
      <c r="G188"/>
      <c r="H188"/>
      <c r="I188"/>
    </row>
    <row r="189" spans="1:9" x14ac:dyDescent="0.25">
      <c r="A189"/>
      <c r="B189"/>
      <c r="C189"/>
      <c r="D189"/>
      <c r="E189"/>
      <c r="F189"/>
      <c r="G189"/>
      <c r="H189"/>
      <c r="I189"/>
    </row>
    <row r="190" spans="1:9" x14ac:dyDescent="0.25">
      <c r="A190"/>
      <c r="B190"/>
      <c r="C190"/>
      <c r="D190"/>
      <c r="E190"/>
      <c r="F190"/>
      <c r="G190"/>
      <c r="H190"/>
      <c r="I190"/>
    </row>
    <row r="191" spans="1:9" x14ac:dyDescent="0.25">
      <c r="A191"/>
      <c r="B191"/>
      <c r="C191"/>
      <c r="D191"/>
      <c r="E191"/>
      <c r="F191"/>
      <c r="G191"/>
      <c r="H191"/>
      <c r="I191"/>
    </row>
    <row r="192" spans="1:9" x14ac:dyDescent="0.25">
      <c r="A192"/>
      <c r="B192"/>
      <c r="C192"/>
      <c r="D192"/>
      <c r="E192"/>
      <c r="F192"/>
      <c r="G192"/>
      <c r="H192"/>
      <c r="I192"/>
    </row>
    <row r="193" spans="1:9" x14ac:dyDescent="0.25">
      <c r="A193"/>
      <c r="B193"/>
      <c r="C193"/>
      <c r="D193"/>
      <c r="E193"/>
      <c r="F193"/>
      <c r="G193"/>
      <c r="H193"/>
      <c r="I193"/>
    </row>
    <row r="194" spans="1:9" x14ac:dyDescent="0.25">
      <c r="A194"/>
      <c r="B194"/>
      <c r="C194"/>
      <c r="D194"/>
      <c r="E194"/>
      <c r="F194"/>
      <c r="G194"/>
      <c r="H194"/>
      <c r="I194"/>
    </row>
    <row r="195" spans="1:9" x14ac:dyDescent="0.25">
      <c r="A195"/>
      <c r="B195"/>
      <c r="C195"/>
      <c r="D195"/>
      <c r="E195"/>
      <c r="F195"/>
      <c r="G195"/>
      <c r="H195"/>
      <c r="I195"/>
    </row>
    <row r="196" spans="1:9" x14ac:dyDescent="0.25">
      <c r="A196"/>
      <c r="B196"/>
      <c r="C196"/>
      <c r="D196"/>
      <c r="E196"/>
      <c r="F196"/>
      <c r="G196"/>
      <c r="H196"/>
      <c r="I196"/>
    </row>
    <row r="197" spans="1:9" x14ac:dyDescent="0.25">
      <c r="A197"/>
      <c r="B197"/>
      <c r="C197"/>
      <c r="D197"/>
      <c r="E197"/>
      <c r="F197"/>
      <c r="G197"/>
      <c r="H197"/>
      <c r="I197"/>
    </row>
    <row r="198" spans="1:9" x14ac:dyDescent="0.25">
      <c r="A198"/>
      <c r="B198"/>
      <c r="C198"/>
      <c r="D198"/>
      <c r="E198"/>
      <c r="F198"/>
      <c r="G198"/>
      <c r="H198"/>
      <c r="I198"/>
    </row>
    <row r="199" spans="1:9" x14ac:dyDescent="0.25">
      <c r="A199"/>
      <c r="B199"/>
      <c r="C199"/>
      <c r="D199"/>
      <c r="E199"/>
      <c r="F199"/>
      <c r="G199"/>
      <c r="H199"/>
      <c r="I199"/>
    </row>
    <row r="200" spans="1:9" x14ac:dyDescent="0.25">
      <c r="A200"/>
      <c r="B200"/>
      <c r="C200"/>
      <c r="D200"/>
      <c r="E200"/>
      <c r="F200"/>
      <c r="G200"/>
      <c r="H200"/>
      <c r="I200"/>
    </row>
    <row r="201" spans="1:9" x14ac:dyDescent="0.25">
      <c r="A201"/>
      <c r="B201"/>
      <c r="C201"/>
      <c r="D201"/>
      <c r="E201"/>
      <c r="F201"/>
      <c r="G201"/>
      <c r="H201"/>
      <c r="I201"/>
    </row>
    <row r="202" spans="1:9" x14ac:dyDescent="0.25">
      <c r="A202"/>
      <c r="B202"/>
      <c r="C202"/>
      <c r="D202"/>
      <c r="E202"/>
      <c r="F202"/>
      <c r="G202"/>
      <c r="H202"/>
      <c r="I202"/>
    </row>
    <row r="203" spans="1:9" x14ac:dyDescent="0.25">
      <c r="A203"/>
      <c r="B203"/>
      <c r="C203"/>
      <c r="D203"/>
      <c r="E203"/>
      <c r="F203"/>
      <c r="G203"/>
      <c r="H203"/>
      <c r="I203"/>
    </row>
    <row r="204" spans="1:9" x14ac:dyDescent="0.25">
      <c r="A204"/>
      <c r="B204"/>
      <c r="C204"/>
      <c r="D204"/>
      <c r="E204"/>
      <c r="F204"/>
      <c r="G204"/>
      <c r="H204"/>
      <c r="I204"/>
    </row>
    <row r="205" spans="1:9" x14ac:dyDescent="0.25">
      <c r="A205"/>
      <c r="B205"/>
      <c r="C205"/>
      <c r="D205"/>
      <c r="E205"/>
      <c r="F205"/>
      <c r="G205"/>
      <c r="H205"/>
      <c r="I205"/>
    </row>
    <row r="206" spans="1:9" x14ac:dyDescent="0.25">
      <c r="A206"/>
      <c r="B206"/>
      <c r="C206"/>
      <c r="D206"/>
      <c r="E206"/>
      <c r="F206"/>
      <c r="G206"/>
      <c r="H206"/>
      <c r="I206"/>
    </row>
    <row r="207" spans="1:9" x14ac:dyDescent="0.25">
      <c r="A207"/>
      <c r="B207"/>
      <c r="C207"/>
      <c r="D207"/>
      <c r="E207"/>
      <c r="F207"/>
      <c r="G207"/>
      <c r="H207"/>
      <c r="I207"/>
    </row>
    <row r="208" spans="1:9" x14ac:dyDescent="0.25">
      <c r="A208"/>
      <c r="B208"/>
      <c r="C208"/>
      <c r="D208"/>
      <c r="E208"/>
      <c r="F208"/>
      <c r="G208"/>
      <c r="H208"/>
      <c r="I208"/>
    </row>
    <row r="209" spans="1:9" x14ac:dyDescent="0.25">
      <c r="A209"/>
      <c r="B209"/>
      <c r="C209"/>
      <c r="D209"/>
      <c r="E209"/>
      <c r="F209"/>
      <c r="G209"/>
      <c r="H209"/>
      <c r="I209"/>
    </row>
    <row r="210" spans="1:9" x14ac:dyDescent="0.25">
      <c r="A210"/>
      <c r="B210"/>
      <c r="C210"/>
      <c r="D210"/>
      <c r="E210"/>
      <c r="F210"/>
      <c r="G210"/>
      <c r="H210"/>
      <c r="I210"/>
    </row>
    <row r="211" spans="1:9" x14ac:dyDescent="0.25">
      <c r="A211"/>
      <c r="B211"/>
      <c r="C211"/>
      <c r="D211"/>
      <c r="E211"/>
      <c r="F211"/>
      <c r="G211"/>
      <c r="H211"/>
      <c r="I211"/>
    </row>
    <row r="212" spans="1:9" x14ac:dyDescent="0.25">
      <c r="A212"/>
      <c r="B212"/>
      <c r="C212"/>
      <c r="D212"/>
      <c r="E212"/>
      <c r="F212"/>
      <c r="G212"/>
      <c r="H212"/>
      <c r="I212"/>
    </row>
    <row r="213" spans="1:9" x14ac:dyDescent="0.25">
      <c r="A213"/>
      <c r="B213"/>
      <c r="C213"/>
      <c r="D213"/>
      <c r="E213"/>
      <c r="F213"/>
      <c r="G213"/>
      <c r="H213"/>
      <c r="I213"/>
    </row>
    <row r="214" spans="1:9" x14ac:dyDescent="0.25">
      <c r="A214"/>
      <c r="B214"/>
      <c r="C214"/>
      <c r="D214"/>
      <c r="E214"/>
      <c r="F214"/>
      <c r="G214"/>
      <c r="H214"/>
      <c r="I214"/>
    </row>
    <row r="215" spans="1:9" x14ac:dyDescent="0.25">
      <c r="A215"/>
      <c r="B215"/>
      <c r="C215"/>
      <c r="D215"/>
      <c r="E215"/>
      <c r="F215"/>
      <c r="G215"/>
      <c r="H215"/>
      <c r="I215"/>
    </row>
    <row r="216" spans="1:9" x14ac:dyDescent="0.25">
      <c r="A216"/>
      <c r="B216"/>
      <c r="C216"/>
      <c r="D216"/>
      <c r="E216"/>
      <c r="F216"/>
      <c r="G216"/>
      <c r="H216"/>
      <c r="I216"/>
    </row>
    <row r="217" spans="1:9" x14ac:dyDescent="0.25">
      <c r="A217"/>
      <c r="B217"/>
      <c r="C217"/>
      <c r="D217"/>
      <c r="E217"/>
      <c r="F217"/>
      <c r="G217"/>
      <c r="H217"/>
      <c r="I217"/>
    </row>
    <row r="218" spans="1:9" x14ac:dyDescent="0.25">
      <c r="A218"/>
      <c r="B218"/>
      <c r="C218"/>
      <c r="D218"/>
      <c r="E218"/>
      <c r="F218"/>
      <c r="G218"/>
      <c r="H218"/>
      <c r="I218"/>
    </row>
    <row r="219" spans="1:9" x14ac:dyDescent="0.25">
      <c r="A219"/>
      <c r="B219"/>
      <c r="C219"/>
      <c r="D219"/>
      <c r="E219"/>
      <c r="F219"/>
      <c r="G219"/>
      <c r="H219"/>
      <c r="I219"/>
    </row>
    <row r="220" spans="1:9" x14ac:dyDescent="0.25">
      <c r="A220"/>
      <c r="B220"/>
      <c r="C220"/>
      <c r="D220"/>
      <c r="E220"/>
      <c r="F220"/>
      <c r="G220"/>
      <c r="H220"/>
      <c r="I220"/>
    </row>
    <row r="221" spans="1:9" x14ac:dyDescent="0.25">
      <c r="A221"/>
      <c r="B221"/>
      <c r="C221"/>
      <c r="D221"/>
      <c r="E221"/>
      <c r="F221"/>
      <c r="G221"/>
      <c r="H221"/>
      <c r="I221"/>
    </row>
    <row r="222" spans="1:9" x14ac:dyDescent="0.25">
      <c r="A222"/>
      <c r="B222"/>
      <c r="C222"/>
      <c r="D222"/>
      <c r="E222"/>
      <c r="F222"/>
      <c r="G222"/>
      <c r="H222"/>
      <c r="I222"/>
    </row>
    <row r="223" spans="1:9" x14ac:dyDescent="0.25">
      <c r="A223"/>
      <c r="B223"/>
      <c r="C223"/>
      <c r="D223"/>
      <c r="E223"/>
      <c r="F223"/>
      <c r="G223"/>
      <c r="H223"/>
      <c r="I223"/>
    </row>
    <row r="224" spans="1:9" x14ac:dyDescent="0.25">
      <c r="A224"/>
      <c r="B224"/>
      <c r="C224"/>
      <c r="D224"/>
      <c r="E224"/>
      <c r="F224"/>
      <c r="G224"/>
      <c r="H224"/>
      <c r="I224"/>
    </row>
    <row r="225" spans="1:9" x14ac:dyDescent="0.25">
      <c r="A225"/>
      <c r="B225"/>
      <c r="C225"/>
      <c r="D225"/>
      <c r="E225"/>
      <c r="F225"/>
      <c r="G225"/>
      <c r="H225"/>
      <c r="I225"/>
    </row>
    <row r="226" spans="1:9" x14ac:dyDescent="0.25">
      <c r="A226"/>
      <c r="B226"/>
      <c r="C226"/>
      <c r="D226"/>
      <c r="E226"/>
      <c r="F226"/>
      <c r="G226"/>
      <c r="H226"/>
      <c r="I226"/>
    </row>
    <row r="227" spans="1:9" x14ac:dyDescent="0.25">
      <c r="A227"/>
      <c r="B227"/>
      <c r="C227"/>
      <c r="D227"/>
      <c r="E227"/>
      <c r="F227"/>
      <c r="G227"/>
      <c r="H227"/>
      <c r="I227"/>
    </row>
    <row r="228" spans="1:9" x14ac:dyDescent="0.25">
      <c r="A228"/>
      <c r="B228"/>
      <c r="C228"/>
      <c r="D228"/>
      <c r="E228"/>
      <c r="F228"/>
      <c r="G228"/>
      <c r="H228"/>
      <c r="I228"/>
    </row>
    <row r="229" spans="1:9" x14ac:dyDescent="0.25">
      <c r="A229"/>
      <c r="B229"/>
      <c r="C229"/>
      <c r="D229"/>
      <c r="E229"/>
      <c r="F229"/>
      <c r="G229"/>
      <c r="H229"/>
      <c r="I229"/>
    </row>
    <row r="230" spans="1:9" x14ac:dyDescent="0.25">
      <c r="A230"/>
      <c r="B230"/>
      <c r="C230"/>
      <c r="D230"/>
      <c r="E230"/>
      <c r="F230"/>
      <c r="G230"/>
      <c r="H230"/>
      <c r="I230"/>
    </row>
    <row r="231" spans="1:9" x14ac:dyDescent="0.25">
      <c r="A231"/>
      <c r="B231"/>
      <c r="C231"/>
      <c r="D231"/>
      <c r="E231"/>
      <c r="F231"/>
      <c r="G231"/>
      <c r="H231"/>
      <c r="I231"/>
    </row>
    <row r="232" spans="1:9" x14ac:dyDescent="0.25">
      <c r="A232"/>
      <c r="B232"/>
      <c r="C232"/>
      <c r="D232"/>
      <c r="E232"/>
      <c r="F232"/>
      <c r="G232"/>
      <c r="H232"/>
      <c r="I232"/>
    </row>
    <row r="233" spans="1:9" x14ac:dyDescent="0.25">
      <c r="A233"/>
      <c r="B233"/>
      <c r="C233"/>
      <c r="D233"/>
      <c r="E233"/>
      <c r="F233"/>
      <c r="G233"/>
      <c r="H233"/>
      <c r="I233"/>
    </row>
    <row r="234" spans="1:9" x14ac:dyDescent="0.25">
      <c r="A234"/>
      <c r="B234"/>
      <c r="C234"/>
      <c r="D234"/>
      <c r="E234"/>
      <c r="F234"/>
      <c r="G234"/>
      <c r="H234"/>
      <c r="I234"/>
    </row>
    <row r="235" spans="1:9" x14ac:dyDescent="0.25">
      <c r="A235"/>
      <c r="B235"/>
      <c r="C235"/>
      <c r="D235"/>
      <c r="E235"/>
      <c r="F235"/>
      <c r="G235"/>
      <c r="H235"/>
      <c r="I235"/>
    </row>
    <row r="236" spans="1:9" x14ac:dyDescent="0.25">
      <c r="A236"/>
      <c r="B236"/>
      <c r="C236"/>
      <c r="D236"/>
      <c r="E236"/>
      <c r="F236"/>
      <c r="G236"/>
      <c r="H236"/>
      <c r="I236"/>
    </row>
    <row r="237" spans="1:9" x14ac:dyDescent="0.25">
      <c r="A237"/>
      <c r="B237"/>
      <c r="C237"/>
      <c r="D237"/>
      <c r="E237"/>
      <c r="F237"/>
      <c r="G237"/>
      <c r="H237"/>
      <c r="I237"/>
    </row>
    <row r="238" spans="1:9" x14ac:dyDescent="0.25">
      <c r="A238"/>
      <c r="B238"/>
      <c r="C238"/>
      <c r="D238"/>
      <c r="E238"/>
      <c r="F238"/>
      <c r="G238"/>
      <c r="H238"/>
      <c r="I238"/>
    </row>
    <row r="239" spans="1:9" x14ac:dyDescent="0.25">
      <c r="A239"/>
      <c r="B239"/>
      <c r="C239"/>
      <c r="D239"/>
      <c r="E239"/>
      <c r="F239"/>
      <c r="G239"/>
      <c r="H239"/>
      <c r="I239"/>
    </row>
    <row r="240" spans="1:9" x14ac:dyDescent="0.25">
      <c r="A240"/>
      <c r="B240"/>
      <c r="C240"/>
      <c r="D240"/>
      <c r="E240"/>
      <c r="F240"/>
      <c r="G240"/>
      <c r="H240"/>
      <c r="I240"/>
    </row>
    <row r="241" spans="1:9" x14ac:dyDescent="0.25">
      <c r="A241"/>
      <c r="B241"/>
      <c r="C241"/>
      <c r="D241"/>
      <c r="E241"/>
      <c r="F241"/>
      <c r="G241"/>
      <c r="H241"/>
      <c r="I241"/>
    </row>
    <row r="242" spans="1:9" x14ac:dyDescent="0.25">
      <c r="A242"/>
      <c r="B242"/>
      <c r="C242"/>
      <c r="D242"/>
      <c r="E242"/>
      <c r="F242"/>
      <c r="G242"/>
      <c r="H242"/>
      <c r="I242"/>
    </row>
    <row r="243" spans="1:9" x14ac:dyDescent="0.25">
      <c r="A243"/>
      <c r="B243"/>
      <c r="C243"/>
      <c r="D243"/>
      <c r="E243"/>
      <c r="F243"/>
      <c r="G243"/>
      <c r="H243"/>
      <c r="I243"/>
    </row>
    <row r="244" spans="1:9" x14ac:dyDescent="0.25">
      <c r="A244"/>
      <c r="B244"/>
      <c r="C244"/>
      <c r="D244"/>
      <c r="E244"/>
      <c r="F244"/>
      <c r="G244"/>
      <c r="H244"/>
      <c r="I244"/>
    </row>
    <row r="245" spans="1:9" x14ac:dyDescent="0.25">
      <c r="A245"/>
      <c r="B245"/>
      <c r="C245"/>
      <c r="D245"/>
      <c r="E245"/>
      <c r="F245"/>
      <c r="G245"/>
      <c r="H245"/>
      <c r="I245"/>
    </row>
    <row r="246" spans="1:9" x14ac:dyDescent="0.25">
      <c r="A246"/>
      <c r="B246"/>
      <c r="C246"/>
      <c r="D246"/>
      <c r="E246"/>
      <c r="F246"/>
      <c r="G246"/>
      <c r="H246"/>
      <c r="I246"/>
    </row>
    <row r="247" spans="1:9" x14ac:dyDescent="0.25">
      <c r="A247"/>
      <c r="B247"/>
      <c r="C247"/>
      <c r="D247"/>
      <c r="E247"/>
      <c r="F247"/>
      <c r="G247"/>
      <c r="H247"/>
      <c r="I247"/>
    </row>
    <row r="248" spans="1:9" x14ac:dyDescent="0.25">
      <c r="A248"/>
      <c r="B248"/>
      <c r="C248"/>
      <c r="D248"/>
      <c r="E248"/>
      <c r="F248"/>
      <c r="G248"/>
      <c r="H248"/>
      <c r="I248"/>
    </row>
    <row r="249" spans="1:9" x14ac:dyDescent="0.25">
      <c r="A249"/>
      <c r="B249"/>
      <c r="C249"/>
      <c r="D249"/>
      <c r="E249"/>
      <c r="F249"/>
      <c r="G249"/>
      <c r="H249"/>
      <c r="I249"/>
    </row>
    <row r="250" spans="1:9" x14ac:dyDescent="0.25">
      <c r="A250"/>
      <c r="B250"/>
      <c r="C250"/>
      <c r="D250"/>
      <c r="E250"/>
      <c r="F250"/>
      <c r="G250"/>
      <c r="H250"/>
      <c r="I250"/>
    </row>
    <row r="251" spans="1:9" x14ac:dyDescent="0.25">
      <c r="A251"/>
      <c r="B251"/>
      <c r="C251"/>
      <c r="D251"/>
      <c r="E251"/>
      <c r="F251"/>
      <c r="G251"/>
      <c r="H251"/>
      <c r="I251"/>
    </row>
    <row r="252" spans="1:9" x14ac:dyDescent="0.25">
      <c r="A252"/>
      <c r="B252"/>
      <c r="C252"/>
      <c r="D252"/>
      <c r="E252"/>
      <c r="F252"/>
      <c r="G252"/>
      <c r="H252"/>
      <c r="I252"/>
    </row>
    <row r="253" spans="1:9" x14ac:dyDescent="0.25">
      <c r="A253"/>
      <c r="B253"/>
      <c r="C253"/>
      <c r="D253"/>
      <c r="E253"/>
      <c r="F253"/>
      <c r="G253"/>
      <c r="H253"/>
      <c r="I253"/>
    </row>
    <row r="254" spans="1:9" x14ac:dyDescent="0.25">
      <c r="A254"/>
      <c r="B254"/>
      <c r="C254"/>
      <c r="D254"/>
      <c r="E254"/>
      <c r="F254"/>
      <c r="G254"/>
      <c r="H254"/>
      <c r="I254"/>
    </row>
    <row r="255" spans="1:9" x14ac:dyDescent="0.25">
      <c r="A255"/>
      <c r="B255"/>
      <c r="C255"/>
      <c r="D255"/>
      <c r="E255"/>
      <c r="F255"/>
      <c r="G255"/>
      <c r="H255"/>
      <c r="I255"/>
    </row>
    <row r="256" spans="1:9" x14ac:dyDescent="0.25">
      <c r="A256"/>
      <c r="B256"/>
      <c r="C256"/>
      <c r="D256"/>
      <c r="E256"/>
      <c r="F256"/>
      <c r="G256"/>
      <c r="H256"/>
      <c r="I256"/>
    </row>
    <row r="257" spans="1:9" x14ac:dyDescent="0.25">
      <c r="A257"/>
      <c r="B257"/>
      <c r="C257"/>
      <c r="D257"/>
      <c r="E257"/>
      <c r="F257"/>
      <c r="G257"/>
      <c r="H257"/>
      <c r="I257"/>
    </row>
    <row r="258" spans="1:9" x14ac:dyDescent="0.25">
      <c r="A258"/>
      <c r="B258"/>
      <c r="C258"/>
      <c r="D258"/>
      <c r="E258"/>
      <c r="F258"/>
      <c r="G258"/>
      <c r="H258"/>
      <c r="I258"/>
    </row>
    <row r="259" spans="1:9" x14ac:dyDescent="0.25">
      <c r="A259"/>
      <c r="B259"/>
      <c r="C259"/>
      <c r="D259"/>
      <c r="E259"/>
      <c r="F259"/>
      <c r="G259"/>
      <c r="H259"/>
      <c r="I259"/>
    </row>
    <row r="260" spans="1:9" x14ac:dyDescent="0.25">
      <c r="A260"/>
      <c r="B260"/>
      <c r="C260"/>
      <c r="D260"/>
      <c r="E260"/>
      <c r="F260"/>
      <c r="G260"/>
      <c r="H260"/>
      <c r="I260"/>
    </row>
    <row r="261" spans="1:9" x14ac:dyDescent="0.25">
      <c r="A261"/>
      <c r="B261"/>
      <c r="C261"/>
      <c r="D261"/>
      <c r="E261"/>
      <c r="F261"/>
      <c r="G261"/>
      <c r="H261"/>
      <c r="I261"/>
    </row>
    <row r="262" spans="1:9" x14ac:dyDescent="0.25">
      <c r="A262"/>
      <c r="B262"/>
      <c r="C262"/>
      <c r="D262"/>
      <c r="E262"/>
      <c r="F262"/>
      <c r="G262"/>
      <c r="H262"/>
      <c r="I262"/>
    </row>
    <row r="263" spans="1:9" x14ac:dyDescent="0.25">
      <c r="A263"/>
      <c r="B263"/>
      <c r="C263"/>
      <c r="D263"/>
      <c r="E263"/>
      <c r="F263"/>
      <c r="G263"/>
      <c r="H263"/>
      <c r="I263"/>
    </row>
    <row r="264" spans="1:9" x14ac:dyDescent="0.25">
      <c r="A264"/>
      <c r="B264"/>
      <c r="C264"/>
      <c r="D264"/>
      <c r="E264"/>
      <c r="F264"/>
      <c r="G264"/>
      <c r="H264"/>
      <c r="I264"/>
    </row>
    <row r="265" spans="1:9" x14ac:dyDescent="0.25">
      <c r="A265"/>
      <c r="B265"/>
      <c r="C265"/>
      <c r="D265"/>
      <c r="E265"/>
      <c r="F265"/>
      <c r="G265"/>
      <c r="H265"/>
      <c r="I265"/>
    </row>
    <row r="266" spans="1:9" x14ac:dyDescent="0.25">
      <c r="A266"/>
      <c r="B266"/>
      <c r="C266"/>
      <c r="D266"/>
      <c r="E266"/>
      <c r="F266"/>
      <c r="G266"/>
      <c r="H266"/>
      <c r="I266"/>
    </row>
    <row r="267" spans="1:9" x14ac:dyDescent="0.25">
      <c r="A267"/>
      <c r="B267"/>
      <c r="C267"/>
      <c r="D267"/>
      <c r="E267"/>
      <c r="F267"/>
      <c r="G267"/>
      <c r="H267"/>
      <c r="I267"/>
    </row>
    <row r="268" spans="1:9" x14ac:dyDescent="0.25">
      <c r="A268"/>
      <c r="B268"/>
      <c r="C268"/>
      <c r="D268"/>
      <c r="E268"/>
      <c r="F268"/>
      <c r="G268"/>
      <c r="H268"/>
      <c r="I268"/>
    </row>
    <row r="269" spans="1:9" x14ac:dyDescent="0.25">
      <c r="A269"/>
      <c r="B269"/>
      <c r="C269"/>
      <c r="D269"/>
      <c r="E269"/>
      <c r="F269"/>
      <c r="G269"/>
      <c r="H269"/>
      <c r="I269"/>
    </row>
    <row r="270" spans="1:9" x14ac:dyDescent="0.25">
      <c r="A270"/>
      <c r="B270"/>
      <c r="C270"/>
      <c r="D270"/>
      <c r="E270"/>
      <c r="F270"/>
      <c r="G270"/>
      <c r="H270"/>
      <c r="I270"/>
    </row>
    <row r="271" spans="1:9" x14ac:dyDescent="0.25">
      <c r="A271"/>
      <c r="B271"/>
      <c r="C271"/>
      <c r="D271"/>
      <c r="E271"/>
      <c r="F271"/>
      <c r="G271"/>
      <c r="H271"/>
      <c r="I271"/>
    </row>
    <row r="272" spans="1:9" x14ac:dyDescent="0.25">
      <c r="A272"/>
      <c r="B272"/>
      <c r="C272"/>
      <c r="D272"/>
      <c r="E272"/>
      <c r="F272"/>
      <c r="G272"/>
      <c r="H272"/>
      <c r="I272"/>
    </row>
    <row r="273" spans="1:9" x14ac:dyDescent="0.25">
      <c r="A273"/>
      <c r="B273"/>
      <c r="C273"/>
      <c r="D273"/>
      <c r="E273"/>
      <c r="F273"/>
      <c r="G273"/>
      <c r="H273"/>
      <c r="I273"/>
    </row>
    <row r="274" spans="1:9" x14ac:dyDescent="0.25">
      <c r="A274"/>
      <c r="B274"/>
      <c r="C274"/>
      <c r="D274"/>
      <c r="E274"/>
      <c r="F274"/>
      <c r="G274"/>
      <c r="H274"/>
      <c r="I274"/>
    </row>
    <row r="275" spans="1:9" x14ac:dyDescent="0.25">
      <c r="A275"/>
      <c r="B275"/>
      <c r="C275"/>
      <c r="D275"/>
      <c r="E275"/>
      <c r="F275"/>
      <c r="G275"/>
      <c r="H275"/>
      <c r="I275"/>
    </row>
    <row r="276" spans="1:9" x14ac:dyDescent="0.25">
      <c r="A276"/>
      <c r="B276"/>
      <c r="C276"/>
      <c r="D276"/>
      <c r="E276"/>
      <c r="F276"/>
      <c r="G276"/>
      <c r="H276"/>
      <c r="I276"/>
    </row>
    <row r="277" spans="1:9" x14ac:dyDescent="0.25">
      <c r="A277"/>
      <c r="B277"/>
      <c r="C277"/>
      <c r="D277"/>
      <c r="E277"/>
      <c r="F277"/>
      <c r="G277"/>
      <c r="H277"/>
      <c r="I277"/>
    </row>
    <row r="278" spans="1:9" x14ac:dyDescent="0.25">
      <c r="A278"/>
      <c r="B278"/>
      <c r="C278"/>
      <c r="D278"/>
      <c r="E278"/>
      <c r="F278"/>
      <c r="G278"/>
      <c r="H278"/>
      <c r="I278"/>
    </row>
    <row r="279" spans="1:9" x14ac:dyDescent="0.25">
      <c r="A279"/>
      <c r="B279"/>
      <c r="C279"/>
      <c r="D279"/>
      <c r="E279"/>
      <c r="F279"/>
      <c r="G279"/>
      <c r="H279"/>
      <c r="I279"/>
    </row>
    <row r="280" spans="1:9" x14ac:dyDescent="0.25">
      <c r="A280"/>
      <c r="B280"/>
      <c r="C280"/>
      <c r="D280"/>
      <c r="E280"/>
      <c r="F280"/>
      <c r="G280"/>
      <c r="H280"/>
      <c r="I280"/>
    </row>
    <row r="281" spans="1:9" x14ac:dyDescent="0.25">
      <c r="A281"/>
      <c r="B281"/>
      <c r="C281"/>
      <c r="D281"/>
      <c r="E281"/>
      <c r="F281"/>
      <c r="G281"/>
      <c r="H281"/>
      <c r="I281"/>
    </row>
    <row r="282" spans="1:9" x14ac:dyDescent="0.25">
      <c r="A282"/>
      <c r="B282"/>
      <c r="C282"/>
      <c r="D282"/>
      <c r="E282"/>
      <c r="F282"/>
      <c r="G282"/>
      <c r="H282"/>
      <c r="I282"/>
    </row>
    <row r="283" spans="1:9" x14ac:dyDescent="0.25">
      <c r="A283"/>
      <c r="B283"/>
      <c r="C283"/>
      <c r="D283"/>
      <c r="E283"/>
      <c r="F283"/>
      <c r="G283"/>
      <c r="H283"/>
      <c r="I283"/>
    </row>
    <row r="284" spans="1:9" x14ac:dyDescent="0.25">
      <c r="A284"/>
      <c r="B284"/>
      <c r="C284"/>
      <c r="D284"/>
      <c r="E284"/>
      <c r="F284"/>
      <c r="G284"/>
      <c r="H284"/>
      <c r="I284"/>
    </row>
    <row r="285" spans="1:9" x14ac:dyDescent="0.25">
      <c r="A285"/>
      <c r="B285"/>
      <c r="C285"/>
      <c r="D285"/>
      <c r="E285"/>
      <c r="F285"/>
      <c r="G285"/>
      <c r="H285"/>
      <c r="I285"/>
    </row>
    <row r="286" spans="1:9" x14ac:dyDescent="0.25">
      <c r="A286"/>
      <c r="B286"/>
      <c r="C286"/>
      <c r="D286"/>
      <c r="E286"/>
      <c r="F286"/>
      <c r="G286"/>
      <c r="H286"/>
      <c r="I286"/>
    </row>
    <row r="287" spans="1:9" x14ac:dyDescent="0.25">
      <c r="A287"/>
      <c r="B287"/>
      <c r="C287"/>
      <c r="D287"/>
      <c r="E287"/>
      <c r="F287"/>
      <c r="G287"/>
      <c r="H287"/>
      <c r="I287"/>
    </row>
    <row r="288" spans="1:9" x14ac:dyDescent="0.25">
      <c r="A288"/>
      <c r="B288"/>
      <c r="C288"/>
      <c r="D288"/>
      <c r="E288"/>
      <c r="F288"/>
      <c r="G288"/>
      <c r="H288"/>
      <c r="I288"/>
    </row>
    <row r="289" spans="1:9" x14ac:dyDescent="0.25">
      <c r="A289"/>
      <c r="B289"/>
      <c r="C289"/>
      <c r="D289"/>
      <c r="E289"/>
      <c r="F289"/>
      <c r="G289"/>
      <c r="H289"/>
      <c r="I289"/>
    </row>
    <row r="290" spans="1:9" x14ac:dyDescent="0.25">
      <c r="A290"/>
      <c r="B290"/>
      <c r="C290"/>
      <c r="D290"/>
      <c r="E290"/>
      <c r="F290"/>
      <c r="G290"/>
      <c r="H290"/>
      <c r="I290"/>
    </row>
    <row r="291" spans="1:9" x14ac:dyDescent="0.25">
      <c r="A291"/>
      <c r="B291"/>
      <c r="C291"/>
      <c r="D291"/>
      <c r="E291"/>
      <c r="F291"/>
      <c r="G291"/>
      <c r="H291"/>
      <c r="I291"/>
    </row>
    <row r="292" spans="1:9" x14ac:dyDescent="0.25">
      <c r="A292"/>
      <c r="B292"/>
      <c r="C292"/>
      <c r="D292"/>
      <c r="E292"/>
      <c r="F292"/>
      <c r="G292"/>
      <c r="H292"/>
      <c r="I292"/>
    </row>
    <row r="293" spans="1:9" x14ac:dyDescent="0.25">
      <c r="A293"/>
      <c r="B293"/>
      <c r="C293"/>
      <c r="D293"/>
      <c r="E293"/>
      <c r="F293"/>
      <c r="G293"/>
      <c r="H293"/>
      <c r="I293"/>
    </row>
    <row r="294" spans="1:9" x14ac:dyDescent="0.25">
      <c r="A294"/>
      <c r="B294"/>
      <c r="C294"/>
      <c r="D294"/>
      <c r="E294"/>
      <c r="F294"/>
      <c r="G294"/>
      <c r="H294"/>
      <c r="I294"/>
    </row>
    <row r="295" spans="1:9" x14ac:dyDescent="0.25">
      <c r="A295"/>
      <c r="B295"/>
      <c r="C295"/>
      <c r="D295"/>
      <c r="E295"/>
      <c r="F295"/>
      <c r="G295"/>
      <c r="H295"/>
      <c r="I295"/>
    </row>
    <row r="296" spans="1:9" x14ac:dyDescent="0.25">
      <c r="A296"/>
      <c r="B296"/>
      <c r="C296"/>
      <c r="D296"/>
      <c r="E296"/>
      <c r="F296"/>
      <c r="G296"/>
      <c r="H296"/>
      <c r="I296"/>
    </row>
    <row r="297" spans="1:9" x14ac:dyDescent="0.25">
      <c r="A297"/>
      <c r="B297"/>
      <c r="C297"/>
      <c r="D297"/>
      <c r="E297"/>
      <c r="F297"/>
      <c r="G297"/>
      <c r="H297"/>
      <c r="I297"/>
    </row>
    <row r="298" spans="1:9" x14ac:dyDescent="0.25">
      <c r="A298"/>
      <c r="B298"/>
      <c r="C298"/>
      <c r="D298"/>
      <c r="E298"/>
      <c r="F298"/>
      <c r="G298"/>
      <c r="H298"/>
      <c r="I298"/>
    </row>
    <row r="299" spans="1:9" x14ac:dyDescent="0.25">
      <c r="A299"/>
      <c r="B299"/>
      <c r="C299"/>
      <c r="D299"/>
      <c r="E299"/>
      <c r="F299"/>
      <c r="G299"/>
      <c r="H299"/>
      <c r="I299"/>
    </row>
    <row r="300" spans="1:9" x14ac:dyDescent="0.25">
      <c r="A300"/>
      <c r="B300"/>
      <c r="C300"/>
      <c r="D300"/>
      <c r="E300"/>
      <c r="F300"/>
      <c r="G300"/>
      <c r="H300"/>
      <c r="I300"/>
    </row>
    <row r="301" spans="1:9" x14ac:dyDescent="0.25">
      <c r="A301"/>
      <c r="B301"/>
      <c r="C301"/>
      <c r="D301"/>
      <c r="E301"/>
      <c r="F301"/>
      <c r="G301"/>
      <c r="H301"/>
      <c r="I301"/>
    </row>
    <row r="302" spans="1:9" x14ac:dyDescent="0.25">
      <c r="A302"/>
      <c r="B302"/>
      <c r="C302"/>
      <c r="D302"/>
      <c r="E302"/>
      <c r="F302"/>
      <c r="G302"/>
      <c r="H302"/>
      <c r="I302"/>
    </row>
    <row r="303" spans="1:9" x14ac:dyDescent="0.25">
      <c r="A303"/>
      <c r="B303"/>
      <c r="C303"/>
      <c r="D303"/>
      <c r="E303"/>
      <c r="F303"/>
      <c r="G303"/>
      <c r="H303"/>
      <c r="I303"/>
    </row>
    <row r="304" spans="1:9" x14ac:dyDescent="0.25">
      <c r="A304"/>
      <c r="B304"/>
      <c r="C304"/>
      <c r="D304"/>
      <c r="E304"/>
      <c r="F304"/>
      <c r="G304"/>
      <c r="H304"/>
      <c r="I304"/>
    </row>
    <row r="305" spans="1:9" x14ac:dyDescent="0.25">
      <c r="A305"/>
      <c r="B305"/>
      <c r="C305"/>
      <c r="D305"/>
      <c r="E305"/>
      <c r="F305"/>
      <c r="G305"/>
      <c r="H305"/>
      <c r="I305"/>
    </row>
    <row r="306" spans="1:9" x14ac:dyDescent="0.25">
      <c r="A306"/>
      <c r="B306"/>
      <c r="C306"/>
      <c r="D306"/>
      <c r="E306"/>
      <c r="F306"/>
      <c r="G306"/>
      <c r="H306"/>
      <c r="I306"/>
    </row>
    <row r="307" spans="1:9" x14ac:dyDescent="0.25">
      <c r="A307"/>
      <c r="B307"/>
      <c r="C307"/>
      <c r="D307"/>
      <c r="E307"/>
      <c r="F307"/>
      <c r="G307"/>
      <c r="H307"/>
      <c r="I307"/>
    </row>
    <row r="308" spans="1:9" x14ac:dyDescent="0.25">
      <c r="A308"/>
      <c r="B308"/>
      <c r="C308"/>
      <c r="D308"/>
      <c r="E308"/>
      <c r="F308"/>
      <c r="G308"/>
      <c r="H308"/>
      <c r="I308"/>
    </row>
    <row r="309" spans="1:9" x14ac:dyDescent="0.25">
      <c r="A309"/>
      <c r="B309"/>
      <c r="C309"/>
      <c r="D309"/>
      <c r="E309"/>
      <c r="F309"/>
      <c r="G309"/>
      <c r="H309"/>
      <c r="I309"/>
    </row>
    <row r="310" spans="1:9" x14ac:dyDescent="0.25">
      <c r="A310"/>
      <c r="B310"/>
      <c r="C310"/>
      <c r="D310"/>
      <c r="E310"/>
      <c r="F310"/>
      <c r="G310"/>
      <c r="H310"/>
      <c r="I310"/>
    </row>
    <row r="311" spans="1:9" x14ac:dyDescent="0.25">
      <c r="A311"/>
      <c r="B311"/>
      <c r="C311"/>
      <c r="D311"/>
      <c r="E311"/>
      <c r="F311"/>
      <c r="G311"/>
      <c r="H311"/>
      <c r="I311"/>
    </row>
    <row r="312" spans="1:9" x14ac:dyDescent="0.25">
      <c r="A312"/>
      <c r="B312"/>
      <c r="C312"/>
      <c r="D312"/>
      <c r="E312"/>
      <c r="F312"/>
      <c r="G312"/>
      <c r="H312"/>
      <c r="I312"/>
    </row>
    <row r="313" spans="1:9" x14ac:dyDescent="0.25">
      <c r="A313"/>
      <c r="B313"/>
      <c r="C313"/>
      <c r="D313"/>
      <c r="E313"/>
      <c r="F313"/>
      <c r="G313"/>
      <c r="H313"/>
      <c r="I313"/>
    </row>
    <row r="314" spans="1:9" x14ac:dyDescent="0.25">
      <c r="A314"/>
      <c r="B314"/>
      <c r="C314"/>
      <c r="D314"/>
      <c r="E314"/>
      <c r="F314"/>
      <c r="G314"/>
      <c r="H314"/>
      <c r="I314"/>
    </row>
    <row r="315" spans="1:9" x14ac:dyDescent="0.25">
      <c r="A315"/>
      <c r="B315"/>
      <c r="C315"/>
      <c r="D315"/>
      <c r="E315"/>
      <c r="F315"/>
      <c r="G315"/>
      <c r="H315"/>
      <c r="I315"/>
    </row>
    <row r="316" spans="1:9" x14ac:dyDescent="0.25">
      <c r="A316"/>
      <c r="B316"/>
      <c r="C316"/>
      <c r="D316"/>
      <c r="E316"/>
      <c r="F316"/>
      <c r="G316"/>
      <c r="H316"/>
      <c r="I316"/>
    </row>
    <row r="317" spans="1:9" x14ac:dyDescent="0.25">
      <c r="A317"/>
      <c r="B317"/>
      <c r="C317"/>
      <c r="D317"/>
      <c r="E317"/>
      <c r="F317"/>
      <c r="G317"/>
      <c r="H317"/>
      <c r="I317"/>
    </row>
    <row r="318" spans="1:9" x14ac:dyDescent="0.25">
      <c r="A318"/>
      <c r="B318"/>
      <c r="C318"/>
      <c r="D318"/>
      <c r="E318"/>
      <c r="F318"/>
      <c r="G318"/>
      <c r="H318"/>
      <c r="I318"/>
    </row>
    <row r="319" spans="1:9" x14ac:dyDescent="0.25">
      <c r="A319"/>
      <c r="B319"/>
      <c r="C319"/>
      <c r="D319"/>
      <c r="E319"/>
      <c r="F319"/>
      <c r="G319"/>
      <c r="H319"/>
      <c r="I319"/>
    </row>
    <row r="320" spans="1:9" x14ac:dyDescent="0.25">
      <c r="A320"/>
      <c r="B320"/>
      <c r="C320"/>
      <c r="D320"/>
      <c r="E320"/>
      <c r="F320"/>
      <c r="G320"/>
      <c r="H320"/>
      <c r="I320"/>
    </row>
    <row r="321" spans="1:9" x14ac:dyDescent="0.25">
      <c r="A321"/>
      <c r="B321"/>
      <c r="C321"/>
      <c r="D321"/>
      <c r="E321"/>
      <c r="F321"/>
      <c r="G321"/>
      <c r="H321"/>
      <c r="I321"/>
    </row>
    <row r="322" spans="1:9" x14ac:dyDescent="0.25">
      <c r="A322"/>
      <c r="B322"/>
      <c r="C322"/>
      <c r="D322"/>
      <c r="E322"/>
      <c r="F322"/>
      <c r="G322"/>
      <c r="H322"/>
      <c r="I322"/>
    </row>
    <row r="323" spans="1:9" x14ac:dyDescent="0.25">
      <c r="A323"/>
      <c r="B323"/>
      <c r="C323"/>
      <c r="D323"/>
      <c r="E323"/>
      <c r="F323"/>
      <c r="G323"/>
      <c r="H323"/>
      <c r="I323"/>
    </row>
    <row r="324" spans="1:9" x14ac:dyDescent="0.25">
      <c r="A324"/>
      <c r="B324"/>
      <c r="C324"/>
      <c r="D324"/>
      <c r="E324"/>
      <c r="F324"/>
      <c r="G324"/>
      <c r="H324"/>
      <c r="I324"/>
    </row>
    <row r="325" spans="1:9" x14ac:dyDescent="0.25">
      <c r="A325"/>
      <c r="B325"/>
      <c r="C325"/>
      <c r="D325"/>
      <c r="E325"/>
      <c r="F325"/>
      <c r="G325"/>
      <c r="H325"/>
      <c r="I325"/>
    </row>
    <row r="326" spans="1:9" x14ac:dyDescent="0.25">
      <c r="A326"/>
      <c r="B326"/>
      <c r="C326"/>
      <c r="D326"/>
      <c r="E326"/>
      <c r="F326"/>
      <c r="G326"/>
      <c r="H326"/>
      <c r="I326"/>
    </row>
    <row r="327" spans="1:9" x14ac:dyDescent="0.25">
      <c r="A327"/>
      <c r="B327"/>
      <c r="C327"/>
      <c r="D327"/>
      <c r="E327"/>
      <c r="F327"/>
      <c r="G327"/>
      <c r="H327"/>
      <c r="I327"/>
    </row>
    <row r="328" spans="1:9" x14ac:dyDescent="0.25">
      <c r="A328"/>
      <c r="B328"/>
      <c r="C328"/>
      <c r="D328"/>
      <c r="E328"/>
      <c r="F328"/>
      <c r="G328"/>
      <c r="H328"/>
      <c r="I328"/>
    </row>
    <row r="329" spans="1:9" x14ac:dyDescent="0.25">
      <c r="A329"/>
      <c r="B329"/>
      <c r="C329"/>
      <c r="D329"/>
      <c r="E329"/>
      <c r="F329"/>
      <c r="G329"/>
      <c r="H329"/>
      <c r="I329"/>
    </row>
    <row r="330" spans="1:9" x14ac:dyDescent="0.25">
      <c r="A330"/>
      <c r="B330"/>
      <c r="C330"/>
      <c r="D330"/>
      <c r="E330"/>
      <c r="F330"/>
      <c r="G330"/>
      <c r="H330"/>
      <c r="I330"/>
    </row>
    <row r="331" spans="1:9" x14ac:dyDescent="0.25">
      <c r="A331"/>
      <c r="B331"/>
      <c r="C331"/>
      <c r="D331"/>
      <c r="E331"/>
      <c r="F331"/>
      <c r="G331"/>
      <c r="H331"/>
      <c r="I331"/>
    </row>
    <row r="332" spans="1:9" x14ac:dyDescent="0.25">
      <c r="A332"/>
      <c r="B332"/>
      <c r="C332"/>
      <c r="D332"/>
      <c r="E332"/>
      <c r="F332"/>
      <c r="G332"/>
      <c r="H332"/>
      <c r="I332"/>
    </row>
    <row r="333" spans="1:9" x14ac:dyDescent="0.25">
      <c r="A333"/>
      <c r="B333"/>
      <c r="C333"/>
      <c r="D333"/>
      <c r="E333"/>
      <c r="F333"/>
      <c r="G333"/>
      <c r="H333"/>
      <c r="I333"/>
    </row>
    <row r="334" spans="1:9" x14ac:dyDescent="0.25">
      <c r="A334"/>
      <c r="B334"/>
      <c r="C334"/>
      <c r="D334"/>
      <c r="E334"/>
      <c r="F334"/>
      <c r="G334"/>
      <c r="H334"/>
      <c r="I334"/>
    </row>
    <row r="335" spans="1:9" x14ac:dyDescent="0.25">
      <c r="A335"/>
      <c r="B335"/>
      <c r="C335"/>
      <c r="D335"/>
      <c r="E335"/>
      <c r="F335"/>
      <c r="G335"/>
      <c r="H335"/>
      <c r="I335"/>
    </row>
    <row r="336" spans="1:9" x14ac:dyDescent="0.25">
      <c r="A336"/>
      <c r="B336"/>
      <c r="C336"/>
      <c r="D336"/>
      <c r="E336"/>
      <c r="F336"/>
      <c r="G336"/>
      <c r="H336"/>
      <c r="I336"/>
    </row>
    <row r="337" spans="1:9" x14ac:dyDescent="0.25">
      <c r="A337"/>
      <c r="B337"/>
      <c r="C337"/>
      <c r="D337"/>
      <c r="E337"/>
      <c r="F337"/>
      <c r="G337"/>
      <c r="H337"/>
      <c r="I337"/>
    </row>
    <row r="338" spans="1:9" x14ac:dyDescent="0.25">
      <c r="A338"/>
      <c r="B338"/>
      <c r="C338"/>
      <c r="D338"/>
      <c r="E338"/>
      <c r="F338"/>
      <c r="G338"/>
      <c r="H338"/>
      <c r="I338"/>
    </row>
    <row r="339" spans="1:9" x14ac:dyDescent="0.25">
      <c r="A339"/>
      <c r="B339"/>
      <c r="C339"/>
      <c r="D339"/>
      <c r="E339"/>
      <c r="F339"/>
      <c r="G339"/>
      <c r="H339"/>
      <c r="I339"/>
    </row>
    <row r="340" spans="1:9" x14ac:dyDescent="0.25">
      <c r="A340"/>
      <c r="B340"/>
      <c r="C340"/>
      <c r="D340"/>
      <c r="E340"/>
      <c r="F340"/>
      <c r="G340"/>
      <c r="H340"/>
      <c r="I340"/>
    </row>
    <row r="341" spans="1:9" x14ac:dyDescent="0.25">
      <c r="A341"/>
      <c r="B341"/>
      <c r="C341"/>
      <c r="D341"/>
      <c r="E341"/>
      <c r="F341"/>
      <c r="G341"/>
      <c r="H341"/>
      <c r="I341"/>
    </row>
    <row r="342" spans="1:9" x14ac:dyDescent="0.25">
      <c r="A342"/>
      <c r="B342"/>
      <c r="C342"/>
      <c r="D342"/>
      <c r="E342"/>
      <c r="F342"/>
      <c r="G342"/>
      <c r="H342"/>
      <c r="I342"/>
    </row>
    <row r="343" spans="1:9" x14ac:dyDescent="0.25">
      <c r="A343"/>
      <c r="B343"/>
      <c r="C343"/>
      <c r="D343"/>
      <c r="E343"/>
      <c r="F343"/>
      <c r="G343"/>
      <c r="H343"/>
      <c r="I343"/>
    </row>
    <row r="344" spans="1:9" x14ac:dyDescent="0.25">
      <c r="A344"/>
      <c r="B344"/>
      <c r="C344"/>
      <c r="D344"/>
      <c r="E344"/>
      <c r="F344"/>
      <c r="G344"/>
      <c r="H344"/>
      <c r="I344"/>
    </row>
    <row r="345" spans="1:9" x14ac:dyDescent="0.25">
      <c r="A345"/>
      <c r="B345"/>
      <c r="C345"/>
      <c r="D345"/>
      <c r="E345"/>
      <c r="F345"/>
      <c r="G345"/>
      <c r="H345"/>
      <c r="I345"/>
    </row>
    <row r="346" spans="1:9" x14ac:dyDescent="0.25">
      <c r="A346"/>
      <c r="B346"/>
      <c r="C346"/>
      <c r="D346"/>
      <c r="E346"/>
      <c r="F346"/>
      <c r="G346"/>
      <c r="H346"/>
      <c r="I346"/>
    </row>
    <row r="347" spans="1:9" x14ac:dyDescent="0.25">
      <c r="A347"/>
      <c r="B347"/>
      <c r="C347"/>
      <c r="D347"/>
      <c r="E347"/>
      <c r="F347"/>
      <c r="G347"/>
      <c r="H347"/>
      <c r="I347"/>
    </row>
    <row r="348" spans="1:9" x14ac:dyDescent="0.25">
      <c r="A348"/>
      <c r="B348"/>
      <c r="C348"/>
      <c r="D348"/>
      <c r="E348"/>
      <c r="F348"/>
      <c r="G348"/>
      <c r="H348"/>
      <c r="I348"/>
    </row>
    <row r="349" spans="1:9" x14ac:dyDescent="0.25">
      <c r="A349"/>
      <c r="B349"/>
      <c r="C349"/>
      <c r="D349"/>
      <c r="E349"/>
      <c r="F349"/>
      <c r="G349"/>
      <c r="H349"/>
      <c r="I349"/>
    </row>
    <row r="350" spans="1:9" x14ac:dyDescent="0.25">
      <c r="A350"/>
      <c r="B350"/>
      <c r="C350"/>
      <c r="D350"/>
      <c r="E350"/>
      <c r="F350"/>
      <c r="G350"/>
      <c r="H350"/>
      <c r="I350"/>
    </row>
    <row r="351" spans="1:9" x14ac:dyDescent="0.25">
      <c r="A351"/>
      <c r="B351"/>
      <c r="C351"/>
      <c r="D351"/>
      <c r="E351"/>
      <c r="F351"/>
      <c r="G351"/>
      <c r="H351"/>
      <c r="I351"/>
    </row>
    <row r="352" spans="1:9" x14ac:dyDescent="0.25">
      <c r="A352"/>
      <c r="B352"/>
      <c r="C352"/>
      <c r="D352"/>
      <c r="E352"/>
      <c r="F352"/>
      <c r="G352"/>
      <c r="H352"/>
      <c r="I352"/>
    </row>
    <row r="353" spans="1:9" x14ac:dyDescent="0.25">
      <c r="A353"/>
      <c r="B353"/>
      <c r="C353"/>
      <c r="D353"/>
      <c r="E353"/>
      <c r="F353"/>
      <c r="G353"/>
      <c r="H353"/>
      <c r="I353"/>
    </row>
    <row r="354" spans="1:9" x14ac:dyDescent="0.25">
      <c r="A354"/>
      <c r="B354"/>
      <c r="C354"/>
      <c r="D354"/>
      <c r="E354"/>
      <c r="F354"/>
      <c r="G354"/>
      <c r="H354"/>
      <c r="I354"/>
    </row>
    <row r="355" spans="1:9" x14ac:dyDescent="0.25">
      <c r="A355"/>
      <c r="B355"/>
      <c r="C355"/>
      <c r="D355"/>
      <c r="E355"/>
      <c r="F355"/>
      <c r="G355"/>
      <c r="H355"/>
      <c r="I355"/>
    </row>
    <row r="356" spans="1:9" x14ac:dyDescent="0.25">
      <c r="A356"/>
      <c r="B356"/>
      <c r="C356"/>
      <c r="D356"/>
      <c r="E356"/>
      <c r="F356"/>
      <c r="G356"/>
      <c r="H356"/>
      <c r="I356"/>
    </row>
    <row r="357" spans="1:9" x14ac:dyDescent="0.25">
      <c r="A357"/>
      <c r="B357"/>
      <c r="C357"/>
      <c r="D357"/>
      <c r="E357"/>
      <c r="F357"/>
      <c r="G357"/>
      <c r="H357"/>
      <c r="I357"/>
    </row>
    <row r="358" spans="1:9" x14ac:dyDescent="0.25">
      <c r="A358"/>
      <c r="B358"/>
      <c r="C358"/>
      <c r="D358"/>
      <c r="E358"/>
      <c r="F358"/>
      <c r="G358"/>
      <c r="H358"/>
      <c r="I358"/>
    </row>
    <row r="359" spans="1:9" x14ac:dyDescent="0.25">
      <c r="A359"/>
      <c r="B359"/>
      <c r="C359"/>
      <c r="D359"/>
      <c r="E359"/>
      <c r="F359"/>
      <c r="G359"/>
      <c r="H359"/>
      <c r="I359"/>
    </row>
    <row r="360" spans="1:9" x14ac:dyDescent="0.25">
      <c r="A360"/>
      <c r="B360"/>
      <c r="C360"/>
      <c r="D360"/>
      <c r="E360"/>
      <c r="F360"/>
      <c r="G360"/>
      <c r="H360"/>
      <c r="I360"/>
    </row>
    <row r="361" spans="1:9" x14ac:dyDescent="0.25">
      <c r="A361"/>
      <c r="B361"/>
      <c r="C361"/>
      <c r="D361"/>
      <c r="E361"/>
      <c r="F361"/>
      <c r="G361"/>
      <c r="H361"/>
      <c r="I361"/>
    </row>
    <row r="362" spans="1:9" x14ac:dyDescent="0.25">
      <c r="A362"/>
      <c r="B362"/>
      <c r="C362"/>
      <c r="D362"/>
      <c r="E362"/>
      <c r="F362"/>
      <c r="G362"/>
      <c r="H362"/>
      <c r="I362"/>
    </row>
    <row r="363" spans="1:9" x14ac:dyDescent="0.25">
      <c r="A363"/>
      <c r="B363"/>
      <c r="C363"/>
      <c r="D363"/>
      <c r="E363"/>
      <c r="F363"/>
      <c r="G363"/>
      <c r="H363"/>
      <c r="I363"/>
    </row>
    <row r="364" spans="1:9" x14ac:dyDescent="0.25">
      <c r="A364"/>
      <c r="B364"/>
      <c r="C364"/>
      <c r="D364"/>
      <c r="E364"/>
      <c r="F364"/>
      <c r="G364"/>
      <c r="H364"/>
      <c r="I364"/>
    </row>
    <row r="365" spans="1:9" x14ac:dyDescent="0.25">
      <c r="A365"/>
      <c r="B365"/>
      <c r="C365"/>
      <c r="D365"/>
      <c r="E365"/>
      <c r="F365"/>
      <c r="G365"/>
      <c r="H365"/>
      <c r="I365"/>
    </row>
    <row r="366" spans="1:9" x14ac:dyDescent="0.25">
      <c r="A366"/>
      <c r="B366"/>
      <c r="C366"/>
      <c r="D366"/>
      <c r="E366"/>
      <c r="F366"/>
      <c r="G366"/>
      <c r="H366"/>
      <c r="I366"/>
    </row>
    <row r="367" spans="1:9" x14ac:dyDescent="0.25">
      <c r="A367"/>
      <c r="B367"/>
      <c r="C367"/>
      <c r="D367"/>
      <c r="E367"/>
      <c r="F367"/>
      <c r="G367"/>
      <c r="H367"/>
      <c r="I367"/>
    </row>
    <row r="368" spans="1:9" x14ac:dyDescent="0.25">
      <c r="A368"/>
      <c r="B368"/>
      <c r="C368"/>
      <c r="D368"/>
      <c r="E368"/>
      <c r="F368"/>
      <c r="G368"/>
      <c r="H368"/>
      <c r="I368"/>
    </row>
    <row r="369" spans="1:9" x14ac:dyDescent="0.25">
      <c r="A369"/>
      <c r="B369"/>
      <c r="C369"/>
      <c r="D369"/>
      <c r="E369"/>
      <c r="F369"/>
      <c r="G369"/>
      <c r="H369"/>
      <c r="I369"/>
    </row>
    <row r="370" spans="1:9" x14ac:dyDescent="0.25">
      <c r="A370"/>
      <c r="B370"/>
      <c r="C370"/>
      <c r="D370"/>
      <c r="E370"/>
      <c r="F370"/>
      <c r="G370"/>
      <c r="H370"/>
      <c r="I370"/>
    </row>
    <row r="371" spans="1:9" x14ac:dyDescent="0.25">
      <c r="A371"/>
      <c r="B371"/>
      <c r="C371"/>
      <c r="D371"/>
      <c r="E371"/>
      <c r="F371"/>
      <c r="G371"/>
      <c r="H371"/>
      <c r="I371"/>
    </row>
    <row r="372" spans="1:9" x14ac:dyDescent="0.25">
      <c r="A372"/>
      <c r="B372"/>
      <c r="C372"/>
      <c r="D372"/>
      <c r="E372"/>
      <c r="F372"/>
      <c r="G372"/>
      <c r="H372"/>
      <c r="I372"/>
    </row>
    <row r="373" spans="1:9" x14ac:dyDescent="0.25">
      <c r="A373"/>
      <c r="B373"/>
      <c r="C373"/>
      <c r="D373"/>
      <c r="E373"/>
      <c r="F373"/>
      <c r="G373"/>
      <c r="H373"/>
      <c r="I373"/>
    </row>
    <row r="374" spans="1:9" x14ac:dyDescent="0.25">
      <c r="A374"/>
      <c r="B374"/>
      <c r="C374"/>
      <c r="D374"/>
      <c r="E374"/>
      <c r="F374"/>
      <c r="G374"/>
      <c r="H374"/>
      <c r="I374"/>
    </row>
    <row r="375" spans="1:9" x14ac:dyDescent="0.25">
      <c r="A375"/>
      <c r="B375"/>
      <c r="C375"/>
      <c r="D375"/>
      <c r="E375"/>
      <c r="F375"/>
      <c r="G375"/>
      <c r="H375"/>
      <c r="I375"/>
    </row>
    <row r="376" spans="1:9" x14ac:dyDescent="0.25">
      <c r="A376"/>
      <c r="B376"/>
      <c r="C376"/>
      <c r="D376"/>
      <c r="E376"/>
      <c r="F376"/>
      <c r="G376"/>
      <c r="H376"/>
      <c r="I376"/>
    </row>
    <row r="377" spans="1:9" x14ac:dyDescent="0.25">
      <c r="A377"/>
      <c r="B377"/>
      <c r="C377"/>
      <c r="D377"/>
      <c r="E377"/>
      <c r="F377"/>
      <c r="G377"/>
      <c r="H377"/>
      <c r="I377"/>
    </row>
    <row r="378" spans="1:9" x14ac:dyDescent="0.25">
      <c r="A378"/>
      <c r="B378"/>
      <c r="C378"/>
      <c r="D378"/>
      <c r="E378"/>
      <c r="F378"/>
      <c r="G378"/>
      <c r="H378"/>
      <c r="I378"/>
    </row>
    <row r="379" spans="1:9" x14ac:dyDescent="0.25">
      <c r="A379"/>
      <c r="B379"/>
      <c r="C379"/>
      <c r="D379"/>
      <c r="E379"/>
      <c r="F379"/>
      <c r="G379"/>
      <c r="H379"/>
      <c r="I379"/>
    </row>
    <row r="380" spans="1:9" x14ac:dyDescent="0.25">
      <c r="A380"/>
      <c r="B380"/>
      <c r="C380"/>
      <c r="D380"/>
      <c r="E380"/>
      <c r="F380"/>
      <c r="G380"/>
      <c r="H380"/>
      <c r="I380"/>
    </row>
    <row r="381" spans="1:9" x14ac:dyDescent="0.25">
      <c r="A381"/>
      <c r="B381"/>
      <c r="C381"/>
      <c r="D381"/>
      <c r="E381"/>
      <c r="F381"/>
      <c r="G381"/>
      <c r="H381"/>
      <c r="I381"/>
    </row>
    <row r="382" spans="1:9" x14ac:dyDescent="0.25">
      <c r="A382"/>
      <c r="B382"/>
      <c r="C382"/>
      <c r="D382"/>
      <c r="E382"/>
      <c r="F382"/>
      <c r="G382"/>
      <c r="H382"/>
      <c r="I382"/>
    </row>
    <row r="383" spans="1:9" x14ac:dyDescent="0.25">
      <c r="A383"/>
      <c r="B383"/>
      <c r="C383"/>
      <c r="D383"/>
      <c r="E383"/>
      <c r="F383"/>
      <c r="G383"/>
      <c r="H383"/>
      <c r="I383"/>
    </row>
    <row r="384" spans="1:9" x14ac:dyDescent="0.25">
      <c r="A384"/>
      <c r="B384"/>
      <c r="C384"/>
      <c r="D384"/>
      <c r="E384"/>
      <c r="F384"/>
      <c r="G384"/>
      <c r="H384"/>
      <c r="I384"/>
    </row>
    <row r="385" spans="1:9" x14ac:dyDescent="0.25">
      <c r="A385"/>
      <c r="B385"/>
      <c r="C385"/>
      <c r="D385"/>
      <c r="E385"/>
      <c r="F385"/>
      <c r="G385"/>
      <c r="H385"/>
      <c r="I385"/>
    </row>
    <row r="386" spans="1:9" x14ac:dyDescent="0.25">
      <c r="A386"/>
      <c r="B386"/>
      <c r="C386"/>
      <c r="D386"/>
      <c r="E386"/>
      <c r="F386"/>
      <c r="G386"/>
      <c r="H386"/>
      <c r="I386"/>
    </row>
    <row r="387" spans="1:9" x14ac:dyDescent="0.25">
      <c r="A387"/>
      <c r="B387"/>
      <c r="C387"/>
      <c r="D387"/>
      <c r="E387"/>
      <c r="F387"/>
      <c r="G387"/>
      <c r="H387"/>
      <c r="I387"/>
    </row>
    <row r="388" spans="1:9" x14ac:dyDescent="0.25">
      <c r="A388"/>
      <c r="B388"/>
      <c r="C388"/>
      <c r="D388"/>
      <c r="E388"/>
      <c r="F388"/>
      <c r="G388"/>
      <c r="H388"/>
      <c r="I388"/>
    </row>
    <row r="389" spans="1:9" x14ac:dyDescent="0.25">
      <c r="A389"/>
      <c r="B389"/>
      <c r="C389"/>
      <c r="D389"/>
      <c r="E389"/>
      <c r="F389"/>
      <c r="G389"/>
      <c r="H389"/>
      <c r="I389"/>
    </row>
    <row r="390" spans="1:9" x14ac:dyDescent="0.25">
      <c r="A390"/>
      <c r="B390"/>
      <c r="C390"/>
      <c r="D390"/>
      <c r="E390"/>
      <c r="F390"/>
      <c r="G390"/>
      <c r="H390"/>
      <c r="I390"/>
    </row>
    <row r="391" spans="1:9" x14ac:dyDescent="0.25">
      <c r="A391"/>
      <c r="B391"/>
      <c r="C391"/>
      <c r="D391"/>
      <c r="E391"/>
      <c r="F391"/>
      <c r="G391"/>
      <c r="H391"/>
      <c r="I391"/>
    </row>
    <row r="392" spans="1:9" x14ac:dyDescent="0.25">
      <c r="A392"/>
      <c r="B392"/>
      <c r="C392"/>
      <c r="D392"/>
      <c r="E392"/>
      <c r="F392"/>
      <c r="G392"/>
      <c r="H392"/>
      <c r="I392"/>
    </row>
    <row r="393" spans="1:9" x14ac:dyDescent="0.25">
      <c r="A393"/>
      <c r="B393"/>
      <c r="C393"/>
      <c r="D393"/>
      <c r="E393"/>
      <c r="F393"/>
      <c r="G393"/>
      <c r="H393"/>
      <c r="I393"/>
    </row>
    <row r="394" spans="1:9" x14ac:dyDescent="0.25">
      <c r="A394"/>
      <c r="B394"/>
      <c r="C394"/>
      <c r="D394"/>
      <c r="E394"/>
      <c r="F394"/>
      <c r="G394"/>
      <c r="H394"/>
      <c r="I394"/>
    </row>
    <row r="395" spans="1:9" x14ac:dyDescent="0.25">
      <c r="A395"/>
      <c r="B395"/>
      <c r="C395"/>
      <c r="D395"/>
      <c r="E395"/>
      <c r="F395"/>
      <c r="G395"/>
      <c r="H395"/>
      <c r="I395"/>
    </row>
    <row r="396" spans="1:9" x14ac:dyDescent="0.25">
      <c r="A396"/>
      <c r="B396"/>
      <c r="C396"/>
      <c r="D396"/>
      <c r="E396"/>
      <c r="F396"/>
      <c r="G396"/>
      <c r="H396"/>
      <c r="I396"/>
    </row>
    <row r="397" spans="1:9" x14ac:dyDescent="0.25">
      <c r="A397"/>
      <c r="B397"/>
      <c r="C397"/>
      <c r="D397"/>
      <c r="E397"/>
      <c r="F397"/>
      <c r="G397"/>
      <c r="H397"/>
      <c r="I397"/>
    </row>
    <row r="398" spans="1:9" x14ac:dyDescent="0.25">
      <c r="A398"/>
      <c r="B398"/>
      <c r="C398"/>
      <c r="D398"/>
      <c r="E398"/>
      <c r="F398"/>
      <c r="G398"/>
      <c r="H398"/>
      <c r="I398"/>
    </row>
    <row r="399" spans="1:9" x14ac:dyDescent="0.25">
      <c r="A399"/>
      <c r="B399"/>
      <c r="C399"/>
      <c r="D399"/>
      <c r="E399"/>
      <c r="F399"/>
      <c r="G399"/>
      <c r="H399"/>
      <c r="I399"/>
    </row>
    <row r="400" spans="1:9" x14ac:dyDescent="0.25">
      <c r="A400"/>
      <c r="B400"/>
      <c r="C400"/>
      <c r="D400"/>
      <c r="E400"/>
      <c r="F400"/>
      <c r="G400"/>
      <c r="H400"/>
      <c r="I400"/>
    </row>
    <row r="401" spans="1:9" x14ac:dyDescent="0.25">
      <c r="A401"/>
      <c r="B401"/>
      <c r="C401"/>
      <c r="D401"/>
      <c r="E401"/>
      <c r="F401"/>
      <c r="G401"/>
      <c r="H401"/>
      <c r="I401"/>
    </row>
    <row r="402" spans="1:9" x14ac:dyDescent="0.25">
      <c r="A402"/>
      <c r="B402"/>
      <c r="C402"/>
      <c r="D402"/>
      <c r="E402"/>
      <c r="F402"/>
      <c r="G402"/>
      <c r="H402"/>
      <c r="I402"/>
    </row>
    <row r="403" spans="1:9" x14ac:dyDescent="0.25">
      <c r="A403"/>
      <c r="B403"/>
      <c r="C403"/>
      <c r="D403"/>
      <c r="E403"/>
      <c r="F403"/>
      <c r="G403"/>
      <c r="H403"/>
      <c r="I403"/>
    </row>
    <row r="404" spans="1:9" x14ac:dyDescent="0.25">
      <c r="A404"/>
      <c r="B404"/>
      <c r="C404"/>
      <c r="D404"/>
      <c r="E404"/>
      <c r="F404"/>
      <c r="G404"/>
      <c r="H404"/>
      <c r="I404"/>
    </row>
    <row r="405" spans="1:9" x14ac:dyDescent="0.25">
      <c r="A405"/>
      <c r="B405"/>
      <c r="C405"/>
      <c r="D405"/>
      <c r="E405"/>
      <c r="F405"/>
      <c r="G405"/>
      <c r="H405"/>
      <c r="I405"/>
    </row>
    <row r="406" spans="1:9" x14ac:dyDescent="0.25">
      <c r="A406"/>
      <c r="B406"/>
      <c r="C406"/>
      <c r="D406"/>
      <c r="E406"/>
      <c r="F406"/>
      <c r="G406"/>
      <c r="H406"/>
      <c r="I406"/>
    </row>
    <row r="407" spans="1:9" x14ac:dyDescent="0.25">
      <c r="A407"/>
      <c r="B407"/>
      <c r="C407"/>
      <c r="D407"/>
      <c r="E407"/>
      <c r="F407"/>
      <c r="G407"/>
      <c r="H407"/>
      <c r="I407"/>
    </row>
    <row r="408" spans="1:9" x14ac:dyDescent="0.25">
      <c r="A408"/>
      <c r="B408"/>
      <c r="C408"/>
      <c r="D408"/>
      <c r="E408"/>
      <c r="F408"/>
      <c r="G408"/>
      <c r="H408"/>
      <c r="I408"/>
    </row>
    <row r="409" spans="1:9" x14ac:dyDescent="0.25">
      <c r="A409"/>
      <c r="B409"/>
      <c r="C409"/>
      <c r="D409"/>
      <c r="E409"/>
      <c r="F409"/>
      <c r="G409"/>
      <c r="H409"/>
      <c r="I409"/>
    </row>
    <row r="410" spans="1:9" x14ac:dyDescent="0.25">
      <c r="A410"/>
      <c r="B410"/>
      <c r="C410"/>
      <c r="D410"/>
      <c r="E410"/>
      <c r="F410"/>
      <c r="G410"/>
      <c r="H410"/>
      <c r="I410"/>
    </row>
    <row r="411" spans="1:9" x14ac:dyDescent="0.25">
      <c r="A411"/>
      <c r="B411"/>
      <c r="C411"/>
      <c r="D411"/>
      <c r="E411"/>
      <c r="F411"/>
      <c r="G411"/>
      <c r="H411"/>
      <c r="I411"/>
    </row>
    <row r="412" spans="1:9" x14ac:dyDescent="0.25">
      <c r="A412"/>
      <c r="B412"/>
      <c r="C412"/>
      <c r="D412"/>
      <c r="E412"/>
      <c r="F412"/>
      <c r="G412"/>
      <c r="H412"/>
      <c r="I412"/>
    </row>
    <row r="413" spans="1:9" x14ac:dyDescent="0.25">
      <c r="A413"/>
      <c r="B413"/>
      <c r="C413"/>
      <c r="D413"/>
      <c r="E413"/>
      <c r="F413"/>
      <c r="G413"/>
      <c r="H413"/>
      <c r="I413"/>
    </row>
    <row r="414" spans="1:9" x14ac:dyDescent="0.25">
      <c r="A414"/>
      <c r="B414"/>
      <c r="C414"/>
      <c r="D414"/>
      <c r="E414"/>
      <c r="F414"/>
      <c r="G414"/>
      <c r="H414"/>
      <c r="I414"/>
    </row>
    <row r="415" spans="1:9" x14ac:dyDescent="0.25">
      <c r="A415"/>
      <c r="B415"/>
      <c r="C415"/>
      <c r="D415"/>
      <c r="E415"/>
      <c r="F415"/>
      <c r="G415"/>
      <c r="H415"/>
      <c r="I415"/>
    </row>
    <row r="416" spans="1:9" x14ac:dyDescent="0.25">
      <c r="A416"/>
      <c r="B416"/>
      <c r="C416"/>
      <c r="D416"/>
      <c r="E416"/>
      <c r="F416"/>
      <c r="G416"/>
      <c r="H416"/>
      <c r="I416"/>
    </row>
    <row r="417" spans="1:9" x14ac:dyDescent="0.25">
      <c r="A417"/>
      <c r="B417"/>
      <c r="C417"/>
      <c r="D417"/>
      <c r="E417"/>
      <c r="F417"/>
      <c r="G417"/>
      <c r="H417"/>
      <c r="I417"/>
    </row>
    <row r="418" spans="1:9" x14ac:dyDescent="0.25">
      <c r="A418"/>
      <c r="B418"/>
      <c r="C418"/>
      <c r="D418"/>
      <c r="E418"/>
      <c r="F418"/>
      <c r="G418"/>
      <c r="H418"/>
      <c r="I418"/>
    </row>
    <row r="419" spans="1:9" x14ac:dyDescent="0.25">
      <c r="A419"/>
      <c r="B419"/>
      <c r="C419"/>
      <c r="D419"/>
      <c r="E419"/>
      <c r="F419"/>
      <c r="G419"/>
      <c r="H419"/>
      <c r="I419"/>
    </row>
    <row r="420" spans="1:9" x14ac:dyDescent="0.25">
      <c r="A420"/>
      <c r="B420"/>
      <c r="C420"/>
      <c r="D420"/>
      <c r="E420"/>
      <c r="F420"/>
      <c r="G420"/>
      <c r="H420"/>
      <c r="I420"/>
    </row>
    <row r="421" spans="1:9" x14ac:dyDescent="0.25">
      <c r="A421"/>
      <c r="B421"/>
      <c r="C421"/>
      <c r="D421"/>
      <c r="E421"/>
      <c r="F421"/>
      <c r="G421"/>
      <c r="H421"/>
      <c r="I421"/>
    </row>
    <row r="422" spans="1:9" x14ac:dyDescent="0.25">
      <c r="A422"/>
      <c r="B422"/>
      <c r="C422"/>
      <c r="D422"/>
      <c r="E422"/>
      <c r="F422"/>
      <c r="G422"/>
      <c r="H422"/>
      <c r="I422"/>
    </row>
    <row r="423" spans="1:9" x14ac:dyDescent="0.25">
      <c r="A423"/>
      <c r="B423"/>
      <c r="C423"/>
      <c r="D423"/>
      <c r="E423"/>
      <c r="F423"/>
      <c r="G423"/>
      <c r="H423"/>
      <c r="I423"/>
    </row>
    <row r="424" spans="1:9" x14ac:dyDescent="0.25">
      <c r="A424"/>
      <c r="B424"/>
      <c r="C424"/>
      <c r="D424"/>
      <c r="E424"/>
      <c r="F424"/>
      <c r="G424"/>
      <c r="H424"/>
      <c r="I424"/>
    </row>
    <row r="425" spans="1:9" x14ac:dyDescent="0.25">
      <c r="A425"/>
      <c r="B425"/>
      <c r="C425"/>
      <c r="D425"/>
      <c r="E425"/>
      <c r="F425"/>
      <c r="G425"/>
      <c r="H425"/>
      <c r="I425"/>
    </row>
    <row r="426" spans="1:9" x14ac:dyDescent="0.25">
      <c r="A426"/>
      <c r="B426"/>
      <c r="C426"/>
      <c r="D426"/>
      <c r="E426"/>
      <c r="F426"/>
      <c r="G426"/>
      <c r="H426"/>
      <c r="I426"/>
    </row>
    <row r="427" spans="1:9" x14ac:dyDescent="0.25">
      <c r="A427"/>
      <c r="B427"/>
      <c r="C427"/>
      <c r="D427"/>
      <c r="E427"/>
      <c r="F427"/>
      <c r="G427"/>
      <c r="H427"/>
      <c r="I427"/>
    </row>
    <row r="428" spans="1:9" x14ac:dyDescent="0.25">
      <c r="A428"/>
      <c r="B428"/>
      <c r="C428"/>
      <c r="D428"/>
      <c r="E428"/>
      <c r="F428"/>
      <c r="G428"/>
      <c r="H428"/>
      <c r="I428"/>
    </row>
    <row r="429" spans="1:9" x14ac:dyDescent="0.25">
      <c r="A429"/>
      <c r="B429"/>
      <c r="C429"/>
      <c r="D429"/>
      <c r="E429"/>
      <c r="F429"/>
      <c r="G429"/>
      <c r="H429"/>
      <c r="I429"/>
    </row>
    <row r="430" spans="1:9" x14ac:dyDescent="0.25">
      <c r="A430"/>
      <c r="B430"/>
      <c r="C430"/>
      <c r="D430"/>
      <c r="E430"/>
      <c r="F430"/>
      <c r="G430"/>
      <c r="H430"/>
      <c r="I430"/>
    </row>
    <row r="431" spans="1:9" x14ac:dyDescent="0.25">
      <c r="A431"/>
      <c r="B431"/>
      <c r="C431"/>
      <c r="D431"/>
      <c r="E431"/>
      <c r="F431"/>
      <c r="G431"/>
      <c r="H431"/>
      <c r="I431"/>
    </row>
    <row r="432" spans="1:9" x14ac:dyDescent="0.25">
      <c r="A432"/>
      <c r="B432"/>
      <c r="C432"/>
      <c r="D432"/>
      <c r="E432"/>
      <c r="F432"/>
      <c r="G432"/>
      <c r="H432"/>
      <c r="I432"/>
    </row>
    <row r="433" spans="1:9" x14ac:dyDescent="0.25">
      <c r="A433"/>
      <c r="B433"/>
      <c r="C433"/>
      <c r="D433"/>
      <c r="E433"/>
      <c r="F433"/>
      <c r="G433"/>
      <c r="H433"/>
      <c r="I433"/>
    </row>
    <row r="434" spans="1:9" x14ac:dyDescent="0.25">
      <c r="A434"/>
      <c r="B434"/>
      <c r="C434"/>
      <c r="D434"/>
      <c r="E434"/>
      <c r="F434"/>
      <c r="G434"/>
      <c r="H434"/>
      <c r="I434"/>
    </row>
    <row r="435" spans="1:9" x14ac:dyDescent="0.25">
      <c r="A435"/>
      <c r="B435"/>
      <c r="C435"/>
      <c r="D435"/>
      <c r="E435"/>
      <c r="F435"/>
      <c r="G435"/>
      <c r="H435"/>
      <c r="I435"/>
    </row>
    <row r="436" spans="1:9" x14ac:dyDescent="0.25">
      <c r="A436"/>
      <c r="B436"/>
      <c r="C436"/>
      <c r="D436"/>
      <c r="E436"/>
      <c r="F436"/>
      <c r="G436"/>
      <c r="H436"/>
      <c r="I436"/>
    </row>
    <row r="437" spans="1:9" x14ac:dyDescent="0.25">
      <c r="A437"/>
      <c r="B437"/>
      <c r="C437"/>
      <c r="D437"/>
      <c r="E437"/>
      <c r="F437"/>
      <c r="G437"/>
      <c r="H437"/>
      <c r="I437"/>
    </row>
    <row r="438" spans="1:9" x14ac:dyDescent="0.25">
      <c r="A438"/>
      <c r="B438"/>
      <c r="C438"/>
      <c r="D438"/>
      <c r="E438"/>
      <c r="F438"/>
      <c r="G438"/>
      <c r="H438"/>
      <c r="I438"/>
    </row>
    <row r="439" spans="1:9" x14ac:dyDescent="0.25">
      <c r="A439"/>
      <c r="B439"/>
      <c r="C439"/>
      <c r="D439"/>
      <c r="E439"/>
      <c r="F439"/>
      <c r="G439"/>
      <c r="H439"/>
      <c r="I439"/>
    </row>
    <row r="440" spans="1:9" x14ac:dyDescent="0.25">
      <c r="A440"/>
      <c r="B440"/>
      <c r="C440"/>
      <c r="D440"/>
      <c r="E440"/>
      <c r="F440"/>
      <c r="G440"/>
      <c r="H440"/>
      <c r="I440"/>
    </row>
    <row r="441" spans="1:9" x14ac:dyDescent="0.25">
      <c r="A441"/>
      <c r="B441"/>
      <c r="C441"/>
      <c r="D441"/>
      <c r="E441"/>
      <c r="F441"/>
      <c r="G441"/>
      <c r="H441"/>
      <c r="I441"/>
    </row>
    <row r="442" spans="1:9" x14ac:dyDescent="0.25">
      <c r="A442"/>
      <c r="B442"/>
      <c r="C442"/>
      <c r="D442"/>
      <c r="E442"/>
      <c r="F442"/>
      <c r="G442"/>
      <c r="H442"/>
      <c r="I442"/>
    </row>
    <row r="443" spans="1:9" x14ac:dyDescent="0.25">
      <c r="A443"/>
      <c r="B443"/>
      <c r="C443"/>
      <c r="D443"/>
      <c r="E443"/>
      <c r="F443"/>
      <c r="G443"/>
      <c r="H443"/>
      <c r="I443"/>
    </row>
    <row r="444" spans="1:9" x14ac:dyDescent="0.25">
      <c r="A444"/>
      <c r="B444"/>
      <c r="C444"/>
      <c r="D444"/>
      <c r="E444"/>
      <c r="F444"/>
      <c r="G444"/>
      <c r="H444"/>
      <c r="I444"/>
    </row>
    <row r="445" spans="1:9" x14ac:dyDescent="0.25">
      <c r="A445"/>
      <c r="B445"/>
      <c r="C445"/>
      <c r="D445"/>
      <c r="E445"/>
      <c r="F445"/>
      <c r="G445"/>
      <c r="H445"/>
      <c r="I445"/>
    </row>
    <row r="446" spans="1:9" x14ac:dyDescent="0.25">
      <c r="A446"/>
      <c r="B446"/>
      <c r="C446"/>
      <c r="D446"/>
      <c r="E446"/>
      <c r="F446"/>
      <c r="G446"/>
      <c r="H446"/>
      <c r="I446"/>
    </row>
    <row r="447" spans="1:9" x14ac:dyDescent="0.25">
      <c r="A447"/>
      <c r="B447"/>
      <c r="C447"/>
      <c r="D447"/>
      <c r="E447"/>
      <c r="F447"/>
      <c r="G447"/>
      <c r="H447"/>
      <c r="I447"/>
    </row>
    <row r="448" spans="1:9" x14ac:dyDescent="0.25">
      <c r="A448"/>
      <c r="B448"/>
      <c r="C448"/>
      <c r="D448"/>
      <c r="E448"/>
      <c r="F448"/>
      <c r="G448"/>
      <c r="H448"/>
      <c r="I448"/>
    </row>
    <row r="449" spans="1:9" x14ac:dyDescent="0.25">
      <c r="A449"/>
      <c r="B449"/>
      <c r="C449"/>
      <c r="D449"/>
      <c r="E449"/>
      <c r="F449"/>
      <c r="G449"/>
      <c r="H449"/>
      <c r="I449"/>
    </row>
    <row r="450" spans="1:9" x14ac:dyDescent="0.25">
      <c r="A450"/>
      <c r="B450"/>
      <c r="C450"/>
      <c r="D450"/>
      <c r="E450"/>
      <c r="F450"/>
      <c r="G450"/>
      <c r="H450"/>
      <c r="I450"/>
    </row>
    <row r="451" spans="1:9" x14ac:dyDescent="0.25">
      <c r="A451"/>
      <c r="B451"/>
      <c r="C451"/>
      <c r="D451"/>
      <c r="E451"/>
      <c r="F451"/>
      <c r="G451"/>
      <c r="H451"/>
      <c r="I451"/>
    </row>
    <row r="452" spans="1:9" x14ac:dyDescent="0.25">
      <c r="A452"/>
      <c r="B452"/>
      <c r="C452"/>
      <c r="D452"/>
      <c r="E452"/>
      <c r="F452"/>
      <c r="G452"/>
      <c r="H452"/>
      <c r="I452"/>
    </row>
    <row r="453" spans="1:9" x14ac:dyDescent="0.25">
      <c r="A453"/>
      <c r="B453"/>
      <c r="C453"/>
      <c r="D453"/>
      <c r="E453"/>
      <c r="F453"/>
      <c r="G453"/>
      <c r="H453"/>
      <c r="I453"/>
    </row>
    <row r="454" spans="1:9" x14ac:dyDescent="0.25">
      <c r="A454"/>
      <c r="B454"/>
      <c r="C454"/>
      <c r="D454"/>
      <c r="E454"/>
      <c r="F454"/>
      <c r="G454"/>
      <c r="H454"/>
      <c r="I454"/>
    </row>
    <row r="455" spans="1:9" x14ac:dyDescent="0.25">
      <c r="A455"/>
      <c r="B455"/>
      <c r="C455"/>
      <c r="D455"/>
      <c r="E455"/>
      <c r="F455"/>
      <c r="G455"/>
      <c r="H455"/>
      <c r="I455"/>
    </row>
    <row r="456" spans="1:9" x14ac:dyDescent="0.25">
      <c r="A456"/>
      <c r="B456"/>
      <c r="C456"/>
      <c r="D456"/>
      <c r="E456"/>
      <c r="F456"/>
      <c r="G456"/>
      <c r="H456"/>
      <c r="I456"/>
    </row>
    <row r="457" spans="1:9" x14ac:dyDescent="0.25">
      <c r="A457"/>
      <c r="B457"/>
      <c r="C457"/>
      <c r="D457"/>
      <c r="E457"/>
      <c r="F457"/>
      <c r="G457"/>
      <c r="H457"/>
      <c r="I457"/>
    </row>
    <row r="458" spans="1:9" x14ac:dyDescent="0.25">
      <c r="A458"/>
      <c r="B458"/>
      <c r="C458"/>
      <c r="D458"/>
      <c r="E458"/>
      <c r="F458"/>
      <c r="G458"/>
      <c r="H458"/>
      <c r="I458"/>
    </row>
    <row r="459" spans="1:9" x14ac:dyDescent="0.25">
      <c r="A459"/>
      <c r="B459"/>
      <c r="C459"/>
      <c r="D459"/>
      <c r="E459"/>
      <c r="F459"/>
      <c r="G459"/>
      <c r="H459"/>
      <c r="I459"/>
    </row>
    <row r="460" spans="1:9" x14ac:dyDescent="0.25">
      <c r="A460"/>
      <c r="B460"/>
      <c r="C460"/>
      <c r="D460"/>
      <c r="E460"/>
      <c r="F460"/>
      <c r="G460"/>
      <c r="H460"/>
      <c r="I460"/>
    </row>
    <row r="461" spans="1:9" x14ac:dyDescent="0.25">
      <c r="A461"/>
      <c r="B461"/>
      <c r="C461"/>
      <c r="D461"/>
      <c r="E461"/>
      <c r="F461"/>
      <c r="G461"/>
      <c r="H461"/>
      <c r="I461"/>
    </row>
    <row r="462" spans="1:9" x14ac:dyDescent="0.25">
      <c r="A462"/>
      <c r="B462"/>
      <c r="C462"/>
      <c r="D462"/>
      <c r="E462"/>
      <c r="F462"/>
      <c r="G462"/>
      <c r="H462"/>
      <c r="I462"/>
    </row>
    <row r="463" spans="1:9" x14ac:dyDescent="0.25">
      <c r="A463"/>
      <c r="B463"/>
      <c r="C463"/>
      <c r="D463"/>
      <c r="E463"/>
      <c r="F463"/>
      <c r="G463"/>
      <c r="H463"/>
      <c r="I463"/>
    </row>
    <row r="464" spans="1:9" x14ac:dyDescent="0.25">
      <c r="A464"/>
      <c r="B464"/>
      <c r="C464"/>
      <c r="D464"/>
      <c r="E464"/>
      <c r="F464"/>
      <c r="G464"/>
      <c r="H464"/>
      <c r="I464"/>
    </row>
    <row r="465" spans="1:9" x14ac:dyDescent="0.25">
      <c r="A465"/>
      <c r="B465"/>
      <c r="C465"/>
      <c r="D465"/>
      <c r="E465"/>
      <c r="F465"/>
      <c r="G465"/>
      <c r="H465"/>
      <c r="I465"/>
    </row>
    <row r="466" spans="1:9" x14ac:dyDescent="0.25">
      <c r="A466"/>
      <c r="B466"/>
      <c r="C466"/>
      <c r="D466"/>
      <c r="E466"/>
      <c r="F466"/>
      <c r="G466"/>
      <c r="H466"/>
      <c r="I466"/>
    </row>
    <row r="467" spans="1:9" x14ac:dyDescent="0.25">
      <c r="A467"/>
      <c r="B467"/>
      <c r="C467"/>
      <c r="D467"/>
      <c r="E467"/>
      <c r="F467"/>
      <c r="G467"/>
      <c r="H467"/>
      <c r="I467"/>
    </row>
    <row r="468" spans="1:9" x14ac:dyDescent="0.25">
      <c r="A468"/>
      <c r="B468"/>
      <c r="C468"/>
      <c r="D468"/>
      <c r="E468"/>
      <c r="F468"/>
      <c r="G468"/>
      <c r="H468"/>
      <c r="I468"/>
    </row>
    <row r="469" spans="1:9" x14ac:dyDescent="0.25">
      <c r="A469"/>
      <c r="B469"/>
      <c r="C469"/>
      <c r="D469"/>
      <c r="E469"/>
      <c r="F469"/>
      <c r="G469"/>
      <c r="H469"/>
      <c r="I469"/>
    </row>
    <row r="470" spans="1:9" x14ac:dyDescent="0.25">
      <c r="A470"/>
      <c r="B470"/>
      <c r="C470"/>
      <c r="D470"/>
      <c r="E470"/>
      <c r="F470"/>
      <c r="G470"/>
      <c r="H470"/>
      <c r="I470"/>
    </row>
    <row r="471" spans="1:9" x14ac:dyDescent="0.25">
      <c r="A471"/>
      <c r="B471"/>
      <c r="C471"/>
      <c r="D471"/>
      <c r="E471"/>
      <c r="F471"/>
      <c r="G471"/>
      <c r="H471"/>
      <c r="I471"/>
    </row>
    <row r="472" spans="1:9" x14ac:dyDescent="0.25">
      <c r="A472"/>
      <c r="B472"/>
      <c r="C472"/>
      <c r="D472"/>
      <c r="E472"/>
      <c r="F472"/>
      <c r="G472"/>
      <c r="H472"/>
      <c r="I472"/>
    </row>
    <row r="473" spans="1:9" x14ac:dyDescent="0.25">
      <c r="A473"/>
      <c r="B473"/>
      <c r="C473"/>
      <c r="D473"/>
      <c r="E473"/>
      <c r="F473"/>
      <c r="G473"/>
      <c r="H473"/>
      <c r="I473"/>
    </row>
    <row r="474" spans="1:9" x14ac:dyDescent="0.25">
      <c r="A474"/>
      <c r="B474"/>
      <c r="C474"/>
      <c r="D474"/>
      <c r="E474"/>
      <c r="F474"/>
      <c r="G474"/>
      <c r="H474"/>
      <c r="I474"/>
    </row>
    <row r="475" spans="1:9" x14ac:dyDescent="0.25">
      <c r="A475"/>
      <c r="B475"/>
      <c r="C475"/>
      <c r="D475"/>
      <c r="E475"/>
      <c r="F475"/>
      <c r="G475"/>
      <c r="H475"/>
      <c r="I475"/>
    </row>
    <row r="476" spans="1:9" x14ac:dyDescent="0.25">
      <c r="A476"/>
      <c r="B476"/>
      <c r="C476"/>
      <c r="D476"/>
      <c r="E476"/>
      <c r="F476"/>
      <c r="G476"/>
      <c r="H476"/>
      <c r="I476"/>
    </row>
    <row r="477" spans="1:9" x14ac:dyDescent="0.25">
      <c r="A477"/>
      <c r="B477"/>
      <c r="C477"/>
      <c r="D477"/>
      <c r="E477"/>
      <c r="F477"/>
      <c r="G477"/>
      <c r="H477"/>
      <c r="I477"/>
    </row>
    <row r="478" spans="1:9" x14ac:dyDescent="0.25">
      <c r="A478"/>
      <c r="B478"/>
      <c r="C478"/>
      <c r="D478"/>
      <c r="E478"/>
      <c r="F478"/>
      <c r="G478"/>
      <c r="H478"/>
      <c r="I478"/>
    </row>
    <row r="479" spans="1:9" x14ac:dyDescent="0.25">
      <c r="A479"/>
      <c r="B479"/>
      <c r="C479"/>
      <c r="D479"/>
      <c r="E479"/>
      <c r="F479"/>
      <c r="G479"/>
      <c r="H479"/>
      <c r="I479"/>
    </row>
    <row r="480" spans="1:9" x14ac:dyDescent="0.25">
      <c r="A480"/>
      <c r="B480"/>
      <c r="C480"/>
      <c r="D480"/>
      <c r="E480"/>
      <c r="F480"/>
      <c r="G480"/>
      <c r="H480"/>
      <c r="I480"/>
    </row>
    <row r="481" spans="1:9" x14ac:dyDescent="0.25">
      <c r="A481"/>
      <c r="B481"/>
      <c r="C481"/>
      <c r="D481"/>
      <c r="E481"/>
      <c r="F481"/>
      <c r="G481"/>
      <c r="H481"/>
      <c r="I481"/>
    </row>
    <row r="482" spans="1:9" x14ac:dyDescent="0.25">
      <c r="A482"/>
      <c r="B482"/>
      <c r="C482"/>
      <c r="D482"/>
      <c r="E482"/>
      <c r="F482"/>
      <c r="G482"/>
      <c r="H482"/>
      <c r="I482"/>
    </row>
    <row r="483" spans="1:9" x14ac:dyDescent="0.25">
      <c r="A483"/>
      <c r="B483"/>
      <c r="C483"/>
      <c r="D483"/>
      <c r="E483"/>
      <c r="F483"/>
      <c r="G483"/>
      <c r="H483"/>
      <c r="I483"/>
    </row>
    <row r="484" spans="1:9" x14ac:dyDescent="0.25">
      <c r="A484"/>
      <c r="B484"/>
      <c r="C484"/>
      <c r="D484"/>
      <c r="E484"/>
      <c r="F484"/>
      <c r="G484"/>
      <c r="H484"/>
      <c r="I484"/>
    </row>
    <row r="485" spans="1:9" x14ac:dyDescent="0.25">
      <c r="A485"/>
      <c r="B485"/>
      <c r="C485"/>
      <c r="D485"/>
      <c r="E485"/>
      <c r="F485"/>
      <c r="G485"/>
      <c r="H485"/>
      <c r="I485"/>
    </row>
    <row r="486" spans="1:9" x14ac:dyDescent="0.25">
      <c r="A486"/>
      <c r="B486"/>
      <c r="C486"/>
      <c r="D486"/>
      <c r="E486"/>
      <c r="F486"/>
      <c r="G486"/>
      <c r="H486"/>
      <c r="I486"/>
    </row>
    <row r="487" spans="1:9" x14ac:dyDescent="0.25">
      <c r="A487"/>
      <c r="B487"/>
      <c r="C487"/>
      <c r="D487"/>
      <c r="E487"/>
      <c r="F487"/>
      <c r="G487"/>
      <c r="H487"/>
      <c r="I487"/>
    </row>
    <row r="488" spans="1:9" x14ac:dyDescent="0.25">
      <c r="A488"/>
      <c r="B488"/>
      <c r="C488"/>
      <c r="D488"/>
      <c r="E488"/>
      <c r="F488"/>
      <c r="G488"/>
      <c r="H488"/>
      <c r="I488"/>
    </row>
    <row r="489" spans="1:9" x14ac:dyDescent="0.25">
      <c r="A489"/>
      <c r="B489"/>
      <c r="C489"/>
      <c r="D489"/>
      <c r="E489"/>
      <c r="F489"/>
      <c r="G489"/>
      <c r="H489"/>
      <c r="I489"/>
    </row>
    <row r="490" spans="1:9" x14ac:dyDescent="0.25">
      <c r="A490"/>
      <c r="B490"/>
      <c r="C490"/>
      <c r="D490"/>
      <c r="E490"/>
      <c r="F490"/>
      <c r="G490"/>
      <c r="H490"/>
      <c r="I490"/>
    </row>
    <row r="491" spans="1:9" x14ac:dyDescent="0.25">
      <c r="A491"/>
      <c r="B491"/>
      <c r="C491"/>
      <c r="D491"/>
      <c r="E491"/>
      <c r="F491"/>
      <c r="G491"/>
      <c r="H491"/>
      <c r="I491"/>
    </row>
    <row r="492" spans="1:9" x14ac:dyDescent="0.25">
      <c r="A492"/>
      <c r="B492"/>
      <c r="C492"/>
      <c r="D492"/>
      <c r="E492"/>
      <c r="F492"/>
      <c r="G492"/>
      <c r="H492"/>
      <c r="I492"/>
    </row>
    <row r="493" spans="1:9" x14ac:dyDescent="0.25">
      <c r="A493"/>
      <c r="B493"/>
      <c r="C493"/>
      <c r="D493"/>
      <c r="E493"/>
      <c r="F493"/>
      <c r="G493"/>
      <c r="H493"/>
      <c r="I493"/>
    </row>
    <row r="494" spans="1:9" x14ac:dyDescent="0.25">
      <c r="A494"/>
      <c r="B494"/>
      <c r="C494"/>
      <c r="D494"/>
      <c r="E494"/>
      <c r="F494"/>
      <c r="G494"/>
      <c r="H494"/>
      <c r="I494"/>
    </row>
    <row r="495" spans="1:9" x14ac:dyDescent="0.25">
      <c r="A495"/>
      <c r="B495"/>
      <c r="C495"/>
      <c r="D495"/>
      <c r="E495"/>
      <c r="F495"/>
      <c r="G495"/>
      <c r="H495"/>
      <c r="I495"/>
    </row>
    <row r="496" spans="1:9" x14ac:dyDescent="0.25">
      <c r="A496"/>
      <c r="B496"/>
      <c r="C496"/>
      <c r="D496"/>
      <c r="E496"/>
      <c r="F496"/>
      <c r="G496"/>
      <c r="H496"/>
      <c r="I496"/>
    </row>
    <row r="497" spans="1:9" x14ac:dyDescent="0.25">
      <c r="A497"/>
      <c r="B497"/>
      <c r="C497"/>
      <c r="D497"/>
      <c r="E497"/>
      <c r="F497"/>
      <c r="G497"/>
      <c r="H497"/>
      <c r="I497"/>
    </row>
    <row r="498" spans="1:9" x14ac:dyDescent="0.25">
      <c r="A498"/>
      <c r="B498"/>
      <c r="C498"/>
      <c r="D498"/>
      <c r="E498"/>
      <c r="F498"/>
      <c r="G498"/>
      <c r="H498"/>
      <c r="I498"/>
    </row>
    <row r="499" spans="1:9" x14ac:dyDescent="0.25">
      <c r="A499"/>
      <c r="B499"/>
      <c r="C499"/>
      <c r="D499"/>
      <c r="E499"/>
      <c r="F499"/>
      <c r="G499"/>
      <c r="H499"/>
      <c r="I499"/>
    </row>
    <row r="500" spans="1:9" x14ac:dyDescent="0.25">
      <c r="A500"/>
      <c r="B500"/>
      <c r="C500"/>
      <c r="D500"/>
      <c r="E500"/>
      <c r="F500"/>
      <c r="G500"/>
      <c r="H500"/>
      <c r="I500"/>
    </row>
    <row r="501" spans="1:9" x14ac:dyDescent="0.25">
      <c r="A501"/>
      <c r="B501"/>
      <c r="C501"/>
      <c r="D501"/>
      <c r="E501"/>
      <c r="F501"/>
      <c r="G501"/>
      <c r="H501"/>
      <c r="I501"/>
    </row>
    <row r="502" spans="1:9" x14ac:dyDescent="0.25">
      <c r="A502"/>
      <c r="B502"/>
      <c r="C502"/>
      <c r="D502"/>
      <c r="E502"/>
      <c r="F502"/>
      <c r="G502"/>
      <c r="H502"/>
      <c r="I502"/>
    </row>
    <row r="503" spans="1:9" x14ac:dyDescent="0.25">
      <c r="A503"/>
      <c r="B503"/>
      <c r="C503"/>
      <c r="D503"/>
      <c r="E503"/>
      <c r="F503"/>
      <c r="G503"/>
      <c r="H503"/>
      <c r="I503"/>
    </row>
    <row r="504" spans="1:9" x14ac:dyDescent="0.25">
      <c r="A504"/>
      <c r="B504"/>
      <c r="C504"/>
      <c r="D504"/>
      <c r="E504"/>
      <c r="F504"/>
      <c r="G504"/>
      <c r="H504"/>
      <c r="I504"/>
    </row>
    <row r="505" spans="1:9" x14ac:dyDescent="0.25">
      <c r="A505"/>
      <c r="B505"/>
      <c r="C505"/>
      <c r="D505"/>
      <c r="E505"/>
      <c r="F505"/>
      <c r="G505"/>
      <c r="H505"/>
      <c r="I505"/>
    </row>
    <row r="506" spans="1:9" x14ac:dyDescent="0.25">
      <c r="A506"/>
      <c r="B506"/>
      <c r="C506"/>
      <c r="D506"/>
      <c r="E506"/>
      <c r="F506"/>
      <c r="G506"/>
      <c r="H506"/>
      <c r="I506"/>
    </row>
    <row r="507" spans="1:9" x14ac:dyDescent="0.25">
      <c r="A507"/>
      <c r="B507"/>
      <c r="C507"/>
      <c r="D507"/>
      <c r="E507"/>
      <c r="F507"/>
      <c r="G507"/>
      <c r="H507"/>
      <c r="I507"/>
    </row>
    <row r="508" spans="1:9" x14ac:dyDescent="0.25">
      <c r="A508"/>
      <c r="B508"/>
      <c r="C508"/>
      <c r="D508"/>
      <c r="E508"/>
      <c r="F508"/>
      <c r="G508"/>
      <c r="H508"/>
      <c r="I508"/>
    </row>
    <row r="509" spans="1:9" x14ac:dyDescent="0.25">
      <c r="A509"/>
      <c r="B509"/>
      <c r="C509"/>
      <c r="D509"/>
      <c r="E509"/>
      <c r="F509"/>
      <c r="G509"/>
      <c r="H509"/>
      <c r="I509"/>
    </row>
    <row r="510" spans="1:9" x14ac:dyDescent="0.25">
      <c r="A510"/>
      <c r="B510"/>
      <c r="C510"/>
      <c r="D510"/>
      <c r="E510"/>
      <c r="F510"/>
      <c r="G510"/>
      <c r="H510"/>
      <c r="I510"/>
    </row>
    <row r="511" spans="1:9" x14ac:dyDescent="0.25">
      <c r="A511"/>
      <c r="B511"/>
      <c r="C511"/>
      <c r="D511"/>
      <c r="E511"/>
      <c r="F511"/>
      <c r="G511"/>
      <c r="H511"/>
      <c r="I511"/>
    </row>
    <row r="512" spans="1:9" x14ac:dyDescent="0.25">
      <c r="A512"/>
      <c r="B512"/>
      <c r="C512"/>
      <c r="D512"/>
      <c r="E512"/>
      <c r="F512"/>
      <c r="G512"/>
      <c r="H512"/>
      <c r="I512"/>
    </row>
    <row r="513" spans="1:9" x14ac:dyDescent="0.25">
      <c r="A513"/>
      <c r="B513"/>
      <c r="C513"/>
      <c r="D513"/>
      <c r="E513"/>
      <c r="F513"/>
      <c r="G513"/>
      <c r="H513"/>
      <c r="I513"/>
    </row>
    <row r="514" spans="1:9" x14ac:dyDescent="0.25">
      <c r="A514"/>
      <c r="B514"/>
      <c r="C514"/>
      <c r="D514"/>
      <c r="E514"/>
      <c r="F514"/>
      <c r="G514"/>
      <c r="H514"/>
      <c r="I514"/>
    </row>
    <row r="515" spans="1:9" x14ac:dyDescent="0.25">
      <c r="A515"/>
      <c r="B515"/>
      <c r="C515"/>
      <c r="D515"/>
      <c r="E515"/>
      <c r="F515"/>
      <c r="G515"/>
      <c r="H515"/>
      <c r="I515"/>
    </row>
    <row r="516" spans="1:9" x14ac:dyDescent="0.25">
      <c r="A516"/>
      <c r="B516"/>
      <c r="C516"/>
      <c r="D516"/>
      <c r="E516"/>
      <c r="F516"/>
      <c r="G516"/>
      <c r="H516"/>
      <c r="I516"/>
    </row>
    <row r="517" spans="1:9" x14ac:dyDescent="0.25">
      <c r="A517"/>
      <c r="B517"/>
      <c r="C517"/>
      <c r="D517"/>
      <c r="E517"/>
      <c r="F517"/>
      <c r="G517"/>
      <c r="H517"/>
      <c r="I517"/>
    </row>
    <row r="518" spans="1:9" x14ac:dyDescent="0.25">
      <c r="A518"/>
      <c r="B518"/>
      <c r="C518"/>
      <c r="D518"/>
      <c r="E518"/>
      <c r="F518"/>
      <c r="G518"/>
      <c r="H518"/>
      <c r="I518"/>
    </row>
    <row r="519" spans="1:9" x14ac:dyDescent="0.25">
      <c r="A519"/>
      <c r="B519"/>
      <c r="C519"/>
      <c r="D519"/>
      <c r="E519"/>
      <c r="F519"/>
      <c r="G519"/>
      <c r="H519"/>
      <c r="I519"/>
    </row>
    <row r="520" spans="1:9" x14ac:dyDescent="0.25">
      <c r="A520"/>
      <c r="B520"/>
      <c r="C520"/>
      <c r="D520"/>
      <c r="E520"/>
      <c r="F520"/>
      <c r="G520"/>
      <c r="H520"/>
      <c r="I520"/>
    </row>
    <row r="521" spans="1:9" x14ac:dyDescent="0.25">
      <c r="A521"/>
      <c r="B521"/>
      <c r="C521"/>
      <c r="D521"/>
      <c r="E521"/>
      <c r="F521"/>
      <c r="G521"/>
      <c r="H521"/>
      <c r="I521"/>
    </row>
    <row r="522" spans="1:9" x14ac:dyDescent="0.25">
      <c r="A522"/>
      <c r="B522"/>
      <c r="C522"/>
      <c r="D522"/>
      <c r="E522"/>
      <c r="F522"/>
      <c r="G522"/>
      <c r="H522"/>
      <c r="I522"/>
    </row>
    <row r="523" spans="1:9" x14ac:dyDescent="0.25">
      <c r="A523"/>
      <c r="B523"/>
      <c r="C523"/>
      <c r="D523"/>
      <c r="E523"/>
      <c r="F523"/>
      <c r="G523"/>
      <c r="H523"/>
      <c r="I523"/>
    </row>
    <row r="524" spans="1:9" x14ac:dyDescent="0.25">
      <c r="A524"/>
      <c r="B524"/>
      <c r="C524"/>
      <c r="D524"/>
      <c r="E524"/>
      <c r="F524"/>
      <c r="G524"/>
      <c r="H524"/>
      <c r="I524"/>
    </row>
    <row r="525" spans="1:9" x14ac:dyDescent="0.25">
      <c r="A525"/>
      <c r="B525"/>
      <c r="C525"/>
      <c r="D525"/>
      <c r="E525"/>
      <c r="F525"/>
      <c r="G525"/>
      <c r="H525"/>
      <c r="I525"/>
    </row>
    <row r="526" spans="1:9" x14ac:dyDescent="0.25">
      <c r="A526"/>
      <c r="B526"/>
      <c r="C526"/>
      <c r="D526"/>
      <c r="E526"/>
      <c r="F526"/>
      <c r="G526"/>
      <c r="H526"/>
      <c r="I526"/>
    </row>
    <row r="527" spans="1:9" x14ac:dyDescent="0.25">
      <c r="A527"/>
      <c r="B527"/>
      <c r="C527"/>
      <c r="D527"/>
      <c r="E527"/>
      <c r="F527"/>
      <c r="G527"/>
      <c r="H527"/>
      <c r="I527"/>
    </row>
    <row r="528" spans="1:9" x14ac:dyDescent="0.25">
      <c r="A528"/>
      <c r="B528"/>
      <c r="C528"/>
      <c r="D528"/>
      <c r="E528"/>
      <c r="F528"/>
      <c r="G528"/>
      <c r="H528"/>
      <c r="I528"/>
    </row>
    <row r="529" spans="1:9" x14ac:dyDescent="0.25">
      <c r="A529"/>
      <c r="B529"/>
      <c r="C529"/>
      <c r="D529"/>
      <c r="E529"/>
      <c r="F529"/>
      <c r="G529"/>
      <c r="H529"/>
      <c r="I529"/>
    </row>
    <row r="530" spans="1:9" x14ac:dyDescent="0.25">
      <c r="A530"/>
      <c r="B530"/>
      <c r="C530"/>
      <c r="D530"/>
      <c r="E530"/>
      <c r="F530"/>
      <c r="G530"/>
      <c r="H530"/>
      <c r="I530"/>
    </row>
    <row r="531" spans="1:9" x14ac:dyDescent="0.25">
      <c r="A531"/>
      <c r="B531"/>
      <c r="C531"/>
      <c r="D531"/>
      <c r="E531"/>
      <c r="F531"/>
      <c r="G531"/>
      <c r="H531"/>
      <c r="I531"/>
    </row>
    <row r="532" spans="1:9" x14ac:dyDescent="0.25">
      <c r="A532"/>
      <c r="B532"/>
      <c r="C532"/>
      <c r="D532"/>
      <c r="E532"/>
      <c r="F532"/>
      <c r="G532"/>
      <c r="H532"/>
      <c r="I532"/>
    </row>
    <row r="533" spans="1:9" x14ac:dyDescent="0.25">
      <c r="A533"/>
      <c r="B533"/>
      <c r="C533"/>
      <c r="D533"/>
      <c r="E533"/>
      <c r="F533"/>
      <c r="G533"/>
      <c r="H533"/>
      <c r="I533"/>
    </row>
    <row r="534" spans="1:9" x14ac:dyDescent="0.25">
      <c r="A534"/>
      <c r="B534"/>
      <c r="C534"/>
      <c r="D534"/>
      <c r="E534"/>
      <c r="F534"/>
      <c r="G534"/>
      <c r="H534"/>
      <c r="I534"/>
    </row>
    <row r="535" spans="1:9" x14ac:dyDescent="0.25">
      <c r="A535"/>
      <c r="B535"/>
      <c r="C535"/>
      <c r="D535"/>
      <c r="E535"/>
      <c r="F535"/>
      <c r="G535"/>
      <c r="H535"/>
      <c r="I535"/>
    </row>
    <row r="536" spans="1:9" x14ac:dyDescent="0.25">
      <c r="A536"/>
      <c r="B536"/>
      <c r="C536"/>
      <c r="D536"/>
      <c r="E536"/>
      <c r="F536"/>
      <c r="G536"/>
      <c r="H536"/>
      <c r="I536"/>
    </row>
    <row r="537" spans="1:9" x14ac:dyDescent="0.25">
      <c r="A537"/>
      <c r="B537"/>
      <c r="C537"/>
      <c r="D537"/>
      <c r="E537"/>
      <c r="F537"/>
      <c r="G537"/>
      <c r="H537"/>
      <c r="I537"/>
    </row>
    <row r="538" spans="1:9" x14ac:dyDescent="0.25">
      <c r="A538"/>
      <c r="B538"/>
      <c r="C538"/>
      <c r="D538"/>
      <c r="E538"/>
      <c r="F538"/>
      <c r="G538"/>
      <c r="H538"/>
      <c r="I538"/>
    </row>
    <row r="539" spans="1:9" x14ac:dyDescent="0.25">
      <c r="A539"/>
      <c r="B539"/>
      <c r="C539"/>
      <c r="D539"/>
      <c r="E539"/>
      <c r="F539"/>
      <c r="G539"/>
      <c r="H539"/>
      <c r="I539"/>
    </row>
    <row r="540" spans="1:9" x14ac:dyDescent="0.25">
      <c r="A540"/>
      <c r="B540"/>
      <c r="C540"/>
      <c r="D540"/>
      <c r="E540"/>
      <c r="F540"/>
      <c r="G540"/>
      <c r="H540"/>
      <c r="I540"/>
    </row>
    <row r="541" spans="1:9" x14ac:dyDescent="0.25">
      <c r="A541"/>
      <c r="B541"/>
      <c r="C541"/>
      <c r="D541"/>
      <c r="E541"/>
      <c r="F541"/>
      <c r="G541"/>
      <c r="H541"/>
      <c r="I541"/>
    </row>
    <row r="542" spans="1:9" x14ac:dyDescent="0.25">
      <c r="A542"/>
      <c r="B542"/>
      <c r="C542"/>
      <c r="D542"/>
      <c r="E542"/>
      <c r="F542"/>
      <c r="G542"/>
      <c r="H542"/>
      <c r="I542"/>
    </row>
    <row r="543" spans="1:9" x14ac:dyDescent="0.25">
      <c r="A543"/>
      <c r="B543"/>
      <c r="C543"/>
      <c r="D543"/>
      <c r="E543"/>
      <c r="F543"/>
      <c r="G543"/>
      <c r="H543"/>
      <c r="I543"/>
    </row>
    <row r="544" spans="1:9" x14ac:dyDescent="0.25">
      <c r="A544"/>
      <c r="B544"/>
      <c r="C544"/>
      <c r="D544"/>
      <c r="E544"/>
      <c r="F544"/>
      <c r="G544"/>
      <c r="H544"/>
      <c r="I544"/>
    </row>
    <row r="545" spans="1:9" x14ac:dyDescent="0.25">
      <c r="A545"/>
      <c r="B545"/>
      <c r="C545"/>
      <c r="D545"/>
      <c r="E545"/>
      <c r="F545"/>
      <c r="G545"/>
      <c r="H545"/>
      <c r="I545"/>
    </row>
    <row r="546" spans="1:9" x14ac:dyDescent="0.25">
      <c r="A546"/>
      <c r="B546"/>
      <c r="C546"/>
      <c r="D546"/>
      <c r="E546"/>
      <c r="F546"/>
      <c r="G546"/>
      <c r="H546"/>
      <c r="I546"/>
    </row>
    <row r="547" spans="1:9" x14ac:dyDescent="0.25">
      <c r="A547"/>
      <c r="B547"/>
      <c r="C547"/>
      <c r="D547"/>
      <c r="E547"/>
      <c r="F547"/>
      <c r="G547"/>
      <c r="H547"/>
      <c r="I547"/>
    </row>
    <row r="548" spans="1:9" x14ac:dyDescent="0.25">
      <c r="A548"/>
      <c r="B548"/>
      <c r="C548"/>
      <c r="D548"/>
      <c r="E548"/>
      <c r="F548"/>
      <c r="G548"/>
      <c r="H548"/>
      <c r="I548"/>
    </row>
    <row r="549" spans="1:9" x14ac:dyDescent="0.25">
      <c r="A549"/>
      <c r="B549"/>
      <c r="C549"/>
      <c r="D549"/>
      <c r="E549"/>
      <c r="F549"/>
      <c r="G549"/>
      <c r="H549"/>
      <c r="I549"/>
    </row>
    <row r="550" spans="1:9" x14ac:dyDescent="0.25">
      <c r="A550"/>
      <c r="B550"/>
      <c r="C550"/>
      <c r="D550"/>
      <c r="E550"/>
      <c r="F550"/>
      <c r="G550"/>
      <c r="H550"/>
      <c r="I550"/>
    </row>
    <row r="551" spans="1:9" x14ac:dyDescent="0.25">
      <c r="A551"/>
      <c r="B551"/>
      <c r="C551"/>
      <c r="D551"/>
      <c r="E551"/>
      <c r="F551"/>
      <c r="G551"/>
      <c r="H551"/>
      <c r="I551"/>
    </row>
    <row r="552" spans="1:9" x14ac:dyDescent="0.25">
      <c r="A552"/>
      <c r="B552"/>
      <c r="C552"/>
      <c r="D552"/>
      <c r="E552"/>
      <c r="F552"/>
      <c r="G552"/>
      <c r="H552"/>
      <c r="I552"/>
    </row>
    <row r="553" spans="1:9" x14ac:dyDescent="0.25">
      <c r="A553"/>
      <c r="B553"/>
      <c r="C553"/>
      <c r="D553"/>
      <c r="E553"/>
      <c r="F553"/>
      <c r="G553"/>
      <c r="H553"/>
      <c r="I553"/>
    </row>
    <row r="554" spans="1:9" x14ac:dyDescent="0.25">
      <c r="A554"/>
      <c r="B554"/>
      <c r="C554"/>
      <c r="D554"/>
      <c r="E554"/>
      <c r="F554"/>
      <c r="G554"/>
      <c r="H554"/>
      <c r="I554"/>
    </row>
    <row r="555" spans="1:9" x14ac:dyDescent="0.25">
      <c r="A555"/>
      <c r="B555"/>
      <c r="C555"/>
      <c r="D555"/>
      <c r="E555"/>
      <c r="F555"/>
      <c r="G555"/>
      <c r="H555"/>
      <c r="I555"/>
    </row>
    <row r="556" spans="1:9" x14ac:dyDescent="0.25">
      <c r="A556"/>
      <c r="B556"/>
      <c r="C556"/>
      <c r="D556"/>
      <c r="E556"/>
      <c r="F556"/>
      <c r="G556"/>
      <c r="H556"/>
      <c r="I556"/>
    </row>
    <row r="557" spans="1:9" x14ac:dyDescent="0.25">
      <c r="A557"/>
      <c r="B557"/>
      <c r="C557"/>
      <c r="D557"/>
      <c r="E557"/>
      <c r="F557"/>
      <c r="G557"/>
      <c r="H557"/>
      <c r="I557"/>
    </row>
    <row r="558" spans="1:9" x14ac:dyDescent="0.25">
      <c r="A558"/>
      <c r="B558"/>
      <c r="C558"/>
      <c r="D558"/>
      <c r="E558"/>
      <c r="F558"/>
      <c r="G558"/>
      <c r="H558"/>
      <c r="I558"/>
    </row>
    <row r="559" spans="1:9" x14ac:dyDescent="0.25">
      <c r="A559"/>
      <c r="B559"/>
      <c r="C559"/>
      <c r="D559"/>
      <c r="E559"/>
      <c r="F559"/>
      <c r="G559"/>
      <c r="H559"/>
      <c r="I559"/>
    </row>
    <row r="560" spans="1:9" x14ac:dyDescent="0.25">
      <c r="A560"/>
      <c r="B560"/>
      <c r="C560"/>
      <c r="D560"/>
      <c r="E560"/>
      <c r="F560"/>
      <c r="G560"/>
      <c r="H560"/>
      <c r="I560"/>
    </row>
    <row r="561" spans="1:9" x14ac:dyDescent="0.25">
      <c r="A561"/>
      <c r="B561"/>
      <c r="C561"/>
      <c r="D561"/>
      <c r="E561"/>
      <c r="F561"/>
      <c r="G561"/>
      <c r="H561"/>
      <c r="I561"/>
    </row>
    <row r="562" spans="1:9" x14ac:dyDescent="0.25">
      <c r="A562"/>
      <c r="B562"/>
      <c r="C562"/>
      <c r="D562"/>
      <c r="E562"/>
      <c r="F562"/>
      <c r="G562"/>
      <c r="H562"/>
      <c r="I562"/>
    </row>
    <row r="563" spans="1:9" x14ac:dyDescent="0.25">
      <c r="A563"/>
      <c r="B563"/>
      <c r="C563"/>
      <c r="D563"/>
      <c r="E563"/>
      <c r="F563"/>
      <c r="G563"/>
      <c r="H563"/>
      <c r="I563"/>
    </row>
    <row r="564" spans="1:9" x14ac:dyDescent="0.25">
      <c r="A564"/>
      <c r="B564"/>
      <c r="C564"/>
      <c r="D564"/>
      <c r="E564"/>
      <c r="F564"/>
      <c r="G564"/>
      <c r="H564"/>
      <c r="I564"/>
    </row>
    <row r="565" spans="1:9" x14ac:dyDescent="0.25">
      <c r="A565"/>
      <c r="B565"/>
      <c r="C565"/>
      <c r="D565"/>
      <c r="E565"/>
      <c r="F565"/>
      <c r="G565"/>
      <c r="H565"/>
      <c r="I565"/>
    </row>
    <row r="566" spans="1:9" x14ac:dyDescent="0.25">
      <c r="A566"/>
      <c r="B566"/>
      <c r="C566"/>
      <c r="D566"/>
      <c r="E566"/>
      <c r="F566"/>
      <c r="G566"/>
      <c r="H566"/>
      <c r="I566"/>
    </row>
    <row r="567" spans="1:9" x14ac:dyDescent="0.25">
      <c r="A567"/>
      <c r="B567"/>
      <c r="C567"/>
      <c r="D567"/>
      <c r="E567"/>
      <c r="F567"/>
      <c r="G567"/>
      <c r="H567"/>
      <c r="I567"/>
    </row>
    <row r="568" spans="1:9" x14ac:dyDescent="0.25">
      <c r="A568"/>
      <c r="B568"/>
      <c r="C568"/>
      <c r="D568"/>
      <c r="E568"/>
      <c r="F568"/>
      <c r="G568"/>
      <c r="H568"/>
      <c r="I568"/>
    </row>
    <row r="569" spans="1:9" x14ac:dyDescent="0.25">
      <c r="A569"/>
      <c r="B569"/>
      <c r="C569"/>
      <c r="D569"/>
      <c r="E569"/>
      <c r="F569"/>
      <c r="G569"/>
      <c r="H569"/>
      <c r="I569"/>
    </row>
    <row r="570" spans="1:9" x14ac:dyDescent="0.25">
      <c r="A570"/>
      <c r="B570"/>
      <c r="C570"/>
      <c r="D570"/>
      <c r="E570"/>
      <c r="F570"/>
      <c r="G570"/>
      <c r="H570"/>
      <c r="I570"/>
    </row>
    <row r="571" spans="1:9" x14ac:dyDescent="0.25">
      <c r="A571"/>
      <c r="B571"/>
      <c r="C571"/>
      <c r="D571"/>
      <c r="E571"/>
      <c r="F571"/>
      <c r="G571"/>
      <c r="H571"/>
      <c r="I571"/>
    </row>
    <row r="572" spans="1:9" x14ac:dyDescent="0.25">
      <c r="A572"/>
      <c r="B572"/>
      <c r="C572"/>
      <c r="D572"/>
      <c r="E572"/>
      <c r="F572"/>
      <c r="G572"/>
      <c r="H572"/>
      <c r="I572"/>
    </row>
    <row r="573" spans="1:9" x14ac:dyDescent="0.25">
      <c r="A573"/>
      <c r="B573"/>
      <c r="C573"/>
      <c r="D573"/>
      <c r="E573"/>
      <c r="F573"/>
      <c r="G573"/>
      <c r="H573"/>
      <c r="I573"/>
    </row>
    <row r="574" spans="1:9" x14ac:dyDescent="0.25">
      <c r="A574"/>
      <c r="B574"/>
      <c r="C574"/>
      <c r="D574"/>
      <c r="E574"/>
      <c r="F574"/>
      <c r="G574"/>
      <c r="H574"/>
      <c r="I574"/>
    </row>
    <row r="575" spans="1:9" x14ac:dyDescent="0.25">
      <c r="A575"/>
      <c r="B575"/>
      <c r="C575"/>
      <c r="D575"/>
      <c r="E575"/>
      <c r="F575"/>
      <c r="G575"/>
      <c r="H575"/>
      <c r="I575"/>
    </row>
    <row r="576" spans="1:9" x14ac:dyDescent="0.25">
      <c r="A576"/>
      <c r="B576"/>
      <c r="C576"/>
      <c r="D576"/>
      <c r="E576"/>
      <c r="F576"/>
      <c r="G576"/>
      <c r="H576"/>
      <c r="I576"/>
    </row>
    <row r="577" spans="1:9" x14ac:dyDescent="0.25">
      <c r="A577"/>
      <c r="B577"/>
      <c r="C577"/>
      <c r="D577"/>
      <c r="E577"/>
      <c r="F577"/>
      <c r="G577"/>
      <c r="H577"/>
      <c r="I577"/>
    </row>
    <row r="578" spans="1:9" x14ac:dyDescent="0.25">
      <c r="A578"/>
      <c r="B578"/>
      <c r="C578"/>
      <c r="D578"/>
      <c r="E578"/>
      <c r="F578"/>
      <c r="G578"/>
      <c r="H578"/>
      <c r="I578"/>
    </row>
    <row r="579" spans="1:9" x14ac:dyDescent="0.25">
      <c r="A579"/>
      <c r="B579"/>
      <c r="C579"/>
      <c r="D579"/>
      <c r="E579"/>
      <c r="F579"/>
      <c r="G579"/>
      <c r="H579"/>
      <c r="I579"/>
    </row>
    <row r="580" spans="1:9" x14ac:dyDescent="0.25">
      <c r="A580"/>
      <c r="B580"/>
      <c r="C580"/>
      <c r="D580"/>
      <c r="E580"/>
      <c r="F580"/>
      <c r="G580"/>
      <c r="H580"/>
      <c r="I580"/>
    </row>
    <row r="581" spans="1:9" x14ac:dyDescent="0.25">
      <c r="A581"/>
      <c r="B581"/>
      <c r="C581"/>
      <c r="D581"/>
      <c r="E581"/>
      <c r="F581"/>
      <c r="G581"/>
      <c r="H581"/>
      <c r="I581"/>
    </row>
    <row r="582" spans="1:9" x14ac:dyDescent="0.25">
      <c r="A582"/>
      <c r="B582"/>
      <c r="C582"/>
      <c r="D582"/>
      <c r="E582"/>
      <c r="F582"/>
      <c r="G582"/>
      <c r="H582"/>
      <c r="I582"/>
    </row>
    <row r="583" spans="1:9" x14ac:dyDescent="0.25">
      <c r="A583"/>
      <c r="B583"/>
      <c r="C583"/>
      <c r="D583"/>
      <c r="E583"/>
      <c r="F583"/>
      <c r="G583"/>
      <c r="H583"/>
      <c r="I583"/>
    </row>
    <row r="584" spans="1:9" x14ac:dyDescent="0.25">
      <c r="A584"/>
      <c r="B584"/>
      <c r="C584"/>
      <c r="D584"/>
      <c r="E584"/>
      <c r="F584"/>
      <c r="G584"/>
      <c r="H584"/>
      <c r="I584"/>
    </row>
    <row r="585" spans="1:9" x14ac:dyDescent="0.25">
      <c r="A585"/>
      <c r="B585"/>
      <c r="C585"/>
      <c r="D585"/>
      <c r="E585"/>
      <c r="F585"/>
      <c r="G585"/>
      <c r="H585"/>
      <c r="I585"/>
    </row>
    <row r="586" spans="1:9" x14ac:dyDescent="0.25">
      <c r="A586"/>
      <c r="B586"/>
      <c r="C586"/>
      <c r="D586"/>
      <c r="E586"/>
      <c r="F586"/>
      <c r="G586"/>
      <c r="H586"/>
      <c r="I586"/>
    </row>
    <row r="587" spans="1:9" x14ac:dyDescent="0.25">
      <c r="A587"/>
      <c r="B587"/>
      <c r="C587"/>
      <c r="D587"/>
      <c r="E587"/>
      <c r="F587"/>
      <c r="G587"/>
      <c r="H587"/>
      <c r="I587"/>
    </row>
    <row r="588" spans="1:9" x14ac:dyDescent="0.25">
      <c r="A588"/>
      <c r="B588"/>
      <c r="C588"/>
      <c r="D588"/>
      <c r="E588"/>
      <c r="F588"/>
      <c r="G588"/>
      <c r="H588"/>
      <c r="I588"/>
    </row>
    <row r="589" spans="1:9" x14ac:dyDescent="0.25">
      <c r="A589"/>
      <c r="B589"/>
      <c r="C589"/>
      <c r="D589"/>
      <c r="E589"/>
      <c r="F589"/>
      <c r="G589"/>
      <c r="H589"/>
      <c r="I589"/>
    </row>
    <row r="590" spans="1:9" x14ac:dyDescent="0.25">
      <c r="A590"/>
      <c r="B590"/>
      <c r="C590"/>
      <c r="D590"/>
      <c r="E590"/>
      <c r="F590"/>
      <c r="G590"/>
      <c r="H590"/>
      <c r="I590"/>
    </row>
    <row r="591" spans="1:9" x14ac:dyDescent="0.25">
      <c r="A591"/>
      <c r="B591"/>
      <c r="C591"/>
      <c r="D591"/>
      <c r="E591"/>
      <c r="F591"/>
      <c r="G591"/>
      <c r="H591"/>
      <c r="I591"/>
    </row>
    <row r="592" spans="1:9" x14ac:dyDescent="0.25">
      <c r="A592"/>
      <c r="B592"/>
      <c r="C592"/>
      <c r="D592"/>
      <c r="E592"/>
      <c r="F592"/>
      <c r="G592"/>
      <c r="H592"/>
      <c r="I592"/>
    </row>
    <row r="593" spans="1:9" x14ac:dyDescent="0.25">
      <c r="A593"/>
      <c r="B593"/>
      <c r="C593"/>
      <c r="D593"/>
      <c r="E593"/>
      <c r="F593"/>
      <c r="G593"/>
      <c r="H593"/>
      <c r="I593"/>
    </row>
    <row r="594" spans="1:9" x14ac:dyDescent="0.25">
      <c r="A594"/>
      <c r="B594"/>
      <c r="C594"/>
      <c r="D594"/>
      <c r="E594"/>
      <c r="F594"/>
      <c r="G594"/>
      <c r="H594"/>
      <c r="I594"/>
    </row>
    <row r="595" spans="1:9" x14ac:dyDescent="0.25">
      <c r="A595"/>
      <c r="B595"/>
      <c r="C595"/>
      <c r="D595"/>
      <c r="E595"/>
      <c r="F595"/>
      <c r="G595"/>
      <c r="H595"/>
      <c r="I595"/>
    </row>
    <row r="596" spans="1:9" x14ac:dyDescent="0.25">
      <c r="A596"/>
      <c r="B596"/>
      <c r="C596"/>
      <c r="D596"/>
      <c r="E596"/>
      <c r="F596"/>
      <c r="G596"/>
      <c r="H596"/>
      <c r="I596"/>
    </row>
    <row r="597" spans="1:9" x14ac:dyDescent="0.25">
      <c r="A597"/>
      <c r="B597"/>
      <c r="C597"/>
      <c r="D597"/>
      <c r="E597"/>
      <c r="F597"/>
      <c r="G597"/>
      <c r="H597"/>
      <c r="I597"/>
    </row>
    <row r="598" spans="1:9" x14ac:dyDescent="0.25">
      <c r="A598"/>
      <c r="B598"/>
      <c r="C598"/>
      <c r="D598"/>
      <c r="E598"/>
      <c r="F598"/>
      <c r="G598"/>
      <c r="H598"/>
      <c r="I598"/>
    </row>
    <row r="599" spans="1:9" x14ac:dyDescent="0.25">
      <c r="A599"/>
      <c r="B599"/>
      <c r="C599"/>
      <c r="D599"/>
      <c r="E599"/>
      <c r="F599"/>
      <c r="G599"/>
      <c r="H599"/>
      <c r="I599"/>
    </row>
    <row r="600" spans="1:9" x14ac:dyDescent="0.25">
      <c r="A600"/>
      <c r="B600"/>
      <c r="C600"/>
      <c r="D600"/>
      <c r="E600"/>
      <c r="F600"/>
      <c r="G600"/>
      <c r="H600"/>
      <c r="I600"/>
    </row>
    <row r="601" spans="1:9" x14ac:dyDescent="0.25">
      <c r="A601"/>
      <c r="B601"/>
      <c r="C601"/>
      <c r="D601"/>
      <c r="E601"/>
      <c r="F601"/>
      <c r="G601"/>
      <c r="H601"/>
      <c r="I601"/>
    </row>
    <row r="602" spans="1:9" x14ac:dyDescent="0.25">
      <c r="A602"/>
      <c r="B602"/>
      <c r="C602"/>
      <c r="D602"/>
      <c r="E602"/>
      <c r="F602"/>
      <c r="G602"/>
      <c r="H602"/>
      <c r="I602"/>
    </row>
    <row r="603" spans="1:9" x14ac:dyDescent="0.25">
      <c r="A603"/>
      <c r="B603"/>
      <c r="C603"/>
      <c r="D603"/>
      <c r="E603"/>
      <c r="F603"/>
      <c r="G603"/>
      <c r="H603"/>
      <c r="I603"/>
    </row>
    <row r="604" spans="1:9" x14ac:dyDescent="0.25">
      <c r="A604"/>
      <c r="B604"/>
      <c r="C604"/>
      <c r="D604"/>
      <c r="E604"/>
      <c r="F604"/>
      <c r="G604"/>
      <c r="H604"/>
      <c r="I604"/>
    </row>
    <row r="605" spans="1:9" x14ac:dyDescent="0.25">
      <c r="A605"/>
      <c r="B605"/>
      <c r="C605"/>
      <c r="D605"/>
      <c r="E605"/>
      <c r="F605"/>
      <c r="G605"/>
      <c r="H605"/>
      <c r="I605"/>
    </row>
    <row r="606" spans="1:9" x14ac:dyDescent="0.25">
      <c r="A606"/>
      <c r="B606"/>
      <c r="C606"/>
      <c r="D606"/>
      <c r="E606"/>
      <c r="F606"/>
      <c r="G606"/>
      <c r="H606"/>
      <c r="I606"/>
    </row>
    <row r="607" spans="1:9" x14ac:dyDescent="0.25">
      <c r="A607"/>
      <c r="B607"/>
      <c r="C607"/>
      <c r="D607"/>
      <c r="E607"/>
      <c r="F607"/>
      <c r="G607"/>
      <c r="H607"/>
      <c r="I607"/>
    </row>
    <row r="608" spans="1:9" x14ac:dyDescent="0.25">
      <c r="A608"/>
      <c r="B608"/>
      <c r="C608"/>
      <c r="D608"/>
      <c r="E608"/>
      <c r="F608"/>
      <c r="G608"/>
      <c r="H608"/>
      <c r="I608"/>
    </row>
    <row r="609" spans="1:9" x14ac:dyDescent="0.25">
      <c r="A609"/>
      <c r="B609"/>
      <c r="C609"/>
      <c r="D609"/>
      <c r="E609"/>
      <c r="F609"/>
      <c r="G609"/>
      <c r="H609"/>
      <c r="I609"/>
    </row>
    <row r="610" spans="1:9" x14ac:dyDescent="0.25">
      <c r="A610"/>
      <c r="B610"/>
      <c r="C610"/>
      <c r="D610"/>
      <c r="E610"/>
      <c r="F610"/>
      <c r="G610"/>
      <c r="H610"/>
      <c r="I610"/>
    </row>
    <row r="611" spans="1:9" x14ac:dyDescent="0.25">
      <c r="A611"/>
      <c r="B611"/>
      <c r="C611"/>
      <c r="D611"/>
      <c r="E611"/>
      <c r="F611"/>
      <c r="G611"/>
      <c r="H611"/>
      <c r="I611"/>
    </row>
    <row r="612" spans="1:9" x14ac:dyDescent="0.25">
      <c r="A612"/>
      <c r="B612"/>
      <c r="C612"/>
      <c r="D612"/>
      <c r="E612"/>
      <c r="F612"/>
      <c r="G612"/>
      <c r="H612"/>
      <c r="I612"/>
    </row>
    <row r="613" spans="1:9" x14ac:dyDescent="0.25">
      <c r="A613"/>
      <c r="B613"/>
      <c r="C613"/>
      <c r="D613"/>
      <c r="E613"/>
      <c r="F613"/>
      <c r="G613"/>
      <c r="H613"/>
      <c r="I613"/>
    </row>
    <row r="614" spans="1:9" x14ac:dyDescent="0.25">
      <c r="A614"/>
      <c r="B614"/>
      <c r="C614"/>
      <c r="D614"/>
      <c r="E614"/>
      <c r="F614"/>
      <c r="G614"/>
      <c r="H614"/>
      <c r="I614"/>
    </row>
    <row r="615" spans="1:9" x14ac:dyDescent="0.25">
      <c r="A615"/>
      <c r="B615"/>
      <c r="C615"/>
      <c r="D615"/>
      <c r="E615"/>
      <c r="F615"/>
      <c r="G615"/>
      <c r="H615"/>
      <c r="I615"/>
    </row>
    <row r="616" spans="1:9" x14ac:dyDescent="0.25">
      <c r="A616"/>
      <c r="B616"/>
      <c r="C616"/>
      <c r="D616"/>
      <c r="E616"/>
      <c r="F616"/>
      <c r="G616"/>
      <c r="H616"/>
      <c r="I616"/>
    </row>
    <row r="617" spans="1:9" x14ac:dyDescent="0.25">
      <c r="A617"/>
      <c r="B617"/>
      <c r="C617"/>
      <c r="D617"/>
      <c r="E617"/>
      <c r="F617"/>
      <c r="G617"/>
      <c r="H617"/>
      <c r="I617"/>
    </row>
    <row r="618" spans="1:9" x14ac:dyDescent="0.25">
      <c r="A618"/>
      <c r="B618"/>
      <c r="C618"/>
      <c r="D618"/>
      <c r="E618"/>
      <c r="F618"/>
      <c r="G618"/>
      <c r="H618"/>
      <c r="I618"/>
    </row>
    <row r="619" spans="1:9" x14ac:dyDescent="0.25">
      <c r="A619"/>
      <c r="B619"/>
      <c r="C619"/>
      <c r="D619"/>
      <c r="E619"/>
      <c r="F619"/>
      <c r="G619"/>
      <c r="H619"/>
      <c r="I619"/>
    </row>
    <row r="620" spans="1:9" x14ac:dyDescent="0.25">
      <c r="A620"/>
      <c r="B620"/>
      <c r="C620"/>
      <c r="D620"/>
      <c r="E620"/>
      <c r="F620"/>
      <c r="G620"/>
      <c r="H620"/>
      <c r="I620"/>
    </row>
    <row r="621" spans="1:9" x14ac:dyDescent="0.25">
      <c r="A621"/>
      <c r="B621"/>
      <c r="C621"/>
      <c r="D621"/>
      <c r="E621"/>
      <c r="F621"/>
      <c r="G621"/>
      <c r="H621"/>
      <c r="I621"/>
    </row>
    <row r="622" spans="1:9" x14ac:dyDescent="0.25">
      <c r="A622"/>
      <c r="B622"/>
      <c r="C622"/>
      <c r="D622"/>
      <c r="E622"/>
      <c r="F622"/>
      <c r="G622"/>
      <c r="H622"/>
      <c r="I622"/>
    </row>
    <row r="623" spans="1:9" x14ac:dyDescent="0.25">
      <c r="A623"/>
      <c r="B623"/>
      <c r="C623"/>
      <c r="D623"/>
      <c r="E623"/>
      <c r="F623"/>
      <c r="G623"/>
      <c r="H623"/>
      <c r="I623"/>
    </row>
    <row r="624" spans="1:9" x14ac:dyDescent="0.25">
      <c r="A624"/>
      <c r="B624"/>
      <c r="C624"/>
      <c r="D624"/>
      <c r="E624"/>
      <c r="F624"/>
      <c r="G624"/>
      <c r="H624"/>
      <c r="I624"/>
    </row>
    <row r="625" spans="1:9" x14ac:dyDescent="0.25">
      <c r="A625"/>
      <c r="B625"/>
      <c r="C625"/>
      <c r="D625"/>
      <c r="E625"/>
      <c r="F625"/>
      <c r="G625"/>
      <c r="H625"/>
      <c r="I625"/>
    </row>
    <row r="626" spans="1:9" x14ac:dyDescent="0.25">
      <c r="A626"/>
      <c r="B626"/>
      <c r="C626"/>
      <c r="D626"/>
      <c r="E626"/>
      <c r="F626"/>
      <c r="G626"/>
      <c r="H626"/>
      <c r="I626"/>
    </row>
    <row r="627" spans="1:9" x14ac:dyDescent="0.25">
      <c r="A627"/>
      <c r="B627"/>
      <c r="C627"/>
      <c r="D627"/>
      <c r="E627"/>
      <c r="F627"/>
      <c r="G627"/>
      <c r="H627"/>
      <c r="I627"/>
    </row>
    <row r="628" spans="1:9" x14ac:dyDescent="0.25">
      <c r="A628"/>
      <c r="B628"/>
      <c r="C628"/>
      <c r="D628"/>
      <c r="E628"/>
      <c r="F628"/>
      <c r="G628"/>
      <c r="H628"/>
      <c r="I628"/>
    </row>
    <row r="629" spans="1:9" x14ac:dyDescent="0.25">
      <c r="A629"/>
      <c r="B629"/>
      <c r="C629"/>
      <c r="D629"/>
      <c r="E629"/>
      <c r="F629"/>
      <c r="G629"/>
      <c r="H629"/>
      <c r="I629"/>
    </row>
    <row r="630" spans="1:9" x14ac:dyDescent="0.25">
      <c r="A630"/>
      <c r="B630"/>
      <c r="C630"/>
      <c r="D630"/>
      <c r="E630"/>
      <c r="F630"/>
      <c r="G630"/>
      <c r="H630"/>
      <c r="I630"/>
    </row>
    <row r="631" spans="1:9" x14ac:dyDescent="0.25">
      <c r="A631"/>
      <c r="B631"/>
      <c r="C631"/>
      <c r="D631"/>
      <c r="E631"/>
      <c r="F631"/>
      <c r="G631"/>
      <c r="H631"/>
      <c r="I631"/>
    </row>
    <row r="632" spans="1:9" x14ac:dyDescent="0.25">
      <c r="A632"/>
      <c r="B632"/>
      <c r="C632"/>
      <c r="D632"/>
      <c r="E632"/>
      <c r="F632"/>
      <c r="G632"/>
      <c r="H632"/>
      <c r="I632"/>
    </row>
    <row r="633" spans="1:9" x14ac:dyDescent="0.25">
      <c r="A633"/>
      <c r="B633"/>
      <c r="C633"/>
      <c r="D633"/>
      <c r="E633"/>
      <c r="F633"/>
      <c r="G633"/>
      <c r="H633"/>
      <c r="I633"/>
    </row>
    <row r="634" spans="1:9" x14ac:dyDescent="0.25">
      <c r="A634"/>
      <c r="B634"/>
      <c r="C634"/>
      <c r="D634"/>
      <c r="E634"/>
      <c r="F634"/>
      <c r="G634"/>
      <c r="H634"/>
      <c r="I634"/>
    </row>
    <row r="635" spans="1:9" x14ac:dyDescent="0.25">
      <c r="A635"/>
      <c r="B635"/>
      <c r="C635"/>
      <c r="D635"/>
      <c r="E635"/>
      <c r="F635"/>
      <c r="G635"/>
      <c r="H635"/>
      <c r="I635"/>
    </row>
    <row r="636" spans="1:9" x14ac:dyDescent="0.25">
      <c r="A636"/>
      <c r="B636"/>
      <c r="C636"/>
      <c r="D636"/>
      <c r="E636"/>
      <c r="F636"/>
      <c r="G636"/>
      <c r="H636"/>
      <c r="I636"/>
    </row>
    <row r="637" spans="1:9" x14ac:dyDescent="0.25">
      <c r="A637"/>
      <c r="B637"/>
      <c r="C637"/>
      <c r="D637"/>
      <c r="E637"/>
      <c r="F637"/>
      <c r="G637"/>
      <c r="H637"/>
      <c r="I637"/>
    </row>
    <row r="638" spans="1:9" x14ac:dyDescent="0.25">
      <c r="A638"/>
      <c r="B638"/>
      <c r="C638"/>
      <c r="D638"/>
      <c r="E638"/>
      <c r="F638"/>
      <c r="G638"/>
      <c r="H638"/>
      <c r="I638"/>
    </row>
    <row r="639" spans="1:9" x14ac:dyDescent="0.25">
      <c r="A639"/>
      <c r="B639"/>
      <c r="C639"/>
      <c r="D639"/>
      <c r="E639"/>
      <c r="F639"/>
      <c r="G639"/>
      <c r="H639"/>
      <c r="I639"/>
    </row>
    <row r="640" spans="1:9" x14ac:dyDescent="0.25">
      <c r="A640"/>
      <c r="B640"/>
      <c r="C640"/>
      <c r="D640"/>
      <c r="E640"/>
      <c r="F640"/>
      <c r="G640"/>
      <c r="H640"/>
      <c r="I640"/>
    </row>
    <row r="641" spans="1:9" x14ac:dyDescent="0.25">
      <c r="A641"/>
      <c r="B641"/>
      <c r="C641"/>
      <c r="D641"/>
      <c r="E641"/>
      <c r="F641"/>
      <c r="G641"/>
      <c r="H641"/>
      <c r="I641"/>
    </row>
    <row r="642" spans="1:9" x14ac:dyDescent="0.25">
      <c r="A642"/>
      <c r="B642"/>
      <c r="C642"/>
      <c r="D642"/>
      <c r="E642"/>
      <c r="F642"/>
      <c r="G642"/>
      <c r="H642"/>
      <c r="I642"/>
    </row>
    <row r="643" spans="1:9" x14ac:dyDescent="0.25">
      <c r="A643"/>
      <c r="B643"/>
      <c r="C643"/>
      <c r="D643"/>
      <c r="E643"/>
      <c r="F643"/>
      <c r="G643"/>
      <c r="H643"/>
      <c r="I643"/>
    </row>
    <row r="644" spans="1:9" x14ac:dyDescent="0.25">
      <c r="A644"/>
      <c r="B644"/>
      <c r="C644"/>
      <c r="D644"/>
      <c r="E644"/>
      <c r="F644"/>
      <c r="G644"/>
      <c r="H644"/>
      <c r="I644"/>
    </row>
    <row r="645" spans="1:9" x14ac:dyDescent="0.25">
      <c r="A645"/>
      <c r="B645"/>
      <c r="C645"/>
      <c r="D645"/>
      <c r="E645"/>
      <c r="F645"/>
      <c r="G645"/>
      <c r="H645"/>
      <c r="I645"/>
    </row>
    <row r="646" spans="1:9" x14ac:dyDescent="0.25">
      <c r="A646"/>
      <c r="B646"/>
      <c r="C646"/>
      <c r="D646"/>
      <c r="E646"/>
      <c r="F646"/>
      <c r="G646"/>
      <c r="H646"/>
      <c r="I646"/>
    </row>
    <row r="647" spans="1:9" x14ac:dyDescent="0.25">
      <c r="A647"/>
      <c r="B647"/>
      <c r="C647"/>
      <c r="D647"/>
      <c r="E647"/>
      <c r="F647"/>
      <c r="G647"/>
      <c r="H647"/>
      <c r="I647"/>
    </row>
    <row r="648" spans="1:9" x14ac:dyDescent="0.25">
      <c r="A648"/>
      <c r="B648"/>
      <c r="C648"/>
      <c r="D648"/>
      <c r="E648"/>
      <c r="F648"/>
      <c r="G648"/>
      <c r="H648"/>
      <c r="I648"/>
    </row>
    <row r="649" spans="1:9" x14ac:dyDescent="0.25">
      <c r="A649"/>
      <c r="B649"/>
      <c r="C649"/>
      <c r="D649"/>
      <c r="E649"/>
      <c r="F649"/>
      <c r="G649"/>
      <c r="H649"/>
      <c r="I649"/>
    </row>
    <row r="650" spans="1:9" x14ac:dyDescent="0.25">
      <c r="A650"/>
      <c r="B650"/>
      <c r="C650"/>
      <c r="D650"/>
      <c r="E650"/>
      <c r="F650"/>
      <c r="G650"/>
      <c r="H650"/>
      <c r="I650"/>
    </row>
    <row r="651" spans="1:9" x14ac:dyDescent="0.25">
      <c r="A651"/>
      <c r="B651"/>
      <c r="C651"/>
      <c r="D651"/>
      <c r="E651"/>
      <c r="F651"/>
      <c r="G651"/>
      <c r="H651"/>
      <c r="I651"/>
    </row>
    <row r="652" spans="1:9" x14ac:dyDescent="0.25">
      <c r="A652"/>
      <c r="B652"/>
      <c r="C652"/>
      <c r="D652"/>
      <c r="E652"/>
      <c r="F652"/>
      <c r="G652"/>
      <c r="H652"/>
      <c r="I652"/>
    </row>
    <row r="653" spans="1:9" x14ac:dyDescent="0.25">
      <c r="A653"/>
      <c r="B653"/>
      <c r="C653"/>
      <c r="D653"/>
      <c r="E653"/>
      <c r="F653"/>
      <c r="G653"/>
      <c r="H653"/>
      <c r="I653"/>
    </row>
    <row r="654" spans="1:9" x14ac:dyDescent="0.25">
      <c r="A654"/>
      <c r="B654"/>
      <c r="C654"/>
      <c r="D654"/>
      <c r="E654"/>
      <c r="F654"/>
      <c r="G654"/>
      <c r="H654"/>
      <c r="I654"/>
    </row>
    <row r="655" spans="1:9" x14ac:dyDescent="0.25">
      <c r="A655"/>
      <c r="B655"/>
      <c r="C655"/>
      <c r="D655"/>
      <c r="E655"/>
      <c r="F655"/>
      <c r="G655"/>
      <c r="H655"/>
      <c r="I655"/>
    </row>
    <row r="656" spans="1:9" x14ac:dyDescent="0.25">
      <c r="A656"/>
      <c r="B656"/>
      <c r="C656"/>
      <c r="D656"/>
      <c r="E656"/>
      <c r="F656"/>
      <c r="G656"/>
      <c r="H656"/>
      <c r="I656"/>
    </row>
    <row r="657" spans="1:9" x14ac:dyDescent="0.25">
      <c r="A657"/>
      <c r="B657"/>
      <c r="C657"/>
      <c r="D657"/>
      <c r="E657"/>
      <c r="F657"/>
      <c r="G657"/>
      <c r="H657"/>
      <c r="I657"/>
    </row>
    <row r="658" spans="1:9" x14ac:dyDescent="0.25">
      <c r="A658"/>
      <c r="B658"/>
      <c r="C658"/>
      <c r="D658"/>
      <c r="E658"/>
      <c r="F658"/>
      <c r="G658"/>
      <c r="H658"/>
      <c r="I658"/>
    </row>
    <row r="659" spans="1:9" x14ac:dyDescent="0.25">
      <c r="A659"/>
      <c r="B659"/>
      <c r="C659"/>
      <c r="D659"/>
      <c r="E659"/>
      <c r="F659"/>
      <c r="G659"/>
      <c r="H659"/>
      <c r="I659"/>
    </row>
    <row r="660" spans="1:9" x14ac:dyDescent="0.25">
      <c r="A660"/>
      <c r="B660"/>
      <c r="C660"/>
      <c r="D660"/>
      <c r="E660"/>
      <c r="F660"/>
      <c r="G660"/>
      <c r="H660"/>
      <c r="I660"/>
    </row>
    <row r="661" spans="1:9" x14ac:dyDescent="0.25">
      <c r="A661"/>
      <c r="B661"/>
      <c r="C661"/>
      <c r="D661"/>
      <c r="E661"/>
      <c r="F661"/>
      <c r="G661"/>
      <c r="H661"/>
      <c r="I661"/>
    </row>
    <row r="662" spans="1:9" x14ac:dyDescent="0.25">
      <c r="A662"/>
      <c r="B662"/>
      <c r="C662"/>
      <c r="D662"/>
      <c r="E662"/>
      <c r="F662"/>
      <c r="G662"/>
      <c r="H662"/>
      <c r="I662"/>
    </row>
    <row r="663" spans="1:9" x14ac:dyDescent="0.25">
      <c r="A663"/>
      <c r="B663"/>
      <c r="C663"/>
      <c r="D663"/>
      <c r="E663"/>
      <c r="F663"/>
      <c r="G663"/>
      <c r="H663"/>
      <c r="I663"/>
    </row>
    <row r="664" spans="1:9" x14ac:dyDescent="0.25">
      <c r="A664"/>
      <c r="B664"/>
      <c r="C664"/>
      <c r="D664"/>
      <c r="E664"/>
      <c r="F664"/>
      <c r="G664"/>
      <c r="H664"/>
      <c r="I664"/>
    </row>
    <row r="665" spans="1:9" x14ac:dyDescent="0.25">
      <c r="A665"/>
      <c r="B665"/>
      <c r="C665"/>
      <c r="D665"/>
      <c r="E665"/>
      <c r="F665"/>
      <c r="G665"/>
      <c r="H665"/>
      <c r="I665"/>
    </row>
    <row r="666" spans="1:9" x14ac:dyDescent="0.25">
      <c r="A666"/>
      <c r="B666"/>
      <c r="C666"/>
      <c r="D666"/>
      <c r="E666"/>
      <c r="F666"/>
      <c r="G666"/>
      <c r="H666"/>
      <c r="I666"/>
    </row>
    <row r="667" spans="1:9" x14ac:dyDescent="0.25">
      <c r="A667"/>
      <c r="B667"/>
      <c r="C667"/>
      <c r="D667"/>
      <c r="E667"/>
      <c r="F667"/>
      <c r="G667"/>
      <c r="H667"/>
      <c r="I667"/>
    </row>
    <row r="668" spans="1:9" x14ac:dyDescent="0.25">
      <c r="A668"/>
      <c r="B668"/>
      <c r="C668"/>
      <c r="D668"/>
      <c r="E668"/>
      <c r="F668"/>
      <c r="G668"/>
      <c r="H668"/>
      <c r="I668"/>
    </row>
    <row r="669" spans="1:9" x14ac:dyDescent="0.25">
      <c r="A669"/>
      <c r="B669"/>
      <c r="C669"/>
      <c r="D669"/>
      <c r="E669"/>
      <c r="F669"/>
      <c r="G669"/>
      <c r="H669"/>
      <c r="I669"/>
    </row>
    <row r="670" spans="1:9" x14ac:dyDescent="0.25">
      <c r="A670"/>
      <c r="B670"/>
      <c r="C670"/>
      <c r="D670"/>
      <c r="E670"/>
      <c r="F670"/>
      <c r="G670"/>
      <c r="H670"/>
      <c r="I670"/>
    </row>
    <row r="671" spans="1:9" x14ac:dyDescent="0.25">
      <c r="A671"/>
      <c r="B671"/>
      <c r="C671"/>
      <c r="D671"/>
      <c r="E671"/>
      <c r="F671"/>
      <c r="G671"/>
      <c r="H671"/>
      <c r="I671"/>
    </row>
    <row r="672" spans="1:9" x14ac:dyDescent="0.25">
      <c r="A672"/>
      <c r="B672"/>
      <c r="C672"/>
      <c r="D672"/>
      <c r="E672"/>
      <c r="F672"/>
      <c r="G672"/>
      <c r="H672"/>
      <c r="I672"/>
    </row>
    <row r="673" spans="1:9" x14ac:dyDescent="0.25">
      <c r="A673"/>
      <c r="B673"/>
      <c r="C673"/>
      <c r="D673"/>
      <c r="E673"/>
      <c r="F673"/>
      <c r="G673"/>
      <c r="H673"/>
      <c r="I673"/>
    </row>
    <row r="674" spans="1:9" x14ac:dyDescent="0.25">
      <c r="A674"/>
      <c r="B674"/>
      <c r="C674"/>
      <c r="D674"/>
      <c r="E674"/>
      <c r="F674"/>
      <c r="G674"/>
      <c r="H674"/>
      <c r="I674"/>
    </row>
    <row r="675" spans="1:9" x14ac:dyDescent="0.25">
      <c r="A675"/>
      <c r="B675"/>
      <c r="C675"/>
      <c r="D675"/>
      <c r="E675"/>
      <c r="F675"/>
      <c r="G675"/>
      <c r="H675"/>
      <c r="I675"/>
    </row>
    <row r="676" spans="1:9" x14ac:dyDescent="0.25">
      <c r="A676"/>
      <c r="B676"/>
      <c r="C676"/>
      <c r="D676"/>
      <c r="E676"/>
      <c r="F676"/>
      <c r="G676"/>
      <c r="H676"/>
      <c r="I676"/>
    </row>
    <row r="677" spans="1:9" x14ac:dyDescent="0.25">
      <c r="A677"/>
      <c r="B677"/>
      <c r="C677"/>
      <c r="D677"/>
      <c r="E677"/>
      <c r="F677"/>
      <c r="G677"/>
      <c r="H677"/>
      <c r="I677"/>
    </row>
    <row r="678" spans="1:9" x14ac:dyDescent="0.25">
      <c r="A678"/>
      <c r="B678"/>
      <c r="C678"/>
      <c r="D678"/>
      <c r="E678"/>
      <c r="F678"/>
      <c r="G678"/>
      <c r="H678"/>
      <c r="I678"/>
    </row>
    <row r="679" spans="1:9" x14ac:dyDescent="0.25">
      <c r="A679"/>
      <c r="B679"/>
      <c r="C679"/>
      <c r="D679"/>
      <c r="E679"/>
      <c r="F679"/>
      <c r="G679"/>
      <c r="H679"/>
      <c r="I679"/>
    </row>
    <row r="680" spans="1:9" x14ac:dyDescent="0.25">
      <c r="A680"/>
      <c r="B680"/>
      <c r="C680"/>
      <c r="D680"/>
      <c r="E680"/>
      <c r="F680"/>
      <c r="G680"/>
      <c r="H680"/>
      <c r="I680"/>
    </row>
    <row r="681" spans="1:9" x14ac:dyDescent="0.25">
      <c r="A681"/>
      <c r="B681"/>
      <c r="C681"/>
      <c r="D681"/>
      <c r="E681"/>
      <c r="F681"/>
      <c r="G681"/>
      <c r="H681"/>
      <c r="I681"/>
    </row>
    <row r="682" spans="1:9" x14ac:dyDescent="0.25">
      <c r="A682"/>
      <c r="B682"/>
      <c r="C682"/>
      <c r="D682"/>
      <c r="E682"/>
      <c r="F682"/>
      <c r="G682"/>
      <c r="H682"/>
      <c r="I682"/>
    </row>
    <row r="683" spans="1:9" x14ac:dyDescent="0.25">
      <c r="A683"/>
      <c r="B683"/>
      <c r="C683"/>
      <c r="D683"/>
      <c r="E683"/>
      <c r="F683"/>
      <c r="G683"/>
      <c r="H683"/>
      <c r="I683"/>
    </row>
    <row r="684" spans="1:9" x14ac:dyDescent="0.25">
      <c r="A684"/>
      <c r="B684"/>
      <c r="C684"/>
      <c r="D684"/>
      <c r="E684"/>
      <c r="F684"/>
      <c r="G684"/>
      <c r="H684"/>
      <c r="I684"/>
    </row>
    <row r="685" spans="1:9" x14ac:dyDescent="0.25">
      <c r="A685"/>
      <c r="B685"/>
      <c r="C685"/>
      <c r="D685"/>
      <c r="E685"/>
      <c r="F685"/>
      <c r="G685"/>
      <c r="H685"/>
      <c r="I685"/>
    </row>
    <row r="686" spans="1:9" x14ac:dyDescent="0.25">
      <c r="A686"/>
      <c r="B686"/>
      <c r="C686"/>
      <c r="D686"/>
      <c r="E686"/>
      <c r="F686"/>
      <c r="G686"/>
      <c r="H686"/>
      <c r="I686"/>
    </row>
    <row r="687" spans="1:9" x14ac:dyDescent="0.25">
      <c r="A687"/>
      <c r="B687"/>
      <c r="C687"/>
      <c r="D687"/>
      <c r="E687"/>
      <c r="F687"/>
      <c r="G687"/>
      <c r="H687"/>
      <c r="I687"/>
    </row>
    <row r="688" spans="1:9" x14ac:dyDescent="0.25">
      <c r="A688"/>
      <c r="B688"/>
      <c r="C688"/>
      <c r="D688"/>
      <c r="E688"/>
      <c r="F688"/>
      <c r="G688"/>
      <c r="H688"/>
      <c r="I688"/>
    </row>
    <row r="689" spans="1:9" x14ac:dyDescent="0.25">
      <c r="A689"/>
      <c r="B689"/>
      <c r="C689"/>
      <c r="D689"/>
      <c r="E689"/>
      <c r="F689"/>
      <c r="G689"/>
      <c r="H689"/>
      <c r="I689"/>
    </row>
    <row r="690" spans="1:9" x14ac:dyDescent="0.25">
      <c r="A690"/>
      <c r="B690"/>
      <c r="C690"/>
      <c r="D690"/>
      <c r="E690"/>
      <c r="F690"/>
      <c r="G690"/>
      <c r="H690"/>
      <c r="I690"/>
    </row>
    <row r="691" spans="1:9" x14ac:dyDescent="0.25">
      <c r="A691"/>
      <c r="B691"/>
      <c r="C691"/>
      <c r="D691"/>
      <c r="E691"/>
      <c r="F691"/>
      <c r="G691"/>
      <c r="H691"/>
      <c r="I691"/>
    </row>
    <row r="692" spans="1:9" x14ac:dyDescent="0.25">
      <c r="A692"/>
      <c r="B692"/>
      <c r="C692"/>
      <c r="D692"/>
      <c r="E692"/>
      <c r="F692"/>
      <c r="G692"/>
      <c r="H692"/>
      <c r="I692"/>
    </row>
    <row r="693" spans="1:9" x14ac:dyDescent="0.25">
      <c r="A693"/>
      <c r="B693"/>
      <c r="C693"/>
      <c r="D693"/>
      <c r="E693"/>
      <c r="F693"/>
      <c r="G693"/>
      <c r="H693"/>
      <c r="I693"/>
    </row>
    <row r="694" spans="1:9" x14ac:dyDescent="0.25">
      <c r="A694"/>
      <c r="B694"/>
      <c r="C694"/>
      <c r="D694"/>
      <c r="E694"/>
      <c r="F694"/>
      <c r="G694"/>
      <c r="H694"/>
      <c r="I694"/>
    </row>
    <row r="695" spans="1:9" x14ac:dyDescent="0.25">
      <c r="A695"/>
      <c r="B695"/>
      <c r="C695"/>
      <c r="D695"/>
      <c r="E695"/>
      <c r="F695"/>
      <c r="G695"/>
      <c r="H695"/>
      <c r="I695"/>
    </row>
    <row r="696" spans="1:9" x14ac:dyDescent="0.25">
      <c r="A696"/>
      <c r="B696"/>
      <c r="C696"/>
      <c r="D696"/>
      <c r="E696"/>
      <c r="F696"/>
      <c r="G696"/>
      <c r="H696"/>
      <c r="I696"/>
    </row>
    <row r="697" spans="1:9" x14ac:dyDescent="0.25">
      <c r="A697"/>
      <c r="B697"/>
      <c r="C697"/>
      <c r="D697"/>
      <c r="E697"/>
      <c r="F697"/>
      <c r="G697"/>
      <c r="H697"/>
      <c r="I697"/>
    </row>
    <row r="698" spans="1:9" x14ac:dyDescent="0.25">
      <c r="A698"/>
      <c r="B698"/>
      <c r="C698"/>
      <c r="D698"/>
      <c r="E698"/>
      <c r="F698"/>
      <c r="G698"/>
      <c r="H698"/>
      <c r="I698"/>
    </row>
    <row r="699" spans="1:9" x14ac:dyDescent="0.25">
      <c r="A699"/>
      <c r="B699"/>
      <c r="C699"/>
      <c r="D699"/>
      <c r="E699"/>
      <c r="F699"/>
      <c r="G699"/>
      <c r="H699"/>
      <c r="I699"/>
    </row>
    <row r="700" spans="1:9" x14ac:dyDescent="0.25">
      <c r="A700"/>
      <c r="B700"/>
      <c r="C700"/>
      <c r="D700"/>
      <c r="E700"/>
      <c r="F700"/>
      <c r="G700"/>
      <c r="H700"/>
      <c r="I700"/>
    </row>
    <row r="701" spans="1:9" x14ac:dyDescent="0.25">
      <c r="A701"/>
      <c r="B701"/>
      <c r="C701"/>
      <c r="D701"/>
      <c r="E701"/>
      <c r="F701"/>
      <c r="G701"/>
      <c r="H701"/>
      <c r="I701"/>
    </row>
    <row r="702" spans="1:9" x14ac:dyDescent="0.25">
      <c r="A702"/>
      <c r="B702"/>
      <c r="C702"/>
      <c r="D702"/>
      <c r="E702"/>
      <c r="F702"/>
      <c r="G702"/>
      <c r="H702"/>
      <c r="I702"/>
    </row>
    <row r="703" spans="1:9" x14ac:dyDescent="0.25">
      <c r="A703"/>
      <c r="B703"/>
      <c r="C703"/>
      <c r="D703"/>
      <c r="E703"/>
      <c r="F703"/>
      <c r="G703"/>
      <c r="H703"/>
      <c r="I703"/>
    </row>
    <row r="704" spans="1:9" x14ac:dyDescent="0.25">
      <c r="A704"/>
      <c r="B704"/>
      <c r="C704"/>
      <c r="D704"/>
      <c r="E704"/>
      <c r="F704"/>
      <c r="G704"/>
      <c r="H704"/>
      <c r="I704"/>
    </row>
    <row r="705" spans="1:9" x14ac:dyDescent="0.25">
      <c r="A705"/>
      <c r="B705"/>
      <c r="C705"/>
      <c r="D705"/>
      <c r="E705"/>
      <c r="F705"/>
      <c r="G705"/>
      <c r="H705"/>
      <c r="I705"/>
    </row>
    <row r="706" spans="1:9" x14ac:dyDescent="0.25">
      <c r="A706"/>
      <c r="B706"/>
      <c r="C706"/>
      <c r="D706"/>
      <c r="E706"/>
      <c r="F706"/>
      <c r="G706"/>
      <c r="H706"/>
      <c r="I706"/>
    </row>
    <row r="707" spans="1:9" x14ac:dyDescent="0.25">
      <c r="A707"/>
      <c r="B707"/>
      <c r="C707"/>
      <c r="D707"/>
      <c r="E707"/>
      <c r="F707"/>
      <c r="G707"/>
      <c r="H707"/>
      <c r="I707"/>
    </row>
    <row r="708" spans="1:9" x14ac:dyDescent="0.25">
      <c r="A708"/>
      <c r="B708"/>
      <c r="C708"/>
      <c r="D708"/>
      <c r="E708"/>
      <c r="F708"/>
      <c r="G708"/>
      <c r="H708"/>
      <c r="I708"/>
    </row>
    <row r="709" spans="1:9" x14ac:dyDescent="0.25">
      <c r="A709"/>
      <c r="B709"/>
      <c r="C709"/>
      <c r="D709"/>
      <c r="E709"/>
      <c r="F709"/>
      <c r="G709"/>
      <c r="H709"/>
      <c r="I709"/>
    </row>
    <row r="710" spans="1:9" x14ac:dyDescent="0.25">
      <c r="A710"/>
      <c r="B710"/>
      <c r="C710"/>
      <c r="D710"/>
      <c r="E710"/>
      <c r="F710"/>
      <c r="G710"/>
      <c r="H710"/>
      <c r="I710"/>
    </row>
    <row r="711" spans="1:9" x14ac:dyDescent="0.25">
      <c r="A711"/>
      <c r="B711"/>
      <c r="C711"/>
      <c r="D711"/>
      <c r="E711"/>
      <c r="F711"/>
      <c r="G711"/>
      <c r="H711"/>
      <c r="I711"/>
    </row>
    <row r="712" spans="1:9" x14ac:dyDescent="0.25">
      <c r="A712"/>
      <c r="B712"/>
      <c r="C712"/>
      <c r="D712"/>
      <c r="E712"/>
      <c r="F712"/>
      <c r="G712"/>
      <c r="H712"/>
      <c r="I712"/>
    </row>
    <row r="713" spans="1:9" x14ac:dyDescent="0.25">
      <c r="A713"/>
      <c r="B713"/>
      <c r="C713"/>
      <c r="D713"/>
      <c r="E713"/>
      <c r="F713"/>
      <c r="G713"/>
      <c r="H713"/>
      <c r="I713"/>
    </row>
    <row r="714" spans="1:9" x14ac:dyDescent="0.25">
      <c r="A714"/>
      <c r="B714"/>
      <c r="C714"/>
      <c r="D714"/>
      <c r="E714"/>
      <c r="F714"/>
      <c r="G714"/>
      <c r="H714"/>
      <c r="I714"/>
    </row>
    <row r="715" spans="1:9" x14ac:dyDescent="0.25">
      <c r="A715"/>
      <c r="B715"/>
      <c r="C715"/>
      <c r="D715"/>
      <c r="E715"/>
      <c r="F715"/>
      <c r="G715"/>
      <c r="H715"/>
      <c r="I715"/>
    </row>
    <row r="716" spans="1:9" x14ac:dyDescent="0.25">
      <c r="A716"/>
      <c r="B716"/>
      <c r="C716"/>
      <c r="D716"/>
      <c r="E716"/>
      <c r="F716"/>
      <c r="G716"/>
      <c r="H716"/>
      <c r="I716"/>
    </row>
    <row r="717" spans="1:9" x14ac:dyDescent="0.25">
      <c r="A717"/>
      <c r="B717"/>
      <c r="C717"/>
      <c r="D717"/>
      <c r="E717"/>
      <c r="F717"/>
      <c r="G717"/>
      <c r="H717"/>
      <c r="I717"/>
    </row>
    <row r="718" spans="1:9" x14ac:dyDescent="0.25">
      <c r="A718"/>
      <c r="B718"/>
      <c r="C718"/>
      <c r="D718"/>
      <c r="E718"/>
      <c r="F718"/>
      <c r="G718"/>
      <c r="H718"/>
      <c r="I718"/>
    </row>
    <row r="719" spans="1:9" x14ac:dyDescent="0.25">
      <c r="A719"/>
      <c r="B719"/>
      <c r="C719"/>
      <c r="D719"/>
      <c r="E719"/>
      <c r="F719"/>
      <c r="G719"/>
      <c r="H719"/>
      <c r="I719"/>
    </row>
    <row r="720" spans="1:9" x14ac:dyDescent="0.25">
      <c r="A720"/>
      <c r="B720"/>
      <c r="C720"/>
      <c r="D720"/>
      <c r="E720"/>
      <c r="F720"/>
      <c r="G720"/>
      <c r="H720"/>
      <c r="I720"/>
    </row>
    <row r="721" spans="1:9" x14ac:dyDescent="0.25">
      <c r="A721"/>
      <c r="B721"/>
      <c r="C721"/>
      <c r="D721"/>
      <c r="E721"/>
      <c r="F721"/>
      <c r="G721"/>
      <c r="H721"/>
      <c r="I721"/>
    </row>
    <row r="722" spans="1:9" x14ac:dyDescent="0.25">
      <c r="A722"/>
      <c r="B722"/>
      <c r="C722"/>
      <c r="D722"/>
      <c r="E722"/>
      <c r="F722"/>
      <c r="G722"/>
      <c r="H722"/>
      <c r="I722"/>
    </row>
    <row r="723" spans="1:9" x14ac:dyDescent="0.25">
      <c r="A723"/>
      <c r="B723"/>
      <c r="C723"/>
      <c r="D723"/>
      <c r="E723"/>
      <c r="F723"/>
      <c r="G723"/>
      <c r="H723"/>
      <c r="I723"/>
    </row>
    <row r="724" spans="1:9" x14ac:dyDescent="0.25">
      <c r="A724"/>
      <c r="B724"/>
      <c r="C724"/>
      <c r="D724"/>
      <c r="E724"/>
      <c r="F724"/>
      <c r="G724"/>
      <c r="H724"/>
      <c r="I724"/>
    </row>
    <row r="725" spans="1:9" x14ac:dyDescent="0.25">
      <c r="A725"/>
      <c r="B725"/>
      <c r="C725"/>
      <c r="D725"/>
      <c r="E725"/>
      <c r="F725"/>
      <c r="G725"/>
      <c r="H725"/>
      <c r="I725"/>
    </row>
    <row r="726" spans="1:9" x14ac:dyDescent="0.25">
      <c r="A726"/>
      <c r="B726"/>
      <c r="C726"/>
      <c r="D726"/>
      <c r="E726"/>
      <c r="F726"/>
      <c r="G726"/>
      <c r="H726"/>
      <c r="I726"/>
    </row>
    <row r="727" spans="1:9" x14ac:dyDescent="0.25">
      <c r="A727"/>
      <c r="B727"/>
      <c r="C727"/>
      <c r="D727"/>
      <c r="E727"/>
      <c r="F727"/>
      <c r="G727"/>
      <c r="H727"/>
      <c r="I727"/>
    </row>
    <row r="728" spans="1:9" x14ac:dyDescent="0.25">
      <c r="A728"/>
      <c r="B728"/>
      <c r="C728"/>
      <c r="D728"/>
      <c r="E728"/>
      <c r="F728"/>
      <c r="G728"/>
      <c r="H728"/>
      <c r="I728"/>
    </row>
    <row r="729" spans="1:9" x14ac:dyDescent="0.25">
      <c r="A729"/>
      <c r="B729"/>
      <c r="C729"/>
      <c r="D729"/>
      <c r="E729"/>
      <c r="F729"/>
      <c r="G729"/>
      <c r="H729"/>
      <c r="I729"/>
    </row>
    <row r="730" spans="1:9" x14ac:dyDescent="0.25">
      <c r="A730"/>
      <c r="B730"/>
      <c r="C730"/>
      <c r="D730"/>
      <c r="E730"/>
      <c r="F730"/>
      <c r="G730"/>
      <c r="H730"/>
      <c r="I730"/>
    </row>
    <row r="731" spans="1:9" x14ac:dyDescent="0.25">
      <c r="A731"/>
      <c r="B731"/>
      <c r="C731"/>
      <c r="D731"/>
      <c r="E731"/>
      <c r="F731"/>
      <c r="G731"/>
      <c r="H731"/>
      <c r="I731"/>
    </row>
    <row r="732" spans="1:9" x14ac:dyDescent="0.25">
      <c r="A732"/>
      <c r="B732"/>
      <c r="C732"/>
      <c r="D732"/>
      <c r="E732"/>
      <c r="F732"/>
      <c r="G732"/>
      <c r="H732"/>
      <c r="I732"/>
    </row>
    <row r="733" spans="1:9" x14ac:dyDescent="0.25">
      <c r="A733"/>
      <c r="B733"/>
      <c r="C733"/>
      <c r="D733"/>
      <c r="E733"/>
      <c r="F733"/>
      <c r="G733"/>
      <c r="H733"/>
      <c r="I733"/>
    </row>
    <row r="734" spans="1:9" x14ac:dyDescent="0.25">
      <c r="A734"/>
      <c r="B734"/>
      <c r="C734"/>
      <c r="D734"/>
      <c r="E734"/>
      <c r="F734"/>
      <c r="G734"/>
      <c r="H734"/>
      <c r="I734"/>
    </row>
    <row r="735" spans="1:9" x14ac:dyDescent="0.25">
      <c r="A735"/>
      <c r="B735"/>
      <c r="C735"/>
      <c r="D735"/>
      <c r="E735"/>
      <c r="F735"/>
      <c r="G735"/>
      <c r="H735"/>
      <c r="I735"/>
    </row>
    <row r="736" spans="1:9" x14ac:dyDescent="0.25">
      <c r="A736"/>
      <c r="B736"/>
      <c r="C736"/>
      <c r="D736"/>
      <c r="E736"/>
      <c r="F736"/>
      <c r="G736"/>
      <c r="H736"/>
      <c r="I736"/>
    </row>
    <row r="737" spans="1:9" x14ac:dyDescent="0.25">
      <c r="A737"/>
      <c r="B737"/>
      <c r="C737"/>
      <c r="D737"/>
      <c r="E737"/>
      <c r="F737"/>
      <c r="G737"/>
      <c r="H737"/>
      <c r="I737"/>
    </row>
    <row r="738" spans="1:9" x14ac:dyDescent="0.25">
      <c r="A738"/>
      <c r="B738"/>
      <c r="C738"/>
      <c r="D738"/>
      <c r="E738"/>
      <c r="F738"/>
      <c r="G738"/>
      <c r="H738"/>
      <c r="I738"/>
    </row>
    <row r="739" spans="1:9" x14ac:dyDescent="0.25">
      <c r="A739"/>
      <c r="B739"/>
      <c r="C739"/>
      <c r="D739"/>
      <c r="E739"/>
      <c r="F739"/>
      <c r="G739"/>
      <c r="H739"/>
      <c r="I739"/>
    </row>
    <row r="740" spans="1:9" x14ac:dyDescent="0.25">
      <c r="A740"/>
      <c r="B740"/>
      <c r="C740"/>
      <c r="D740"/>
      <c r="E740"/>
      <c r="F740"/>
      <c r="G740"/>
      <c r="H740"/>
      <c r="I740"/>
    </row>
    <row r="741" spans="1:9" x14ac:dyDescent="0.25">
      <c r="A741"/>
      <c r="B741"/>
      <c r="C741"/>
      <c r="D741"/>
      <c r="E741"/>
      <c r="F741"/>
      <c r="G741"/>
      <c r="H741"/>
      <c r="I741"/>
    </row>
    <row r="742" spans="1:9" x14ac:dyDescent="0.25">
      <c r="A742"/>
      <c r="B742"/>
      <c r="C742"/>
      <c r="D742"/>
      <c r="E742"/>
      <c r="F742"/>
      <c r="G742"/>
      <c r="H742"/>
      <c r="I742"/>
    </row>
    <row r="743" spans="1:9" x14ac:dyDescent="0.25">
      <c r="A743"/>
      <c r="B743"/>
      <c r="C743"/>
      <c r="D743"/>
      <c r="E743"/>
      <c r="F743"/>
      <c r="G743"/>
      <c r="H743"/>
      <c r="I743"/>
    </row>
    <row r="744" spans="1:9" x14ac:dyDescent="0.25">
      <c r="A744"/>
      <c r="B744"/>
      <c r="C744"/>
      <c r="D744"/>
      <c r="E744"/>
      <c r="F744"/>
      <c r="G744"/>
      <c r="H744"/>
      <c r="I744"/>
    </row>
    <row r="745" spans="1:9" x14ac:dyDescent="0.25">
      <c r="A745"/>
      <c r="B745"/>
      <c r="C745"/>
      <c r="D745"/>
      <c r="E745"/>
      <c r="F745"/>
      <c r="G745"/>
      <c r="H745"/>
      <c r="I745"/>
    </row>
    <row r="746" spans="1:9" x14ac:dyDescent="0.25">
      <c r="A746"/>
      <c r="B746"/>
      <c r="C746"/>
      <c r="D746"/>
      <c r="E746"/>
      <c r="F746"/>
      <c r="G746"/>
      <c r="H746"/>
      <c r="I746"/>
    </row>
    <row r="747" spans="1:9" x14ac:dyDescent="0.25">
      <c r="A747"/>
      <c r="B747"/>
      <c r="C747"/>
      <c r="D747"/>
      <c r="E747"/>
      <c r="F747"/>
      <c r="G747"/>
      <c r="H747"/>
      <c r="I747"/>
    </row>
    <row r="748" spans="1:9" x14ac:dyDescent="0.25">
      <c r="A748"/>
      <c r="B748"/>
      <c r="C748"/>
      <c r="D748"/>
      <c r="E748"/>
      <c r="F748"/>
      <c r="G748"/>
      <c r="H748"/>
      <c r="I748"/>
    </row>
    <row r="749" spans="1:9" x14ac:dyDescent="0.25">
      <c r="A749"/>
      <c r="B749"/>
      <c r="C749"/>
      <c r="D749"/>
      <c r="E749"/>
      <c r="F749"/>
      <c r="G749"/>
      <c r="H749"/>
      <c r="I749"/>
    </row>
    <row r="750" spans="1:9" x14ac:dyDescent="0.25">
      <c r="A750"/>
      <c r="B750"/>
      <c r="C750"/>
      <c r="D750"/>
      <c r="E750"/>
      <c r="F750"/>
      <c r="G750"/>
      <c r="H750"/>
      <c r="I750"/>
    </row>
    <row r="751" spans="1:9" x14ac:dyDescent="0.25">
      <c r="A751"/>
      <c r="B751"/>
      <c r="C751"/>
      <c r="D751"/>
      <c r="E751"/>
      <c r="F751"/>
      <c r="G751"/>
      <c r="H751"/>
      <c r="I751"/>
    </row>
    <row r="752" spans="1:9" x14ac:dyDescent="0.25">
      <c r="A752"/>
      <c r="B752"/>
      <c r="C752"/>
      <c r="D752"/>
      <c r="E752"/>
      <c r="F752"/>
      <c r="G752"/>
      <c r="H752"/>
      <c r="I752"/>
    </row>
    <row r="753" spans="1:9" x14ac:dyDescent="0.25">
      <c r="A753"/>
      <c r="B753"/>
      <c r="C753"/>
      <c r="D753"/>
      <c r="E753"/>
      <c r="F753"/>
      <c r="G753"/>
      <c r="H753"/>
      <c r="I753"/>
    </row>
    <row r="754" spans="1:9" x14ac:dyDescent="0.25">
      <c r="A754"/>
      <c r="B754"/>
      <c r="C754"/>
      <c r="D754"/>
      <c r="E754"/>
      <c r="F754"/>
      <c r="G754"/>
      <c r="H754"/>
      <c r="I754"/>
    </row>
    <row r="755" spans="1:9" x14ac:dyDescent="0.25">
      <c r="A755"/>
      <c r="B755"/>
      <c r="C755"/>
      <c r="D755"/>
      <c r="E755"/>
      <c r="F755"/>
      <c r="G755"/>
      <c r="H755"/>
      <c r="I755"/>
    </row>
    <row r="756" spans="1:9" x14ac:dyDescent="0.25">
      <c r="A756"/>
      <c r="B756"/>
      <c r="C756"/>
      <c r="D756"/>
      <c r="E756"/>
      <c r="F756"/>
      <c r="G756"/>
      <c r="H756"/>
      <c r="I756"/>
    </row>
    <row r="757" spans="1:9" x14ac:dyDescent="0.25">
      <c r="A757"/>
      <c r="B757"/>
      <c r="C757"/>
      <c r="D757"/>
      <c r="E757"/>
      <c r="F757"/>
      <c r="G757"/>
      <c r="H757"/>
      <c r="I757"/>
    </row>
    <row r="758" spans="1:9" x14ac:dyDescent="0.25">
      <c r="A758"/>
      <c r="B758"/>
      <c r="C758"/>
      <c r="D758"/>
      <c r="E758"/>
      <c r="F758"/>
      <c r="G758"/>
      <c r="H758"/>
      <c r="I758"/>
    </row>
    <row r="759" spans="1:9" x14ac:dyDescent="0.25">
      <c r="A759"/>
      <c r="B759"/>
      <c r="C759"/>
      <c r="D759"/>
      <c r="E759"/>
      <c r="F759"/>
      <c r="G759"/>
      <c r="H759"/>
      <c r="I759"/>
    </row>
    <row r="760" spans="1:9" x14ac:dyDescent="0.25">
      <c r="A760"/>
      <c r="B760"/>
      <c r="C760"/>
      <c r="D760"/>
      <c r="E760"/>
      <c r="F760"/>
      <c r="G760"/>
      <c r="H760"/>
      <c r="I760"/>
    </row>
    <row r="761" spans="1:9" x14ac:dyDescent="0.25">
      <c r="A761"/>
      <c r="B761"/>
      <c r="C761"/>
      <c r="D761"/>
      <c r="E761"/>
      <c r="F761"/>
      <c r="G761"/>
      <c r="H761"/>
      <c r="I761"/>
    </row>
    <row r="762" spans="1:9" x14ac:dyDescent="0.25">
      <c r="A762"/>
      <c r="B762"/>
      <c r="C762"/>
      <c r="D762"/>
      <c r="E762"/>
      <c r="F762"/>
      <c r="G762"/>
      <c r="H762"/>
      <c r="I762"/>
    </row>
    <row r="763" spans="1:9" x14ac:dyDescent="0.25">
      <c r="A763"/>
      <c r="B763"/>
      <c r="C763"/>
      <c r="D763"/>
      <c r="E763"/>
      <c r="F763"/>
      <c r="G763"/>
      <c r="H763"/>
      <c r="I763"/>
    </row>
    <row r="764" spans="1:9" x14ac:dyDescent="0.25">
      <c r="A764"/>
      <c r="B764"/>
      <c r="C764"/>
      <c r="D764"/>
      <c r="E764"/>
      <c r="F764"/>
      <c r="G764"/>
      <c r="H764"/>
      <c r="I764"/>
    </row>
    <row r="765" spans="1:9" x14ac:dyDescent="0.25">
      <c r="A765"/>
      <c r="B765"/>
      <c r="C765"/>
      <c r="D765"/>
      <c r="E765"/>
      <c r="F765"/>
      <c r="G765"/>
      <c r="H765"/>
      <c r="I765"/>
    </row>
    <row r="766" spans="1:9" x14ac:dyDescent="0.25">
      <c r="A766"/>
      <c r="B766"/>
      <c r="C766"/>
      <c r="D766"/>
      <c r="E766"/>
      <c r="F766"/>
      <c r="G766"/>
      <c r="H766"/>
      <c r="I766"/>
    </row>
    <row r="767" spans="1:9" x14ac:dyDescent="0.25">
      <c r="A767"/>
      <c r="B767"/>
      <c r="C767"/>
      <c r="D767"/>
      <c r="E767"/>
      <c r="F767"/>
      <c r="G767"/>
      <c r="H767"/>
      <c r="I767"/>
    </row>
    <row r="768" spans="1:9" x14ac:dyDescent="0.25">
      <c r="A768"/>
      <c r="B768"/>
      <c r="C768"/>
      <c r="D768"/>
      <c r="E768"/>
      <c r="F768"/>
      <c r="G768"/>
      <c r="H768"/>
      <c r="I768"/>
    </row>
    <row r="769" spans="1:9" x14ac:dyDescent="0.25">
      <c r="A769"/>
      <c r="B769"/>
      <c r="C769"/>
      <c r="D769"/>
      <c r="E769"/>
      <c r="F769"/>
      <c r="G769"/>
      <c r="H769"/>
      <c r="I769"/>
    </row>
    <row r="770" spans="1:9" x14ac:dyDescent="0.25">
      <c r="A770"/>
      <c r="B770"/>
      <c r="C770"/>
      <c r="D770"/>
      <c r="E770"/>
      <c r="F770"/>
      <c r="G770"/>
      <c r="H770"/>
      <c r="I770"/>
    </row>
    <row r="771" spans="1:9" x14ac:dyDescent="0.25">
      <c r="A771"/>
      <c r="B771"/>
      <c r="C771"/>
      <c r="D771"/>
      <c r="E771"/>
      <c r="F771"/>
      <c r="G771"/>
      <c r="H771"/>
      <c r="I771"/>
    </row>
    <row r="772" spans="1:9" x14ac:dyDescent="0.25">
      <c r="A772"/>
      <c r="B772"/>
      <c r="C772"/>
      <c r="D772"/>
      <c r="E772"/>
      <c r="F772"/>
      <c r="G772"/>
      <c r="H772"/>
      <c r="I772"/>
    </row>
    <row r="773" spans="1:9" x14ac:dyDescent="0.25">
      <c r="A773"/>
      <c r="B773"/>
      <c r="C773"/>
      <c r="D773"/>
      <c r="E773"/>
      <c r="F773"/>
      <c r="G773"/>
      <c r="H773"/>
      <c r="I773"/>
    </row>
    <row r="774" spans="1:9" x14ac:dyDescent="0.25">
      <c r="A774"/>
      <c r="B774"/>
      <c r="C774"/>
      <c r="D774"/>
      <c r="E774"/>
      <c r="F774"/>
      <c r="G774"/>
      <c r="H774"/>
      <c r="I774"/>
    </row>
    <row r="775" spans="1:9" x14ac:dyDescent="0.25">
      <c r="A775"/>
      <c r="B775"/>
      <c r="C775"/>
      <c r="D775"/>
      <c r="E775"/>
      <c r="F775"/>
      <c r="G775"/>
      <c r="H775"/>
      <c r="I775"/>
    </row>
    <row r="776" spans="1:9" x14ac:dyDescent="0.25">
      <c r="A776"/>
      <c r="B776"/>
      <c r="C776"/>
      <c r="D776"/>
      <c r="E776"/>
      <c r="F776"/>
      <c r="G776"/>
      <c r="H776"/>
      <c r="I776"/>
    </row>
    <row r="777" spans="1:9" x14ac:dyDescent="0.25">
      <c r="A777"/>
      <c r="B777"/>
      <c r="C777"/>
      <c r="D777"/>
      <c r="E777"/>
      <c r="F777"/>
      <c r="G777"/>
      <c r="H777"/>
      <c r="I777"/>
    </row>
    <row r="778" spans="1:9" x14ac:dyDescent="0.25">
      <c r="A778"/>
      <c r="B778"/>
      <c r="C778"/>
      <c r="D778"/>
      <c r="E778"/>
      <c r="F778"/>
      <c r="G778"/>
      <c r="H778"/>
      <c r="I778"/>
    </row>
    <row r="779" spans="1:9" x14ac:dyDescent="0.25">
      <c r="A779"/>
      <c r="B779"/>
      <c r="C779"/>
      <c r="D779"/>
      <c r="E779"/>
      <c r="F779"/>
      <c r="G779"/>
      <c r="H779"/>
      <c r="I779"/>
    </row>
    <row r="780" spans="1:9" x14ac:dyDescent="0.25">
      <c r="A780"/>
      <c r="B780"/>
      <c r="C780"/>
      <c r="D780"/>
      <c r="E780"/>
      <c r="F780"/>
      <c r="G780"/>
      <c r="H780"/>
      <c r="I780"/>
    </row>
    <row r="781" spans="1:9" x14ac:dyDescent="0.25">
      <c r="A781"/>
      <c r="B781"/>
      <c r="C781"/>
      <c r="D781"/>
      <c r="E781"/>
      <c r="F781"/>
      <c r="G781"/>
      <c r="H781"/>
      <c r="I781"/>
    </row>
    <row r="782" spans="1:9" x14ac:dyDescent="0.25">
      <c r="A782"/>
      <c r="B782"/>
      <c r="C782"/>
      <c r="D782"/>
      <c r="E782"/>
      <c r="F782"/>
      <c r="G782"/>
      <c r="H782"/>
      <c r="I782"/>
    </row>
    <row r="783" spans="1:9" x14ac:dyDescent="0.25">
      <c r="A783"/>
      <c r="B783"/>
      <c r="C783"/>
      <c r="D783"/>
      <c r="E783"/>
      <c r="F783"/>
      <c r="G783"/>
      <c r="H783"/>
      <c r="I783"/>
    </row>
    <row r="784" spans="1:9" x14ac:dyDescent="0.25">
      <c r="A784"/>
      <c r="B784"/>
      <c r="C784"/>
      <c r="D784"/>
      <c r="E784"/>
      <c r="F784"/>
      <c r="G784"/>
      <c r="H784"/>
      <c r="I784"/>
    </row>
    <row r="785" spans="1:9" x14ac:dyDescent="0.25">
      <c r="A785"/>
      <c r="B785"/>
      <c r="C785"/>
      <c r="D785"/>
      <c r="E785"/>
      <c r="F785"/>
      <c r="G785"/>
      <c r="H785"/>
      <c r="I785"/>
    </row>
    <row r="786" spans="1:9" x14ac:dyDescent="0.25">
      <c r="A786"/>
      <c r="B786"/>
      <c r="C786"/>
      <c r="D786"/>
      <c r="E786"/>
      <c r="F786"/>
      <c r="G786"/>
      <c r="H786"/>
      <c r="I786"/>
    </row>
    <row r="787" spans="1:9" x14ac:dyDescent="0.25">
      <c r="A787"/>
      <c r="B787"/>
      <c r="C787"/>
      <c r="D787"/>
      <c r="E787"/>
      <c r="F787"/>
      <c r="G787"/>
      <c r="H787"/>
      <c r="I787"/>
    </row>
    <row r="788" spans="1:9" x14ac:dyDescent="0.25">
      <c r="A788"/>
      <c r="B788"/>
      <c r="C788"/>
      <c r="D788"/>
      <c r="E788"/>
      <c r="F788"/>
      <c r="G788"/>
      <c r="H788"/>
      <c r="I788"/>
    </row>
    <row r="789" spans="1:9" x14ac:dyDescent="0.25">
      <c r="A789"/>
      <c r="B789"/>
      <c r="C789"/>
      <c r="D789"/>
      <c r="E789"/>
      <c r="F789"/>
      <c r="G789"/>
      <c r="H789"/>
      <c r="I789"/>
    </row>
    <row r="790" spans="1:9" x14ac:dyDescent="0.25">
      <c r="A790"/>
      <c r="B790"/>
      <c r="C790"/>
      <c r="D790"/>
      <c r="E790"/>
      <c r="F790"/>
      <c r="G790"/>
      <c r="H790"/>
      <c r="I790"/>
    </row>
    <row r="791" spans="1:9" x14ac:dyDescent="0.25">
      <c r="A791"/>
      <c r="B791"/>
      <c r="C791"/>
      <c r="D791"/>
      <c r="E791"/>
      <c r="F791"/>
      <c r="G791"/>
      <c r="H791"/>
      <c r="I791"/>
    </row>
    <row r="792" spans="1:9" x14ac:dyDescent="0.25">
      <c r="A792"/>
      <c r="B792"/>
      <c r="C792"/>
      <c r="D792"/>
      <c r="E792"/>
      <c r="F792"/>
      <c r="G792"/>
      <c r="H792"/>
      <c r="I792"/>
    </row>
    <row r="793" spans="1:9" x14ac:dyDescent="0.25">
      <c r="A793"/>
      <c r="B793"/>
      <c r="C793"/>
      <c r="D793"/>
      <c r="E793"/>
      <c r="F793"/>
      <c r="G793"/>
      <c r="H793"/>
      <c r="I793"/>
    </row>
    <row r="794" spans="1:9" x14ac:dyDescent="0.25">
      <c r="A794"/>
      <c r="B794"/>
      <c r="C794"/>
      <c r="D794"/>
      <c r="E794"/>
      <c r="F794"/>
      <c r="G794"/>
      <c r="H794"/>
      <c r="I794"/>
    </row>
    <row r="795" spans="1:9" x14ac:dyDescent="0.25">
      <c r="A795"/>
      <c r="B795"/>
      <c r="C795"/>
      <c r="D795"/>
      <c r="E795"/>
      <c r="F795"/>
      <c r="G795"/>
      <c r="H795"/>
      <c r="I795"/>
    </row>
    <row r="796" spans="1:9" x14ac:dyDescent="0.25">
      <c r="A796"/>
      <c r="B796"/>
      <c r="C796"/>
      <c r="D796"/>
      <c r="E796"/>
      <c r="F796"/>
      <c r="G796"/>
      <c r="H796"/>
      <c r="I796"/>
    </row>
    <row r="797" spans="1:9" x14ac:dyDescent="0.25">
      <c r="A797"/>
      <c r="B797"/>
      <c r="C797"/>
      <c r="D797"/>
      <c r="E797"/>
      <c r="F797"/>
      <c r="G797"/>
      <c r="H797"/>
      <c r="I797"/>
    </row>
    <row r="798" spans="1:9" x14ac:dyDescent="0.25">
      <c r="A798"/>
      <c r="B798"/>
      <c r="C798"/>
      <c r="D798"/>
      <c r="E798"/>
      <c r="F798"/>
      <c r="G798"/>
      <c r="H798"/>
      <c r="I798"/>
    </row>
    <row r="799" spans="1:9" x14ac:dyDescent="0.25">
      <c r="A799"/>
      <c r="B799"/>
      <c r="C799"/>
      <c r="D799"/>
      <c r="E799"/>
      <c r="F799"/>
      <c r="G799"/>
      <c r="H799"/>
      <c r="I799"/>
    </row>
    <row r="800" spans="1:9" x14ac:dyDescent="0.25">
      <c r="A800"/>
      <c r="B800"/>
      <c r="C800"/>
      <c r="D800"/>
      <c r="E800"/>
      <c r="F800"/>
      <c r="G800"/>
      <c r="H800"/>
      <c r="I800"/>
    </row>
    <row r="801" spans="1:9" x14ac:dyDescent="0.25">
      <c r="A801"/>
      <c r="B801"/>
      <c r="C801"/>
      <c r="D801"/>
      <c r="E801"/>
      <c r="F801"/>
      <c r="G801"/>
      <c r="H801"/>
      <c r="I801"/>
    </row>
    <row r="802" spans="1:9" x14ac:dyDescent="0.25">
      <c r="A802"/>
      <c r="B802"/>
      <c r="C802"/>
      <c r="D802"/>
      <c r="E802"/>
      <c r="F802"/>
      <c r="G802"/>
      <c r="H802"/>
      <c r="I802"/>
    </row>
    <row r="803" spans="1:9" x14ac:dyDescent="0.25">
      <c r="A803"/>
      <c r="B803"/>
      <c r="C803"/>
      <c r="D803"/>
      <c r="E803"/>
      <c r="F803"/>
      <c r="G803"/>
      <c r="H803"/>
      <c r="I803"/>
    </row>
    <row r="804" spans="1:9" x14ac:dyDescent="0.25">
      <c r="A804"/>
      <c r="B804"/>
      <c r="C804"/>
      <c r="D804"/>
      <c r="E804"/>
      <c r="F804"/>
      <c r="G804"/>
      <c r="H804"/>
      <c r="I804"/>
    </row>
    <row r="805" spans="1:9" x14ac:dyDescent="0.25">
      <c r="A805"/>
      <c r="B805"/>
      <c r="C805"/>
      <c r="D805"/>
      <c r="E805"/>
      <c r="F805"/>
      <c r="G805"/>
      <c r="H805"/>
      <c r="I805"/>
    </row>
    <row r="806" spans="1:9" x14ac:dyDescent="0.25">
      <c r="A806"/>
      <c r="B806"/>
      <c r="C806"/>
      <c r="D806"/>
      <c r="E806"/>
      <c r="F806"/>
      <c r="G806"/>
      <c r="H806"/>
      <c r="I806"/>
    </row>
    <row r="807" spans="1:9" x14ac:dyDescent="0.25">
      <c r="A807"/>
      <c r="B807"/>
      <c r="C807"/>
      <c r="D807"/>
      <c r="E807"/>
      <c r="F807"/>
      <c r="G807"/>
      <c r="H807"/>
      <c r="I807"/>
    </row>
    <row r="808" spans="1:9" x14ac:dyDescent="0.25">
      <c r="A808"/>
      <c r="B808"/>
      <c r="C808"/>
      <c r="D808"/>
      <c r="E808"/>
      <c r="F808"/>
      <c r="G808"/>
      <c r="H808"/>
      <c r="I808"/>
    </row>
    <row r="809" spans="1:9" x14ac:dyDescent="0.25">
      <c r="A809"/>
      <c r="B809"/>
      <c r="C809"/>
      <c r="D809"/>
      <c r="E809"/>
      <c r="F809"/>
      <c r="G809"/>
      <c r="H809"/>
      <c r="I809"/>
    </row>
    <row r="810" spans="1:9" x14ac:dyDescent="0.25">
      <c r="A810"/>
      <c r="B810"/>
      <c r="C810"/>
      <c r="D810"/>
      <c r="E810"/>
      <c r="F810"/>
      <c r="G810"/>
      <c r="H810"/>
      <c r="I810"/>
    </row>
    <row r="811" spans="1:9" x14ac:dyDescent="0.25">
      <c r="A811"/>
      <c r="B811"/>
      <c r="C811"/>
      <c r="D811"/>
      <c r="E811"/>
      <c r="F811"/>
      <c r="G811"/>
      <c r="H811"/>
      <c r="I811"/>
    </row>
    <row r="812" spans="1:9" x14ac:dyDescent="0.25">
      <c r="A812"/>
      <c r="B812"/>
      <c r="C812"/>
      <c r="D812"/>
      <c r="E812"/>
      <c r="F812"/>
      <c r="G812"/>
      <c r="H812"/>
      <c r="I812"/>
    </row>
    <row r="813" spans="1:9" x14ac:dyDescent="0.25">
      <c r="A813"/>
      <c r="B813"/>
      <c r="C813"/>
      <c r="D813"/>
      <c r="E813"/>
      <c r="F813"/>
      <c r="G813"/>
      <c r="H813"/>
      <c r="I813"/>
    </row>
    <row r="814" spans="1:9" x14ac:dyDescent="0.25">
      <c r="A814"/>
      <c r="B814"/>
      <c r="C814"/>
      <c r="D814"/>
      <c r="E814"/>
      <c r="F814"/>
      <c r="G814"/>
      <c r="H814"/>
      <c r="I814"/>
    </row>
    <row r="815" spans="1:9" x14ac:dyDescent="0.25">
      <c r="A815"/>
      <c r="B815"/>
      <c r="C815"/>
      <c r="D815"/>
      <c r="E815"/>
      <c r="F815"/>
      <c r="G815"/>
      <c r="H815"/>
      <c r="I815"/>
    </row>
    <row r="816" spans="1:9" x14ac:dyDescent="0.25">
      <c r="A816"/>
      <c r="B816"/>
      <c r="C816"/>
      <c r="D816"/>
      <c r="E816"/>
      <c r="F816"/>
      <c r="G816"/>
      <c r="H816"/>
      <c r="I816"/>
    </row>
    <row r="817" spans="1:9" x14ac:dyDescent="0.25">
      <c r="A817"/>
      <c r="B817"/>
      <c r="C817"/>
      <c r="D817"/>
      <c r="E817"/>
      <c r="F817"/>
      <c r="G817"/>
      <c r="H817"/>
      <c r="I817"/>
    </row>
    <row r="818" spans="1:9" x14ac:dyDescent="0.25">
      <c r="A818"/>
      <c r="B818"/>
      <c r="C818"/>
      <c r="D818"/>
      <c r="E818"/>
      <c r="F818"/>
      <c r="G818"/>
      <c r="H818"/>
      <c r="I818"/>
    </row>
    <row r="819" spans="1:9" x14ac:dyDescent="0.25">
      <c r="A819"/>
      <c r="B819"/>
      <c r="C819"/>
      <c r="D819"/>
      <c r="E819"/>
      <c r="F819"/>
      <c r="G819"/>
      <c r="H819"/>
      <c r="I819"/>
    </row>
    <row r="820" spans="1:9" x14ac:dyDescent="0.25">
      <c r="A820"/>
      <c r="B820"/>
      <c r="C820"/>
      <c r="D820"/>
      <c r="E820"/>
      <c r="F820"/>
      <c r="G820"/>
      <c r="H820"/>
      <c r="I820"/>
    </row>
    <row r="821" spans="1:9" x14ac:dyDescent="0.25">
      <c r="A821"/>
      <c r="B821"/>
      <c r="C821"/>
      <c r="D821"/>
      <c r="E821"/>
      <c r="F821"/>
      <c r="G821"/>
      <c r="H821"/>
      <c r="I821"/>
    </row>
    <row r="822" spans="1:9" x14ac:dyDescent="0.25">
      <c r="A822"/>
      <c r="B822"/>
      <c r="C822"/>
      <c r="D822"/>
      <c r="E822"/>
      <c r="F822"/>
      <c r="G822"/>
      <c r="H822"/>
      <c r="I822"/>
    </row>
    <row r="823" spans="1:9" x14ac:dyDescent="0.25">
      <c r="A823"/>
      <c r="B823"/>
      <c r="C823"/>
      <c r="D823"/>
      <c r="E823"/>
      <c r="F823"/>
      <c r="G823"/>
      <c r="H823"/>
      <c r="I823"/>
    </row>
    <row r="824" spans="1:9" x14ac:dyDescent="0.25">
      <c r="A824"/>
      <c r="B824"/>
      <c r="C824"/>
      <c r="D824"/>
      <c r="E824"/>
      <c r="F824"/>
      <c r="G824"/>
      <c r="H824"/>
      <c r="I824"/>
    </row>
    <row r="825" spans="1:9" x14ac:dyDescent="0.25">
      <c r="A825"/>
      <c r="B825"/>
      <c r="C825"/>
      <c r="D825"/>
      <c r="E825"/>
      <c r="F825"/>
      <c r="G825"/>
      <c r="H825"/>
      <c r="I825"/>
    </row>
    <row r="826" spans="1:9" x14ac:dyDescent="0.25">
      <c r="A826"/>
      <c r="B826"/>
      <c r="C826"/>
      <c r="D826"/>
      <c r="E826"/>
      <c r="F826"/>
      <c r="G826"/>
      <c r="H826"/>
      <c r="I826"/>
    </row>
    <row r="827" spans="1:9" x14ac:dyDescent="0.25">
      <c r="A827"/>
      <c r="B827"/>
      <c r="C827"/>
      <c r="D827"/>
      <c r="E827"/>
      <c r="F827"/>
      <c r="G827"/>
      <c r="H827"/>
      <c r="I827"/>
    </row>
    <row r="828" spans="1:9" x14ac:dyDescent="0.25">
      <c r="A828"/>
      <c r="B828"/>
      <c r="C828"/>
      <c r="D828"/>
      <c r="E828"/>
      <c r="F828"/>
      <c r="G828"/>
      <c r="H828"/>
      <c r="I828"/>
    </row>
    <row r="829" spans="1:9" x14ac:dyDescent="0.25">
      <c r="A829"/>
      <c r="B829"/>
      <c r="C829"/>
      <c r="D829"/>
      <c r="E829"/>
      <c r="F829"/>
      <c r="G829"/>
      <c r="H829"/>
      <c r="I829"/>
    </row>
    <row r="830" spans="1:9" x14ac:dyDescent="0.25">
      <c r="A830"/>
      <c r="B830"/>
      <c r="C830"/>
      <c r="D830"/>
      <c r="E830"/>
      <c r="F830"/>
      <c r="G830"/>
      <c r="H830"/>
      <c r="I830"/>
    </row>
    <row r="831" spans="1:9" x14ac:dyDescent="0.25">
      <c r="A831"/>
      <c r="B831"/>
      <c r="C831"/>
      <c r="D831"/>
      <c r="E831"/>
      <c r="F831"/>
      <c r="G831"/>
      <c r="H831"/>
      <c r="I831"/>
    </row>
    <row r="832" spans="1:9" x14ac:dyDescent="0.25">
      <c r="A832"/>
      <c r="B832"/>
      <c r="C832"/>
      <c r="D832"/>
      <c r="E832"/>
      <c r="F832"/>
      <c r="G832"/>
      <c r="H832"/>
      <c r="I832"/>
    </row>
    <row r="833" spans="1:9" x14ac:dyDescent="0.25">
      <c r="A833"/>
      <c r="B833"/>
      <c r="C833"/>
      <c r="D833"/>
      <c r="E833"/>
      <c r="F833"/>
      <c r="G833"/>
      <c r="H833"/>
      <c r="I833"/>
    </row>
    <row r="834" spans="1:9" x14ac:dyDescent="0.25">
      <c r="A834"/>
      <c r="B834"/>
      <c r="C834"/>
      <c r="D834"/>
      <c r="E834"/>
      <c r="F834"/>
      <c r="G834"/>
      <c r="H834"/>
      <c r="I834"/>
    </row>
    <row r="835" spans="1:9" x14ac:dyDescent="0.25">
      <c r="A835"/>
      <c r="B835"/>
      <c r="C835"/>
      <c r="D835"/>
      <c r="E835"/>
      <c r="F835"/>
      <c r="G835"/>
      <c r="H835"/>
      <c r="I835"/>
    </row>
    <row r="836" spans="1:9" x14ac:dyDescent="0.25">
      <c r="A836"/>
      <c r="B836"/>
      <c r="C836"/>
      <c r="D836"/>
      <c r="E836"/>
      <c r="F836"/>
      <c r="G836"/>
      <c r="H836"/>
      <c r="I836"/>
    </row>
    <row r="837" spans="1:9" x14ac:dyDescent="0.25">
      <c r="A837"/>
      <c r="B837"/>
      <c r="C837"/>
      <c r="D837"/>
      <c r="E837"/>
      <c r="F837"/>
      <c r="G837"/>
      <c r="H837"/>
      <c r="I837"/>
    </row>
    <row r="838" spans="1:9" x14ac:dyDescent="0.25">
      <c r="A838"/>
      <c r="B838"/>
      <c r="C838"/>
      <c r="D838"/>
      <c r="E838"/>
      <c r="F838"/>
      <c r="G838"/>
      <c r="H838"/>
      <c r="I838"/>
    </row>
    <row r="839" spans="1:9" x14ac:dyDescent="0.25">
      <c r="A839"/>
      <c r="B839"/>
      <c r="C839"/>
      <c r="D839"/>
      <c r="E839"/>
      <c r="F839"/>
      <c r="G839"/>
      <c r="H839"/>
      <c r="I839"/>
    </row>
    <row r="840" spans="1:9" x14ac:dyDescent="0.25">
      <c r="A840"/>
      <c r="B840"/>
      <c r="C840"/>
      <c r="D840"/>
      <c r="E840"/>
      <c r="F840"/>
      <c r="G840"/>
      <c r="H840"/>
      <c r="I840"/>
    </row>
    <row r="841" spans="1:9" x14ac:dyDescent="0.25">
      <c r="A841"/>
      <c r="B841"/>
      <c r="C841"/>
      <c r="D841"/>
      <c r="E841"/>
      <c r="F841"/>
      <c r="G841"/>
      <c r="H841"/>
      <c r="I841"/>
    </row>
    <row r="842" spans="1:9" x14ac:dyDescent="0.25">
      <c r="A842"/>
      <c r="B842"/>
      <c r="C842"/>
      <c r="D842"/>
      <c r="E842"/>
      <c r="F842"/>
      <c r="G842"/>
      <c r="H842"/>
      <c r="I842"/>
    </row>
    <row r="843" spans="1:9" x14ac:dyDescent="0.25">
      <c r="A843"/>
      <c r="B843"/>
      <c r="C843"/>
      <c r="D843"/>
      <c r="E843"/>
      <c r="F843"/>
      <c r="G843"/>
      <c r="H843"/>
      <c r="I843"/>
    </row>
    <row r="844" spans="1:9" x14ac:dyDescent="0.25">
      <c r="A844"/>
      <c r="B844"/>
      <c r="C844"/>
      <c r="D844"/>
      <c r="E844"/>
      <c r="F844"/>
      <c r="G844"/>
      <c r="H844"/>
      <c r="I844"/>
    </row>
    <row r="845" spans="1:9" x14ac:dyDescent="0.25">
      <c r="A845"/>
      <c r="B845"/>
      <c r="C845"/>
      <c r="D845"/>
      <c r="E845"/>
      <c r="F845"/>
      <c r="G845"/>
      <c r="H845"/>
      <c r="I845"/>
    </row>
    <row r="846" spans="1:9" x14ac:dyDescent="0.25">
      <c r="A846"/>
      <c r="B846"/>
      <c r="C846"/>
      <c r="D846"/>
      <c r="E846"/>
      <c r="F846"/>
      <c r="G846"/>
      <c r="H846"/>
      <c r="I846"/>
    </row>
    <row r="847" spans="1:9" x14ac:dyDescent="0.25">
      <c r="A847"/>
      <c r="B847"/>
      <c r="C847"/>
      <c r="D847"/>
      <c r="E847"/>
      <c r="F847"/>
      <c r="G847"/>
      <c r="H847"/>
      <c r="I847"/>
    </row>
    <row r="848" spans="1:9" x14ac:dyDescent="0.25">
      <c r="A848"/>
      <c r="B848"/>
      <c r="C848"/>
      <c r="D848"/>
      <c r="E848"/>
      <c r="F848"/>
      <c r="G848"/>
      <c r="H848"/>
      <c r="I848"/>
    </row>
    <row r="849" spans="1:9" x14ac:dyDescent="0.25">
      <c r="A849"/>
      <c r="B849"/>
      <c r="C849"/>
      <c r="D849"/>
      <c r="E849"/>
      <c r="F849"/>
      <c r="G849"/>
      <c r="H849"/>
      <c r="I849"/>
    </row>
    <row r="850" spans="1:9" x14ac:dyDescent="0.25">
      <c r="A850"/>
      <c r="B850"/>
      <c r="C850"/>
      <c r="D850"/>
      <c r="E850"/>
      <c r="F850"/>
      <c r="G850"/>
      <c r="H850"/>
      <c r="I850"/>
    </row>
    <row r="851" spans="1:9" x14ac:dyDescent="0.25">
      <c r="A851"/>
      <c r="B851"/>
      <c r="C851"/>
      <c r="D851"/>
      <c r="E851"/>
      <c r="F851"/>
      <c r="G851"/>
      <c r="H851"/>
      <c r="I851"/>
    </row>
    <row r="852" spans="1:9" x14ac:dyDescent="0.25">
      <c r="A852"/>
      <c r="B852"/>
      <c r="C852"/>
      <c r="D852"/>
      <c r="E852"/>
      <c r="F852"/>
      <c r="G852"/>
      <c r="H852"/>
      <c r="I852"/>
    </row>
    <row r="853" spans="1:9" x14ac:dyDescent="0.25">
      <c r="A853"/>
      <c r="B853"/>
      <c r="C853"/>
      <c r="D853"/>
      <c r="E853"/>
      <c r="F853"/>
      <c r="G853"/>
      <c r="H853"/>
      <c r="I853"/>
    </row>
    <row r="854" spans="1:9" x14ac:dyDescent="0.25">
      <c r="A854"/>
      <c r="B854"/>
      <c r="C854"/>
      <c r="D854"/>
      <c r="E854"/>
      <c r="F854"/>
      <c r="G854"/>
      <c r="H854"/>
      <c r="I854"/>
    </row>
    <row r="855" spans="1:9" x14ac:dyDescent="0.25">
      <c r="A855"/>
      <c r="B855"/>
      <c r="C855"/>
      <c r="D855"/>
      <c r="E855"/>
      <c r="F855"/>
      <c r="G855"/>
      <c r="H855"/>
      <c r="I855"/>
    </row>
    <row r="856" spans="1:9" x14ac:dyDescent="0.25">
      <c r="A856"/>
      <c r="B856"/>
      <c r="C856"/>
      <c r="D856"/>
      <c r="E856"/>
      <c r="F856"/>
      <c r="G856"/>
      <c r="H856"/>
      <c r="I856"/>
    </row>
    <row r="857" spans="1:9" x14ac:dyDescent="0.25">
      <c r="A857"/>
      <c r="B857"/>
      <c r="C857"/>
      <c r="D857"/>
      <c r="E857"/>
      <c r="F857"/>
      <c r="G857"/>
      <c r="H857"/>
      <c r="I857"/>
    </row>
    <row r="858" spans="1:9" x14ac:dyDescent="0.25">
      <c r="A858"/>
      <c r="B858"/>
      <c r="C858"/>
      <c r="D858"/>
      <c r="E858"/>
      <c r="F858"/>
      <c r="G858"/>
      <c r="H858"/>
      <c r="I858"/>
    </row>
    <row r="859" spans="1:9" x14ac:dyDescent="0.25">
      <c r="A859"/>
      <c r="B859"/>
      <c r="C859"/>
      <c r="D859"/>
      <c r="E859"/>
      <c r="F859"/>
      <c r="G859"/>
      <c r="H859"/>
      <c r="I859"/>
    </row>
    <row r="860" spans="1:9" x14ac:dyDescent="0.25">
      <c r="A860"/>
      <c r="B860"/>
      <c r="C860"/>
      <c r="D860"/>
      <c r="E860"/>
      <c r="F860"/>
      <c r="G860"/>
      <c r="H860"/>
      <c r="I860"/>
    </row>
    <row r="861" spans="1:9" x14ac:dyDescent="0.25">
      <c r="A861"/>
      <c r="B861"/>
      <c r="C861"/>
      <c r="D861"/>
      <c r="E861"/>
      <c r="F861"/>
      <c r="G861"/>
      <c r="H861"/>
      <c r="I861"/>
    </row>
    <row r="862" spans="1:9" x14ac:dyDescent="0.25">
      <c r="A862"/>
      <c r="B862"/>
      <c r="C862"/>
      <c r="D862"/>
      <c r="E862"/>
      <c r="F862"/>
      <c r="G862"/>
      <c r="H862"/>
      <c r="I862"/>
    </row>
    <row r="863" spans="1:9" x14ac:dyDescent="0.25">
      <c r="A863"/>
      <c r="B863"/>
      <c r="C863"/>
      <c r="D863"/>
      <c r="E863"/>
      <c r="F863"/>
      <c r="G863"/>
      <c r="H863"/>
      <c r="I863"/>
    </row>
    <row r="864" spans="1:9" x14ac:dyDescent="0.25">
      <c r="A864"/>
      <c r="B864"/>
      <c r="C864"/>
      <c r="D864"/>
      <c r="E864"/>
      <c r="F864"/>
      <c r="G864"/>
      <c r="H864"/>
      <c r="I864"/>
    </row>
    <row r="865" spans="1:9" x14ac:dyDescent="0.25">
      <c r="A865"/>
      <c r="B865"/>
      <c r="C865"/>
      <c r="D865"/>
      <c r="E865"/>
      <c r="F865"/>
      <c r="G865"/>
      <c r="H865"/>
      <c r="I865"/>
    </row>
    <row r="866" spans="1:9" x14ac:dyDescent="0.25">
      <c r="A866"/>
      <c r="B866"/>
      <c r="C866"/>
      <c r="D866"/>
      <c r="E866"/>
      <c r="F866"/>
      <c r="G866"/>
      <c r="H866"/>
      <c r="I866"/>
    </row>
    <row r="867" spans="1:9" x14ac:dyDescent="0.25">
      <c r="A867"/>
      <c r="B867"/>
      <c r="C867"/>
      <c r="D867"/>
      <c r="E867"/>
      <c r="F867"/>
      <c r="G867"/>
      <c r="H867"/>
      <c r="I867"/>
    </row>
    <row r="868" spans="1:9" x14ac:dyDescent="0.25">
      <c r="A868"/>
      <c r="B868"/>
      <c r="C868"/>
      <c r="D868"/>
      <c r="E868"/>
      <c r="F868"/>
      <c r="G868"/>
      <c r="H868"/>
      <c r="I868"/>
    </row>
    <row r="869" spans="1:9" x14ac:dyDescent="0.25">
      <c r="A869"/>
      <c r="B869"/>
      <c r="C869"/>
      <c r="D869"/>
      <c r="E869"/>
      <c r="F869"/>
      <c r="G869"/>
      <c r="H869"/>
      <c r="I869"/>
    </row>
    <row r="870" spans="1:9" x14ac:dyDescent="0.25">
      <c r="A870"/>
      <c r="B870"/>
      <c r="C870"/>
      <c r="D870"/>
      <c r="E870"/>
      <c r="F870"/>
      <c r="G870"/>
      <c r="H870"/>
      <c r="I870"/>
    </row>
    <row r="871" spans="1:9" x14ac:dyDescent="0.25">
      <c r="A871"/>
      <c r="B871"/>
      <c r="C871"/>
      <c r="D871"/>
      <c r="E871"/>
      <c r="F871"/>
      <c r="G871"/>
      <c r="H871"/>
      <c r="I871"/>
    </row>
    <row r="872" spans="1:9" x14ac:dyDescent="0.25">
      <c r="A872"/>
      <c r="B872"/>
      <c r="C872"/>
      <c r="D872"/>
      <c r="E872"/>
      <c r="F872"/>
      <c r="G872"/>
      <c r="H872"/>
      <c r="I872"/>
    </row>
    <row r="873" spans="1:9" x14ac:dyDescent="0.25">
      <c r="A873"/>
      <c r="B873"/>
      <c r="C873"/>
      <c r="D873"/>
      <c r="E873"/>
      <c r="F873"/>
      <c r="G873"/>
      <c r="H873"/>
      <c r="I873"/>
    </row>
    <row r="874" spans="1:9" x14ac:dyDescent="0.25">
      <c r="A874"/>
      <c r="B874"/>
      <c r="C874"/>
      <c r="D874"/>
      <c r="E874"/>
      <c r="F874"/>
      <c r="G874"/>
      <c r="H874"/>
      <c r="I874"/>
    </row>
    <row r="875" spans="1:9" x14ac:dyDescent="0.25">
      <c r="A875"/>
      <c r="B875"/>
      <c r="C875"/>
      <c r="D875"/>
      <c r="E875"/>
      <c r="F875"/>
      <c r="G875"/>
      <c r="H875"/>
      <c r="I875"/>
    </row>
    <row r="876" spans="1:9" x14ac:dyDescent="0.25">
      <c r="A876"/>
      <c r="B876"/>
      <c r="C876"/>
      <c r="D876"/>
      <c r="E876"/>
      <c r="F876"/>
      <c r="G876"/>
      <c r="H876"/>
      <c r="I876"/>
    </row>
    <row r="877" spans="1:9" x14ac:dyDescent="0.25">
      <c r="A877"/>
      <c r="B877"/>
      <c r="C877"/>
      <c r="D877"/>
      <c r="E877"/>
      <c r="F877"/>
      <c r="G877"/>
      <c r="H877"/>
      <c r="I877"/>
    </row>
  </sheetData>
  <printOptions horizontalCentered="1"/>
  <pageMargins left="0.25" right="0.25" top="0.75" bottom="0.75" header="0.3" footer="0.3"/>
  <pageSetup paperSize="9" scale="64" fitToHeight="3" orientation="portrait" r:id="rId2"/>
  <drawing r:id="rId3"/>
  <extLst>
    <ext xmlns:x14="http://schemas.microsoft.com/office/spreadsheetml/2009/9/main" uri="{A8765BA9-456A-4dab-B4F3-ACF838C121DE}">
      <x14:slicerList>
        <x14:slicer r:id="rId4"/>
      </x14:slicerList>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FEC44-47D9-4364-8848-6AC4B18579F2}">
  <sheetPr>
    <pageSetUpPr fitToPage="1"/>
  </sheetPr>
  <dimension ref="A9:N877"/>
  <sheetViews>
    <sheetView showGridLines="0" view="pageBreakPreview" topLeftCell="A40" zoomScale="85" zoomScaleNormal="100" zoomScaleSheetLayoutView="85" workbookViewId="0">
      <selection activeCell="J85" sqref="J85"/>
    </sheetView>
  </sheetViews>
  <sheetFormatPr defaultRowHeight="15" x14ac:dyDescent="0.25"/>
  <cols>
    <col min="1" max="1" width="13.28515625" style="79" bestFit="1" customWidth="1"/>
    <col min="2" max="2" width="16.140625" style="191" bestFit="1" customWidth="1"/>
    <col min="3" max="4" width="11.5703125" style="192" bestFit="1" customWidth="1"/>
    <col min="5" max="5" width="10.5703125" style="192" bestFit="1" customWidth="1"/>
    <col min="6" max="6" width="13.5703125" style="79" bestFit="1" customWidth="1"/>
    <col min="7" max="7" width="18.28515625" style="192" bestFit="1" customWidth="1"/>
    <col min="8" max="8" width="13.28515625" style="192" bestFit="1" customWidth="1"/>
    <col min="9" max="9" width="16.42578125" style="79" bestFit="1" customWidth="1"/>
    <col min="10" max="10" width="28.85546875" style="79" bestFit="1" customWidth="1"/>
    <col min="11" max="13" width="9.140625" style="79"/>
    <col min="14" max="14" width="24.7109375" style="79" bestFit="1" customWidth="1"/>
    <col min="15" max="16384" width="9.140625" style="79"/>
  </cols>
  <sheetData>
    <row r="9" spans="14:14" x14ac:dyDescent="0.25">
      <c r="N9" s="79" t="s">
        <v>1177</v>
      </c>
    </row>
    <row r="10" spans="14:14" x14ac:dyDescent="0.25">
      <c r="N10" s="79" t="s">
        <v>1172</v>
      </c>
    </row>
    <row r="11" spans="14:14" x14ac:dyDescent="0.25">
      <c r="N11" s="79">
        <f>COUNT(B18:B162)</f>
        <v>67</v>
      </c>
    </row>
    <row r="12" spans="14:14" x14ac:dyDescent="0.25">
      <c r="N12" s="79" t="s">
        <v>1164</v>
      </c>
    </row>
    <row r="13" spans="14:14" x14ac:dyDescent="0.25">
      <c r="N13" s="79" t="s">
        <v>1301</v>
      </c>
    </row>
    <row r="14" spans="14:14" x14ac:dyDescent="0.25">
      <c r="N14" s="226">
        <f>GETPIVOTDATA("Sum of TOTAL UNIT VALUE (SEMI FINISHED)",'PROJECT SUMMARY DASH'!$A$1,"SELLING PHASE NAME","R 7")</f>
        <v>589108892.68785322</v>
      </c>
    </row>
    <row r="18" spans="1:10" s="160" customFormat="1" ht="60" x14ac:dyDescent="0.25">
      <c r="A18" s="160" t="s">
        <v>733</v>
      </c>
      <c r="B18" s="160" t="s">
        <v>1303</v>
      </c>
      <c r="C18" s="160" t="s">
        <v>713</v>
      </c>
      <c r="D18" s="160" t="s">
        <v>1302</v>
      </c>
      <c r="E18" s="225" t="s">
        <v>1151</v>
      </c>
      <c r="F18" s="225" t="s">
        <v>1152</v>
      </c>
      <c r="G18" s="160" t="s">
        <v>1298</v>
      </c>
      <c r="H18" s="160" t="s">
        <v>1299</v>
      </c>
      <c r="I18" s="160" t="s">
        <v>1300</v>
      </c>
      <c r="J18" s="290" t="str">
        <f>Table1[[#Headers],[NO. OF BEDROOMS]]</f>
        <v>NO. OF BEDROOMS</v>
      </c>
    </row>
    <row r="19" spans="1:10" x14ac:dyDescent="0.25">
      <c r="A19" s="121" t="s">
        <v>319</v>
      </c>
      <c r="B19" s="191">
        <v>52657.5</v>
      </c>
      <c r="C19" s="191">
        <v>75</v>
      </c>
      <c r="D19" s="191">
        <v>23.818100000000001</v>
      </c>
      <c r="E19" s="122">
        <v>413886.52824750007</v>
      </c>
      <c r="F19" s="122">
        <v>370871.91740103753</v>
      </c>
      <c r="G19" s="122">
        <v>4599199.0282474998</v>
      </c>
      <c r="H19" s="122">
        <v>4936699.0282474998</v>
      </c>
      <c r="I19" s="122">
        <v>5161699.0282474998</v>
      </c>
      <c r="J19" s="79" t="str">
        <f>VLOOKUP(A19,Table1[[Unit Number]:[NO. OF BEDROOMS]],2,FALSE)</f>
        <v>1 BEDROOM (STUDIO)</v>
      </c>
    </row>
    <row r="20" spans="1:10" x14ac:dyDescent="0.25">
      <c r="A20" s="121" t="s">
        <v>321</v>
      </c>
      <c r="B20" s="191">
        <v>52657.5</v>
      </c>
      <c r="C20" s="191">
        <v>121</v>
      </c>
      <c r="D20" s="191">
        <v>50.705300000000001</v>
      </c>
      <c r="E20" s="122">
        <v>881104.73046750017</v>
      </c>
      <c r="F20" s="122">
        <v>616476.28958973754</v>
      </c>
      <c r="G20" s="122">
        <v>7488662.2304675002</v>
      </c>
      <c r="H20" s="122">
        <v>8033162.2304675002</v>
      </c>
      <c r="I20" s="122">
        <v>8396162.2304675002</v>
      </c>
      <c r="J20" s="79" t="str">
        <f>VLOOKUP(A20,Table1[[Unit Number]:[NO. OF BEDROOMS]],2,FALSE)</f>
        <v>2 BEDROOM</v>
      </c>
    </row>
    <row r="21" spans="1:10" x14ac:dyDescent="0.25">
      <c r="A21" s="121" t="s">
        <v>332</v>
      </c>
      <c r="B21" s="191">
        <v>52657.5</v>
      </c>
      <c r="C21" s="191">
        <v>110</v>
      </c>
      <c r="D21" s="191"/>
      <c r="E21" s="122">
        <v>0</v>
      </c>
      <c r="F21" s="122">
        <v>492347.62500000006</v>
      </c>
      <c r="G21" s="122">
        <v>6028325</v>
      </c>
      <c r="H21" s="122">
        <v>6523325</v>
      </c>
      <c r="I21" s="122">
        <v>6853325</v>
      </c>
      <c r="J21" s="79" t="str">
        <f>VLOOKUP(A21,Table1[[Unit Number]:[NO. OF BEDROOMS]],2,FALSE)</f>
        <v>2 BEDROOM</v>
      </c>
    </row>
    <row r="22" spans="1:10" x14ac:dyDescent="0.25">
      <c r="A22" s="121" t="s">
        <v>335</v>
      </c>
      <c r="B22" s="191">
        <v>52657.5</v>
      </c>
      <c r="C22" s="191">
        <v>120</v>
      </c>
      <c r="D22" s="191"/>
      <c r="E22" s="122">
        <v>0</v>
      </c>
      <c r="F22" s="122">
        <v>537106.5</v>
      </c>
      <c r="G22" s="122">
        <v>6554900</v>
      </c>
      <c r="H22" s="122">
        <v>7094900</v>
      </c>
      <c r="I22" s="122">
        <v>7454900</v>
      </c>
      <c r="J22" s="79" t="str">
        <f>VLOOKUP(A22,Table1[[Unit Number]:[NO. OF BEDROOMS]],2,FALSE)</f>
        <v>2 BEDROOM</v>
      </c>
    </row>
    <row r="23" spans="1:10" x14ac:dyDescent="0.25">
      <c r="A23" s="121" t="s">
        <v>348</v>
      </c>
      <c r="B23" s="191">
        <v>52657.5</v>
      </c>
      <c r="C23" s="191">
        <v>120</v>
      </c>
      <c r="D23" s="191"/>
      <c r="E23" s="122">
        <v>0</v>
      </c>
      <c r="F23" s="122">
        <v>537106.5</v>
      </c>
      <c r="G23" s="122">
        <v>6554900</v>
      </c>
      <c r="H23" s="122">
        <v>7094900</v>
      </c>
      <c r="I23" s="122">
        <v>7454900</v>
      </c>
      <c r="J23" s="79" t="str">
        <f>VLOOKUP(A23,Table1[[Unit Number]:[NO. OF BEDROOMS]],2,FALSE)</f>
        <v>2 BEDROOM</v>
      </c>
    </row>
    <row r="24" spans="1:10" x14ac:dyDescent="0.25">
      <c r="A24" s="121" t="s">
        <v>363</v>
      </c>
      <c r="B24" s="191">
        <v>52657.5</v>
      </c>
      <c r="C24" s="191">
        <v>110</v>
      </c>
      <c r="D24" s="191"/>
      <c r="E24" s="122">
        <v>0</v>
      </c>
      <c r="F24" s="122">
        <v>492347.62500000006</v>
      </c>
      <c r="G24" s="122">
        <v>6028325</v>
      </c>
      <c r="H24" s="122">
        <v>6523325</v>
      </c>
      <c r="I24" s="122">
        <v>6853325</v>
      </c>
      <c r="J24" s="79" t="str">
        <f>VLOOKUP(A24,Table1[[Unit Number]:[NO. OF BEDROOMS]],2,FALSE)</f>
        <v>2 BEDROOM</v>
      </c>
    </row>
    <row r="25" spans="1:10" x14ac:dyDescent="0.25">
      <c r="A25" s="121" t="s">
        <v>803</v>
      </c>
      <c r="B25" s="191">
        <v>54162</v>
      </c>
      <c r="C25" s="191">
        <v>199</v>
      </c>
      <c r="D25" s="191">
        <v>77.576999999999998</v>
      </c>
      <c r="E25" s="122">
        <v>1386569.4064199999</v>
      </c>
      <c r="F25" s="122">
        <v>1034008.6295457</v>
      </c>
      <c r="G25" s="122">
        <v>12400807.40642</v>
      </c>
      <c r="H25" s="122">
        <v>13296307.40642</v>
      </c>
      <c r="I25" s="122">
        <v>13893307.40642</v>
      </c>
      <c r="J25" s="79" t="str">
        <f>VLOOKUP(A25,Table1[[Unit Number]:[NO. OF BEDROOMS]],2,FALSE)</f>
        <v>3 BEDROOM</v>
      </c>
    </row>
    <row r="26" spans="1:10" x14ac:dyDescent="0.25">
      <c r="A26" s="121" t="s">
        <v>387</v>
      </c>
      <c r="B26" s="191">
        <v>52598.5</v>
      </c>
      <c r="C26" s="191">
        <v>117</v>
      </c>
      <c r="D26" s="191"/>
      <c r="E26" s="122">
        <v>0</v>
      </c>
      <c r="F26" s="122">
        <v>523092.08250000002</v>
      </c>
      <c r="G26" s="122">
        <v>6390024.5</v>
      </c>
      <c r="H26" s="122">
        <v>6916524.5</v>
      </c>
      <c r="I26" s="122">
        <v>7267524.5</v>
      </c>
      <c r="J26" s="79" t="str">
        <f>VLOOKUP(A26,Table1[[Unit Number]:[NO. OF BEDROOMS]],2,FALSE)</f>
        <v>2 BEDROOM</v>
      </c>
    </row>
    <row r="27" spans="1:10" x14ac:dyDescent="0.25">
      <c r="A27" s="121" t="s">
        <v>826</v>
      </c>
      <c r="B27" s="191">
        <v>55017.5</v>
      </c>
      <c r="C27" s="191">
        <v>228</v>
      </c>
      <c r="D27" s="191"/>
      <c r="E27" s="122">
        <v>0</v>
      </c>
      <c r="F27" s="122">
        <v>1066239.1500000001</v>
      </c>
      <c r="G27" s="122">
        <v>12779990</v>
      </c>
      <c r="H27" s="122">
        <v>13805990</v>
      </c>
      <c r="I27" s="122">
        <v>14489990</v>
      </c>
      <c r="J27" s="79" t="str">
        <f>VLOOKUP(A27,Table1[[Unit Number]:[NO. OF BEDROOMS]],2,FALSE)</f>
        <v>3 BEDROOM + LIVING</v>
      </c>
    </row>
    <row r="28" spans="1:10" x14ac:dyDescent="0.25">
      <c r="A28" s="121" t="s">
        <v>395</v>
      </c>
      <c r="B28" s="191">
        <v>52598.5</v>
      </c>
      <c r="C28" s="191">
        <v>173</v>
      </c>
      <c r="D28" s="191"/>
      <c r="E28" s="122">
        <v>0</v>
      </c>
      <c r="F28" s="122">
        <v>773460.9425</v>
      </c>
      <c r="G28" s="122">
        <v>9335540.5</v>
      </c>
      <c r="H28" s="122">
        <v>10114040.5</v>
      </c>
      <c r="I28" s="122">
        <v>10633040.5</v>
      </c>
      <c r="J28" s="79" t="str">
        <f>VLOOKUP(A28,Table1[[Unit Number]:[NO. OF BEDROOMS]],2,FALSE)</f>
        <v>3 BEDROOM</v>
      </c>
    </row>
    <row r="29" spans="1:10" x14ac:dyDescent="0.25">
      <c r="A29" s="121" t="s">
        <v>400</v>
      </c>
      <c r="B29" s="191">
        <v>52598.5</v>
      </c>
      <c r="C29" s="191">
        <v>117</v>
      </c>
      <c r="D29" s="191"/>
      <c r="E29" s="122">
        <v>0</v>
      </c>
      <c r="F29" s="122">
        <v>523092.08250000002</v>
      </c>
      <c r="G29" s="122">
        <v>6390024.5</v>
      </c>
      <c r="H29" s="122">
        <v>6916524.5</v>
      </c>
      <c r="I29" s="122">
        <v>7267524.5</v>
      </c>
      <c r="J29" s="79" t="str">
        <f>VLOOKUP(A29,Table1[[Unit Number]:[NO. OF BEDROOMS]],2,FALSE)</f>
        <v>2 BEDROOM</v>
      </c>
    </row>
    <row r="30" spans="1:10" x14ac:dyDescent="0.25">
      <c r="A30" s="121" t="s">
        <v>838</v>
      </c>
      <c r="B30" s="191">
        <v>54929</v>
      </c>
      <c r="C30" s="191">
        <v>174</v>
      </c>
      <c r="D30" s="191"/>
      <c r="E30" s="122">
        <v>0</v>
      </c>
      <c r="F30" s="122">
        <v>812399.91</v>
      </c>
      <c r="G30" s="122">
        <v>9793646</v>
      </c>
      <c r="H30" s="122">
        <v>10576646</v>
      </c>
      <c r="I30" s="122">
        <v>11098646</v>
      </c>
      <c r="J30" s="79" t="str">
        <f>VLOOKUP(A30,Table1[[Unit Number]:[NO. OF BEDROOMS]],2,FALSE)</f>
        <v>3 BEDROOM</v>
      </c>
    </row>
    <row r="31" spans="1:10" x14ac:dyDescent="0.25">
      <c r="A31" s="121" t="s">
        <v>839</v>
      </c>
      <c r="B31" s="191">
        <v>54929</v>
      </c>
      <c r="C31" s="191">
        <v>174</v>
      </c>
      <c r="D31" s="191"/>
      <c r="E31" s="122">
        <v>0</v>
      </c>
      <c r="F31" s="122">
        <v>812399.91</v>
      </c>
      <c r="G31" s="122">
        <v>9793646</v>
      </c>
      <c r="H31" s="122">
        <v>10576646</v>
      </c>
      <c r="I31" s="122">
        <v>11098646</v>
      </c>
      <c r="J31" s="79" t="str">
        <f>VLOOKUP(A31,Table1[[Unit Number]:[NO. OF BEDROOMS]],2,FALSE)</f>
        <v>3 BEDROOM</v>
      </c>
    </row>
    <row r="32" spans="1:10" x14ac:dyDescent="0.25">
      <c r="A32" s="121" t="s">
        <v>413</v>
      </c>
      <c r="B32" s="191">
        <v>52598.5</v>
      </c>
      <c r="C32" s="191">
        <v>117</v>
      </c>
      <c r="D32" s="191"/>
      <c r="E32" s="122">
        <v>0</v>
      </c>
      <c r="F32" s="122">
        <v>523092.08250000002</v>
      </c>
      <c r="G32" s="122">
        <v>6390024.5</v>
      </c>
      <c r="H32" s="122">
        <v>6916524.5</v>
      </c>
      <c r="I32" s="122">
        <v>7267524.5</v>
      </c>
      <c r="J32" s="79" t="str">
        <f>VLOOKUP(A32,Table1[[Unit Number]:[NO. OF BEDROOMS]],2,FALSE)</f>
        <v>2 BEDROOM</v>
      </c>
    </row>
    <row r="33" spans="1:10" x14ac:dyDescent="0.25">
      <c r="A33" s="121" t="s">
        <v>846</v>
      </c>
      <c r="B33" s="191">
        <v>54156.1</v>
      </c>
      <c r="C33" s="191">
        <v>228</v>
      </c>
      <c r="D33" s="191"/>
      <c r="E33" s="122">
        <v>0</v>
      </c>
      <c r="F33" s="122">
        <v>1049545.2179999999</v>
      </c>
      <c r="G33" s="122">
        <v>12583590.799999999</v>
      </c>
      <c r="H33" s="122">
        <v>13609590.799999999</v>
      </c>
      <c r="I33" s="122">
        <v>14293590.799999999</v>
      </c>
      <c r="J33" s="79" t="str">
        <f>VLOOKUP(A33,Table1[[Unit Number]:[NO. OF BEDROOMS]],2,FALSE)</f>
        <v>3 BEDROOM + LIVING</v>
      </c>
    </row>
    <row r="34" spans="1:10" x14ac:dyDescent="0.25">
      <c r="A34" s="121" t="s">
        <v>418</v>
      </c>
      <c r="B34" s="191">
        <v>52598.5</v>
      </c>
      <c r="C34" s="191">
        <v>173</v>
      </c>
      <c r="D34" s="191"/>
      <c r="E34" s="122">
        <v>0</v>
      </c>
      <c r="F34" s="122">
        <v>773460.9425</v>
      </c>
      <c r="G34" s="122">
        <v>9335540.5</v>
      </c>
      <c r="H34" s="122">
        <v>10114040.5</v>
      </c>
      <c r="I34" s="122">
        <v>10633040.5</v>
      </c>
      <c r="J34" s="79" t="str">
        <f>VLOOKUP(A34,Table1[[Unit Number]:[NO. OF BEDROOMS]],2,FALSE)</f>
        <v>3 BEDROOM</v>
      </c>
    </row>
    <row r="35" spans="1:10" x14ac:dyDescent="0.25">
      <c r="A35" s="121" t="s">
        <v>424</v>
      </c>
      <c r="B35" s="191">
        <v>52598.5</v>
      </c>
      <c r="C35" s="191">
        <v>108</v>
      </c>
      <c r="D35" s="191"/>
      <c r="E35" s="122">
        <v>0</v>
      </c>
      <c r="F35" s="122">
        <v>482854.23000000004</v>
      </c>
      <c r="G35" s="122">
        <v>5916638</v>
      </c>
      <c r="H35" s="122">
        <v>6402638</v>
      </c>
      <c r="I35" s="122">
        <v>6726638</v>
      </c>
      <c r="J35" s="79" t="str">
        <f>VLOOKUP(A35,Table1[[Unit Number]:[NO. OF BEDROOMS]],2,FALSE)</f>
        <v>2 BEDROOM</v>
      </c>
    </row>
    <row r="36" spans="1:10" x14ac:dyDescent="0.25">
      <c r="A36" s="121" t="s">
        <v>854</v>
      </c>
      <c r="B36" s="191">
        <v>54929</v>
      </c>
      <c r="C36" s="191">
        <v>155</v>
      </c>
      <c r="D36" s="191"/>
      <c r="E36" s="122">
        <v>0</v>
      </c>
      <c r="F36" s="122">
        <v>723689.57500000007</v>
      </c>
      <c r="G36" s="122">
        <v>8749995</v>
      </c>
      <c r="H36" s="122">
        <v>9447495</v>
      </c>
      <c r="I36" s="122">
        <v>9912495</v>
      </c>
      <c r="J36" s="79" t="str">
        <f>VLOOKUP(A36,Table1[[Unit Number]:[NO. OF BEDROOMS]],2,FALSE)</f>
        <v>3 BEDROOM</v>
      </c>
    </row>
    <row r="37" spans="1:10" x14ac:dyDescent="0.25">
      <c r="A37" s="121" t="s">
        <v>431</v>
      </c>
      <c r="B37" s="191">
        <v>52657.5</v>
      </c>
      <c r="C37" s="191">
        <v>158</v>
      </c>
      <c r="D37" s="191"/>
      <c r="E37" s="122">
        <v>0</v>
      </c>
      <c r="F37" s="122">
        <v>707190.22500000009</v>
      </c>
      <c r="G37" s="122">
        <v>8555885</v>
      </c>
      <c r="H37" s="122">
        <v>9266885</v>
      </c>
      <c r="I37" s="122">
        <v>9740885</v>
      </c>
      <c r="J37" s="79" t="str">
        <f>VLOOKUP(A37,Table1[[Unit Number]:[NO. OF BEDROOMS]],2,FALSE)</f>
        <v>3 BEDROOM</v>
      </c>
    </row>
    <row r="38" spans="1:10" x14ac:dyDescent="0.25">
      <c r="A38" s="121" t="s">
        <v>436</v>
      </c>
      <c r="B38" s="191">
        <v>52598.5</v>
      </c>
      <c r="C38" s="191">
        <v>108</v>
      </c>
      <c r="D38" s="191"/>
      <c r="E38" s="122">
        <v>0</v>
      </c>
      <c r="F38" s="122">
        <v>482854.23000000004</v>
      </c>
      <c r="G38" s="122">
        <v>5916638</v>
      </c>
      <c r="H38" s="122">
        <v>6402638</v>
      </c>
      <c r="I38" s="122">
        <v>6726638</v>
      </c>
      <c r="J38" s="79" t="str">
        <f>VLOOKUP(A38,Table1[[Unit Number]:[NO. OF BEDROOMS]],2,FALSE)</f>
        <v>2 BEDROOM</v>
      </c>
    </row>
    <row r="39" spans="1:10" x14ac:dyDescent="0.25">
      <c r="A39" s="121" t="s">
        <v>870</v>
      </c>
      <c r="B39" s="191">
        <v>54958.5</v>
      </c>
      <c r="C39" s="191">
        <v>158</v>
      </c>
      <c r="D39" s="191">
        <v>84.036199999999994</v>
      </c>
      <c r="E39" s="122">
        <v>1524106.1542409998</v>
      </c>
      <c r="F39" s="122">
        <v>867641.67811048497</v>
      </c>
      <c r="G39" s="122">
        <v>10443549.154240999</v>
      </c>
      <c r="H39" s="122">
        <v>11154549.154240999</v>
      </c>
      <c r="I39" s="122">
        <v>11628549.154240999</v>
      </c>
      <c r="J39" s="79" t="str">
        <f>VLOOKUP(A39,Table1[[Unit Number]:[NO. OF BEDROOMS]],2,FALSE)</f>
        <v>3 BEDROOM</v>
      </c>
    </row>
    <row r="40" spans="1:10" x14ac:dyDescent="0.25">
      <c r="A40" s="121" t="s">
        <v>872</v>
      </c>
      <c r="B40" s="191">
        <v>55017.5</v>
      </c>
      <c r="C40" s="191">
        <v>160</v>
      </c>
      <c r="D40" s="191"/>
      <c r="E40" s="122">
        <v>0</v>
      </c>
      <c r="F40" s="122">
        <v>748238</v>
      </c>
      <c r="G40" s="122">
        <v>9038800</v>
      </c>
      <c r="H40" s="122">
        <v>9758800</v>
      </c>
      <c r="I40" s="122">
        <v>10238800</v>
      </c>
      <c r="J40" s="79" t="str">
        <f>VLOOKUP(A40,Table1[[Unit Number]:[NO. OF BEDROOMS]],2,FALSE)</f>
        <v>3 BEDROOM</v>
      </c>
    </row>
    <row r="41" spans="1:10" x14ac:dyDescent="0.25">
      <c r="A41" s="121" t="s">
        <v>873</v>
      </c>
      <c r="B41" s="191">
        <v>54929</v>
      </c>
      <c r="C41" s="191">
        <v>155</v>
      </c>
      <c r="D41" s="191"/>
      <c r="E41" s="122">
        <v>0</v>
      </c>
      <c r="F41" s="122">
        <v>723689.57500000007</v>
      </c>
      <c r="G41" s="122">
        <v>8749995</v>
      </c>
      <c r="H41" s="122">
        <v>9447495</v>
      </c>
      <c r="I41" s="122">
        <v>9912495</v>
      </c>
      <c r="J41" s="79" t="str">
        <f>VLOOKUP(A41,Table1[[Unit Number]:[NO. OF BEDROOMS]],2,FALSE)</f>
        <v>3 BEDROOM</v>
      </c>
    </row>
    <row r="42" spans="1:10" x14ac:dyDescent="0.25">
      <c r="A42" s="121" t="s">
        <v>447</v>
      </c>
      <c r="B42" s="191">
        <v>52598.5</v>
      </c>
      <c r="C42" s="191">
        <v>108</v>
      </c>
      <c r="D42" s="191"/>
      <c r="E42" s="122">
        <v>0</v>
      </c>
      <c r="F42" s="122">
        <v>482854.23000000004</v>
      </c>
      <c r="G42" s="122">
        <v>5916638</v>
      </c>
      <c r="H42" s="122">
        <v>6402638</v>
      </c>
      <c r="I42" s="122">
        <v>6726638</v>
      </c>
      <c r="J42" s="79" t="str">
        <f>VLOOKUP(A42,Table1[[Unit Number]:[NO. OF BEDROOMS]],2,FALSE)</f>
        <v>2 BEDROOM</v>
      </c>
    </row>
    <row r="43" spans="1:10" x14ac:dyDescent="0.25">
      <c r="A43" s="121" t="s">
        <v>451</v>
      </c>
      <c r="B43" s="191">
        <v>52657.5</v>
      </c>
      <c r="C43" s="191">
        <v>158</v>
      </c>
      <c r="D43" s="191"/>
      <c r="E43" s="122">
        <v>0</v>
      </c>
      <c r="F43" s="122">
        <v>707190.22500000009</v>
      </c>
      <c r="G43" s="122">
        <v>8555885</v>
      </c>
      <c r="H43" s="122">
        <v>9266885</v>
      </c>
      <c r="I43" s="122">
        <v>9740885</v>
      </c>
      <c r="J43" s="79" t="str">
        <f>VLOOKUP(A43,Table1[[Unit Number]:[NO. OF BEDROOMS]],2,FALSE)</f>
        <v>3 BEDROOM</v>
      </c>
    </row>
    <row r="44" spans="1:10" x14ac:dyDescent="0.25">
      <c r="A44" s="121" t="s">
        <v>879</v>
      </c>
      <c r="B44" s="191">
        <v>54958.5</v>
      </c>
      <c r="C44" s="191">
        <v>160</v>
      </c>
      <c r="D44" s="191"/>
      <c r="E44" s="122">
        <v>0</v>
      </c>
      <c r="F44" s="122">
        <v>747435.60000000009</v>
      </c>
      <c r="G44" s="122">
        <v>9029360</v>
      </c>
      <c r="H44" s="122">
        <v>9749360</v>
      </c>
      <c r="I44" s="122">
        <v>10229360</v>
      </c>
      <c r="J44" s="79" t="str">
        <f>VLOOKUP(A44,Table1[[Unit Number]:[NO. OF BEDROOMS]],2,FALSE)</f>
        <v>3 BEDROOM</v>
      </c>
    </row>
    <row r="45" spans="1:10" x14ac:dyDescent="0.25">
      <c r="A45" s="121" t="s">
        <v>455</v>
      </c>
      <c r="B45" s="191">
        <v>52598.5</v>
      </c>
      <c r="C45" s="191">
        <v>117</v>
      </c>
      <c r="D45" s="191"/>
      <c r="E45" s="122">
        <v>0</v>
      </c>
      <c r="F45" s="122">
        <v>523092.08250000002</v>
      </c>
      <c r="G45" s="122">
        <v>6390024.5</v>
      </c>
      <c r="H45" s="122">
        <v>6916524.5</v>
      </c>
      <c r="I45" s="122">
        <v>7267524.5</v>
      </c>
      <c r="J45" s="79" t="str">
        <f>VLOOKUP(A45,Table1[[Unit Number]:[NO. OF BEDROOMS]],2,FALSE)</f>
        <v>2 BEDROOM</v>
      </c>
    </row>
    <row r="46" spans="1:10" x14ac:dyDescent="0.25">
      <c r="A46" s="121" t="s">
        <v>883</v>
      </c>
      <c r="B46" s="191">
        <v>54958.5</v>
      </c>
      <c r="C46" s="191">
        <v>224</v>
      </c>
      <c r="D46" s="191"/>
      <c r="E46" s="122">
        <v>0</v>
      </c>
      <c r="F46" s="122">
        <v>1046409.8400000001</v>
      </c>
      <c r="G46" s="122">
        <v>12546704</v>
      </c>
      <c r="H46" s="122">
        <v>13554704</v>
      </c>
      <c r="I46" s="122">
        <v>14226704</v>
      </c>
      <c r="J46" s="79" t="str">
        <f>VLOOKUP(A46,Table1[[Unit Number]:[NO. OF BEDROOMS]],2,FALSE)</f>
        <v>3 BEDROOM + LIVING</v>
      </c>
    </row>
    <row r="47" spans="1:10" x14ac:dyDescent="0.25">
      <c r="A47" s="121" t="s">
        <v>884</v>
      </c>
      <c r="B47" s="191">
        <v>55047</v>
      </c>
      <c r="C47" s="191">
        <v>205</v>
      </c>
      <c r="D47" s="191"/>
      <c r="E47" s="122">
        <v>0</v>
      </c>
      <c r="F47" s="122">
        <v>959193.97500000009</v>
      </c>
      <c r="G47" s="122">
        <v>11520635</v>
      </c>
      <c r="H47" s="122">
        <v>12443135</v>
      </c>
      <c r="I47" s="122">
        <v>13058135</v>
      </c>
      <c r="J47" s="79" t="str">
        <f>VLOOKUP(A47,Table1[[Unit Number]:[NO. OF BEDROOMS]],2,FALSE)</f>
        <v>3 BEDROOM</v>
      </c>
    </row>
    <row r="48" spans="1:10" x14ac:dyDescent="0.25">
      <c r="A48" s="121" t="s">
        <v>463</v>
      </c>
      <c r="B48" s="191">
        <v>52598.5</v>
      </c>
      <c r="C48" s="191">
        <v>173</v>
      </c>
      <c r="D48" s="191"/>
      <c r="E48" s="122">
        <v>0</v>
      </c>
      <c r="F48" s="122">
        <v>773460.9425</v>
      </c>
      <c r="G48" s="122">
        <v>9335540.5</v>
      </c>
      <c r="H48" s="122">
        <v>10114040.5</v>
      </c>
      <c r="I48" s="122">
        <v>10633040.5</v>
      </c>
      <c r="J48" s="79" t="str">
        <f>VLOOKUP(A48,Table1[[Unit Number]:[NO. OF BEDROOMS]],2,FALSE)</f>
        <v>3 BEDROOM</v>
      </c>
    </row>
    <row r="49" spans="1:10" x14ac:dyDescent="0.25">
      <c r="A49" s="121" t="s">
        <v>894</v>
      </c>
      <c r="B49" s="191">
        <v>54958.5</v>
      </c>
      <c r="C49" s="191">
        <v>224</v>
      </c>
      <c r="D49" s="191"/>
      <c r="E49" s="122">
        <v>0</v>
      </c>
      <c r="F49" s="122">
        <v>1046409.8400000001</v>
      </c>
      <c r="G49" s="122">
        <v>12546704</v>
      </c>
      <c r="H49" s="122">
        <v>13554704</v>
      </c>
      <c r="I49" s="122">
        <v>14226704</v>
      </c>
      <c r="J49" s="79" t="str">
        <f>VLOOKUP(A49,Table1[[Unit Number]:[NO. OF BEDROOMS]],2,FALSE)</f>
        <v>3 BEDROOM + LIVING</v>
      </c>
    </row>
    <row r="50" spans="1:10" x14ac:dyDescent="0.25">
      <c r="A50" s="121" t="s">
        <v>948</v>
      </c>
      <c r="B50" s="191">
        <v>54929</v>
      </c>
      <c r="C50" s="191">
        <v>204</v>
      </c>
      <c r="D50" s="191"/>
      <c r="E50" s="122">
        <v>0</v>
      </c>
      <c r="F50" s="122">
        <v>952468.8600000001</v>
      </c>
      <c r="G50" s="122">
        <v>11441516</v>
      </c>
      <c r="H50" s="122">
        <v>12359516</v>
      </c>
      <c r="I50" s="122">
        <v>12971516</v>
      </c>
      <c r="J50" s="79" t="str">
        <f>VLOOKUP(A50,Table1[[Unit Number]:[NO. OF BEDROOMS]],2,FALSE)</f>
        <v>3 BEDROOM</v>
      </c>
    </row>
    <row r="51" spans="1:10" x14ac:dyDescent="0.25">
      <c r="A51" s="121" t="s">
        <v>953</v>
      </c>
      <c r="B51" s="191">
        <v>54156.1</v>
      </c>
      <c r="C51" s="191">
        <v>222</v>
      </c>
      <c r="D51" s="191"/>
      <c r="E51" s="122">
        <v>0</v>
      </c>
      <c r="F51" s="122">
        <v>1021925.607</v>
      </c>
      <c r="G51" s="122">
        <v>12258654.199999999</v>
      </c>
      <c r="H51" s="122">
        <v>13257654.199999999</v>
      </c>
      <c r="I51" s="122">
        <v>13923654.199999999</v>
      </c>
      <c r="J51" s="79" t="str">
        <f>VLOOKUP(A51,Table1[[Unit Number]:[NO. OF BEDROOMS]],2,FALSE)</f>
        <v>3 BEDROOM + LIVING</v>
      </c>
    </row>
    <row r="52" spans="1:10" x14ac:dyDescent="0.25">
      <c r="A52" s="121" t="s">
        <v>956</v>
      </c>
      <c r="B52" s="191">
        <v>54988</v>
      </c>
      <c r="C52" s="191">
        <v>173</v>
      </c>
      <c r="D52" s="191"/>
      <c r="E52" s="122">
        <v>0</v>
      </c>
      <c r="F52" s="122">
        <v>808598.54</v>
      </c>
      <c r="G52" s="122">
        <v>9748924</v>
      </c>
      <c r="H52" s="122">
        <v>10527424</v>
      </c>
      <c r="I52" s="122">
        <v>11046424</v>
      </c>
      <c r="J52" s="79" t="str">
        <f>VLOOKUP(A52,Table1[[Unit Number]:[NO. OF BEDROOMS]],2,FALSE)</f>
        <v>3 BEDROOM</v>
      </c>
    </row>
    <row r="53" spans="1:10" x14ac:dyDescent="0.25">
      <c r="A53" s="121" t="s">
        <v>957</v>
      </c>
      <c r="B53" s="191">
        <v>54988</v>
      </c>
      <c r="C53" s="191">
        <v>173</v>
      </c>
      <c r="D53" s="191"/>
      <c r="E53" s="122">
        <v>0</v>
      </c>
      <c r="F53" s="122">
        <v>808598.54</v>
      </c>
      <c r="G53" s="122">
        <v>9748924</v>
      </c>
      <c r="H53" s="122">
        <v>10527424</v>
      </c>
      <c r="I53" s="122">
        <v>11046424</v>
      </c>
      <c r="J53" s="79" t="str">
        <f>VLOOKUP(A53,Table1[[Unit Number]:[NO. OF BEDROOMS]],2,FALSE)</f>
        <v>3 BEDROOM</v>
      </c>
    </row>
    <row r="54" spans="1:10" x14ac:dyDescent="0.25">
      <c r="A54" s="121" t="s">
        <v>967</v>
      </c>
      <c r="B54" s="191">
        <v>54929</v>
      </c>
      <c r="C54" s="191">
        <v>204</v>
      </c>
      <c r="D54" s="191"/>
      <c r="E54" s="122">
        <v>0</v>
      </c>
      <c r="F54" s="122">
        <v>952468.8600000001</v>
      </c>
      <c r="G54" s="122">
        <v>11441516</v>
      </c>
      <c r="H54" s="122">
        <v>12359516</v>
      </c>
      <c r="I54" s="122">
        <v>12971516</v>
      </c>
      <c r="J54" s="79" t="str">
        <f>VLOOKUP(A54,Table1[[Unit Number]:[NO. OF BEDROOMS]],2,FALSE)</f>
        <v>3 BEDROOM</v>
      </c>
    </row>
    <row r="55" spans="1:10" x14ac:dyDescent="0.25">
      <c r="A55" s="121" t="s">
        <v>971</v>
      </c>
      <c r="B55" s="191">
        <v>54162</v>
      </c>
      <c r="C55" s="191">
        <v>199</v>
      </c>
      <c r="D55" s="191">
        <v>77.610299999999995</v>
      </c>
      <c r="E55" s="122">
        <v>1387164.5926379999</v>
      </c>
      <c r="F55" s="122">
        <v>1034059.2203742302</v>
      </c>
      <c r="G55" s="122">
        <v>12401402.592638001</v>
      </c>
      <c r="H55" s="122">
        <v>13296902.592638001</v>
      </c>
      <c r="I55" s="122">
        <v>13893902.592638001</v>
      </c>
      <c r="J55" s="79" t="str">
        <f>VLOOKUP(A55,Table1[[Unit Number]:[NO. OF BEDROOMS]],2,FALSE)</f>
        <v>3 BEDROOM</v>
      </c>
    </row>
    <row r="56" spans="1:10" x14ac:dyDescent="0.25">
      <c r="A56" s="121" t="s">
        <v>986</v>
      </c>
      <c r="B56" s="191">
        <v>54162</v>
      </c>
      <c r="C56" s="191">
        <v>199</v>
      </c>
      <c r="D56" s="191">
        <v>77.610299999999995</v>
      </c>
      <c r="E56" s="122">
        <v>1387164.5926379999</v>
      </c>
      <c r="F56" s="122">
        <v>1034059.2203742302</v>
      </c>
      <c r="G56" s="122">
        <v>12401402.592638001</v>
      </c>
      <c r="H56" s="122">
        <v>13296902.592638001</v>
      </c>
      <c r="I56" s="122">
        <v>13893902.592638001</v>
      </c>
      <c r="J56" s="79" t="str">
        <f>VLOOKUP(A56,Table1[[Unit Number]:[NO. OF BEDROOMS]],2,FALSE)</f>
        <v>3 BEDROOM</v>
      </c>
    </row>
    <row r="57" spans="1:10" x14ac:dyDescent="0.25">
      <c r="A57" s="121" t="s">
        <v>1010</v>
      </c>
      <c r="B57" s="191">
        <v>54162</v>
      </c>
      <c r="C57" s="191">
        <v>199</v>
      </c>
      <c r="D57" s="191">
        <v>77.576999999999998</v>
      </c>
      <c r="E57" s="122">
        <v>1386569.4064199999</v>
      </c>
      <c r="F57" s="122">
        <v>1034008.6295457</v>
      </c>
      <c r="G57" s="122">
        <v>12400807.40642</v>
      </c>
      <c r="H57" s="122">
        <v>13296307.40642</v>
      </c>
      <c r="I57" s="122">
        <v>13893307.40642</v>
      </c>
      <c r="J57" s="79" t="str">
        <f>VLOOKUP(A57,Table1[[Unit Number]:[NO. OF BEDROOMS]],2,FALSE)</f>
        <v>3 BEDROOM</v>
      </c>
    </row>
    <row r="58" spans="1:10" x14ac:dyDescent="0.25">
      <c r="A58" s="121" t="s">
        <v>1022</v>
      </c>
      <c r="B58" s="191">
        <v>54156.1</v>
      </c>
      <c r="C58" s="191">
        <v>180</v>
      </c>
      <c r="D58" s="191">
        <v>81.552400000000006</v>
      </c>
      <c r="E58" s="122">
        <v>1457464.7767812</v>
      </c>
      <c r="F58" s="122">
        <v>952472.83602640207</v>
      </c>
      <c r="G58" s="122">
        <v>11441562.776781199</v>
      </c>
      <c r="H58" s="122">
        <v>12251562.776781199</v>
      </c>
      <c r="I58" s="122">
        <v>12791562.776781199</v>
      </c>
      <c r="J58" s="79" t="str">
        <f>VLOOKUP(A58,Table1[[Unit Number]:[NO. OF BEDROOMS]],2,FALSE)</f>
        <v>3 BEDROOM</v>
      </c>
    </row>
    <row r="59" spans="1:10" x14ac:dyDescent="0.25">
      <c r="A59" s="121" t="s">
        <v>576</v>
      </c>
      <c r="B59" s="191">
        <v>52628</v>
      </c>
      <c r="C59" s="191">
        <v>172</v>
      </c>
      <c r="D59" s="191"/>
      <c r="E59" s="122">
        <v>0</v>
      </c>
      <c r="F59" s="122">
        <v>769421.3600000001</v>
      </c>
      <c r="G59" s="122">
        <v>9288016</v>
      </c>
      <c r="H59" s="122">
        <v>10062016</v>
      </c>
      <c r="I59" s="122">
        <v>10578016</v>
      </c>
      <c r="J59" s="79" t="str">
        <f>VLOOKUP(A59,Table1[[Unit Number]:[NO. OF BEDROOMS]],2,FALSE)</f>
        <v>3 BEDROOM</v>
      </c>
    </row>
    <row r="60" spans="1:10" x14ac:dyDescent="0.25">
      <c r="A60" s="121" t="s">
        <v>1029</v>
      </c>
      <c r="B60" s="191">
        <v>55017.5</v>
      </c>
      <c r="C60" s="191">
        <v>228</v>
      </c>
      <c r="D60" s="191"/>
      <c r="E60" s="122">
        <v>0</v>
      </c>
      <c r="F60" s="122">
        <v>1066239.1500000001</v>
      </c>
      <c r="G60" s="122">
        <v>12779990</v>
      </c>
      <c r="H60" s="122">
        <v>13805990</v>
      </c>
      <c r="I60" s="122">
        <v>14489990</v>
      </c>
      <c r="J60" s="79" t="str">
        <f>VLOOKUP(A60,Table1[[Unit Number]:[NO. OF BEDROOMS]],2,FALSE)</f>
        <v>3 BEDROOM + LIVING</v>
      </c>
    </row>
    <row r="61" spans="1:10" x14ac:dyDescent="0.25">
      <c r="A61" s="121" t="s">
        <v>583</v>
      </c>
      <c r="B61" s="191">
        <v>52598.5</v>
      </c>
      <c r="C61" s="191">
        <v>117</v>
      </c>
      <c r="D61" s="191"/>
      <c r="E61" s="122">
        <v>0</v>
      </c>
      <c r="F61" s="122">
        <v>523092.08250000002</v>
      </c>
      <c r="G61" s="122">
        <v>6390024.5</v>
      </c>
      <c r="H61" s="122">
        <v>6916524.5</v>
      </c>
      <c r="I61" s="122">
        <v>7267524.5</v>
      </c>
      <c r="J61" s="79" t="str">
        <f>VLOOKUP(A61,Table1[[Unit Number]:[NO. OF BEDROOMS]],2,FALSE)</f>
        <v>2 BEDROOM</v>
      </c>
    </row>
    <row r="62" spans="1:10" x14ac:dyDescent="0.25">
      <c r="A62" s="121" t="s">
        <v>596</v>
      </c>
      <c r="B62" s="191">
        <v>52628</v>
      </c>
      <c r="C62" s="191">
        <v>172</v>
      </c>
      <c r="D62" s="191"/>
      <c r="E62" s="122">
        <v>0</v>
      </c>
      <c r="F62" s="122">
        <v>769421.3600000001</v>
      </c>
      <c r="G62" s="122">
        <v>9288016</v>
      </c>
      <c r="H62" s="122">
        <v>10062016</v>
      </c>
      <c r="I62" s="122">
        <v>10578016</v>
      </c>
      <c r="J62" s="79" t="str">
        <f>VLOOKUP(A62,Table1[[Unit Number]:[NO. OF BEDROOMS]],2,FALSE)</f>
        <v>3 BEDROOM</v>
      </c>
    </row>
    <row r="63" spans="1:10" x14ac:dyDescent="0.25">
      <c r="A63" s="121" t="s">
        <v>1052</v>
      </c>
      <c r="B63" s="191">
        <v>54191.5</v>
      </c>
      <c r="C63" s="191">
        <v>222</v>
      </c>
      <c r="D63" s="191"/>
      <c r="E63" s="122">
        <v>0</v>
      </c>
      <c r="F63" s="122">
        <v>1022593.6050000001</v>
      </c>
      <c r="G63" s="122">
        <v>12266513</v>
      </c>
      <c r="H63" s="122">
        <v>13265513</v>
      </c>
      <c r="I63" s="122">
        <v>13931513</v>
      </c>
      <c r="J63" s="79" t="str">
        <f>VLOOKUP(A63,Table1[[Unit Number]:[NO. OF BEDROOMS]],2,FALSE)</f>
        <v>3 BEDROOM + LIVING</v>
      </c>
    </row>
    <row r="64" spans="1:10" x14ac:dyDescent="0.25">
      <c r="A64" s="121" t="s">
        <v>1061</v>
      </c>
      <c r="B64" s="191">
        <v>54162</v>
      </c>
      <c r="C64" s="191">
        <v>155</v>
      </c>
      <c r="D64" s="191"/>
      <c r="E64" s="122">
        <v>0</v>
      </c>
      <c r="F64" s="122">
        <v>713584.35000000009</v>
      </c>
      <c r="G64" s="122">
        <v>8631110</v>
      </c>
      <c r="H64" s="122">
        <v>9328610</v>
      </c>
      <c r="I64" s="122">
        <v>9793610</v>
      </c>
      <c r="J64" s="79" t="str">
        <f>VLOOKUP(A64,Table1[[Unit Number]:[NO. OF BEDROOMS]],2,FALSE)</f>
        <v>3 BEDROOM</v>
      </c>
    </row>
    <row r="65" spans="1:10" x14ac:dyDescent="0.25">
      <c r="A65" s="121" t="s">
        <v>1072</v>
      </c>
      <c r="B65" s="191">
        <v>54162</v>
      </c>
      <c r="C65" s="191">
        <v>155</v>
      </c>
      <c r="D65" s="191"/>
      <c r="E65" s="122">
        <v>0</v>
      </c>
      <c r="F65" s="122">
        <v>713584.35000000009</v>
      </c>
      <c r="G65" s="122">
        <v>8631110</v>
      </c>
      <c r="H65" s="122">
        <v>9328610</v>
      </c>
      <c r="I65" s="122">
        <v>9793610</v>
      </c>
      <c r="J65" s="79" t="str">
        <f>VLOOKUP(A65,Table1[[Unit Number]:[NO. OF BEDROOMS]],2,FALSE)</f>
        <v>3 BEDROOM</v>
      </c>
    </row>
    <row r="66" spans="1:10" x14ac:dyDescent="0.25">
      <c r="A66" s="121" t="s">
        <v>1081</v>
      </c>
      <c r="B66" s="191">
        <v>54162</v>
      </c>
      <c r="C66" s="191">
        <v>155</v>
      </c>
      <c r="D66" s="191"/>
      <c r="E66" s="122">
        <v>0</v>
      </c>
      <c r="F66" s="122">
        <v>713584.35000000009</v>
      </c>
      <c r="G66" s="122">
        <v>8631110</v>
      </c>
      <c r="H66" s="122">
        <v>9328610</v>
      </c>
      <c r="I66" s="122">
        <v>9793610</v>
      </c>
      <c r="J66" s="79" t="str">
        <f>VLOOKUP(A66,Table1[[Unit Number]:[NO. OF BEDROOMS]],2,FALSE)</f>
        <v>3 BEDROOM</v>
      </c>
    </row>
    <row r="67" spans="1:10" x14ac:dyDescent="0.25">
      <c r="A67" s="121" t="s">
        <v>634</v>
      </c>
      <c r="B67" s="191">
        <v>52598.5</v>
      </c>
      <c r="C67" s="191">
        <v>108</v>
      </c>
      <c r="D67" s="191"/>
      <c r="E67" s="122">
        <v>0</v>
      </c>
      <c r="F67" s="122">
        <v>482854.23000000004</v>
      </c>
      <c r="G67" s="122">
        <v>5916638</v>
      </c>
      <c r="H67" s="122">
        <v>6402638</v>
      </c>
      <c r="I67" s="122">
        <v>6726638</v>
      </c>
      <c r="J67" s="79" t="str">
        <f>VLOOKUP(A67,Table1[[Unit Number]:[NO. OF BEDROOMS]],2,FALSE)</f>
        <v>2 BEDROOM</v>
      </c>
    </row>
    <row r="68" spans="1:10" x14ac:dyDescent="0.25">
      <c r="A68" s="121" t="s">
        <v>1086</v>
      </c>
      <c r="B68" s="191">
        <v>54162</v>
      </c>
      <c r="C68" s="191">
        <v>155</v>
      </c>
      <c r="D68" s="191"/>
      <c r="E68" s="122">
        <v>0</v>
      </c>
      <c r="F68" s="122">
        <v>713584.35000000009</v>
      </c>
      <c r="G68" s="122">
        <v>8631110</v>
      </c>
      <c r="H68" s="122">
        <v>9328610</v>
      </c>
      <c r="I68" s="122">
        <v>9793610</v>
      </c>
      <c r="J68" s="79" t="str">
        <f>VLOOKUP(A68,Table1[[Unit Number]:[NO. OF BEDROOMS]],2,FALSE)</f>
        <v>3 BEDROOM</v>
      </c>
    </row>
    <row r="69" spans="1:10" x14ac:dyDescent="0.25">
      <c r="A69" s="121" t="s">
        <v>645</v>
      </c>
      <c r="B69" s="191">
        <v>52598.5</v>
      </c>
      <c r="C69" s="191">
        <v>157</v>
      </c>
      <c r="D69" s="191"/>
      <c r="E69" s="122">
        <v>0</v>
      </c>
      <c r="F69" s="122">
        <v>701926.98250000004</v>
      </c>
      <c r="G69" s="122">
        <v>8493964.5</v>
      </c>
      <c r="H69" s="122">
        <v>9200464.5</v>
      </c>
      <c r="I69" s="122">
        <v>9671464.5</v>
      </c>
      <c r="J69" s="79" t="str">
        <f>VLOOKUP(A69,Table1[[Unit Number]:[NO. OF BEDROOMS]],2,FALSE)</f>
        <v>3 BEDROOM</v>
      </c>
    </row>
    <row r="70" spans="1:10" x14ac:dyDescent="0.25">
      <c r="A70" s="121" t="s">
        <v>1096</v>
      </c>
      <c r="B70" s="191">
        <v>54162</v>
      </c>
      <c r="C70" s="191">
        <v>155</v>
      </c>
      <c r="D70" s="191"/>
      <c r="E70" s="122">
        <v>0</v>
      </c>
      <c r="F70" s="122">
        <v>713584.35000000009</v>
      </c>
      <c r="G70" s="122">
        <v>8631110</v>
      </c>
      <c r="H70" s="122">
        <v>9328610</v>
      </c>
      <c r="I70" s="122">
        <v>9793610</v>
      </c>
      <c r="J70" s="79" t="str">
        <f>VLOOKUP(A70,Table1[[Unit Number]:[NO. OF BEDROOMS]],2,FALSE)</f>
        <v>3 BEDROOM</v>
      </c>
    </row>
    <row r="71" spans="1:10" x14ac:dyDescent="0.25">
      <c r="A71" s="121" t="s">
        <v>660</v>
      </c>
      <c r="B71" s="191">
        <v>52628</v>
      </c>
      <c r="C71" s="191">
        <v>155</v>
      </c>
      <c r="D71" s="191"/>
      <c r="E71" s="122">
        <v>0</v>
      </c>
      <c r="F71" s="122">
        <v>693373.9</v>
      </c>
      <c r="G71" s="122">
        <v>8393340</v>
      </c>
      <c r="H71" s="122">
        <v>9090840</v>
      </c>
      <c r="I71" s="122">
        <v>9555840</v>
      </c>
      <c r="J71" s="79" t="str">
        <f>VLOOKUP(A71,Table1[[Unit Number]:[NO. OF BEDROOMS]],2,FALSE)</f>
        <v>3 BEDROOM</v>
      </c>
    </row>
    <row r="72" spans="1:10" x14ac:dyDescent="0.25">
      <c r="A72" s="121" t="s">
        <v>1107</v>
      </c>
      <c r="B72" s="191">
        <v>54162</v>
      </c>
      <c r="C72" s="191">
        <v>155</v>
      </c>
      <c r="D72" s="191"/>
      <c r="E72" s="122">
        <v>0</v>
      </c>
      <c r="F72" s="122">
        <v>713584.35000000009</v>
      </c>
      <c r="G72" s="122">
        <v>8631110</v>
      </c>
      <c r="H72" s="122">
        <v>9328610</v>
      </c>
      <c r="I72" s="122">
        <v>9793610</v>
      </c>
      <c r="J72" s="79" t="str">
        <f>VLOOKUP(A72,Table1[[Unit Number]:[NO. OF BEDROOMS]],2,FALSE)</f>
        <v>3 BEDROOM</v>
      </c>
    </row>
    <row r="73" spans="1:10" x14ac:dyDescent="0.25">
      <c r="A73" s="121" t="s">
        <v>667</v>
      </c>
      <c r="B73" s="191">
        <v>54309.5</v>
      </c>
      <c r="C73" s="191">
        <v>160</v>
      </c>
      <c r="D73" s="191"/>
      <c r="E73" s="122">
        <v>0</v>
      </c>
      <c r="F73" s="122">
        <v>738609.20000000007</v>
      </c>
      <c r="G73" s="122">
        <v>8925520</v>
      </c>
      <c r="H73" s="122">
        <v>9645520</v>
      </c>
      <c r="I73" s="122">
        <v>10125520</v>
      </c>
      <c r="J73" s="79" t="str">
        <f>VLOOKUP(A73,Table1[[Unit Number]:[NO. OF BEDROOMS]],2,FALSE)</f>
        <v>3 BEDROOM</v>
      </c>
    </row>
    <row r="74" spans="1:10" x14ac:dyDescent="0.25">
      <c r="A74" s="121" t="s">
        <v>1116</v>
      </c>
      <c r="B74" s="191">
        <v>52392</v>
      </c>
      <c r="C74" s="191">
        <v>155</v>
      </c>
      <c r="D74" s="191"/>
      <c r="E74" s="122">
        <v>0</v>
      </c>
      <c r="F74" s="122">
        <v>690264.60000000009</v>
      </c>
      <c r="G74" s="122">
        <v>8356760</v>
      </c>
      <c r="H74" s="122">
        <v>9054260</v>
      </c>
      <c r="I74" s="122">
        <v>9519260</v>
      </c>
      <c r="J74" s="79" t="str">
        <f>VLOOKUP(A74,Table1[[Unit Number]:[NO. OF BEDROOMS]],2,FALSE)</f>
        <v>3 BEDROOM</v>
      </c>
    </row>
    <row r="75" spans="1:10" x14ac:dyDescent="0.25">
      <c r="A75" s="121" t="s">
        <v>1120</v>
      </c>
      <c r="B75" s="191">
        <v>54162</v>
      </c>
      <c r="C75" s="191">
        <v>155</v>
      </c>
      <c r="D75" s="191"/>
      <c r="E75" s="122">
        <v>0</v>
      </c>
      <c r="F75" s="122">
        <v>713584.35000000009</v>
      </c>
      <c r="G75" s="122">
        <v>8631110</v>
      </c>
      <c r="H75" s="122">
        <v>9328610</v>
      </c>
      <c r="I75" s="122">
        <v>9793610</v>
      </c>
      <c r="J75" s="79" t="str">
        <f>VLOOKUP(A75,Table1[[Unit Number]:[NO. OF BEDROOMS]],2,FALSE)</f>
        <v>3 BEDROOM</v>
      </c>
    </row>
    <row r="76" spans="1:10" x14ac:dyDescent="0.25">
      <c r="A76" s="121" t="s">
        <v>676</v>
      </c>
      <c r="B76" s="191">
        <v>52598.5</v>
      </c>
      <c r="C76" s="191">
        <v>108</v>
      </c>
      <c r="D76" s="191"/>
      <c r="E76" s="122">
        <v>0</v>
      </c>
      <c r="F76" s="122">
        <v>482854.23000000004</v>
      </c>
      <c r="G76" s="122">
        <v>5916638</v>
      </c>
      <c r="H76" s="122">
        <v>6402638</v>
      </c>
      <c r="I76" s="122">
        <v>6726638</v>
      </c>
      <c r="J76" s="79" t="str">
        <f>VLOOKUP(A76,Table1[[Unit Number]:[NO. OF BEDROOMS]],2,FALSE)</f>
        <v>2 BEDROOM</v>
      </c>
    </row>
    <row r="77" spans="1:10" x14ac:dyDescent="0.25">
      <c r="A77" s="121" t="s">
        <v>1124</v>
      </c>
      <c r="B77" s="191">
        <v>54162</v>
      </c>
      <c r="C77" s="191">
        <v>155</v>
      </c>
      <c r="D77" s="191"/>
      <c r="E77" s="122">
        <v>0</v>
      </c>
      <c r="F77" s="122">
        <v>713584.35000000009</v>
      </c>
      <c r="G77" s="122">
        <v>8631110</v>
      </c>
      <c r="H77" s="122">
        <v>9328610</v>
      </c>
      <c r="I77" s="122">
        <v>9793610</v>
      </c>
      <c r="J77" s="79" t="str">
        <f>VLOOKUP(A77,Table1[[Unit Number]:[NO. OF BEDROOMS]],2,FALSE)</f>
        <v>3 BEDROOM</v>
      </c>
    </row>
    <row r="78" spans="1:10" x14ac:dyDescent="0.25">
      <c r="A78" s="121" t="s">
        <v>683</v>
      </c>
      <c r="B78" s="191">
        <v>52657.5</v>
      </c>
      <c r="C78" s="191">
        <v>158</v>
      </c>
      <c r="D78" s="191"/>
      <c r="E78" s="122">
        <v>0</v>
      </c>
      <c r="F78" s="122">
        <v>707190.22500000009</v>
      </c>
      <c r="G78" s="122">
        <v>8555885</v>
      </c>
      <c r="H78" s="122">
        <v>9266885</v>
      </c>
      <c r="I78" s="122">
        <v>9740885</v>
      </c>
      <c r="J78" s="79" t="str">
        <f>VLOOKUP(A78,Table1[[Unit Number]:[NO. OF BEDROOMS]],2,FALSE)</f>
        <v>3 BEDROOM</v>
      </c>
    </row>
    <row r="79" spans="1:10" x14ac:dyDescent="0.25">
      <c r="A79" s="121" t="s">
        <v>689</v>
      </c>
      <c r="B79" s="191">
        <v>52598.5</v>
      </c>
      <c r="C79" s="191">
        <v>108</v>
      </c>
      <c r="D79" s="191"/>
      <c r="E79" s="122">
        <v>0</v>
      </c>
      <c r="F79" s="122">
        <v>482854.23000000004</v>
      </c>
      <c r="G79" s="122">
        <v>5916638</v>
      </c>
      <c r="H79" s="122">
        <v>6402638</v>
      </c>
      <c r="I79" s="122">
        <v>6726638</v>
      </c>
      <c r="J79" s="79" t="str">
        <f>VLOOKUP(A79,Table1[[Unit Number]:[NO. OF BEDROOMS]],2,FALSE)</f>
        <v>2 BEDROOM</v>
      </c>
    </row>
    <row r="80" spans="1:10" x14ac:dyDescent="0.25">
      <c r="A80" s="121" t="s">
        <v>1132</v>
      </c>
      <c r="B80" s="191">
        <v>54103</v>
      </c>
      <c r="C80" s="191">
        <v>160</v>
      </c>
      <c r="D80" s="191"/>
      <c r="E80" s="122">
        <v>0</v>
      </c>
      <c r="F80" s="122">
        <v>735800.8</v>
      </c>
      <c r="G80" s="122">
        <v>8892480</v>
      </c>
      <c r="H80" s="122">
        <v>9612480</v>
      </c>
      <c r="I80" s="122">
        <v>10092480</v>
      </c>
      <c r="J80" s="79" t="str">
        <f>VLOOKUP(A80,Table1[[Unit Number]:[NO. OF BEDROOMS]],2,FALSE)</f>
        <v>3 BEDROOM</v>
      </c>
    </row>
    <row r="81" spans="1:10" x14ac:dyDescent="0.25">
      <c r="A81" s="121" t="s">
        <v>1133</v>
      </c>
      <c r="B81" s="191">
        <v>54162</v>
      </c>
      <c r="C81" s="191">
        <v>155</v>
      </c>
      <c r="D81" s="191"/>
      <c r="E81" s="122">
        <v>0</v>
      </c>
      <c r="F81" s="122">
        <v>713584.35000000009</v>
      </c>
      <c r="G81" s="122">
        <v>8631110</v>
      </c>
      <c r="H81" s="122">
        <v>9328610</v>
      </c>
      <c r="I81" s="122">
        <v>9793610</v>
      </c>
      <c r="J81" s="79" t="str">
        <f>VLOOKUP(A81,Table1[[Unit Number]:[NO. OF BEDROOMS]],2,FALSE)</f>
        <v>3 BEDROOM</v>
      </c>
    </row>
    <row r="82" spans="1:10" x14ac:dyDescent="0.25">
      <c r="A82" s="121" t="s">
        <v>702</v>
      </c>
      <c r="B82" s="191">
        <v>52598.5</v>
      </c>
      <c r="C82" s="191">
        <v>108</v>
      </c>
      <c r="D82" s="191"/>
      <c r="E82" s="122">
        <v>0</v>
      </c>
      <c r="F82" s="122">
        <v>482854.23000000004</v>
      </c>
      <c r="G82" s="122">
        <v>5916638</v>
      </c>
      <c r="H82" s="122">
        <v>6402638</v>
      </c>
      <c r="I82" s="122">
        <v>6726638</v>
      </c>
      <c r="J82" s="79" t="str">
        <f>VLOOKUP(A82,Table1[[Unit Number]:[NO. OF BEDROOMS]],2,FALSE)</f>
        <v>2 BEDROOM</v>
      </c>
    </row>
    <row r="83" spans="1:10" x14ac:dyDescent="0.25">
      <c r="A83" s="121" t="s">
        <v>1140</v>
      </c>
      <c r="B83" s="191">
        <v>54162</v>
      </c>
      <c r="C83" s="191">
        <v>155</v>
      </c>
      <c r="D83" s="191"/>
      <c r="E83" s="122">
        <v>0</v>
      </c>
      <c r="F83" s="122">
        <v>713584.35000000009</v>
      </c>
      <c r="G83" s="122">
        <v>8631110</v>
      </c>
      <c r="H83" s="122">
        <v>9328610</v>
      </c>
      <c r="I83" s="122">
        <v>9793610</v>
      </c>
      <c r="J83" s="79" t="str">
        <f>VLOOKUP(A83,Table1[[Unit Number]:[NO. OF BEDROOMS]],2,FALSE)</f>
        <v>3 BEDROOM</v>
      </c>
    </row>
    <row r="84" spans="1:10" x14ac:dyDescent="0.25">
      <c r="A84" s="121" t="s">
        <v>706</v>
      </c>
      <c r="B84" s="191">
        <v>52657.5</v>
      </c>
      <c r="C84" s="191">
        <v>158</v>
      </c>
      <c r="D84" s="191"/>
      <c r="E84" s="122">
        <v>0</v>
      </c>
      <c r="F84" s="122">
        <v>707190.22500000009</v>
      </c>
      <c r="G84" s="122">
        <v>8555885</v>
      </c>
      <c r="H84" s="122">
        <v>9266885</v>
      </c>
      <c r="I84" s="122">
        <v>9740885</v>
      </c>
      <c r="J84" s="79" t="str">
        <f>VLOOKUP(A84,Table1[[Unit Number]:[NO. OF BEDROOMS]],2,FALSE)</f>
        <v>3 BEDROOM</v>
      </c>
    </row>
    <row r="85" spans="1:10" x14ac:dyDescent="0.25">
      <c r="A85" s="121" t="s">
        <v>709</v>
      </c>
      <c r="B85" s="122">
        <v>3541250.8000000003</v>
      </c>
      <c r="C85" s="122">
        <v>10476</v>
      </c>
      <c r="D85" s="122">
        <v>550.48659999999995</v>
      </c>
      <c r="E85" s="122">
        <v>9824030.1878531985</v>
      </c>
      <c r="F85" s="122">
        <v>48750295.878467523</v>
      </c>
      <c r="G85" s="122">
        <v>589108892.6878531</v>
      </c>
      <c r="H85" s="122">
        <v>636250892.6878531</v>
      </c>
      <c r="I85" s="122">
        <v>667678892.68785322</v>
      </c>
    </row>
    <row r="86" spans="1:10" x14ac:dyDescent="0.25">
      <c r="A86"/>
      <c r="B86"/>
      <c r="C86"/>
      <c r="D86"/>
      <c r="E86"/>
      <c r="F86"/>
      <c r="G86"/>
      <c r="H86"/>
      <c r="I86"/>
      <c r="J86" s="79" t="e">
        <f>VLOOKUP(A86,Table1[[Unit Number]:[NO. OF BEDROOMS]],2,FALSE)</f>
        <v>#N/A</v>
      </c>
    </row>
    <row r="87" spans="1:10" x14ac:dyDescent="0.25">
      <c r="A87"/>
      <c r="B87"/>
      <c r="C87"/>
      <c r="D87"/>
      <c r="E87"/>
      <c r="F87"/>
      <c r="G87"/>
      <c r="H87"/>
      <c r="I87"/>
      <c r="J87" s="79" t="e">
        <f>VLOOKUP(A87,Table1[[Unit Number]:[NO. OF BEDROOMS]],2,FALSE)</f>
        <v>#N/A</v>
      </c>
    </row>
    <row r="88" spans="1:10" x14ac:dyDescent="0.25">
      <c r="A88"/>
      <c r="B88"/>
      <c r="C88"/>
      <c r="D88"/>
      <c r="E88"/>
      <c r="F88"/>
      <c r="G88"/>
      <c r="H88"/>
      <c r="I88"/>
      <c r="J88" s="79" t="e">
        <f>VLOOKUP(A88,Table1[[Unit Number]:[NO. OF BEDROOMS]],2,FALSE)</f>
        <v>#N/A</v>
      </c>
    </row>
    <row r="89" spans="1:10" x14ac:dyDescent="0.25">
      <c r="A89"/>
      <c r="B89"/>
      <c r="C89"/>
      <c r="D89"/>
      <c r="E89"/>
      <c r="F89"/>
      <c r="G89"/>
      <c r="H89"/>
      <c r="I89"/>
      <c r="J89" s="79" t="e">
        <f>VLOOKUP(A89,Table1[[Unit Number]:[NO. OF BEDROOMS]],2,FALSE)</f>
        <v>#N/A</v>
      </c>
    </row>
    <row r="90" spans="1:10" x14ac:dyDescent="0.25">
      <c r="A90"/>
      <c r="B90"/>
      <c r="C90"/>
      <c r="D90"/>
      <c r="E90"/>
      <c r="F90"/>
      <c r="G90"/>
      <c r="H90"/>
      <c r="I90"/>
      <c r="J90" s="79" t="e">
        <f>VLOOKUP(A90,Table1[[Unit Number]:[NO. OF BEDROOMS]],2,FALSE)</f>
        <v>#N/A</v>
      </c>
    </row>
    <row r="91" spans="1:10" x14ac:dyDescent="0.25">
      <c r="A91"/>
      <c r="B91"/>
      <c r="C91"/>
      <c r="D91"/>
      <c r="E91"/>
      <c r="F91"/>
      <c r="G91"/>
      <c r="H91"/>
      <c r="I91"/>
      <c r="J91" s="79" t="e">
        <f>VLOOKUP(A91,Table1[[Unit Number]:[NO. OF BEDROOMS]],2,FALSE)</f>
        <v>#N/A</v>
      </c>
    </row>
    <row r="92" spans="1:10" x14ac:dyDescent="0.25">
      <c r="A92"/>
      <c r="B92"/>
      <c r="C92"/>
      <c r="D92"/>
      <c r="E92"/>
      <c r="F92"/>
      <c r="G92"/>
      <c r="H92"/>
      <c r="I92"/>
      <c r="J92" s="79" t="e">
        <f>VLOOKUP(A92,Table1[[Unit Number]:[NO. OF BEDROOMS]],2,FALSE)</f>
        <v>#N/A</v>
      </c>
    </row>
    <row r="93" spans="1:10" x14ac:dyDescent="0.25">
      <c r="A93"/>
      <c r="B93"/>
      <c r="C93"/>
      <c r="D93"/>
      <c r="E93"/>
      <c r="F93"/>
      <c r="G93"/>
      <c r="H93"/>
      <c r="I93"/>
      <c r="J93" s="79" t="e">
        <f>VLOOKUP(A93,Table1[[Unit Number]:[NO. OF BEDROOMS]],2,FALSE)</f>
        <v>#N/A</v>
      </c>
    </row>
    <row r="94" spans="1:10" x14ac:dyDescent="0.25">
      <c r="A94"/>
      <c r="B94"/>
      <c r="C94"/>
      <c r="D94"/>
      <c r="E94"/>
      <c r="F94"/>
      <c r="G94"/>
      <c r="H94"/>
      <c r="I94"/>
      <c r="J94" s="79" t="e">
        <f>VLOOKUP(A94,Table1[[Unit Number]:[NO. OF BEDROOMS]],2,FALSE)</f>
        <v>#N/A</v>
      </c>
    </row>
    <row r="95" spans="1:10" x14ac:dyDescent="0.25">
      <c r="A95"/>
      <c r="B95"/>
      <c r="C95"/>
      <c r="D95"/>
      <c r="E95"/>
      <c r="F95"/>
      <c r="G95"/>
      <c r="H95"/>
      <c r="I95"/>
      <c r="J95" s="79" t="e">
        <f>VLOOKUP(A95,Table1[[Unit Number]:[NO. OF BEDROOMS]],2,FALSE)</f>
        <v>#N/A</v>
      </c>
    </row>
    <row r="96" spans="1:10" x14ac:dyDescent="0.25">
      <c r="A96"/>
      <c r="B96"/>
      <c r="C96"/>
      <c r="D96"/>
      <c r="E96"/>
      <c r="F96"/>
      <c r="G96"/>
      <c r="H96"/>
      <c r="I96"/>
      <c r="J96" s="79" t="e">
        <f>VLOOKUP(A96,Table1[[Unit Number]:[NO. OF BEDROOMS]],2,FALSE)</f>
        <v>#N/A</v>
      </c>
    </row>
    <row r="97" spans="1:10" x14ac:dyDescent="0.25">
      <c r="A97"/>
      <c r="B97"/>
      <c r="C97"/>
      <c r="D97"/>
      <c r="E97"/>
      <c r="F97"/>
      <c r="G97"/>
      <c r="H97"/>
      <c r="I97"/>
      <c r="J97" s="79" t="e">
        <f>VLOOKUP(A97,Table1[[Unit Number]:[NO. OF BEDROOMS]],2,FALSE)</f>
        <v>#N/A</v>
      </c>
    </row>
    <row r="98" spans="1:10" x14ac:dyDescent="0.25">
      <c r="A98"/>
      <c r="B98"/>
      <c r="C98"/>
      <c r="D98"/>
      <c r="E98"/>
      <c r="F98"/>
      <c r="G98"/>
      <c r="H98"/>
      <c r="I98"/>
      <c r="J98" s="79" t="e">
        <f>VLOOKUP(A98,Table1[[Unit Number]:[NO. OF BEDROOMS]],2,FALSE)</f>
        <v>#N/A</v>
      </c>
    </row>
    <row r="99" spans="1:10" x14ac:dyDescent="0.25">
      <c r="A99"/>
      <c r="B99"/>
      <c r="C99"/>
      <c r="D99"/>
      <c r="E99"/>
      <c r="F99"/>
      <c r="G99"/>
      <c r="H99"/>
      <c r="I99"/>
      <c r="J99" s="79" t="e">
        <f>VLOOKUP(A99,Table1[[Unit Number]:[NO. OF BEDROOMS]],2,FALSE)</f>
        <v>#N/A</v>
      </c>
    </row>
    <row r="100" spans="1:10" x14ac:dyDescent="0.25">
      <c r="A100"/>
      <c r="B100"/>
      <c r="C100"/>
      <c r="D100"/>
      <c r="E100"/>
      <c r="F100"/>
      <c r="G100"/>
      <c r="H100"/>
      <c r="I100"/>
      <c r="J100" s="79" t="e">
        <f>VLOOKUP(A100,Table1[[Unit Number]:[NO. OF BEDROOMS]],2,FALSE)</f>
        <v>#N/A</v>
      </c>
    </row>
    <row r="101" spans="1:10" x14ac:dyDescent="0.25">
      <c r="A101"/>
      <c r="B101"/>
      <c r="C101"/>
      <c r="D101"/>
      <c r="E101"/>
      <c r="F101"/>
      <c r="G101"/>
      <c r="H101"/>
      <c r="I101"/>
      <c r="J101" s="79" t="e">
        <f>VLOOKUP(A101,Table1[[Unit Number]:[NO. OF BEDROOMS]],2,FALSE)</f>
        <v>#N/A</v>
      </c>
    </row>
    <row r="102" spans="1:10" x14ac:dyDescent="0.25">
      <c r="A102"/>
      <c r="B102"/>
      <c r="C102"/>
      <c r="D102"/>
      <c r="E102"/>
      <c r="F102"/>
      <c r="G102"/>
      <c r="H102"/>
      <c r="I102"/>
      <c r="J102" s="79" t="e">
        <f>VLOOKUP(A102,Table1[[Unit Number]:[NO. OF BEDROOMS]],2,FALSE)</f>
        <v>#N/A</v>
      </c>
    </row>
    <row r="103" spans="1:10" x14ac:dyDescent="0.25">
      <c r="A103"/>
      <c r="B103"/>
      <c r="C103"/>
      <c r="D103"/>
      <c r="E103"/>
      <c r="F103"/>
      <c r="G103"/>
      <c r="H103"/>
      <c r="I103"/>
      <c r="J103" s="79" t="e">
        <f>VLOOKUP(A103,Table1[[Unit Number]:[NO. OF BEDROOMS]],2,FALSE)</f>
        <v>#N/A</v>
      </c>
    </row>
    <row r="104" spans="1:10" x14ac:dyDescent="0.25">
      <c r="A104"/>
      <c r="B104"/>
      <c r="C104"/>
      <c r="D104"/>
      <c r="E104"/>
      <c r="F104"/>
      <c r="G104"/>
      <c r="H104"/>
      <c r="I104"/>
      <c r="J104" s="79" t="e">
        <f>VLOOKUP(A104,Table1[[Unit Number]:[NO. OF BEDROOMS]],2,FALSE)</f>
        <v>#N/A</v>
      </c>
    </row>
    <row r="105" spans="1:10" x14ac:dyDescent="0.25">
      <c r="A105"/>
      <c r="B105"/>
      <c r="C105"/>
      <c r="D105"/>
      <c r="E105"/>
      <c r="F105"/>
      <c r="G105"/>
      <c r="H105"/>
      <c r="I105"/>
      <c r="J105" s="79" t="e">
        <f>VLOOKUP(A105,Table1[[Unit Number]:[NO. OF BEDROOMS]],2,FALSE)</f>
        <v>#N/A</v>
      </c>
    </row>
    <row r="106" spans="1:10" x14ac:dyDescent="0.25">
      <c r="A106"/>
      <c r="B106"/>
      <c r="C106"/>
      <c r="D106"/>
      <c r="E106"/>
      <c r="F106"/>
      <c r="G106"/>
      <c r="H106"/>
      <c r="I106"/>
      <c r="J106" s="79" t="e">
        <f>VLOOKUP(A106,Table1[[Unit Number]:[NO. OF BEDROOMS]],2,FALSE)</f>
        <v>#N/A</v>
      </c>
    </row>
    <row r="107" spans="1:10" x14ac:dyDescent="0.25">
      <c r="A107"/>
      <c r="B107"/>
      <c r="C107"/>
      <c r="D107"/>
      <c r="E107"/>
      <c r="F107"/>
      <c r="G107"/>
      <c r="H107"/>
      <c r="I107"/>
      <c r="J107" s="79" t="e">
        <f>VLOOKUP(A107,Table1[[Unit Number]:[NO. OF BEDROOMS]],2,FALSE)</f>
        <v>#N/A</v>
      </c>
    </row>
    <row r="108" spans="1:10" x14ac:dyDescent="0.25">
      <c r="A108"/>
      <c r="B108"/>
      <c r="C108"/>
      <c r="D108"/>
      <c r="E108"/>
      <c r="F108"/>
      <c r="G108"/>
      <c r="H108"/>
      <c r="I108"/>
      <c r="J108" s="79" t="e">
        <f>VLOOKUP(A108,Table1[[Unit Number]:[NO. OF BEDROOMS]],2,FALSE)</f>
        <v>#N/A</v>
      </c>
    </row>
    <row r="109" spans="1:10" x14ac:dyDescent="0.25">
      <c r="A109"/>
      <c r="B109"/>
      <c r="C109"/>
      <c r="D109"/>
      <c r="E109"/>
      <c r="F109"/>
      <c r="G109"/>
      <c r="H109"/>
      <c r="I109"/>
      <c r="J109" s="79" t="e">
        <f>VLOOKUP(A109,Table1[[Unit Number]:[NO. OF BEDROOMS]],2,FALSE)</f>
        <v>#N/A</v>
      </c>
    </row>
    <row r="110" spans="1:10" x14ac:dyDescent="0.25">
      <c r="A110"/>
      <c r="B110"/>
      <c r="C110"/>
      <c r="D110"/>
      <c r="E110"/>
      <c r="F110"/>
      <c r="G110"/>
      <c r="H110"/>
      <c r="I110"/>
      <c r="J110" s="79" t="e">
        <f>VLOOKUP(A110,Table1[[Unit Number]:[NO. OF BEDROOMS]],2,FALSE)</f>
        <v>#N/A</v>
      </c>
    </row>
    <row r="111" spans="1:10" x14ac:dyDescent="0.25">
      <c r="A111"/>
      <c r="B111"/>
      <c r="C111"/>
      <c r="D111"/>
      <c r="E111"/>
      <c r="F111"/>
      <c r="G111"/>
      <c r="H111"/>
      <c r="I111"/>
      <c r="J111" s="79" t="e">
        <f>VLOOKUP(A111,Table1[[Unit Number]:[NO. OF BEDROOMS]],2,FALSE)</f>
        <v>#N/A</v>
      </c>
    </row>
    <row r="112" spans="1:10" x14ac:dyDescent="0.25">
      <c r="A112"/>
      <c r="B112"/>
      <c r="C112"/>
      <c r="D112"/>
      <c r="E112"/>
      <c r="F112"/>
      <c r="G112"/>
      <c r="H112"/>
      <c r="I112"/>
      <c r="J112" s="79" t="e">
        <f>VLOOKUP(A112,Table1[[Unit Number]:[NO. OF BEDROOMS]],2,FALSE)</f>
        <v>#N/A</v>
      </c>
    </row>
    <row r="113" spans="1:10" x14ac:dyDescent="0.25">
      <c r="A113"/>
      <c r="B113"/>
      <c r="C113"/>
      <c r="D113"/>
      <c r="E113"/>
      <c r="F113"/>
      <c r="G113"/>
      <c r="H113"/>
      <c r="I113"/>
      <c r="J113" s="79" t="e">
        <f>VLOOKUP(A113,Table1[[Unit Number]:[NO. OF BEDROOMS]],2,FALSE)</f>
        <v>#N/A</v>
      </c>
    </row>
    <row r="114" spans="1:10" x14ac:dyDescent="0.25">
      <c r="A114"/>
      <c r="B114"/>
      <c r="C114"/>
      <c r="D114"/>
      <c r="E114"/>
      <c r="F114"/>
      <c r="G114"/>
      <c r="H114"/>
      <c r="I114"/>
      <c r="J114" s="79" t="e">
        <f>VLOOKUP(A114,Table1[[Unit Number]:[NO. OF BEDROOMS]],2,FALSE)</f>
        <v>#N/A</v>
      </c>
    </row>
    <row r="115" spans="1:10" x14ac:dyDescent="0.25">
      <c r="A115"/>
      <c r="B115"/>
      <c r="C115"/>
      <c r="D115"/>
      <c r="E115"/>
      <c r="F115"/>
      <c r="G115"/>
      <c r="H115"/>
      <c r="I115"/>
      <c r="J115" s="79" t="e">
        <f>VLOOKUP(A115,Table1[[Unit Number]:[NO. OF BEDROOMS]],2,FALSE)</f>
        <v>#N/A</v>
      </c>
    </row>
    <row r="116" spans="1:10" x14ac:dyDescent="0.25">
      <c r="A116"/>
      <c r="B116"/>
      <c r="C116"/>
      <c r="D116"/>
      <c r="E116"/>
      <c r="F116"/>
      <c r="G116"/>
      <c r="H116"/>
      <c r="I116"/>
      <c r="J116" s="79" t="e">
        <f>VLOOKUP(A116,Table1[[Unit Number]:[NO. OF BEDROOMS]],2,FALSE)</f>
        <v>#N/A</v>
      </c>
    </row>
    <row r="117" spans="1:10" x14ac:dyDescent="0.25">
      <c r="A117"/>
      <c r="B117"/>
      <c r="C117"/>
      <c r="D117"/>
      <c r="E117"/>
      <c r="F117"/>
      <c r="G117"/>
      <c r="H117"/>
      <c r="I117"/>
      <c r="J117" s="79" t="e">
        <f>VLOOKUP(A117,Table1[[Unit Number]:[NO. OF BEDROOMS]],2,FALSE)</f>
        <v>#N/A</v>
      </c>
    </row>
    <row r="118" spans="1:10" x14ac:dyDescent="0.25">
      <c r="A118"/>
      <c r="B118"/>
      <c r="C118"/>
      <c r="D118"/>
      <c r="E118"/>
      <c r="F118"/>
      <c r="G118"/>
      <c r="H118"/>
      <c r="I118"/>
      <c r="J118" s="79" t="e">
        <f>VLOOKUP(A118,Table1[[Unit Number]:[NO. OF BEDROOMS]],2,FALSE)</f>
        <v>#N/A</v>
      </c>
    </row>
    <row r="119" spans="1:10" x14ac:dyDescent="0.25">
      <c r="A119"/>
      <c r="B119"/>
      <c r="C119"/>
      <c r="D119"/>
      <c r="E119"/>
      <c r="F119"/>
      <c r="G119"/>
      <c r="H119"/>
      <c r="I119"/>
      <c r="J119" s="79" t="e">
        <f>VLOOKUP(A119,Table1[[Unit Number]:[NO. OF BEDROOMS]],2,FALSE)</f>
        <v>#N/A</v>
      </c>
    </row>
    <row r="120" spans="1:10" x14ac:dyDescent="0.25">
      <c r="A120"/>
      <c r="B120"/>
      <c r="C120"/>
      <c r="D120"/>
      <c r="E120"/>
      <c r="F120"/>
      <c r="G120"/>
      <c r="H120"/>
      <c r="I120"/>
      <c r="J120" s="79" t="e">
        <f>VLOOKUP(A120,Table1[[Unit Number]:[NO. OF BEDROOMS]],2,FALSE)</f>
        <v>#N/A</v>
      </c>
    </row>
    <row r="121" spans="1:10" x14ac:dyDescent="0.25">
      <c r="A121"/>
      <c r="B121"/>
      <c r="C121"/>
      <c r="D121"/>
      <c r="E121"/>
      <c r="F121"/>
      <c r="G121"/>
      <c r="H121"/>
      <c r="I121"/>
      <c r="J121" s="79" t="e">
        <f>VLOOKUP(A121,Table1[[Unit Number]:[NO. OF BEDROOMS]],2,FALSE)</f>
        <v>#N/A</v>
      </c>
    </row>
    <row r="122" spans="1:10" x14ac:dyDescent="0.25">
      <c r="A122"/>
      <c r="B122"/>
      <c r="C122"/>
      <c r="D122"/>
      <c r="E122"/>
      <c r="F122"/>
      <c r="G122"/>
      <c r="H122"/>
      <c r="I122"/>
      <c r="J122" s="79" t="e">
        <f>VLOOKUP(A122,Table1[[Unit Number]:[NO. OF BEDROOMS]],2,FALSE)</f>
        <v>#N/A</v>
      </c>
    </row>
    <row r="123" spans="1:10" x14ac:dyDescent="0.25">
      <c r="A123"/>
      <c r="B123"/>
      <c r="C123"/>
      <c r="D123"/>
      <c r="E123"/>
      <c r="F123"/>
      <c r="G123"/>
      <c r="H123"/>
      <c r="I123"/>
      <c r="J123" s="79" t="e">
        <f>VLOOKUP(A123,Table1[[Unit Number]:[NO. OF BEDROOMS]],2,FALSE)</f>
        <v>#N/A</v>
      </c>
    </row>
    <row r="124" spans="1:10" x14ac:dyDescent="0.25">
      <c r="A124"/>
      <c r="B124"/>
      <c r="C124"/>
      <c r="D124"/>
      <c r="E124"/>
      <c r="F124"/>
      <c r="G124"/>
      <c r="H124"/>
      <c r="I124"/>
      <c r="J124" s="79" t="e">
        <f>VLOOKUP(A124,Table1[[Unit Number]:[NO. OF BEDROOMS]],2,FALSE)</f>
        <v>#N/A</v>
      </c>
    </row>
    <row r="125" spans="1:10" x14ac:dyDescent="0.25">
      <c r="A125"/>
      <c r="B125"/>
      <c r="C125"/>
      <c r="D125"/>
      <c r="E125"/>
      <c r="F125"/>
      <c r="G125"/>
      <c r="H125"/>
      <c r="I125"/>
      <c r="J125" s="79" t="e">
        <f>VLOOKUP(A125,Table1[[Unit Number]:[NO. OF BEDROOMS]],2,FALSE)</f>
        <v>#N/A</v>
      </c>
    </row>
    <row r="126" spans="1:10" x14ac:dyDescent="0.25">
      <c r="A126"/>
      <c r="B126"/>
      <c r="C126"/>
      <c r="D126"/>
      <c r="E126"/>
      <c r="F126"/>
      <c r="G126"/>
      <c r="H126"/>
      <c r="I126"/>
      <c r="J126" s="79" t="e">
        <f>VLOOKUP(A126,Table1[[Unit Number]:[NO. OF BEDROOMS]],2,FALSE)</f>
        <v>#N/A</v>
      </c>
    </row>
    <row r="127" spans="1:10" x14ac:dyDescent="0.25">
      <c r="A127"/>
      <c r="B127"/>
      <c r="C127"/>
      <c r="D127"/>
      <c r="E127"/>
      <c r="F127"/>
      <c r="G127"/>
      <c r="H127"/>
      <c r="I127"/>
      <c r="J127" s="79" t="e">
        <f>VLOOKUP(A127,Table1[[Unit Number]:[NO. OF BEDROOMS]],2,FALSE)</f>
        <v>#N/A</v>
      </c>
    </row>
    <row r="128" spans="1:10" x14ac:dyDescent="0.25">
      <c r="A128"/>
      <c r="B128"/>
      <c r="C128"/>
      <c r="D128"/>
      <c r="E128"/>
      <c r="F128"/>
      <c r="G128"/>
      <c r="H128"/>
      <c r="I128"/>
      <c r="J128" s="79" t="e">
        <f>VLOOKUP(A128,Table1[[Unit Number]:[NO. OF BEDROOMS]],2,FALSE)</f>
        <v>#N/A</v>
      </c>
    </row>
    <row r="129" spans="1:10" x14ac:dyDescent="0.25">
      <c r="A129"/>
      <c r="B129"/>
      <c r="C129"/>
      <c r="D129"/>
      <c r="E129"/>
      <c r="F129"/>
      <c r="G129"/>
      <c r="H129"/>
      <c r="I129"/>
      <c r="J129" s="79" t="e">
        <f>VLOOKUP(A129,Table1[[Unit Number]:[NO. OF BEDROOMS]],2,FALSE)</f>
        <v>#N/A</v>
      </c>
    </row>
    <row r="130" spans="1:10" x14ac:dyDescent="0.25">
      <c r="A130"/>
      <c r="B130"/>
      <c r="C130"/>
      <c r="D130"/>
      <c r="E130"/>
      <c r="F130"/>
      <c r="G130"/>
      <c r="H130"/>
      <c r="I130"/>
      <c r="J130" s="79" t="e">
        <f>VLOOKUP(A130,Table1[[Unit Number]:[NO. OF BEDROOMS]],2,FALSE)</f>
        <v>#N/A</v>
      </c>
    </row>
    <row r="131" spans="1:10" x14ac:dyDescent="0.25">
      <c r="A131"/>
      <c r="B131"/>
      <c r="C131"/>
      <c r="D131"/>
      <c r="E131"/>
      <c r="F131"/>
      <c r="G131"/>
      <c r="H131"/>
      <c r="I131"/>
      <c r="J131" s="79" t="e">
        <f>VLOOKUP(A131,Table1[[Unit Number]:[NO. OF BEDROOMS]],2,FALSE)</f>
        <v>#N/A</v>
      </c>
    </row>
    <row r="132" spans="1:10" x14ac:dyDescent="0.25">
      <c r="A132"/>
      <c r="B132"/>
      <c r="C132"/>
      <c r="D132"/>
      <c r="E132"/>
      <c r="F132"/>
      <c r="G132"/>
      <c r="H132"/>
      <c r="I132"/>
      <c r="J132" s="79" t="e">
        <f>VLOOKUP(A132,Table1[[Unit Number]:[NO. OF BEDROOMS]],2,FALSE)</f>
        <v>#N/A</v>
      </c>
    </row>
    <row r="133" spans="1:10" x14ac:dyDescent="0.25">
      <c r="A133"/>
      <c r="B133"/>
      <c r="C133"/>
      <c r="D133"/>
      <c r="E133"/>
      <c r="F133"/>
      <c r="G133"/>
      <c r="H133"/>
      <c r="I133"/>
      <c r="J133" s="79" t="e">
        <f>VLOOKUP(A133,Table1[[Unit Number]:[NO. OF BEDROOMS]],2,FALSE)</f>
        <v>#N/A</v>
      </c>
    </row>
    <row r="134" spans="1:10" x14ac:dyDescent="0.25">
      <c r="A134"/>
      <c r="B134"/>
      <c r="C134"/>
      <c r="D134"/>
      <c r="E134"/>
      <c r="F134"/>
      <c r="G134"/>
      <c r="H134"/>
      <c r="I134"/>
      <c r="J134" s="79" t="e">
        <f>VLOOKUP(A134,Table1[[Unit Number]:[NO. OF BEDROOMS]],2,FALSE)</f>
        <v>#N/A</v>
      </c>
    </row>
    <row r="135" spans="1:10" x14ac:dyDescent="0.25">
      <c r="A135"/>
      <c r="B135"/>
      <c r="C135"/>
      <c r="D135"/>
      <c r="E135"/>
      <c r="F135"/>
      <c r="G135"/>
      <c r="H135"/>
      <c r="I135"/>
      <c r="J135" s="79" t="e">
        <f>VLOOKUP(A135,Table1[[Unit Number]:[NO. OF BEDROOMS]],2,FALSE)</f>
        <v>#N/A</v>
      </c>
    </row>
    <row r="136" spans="1:10" x14ac:dyDescent="0.25">
      <c r="A136"/>
      <c r="B136"/>
      <c r="C136"/>
      <c r="D136"/>
      <c r="E136"/>
      <c r="F136"/>
      <c r="G136"/>
      <c r="H136"/>
      <c r="I136"/>
      <c r="J136" s="79" t="e">
        <f>VLOOKUP(A136,Table1[[Unit Number]:[NO. OF BEDROOMS]],2,FALSE)</f>
        <v>#N/A</v>
      </c>
    </row>
    <row r="137" spans="1:10" x14ac:dyDescent="0.25">
      <c r="A137"/>
      <c r="B137"/>
      <c r="C137"/>
      <c r="D137"/>
      <c r="E137"/>
      <c r="F137"/>
      <c r="G137"/>
      <c r="H137"/>
      <c r="I137"/>
      <c r="J137" s="79" t="e">
        <f>VLOOKUP(A137,Table1[[Unit Number]:[NO. OF BEDROOMS]],2,FALSE)</f>
        <v>#N/A</v>
      </c>
    </row>
    <row r="138" spans="1:10" x14ac:dyDescent="0.25">
      <c r="A138"/>
      <c r="B138"/>
      <c r="C138"/>
      <c r="D138"/>
      <c r="E138"/>
      <c r="F138"/>
      <c r="G138"/>
      <c r="H138"/>
      <c r="I138"/>
      <c r="J138" s="79" t="e">
        <f>VLOOKUP(A138,Table1[[Unit Number]:[NO. OF BEDROOMS]],2,FALSE)</f>
        <v>#N/A</v>
      </c>
    </row>
    <row r="139" spans="1:10" x14ac:dyDescent="0.25">
      <c r="A139"/>
      <c r="B139"/>
      <c r="C139"/>
      <c r="D139"/>
      <c r="E139"/>
      <c r="F139"/>
      <c r="G139"/>
      <c r="H139"/>
      <c r="I139"/>
      <c r="J139" s="79" t="e">
        <f>VLOOKUP(A139,Table1[[Unit Number]:[NO. OF BEDROOMS]],2,FALSE)</f>
        <v>#N/A</v>
      </c>
    </row>
    <row r="140" spans="1:10" x14ac:dyDescent="0.25">
      <c r="A140"/>
      <c r="B140"/>
      <c r="C140"/>
      <c r="D140"/>
      <c r="E140"/>
      <c r="F140"/>
      <c r="G140"/>
      <c r="H140"/>
      <c r="I140"/>
      <c r="J140" s="79" t="e">
        <f>VLOOKUP(A140,Table1[[Unit Number]:[NO. OF BEDROOMS]],2,FALSE)</f>
        <v>#N/A</v>
      </c>
    </row>
    <row r="141" spans="1:10" x14ac:dyDescent="0.25">
      <c r="A141"/>
      <c r="B141"/>
      <c r="C141"/>
      <c r="D141"/>
      <c r="E141"/>
      <c r="F141"/>
      <c r="G141"/>
      <c r="H141"/>
      <c r="I141"/>
      <c r="J141" s="79" t="e">
        <f>VLOOKUP(A141,Table1[[Unit Number]:[NO. OF BEDROOMS]],2,FALSE)</f>
        <v>#N/A</v>
      </c>
    </row>
    <row r="142" spans="1:10" x14ac:dyDescent="0.25">
      <c r="A142"/>
      <c r="B142"/>
      <c r="C142"/>
      <c r="D142"/>
      <c r="E142"/>
      <c r="F142"/>
      <c r="G142"/>
      <c r="H142"/>
      <c r="I142"/>
      <c r="J142" s="79" t="e">
        <f>VLOOKUP(A142,Table1[[Unit Number]:[NO. OF BEDROOMS]],2,FALSE)</f>
        <v>#N/A</v>
      </c>
    </row>
    <row r="143" spans="1:10" x14ac:dyDescent="0.25">
      <c r="A143"/>
      <c r="B143"/>
      <c r="C143"/>
      <c r="D143"/>
      <c r="E143"/>
      <c r="F143"/>
      <c r="G143"/>
      <c r="H143"/>
      <c r="I143"/>
      <c r="J143" s="79" t="e">
        <f>VLOOKUP(A143,Table1[[Unit Number]:[NO. OF BEDROOMS]],2,FALSE)</f>
        <v>#N/A</v>
      </c>
    </row>
    <row r="144" spans="1:10" x14ac:dyDescent="0.25">
      <c r="A144"/>
      <c r="B144"/>
      <c r="C144"/>
      <c r="D144"/>
      <c r="E144"/>
      <c r="F144"/>
      <c r="G144"/>
      <c r="H144"/>
      <c r="I144"/>
      <c r="J144" s="79" t="e">
        <f>VLOOKUP(A144,Table1[[Unit Number]:[NO. OF BEDROOMS]],2,FALSE)</f>
        <v>#N/A</v>
      </c>
    </row>
    <row r="145" spans="1:10" x14ac:dyDescent="0.25">
      <c r="A145"/>
      <c r="B145"/>
      <c r="C145"/>
      <c r="D145"/>
      <c r="E145"/>
      <c r="F145"/>
      <c r="G145"/>
      <c r="H145"/>
      <c r="I145"/>
      <c r="J145" s="79" t="e">
        <f>VLOOKUP(A145,Table1[[Unit Number]:[NO. OF BEDROOMS]],2,FALSE)</f>
        <v>#N/A</v>
      </c>
    </row>
    <row r="146" spans="1:10" x14ac:dyDescent="0.25">
      <c r="A146"/>
      <c r="B146"/>
      <c r="C146"/>
      <c r="D146"/>
      <c r="E146"/>
      <c r="F146"/>
      <c r="G146"/>
      <c r="H146"/>
      <c r="I146"/>
      <c r="J146" s="79" t="e">
        <f>VLOOKUP(A146,Table1[[Unit Number]:[NO. OF BEDROOMS]],2,FALSE)</f>
        <v>#N/A</v>
      </c>
    </row>
    <row r="147" spans="1:10" x14ac:dyDescent="0.25">
      <c r="A147"/>
      <c r="B147"/>
      <c r="C147"/>
      <c r="D147"/>
      <c r="E147"/>
      <c r="F147"/>
      <c r="G147"/>
      <c r="H147"/>
      <c r="I147"/>
      <c r="J147" s="79" t="e">
        <f>VLOOKUP(A147,Table1[[Unit Number]:[NO. OF BEDROOMS]],2,FALSE)</f>
        <v>#N/A</v>
      </c>
    </row>
    <row r="148" spans="1:10" x14ac:dyDescent="0.25">
      <c r="A148"/>
      <c r="B148"/>
      <c r="C148"/>
      <c r="D148"/>
      <c r="E148"/>
      <c r="F148"/>
      <c r="G148"/>
      <c r="H148"/>
      <c r="I148"/>
      <c r="J148" s="79" t="e">
        <f>VLOOKUP(A148,Table1[[Unit Number]:[NO. OF BEDROOMS]],2,FALSE)</f>
        <v>#N/A</v>
      </c>
    </row>
    <row r="149" spans="1:10" x14ac:dyDescent="0.25">
      <c r="A149"/>
      <c r="B149"/>
      <c r="C149"/>
      <c r="D149"/>
      <c r="E149"/>
      <c r="F149"/>
      <c r="G149"/>
      <c r="H149"/>
      <c r="I149"/>
      <c r="J149" s="79" t="e">
        <f>VLOOKUP(A149,Table1[[Unit Number]:[NO. OF BEDROOMS]],2,FALSE)</f>
        <v>#N/A</v>
      </c>
    </row>
    <row r="150" spans="1:10" x14ac:dyDescent="0.25">
      <c r="A150"/>
      <c r="B150"/>
      <c r="C150"/>
      <c r="D150"/>
      <c r="E150"/>
      <c r="F150"/>
      <c r="G150"/>
      <c r="H150"/>
      <c r="I150"/>
      <c r="J150" s="79" t="e">
        <f>VLOOKUP(A150,Table1[[Unit Number]:[NO. OF BEDROOMS]],2,FALSE)</f>
        <v>#N/A</v>
      </c>
    </row>
    <row r="151" spans="1:10" x14ac:dyDescent="0.25">
      <c r="A151"/>
      <c r="B151"/>
      <c r="C151"/>
      <c r="D151"/>
      <c r="E151"/>
      <c r="F151"/>
      <c r="G151"/>
      <c r="H151"/>
      <c r="I151"/>
      <c r="J151" s="79" t="e">
        <f>VLOOKUP(A151,Table1[[Unit Number]:[NO. OF BEDROOMS]],2,FALSE)</f>
        <v>#N/A</v>
      </c>
    </row>
    <row r="152" spans="1:10" x14ac:dyDescent="0.25">
      <c r="A152"/>
      <c r="B152"/>
      <c r="C152"/>
      <c r="D152"/>
      <c r="E152"/>
      <c r="F152"/>
      <c r="G152"/>
      <c r="H152"/>
      <c r="I152"/>
      <c r="J152" s="79" t="e">
        <f>VLOOKUP(A152,Table1[[Unit Number]:[NO. OF BEDROOMS]],2,FALSE)</f>
        <v>#N/A</v>
      </c>
    </row>
    <row r="153" spans="1:10" x14ac:dyDescent="0.25">
      <c r="A153"/>
      <c r="B153"/>
      <c r="C153"/>
      <c r="D153"/>
      <c r="E153"/>
      <c r="F153"/>
      <c r="G153"/>
      <c r="H153"/>
      <c r="I153"/>
      <c r="J153" s="79" t="e">
        <f>VLOOKUP(A153,Table1[[Unit Number]:[NO. OF BEDROOMS]],2,FALSE)</f>
        <v>#N/A</v>
      </c>
    </row>
    <row r="154" spans="1:10" x14ac:dyDescent="0.25">
      <c r="A154"/>
      <c r="B154"/>
      <c r="C154"/>
      <c r="D154"/>
      <c r="E154"/>
      <c r="F154"/>
      <c r="G154"/>
      <c r="H154"/>
      <c r="I154"/>
      <c r="J154" s="79" t="e">
        <f>VLOOKUP(A154,Table1[[Unit Number]:[NO. OF BEDROOMS]],2,FALSE)</f>
        <v>#N/A</v>
      </c>
    </row>
    <row r="155" spans="1:10" x14ac:dyDescent="0.25">
      <c r="A155"/>
      <c r="B155"/>
      <c r="C155"/>
      <c r="D155"/>
      <c r="E155"/>
      <c r="F155"/>
      <c r="G155"/>
      <c r="H155"/>
      <c r="I155"/>
      <c r="J155" s="79" t="e">
        <f>VLOOKUP(A155,Table1[[Unit Number]:[NO. OF BEDROOMS]],2,FALSE)</f>
        <v>#N/A</v>
      </c>
    </row>
    <row r="156" spans="1:10" x14ac:dyDescent="0.25">
      <c r="A156"/>
      <c r="B156"/>
      <c r="C156"/>
      <c r="D156"/>
      <c r="E156"/>
      <c r="F156"/>
      <c r="G156"/>
      <c r="H156"/>
      <c r="I156"/>
      <c r="J156" s="79" t="e">
        <f>VLOOKUP(A156,Table1[[Unit Number]:[NO. OF BEDROOMS]],2,FALSE)</f>
        <v>#N/A</v>
      </c>
    </row>
    <row r="157" spans="1:10" x14ac:dyDescent="0.25">
      <c r="A157"/>
      <c r="B157"/>
      <c r="C157"/>
      <c r="D157"/>
      <c r="E157"/>
      <c r="F157"/>
      <c r="G157"/>
      <c r="H157"/>
      <c r="I157"/>
      <c r="J157" s="79" t="e">
        <f>VLOOKUP(A157,Table1[[Unit Number]:[NO. OF BEDROOMS]],2,FALSE)</f>
        <v>#N/A</v>
      </c>
    </row>
    <row r="158" spans="1:10" x14ac:dyDescent="0.25">
      <c r="A158"/>
      <c r="B158"/>
      <c r="C158"/>
      <c r="D158"/>
      <c r="E158"/>
      <c r="F158"/>
      <c r="G158"/>
      <c r="H158"/>
      <c r="I158"/>
      <c r="J158" s="79" t="e">
        <f>VLOOKUP(A158,Table1[[Unit Number]:[NO. OF BEDROOMS]],2,FALSE)</f>
        <v>#N/A</v>
      </c>
    </row>
    <row r="159" spans="1:10" x14ac:dyDescent="0.25">
      <c r="A159"/>
      <c r="B159"/>
      <c r="C159"/>
      <c r="D159"/>
      <c r="E159"/>
      <c r="F159"/>
      <c r="G159"/>
      <c r="H159"/>
      <c r="I159"/>
      <c r="J159" s="79" t="e">
        <f>VLOOKUP(A159,Table1[[Unit Number]:[NO. OF BEDROOMS]],2,FALSE)</f>
        <v>#N/A</v>
      </c>
    </row>
    <row r="160" spans="1:10" x14ac:dyDescent="0.25">
      <c r="A160"/>
      <c r="B160"/>
      <c r="C160"/>
      <c r="D160"/>
      <c r="E160"/>
      <c r="F160"/>
      <c r="G160"/>
      <c r="H160"/>
      <c r="I160"/>
      <c r="J160" s="79" t="e">
        <f>VLOOKUP(A160,Table1[[Unit Number]:[NO. OF BEDROOMS]],2,FALSE)</f>
        <v>#N/A</v>
      </c>
    </row>
    <row r="161" spans="1:10" x14ac:dyDescent="0.25">
      <c r="A161"/>
      <c r="B161"/>
      <c r="C161"/>
      <c r="D161"/>
      <c r="E161"/>
      <c r="F161"/>
      <c r="G161"/>
      <c r="H161"/>
      <c r="I161"/>
      <c r="J161" s="79" t="e">
        <f>VLOOKUP(A161,Table1[[Unit Number]:[NO. OF BEDROOMS]],2,FALSE)</f>
        <v>#N/A</v>
      </c>
    </row>
    <row r="162" spans="1:10" x14ac:dyDescent="0.25">
      <c r="A162"/>
      <c r="B162"/>
      <c r="C162"/>
      <c r="D162"/>
      <c r="E162"/>
      <c r="F162"/>
      <c r="G162"/>
      <c r="H162"/>
      <c r="I162"/>
      <c r="J162" s="79" t="e">
        <f>VLOOKUP(A162,Table1[[Unit Number]:[NO. OF BEDROOMS]],2,FALSE)</f>
        <v>#N/A</v>
      </c>
    </row>
    <row r="163" spans="1:10" x14ac:dyDescent="0.25">
      <c r="A163"/>
      <c r="B163"/>
      <c r="C163"/>
      <c r="D163"/>
      <c r="E163"/>
      <c r="F163"/>
      <c r="G163"/>
      <c r="H163"/>
      <c r="I163"/>
    </row>
    <row r="164" spans="1:10" x14ac:dyDescent="0.25">
      <c r="A164"/>
      <c r="B164"/>
      <c r="C164"/>
      <c r="D164"/>
      <c r="E164"/>
      <c r="F164"/>
      <c r="G164"/>
      <c r="H164"/>
      <c r="I164"/>
    </row>
    <row r="165" spans="1:10" x14ac:dyDescent="0.25">
      <c r="A165"/>
      <c r="B165"/>
      <c r="C165"/>
      <c r="D165"/>
      <c r="E165"/>
      <c r="F165"/>
      <c r="G165"/>
      <c r="H165"/>
      <c r="I165"/>
    </row>
    <row r="166" spans="1:10" x14ac:dyDescent="0.25">
      <c r="A166"/>
      <c r="B166"/>
      <c r="C166"/>
      <c r="D166"/>
      <c r="E166"/>
      <c r="F166"/>
      <c r="G166"/>
      <c r="H166"/>
      <c r="I166"/>
    </row>
    <row r="167" spans="1:10" x14ac:dyDescent="0.25">
      <c r="A167"/>
      <c r="B167"/>
      <c r="C167"/>
      <c r="D167"/>
      <c r="E167"/>
      <c r="F167"/>
      <c r="G167"/>
      <c r="H167"/>
      <c r="I167"/>
    </row>
    <row r="168" spans="1:10" x14ac:dyDescent="0.25">
      <c r="A168"/>
      <c r="B168"/>
      <c r="C168"/>
      <c r="D168"/>
      <c r="E168"/>
      <c r="F168"/>
      <c r="G168"/>
      <c r="H168"/>
      <c r="I168"/>
    </row>
    <row r="169" spans="1:10" x14ac:dyDescent="0.25">
      <c r="A169"/>
      <c r="B169"/>
      <c r="C169"/>
      <c r="D169"/>
      <c r="E169"/>
      <c r="F169"/>
      <c r="G169"/>
      <c r="H169"/>
      <c r="I169"/>
    </row>
    <row r="170" spans="1:10" x14ac:dyDescent="0.25">
      <c r="A170"/>
      <c r="B170"/>
      <c r="C170"/>
      <c r="D170"/>
      <c r="E170"/>
      <c r="F170"/>
      <c r="G170"/>
      <c r="H170"/>
      <c r="I170"/>
    </row>
    <row r="171" spans="1:10" x14ac:dyDescent="0.25">
      <c r="A171"/>
      <c r="B171"/>
      <c r="C171"/>
      <c r="D171"/>
      <c r="E171"/>
      <c r="F171"/>
      <c r="G171"/>
      <c r="H171"/>
      <c r="I171"/>
    </row>
    <row r="172" spans="1:10" x14ac:dyDescent="0.25">
      <c r="A172"/>
      <c r="B172"/>
      <c r="C172"/>
      <c r="D172"/>
      <c r="E172"/>
      <c r="F172"/>
      <c r="G172"/>
      <c r="H172"/>
      <c r="I172"/>
    </row>
    <row r="173" spans="1:10" x14ac:dyDescent="0.25">
      <c r="A173"/>
      <c r="B173"/>
      <c r="C173"/>
      <c r="D173"/>
      <c r="E173"/>
      <c r="F173"/>
      <c r="G173"/>
      <c r="H173"/>
      <c r="I173"/>
    </row>
    <row r="174" spans="1:10" x14ac:dyDescent="0.25">
      <c r="A174"/>
      <c r="B174"/>
      <c r="C174"/>
      <c r="D174"/>
      <c r="E174"/>
      <c r="F174"/>
      <c r="G174"/>
      <c r="H174"/>
      <c r="I174"/>
    </row>
    <row r="175" spans="1:10" x14ac:dyDescent="0.25">
      <c r="A175"/>
      <c r="B175"/>
      <c r="C175"/>
      <c r="D175"/>
      <c r="E175"/>
      <c r="F175"/>
      <c r="G175"/>
      <c r="H175"/>
      <c r="I175"/>
    </row>
    <row r="176" spans="1:10" x14ac:dyDescent="0.25">
      <c r="A176"/>
      <c r="B176"/>
      <c r="C176"/>
      <c r="D176"/>
      <c r="E176"/>
      <c r="F176"/>
      <c r="G176"/>
      <c r="H176"/>
      <c r="I176"/>
    </row>
    <row r="177" spans="1:9" x14ac:dyDescent="0.25">
      <c r="A177"/>
      <c r="B177"/>
      <c r="C177"/>
      <c r="D177"/>
      <c r="E177"/>
      <c r="F177"/>
      <c r="G177"/>
      <c r="H177"/>
      <c r="I177"/>
    </row>
    <row r="178" spans="1:9" x14ac:dyDescent="0.25">
      <c r="A178"/>
      <c r="B178"/>
      <c r="C178"/>
      <c r="D178"/>
      <c r="E178"/>
      <c r="F178"/>
      <c r="G178"/>
      <c r="H178"/>
      <c r="I178"/>
    </row>
    <row r="179" spans="1:9" x14ac:dyDescent="0.25">
      <c r="A179"/>
      <c r="B179"/>
      <c r="C179"/>
      <c r="D179"/>
      <c r="E179"/>
      <c r="F179"/>
      <c r="G179"/>
      <c r="H179"/>
      <c r="I179"/>
    </row>
    <row r="180" spans="1:9" x14ac:dyDescent="0.25">
      <c r="A180"/>
      <c r="B180"/>
      <c r="C180"/>
      <c r="D180"/>
      <c r="E180"/>
      <c r="F180"/>
      <c r="G180"/>
      <c r="H180"/>
      <c r="I180"/>
    </row>
    <row r="181" spans="1:9" x14ac:dyDescent="0.25">
      <c r="A181"/>
      <c r="B181"/>
      <c r="C181"/>
      <c r="D181"/>
      <c r="E181"/>
      <c r="F181"/>
      <c r="G181"/>
      <c r="H181"/>
      <c r="I181"/>
    </row>
    <row r="182" spans="1:9" x14ac:dyDescent="0.25">
      <c r="A182"/>
      <c r="B182"/>
      <c r="C182"/>
      <c r="D182"/>
      <c r="E182"/>
      <c r="F182"/>
      <c r="G182"/>
      <c r="H182"/>
      <c r="I182"/>
    </row>
    <row r="183" spans="1:9" x14ac:dyDescent="0.25">
      <c r="A183"/>
      <c r="B183"/>
      <c r="C183"/>
      <c r="D183"/>
      <c r="E183"/>
      <c r="F183"/>
      <c r="G183"/>
      <c r="H183"/>
      <c r="I183"/>
    </row>
    <row r="184" spans="1:9" x14ac:dyDescent="0.25">
      <c r="A184"/>
      <c r="B184"/>
      <c r="C184"/>
      <c r="D184"/>
      <c r="E184"/>
      <c r="F184"/>
      <c r="G184"/>
      <c r="H184"/>
      <c r="I184"/>
    </row>
    <row r="185" spans="1:9" x14ac:dyDescent="0.25">
      <c r="A185"/>
      <c r="B185"/>
      <c r="C185"/>
      <c r="D185"/>
      <c r="E185"/>
      <c r="F185"/>
      <c r="G185"/>
      <c r="H185"/>
      <c r="I185"/>
    </row>
    <row r="186" spans="1:9" x14ac:dyDescent="0.25">
      <c r="A186"/>
      <c r="B186"/>
      <c r="C186"/>
      <c r="D186"/>
      <c r="E186"/>
      <c r="F186"/>
      <c r="G186"/>
      <c r="H186"/>
      <c r="I186"/>
    </row>
    <row r="187" spans="1:9" x14ac:dyDescent="0.25">
      <c r="A187"/>
      <c r="B187"/>
      <c r="C187"/>
      <c r="D187"/>
      <c r="E187"/>
      <c r="F187"/>
      <c r="G187"/>
      <c r="H187"/>
      <c r="I187"/>
    </row>
    <row r="188" spans="1:9" x14ac:dyDescent="0.25">
      <c r="A188"/>
      <c r="B188"/>
      <c r="C188"/>
      <c r="D188"/>
      <c r="E188"/>
      <c r="F188"/>
      <c r="G188"/>
      <c r="H188"/>
      <c r="I188"/>
    </row>
    <row r="189" spans="1:9" x14ac:dyDescent="0.25">
      <c r="A189"/>
      <c r="B189"/>
      <c r="C189"/>
      <c r="D189"/>
      <c r="E189"/>
      <c r="F189"/>
      <c r="G189"/>
      <c r="H189"/>
      <c r="I189"/>
    </row>
    <row r="190" spans="1:9" x14ac:dyDescent="0.25">
      <c r="A190"/>
      <c r="B190"/>
      <c r="C190"/>
      <c r="D190"/>
      <c r="E190"/>
      <c r="F190"/>
      <c r="G190"/>
      <c r="H190"/>
      <c r="I190"/>
    </row>
    <row r="191" spans="1:9" x14ac:dyDescent="0.25">
      <c r="A191"/>
      <c r="B191"/>
      <c r="C191"/>
      <c r="D191"/>
      <c r="E191"/>
      <c r="F191"/>
      <c r="G191"/>
      <c r="H191"/>
      <c r="I191"/>
    </row>
    <row r="192" spans="1:9" x14ac:dyDescent="0.25">
      <c r="A192"/>
      <c r="B192"/>
      <c r="C192"/>
      <c r="D192"/>
      <c r="E192"/>
      <c r="F192"/>
      <c r="G192"/>
      <c r="H192"/>
      <c r="I192"/>
    </row>
    <row r="193" spans="1:9" x14ac:dyDescent="0.25">
      <c r="A193"/>
      <c r="B193"/>
      <c r="C193"/>
      <c r="D193"/>
      <c r="E193"/>
      <c r="F193"/>
      <c r="G193"/>
      <c r="H193"/>
      <c r="I193"/>
    </row>
    <row r="194" spans="1:9" x14ac:dyDescent="0.25">
      <c r="A194"/>
      <c r="B194"/>
      <c r="C194"/>
      <c r="D194"/>
      <c r="E194"/>
      <c r="F194"/>
      <c r="G194"/>
      <c r="H194"/>
      <c r="I194"/>
    </row>
    <row r="195" spans="1:9" x14ac:dyDescent="0.25">
      <c r="A195"/>
      <c r="B195"/>
      <c r="C195"/>
      <c r="D195"/>
      <c r="E195"/>
      <c r="F195"/>
      <c r="G195"/>
      <c r="H195"/>
      <c r="I195"/>
    </row>
    <row r="196" spans="1:9" x14ac:dyDescent="0.25">
      <c r="A196"/>
      <c r="B196"/>
      <c r="C196"/>
      <c r="D196"/>
      <c r="E196"/>
      <c r="F196"/>
      <c r="G196"/>
      <c r="H196"/>
      <c r="I196"/>
    </row>
    <row r="197" spans="1:9" x14ac:dyDescent="0.25">
      <c r="A197"/>
      <c r="B197"/>
      <c r="C197"/>
      <c r="D197"/>
      <c r="E197"/>
      <c r="F197"/>
      <c r="G197"/>
      <c r="H197"/>
      <c r="I197"/>
    </row>
    <row r="198" spans="1:9" x14ac:dyDescent="0.25">
      <c r="A198"/>
      <c r="B198"/>
      <c r="C198"/>
      <c r="D198"/>
      <c r="E198"/>
      <c r="F198"/>
      <c r="G198"/>
      <c r="H198"/>
      <c r="I198"/>
    </row>
    <row r="199" spans="1:9" x14ac:dyDescent="0.25">
      <c r="A199"/>
      <c r="B199"/>
      <c r="C199"/>
      <c r="D199"/>
      <c r="E199"/>
      <c r="F199"/>
      <c r="G199"/>
      <c r="H199"/>
      <c r="I199"/>
    </row>
    <row r="200" spans="1:9" x14ac:dyDescent="0.25">
      <c r="A200"/>
      <c r="B200"/>
      <c r="C200"/>
      <c r="D200"/>
      <c r="E200"/>
      <c r="F200"/>
      <c r="G200"/>
      <c r="H200"/>
      <c r="I200"/>
    </row>
    <row r="201" spans="1:9" x14ac:dyDescent="0.25">
      <c r="A201"/>
      <c r="B201"/>
      <c r="C201"/>
      <c r="D201"/>
      <c r="E201"/>
      <c r="F201"/>
      <c r="G201"/>
      <c r="H201"/>
      <c r="I201"/>
    </row>
    <row r="202" spans="1:9" x14ac:dyDescent="0.25">
      <c r="A202"/>
      <c r="B202"/>
      <c r="C202"/>
      <c r="D202"/>
      <c r="E202"/>
      <c r="F202"/>
      <c r="G202"/>
      <c r="H202"/>
      <c r="I202"/>
    </row>
    <row r="203" spans="1:9" x14ac:dyDescent="0.25">
      <c r="A203"/>
      <c r="B203"/>
      <c r="C203"/>
      <c r="D203"/>
      <c r="E203"/>
      <c r="F203"/>
      <c r="G203"/>
      <c r="H203"/>
      <c r="I203"/>
    </row>
    <row r="204" spans="1:9" x14ac:dyDescent="0.25">
      <c r="A204"/>
      <c r="B204"/>
      <c r="C204"/>
      <c r="D204"/>
      <c r="E204"/>
      <c r="F204"/>
      <c r="G204"/>
      <c r="H204"/>
      <c r="I204"/>
    </row>
    <row r="205" spans="1:9" x14ac:dyDescent="0.25">
      <c r="A205"/>
      <c r="B205"/>
      <c r="C205"/>
      <c r="D205"/>
      <c r="E205"/>
      <c r="F205"/>
      <c r="G205"/>
      <c r="H205"/>
      <c r="I205"/>
    </row>
    <row r="206" spans="1:9" x14ac:dyDescent="0.25">
      <c r="A206"/>
      <c r="B206"/>
      <c r="C206"/>
      <c r="D206"/>
      <c r="E206"/>
      <c r="F206"/>
      <c r="G206"/>
      <c r="H206"/>
      <c r="I206"/>
    </row>
    <row r="207" spans="1:9" x14ac:dyDescent="0.25">
      <c r="A207"/>
      <c r="B207"/>
      <c r="C207"/>
      <c r="D207"/>
      <c r="E207"/>
      <c r="F207"/>
      <c r="G207"/>
      <c r="H207"/>
      <c r="I207"/>
    </row>
    <row r="208" spans="1:9" x14ac:dyDescent="0.25">
      <c r="A208"/>
      <c r="B208"/>
      <c r="C208"/>
      <c r="D208"/>
      <c r="E208"/>
      <c r="F208"/>
      <c r="G208"/>
      <c r="H208"/>
      <c r="I208"/>
    </row>
    <row r="209" spans="1:9" x14ac:dyDescent="0.25">
      <c r="A209"/>
      <c r="B209"/>
      <c r="C209"/>
      <c r="D209"/>
      <c r="E209"/>
      <c r="F209"/>
      <c r="G209"/>
      <c r="H209"/>
      <c r="I209"/>
    </row>
    <row r="210" spans="1:9" x14ac:dyDescent="0.25">
      <c r="A210"/>
      <c r="B210"/>
      <c r="C210"/>
      <c r="D210"/>
      <c r="E210"/>
      <c r="F210"/>
      <c r="G210"/>
      <c r="H210"/>
      <c r="I210"/>
    </row>
    <row r="211" spans="1:9" x14ac:dyDescent="0.25">
      <c r="A211"/>
      <c r="B211"/>
      <c r="C211"/>
      <c r="D211"/>
      <c r="E211"/>
      <c r="F211"/>
      <c r="G211"/>
      <c r="H211"/>
      <c r="I211"/>
    </row>
    <row r="212" spans="1:9" x14ac:dyDescent="0.25">
      <c r="A212"/>
      <c r="B212"/>
      <c r="C212"/>
      <c r="D212"/>
      <c r="E212"/>
      <c r="F212"/>
      <c r="G212"/>
      <c r="H212"/>
      <c r="I212"/>
    </row>
    <row r="213" spans="1:9" x14ac:dyDescent="0.25">
      <c r="A213"/>
      <c r="B213"/>
      <c r="C213"/>
      <c r="D213"/>
      <c r="E213"/>
      <c r="F213"/>
      <c r="G213"/>
      <c r="H213"/>
      <c r="I213"/>
    </row>
    <row r="214" spans="1:9" x14ac:dyDescent="0.25">
      <c r="A214"/>
      <c r="B214"/>
      <c r="C214"/>
      <c r="D214"/>
      <c r="E214"/>
      <c r="F214"/>
      <c r="G214"/>
      <c r="H214"/>
      <c r="I214"/>
    </row>
    <row r="215" spans="1:9" x14ac:dyDescent="0.25">
      <c r="A215"/>
      <c r="B215"/>
      <c r="C215"/>
      <c r="D215"/>
      <c r="E215"/>
      <c r="F215"/>
      <c r="G215"/>
      <c r="H215"/>
      <c r="I215"/>
    </row>
    <row r="216" spans="1:9" x14ac:dyDescent="0.25">
      <c r="A216"/>
      <c r="B216"/>
      <c r="C216"/>
      <c r="D216"/>
      <c r="E216"/>
      <c r="F216"/>
      <c r="G216"/>
      <c r="H216"/>
      <c r="I216"/>
    </row>
    <row r="217" spans="1:9" x14ac:dyDescent="0.25">
      <c r="A217"/>
      <c r="B217"/>
      <c r="C217"/>
      <c r="D217"/>
      <c r="E217"/>
      <c r="F217"/>
      <c r="G217"/>
      <c r="H217"/>
      <c r="I217"/>
    </row>
    <row r="218" spans="1:9" x14ac:dyDescent="0.25">
      <c r="A218"/>
      <c r="B218"/>
      <c r="C218"/>
      <c r="D218"/>
      <c r="E218"/>
      <c r="F218"/>
      <c r="G218"/>
      <c r="H218"/>
      <c r="I218"/>
    </row>
    <row r="219" spans="1:9" x14ac:dyDescent="0.25">
      <c r="A219"/>
      <c r="B219"/>
      <c r="C219"/>
      <c r="D219"/>
      <c r="E219"/>
      <c r="F219"/>
      <c r="G219"/>
      <c r="H219"/>
      <c r="I219"/>
    </row>
    <row r="220" spans="1:9" x14ac:dyDescent="0.25">
      <c r="A220"/>
      <c r="B220"/>
      <c r="C220"/>
      <c r="D220"/>
      <c r="E220"/>
      <c r="F220"/>
      <c r="G220"/>
      <c r="H220"/>
      <c r="I220"/>
    </row>
    <row r="221" spans="1:9" x14ac:dyDescent="0.25">
      <c r="A221"/>
      <c r="B221"/>
      <c r="C221"/>
      <c r="D221"/>
      <c r="E221"/>
      <c r="F221"/>
      <c r="G221"/>
      <c r="H221"/>
      <c r="I221"/>
    </row>
    <row r="222" spans="1:9" x14ac:dyDescent="0.25">
      <c r="A222"/>
      <c r="B222"/>
      <c r="C222"/>
      <c r="D222"/>
      <c r="E222"/>
      <c r="F222"/>
      <c r="G222"/>
      <c r="H222"/>
      <c r="I222"/>
    </row>
    <row r="223" spans="1:9" x14ac:dyDescent="0.25">
      <c r="A223"/>
      <c r="B223"/>
      <c r="C223"/>
      <c r="D223"/>
      <c r="E223"/>
      <c r="F223"/>
      <c r="G223"/>
      <c r="H223"/>
      <c r="I223"/>
    </row>
    <row r="224" spans="1:9" x14ac:dyDescent="0.25">
      <c r="A224"/>
      <c r="B224"/>
      <c r="C224"/>
      <c r="D224"/>
      <c r="E224"/>
      <c r="F224"/>
      <c r="G224"/>
      <c r="H224"/>
      <c r="I224"/>
    </row>
    <row r="225" spans="1:9" x14ac:dyDescent="0.25">
      <c r="A225"/>
      <c r="B225"/>
      <c r="C225"/>
      <c r="D225"/>
      <c r="E225"/>
      <c r="F225"/>
      <c r="G225"/>
      <c r="H225"/>
      <c r="I225"/>
    </row>
    <row r="226" spans="1:9" x14ac:dyDescent="0.25">
      <c r="A226"/>
      <c r="B226"/>
      <c r="C226"/>
      <c r="D226"/>
      <c r="E226"/>
      <c r="F226"/>
      <c r="G226"/>
      <c r="H226"/>
      <c r="I226"/>
    </row>
    <row r="227" spans="1:9" x14ac:dyDescent="0.25">
      <c r="A227"/>
      <c r="B227"/>
      <c r="C227"/>
      <c r="D227"/>
      <c r="E227"/>
      <c r="F227"/>
      <c r="G227"/>
      <c r="H227"/>
      <c r="I227"/>
    </row>
    <row r="228" spans="1:9" x14ac:dyDescent="0.25">
      <c r="A228"/>
      <c r="B228"/>
      <c r="C228"/>
      <c r="D228"/>
      <c r="E228"/>
      <c r="F228"/>
      <c r="G228"/>
      <c r="H228"/>
      <c r="I228"/>
    </row>
    <row r="229" spans="1:9" x14ac:dyDescent="0.25">
      <c r="A229"/>
      <c r="B229"/>
      <c r="C229"/>
      <c r="D229"/>
      <c r="E229"/>
      <c r="F229"/>
      <c r="G229"/>
      <c r="H229"/>
      <c r="I229"/>
    </row>
    <row r="230" spans="1:9" x14ac:dyDescent="0.25">
      <c r="A230"/>
      <c r="B230"/>
      <c r="C230"/>
      <c r="D230"/>
      <c r="E230"/>
      <c r="F230"/>
      <c r="G230"/>
      <c r="H230"/>
      <c r="I230"/>
    </row>
    <row r="231" spans="1:9" x14ac:dyDescent="0.25">
      <c r="A231"/>
      <c r="B231"/>
      <c r="C231"/>
      <c r="D231"/>
      <c r="E231"/>
      <c r="F231"/>
      <c r="G231"/>
      <c r="H231"/>
      <c r="I231"/>
    </row>
    <row r="232" spans="1:9" x14ac:dyDescent="0.25">
      <c r="A232"/>
      <c r="B232"/>
      <c r="C232"/>
      <c r="D232"/>
      <c r="E232"/>
      <c r="F232"/>
      <c r="G232"/>
      <c r="H232"/>
      <c r="I232"/>
    </row>
    <row r="233" spans="1:9" x14ac:dyDescent="0.25">
      <c r="A233"/>
      <c r="B233"/>
      <c r="C233"/>
      <c r="D233"/>
      <c r="E233"/>
      <c r="F233"/>
      <c r="G233"/>
      <c r="H233"/>
      <c r="I233"/>
    </row>
    <row r="234" spans="1:9" x14ac:dyDescent="0.25">
      <c r="A234"/>
      <c r="B234"/>
      <c r="C234"/>
      <c r="D234"/>
      <c r="E234"/>
      <c r="F234"/>
      <c r="G234"/>
      <c r="H234"/>
      <c r="I234"/>
    </row>
    <row r="235" spans="1:9" x14ac:dyDescent="0.25">
      <c r="A235"/>
      <c r="B235"/>
      <c r="C235"/>
      <c r="D235"/>
      <c r="E235"/>
      <c r="F235"/>
      <c r="G235"/>
      <c r="H235"/>
      <c r="I235"/>
    </row>
    <row r="236" spans="1:9" x14ac:dyDescent="0.25">
      <c r="A236"/>
      <c r="B236"/>
      <c r="C236"/>
      <c r="D236"/>
      <c r="E236"/>
      <c r="F236"/>
      <c r="G236"/>
      <c r="H236"/>
      <c r="I236"/>
    </row>
    <row r="237" spans="1:9" x14ac:dyDescent="0.25">
      <c r="A237"/>
      <c r="B237"/>
      <c r="C237"/>
      <c r="D237"/>
      <c r="E237"/>
      <c r="F237"/>
      <c r="G237"/>
      <c r="H237"/>
      <c r="I237"/>
    </row>
    <row r="238" spans="1:9" x14ac:dyDescent="0.25">
      <c r="A238"/>
      <c r="B238"/>
      <c r="C238"/>
      <c r="D238"/>
      <c r="E238"/>
      <c r="F238"/>
      <c r="G238"/>
      <c r="H238"/>
      <c r="I238"/>
    </row>
    <row r="239" spans="1:9" x14ac:dyDescent="0.25">
      <c r="A239"/>
      <c r="B239"/>
      <c r="C239"/>
      <c r="D239"/>
      <c r="E239"/>
      <c r="F239"/>
      <c r="G239"/>
      <c r="H239"/>
      <c r="I239"/>
    </row>
    <row r="240" spans="1:9" x14ac:dyDescent="0.25">
      <c r="A240"/>
      <c r="B240"/>
      <c r="C240"/>
      <c r="D240"/>
      <c r="E240"/>
      <c r="F240"/>
      <c r="G240"/>
      <c r="H240"/>
      <c r="I240"/>
    </row>
    <row r="241" spans="1:9" x14ac:dyDescent="0.25">
      <c r="A241"/>
      <c r="B241"/>
      <c r="C241"/>
      <c r="D241"/>
      <c r="E241"/>
      <c r="F241"/>
      <c r="G241"/>
      <c r="H241"/>
      <c r="I241"/>
    </row>
    <row r="242" spans="1:9" x14ac:dyDescent="0.25">
      <c r="A242"/>
      <c r="B242"/>
      <c r="C242"/>
      <c r="D242"/>
      <c r="E242"/>
      <c r="F242"/>
      <c r="G242"/>
      <c r="H242"/>
      <c r="I242"/>
    </row>
    <row r="243" spans="1:9" x14ac:dyDescent="0.25">
      <c r="A243"/>
      <c r="B243"/>
      <c r="C243"/>
      <c r="D243"/>
      <c r="E243"/>
      <c r="F243"/>
      <c r="G243"/>
      <c r="H243"/>
      <c r="I243"/>
    </row>
    <row r="244" spans="1:9" x14ac:dyDescent="0.25">
      <c r="A244"/>
      <c r="B244"/>
      <c r="C244"/>
      <c r="D244"/>
      <c r="E244"/>
      <c r="F244"/>
      <c r="G244"/>
      <c r="H244"/>
      <c r="I244"/>
    </row>
    <row r="245" spans="1:9" x14ac:dyDescent="0.25">
      <c r="A245"/>
      <c r="B245"/>
      <c r="C245"/>
      <c r="D245"/>
      <c r="E245"/>
      <c r="F245"/>
      <c r="G245"/>
      <c r="H245"/>
      <c r="I245"/>
    </row>
    <row r="246" spans="1:9" x14ac:dyDescent="0.25">
      <c r="A246"/>
      <c r="B246"/>
      <c r="C246"/>
      <c r="D246"/>
      <c r="E246"/>
      <c r="F246"/>
      <c r="G246"/>
      <c r="H246"/>
      <c r="I246"/>
    </row>
    <row r="247" spans="1:9" x14ac:dyDescent="0.25">
      <c r="A247"/>
      <c r="B247"/>
      <c r="C247"/>
      <c r="D247"/>
      <c r="E247"/>
      <c r="F247"/>
      <c r="G247"/>
      <c r="H247"/>
      <c r="I247"/>
    </row>
    <row r="248" spans="1:9" x14ac:dyDescent="0.25">
      <c r="A248"/>
      <c r="B248"/>
      <c r="C248"/>
      <c r="D248"/>
      <c r="E248"/>
      <c r="F248"/>
      <c r="G248"/>
      <c r="H248"/>
      <c r="I248"/>
    </row>
    <row r="249" spans="1:9" x14ac:dyDescent="0.25">
      <c r="A249"/>
      <c r="B249"/>
      <c r="C249"/>
      <c r="D249"/>
      <c r="E249"/>
      <c r="F249"/>
      <c r="G249"/>
      <c r="H249"/>
      <c r="I249"/>
    </row>
    <row r="250" spans="1:9" x14ac:dyDescent="0.25">
      <c r="A250"/>
      <c r="B250"/>
      <c r="C250"/>
      <c r="D250"/>
      <c r="E250"/>
      <c r="F250"/>
      <c r="G250"/>
      <c r="H250"/>
      <c r="I250"/>
    </row>
    <row r="251" spans="1:9" x14ac:dyDescent="0.25">
      <c r="A251"/>
      <c r="B251"/>
      <c r="C251"/>
      <c r="D251"/>
      <c r="E251"/>
      <c r="F251"/>
      <c r="G251"/>
      <c r="H251"/>
      <c r="I251"/>
    </row>
    <row r="252" spans="1:9" x14ac:dyDescent="0.25">
      <c r="A252"/>
      <c r="B252"/>
      <c r="C252"/>
      <c r="D252"/>
      <c r="E252"/>
      <c r="F252"/>
      <c r="G252"/>
      <c r="H252"/>
      <c r="I252"/>
    </row>
    <row r="253" spans="1:9" x14ac:dyDescent="0.25">
      <c r="A253"/>
      <c r="B253"/>
      <c r="C253"/>
      <c r="D253"/>
      <c r="E253"/>
      <c r="F253"/>
      <c r="G253"/>
      <c r="H253"/>
      <c r="I253"/>
    </row>
    <row r="254" spans="1:9" x14ac:dyDescent="0.25">
      <c r="A254"/>
      <c r="B254"/>
      <c r="C254"/>
      <c r="D254"/>
      <c r="E254"/>
      <c r="F254"/>
      <c r="G254"/>
      <c r="H254"/>
      <c r="I254"/>
    </row>
    <row r="255" spans="1:9" x14ac:dyDescent="0.25">
      <c r="A255"/>
      <c r="B255"/>
      <c r="C255"/>
      <c r="D255"/>
      <c r="E255"/>
      <c r="F255"/>
      <c r="G255"/>
      <c r="H255"/>
      <c r="I255"/>
    </row>
    <row r="256" spans="1:9" x14ac:dyDescent="0.25">
      <c r="A256"/>
      <c r="B256"/>
      <c r="C256"/>
      <c r="D256"/>
      <c r="E256"/>
      <c r="F256"/>
      <c r="G256"/>
      <c r="H256"/>
      <c r="I256"/>
    </row>
    <row r="257" spans="1:9" x14ac:dyDescent="0.25">
      <c r="A257"/>
      <c r="B257"/>
      <c r="C257"/>
      <c r="D257"/>
      <c r="E257"/>
      <c r="F257"/>
      <c r="G257"/>
      <c r="H257"/>
      <c r="I257"/>
    </row>
    <row r="258" spans="1:9" x14ac:dyDescent="0.25">
      <c r="A258"/>
      <c r="B258"/>
      <c r="C258"/>
      <c r="D258"/>
      <c r="E258"/>
      <c r="F258"/>
      <c r="G258"/>
      <c r="H258"/>
      <c r="I258"/>
    </row>
    <row r="259" spans="1:9" x14ac:dyDescent="0.25">
      <c r="A259"/>
      <c r="B259"/>
      <c r="C259"/>
      <c r="D259"/>
      <c r="E259"/>
      <c r="F259"/>
      <c r="G259"/>
      <c r="H259"/>
      <c r="I259"/>
    </row>
    <row r="260" spans="1:9" x14ac:dyDescent="0.25">
      <c r="A260"/>
      <c r="B260"/>
      <c r="C260"/>
      <c r="D260"/>
      <c r="E260"/>
      <c r="F260"/>
      <c r="G260"/>
      <c r="H260"/>
      <c r="I260"/>
    </row>
    <row r="261" spans="1:9" x14ac:dyDescent="0.25">
      <c r="A261"/>
      <c r="B261"/>
      <c r="C261"/>
      <c r="D261"/>
      <c r="E261"/>
      <c r="F261"/>
      <c r="G261"/>
      <c r="H261"/>
      <c r="I261"/>
    </row>
    <row r="262" spans="1:9" x14ac:dyDescent="0.25">
      <c r="A262"/>
      <c r="B262"/>
      <c r="C262"/>
      <c r="D262"/>
      <c r="E262"/>
      <c r="F262"/>
      <c r="G262"/>
      <c r="H262"/>
      <c r="I262"/>
    </row>
    <row r="263" spans="1:9" x14ac:dyDescent="0.25">
      <c r="A263"/>
      <c r="B263"/>
      <c r="C263"/>
      <c r="D263"/>
      <c r="E263"/>
      <c r="F263"/>
      <c r="G263"/>
      <c r="H263"/>
      <c r="I263"/>
    </row>
    <row r="264" spans="1:9" x14ac:dyDescent="0.25">
      <c r="A264"/>
      <c r="B264"/>
      <c r="C264"/>
      <c r="D264"/>
      <c r="E264"/>
      <c r="F264"/>
      <c r="G264"/>
      <c r="H264"/>
      <c r="I264"/>
    </row>
    <row r="265" spans="1:9" x14ac:dyDescent="0.25">
      <c r="A265"/>
      <c r="B265"/>
      <c r="C265"/>
      <c r="D265"/>
      <c r="E265"/>
      <c r="F265"/>
      <c r="G265"/>
      <c r="H265"/>
      <c r="I265"/>
    </row>
    <row r="266" spans="1:9" x14ac:dyDescent="0.25">
      <c r="A266"/>
      <c r="B266"/>
      <c r="C266"/>
      <c r="D266"/>
      <c r="E266"/>
      <c r="F266"/>
      <c r="G266"/>
      <c r="H266"/>
      <c r="I266"/>
    </row>
    <row r="267" spans="1:9" x14ac:dyDescent="0.25">
      <c r="A267"/>
      <c r="B267"/>
      <c r="C267"/>
      <c r="D267"/>
      <c r="E267"/>
      <c r="F267"/>
      <c r="G267"/>
      <c r="H267"/>
      <c r="I267"/>
    </row>
    <row r="268" spans="1:9" x14ac:dyDescent="0.25">
      <c r="A268"/>
      <c r="B268"/>
      <c r="C268"/>
      <c r="D268"/>
      <c r="E268"/>
      <c r="F268"/>
      <c r="G268"/>
      <c r="H268"/>
      <c r="I268"/>
    </row>
    <row r="269" spans="1:9" x14ac:dyDescent="0.25">
      <c r="A269"/>
      <c r="B269"/>
      <c r="C269"/>
      <c r="D269"/>
      <c r="E269"/>
      <c r="F269"/>
      <c r="G269"/>
      <c r="H269"/>
      <c r="I269"/>
    </row>
    <row r="270" spans="1:9" x14ac:dyDescent="0.25">
      <c r="A270"/>
      <c r="B270"/>
      <c r="C270"/>
      <c r="D270"/>
      <c r="E270"/>
      <c r="F270"/>
      <c r="G270"/>
      <c r="H270"/>
      <c r="I270"/>
    </row>
    <row r="271" spans="1:9" x14ac:dyDescent="0.25">
      <c r="A271"/>
      <c r="B271"/>
      <c r="C271"/>
      <c r="D271"/>
      <c r="E271"/>
      <c r="F271"/>
      <c r="G271"/>
      <c r="H271"/>
      <c r="I271"/>
    </row>
    <row r="272" spans="1:9" x14ac:dyDescent="0.25">
      <c r="A272"/>
      <c r="B272"/>
      <c r="C272"/>
      <c r="D272"/>
      <c r="E272"/>
      <c r="F272"/>
      <c r="G272"/>
      <c r="H272"/>
      <c r="I272"/>
    </row>
    <row r="273" spans="1:9" x14ac:dyDescent="0.25">
      <c r="A273"/>
      <c r="B273"/>
      <c r="C273"/>
      <c r="D273"/>
      <c r="E273"/>
      <c r="F273"/>
      <c r="G273"/>
      <c r="H273"/>
      <c r="I273"/>
    </row>
    <row r="274" spans="1:9" x14ac:dyDescent="0.25">
      <c r="A274"/>
      <c r="B274"/>
      <c r="C274"/>
      <c r="D274"/>
      <c r="E274"/>
      <c r="F274"/>
      <c r="G274"/>
      <c r="H274"/>
      <c r="I274"/>
    </row>
    <row r="275" spans="1:9" x14ac:dyDescent="0.25">
      <c r="A275"/>
      <c r="B275"/>
      <c r="C275"/>
      <c r="D275"/>
      <c r="E275"/>
      <c r="F275"/>
      <c r="G275"/>
      <c r="H275"/>
      <c r="I275"/>
    </row>
    <row r="276" spans="1:9" x14ac:dyDescent="0.25">
      <c r="A276"/>
      <c r="B276"/>
      <c r="C276"/>
      <c r="D276"/>
      <c r="E276"/>
      <c r="F276"/>
      <c r="G276"/>
      <c r="H276"/>
      <c r="I276"/>
    </row>
    <row r="277" spans="1:9" x14ac:dyDescent="0.25">
      <c r="A277"/>
      <c r="B277"/>
      <c r="C277"/>
      <c r="D277"/>
      <c r="E277"/>
      <c r="F277"/>
      <c r="G277"/>
      <c r="H277"/>
      <c r="I277"/>
    </row>
    <row r="278" spans="1:9" x14ac:dyDescent="0.25">
      <c r="A278"/>
      <c r="B278"/>
      <c r="C278"/>
      <c r="D278"/>
      <c r="E278"/>
      <c r="F278"/>
      <c r="G278"/>
      <c r="H278"/>
      <c r="I278"/>
    </row>
    <row r="279" spans="1:9" x14ac:dyDescent="0.25">
      <c r="A279"/>
      <c r="B279"/>
      <c r="C279"/>
      <c r="D279"/>
      <c r="E279"/>
      <c r="F279"/>
      <c r="G279"/>
      <c r="H279"/>
      <c r="I279"/>
    </row>
    <row r="280" spans="1:9" x14ac:dyDescent="0.25">
      <c r="A280"/>
      <c r="B280"/>
      <c r="C280"/>
      <c r="D280"/>
      <c r="E280"/>
      <c r="F280"/>
      <c r="G280"/>
      <c r="H280"/>
      <c r="I280"/>
    </row>
    <row r="281" spans="1:9" x14ac:dyDescent="0.25">
      <c r="A281"/>
      <c r="B281"/>
      <c r="C281"/>
      <c r="D281"/>
      <c r="E281"/>
      <c r="F281"/>
      <c r="G281"/>
      <c r="H281"/>
      <c r="I281"/>
    </row>
    <row r="282" spans="1:9" x14ac:dyDescent="0.25">
      <c r="A282"/>
      <c r="B282"/>
      <c r="C282"/>
      <c r="D282"/>
      <c r="E282"/>
      <c r="F282"/>
      <c r="G282"/>
      <c r="H282"/>
      <c r="I282"/>
    </row>
    <row r="283" spans="1:9" x14ac:dyDescent="0.25">
      <c r="A283"/>
      <c r="B283"/>
      <c r="C283"/>
      <c r="D283"/>
      <c r="E283"/>
      <c r="F283"/>
      <c r="G283"/>
      <c r="H283"/>
      <c r="I283"/>
    </row>
    <row r="284" spans="1:9" x14ac:dyDescent="0.25">
      <c r="A284"/>
      <c r="B284"/>
      <c r="C284"/>
      <c r="D284"/>
      <c r="E284"/>
      <c r="F284"/>
      <c r="G284"/>
      <c r="H284"/>
      <c r="I284"/>
    </row>
    <row r="285" spans="1:9" x14ac:dyDescent="0.25">
      <c r="A285"/>
      <c r="B285"/>
      <c r="C285"/>
      <c r="D285"/>
      <c r="E285"/>
      <c r="F285"/>
      <c r="G285"/>
      <c r="H285"/>
      <c r="I285"/>
    </row>
    <row r="286" spans="1:9" x14ac:dyDescent="0.25">
      <c r="A286"/>
      <c r="B286"/>
      <c r="C286"/>
      <c r="D286"/>
      <c r="E286"/>
      <c r="F286"/>
      <c r="G286"/>
      <c r="H286"/>
      <c r="I286"/>
    </row>
    <row r="287" spans="1:9" x14ac:dyDescent="0.25">
      <c r="A287"/>
      <c r="B287"/>
      <c r="C287"/>
      <c r="D287"/>
      <c r="E287"/>
      <c r="F287"/>
      <c r="G287"/>
      <c r="H287"/>
      <c r="I287"/>
    </row>
    <row r="288" spans="1:9" x14ac:dyDescent="0.25">
      <c r="A288"/>
      <c r="B288"/>
      <c r="C288"/>
      <c r="D288"/>
      <c r="E288"/>
      <c r="F288"/>
      <c r="G288"/>
      <c r="H288"/>
      <c r="I288"/>
    </row>
    <row r="289" spans="1:9" x14ac:dyDescent="0.25">
      <c r="A289"/>
      <c r="B289"/>
      <c r="C289"/>
      <c r="D289"/>
      <c r="E289"/>
      <c r="F289"/>
      <c r="G289"/>
      <c r="H289"/>
      <c r="I289"/>
    </row>
    <row r="290" spans="1:9" x14ac:dyDescent="0.25">
      <c r="A290"/>
      <c r="B290"/>
      <c r="C290"/>
      <c r="D290"/>
      <c r="E290"/>
      <c r="F290"/>
      <c r="G290"/>
      <c r="H290"/>
      <c r="I290"/>
    </row>
    <row r="291" spans="1:9" x14ac:dyDescent="0.25">
      <c r="A291"/>
      <c r="B291"/>
      <c r="C291"/>
      <c r="D291"/>
      <c r="E291"/>
      <c r="F291"/>
      <c r="G291"/>
      <c r="H291"/>
      <c r="I291"/>
    </row>
    <row r="292" spans="1:9" x14ac:dyDescent="0.25">
      <c r="A292"/>
      <c r="B292"/>
      <c r="C292"/>
      <c r="D292"/>
      <c r="E292"/>
      <c r="F292"/>
      <c r="G292"/>
      <c r="H292"/>
      <c r="I292"/>
    </row>
    <row r="293" spans="1:9" x14ac:dyDescent="0.25">
      <c r="A293"/>
      <c r="B293"/>
      <c r="C293"/>
      <c r="D293"/>
      <c r="E293"/>
      <c r="F293"/>
      <c r="G293"/>
      <c r="H293"/>
      <c r="I293"/>
    </row>
    <row r="294" spans="1:9" x14ac:dyDescent="0.25">
      <c r="A294"/>
      <c r="B294"/>
      <c r="C294"/>
      <c r="D294"/>
      <c r="E294"/>
      <c r="F294"/>
      <c r="G294"/>
      <c r="H294"/>
      <c r="I294"/>
    </row>
    <row r="295" spans="1:9" x14ac:dyDescent="0.25">
      <c r="A295"/>
      <c r="B295"/>
      <c r="C295"/>
      <c r="D295"/>
      <c r="E295"/>
      <c r="F295"/>
      <c r="G295"/>
      <c r="H295"/>
      <c r="I295"/>
    </row>
    <row r="296" spans="1:9" x14ac:dyDescent="0.25">
      <c r="A296"/>
      <c r="B296"/>
      <c r="C296"/>
      <c r="D296"/>
      <c r="E296"/>
      <c r="F296"/>
      <c r="G296"/>
      <c r="H296"/>
      <c r="I296"/>
    </row>
    <row r="297" spans="1:9" x14ac:dyDescent="0.25">
      <c r="A297"/>
      <c r="B297"/>
      <c r="C297"/>
      <c r="D297"/>
      <c r="E297"/>
      <c r="F297"/>
      <c r="G297"/>
      <c r="H297"/>
      <c r="I297"/>
    </row>
    <row r="298" spans="1:9" x14ac:dyDescent="0.25">
      <c r="A298"/>
      <c r="B298"/>
      <c r="C298"/>
      <c r="D298"/>
      <c r="E298"/>
      <c r="F298"/>
      <c r="G298"/>
      <c r="H298"/>
      <c r="I298"/>
    </row>
    <row r="299" spans="1:9" x14ac:dyDescent="0.25">
      <c r="A299"/>
      <c r="B299"/>
      <c r="C299"/>
      <c r="D299"/>
      <c r="E299"/>
      <c r="F299"/>
      <c r="G299"/>
      <c r="H299"/>
      <c r="I299"/>
    </row>
    <row r="300" spans="1:9" x14ac:dyDescent="0.25">
      <c r="A300"/>
      <c r="B300"/>
      <c r="C300"/>
      <c r="D300"/>
      <c r="E300"/>
      <c r="F300"/>
      <c r="G300"/>
      <c r="H300"/>
      <c r="I300"/>
    </row>
    <row r="301" spans="1:9" x14ac:dyDescent="0.25">
      <c r="A301"/>
      <c r="B301"/>
      <c r="C301"/>
      <c r="D301"/>
      <c r="E301"/>
      <c r="F301"/>
      <c r="G301"/>
      <c r="H301"/>
      <c r="I301"/>
    </row>
    <row r="302" spans="1:9" x14ac:dyDescent="0.25">
      <c r="A302"/>
      <c r="B302"/>
      <c r="C302"/>
      <c r="D302"/>
      <c r="E302"/>
      <c r="F302"/>
      <c r="G302"/>
      <c r="H302"/>
      <c r="I302"/>
    </row>
    <row r="303" spans="1:9" x14ac:dyDescent="0.25">
      <c r="A303"/>
      <c r="B303"/>
      <c r="C303"/>
      <c r="D303"/>
      <c r="E303"/>
      <c r="F303"/>
      <c r="G303"/>
      <c r="H303"/>
      <c r="I303"/>
    </row>
    <row r="304" spans="1:9" x14ac:dyDescent="0.25">
      <c r="A304"/>
      <c r="B304"/>
      <c r="C304"/>
      <c r="D304"/>
      <c r="E304"/>
      <c r="F304"/>
      <c r="G304"/>
      <c r="H304"/>
      <c r="I304"/>
    </row>
    <row r="305" spans="1:9" x14ac:dyDescent="0.25">
      <c r="A305"/>
      <c r="B305"/>
      <c r="C305"/>
      <c r="D305"/>
      <c r="E305"/>
      <c r="F305"/>
      <c r="G305"/>
      <c r="H305"/>
      <c r="I305"/>
    </row>
    <row r="306" spans="1:9" x14ac:dyDescent="0.25">
      <c r="A306"/>
      <c r="B306"/>
      <c r="C306"/>
      <c r="D306"/>
      <c r="E306"/>
      <c r="F306"/>
      <c r="G306"/>
      <c r="H306"/>
      <c r="I306"/>
    </row>
    <row r="307" spans="1:9" x14ac:dyDescent="0.25">
      <c r="A307"/>
      <c r="B307"/>
      <c r="C307"/>
      <c r="D307"/>
      <c r="E307"/>
      <c r="F307"/>
      <c r="G307"/>
      <c r="H307"/>
      <c r="I307"/>
    </row>
    <row r="308" spans="1:9" x14ac:dyDescent="0.25">
      <c r="A308"/>
      <c r="B308"/>
      <c r="C308"/>
      <c r="D308"/>
      <c r="E308"/>
      <c r="F308"/>
      <c r="G308"/>
      <c r="H308"/>
      <c r="I308"/>
    </row>
    <row r="309" spans="1:9" x14ac:dyDescent="0.25">
      <c r="A309"/>
      <c r="B309"/>
      <c r="C309"/>
      <c r="D309"/>
      <c r="E309"/>
      <c r="F309"/>
      <c r="G309"/>
      <c r="H309"/>
      <c r="I309"/>
    </row>
    <row r="310" spans="1:9" x14ac:dyDescent="0.25">
      <c r="A310"/>
      <c r="B310"/>
      <c r="C310"/>
      <c r="D310"/>
      <c r="E310"/>
      <c r="F310"/>
      <c r="G310"/>
      <c r="H310"/>
      <c r="I310"/>
    </row>
    <row r="311" spans="1:9" x14ac:dyDescent="0.25">
      <c r="A311"/>
      <c r="B311"/>
      <c r="C311"/>
      <c r="D311"/>
      <c r="E311"/>
      <c r="F311"/>
      <c r="G311"/>
      <c r="H311"/>
      <c r="I311"/>
    </row>
    <row r="312" spans="1:9" x14ac:dyDescent="0.25">
      <c r="A312"/>
      <c r="B312"/>
      <c r="C312"/>
      <c r="D312"/>
      <c r="E312"/>
      <c r="F312"/>
      <c r="G312"/>
      <c r="H312"/>
      <c r="I312"/>
    </row>
    <row r="313" spans="1:9" x14ac:dyDescent="0.25">
      <c r="A313"/>
      <c r="B313"/>
      <c r="C313"/>
      <c r="D313"/>
      <c r="E313"/>
      <c r="F313"/>
      <c r="G313"/>
      <c r="H313"/>
      <c r="I313"/>
    </row>
    <row r="314" spans="1:9" x14ac:dyDescent="0.25">
      <c r="A314"/>
      <c r="B314"/>
      <c r="C314"/>
      <c r="D314"/>
      <c r="E314"/>
      <c r="F314"/>
      <c r="G314"/>
      <c r="H314"/>
      <c r="I314"/>
    </row>
    <row r="315" spans="1:9" x14ac:dyDescent="0.25">
      <c r="A315"/>
      <c r="B315"/>
      <c r="C315"/>
      <c r="D315"/>
      <c r="E315"/>
      <c r="F315"/>
      <c r="G315"/>
      <c r="H315"/>
      <c r="I315"/>
    </row>
    <row r="316" spans="1:9" x14ac:dyDescent="0.25">
      <c r="A316"/>
      <c r="B316"/>
      <c r="C316"/>
      <c r="D316"/>
      <c r="E316"/>
      <c r="F316"/>
      <c r="G316"/>
      <c r="H316"/>
      <c r="I316"/>
    </row>
    <row r="317" spans="1:9" x14ac:dyDescent="0.25">
      <c r="A317"/>
      <c r="B317"/>
      <c r="C317"/>
      <c r="D317"/>
      <c r="E317"/>
      <c r="F317"/>
      <c r="G317"/>
      <c r="H317"/>
      <c r="I317"/>
    </row>
    <row r="318" spans="1:9" x14ac:dyDescent="0.25">
      <c r="A318"/>
      <c r="B318"/>
      <c r="C318"/>
      <c r="D318"/>
      <c r="E318"/>
      <c r="F318"/>
      <c r="G318"/>
      <c r="H318"/>
      <c r="I318"/>
    </row>
    <row r="319" spans="1:9" x14ac:dyDescent="0.25">
      <c r="A319"/>
      <c r="B319"/>
      <c r="C319"/>
      <c r="D319"/>
      <c r="E319"/>
      <c r="F319"/>
      <c r="G319"/>
      <c r="H319"/>
      <c r="I319"/>
    </row>
    <row r="320" spans="1:9" x14ac:dyDescent="0.25">
      <c r="A320"/>
      <c r="B320"/>
      <c r="C320"/>
      <c r="D320"/>
      <c r="E320"/>
      <c r="F320"/>
      <c r="G320"/>
      <c r="H320"/>
      <c r="I320"/>
    </row>
    <row r="321" spans="1:9" x14ac:dyDescent="0.25">
      <c r="A321"/>
      <c r="B321"/>
      <c r="C321"/>
      <c r="D321"/>
      <c r="E321"/>
      <c r="F321"/>
      <c r="G321"/>
      <c r="H321"/>
      <c r="I321"/>
    </row>
    <row r="322" spans="1:9" x14ac:dyDescent="0.25">
      <c r="A322"/>
      <c r="B322"/>
      <c r="C322"/>
      <c r="D322"/>
      <c r="E322"/>
      <c r="F322"/>
      <c r="G322"/>
      <c r="H322"/>
      <c r="I322"/>
    </row>
    <row r="323" spans="1:9" x14ac:dyDescent="0.25">
      <c r="A323"/>
      <c r="B323"/>
      <c r="C323"/>
      <c r="D323"/>
      <c r="E323"/>
      <c r="F323"/>
      <c r="G323"/>
      <c r="H323"/>
      <c r="I323"/>
    </row>
    <row r="324" spans="1:9" x14ac:dyDescent="0.25">
      <c r="A324"/>
      <c r="B324"/>
      <c r="C324"/>
      <c r="D324"/>
      <c r="E324"/>
      <c r="F324"/>
      <c r="G324"/>
      <c r="H324"/>
      <c r="I324"/>
    </row>
    <row r="325" spans="1:9" x14ac:dyDescent="0.25">
      <c r="A325"/>
      <c r="B325"/>
      <c r="C325"/>
      <c r="D325"/>
      <c r="E325"/>
      <c r="F325"/>
      <c r="G325"/>
      <c r="H325"/>
      <c r="I325"/>
    </row>
    <row r="326" spans="1:9" x14ac:dyDescent="0.25">
      <c r="A326"/>
      <c r="B326"/>
      <c r="C326"/>
      <c r="D326"/>
      <c r="E326"/>
      <c r="F326"/>
      <c r="G326"/>
      <c r="H326"/>
      <c r="I326"/>
    </row>
    <row r="327" spans="1:9" x14ac:dyDescent="0.25">
      <c r="A327"/>
      <c r="B327"/>
      <c r="C327"/>
      <c r="D327"/>
      <c r="E327"/>
      <c r="F327"/>
      <c r="G327"/>
      <c r="H327"/>
      <c r="I327"/>
    </row>
    <row r="328" spans="1:9" x14ac:dyDescent="0.25">
      <c r="A328"/>
      <c r="B328"/>
      <c r="C328"/>
      <c r="D328"/>
      <c r="E328"/>
      <c r="F328"/>
      <c r="G328"/>
      <c r="H328"/>
      <c r="I328"/>
    </row>
    <row r="329" spans="1:9" x14ac:dyDescent="0.25">
      <c r="A329"/>
      <c r="B329"/>
      <c r="C329"/>
      <c r="D329"/>
      <c r="E329"/>
      <c r="F329"/>
      <c r="G329"/>
      <c r="H329"/>
      <c r="I329"/>
    </row>
    <row r="330" spans="1:9" x14ac:dyDescent="0.25">
      <c r="A330"/>
      <c r="B330"/>
      <c r="C330"/>
      <c r="D330"/>
      <c r="E330"/>
      <c r="F330"/>
      <c r="G330"/>
      <c r="H330"/>
      <c r="I330"/>
    </row>
    <row r="331" spans="1:9" x14ac:dyDescent="0.25">
      <c r="A331"/>
      <c r="B331"/>
      <c r="C331"/>
      <c r="D331"/>
      <c r="E331"/>
      <c r="F331"/>
      <c r="G331"/>
      <c r="H331"/>
      <c r="I331"/>
    </row>
    <row r="332" spans="1:9" x14ac:dyDescent="0.25">
      <c r="A332"/>
      <c r="B332"/>
      <c r="C332"/>
      <c r="D332"/>
      <c r="E332"/>
      <c r="F332"/>
      <c r="G332"/>
      <c r="H332"/>
      <c r="I332"/>
    </row>
    <row r="333" spans="1:9" x14ac:dyDescent="0.25">
      <c r="A333"/>
      <c r="B333"/>
      <c r="C333"/>
      <c r="D333"/>
      <c r="E333"/>
      <c r="F333"/>
      <c r="G333"/>
      <c r="H333"/>
      <c r="I333"/>
    </row>
    <row r="334" spans="1:9" x14ac:dyDescent="0.25">
      <c r="A334"/>
      <c r="B334"/>
      <c r="C334"/>
      <c r="D334"/>
      <c r="E334"/>
      <c r="F334"/>
      <c r="G334"/>
      <c r="H334"/>
      <c r="I334"/>
    </row>
    <row r="335" spans="1:9" x14ac:dyDescent="0.25">
      <c r="A335"/>
      <c r="B335"/>
      <c r="C335"/>
      <c r="D335"/>
      <c r="E335"/>
      <c r="F335"/>
      <c r="G335"/>
      <c r="H335"/>
      <c r="I335"/>
    </row>
    <row r="336" spans="1:9" x14ac:dyDescent="0.25">
      <c r="A336"/>
      <c r="B336"/>
      <c r="C336"/>
      <c r="D336"/>
      <c r="E336"/>
      <c r="F336"/>
      <c r="G336"/>
      <c r="H336"/>
      <c r="I336"/>
    </row>
    <row r="337" spans="1:9" x14ac:dyDescent="0.25">
      <c r="A337"/>
      <c r="B337"/>
      <c r="C337"/>
      <c r="D337"/>
      <c r="E337"/>
      <c r="F337"/>
      <c r="G337"/>
      <c r="H337"/>
      <c r="I337"/>
    </row>
    <row r="338" spans="1:9" x14ac:dyDescent="0.25">
      <c r="A338"/>
      <c r="B338"/>
      <c r="C338"/>
      <c r="D338"/>
      <c r="E338"/>
      <c r="F338"/>
      <c r="G338"/>
      <c r="H338"/>
      <c r="I338"/>
    </row>
    <row r="339" spans="1:9" x14ac:dyDescent="0.25">
      <c r="A339"/>
      <c r="B339"/>
      <c r="C339"/>
      <c r="D339"/>
      <c r="E339"/>
      <c r="F339"/>
      <c r="G339"/>
      <c r="H339"/>
      <c r="I339"/>
    </row>
    <row r="340" spans="1:9" x14ac:dyDescent="0.25">
      <c r="A340"/>
      <c r="B340"/>
      <c r="C340"/>
      <c r="D340"/>
      <c r="E340"/>
      <c r="F340"/>
      <c r="G340"/>
      <c r="H340"/>
      <c r="I340"/>
    </row>
    <row r="341" spans="1:9" x14ac:dyDescent="0.25">
      <c r="A341"/>
      <c r="B341"/>
      <c r="C341"/>
      <c r="D341"/>
      <c r="E341"/>
      <c r="F341"/>
      <c r="G341"/>
      <c r="H341"/>
      <c r="I341"/>
    </row>
    <row r="342" spans="1:9" x14ac:dyDescent="0.25">
      <c r="A342"/>
      <c r="B342"/>
      <c r="C342"/>
      <c r="D342"/>
      <c r="E342"/>
      <c r="F342"/>
      <c r="G342"/>
      <c r="H342"/>
      <c r="I342"/>
    </row>
    <row r="343" spans="1:9" x14ac:dyDescent="0.25">
      <c r="A343"/>
      <c r="B343"/>
      <c r="C343"/>
      <c r="D343"/>
      <c r="E343"/>
      <c r="F343"/>
      <c r="G343"/>
      <c r="H343"/>
      <c r="I343"/>
    </row>
    <row r="344" spans="1:9" x14ac:dyDescent="0.25">
      <c r="A344"/>
      <c r="B344"/>
      <c r="C344"/>
      <c r="D344"/>
      <c r="E344"/>
      <c r="F344"/>
      <c r="G344"/>
      <c r="H344"/>
      <c r="I344"/>
    </row>
    <row r="345" spans="1:9" x14ac:dyDescent="0.25">
      <c r="A345"/>
      <c r="B345"/>
      <c r="C345"/>
      <c r="D345"/>
      <c r="E345"/>
      <c r="F345"/>
      <c r="G345"/>
      <c r="H345"/>
      <c r="I345"/>
    </row>
    <row r="346" spans="1:9" x14ac:dyDescent="0.25">
      <c r="A346"/>
      <c r="B346"/>
      <c r="C346"/>
      <c r="D346"/>
      <c r="E346"/>
      <c r="F346"/>
      <c r="G346"/>
      <c r="H346"/>
      <c r="I346"/>
    </row>
    <row r="347" spans="1:9" x14ac:dyDescent="0.25">
      <c r="A347"/>
      <c r="B347"/>
      <c r="C347"/>
      <c r="D347"/>
      <c r="E347"/>
      <c r="F347"/>
      <c r="G347"/>
      <c r="H347"/>
      <c r="I347"/>
    </row>
    <row r="348" spans="1:9" x14ac:dyDescent="0.25">
      <c r="A348"/>
      <c r="B348"/>
      <c r="C348"/>
      <c r="D348"/>
      <c r="E348"/>
      <c r="F348"/>
      <c r="G348"/>
      <c r="H348"/>
      <c r="I348"/>
    </row>
    <row r="349" spans="1:9" x14ac:dyDescent="0.25">
      <c r="A349"/>
      <c r="B349"/>
      <c r="C349"/>
      <c r="D349"/>
      <c r="E349"/>
      <c r="F349"/>
      <c r="G349"/>
      <c r="H349"/>
      <c r="I349"/>
    </row>
    <row r="350" spans="1:9" x14ac:dyDescent="0.25">
      <c r="A350"/>
      <c r="B350"/>
      <c r="C350"/>
      <c r="D350"/>
      <c r="E350"/>
      <c r="F350"/>
      <c r="G350"/>
      <c r="H350"/>
      <c r="I350"/>
    </row>
    <row r="351" spans="1:9" x14ac:dyDescent="0.25">
      <c r="A351"/>
      <c r="B351"/>
      <c r="C351"/>
      <c r="D351"/>
      <c r="E351"/>
      <c r="F351"/>
      <c r="G351"/>
      <c r="H351"/>
      <c r="I351"/>
    </row>
    <row r="352" spans="1:9" x14ac:dyDescent="0.25">
      <c r="A352"/>
      <c r="B352"/>
      <c r="C352"/>
      <c r="D352"/>
      <c r="E352"/>
      <c r="F352"/>
      <c r="G352"/>
      <c r="H352"/>
      <c r="I352"/>
    </row>
    <row r="353" spans="1:9" x14ac:dyDescent="0.25">
      <c r="A353"/>
      <c r="B353"/>
      <c r="C353"/>
      <c r="D353"/>
      <c r="E353"/>
      <c r="F353"/>
      <c r="G353"/>
      <c r="H353"/>
      <c r="I353"/>
    </row>
    <row r="354" spans="1:9" x14ac:dyDescent="0.25">
      <c r="A354"/>
      <c r="B354"/>
      <c r="C354"/>
      <c r="D354"/>
      <c r="E354"/>
      <c r="F354"/>
      <c r="G354"/>
      <c r="H354"/>
      <c r="I354"/>
    </row>
    <row r="355" spans="1:9" x14ac:dyDescent="0.25">
      <c r="A355"/>
      <c r="B355"/>
      <c r="C355"/>
      <c r="D355"/>
      <c r="E355"/>
      <c r="F355"/>
      <c r="G355"/>
      <c r="H355"/>
      <c r="I355"/>
    </row>
    <row r="356" spans="1:9" x14ac:dyDescent="0.25">
      <c r="A356"/>
      <c r="B356"/>
      <c r="C356"/>
      <c r="D356"/>
      <c r="E356"/>
      <c r="F356"/>
      <c r="G356"/>
      <c r="H356"/>
      <c r="I356"/>
    </row>
    <row r="357" spans="1:9" x14ac:dyDescent="0.25">
      <c r="A357"/>
      <c r="B357"/>
      <c r="C357"/>
      <c r="D357"/>
      <c r="E357"/>
      <c r="F357"/>
      <c r="G357"/>
      <c r="H357"/>
      <c r="I357"/>
    </row>
    <row r="358" spans="1:9" x14ac:dyDescent="0.25">
      <c r="A358"/>
      <c r="B358"/>
      <c r="C358"/>
      <c r="D358"/>
      <c r="E358"/>
      <c r="F358"/>
      <c r="G358"/>
      <c r="H358"/>
      <c r="I358"/>
    </row>
    <row r="359" spans="1:9" x14ac:dyDescent="0.25">
      <c r="A359"/>
      <c r="B359"/>
      <c r="C359"/>
      <c r="D359"/>
      <c r="E359"/>
      <c r="F359"/>
      <c r="G359"/>
      <c r="H359"/>
      <c r="I359"/>
    </row>
    <row r="360" spans="1:9" x14ac:dyDescent="0.25">
      <c r="A360"/>
      <c r="B360"/>
      <c r="C360"/>
      <c r="D360"/>
      <c r="E360"/>
      <c r="F360"/>
      <c r="G360"/>
      <c r="H360"/>
      <c r="I360"/>
    </row>
    <row r="361" spans="1:9" x14ac:dyDescent="0.25">
      <c r="A361"/>
      <c r="B361"/>
      <c r="C361"/>
      <c r="D361"/>
      <c r="E361"/>
      <c r="F361"/>
      <c r="G361"/>
      <c r="H361"/>
      <c r="I361"/>
    </row>
    <row r="362" spans="1:9" x14ac:dyDescent="0.25">
      <c r="A362"/>
      <c r="B362"/>
      <c r="C362"/>
      <c r="D362"/>
      <c r="E362"/>
      <c r="F362"/>
      <c r="G362"/>
      <c r="H362"/>
      <c r="I362"/>
    </row>
    <row r="363" spans="1:9" x14ac:dyDescent="0.25">
      <c r="A363"/>
      <c r="B363"/>
      <c r="C363"/>
      <c r="D363"/>
      <c r="E363"/>
      <c r="F363"/>
      <c r="G363"/>
      <c r="H363"/>
      <c r="I363"/>
    </row>
    <row r="364" spans="1:9" x14ac:dyDescent="0.25">
      <c r="A364"/>
      <c r="B364"/>
      <c r="C364"/>
      <c r="D364"/>
      <c r="E364"/>
      <c r="F364"/>
      <c r="G364"/>
      <c r="H364"/>
      <c r="I364"/>
    </row>
    <row r="365" spans="1:9" x14ac:dyDescent="0.25">
      <c r="A365"/>
      <c r="B365"/>
      <c r="C365"/>
      <c r="D365"/>
      <c r="E365"/>
      <c r="F365"/>
      <c r="G365"/>
      <c r="H365"/>
      <c r="I365"/>
    </row>
    <row r="366" spans="1:9" x14ac:dyDescent="0.25">
      <c r="A366"/>
      <c r="B366"/>
      <c r="C366"/>
      <c r="D366"/>
      <c r="E366"/>
      <c r="F366"/>
      <c r="G366"/>
      <c r="H366"/>
      <c r="I366"/>
    </row>
    <row r="367" spans="1:9" x14ac:dyDescent="0.25">
      <c r="A367"/>
      <c r="B367"/>
      <c r="C367"/>
      <c r="D367"/>
      <c r="E367"/>
      <c r="F367"/>
      <c r="G367"/>
      <c r="H367"/>
      <c r="I367"/>
    </row>
    <row r="368" spans="1:9" x14ac:dyDescent="0.25">
      <c r="A368"/>
      <c r="B368"/>
      <c r="C368"/>
      <c r="D368"/>
      <c r="E368"/>
      <c r="F368"/>
      <c r="G368"/>
      <c r="H368"/>
      <c r="I368"/>
    </row>
    <row r="369" spans="1:9" x14ac:dyDescent="0.25">
      <c r="A369"/>
      <c r="B369"/>
      <c r="C369"/>
      <c r="D369"/>
      <c r="E369"/>
      <c r="F369"/>
      <c r="G369"/>
      <c r="H369"/>
      <c r="I369"/>
    </row>
    <row r="370" spans="1:9" x14ac:dyDescent="0.25">
      <c r="A370"/>
      <c r="B370"/>
      <c r="C370"/>
      <c r="D370"/>
      <c r="E370"/>
      <c r="F370"/>
      <c r="G370"/>
      <c r="H370"/>
      <c r="I370"/>
    </row>
    <row r="371" spans="1:9" x14ac:dyDescent="0.25">
      <c r="A371"/>
      <c r="B371"/>
      <c r="C371"/>
      <c r="D371"/>
      <c r="E371"/>
      <c r="F371"/>
      <c r="G371"/>
      <c r="H371"/>
      <c r="I371"/>
    </row>
    <row r="372" spans="1:9" x14ac:dyDescent="0.25">
      <c r="A372"/>
      <c r="B372"/>
      <c r="C372"/>
      <c r="D372"/>
      <c r="E372"/>
      <c r="F372"/>
      <c r="G372"/>
      <c r="H372"/>
      <c r="I372"/>
    </row>
    <row r="373" spans="1:9" x14ac:dyDescent="0.25">
      <c r="A373"/>
      <c r="B373"/>
      <c r="C373"/>
      <c r="D373"/>
      <c r="E373"/>
      <c r="F373"/>
      <c r="G373"/>
      <c r="H373"/>
      <c r="I373"/>
    </row>
    <row r="374" spans="1:9" x14ac:dyDescent="0.25">
      <c r="A374"/>
      <c r="B374"/>
      <c r="C374"/>
      <c r="D374"/>
      <c r="E374"/>
      <c r="F374"/>
      <c r="G374"/>
      <c r="H374"/>
      <c r="I374"/>
    </row>
    <row r="375" spans="1:9" x14ac:dyDescent="0.25">
      <c r="A375"/>
      <c r="B375"/>
      <c r="C375"/>
      <c r="D375"/>
      <c r="E375"/>
      <c r="F375"/>
      <c r="G375"/>
      <c r="H375"/>
      <c r="I375"/>
    </row>
    <row r="376" spans="1:9" x14ac:dyDescent="0.25">
      <c r="A376"/>
      <c r="B376"/>
      <c r="C376"/>
      <c r="D376"/>
      <c r="E376"/>
      <c r="F376"/>
      <c r="G376"/>
      <c r="H376"/>
      <c r="I376"/>
    </row>
    <row r="377" spans="1:9" x14ac:dyDescent="0.25">
      <c r="A377"/>
      <c r="B377"/>
      <c r="C377"/>
      <c r="D377"/>
      <c r="E377"/>
      <c r="F377"/>
      <c r="G377"/>
      <c r="H377"/>
      <c r="I377"/>
    </row>
    <row r="378" spans="1:9" x14ac:dyDescent="0.25">
      <c r="A378"/>
      <c r="B378"/>
      <c r="C378"/>
      <c r="D378"/>
      <c r="E378"/>
      <c r="F378"/>
      <c r="G378"/>
      <c r="H378"/>
      <c r="I378"/>
    </row>
    <row r="379" spans="1:9" x14ac:dyDescent="0.25">
      <c r="A379"/>
      <c r="B379"/>
      <c r="C379"/>
      <c r="D379"/>
      <c r="E379"/>
      <c r="F379"/>
      <c r="G379"/>
      <c r="H379"/>
      <c r="I379"/>
    </row>
    <row r="380" spans="1:9" x14ac:dyDescent="0.25">
      <c r="A380"/>
      <c r="B380"/>
      <c r="C380"/>
      <c r="D380"/>
      <c r="E380"/>
      <c r="F380"/>
      <c r="G380"/>
      <c r="H380"/>
      <c r="I380"/>
    </row>
    <row r="381" spans="1:9" x14ac:dyDescent="0.25">
      <c r="A381"/>
      <c r="B381"/>
      <c r="C381"/>
      <c r="D381"/>
      <c r="E381"/>
      <c r="F381"/>
      <c r="G381"/>
      <c r="H381"/>
      <c r="I381"/>
    </row>
    <row r="382" spans="1:9" x14ac:dyDescent="0.25">
      <c r="A382"/>
      <c r="B382"/>
      <c r="C382"/>
      <c r="D382"/>
      <c r="E382"/>
      <c r="F382"/>
      <c r="G382"/>
      <c r="H382"/>
      <c r="I382"/>
    </row>
    <row r="383" spans="1:9" x14ac:dyDescent="0.25">
      <c r="A383"/>
      <c r="B383"/>
      <c r="C383"/>
      <c r="D383"/>
      <c r="E383"/>
      <c r="F383"/>
      <c r="G383"/>
      <c r="H383"/>
      <c r="I383"/>
    </row>
    <row r="384" spans="1:9" x14ac:dyDescent="0.25">
      <c r="A384"/>
      <c r="B384"/>
      <c r="C384"/>
      <c r="D384"/>
      <c r="E384"/>
      <c r="F384"/>
      <c r="G384"/>
      <c r="H384"/>
      <c r="I384"/>
    </row>
    <row r="385" spans="1:9" x14ac:dyDescent="0.25">
      <c r="A385"/>
      <c r="B385"/>
      <c r="C385"/>
      <c r="D385"/>
      <c r="E385"/>
      <c r="F385"/>
      <c r="G385"/>
      <c r="H385"/>
      <c r="I385"/>
    </row>
    <row r="386" spans="1:9" x14ac:dyDescent="0.25">
      <c r="A386"/>
      <c r="B386"/>
      <c r="C386"/>
      <c r="D386"/>
      <c r="E386"/>
      <c r="F386"/>
      <c r="G386"/>
      <c r="H386"/>
      <c r="I386"/>
    </row>
    <row r="387" spans="1:9" x14ac:dyDescent="0.25">
      <c r="A387"/>
      <c r="B387"/>
      <c r="C387"/>
      <c r="D387"/>
      <c r="E387"/>
      <c r="F387"/>
      <c r="G387"/>
      <c r="H387"/>
      <c r="I387"/>
    </row>
    <row r="388" spans="1:9" x14ac:dyDescent="0.25">
      <c r="A388"/>
      <c r="B388"/>
      <c r="C388"/>
      <c r="D388"/>
      <c r="E388"/>
      <c r="F388"/>
      <c r="G388"/>
      <c r="H388"/>
      <c r="I388"/>
    </row>
    <row r="389" spans="1:9" x14ac:dyDescent="0.25">
      <c r="A389"/>
      <c r="B389"/>
      <c r="C389"/>
      <c r="D389"/>
      <c r="E389"/>
      <c r="F389"/>
      <c r="G389"/>
      <c r="H389"/>
      <c r="I389"/>
    </row>
    <row r="390" spans="1:9" x14ac:dyDescent="0.25">
      <c r="A390"/>
      <c r="B390"/>
      <c r="C390"/>
      <c r="D390"/>
      <c r="E390"/>
      <c r="F390"/>
      <c r="G390"/>
      <c r="H390"/>
      <c r="I390"/>
    </row>
    <row r="391" spans="1:9" x14ac:dyDescent="0.25">
      <c r="A391"/>
      <c r="B391"/>
      <c r="C391"/>
      <c r="D391"/>
      <c r="E391"/>
      <c r="F391"/>
      <c r="G391"/>
      <c r="H391"/>
      <c r="I391"/>
    </row>
    <row r="392" spans="1:9" x14ac:dyDescent="0.25">
      <c r="A392"/>
      <c r="B392"/>
      <c r="C392"/>
      <c r="D392"/>
      <c r="E392"/>
      <c r="F392"/>
      <c r="G392"/>
      <c r="H392"/>
      <c r="I392"/>
    </row>
    <row r="393" spans="1:9" x14ac:dyDescent="0.25">
      <c r="A393"/>
      <c r="B393"/>
      <c r="C393"/>
      <c r="D393"/>
      <c r="E393"/>
      <c r="F393"/>
      <c r="G393"/>
      <c r="H393"/>
      <c r="I393"/>
    </row>
    <row r="394" spans="1:9" x14ac:dyDescent="0.25">
      <c r="A394"/>
      <c r="B394"/>
      <c r="C394"/>
      <c r="D394"/>
      <c r="E394"/>
      <c r="F394"/>
      <c r="G394"/>
      <c r="H394"/>
      <c r="I394"/>
    </row>
    <row r="395" spans="1:9" x14ac:dyDescent="0.25">
      <c r="A395"/>
      <c r="B395"/>
      <c r="C395"/>
      <c r="D395"/>
      <c r="E395"/>
      <c r="F395"/>
      <c r="G395"/>
      <c r="H395"/>
      <c r="I395"/>
    </row>
    <row r="396" spans="1:9" x14ac:dyDescent="0.25">
      <c r="A396"/>
      <c r="B396"/>
      <c r="C396"/>
      <c r="D396"/>
      <c r="E396"/>
      <c r="F396"/>
      <c r="G396"/>
      <c r="H396"/>
      <c r="I396"/>
    </row>
    <row r="397" spans="1:9" x14ac:dyDescent="0.25">
      <c r="A397"/>
      <c r="B397"/>
      <c r="C397"/>
      <c r="D397"/>
      <c r="E397"/>
      <c r="F397"/>
      <c r="G397"/>
      <c r="H397"/>
      <c r="I397"/>
    </row>
    <row r="398" spans="1:9" x14ac:dyDescent="0.25">
      <c r="A398"/>
      <c r="B398"/>
      <c r="C398"/>
      <c r="D398"/>
      <c r="E398"/>
      <c r="F398"/>
      <c r="G398"/>
      <c r="H398"/>
      <c r="I398"/>
    </row>
    <row r="399" spans="1:9" x14ac:dyDescent="0.25">
      <c r="A399"/>
      <c r="B399"/>
      <c r="C399"/>
      <c r="D399"/>
      <c r="E399"/>
      <c r="F399"/>
      <c r="G399"/>
      <c r="H399"/>
      <c r="I399"/>
    </row>
    <row r="400" spans="1:9" x14ac:dyDescent="0.25">
      <c r="A400"/>
      <c r="B400"/>
      <c r="C400"/>
      <c r="D400"/>
      <c r="E400"/>
      <c r="F400"/>
      <c r="G400"/>
      <c r="H400"/>
      <c r="I400"/>
    </row>
    <row r="401" spans="1:9" x14ac:dyDescent="0.25">
      <c r="A401"/>
      <c r="B401"/>
      <c r="C401"/>
      <c r="D401"/>
      <c r="E401"/>
      <c r="F401"/>
      <c r="G401"/>
      <c r="H401"/>
      <c r="I401"/>
    </row>
    <row r="402" spans="1:9" x14ac:dyDescent="0.25">
      <c r="A402"/>
      <c r="B402"/>
      <c r="C402"/>
      <c r="D402"/>
      <c r="E402"/>
      <c r="F402"/>
      <c r="G402"/>
      <c r="H402"/>
      <c r="I402"/>
    </row>
    <row r="403" spans="1:9" x14ac:dyDescent="0.25">
      <c r="A403"/>
      <c r="B403"/>
      <c r="C403"/>
      <c r="D403"/>
      <c r="E403"/>
      <c r="F403"/>
      <c r="G403"/>
      <c r="H403"/>
      <c r="I403"/>
    </row>
    <row r="404" spans="1:9" x14ac:dyDescent="0.25">
      <c r="A404"/>
      <c r="B404"/>
      <c r="C404"/>
      <c r="D404"/>
      <c r="E404"/>
      <c r="F404"/>
      <c r="G404"/>
      <c r="H404"/>
      <c r="I404"/>
    </row>
    <row r="405" spans="1:9" x14ac:dyDescent="0.25">
      <c r="A405"/>
      <c r="B405"/>
      <c r="C405"/>
      <c r="D405"/>
      <c r="E405"/>
      <c r="F405"/>
      <c r="G405"/>
      <c r="H405"/>
      <c r="I405"/>
    </row>
    <row r="406" spans="1:9" x14ac:dyDescent="0.25">
      <c r="A406"/>
      <c r="B406"/>
      <c r="C406"/>
      <c r="D406"/>
      <c r="E406"/>
      <c r="F406"/>
      <c r="G406"/>
      <c r="H406"/>
      <c r="I406"/>
    </row>
    <row r="407" spans="1:9" x14ac:dyDescent="0.25">
      <c r="A407"/>
      <c r="B407"/>
      <c r="C407"/>
      <c r="D407"/>
      <c r="E407"/>
      <c r="F407"/>
      <c r="G407"/>
      <c r="H407"/>
      <c r="I407"/>
    </row>
    <row r="408" spans="1:9" x14ac:dyDescent="0.25">
      <c r="A408"/>
      <c r="B408"/>
      <c r="C408"/>
      <c r="D408"/>
      <c r="E408"/>
      <c r="F408"/>
      <c r="G408"/>
      <c r="H408"/>
      <c r="I408"/>
    </row>
    <row r="409" spans="1:9" x14ac:dyDescent="0.25">
      <c r="A409"/>
      <c r="B409"/>
      <c r="C409"/>
      <c r="D409"/>
      <c r="E409"/>
      <c r="F409"/>
      <c r="G409"/>
      <c r="H409"/>
      <c r="I409"/>
    </row>
    <row r="410" spans="1:9" x14ac:dyDescent="0.25">
      <c r="A410"/>
      <c r="B410"/>
      <c r="C410"/>
      <c r="D410"/>
      <c r="E410"/>
      <c r="F410"/>
      <c r="G410"/>
      <c r="H410"/>
      <c r="I410"/>
    </row>
    <row r="411" spans="1:9" x14ac:dyDescent="0.25">
      <c r="A411"/>
      <c r="B411"/>
      <c r="C411"/>
      <c r="D411"/>
      <c r="E411"/>
      <c r="F411"/>
      <c r="G411"/>
      <c r="H411"/>
      <c r="I411"/>
    </row>
    <row r="412" spans="1:9" x14ac:dyDescent="0.25">
      <c r="A412"/>
      <c r="B412"/>
      <c r="C412"/>
      <c r="D412"/>
      <c r="E412"/>
      <c r="F412"/>
      <c r="G412"/>
      <c r="H412"/>
      <c r="I412"/>
    </row>
    <row r="413" spans="1:9" x14ac:dyDescent="0.25">
      <c r="A413"/>
      <c r="B413"/>
      <c r="C413"/>
      <c r="D413"/>
      <c r="E413"/>
      <c r="F413"/>
      <c r="G413"/>
      <c r="H413"/>
      <c r="I413"/>
    </row>
    <row r="414" spans="1:9" x14ac:dyDescent="0.25">
      <c r="A414"/>
      <c r="B414"/>
      <c r="C414"/>
      <c r="D414"/>
      <c r="E414"/>
      <c r="F414"/>
      <c r="G414"/>
      <c r="H414"/>
      <c r="I414"/>
    </row>
    <row r="415" spans="1:9" x14ac:dyDescent="0.25">
      <c r="A415"/>
      <c r="B415"/>
      <c r="C415"/>
      <c r="D415"/>
      <c r="E415"/>
      <c r="F415"/>
      <c r="G415"/>
      <c r="H415"/>
      <c r="I415"/>
    </row>
    <row r="416" spans="1:9" x14ac:dyDescent="0.25">
      <c r="A416"/>
      <c r="B416"/>
      <c r="C416"/>
      <c r="D416"/>
      <c r="E416"/>
      <c r="F416"/>
      <c r="G416"/>
      <c r="H416"/>
      <c r="I416"/>
    </row>
    <row r="417" spans="1:9" x14ac:dyDescent="0.25">
      <c r="A417"/>
      <c r="B417"/>
      <c r="C417"/>
      <c r="D417"/>
      <c r="E417"/>
      <c r="F417"/>
      <c r="G417"/>
      <c r="H417"/>
      <c r="I417"/>
    </row>
    <row r="418" spans="1:9" x14ac:dyDescent="0.25">
      <c r="A418"/>
      <c r="B418"/>
      <c r="C418"/>
      <c r="D418"/>
      <c r="E418"/>
      <c r="F418"/>
      <c r="G418"/>
      <c r="H418"/>
      <c r="I418"/>
    </row>
    <row r="419" spans="1:9" x14ac:dyDescent="0.25">
      <c r="A419"/>
      <c r="B419"/>
      <c r="C419"/>
      <c r="D419"/>
      <c r="E419"/>
      <c r="F419"/>
      <c r="G419"/>
      <c r="H419"/>
      <c r="I419"/>
    </row>
    <row r="420" spans="1:9" x14ac:dyDescent="0.25">
      <c r="A420"/>
      <c r="B420"/>
      <c r="C420"/>
      <c r="D420"/>
      <c r="E420"/>
      <c r="F420"/>
      <c r="G420"/>
      <c r="H420"/>
      <c r="I420"/>
    </row>
    <row r="421" spans="1:9" x14ac:dyDescent="0.25">
      <c r="A421"/>
      <c r="B421"/>
      <c r="C421"/>
      <c r="D421"/>
      <c r="E421"/>
      <c r="F421"/>
      <c r="G421"/>
      <c r="H421"/>
      <c r="I421"/>
    </row>
    <row r="422" spans="1:9" x14ac:dyDescent="0.25">
      <c r="A422"/>
      <c r="B422"/>
      <c r="C422"/>
      <c r="D422"/>
      <c r="E422"/>
      <c r="F422"/>
      <c r="G422"/>
      <c r="H422"/>
      <c r="I422"/>
    </row>
    <row r="423" spans="1:9" x14ac:dyDescent="0.25">
      <c r="A423"/>
      <c r="B423"/>
      <c r="C423"/>
      <c r="D423"/>
      <c r="E423"/>
      <c r="F423"/>
      <c r="G423"/>
      <c r="H423"/>
      <c r="I423"/>
    </row>
    <row r="424" spans="1:9" x14ac:dyDescent="0.25">
      <c r="A424"/>
      <c r="B424"/>
      <c r="C424"/>
      <c r="D424"/>
      <c r="E424"/>
      <c r="F424"/>
      <c r="G424"/>
      <c r="H424"/>
      <c r="I424"/>
    </row>
    <row r="425" spans="1:9" x14ac:dyDescent="0.25">
      <c r="A425"/>
      <c r="B425"/>
      <c r="C425"/>
      <c r="D425"/>
      <c r="E425"/>
      <c r="F425"/>
      <c r="G425"/>
      <c r="H425"/>
      <c r="I425"/>
    </row>
    <row r="426" spans="1:9" x14ac:dyDescent="0.25">
      <c r="A426"/>
      <c r="B426"/>
      <c r="C426"/>
      <c r="D426"/>
      <c r="E426"/>
      <c r="F426"/>
      <c r="G426"/>
      <c r="H426"/>
      <c r="I426"/>
    </row>
    <row r="427" spans="1:9" x14ac:dyDescent="0.25">
      <c r="A427"/>
      <c r="B427"/>
      <c r="C427"/>
      <c r="D427"/>
      <c r="E427"/>
      <c r="F427"/>
      <c r="G427"/>
      <c r="H427"/>
      <c r="I427"/>
    </row>
    <row r="428" spans="1:9" x14ac:dyDescent="0.25">
      <c r="A428"/>
      <c r="B428"/>
      <c r="C428"/>
      <c r="D428"/>
      <c r="E428"/>
      <c r="F428"/>
      <c r="G428"/>
      <c r="H428"/>
      <c r="I428"/>
    </row>
    <row r="429" spans="1:9" x14ac:dyDescent="0.25">
      <c r="A429"/>
      <c r="B429"/>
      <c r="C429"/>
      <c r="D429"/>
      <c r="E429"/>
      <c r="F429"/>
      <c r="G429"/>
      <c r="H429"/>
      <c r="I429"/>
    </row>
    <row r="430" spans="1:9" x14ac:dyDescent="0.25">
      <c r="A430"/>
      <c r="B430"/>
      <c r="C430"/>
      <c r="D430"/>
      <c r="E430"/>
      <c r="F430"/>
      <c r="G430"/>
      <c r="H430"/>
      <c r="I430"/>
    </row>
    <row r="431" spans="1:9" x14ac:dyDescent="0.25">
      <c r="A431"/>
      <c r="B431"/>
      <c r="C431"/>
      <c r="D431"/>
      <c r="E431"/>
      <c r="F431"/>
      <c r="G431"/>
      <c r="H431"/>
      <c r="I431"/>
    </row>
    <row r="432" spans="1:9" x14ac:dyDescent="0.25">
      <c r="A432"/>
      <c r="B432"/>
      <c r="C432"/>
      <c r="D432"/>
      <c r="E432"/>
      <c r="F432"/>
      <c r="G432"/>
      <c r="H432"/>
      <c r="I432"/>
    </row>
    <row r="433" spans="1:9" x14ac:dyDescent="0.25">
      <c r="A433"/>
      <c r="B433"/>
      <c r="C433"/>
      <c r="D433"/>
      <c r="E433"/>
      <c r="F433"/>
      <c r="G433"/>
      <c r="H433"/>
      <c r="I433"/>
    </row>
    <row r="434" spans="1:9" x14ac:dyDescent="0.25">
      <c r="A434"/>
      <c r="B434"/>
      <c r="C434"/>
      <c r="D434"/>
      <c r="E434"/>
      <c r="F434"/>
      <c r="G434"/>
      <c r="H434"/>
      <c r="I434"/>
    </row>
    <row r="435" spans="1:9" x14ac:dyDescent="0.25">
      <c r="A435"/>
      <c r="B435"/>
      <c r="C435"/>
      <c r="D435"/>
      <c r="E435"/>
      <c r="F435"/>
      <c r="G435"/>
      <c r="H435"/>
      <c r="I435"/>
    </row>
    <row r="436" spans="1:9" x14ac:dyDescent="0.25">
      <c r="A436"/>
      <c r="B436"/>
      <c r="C436"/>
      <c r="D436"/>
      <c r="E436"/>
      <c r="F436"/>
      <c r="G436"/>
      <c r="H436"/>
      <c r="I436"/>
    </row>
    <row r="437" spans="1:9" x14ac:dyDescent="0.25">
      <c r="A437"/>
      <c r="B437"/>
      <c r="C437"/>
      <c r="D437"/>
      <c r="E437"/>
      <c r="F437"/>
      <c r="G437"/>
      <c r="H437"/>
      <c r="I437"/>
    </row>
    <row r="438" spans="1:9" x14ac:dyDescent="0.25">
      <c r="A438"/>
      <c r="B438"/>
      <c r="C438"/>
      <c r="D438"/>
      <c r="E438"/>
      <c r="F438"/>
      <c r="G438"/>
      <c r="H438"/>
      <c r="I438"/>
    </row>
    <row r="439" spans="1:9" x14ac:dyDescent="0.25">
      <c r="A439"/>
      <c r="B439"/>
      <c r="C439"/>
      <c r="D439"/>
      <c r="E439"/>
      <c r="F439"/>
      <c r="G439"/>
      <c r="H439"/>
      <c r="I439"/>
    </row>
    <row r="440" spans="1:9" x14ac:dyDescent="0.25">
      <c r="A440"/>
      <c r="B440"/>
      <c r="C440"/>
      <c r="D440"/>
      <c r="E440"/>
      <c r="F440"/>
      <c r="G440"/>
      <c r="H440"/>
      <c r="I440"/>
    </row>
    <row r="441" spans="1:9" x14ac:dyDescent="0.25">
      <c r="A441"/>
      <c r="B441"/>
      <c r="C441"/>
      <c r="D441"/>
      <c r="E441"/>
      <c r="F441"/>
      <c r="G441"/>
      <c r="H441"/>
      <c r="I441"/>
    </row>
    <row r="442" spans="1:9" x14ac:dyDescent="0.25">
      <c r="A442"/>
      <c r="B442"/>
      <c r="C442"/>
      <c r="D442"/>
      <c r="E442"/>
      <c r="F442"/>
      <c r="G442"/>
      <c r="H442"/>
      <c r="I442"/>
    </row>
    <row r="443" spans="1:9" x14ac:dyDescent="0.25">
      <c r="A443"/>
      <c r="B443"/>
      <c r="C443"/>
      <c r="D443"/>
      <c r="E443"/>
      <c r="F443"/>
      <c r="G443"/>
      <c r="H443"/>
      <c r="I443"/>
    </row>
    <row r="444" spans="1:9" x14ac:dyDescent="0.25">
      <c r="A444"/>
      <c r="B444"/>
      <c r="C444"/>
      <c r="D444"/>
      <c r="E444"/>
      <c r="F444"/>
      <c r="G444"/>
      <c r="H444"/>
      <c r="I444"/>
    </row>
    <row r="445" spans="1:9" x14ac:dyDescent="0.25">
      <c r="A445"/>
      <c r="B445"/>
      <c r="C445"/>
      <c r="D445"/>
      <c r="E445"/>
      <c r="F445"/>
      <c r="G445"/>
      <c r="H445"/>
      <c r="I445"/>
    </row>
    <row r="446" spans="1:9" x14ac:dyDescent="0.25">
      <c r="A446"/>
      <c r="B446"/>
      <c r="C446"/>
      <c r="D446"/>
      <c r="E446"/>
      <c r="F446"/>
      <c r="G446"/>
      <c r="H446"/>
      <c r="I446"/>
    </row>
    <row r="447" spans="1:9" x14ac:dyDescent="0.25">
      <c r="A447"/>
      <c r="B447"/>
      <c r="C447"/>
      <c r="D447"/>
      <c r="E447"/>
      <c r="F447"/>
      <c r="G447"/>
      <c r="H447"/>
      <c r="I447"/>
    </row>
    <row r="448" spans="1:9" x14ac:dyDescent="0.25">
      <c r="A448"/>
      <c r="B448"/>
      <c r="C448"/>
      <c r="D448"/>
      <c r="E448"/>
      <c r="F448"/>
      <c r="G448"/>
      <c r="H448"/>
      <c r="I448"/>
    </row>
    <row r="449" spans="1:9" x14ac:dyDescent="0.25">
      <c r="A449"/>
      <c r="B449"/>
      <c r="C449"/>
      <c r="D449"/>
      <c r="E449"/>
      <c r="F449"/>
      <c r="G449"/>
      <c r="H449"/>
      <c r="I449"/>
    </row>
    <row r="450" spans="1:9" x14ac:dyDescent="0.25">
      <c r="A450"/>
      <c r="B450"/>
      <c r="C450"/>
      <c r="D450"/>
      <c r="E450"/>
      <c r="F450"/>
      <c r="G450"/>
      <c r="H450"/>
      <c r="I450"/>
    </row>
    <row r="451" spans="1:9" x14ac:dyDescent="0.25">
      <c r="A451"/>
      <c r="B451"/>
      <c r="C451"/>
      <c r="D451"/>
      <c r="E451"/>
      <c r="F451"/>
      <c r="G451"/>
      <c r="H451"/>
      <c r="I451"/>
    </row>
    <row r="452" spans="1:9" x14ac:dyDescent="0.25">
      <c r="A452"/>
      <c r="B452"/>
      <c r="C452"/>
      <c r="D452"/>
      <c r="E452"/>
      <c r="F452"/>
      <c r="G452"/>
      <c r="H452"/>
      <c r="I452"/>
    </row>
    <row r="453" spans="1:9" x14ac:dyDescent="0.25">
      <c r="A453"/>
      <c r="B453"/>
      <c r="C453"/>
      <c r="D453"/>
      <c r="E453"/>
      <c r="F453"/>
      <c r="G453"/>
      <c r="H453"/>
      <c r="I453"/>
    </row>
    <row r="454" spans="1:9" x14ac:dyDescent="0.25">
      <c r="A454"/>
      <c r="B454"/>
      <c r="C454"/>
      <c r="D454"/>
      <c r="E454"/>
      <c r="F454"/>
      <c r="G454"/>
      <c r="H454"/>
      <c r="I454"/>
    </row>
    <row r="455" spans="1:9" x14ac:dyDescent="0.25">
      <c r="A455"/>
      <c r="B455"/>
      <c r="C455"/>
      <c r="D455"/>
      <c r="E455"/>
      <c r="F455"/>
      <c r="G455"/>
      <c r="H455"/>
      <c r="I455"/>
    </row>
    <row r="456" spans="1:9" x14ac:dyDescent="0.25">
      <c r="A456"/>
      <c r="B456"/>
      <c r="C456"/>
      <c r="D456"/>
      <c r="E456"/>
      <c r="F456"/>
      <c r="G456"/>
      <c r="H456"/>
      <c r="I456"/>
    </row>
    <row r="457" spans="1:9" x14ac:dyDescent="0.25">
      <c r="A457"/>
      <c r="B457"/>
      <c r="C457"/>
      <c r="D457"/>
      <c r="E457"/>
      <c r="F457"/>
      <c r="G457"/>
      <c r="H457"/>
      <c r="I457"/>
    </row>
    <row r="458" spans="1:9" x14ac:dyDescent="0.25">
      <c r="A458"/>
      <c r="B458"/>
      <c r="C458"/>
      <c r="D458"/>
      <c r="E458"/>
      <c r="F458"/>
      <c r="G458"/>
      <c r="H458"/>
      <c r="I458"/>
    </row>
    <row r="459" spans="1:9" x14ac:dyDescent="0.25">
      <c r="A459"/>
      <c r="B459"/>
      <c r="C459"/>
      <c r="D459"/>
      <c r="E459"/>
      <c r="F459"/>
      <c r="G459"/>
      <c r="H459"/>
      <c r="I459"/>
    </row>
    <row r="460" spans="1:9" x14ac:dyDescent="0.25">
      <c r="A460"/>
      <c r="B460"/>
      <c r="C460"/>
      <c r="D460"/>
      <c r="E460"/>
      <c r="F460"/>
      <c r="G460"/>
      <c r="H460"/>
      <c r="I460"/>
    </row>
    <row r="461" spans="1:9" x14ac:dyDescent="0.25">
      <c r="A461"/>
      <c r="B461"/>
      <c r="C461"/>
      <c r="D461"/>
      <c r="E461"/>
      <c r="F461"/>
      <c r="G461"/>
      <c r="H461"/>
      <c r="I461"/>
    </row>
    <row r="462" spans="1:9" x14ac:dyDescent="0.25">
      <c r="A462"/>
      <c r="B462"/>
      <c r="C462"/>
      <c r="D462"/>
      <c r="E462"/>
      <c r="F462"/>
      <c r="G462"/>
      <c r="H462"/>
      <c r="I462"/>
    </row>
    <row r="463" spans="1:9" x14ac:dyDescent="0.25">
      <c r="A463"/>
      <c r="B463"/>
      <c r="C463"/>
      <c r="D463"/>
      <c r="E463"/>
      <c r="F463"/>
      <c r="G463"/>
      <c r="H463"/>
      <c r="I463"/>
    </row>
    <row r="464" spans="1:9" x14ac:dyDescent="0.25">
      <c r="A464"/>
      <c r="B464"/>
      <c r="C464"/>
      <c r="D464"/>
      <c r="E464"/>
      <c r="F464"/>
      <c r="G464"/>
      <c r="H464"/>
      <c r="I464"/>
    </row>
    <row r="465" spans="1:9" x14ac:dyDescent="0.25">
      <c r="A465"/>
      <c r="B465"/>
      <c r="C465"/>
      <c r="D465"/>
      <c r="E465"/>
      <c r="F465"/>
      <c r="G465"/>
      <c r="H465"/>
      <c r="I465"/>
    </row>
    <row r="466" spans="1:9" x14ac:dyDescent="0.25">
      <c r="A466"/>
      <c r="B466"/>
      <c r="C466"/>
      <c r="D466"/>
      <c r="E466"/>
      <c r="F466"/>
      <c r="G466"/>
      <c r="H466"/>
      <c r="I466"/>
    </row>
    <row r="467" spans="1:9" x14ac:dyDescent="0.25">
      <c r="A467"/>
      <c r="B467"/>
      <c r="C467"/>
      <c r="D467"/>
      <c r="E467"/>
      <c r="F467"/>
      <c r="G467"/>
      <c r="H467"/>
      <c r="I467"/>
    </row>
    <row r="468" spans="1:9" x14ac:dyDescent="0.25">
      <c r="A468"/>
      <c r="B468"/>
      <c r="C468"/>
      <c r="D468"/>
      <c r="E468"/>
      <c r="F468"/>
      <c r="G468"/>
      <c r="H468"/>
      <c r="I468"/>
    </row>
    <row r="469" spans="1:9" x14ac:dyDescent="0.25">
      <c r="A469"/>
      <c r="B469"/>
      <c r="C469"/>
      <c r="D469"/>
      <c r="E469"/>
      <c r="F469"/>
      <c r="G469"/>
      <c r="H469"/>
      <c r="I469"/>
    </row>
    <row r="470" spans="1:9" x14ac:dyDescent="0.25">
      <c r="A470"/>
      <c r="B470"/>
      <c r="C470"/>
      <c r="D470"/>
      <c r="E470"/>
      <c r="F470"/>
      <c r="G470"/>
      <c r="H470"/>
      <c r="I470"/>
    </row>
    <row r="471" spans="1:9" x14ac:dyDescent="0.25">
      <c r="A471"/>
      <c r="B471"/>
      <c r="C471"/>
      <c r="D471"/>
      <c r="E471"/>
      <c r="F471"/>
      <c r="G471"/>
      <c r="H471"/>
      <c r="I471"/>
    </row>
    <row r="472" spans="1:9" x14ac:dyDescent="0.25">
      <c r="A472"/>
      <c r="B472"/>
      <c r="C472"/>
      <c r="D472"/>
      <c r="E472"/>
      <c r="F472"/>
      <c r="G472"/>
      <c r="H472"/>
      <c r="I472"/>
    </row>
    <row r="473" spans="1:9" x14ac:dyDescent="0.25">
      <c r="A473"/>
      <c r="B473"/>
      <c r="C473"/>
      <c r="D473"/>
      <c r="E473"/>
      <c r="F473"/>
      <c r="G473"/>
      <c r="H473"/>
      <c r="I473"/>
    </row>
    <row r="474" spans="1:9" x14ac:dyDescent="0.25">
      <c r="A474"/>
      <c r="B474"/>
      <c r="C474"/>
      <c r="D474"/>
      <c r="E474"/>
      <c r="F474"/>
      <c r="G474"/>
      <c r="H474"/>
      <c r="I474"/>
    </row>
    <row r="475" spans="1:9" x14ac:dyDescent="0.25">
      <c r="A475"/>
      <c r="B475"/>
      <c r="C475"/>
      <c r="D475"/>
      <c r="E475"/>
      <c r="F475"/>
      <c r="G475"/>
      <c r="H475"/>
      <c r="I475"/>
    </row>
    <row r="476" spans="1:9" x14ac:dyDescent="0.25">
      <c r="A476"/>
      <c r="B476"/>
      <c r="C476"/>
      <c r="D476"/>
      <c r="E476"/>
      <c r="F476"/>
      <c r="G476"/>
      <c r="H476"/>
      <c r="I476"/>
    </row>
    <row r="477" spans="1:9" x14ac:dyDescent="0.25">
      <c r="A477"/>
      <c r="B477"/>
      <c r="C477"/>
      <c r="D477"/>
      <c r="E477"/>
      <c r="F477"/>
      <c r="G477"/>
      <c r="H477"/>
      <c r="I477"/>
    </row>
    <row r="478" spans="1:9" x14ac:dyDescent="0.25">
      <c r="A478"/>
      <c r="B478"/>
      <c r="C478"/>
      <c r="D478"/>
      <c r="E478"/>
      <c r="F478"/>
      <c r="G478"/>
      <c r="H478"/>
      <c r="I478"/>
    </row>
    <row r="479" spans="1:9" x14ac:dyDescent="0.25">
      <c r="A479"/>
      <c r="B479"/>
      <c r="C479"/>
      <c r="D479"/>
      <c r="E479"/>
      <c r="F479"/>
      <c r="G479"/>
      <c r="H479"/>
      <c r="I479"/>
    </row>
    <row r="480" spans="1:9" x14ac:dyDescent="0.25">
      <c r="A480"/>
      <c r="B480"/>
      <c r="C480"/>
      <c r="D480"/>
      <c r="E480"/>
      <c r="F480"/>
      <c r="G480"/>
      <c r="H480"/>
      <c r="I480"/>
    </row>
    <row r="481" spans="1:9" x14ac:dyDescent="0.25">
      <c r="A481"/>
      <c r="B481"/>
      <c r="C481"/>
      <c r="D481"/>
      <c r="E481"/>
      <c r="F481"/>
      <c r="G481"/>
      <c r="H481"/>
      <c r="I481"/>
    </row>
    <row r="482" spans="1:9" x14ac:dyDescent="0.25">
      <c r="A482"/>
      <c r="B482"/>
      <c r="C482"/>
      <c r="D482"/>
      <c r="E482"/>
      <c r="F482"/>
      <c r="G482"/>
      <c r="H482"/>
      <c r="I482"/>
    </row>
    <row r="483" spans="1:9" x14ac:dyDescent="0.25">
      <c r="A483"/>
      <c r="B483"/>
      <c r="C483"/>
      <c r="D483"/>
      <c r="E483"/>
      <c r="F483"/>
      <c r="G483"/>
      <c r="H483"/>
      <c r="I483"/>
    </row>
    <row r="484" spans="1:9" x14ac:dyDescent="0.25">
      <c r="A484"/>
      <c r="B484"/>
      <c r="C484"/>
      <c r="D484"/>
      <c r="E484"/>
      <c r="F484"/>
      <c r="G484"/>
      <c r="H484"/>
      <c r="I484"/>
    </row>
    <row r="485" spans="1:9" x14ac:dyDescent="0.25">
      <c r="A485"/>
      <c r="B485"/>
      <c r="C485"/>
      <c r="D485"/>
      <c r="E485"/>
      <c r="F485"/>
      <c r="G485"/>
      <c r="H485"/>
      <c r="I485"/>
    </row>
    <row r="486" spans="1:9" x14ac:dyDescent="0.25">
      <c r="A486"/>
      <c r="B486"/>
      <c r="C486"/>
      <c r="D486"/>
      <c r="E486"/>
      <c r="F486"/>
      <c r="G486"/>
      <c r="H486"/>
      <c r="I486"/>
    </row>
    <row r="487" spans="1:9" x14ac:dyDescent="0.25">
      <c r="A487"/>
      <c r="B487"/>
      <c r="C487"/>
      <c r="D487"/>
      <c r="E487"/>
      <c r="F487"/>
      <c r="G487"/>
      <c r="H487"/>
      <c r="I487"/>
    </row>
    <row r="488" spans="1:9" x14ac:dyDescent="0.25">
      <c r="A488"/>
      <c r="B488"/>
      <c r="C488"/>
      <c r="D488"/>
      <c r="E488"/>
      <c r="F488"/>
      <c r="G488"/>
      <c r="H488"/>
      <c r="I488"/>
    </row>
    <row r="489" spans="1:9" x14ac:dyDescent="0.25">
      <c r="A489"/>
      <c r="B489"/>
      <c r="C489"/>
      <c r="D489"/>
      <c r="E489"/>
      <c r="F489"/>
      <c r="G489"/>
      <c r="H489"/>
      <c r="I489"/>
    </row>
    <row r="490" spans="1:9" x14ac:dyDescent="0.25">
      <c r="A490"/>
      <c r="B490"/>
      <c r="C490"/>
      <c r="D490"/>
      <c r="E490"/>
      <c r="F490"/>
      <c r="G490"/>
      <c r="H490"/>
      <c r="I490"/>
    </row>
    <row r="491" spans="1:9" x14ac:dyDescent="0.25">
      <c r="A491"/>
      <c r="B491"/>
      <c r="C491"/>
      <c r="D491"/>
      <c r="E491"/>
      <c r="F491"/>
      <c r="G491"/>
      <c r="H491"/>
      <c r="I491"/>
    </row>
    <row r="492" spans="1:9" x14ac:dyDescent="0.25">
      <c r="A492"/>
      <c r="B492"/>
      <c r="C492"/>
      <c r="D492"/>
      <c r="E492"/>
      <c r="F492"/>
      <c r="G492"/>
      <c r="H492"/>
      <c r="I492"/>
    </row>
    <row r="493" spans="1:9" x14ac:dyDescent="0.25">
      <c r="A493"/>
      <c r="B493"/>
      <c r="C493"/>
      <c r="D493"/>
      <c r="E493"/>
      <c r="F493"/>
      <c r="G493"/>
      <c r="H493"/>
      <c r="I493"/>
    </row>
    <row r="494" spans="1:9" x14ac:dyDescent="0.25">
      <c r="A494"/>
      <c r="B494"/>
      <c r="C494"/>
      <c r="D494"/>
      <c r="E494"/>
      <c r="F494"/>
      <c r="G494"/>
      <c r="H494"/>
      <c r="I494"/>
    </row>
    <row r="495" spans="1:9" x14ac:dyDescent="0.25">
      <c r="A495"/>
      <c r="B495"/>
      <c r="C495"/>
      <c r="D495"/>
      <c r="E495"/>
      <c r="F495"/>
      <c r="G495"/>
      <c r="H495"/>
      <c r="I495"/>
    </row>
    <row r="496" spans="1:9" x14ac:dyDescent="0.25">
      <c r="A496"/>
      <c r="B496"/>
      <c r="C496"/>
      <c r="D496"/>
      <c r="E496"/>
      <c r="F496"/>
      <c r="G496"/>
      <c r="H496"/>
      <c r="I496"/>
    </row>
    <row r="497" spans="1:9" x14ac:dyDescent="0.25">
      <c r="A497"/>
      <c r="B497"/>
      <c r="C497"/>
      <c r="D497"/>
      <c r="E497"/>
      <c r="F497"/>
      <c r="G497"/>
      <c r="H497"/>
      <c r="I497"/>
    </row>
    <row r="498" spans="1:9" x14ac:dyDescent="0.25">
      <c r="A498"/>
      <c r="B498"/>
      <c r="C498"/>
      <c r="D498"/>
      <c r="E498"/>
      <c r="F498"/>
      <c r="G498"/>
      <c r="H498"/>
      <c r="I498"/>
    </row>
    <row r="499" spans="1:9" x14ac:dyDescent="0.25">
      <c r="A499"/>
      <c r="B499"/>
      <c r="C499"/>
      <c r="D499"/>
      <c r="E499"/>
      <c r="F499"/>
      <c r="G499"/>
      <c r="H499"/>
      <c r="I499"/>
    </row>
    <row r="500" spans="1:9" x14ac:dyDescent="0.25">
      <c r="A500"/>
      <c r="B500"/>
      <c r="C500"/>
      <c r="D500"/>
      <c r="E500"/>
      <c r="F500"/>
      <c r="G500"/>
      <c r="H500"/>
      <c r="I500"/>
    </row>
    <row r="501" spans="1:9" x14ac:dyDescent="0.25">
      <c r="A501"/>
      <c r="B501"/>
      <c r="C501"/>
      <c r="D501"/>
      <c r="E501"/>
      <c r="F501"/>
      <c r="G501"/>
      <c r="H501"/>
      <c r="I501"/>
    </row>
    <row r="502" spans="1:9" x14ac:dyDescent="0.25">
      <c r="A502"/>
      <c r="B502"/>
      <c r="C502"/>
      <c r="D502"/>
      <c r="E502"/>
      <c r="F502"/>
      <c r="G502"/>
      <c r="H502"/>
      <c r="I502"/>
    </row>
    <row r="503" spans="1:9" x14ac:dyDescent="0.25">
      <c r="A503"/>
      <c r="B503"/>
      <c r="C503"/>
      <c r="D503"/>
      <c r="E503"/>
      <c r="F503"/>
      <c r="G503"/>
      <c r="H503"/>
      <c r="I503"/>
    </row>
    <row r="504" spans="1:9" x14ac:dyDescent="0.25">
      <c r="A504"/>
      <c r="B504"/>
      <c r="C504"/>
      <c r="D504"/>
      <c r="E504"/>
      <c r="F504"/>
      <c r="G504"/>
      <c r="H504"/>
      <c r="I504"/>
    </row>
    <row r="505" spans="1:9" x14ac:dyDescent="0.25">
      <c r="A505"/>
      <c r="B505"/>
      <c r="C505"/>
      <c r="D505"/>
      <c r="E505"/>
      <c r="F505"/>
      <c r="G505"/>
      <c r="H505"/>
      <c r="I505"/>
    </row>
    <row r="506" spans="1:9" x14ac:dyDescent="0.25">
      <c r="A506"/>
      <c r="B506"/>
      <c r="C506"/>
      <c r="D506"/>
      <c r="E506"/>
      <c r="F506"/>
      <c r="G506"/>
      <c r="H506"/>
      <c r="I506"/>
    </row>
    <row r="507" spans="1:9" x14ac:dyDescent="0.25">
      <c r="A507"/>
      <c r="B507"/>
      <c r="C507"/>
      <c r="D507"/>
      <c r="E507"/>
      <c r="F507"/>
      <c r="G507"/>
      <c r="H507"/>
      <c r="I507"/>
    </row>
    <row r="508" spans="1:9" x14ac:dyDescent="0.25">
      <c r="A508"/>
      <c r="B508"/>
      <c r="C508"/>
      <c r="D508"/>
      <c r="E508"/>
      <c r="F508"/>
      <c r="G508"/>
      <c r="H508"/>
      <c r="I508"/>
    </row>
    <row r="509" spans="1:9" x14ac:dyDescent="0.25">
      <c r="A509"/>
      <c r="B509"/>
      <c r="C509"/>
      <c r="D509"/>
      <c r="E509"/>
      <c r="F509"/>
      <c r="G509"/>
      <c r="H509"/>
      <c r="I509"/>
    </row>
    <row r="510" spans="1:9" x14ac:dyDescent="0.25">
      <c r="A510"/>
      <c r="B510"/>
      <c r="C510"/>
      <c r="D510"/>
      <c r="E510"/>
      <c r="F510"/>
      <c r="G510"/>
      <c r="H510"/>
      <c r="I510"/>
    </row>
    <row r="511" spans="1:9" x14ac:dyDescent="0.25">
      <c r="A511"/>
      <c r="B511"/>
      <c r="C511"/>
      <c r="D511"/>
      <c r="E511"/>
      <c r="F511"/>
      <c r="G511"/>
      <c r="H511"/>
      <c r="I511"/>
    </row>
    <row r="512" spans="1:9" x14ac:dyDescent="0.25">
      <c r="A512"/>
      <c r="B512"/>
      <c r="C512"/>
      <c r="D512"/>
      <c r="E512"/>
      <c r="F512"/>
      <c r="G512"/>
      <c r="H512"/>
      <c r="I512"/>
    </row>
    <row r="513" spans="1:9" x14ac:dyDescent="0.25">
      <c r="A513"/>
      <c r="B513"/>
      <c r="C513"/>
      <c r="D513"/>
      <c r="E513"/>
      <c r="F513"/>
      <c r="G513"/>
      <c r="H513"/>
      <c r="I513"/>
    </row>
    <row r="514" spans="1:9" x14ac:dyDescent="0.25">
      <c r="A514"/>
      <c r="B514"/>
      <c r="C514"/>
      <c r="D514"/>
      <c r="E514"/>
      <c r="F514"/>
      <c r="G514"/>
      <c r="H514"/>
      <c r="I514"/>
    </row>
    <row r="515" spans="1:9" x14ac:dyDescent="0.25">
      <c r="A515"/>
      <c r="B515"/>
      <c r="C515"/>
      <c r="D515"/>
      <c r="E515"/>
      <c r="F515"/>
      <c r="G515"/>
      <c r="H515"/>
      <c r="I515"/>
    </row>
    <row r="516" spans="1:9" x14ac:dyDescent="0.25">
      <c r="A516"/>
      <c r="B516"/>
      <c r="C516"/>
      <c r="D516"/>
      <c r="E516"/>
      <c r="F516"/>
      <c r="G516"/>
      <c r="H516"/>
      <c r="I516"/>
    </row>
    <row r="517" spans="1:9" x14ac:dyDescent="0.25">
      <c r="A517"/>
      <c r="B517"/>
      <c r="C517"/>
      <c r="D517"/>
      <c r="E517"/>
      <c r="F517"/>
      <c r="G517"/>
      <c r="H517"/>
      <c r="I517"/>
    </row>
    <row r="518" spans="1:9" x14ac:dyDescent="0.25">
      <c r="A518"/>
      <c r="B518"/>
      <c r="C518"/>
      <c r="D518"/>
      <c r="E518"/>
      <c r="F518"/>
      <c r="G518"/>
      <c r="H518"/>
      <c r="I518"/>
    </row>
    <row r="519" spans="1:9" x14ac:dyDescent="0.25">
      <c r="A519"/>
      <c r="B519"/>
      <c r="C519"/>
      <c r="D519"/>
      <c r="E519"/>
      <c r="F519"/>
      <c r="G519"/>
      <c r="H519"/>
      <c r="I519"/>
    </row>
    <row r="520" spans="1:9" x14ac:dyDescent="0.25">
      <c r="A520"/>
      <c r="B520"/>
      <c r="C520"/>
      <c r="D520"/>
      <c r="E520"/>
      <c r="F520"/>
      <c r="G520"/>
      <c r="H520"/>
      <c r="I520"/>
    </row>
    <row r="521" spans="1:9" x14ac:dyDescent="0.25">
      <c r="A521"/>
      <c r="B521"/>
      <c r="C521"/>
      <c r="D521"/>
      <c r="E521"/>
      <c r="F521"/>
      <c r="G521"/>
      <c r="H521"/>
      <c r="I521"/>
    </row>
    <row r="522" spans="1:9" x14ac:dyDescent="0.25">
      <c r="A522"/>
      <c r="B522"/>
      <c r="C522"/>
      <c r="D522"/>
      <c r="E522"/>
      <c r="F522"/>
      <c r="G522"/>
      <c r="H522"/>
      <c r="I522"/>
    </row>
    <row r="523" spans="1:9" x14ac:dyDescent="0.25">
      <c r="A523"/>
      <c r="B523"/>
      <c r="C523"/>
      <c r="D523"/>
      <c r="E523"/>
      <c r="F523"/>
      <c r="G523"/>
      <c r="H523"/>
      <c r="I523"/>
    </row>
    <row r="524" spans="1:9" x14ac:dyDescent="0.25">
      <c r="A524"/>
      <c r="B524"/>
      <c r="C524"/>
      <c r="D524"/>
      <c r="E524"/>
      <c r="F524"/>
      <c r="G524"/>
      <c r="H524"/>
      <c r="I524"/>
    </row>
    <row r="525" spans="1:9" x14ac:dyDescent="0.25">
      <c r="A525"/>
      <c r="B525"/>
      <c r="C525"/>
      <c r="D525"/>
      <c r="E525"/>
      <c r="F525"/>
      <c r="G525"/>
      <c r="H525"/>
      <c r="I525"/>
    </row>
    <row r="526" spans="1:9" x14ac:dyDescent="0.25">
      <c r="A526"/>
      <c r="B526"/>
      <c r="C526"/>
      <c r="D526"/>
      <c r="E526"/>
      <c r="F526"/>
      <c r="G526"/>
      <c r="H526"/>
      <c r="I526"/>
    </row>
    <row r="527" spans="1:9" x14ac:dyDescent="0.25">
      <c r="A527"/>
      <c r="B527"/>
      <c r="C527"/>
      <c r="D527"/>
      <c r="E527"/>
      <c r="F527"/>
      <c r="G527"/>
      <c r="H527"/>
      <c r="I527"/>
    </row>
    <row r="528" spans="1:9" x14ac:dyDescent="0.25">
      <c r="A528"/>
      <c r="B528"/>
      <c r="C528"/>
      <c r="D528"/>
      <c r="E528"/>
      <c r="F528"/>
      <c r="G528"/>
      <c r="H528"/>
      <c r="I528"/>
    </row>
    <row r="529" spans="1:9" x14ac:dyDescent="0.25">
      <c r="A529"/>
      <c r="B529"/>
      <c r="C529"/>
      <c r="D529"/>
      <c r="E529"/>
      <c r="F529"/>
      <c r="G529"/>
      <c r="H529"/>
      <c r="I529"/>
    </row>
    <row r="530" spans="1:9" x14ac:dyDescent="0.25">
      <c r="A530"/>
      <c r="B530"/>
      <c r="C530"/>
      <c r="D530"/>
      <c r="E530"/>
      <c r="F530"/>
      <c r="G530"/>
      <c r="H530"/>
      <c r="I530"/>
    </row>
    <row r="531" spans="1:9" x14ac:dyDescent="0.25">
      <c r="A531"/>
      <c r="B531"/>
      <c r="C531"/>
      <c r="D531"/>
      <c r="E531"/>
      <c r="F531"/>
      <c r="G531"/>
      <c r="H531"/>
      <c r="I531"/>
    </row>
    <row r="532" spans="1:9" x14ac:dyDescent="0.25">
      <c r="A532"/>
      <c r="B532"/>
      <c r="C532"/>
      <c r="D532"/>
      <c r="E532"/>
      <c r="F532"/>
      <c r="G532"/>
      <c r="H532"/>
      <c r="I532"/>
    </row>
    <row r="533" spans="1:9" x14ac:dyDescent="0.25">
      <c r="A533"/>
      <c r="B533"/>
      <c r="C533"/>
      <c r="D533"/>
      <c r="E533"/>
      <c r="F533"/>
      <c r="G533"/>
      <c r="H533"/>
      <c r="I533"/>
    </row>
    <row r="534" spans="1:9" x14ac:dyDescent="0.25">
      <c r="A534"/>
      <c r="B534"/>
      <c r="C534"/>
      <c r="D534"/>
      <c r="E534"/>
      <c r="F534"/>
      <c r="G534"/>
      <c r="H534"/>
      <c r="I534"/>
    </row>
    <row r="535" spans="1:9" x14ac:dyDescent="0.25">
      <c r="A535"/>
      <c r="B535"/>
      <c r="C535"/>
      <c r="D535"/>
      <c r="E535"/>
      <c r="F535"/>
      <c r="G535"/>
      <c r="H535"/>
      <c r="I535"/>
    </row>
    <row r="536" spans="1:9" x14ac:dyDescent="0.25">
      <c r="A536"/>
      <c r="B536"/>
      <c r="C536"/>
      <c r="D536"/>
      <c r="E536"/>
      <c r="F536"/>
      <c r="G536"/>
      <c r="H536"/>
      <c r="I536"/>
    </row>
    <row r="537" spans="1:9" x14ac:dyDescent="0.25">
      <c r="A537"/>
      <c r="B537"/>
      <c r="C537"/>
      <c r="D537"/>
      <c r="E537"/>
      <c r="F537"/>
      <c r="G537"/>
      <c r="H537"/>
      <c r="I537"/>
    </row>
    <row r="538" spans="1:9" x14ac:dyDescent="0.25">
      <c r="A538"/>
      <c r="B538"/>
      <c r="C538"/>
      <c r="D538"/>
      <c r="E538"/>
      <c r="F538"/>
      <c r="G538"/>
      <c r="H538"/>
      <c r="I538"/>
    </row>
    <row r="539" spans="1:9" x14ac:dyDescent="0.25">
      <c r="A539"/>
      <c r="B539"/>
      <c r="C539"/>
      <c r="D539"/>
      <c r="E539"/>
      <c r="F539"/>
      <c r="G539"/>
      <c r="H539"/>
      <c r="I539"/>
    </row>
    <row r="540" spans="1:9" x14ac:dyDescent="0.25">
      <c r="A540"/>
      <c r="B540"/>
      <c r="C540"/>
      <c r="D540"/>
      <c r="E540"/>
      <c r="F540"/>
      <c r="G540"/>
      <c r="H540"/>
      <c r="I540"/>
    </row>
    <row r="541" spans="1:9" x14ac:dyDescent="0.25">
      <c r="A541"/>
      <c r="B541"/>
      <c r="C541"/>
      <c r="D541"/>
      <c r="E541"/>
      <c r="F541"/>
      <c r="G541"/>
      <c r="H541"/>
      <c r="I541"/>
    </row>
    <row r="542" spans="1:9" x14ac:dyDescent="0.25">
      <c r="A542"/>
      <c r="B542"/>
      <c r="C542"/>
      <c r="D542"/>
      <c r="E542"/>
      <c r="F542"/>
      <c r="G542"/>
      <c r="H542"/>
      <c r="I542"/>
    </row>
    <row r="543" spans="1:9" x14ac:dyDescent="0.25">
      <c r="A543"/>
      <c r="B543"/>
      <c r="C543"/>
      <c r="D543"/>
      <c r="E543"/>
      <c r="F543"/>
      <c r="G543"/>
      <c r="H543"/>
      <c r="I543"/>
    </row>
    <row r="544" spans="1:9" x14ac:dyDescent="0.25">
      <c r="A544"/>
      <c r="B544"/>
      <c r="C544"/>
      <c r="D544"/>
      <c r="E544"/>
      <c r="F544"/>
      <c r="G544"/>
      <c r="H544"/>
      <c r="I544"/>
    </row>
    <row r="545" spans="1:9" x14ac:dyDescent="0.25">
      <c r="A545"/>
      <c r="B545"/>
      <c r="C545"/>
      <c r="D545"/>
      <c r="E545"/>
      <c r="F545"/>
      <c r="G545"/>
      <c r="H545"/>
      <c r="I545"/>
    </row>
    <row r="546" spans="1:9" x14ac:dyDescent="0.25">
      <c r="A546"/>
      <c r="B546"/>
      <c r="C546"/>
      <c r="D546"/>
      <c r="E546"/>
      <c r="F546"/>
      <c r="G546"/>
      <c r="H546"/>
      <c r="I546"/>
    </row>
    <row r="547" spans="1:9" x14ac:dyDescent="0.25">
      <c r="A547"/>
      <c r="B547"/>
      <c r="C547"/>
      <c r="D547"/>
      <c r="E547"/>
      <c r="F547"/>
      <c r="G547"/>
      <c r="H547"/>
      <c r="I547"/>
    </row>
    <row r="548" spans="1:9" x14ac:dyDescent="0.25">
      <c r="A548"/>
      <c r="B548"/>
      <c r="C548"/>
      <c r="D548"/>
      <c r="E548"/>
      <c r="F548"/>
      <c r="G548"/>
      <c r="H548"/>
      <c r="I548"/>
    </row>
    <row r="549" spans="1:9" x14ac:dyDescent="0.25">
      <c r="A549"/>
      <c r="B549"/>
      <c r="C549"/>
      <c r="D549"/>
      <c r="E549"/>
      <c r="F549"/>
      <c r="G549"/>
      <c r="H549"/>
      <c r="I549"/>
    </row>
    <row r="550" spans="1:9" x14ac:dyDescent="0.25">
      <c r="A550"/>
      <c r="B550"/>
      <c r="C550"/>
      <c r="D550"/>
      <c r="E550"/>
      <c r="F550"/>
      <c r="G550"/>
      <c r="H550"/>
      <c r="I550"/>
    </row>
    <row r="551" spans="1:9" x14ac:dyDescent="0.25">
      <c r="A551"/>
      <c r="B551"/>
      <c r="C551"/>
      <c r="D551"/>
      <c r="E551"/>
      <c r="F551"/>
      <c r="G551"/>
      <c r="H551"/>
      <c r="I551"/>
    </row>
    <row r="552" spans="1:9" x14ac:dyDescent="0.25">
      <c r="A552"/>
      <c r="B552"/>
      <c r="C552"/>
      <c r="D552"/>
      <c r="E552"/>
      <c r="F552"/>
      <c r="G552"/>
      <c r="H552"/>
      <c r="I552"/>
    </row>
    <row r="553" spans="1:9" x14ac:dyDescent="0.25">
      <c r="A553"/>
      <c r="B553"/>
      <c r="C553"/>
      <c r="D553"/>
      <c r="E553"/>
      <c r="F553"/>
      <c r="G553"/>
      <c r="H553"/>
      <c r="I553"/>
    </row>
    <row r="554" spans="1:9" x14ac:dyDescent="0.25">
      <c r="A554"/>
      <c r="B554"/>
      <c r="C554"/>
      <c r="D554"/>
      <c r="E554"/>
      <c r="F554"/>
      <c r="G554"/>
      <c r="H554"/>
      <c r="I554"/>
    </row>
    <row r="555" spans="1:9" x14ac:dyDescent="0.25">
      <c r="A555"/>
      <c r="B555"/>
      <c r="C555"/>
      <c r="D555"/>
      <c r="E555"/>
      <c r="F555"/>
      <c r="G555"/>
      <c r="H555"/>
      <c r="I555"/>
    </row>
    <row r="556" spans="1:9" x14ac:dyDescent="0.25">
      <c r="A556"/>
      <c r="B556"/>
      <c r="C556"/>
      <c r="D556"/>
      <c r="E556"/>
      <c r="F556"/>
      <c r="G556"/>
      <c r="H556"/>
      <c r="I556"/>
    </row>
    <row r="557" spans="1:9" x14ac:dyDescent="0.25">
      <c r="A557"/>
      <c r="B557"/>
      <c r="C557"/>
      <c r="D557"/>
      <c r="E557"/>
      <c r="F557"/>
      <c r="G557"/>
      <c r="H557"/>
      <c r="I557"/>
    </row>
    <row r="558" spans="1:9" x14ac:dyDescent="0.25">
      <c r="A558"/>
      <c r="B558"/>
      <c r="C558"/>
      <c r="D558"/>
      <c r="E558"/>
      <c r="F558"/>
      <c r="G558"/>
      <c r="H558"/>
      <c r="I558"/>
    </row>
    <row r="559" spans="1:9" x14ac:dyDescent="0.25">
      <c r="A559"/>
      <c r="B559"/>
      <c r="C559"/>
      <c r="D559"/>
      <c r="E559"/>
      <c r="F559"/>
      <c r="G559"/>
      <c r="H559"/>
      <c r="I559"/>
    </row>
    <row r="560" spans="1:9" x14ac:dyDescent="0.25">
      <c r="A560"/>
      <c r="B560"/>
      <c r="C560"/>
      <c r="D560"/>
      <c r="E560"/>
      <c r="F560"/>
      <c r="G560"/>
      <c r="H560"/>
      <c r="I560"/>
    </row>
    <row r="561" spans="1:9" x14ac:dyDescent="0.25">
      <c r="A561"/>
      <c r="B561"/>
      <c r="C561"/>
      <c r="D561"/>
      <c r="E561"/>
      <c r="F561"/>
      <c r="G561"/>
      <c r="H561"/>
      <c r="I561"/>
    </row>
    <row r="562" spans="1:9" x14ac:dyDescent="0.25">
      <c r="A562"/>
      <c r="B562"/>
      <c r="C562"/>
      <c r="D562"/>
      <c r="E562"/>
      <c r="F562"/>
      <c r="G562"/>
      <c r="H562"/>
      <c r="I562"/>
    </row>
    <row r="563" spans="1:9" x14ac:dyDescent="0.25">
      <c r="A563"/>
      <c r="B563"/>
      <c r="C563"/>
      <c r="D563"/>
      <c r="E563"/>
      <c r="F563"/>
      <c r="G563"/>
      <c r="H563"/>
      <c r="I563"/>
    </row>
    <row r="564" spans="1:9" x14ac:dyDescent="0.25">
      <c r="A564"/>
      <c r="B564"/>
      <c r="C564"/>
      <c r="D564"/>
      <c r="E564"/>
      <c r="F564"/>
      <c r="G564"/>
      <c r="H564"/>
      <c r="I564"/>
    </row>
    <row r="565" spans="1:9" x14ac:dyDescent="0.25">
      <c r="A565"/>
      <c r="B565"/>
      <c r="C565"/>
      <c r="D565"/>
      <c r="E565"/>
      <c r="F565"/>
      <c r="G565"/>
      <c r="H565"/>
      <c r="I565"/>
    </row>
    <row r="566" spans="1:9" x14ac:dyDescent="0.25">
      <c r="A566"/>
      <c r="B566"/>
      <c r="C566"/>
      <c r="D566"/>
      <c r="E566"/>
      <c r="F566"/>
      <c r="G566"/>
      <c r="H566"/>
      <c r="I566"/>
    </row>
    <row r="567" spans="1:9" x14ac:dyDescent="0.25">
      <c r="A567"/>
      <c r="B567"/>
      <c r="C567"/>
      <c r="D567"/>
      <c r="E567"/>
      <c r="F567"/>
      <c r="G567"/>
      <c r="H567"/>
      <c r="I567"/>
    </row>
    <row r="568" spans="1:9" x14ac:dyDescent="0.25">
      <c r="A568"/>
      <c r="B568"/>
      <c r="C568"/>
      <c r="D568"/>
      <c r="E568"/>
      <c r="F568"/>
      <c r="G568"/>
      <c r="H568"/>
      <c r="I568"/>
    </row>
    <row r="569" spans="1:9" x14ac:dyDescent="0.25">
      <c r="A569"/>
      <c r="B569"/>
      <c r="C569"/>
      <c r="D569"/>
      <c r="E569"/>
      <c r="F569"/>
      <c r="G569"/>
      <c r="H569"/>
      <c r="I569"/>
    </row>
    <row r="570" spans="1:9" x14ac:dyDescent="0.25">
      <c r="A570"/>
      <c r="B570"/>
      <c r="C570"/>
      <c r="D570"/>
      <c r="E570"/>
      <c r="F570"/>
      <c r="G570"/>
      <c r="H570"/>
      <c r="I570"/>
    </row>
    <row r="571" spans="1:9" x14ac:dyDescent="0.25">
      <c r="A571"/>
      <c r="B571"/>
      <c r="C571"/>
      <c r="D571"/>
      <c r="E571"/>
      <c r="F571"/>
      <c r="G571"/>
      <c r="H571"/>
      <c r="I571"/>
    </row>
    <row r="572" spans="1:9" x14ac:dyDescent="0.25">
      <c r="A572"/>
      <c r="B572"/>
      <c r="C572"/>
      <c r="D572"/>
      <c r="E572"/>
      <c r="F572"/>
      <c r="G572"/>
      <c r="H572"/>
      <c r="I572"/>
    </row>
    <row r="573" spans="1:9" x14ac:dyDescent="0.25">
      <c r="A573"/>
      <c r="B573"/>
      <c r="C573"/>
      <c r="D573"/>
      <c r="E573"/>
      <c r="F573"/>
      <c r="G573"/>
      <c r="H573"/>
      <c r="I573"/>
    </row>
    <row r="574" spans="1:9" x14ac:dyDescent="0.25">
      <c r="A574"/>
      <c r="B574"/>
      <c r="C574"/>
      <c r="D574"/>
      <c r="E574"/>
      <c r="F574"/>
      <c r="G574"/>
      <c r="H574"/>
      <c r="I574"/>
    </row>
    <row r="575" spans="1:9" x14ac:dyDescent="0.25">
      <c r="A575"/>
      <c r="B575"/>
      <c r="C575"/>
      <c r="D575"/>
      <c r="E575"/>
      <c r="F575"/>
      <c r="G575"/>
      <c r="H575"/>
      <c r="I575"/>
    </row>
    <row r="576" spans="1:9" x14ac:dyDescent="0.25">
      <c r="A576"/>
      <c r="B576"/>
      <c r="C576"/>
      <c r="D576"/>
      <c r="E576"/>
      <c r="F576"/>
      <c r="G576"/>
      <c r="H576"/>
      <c r="I576"/>
    </row>
    <row r="577" spans="1:9" x14ac:dyDescent="0.25">
      <c r="A577"/>
      <c r="B577"/>
      <c r="C577"/>
      <c r="D577"/>
      <c r="E577"/>
      <c r="F577"/>
      <c r="G577"/>
      <c r="H577"/>
      <c r="I577"/>
    </row>
    <row r="578" spans="1:9" x14ac:dyDescent="0.25">
      <c r="A578"/>
      <c r="B578"/>
      <c r="C578"/>
      <c r="D578"/>
      <c r="E578"/>
      <c r="F578"/>
      <c r="G578"/>
      <c r="H578"/>
      <c r="I578"/>
    </row>
    <row r="579" spans="1:9" x14ac:dyDescent="0.25">
      <c r="A579"/>
      <c r="B579"/>
      <c r="C579"/>
      <c r="D579"/>
      <c r="E579"/>
      <c r="F579"/>
      <c r="G579"/>
      <c r="H579"/>
      <c r="I579"/>
    </row>
    <row r="580" spans="1:9" x14ac:dyDescent="0.25">
      <c r="A580"/>
      <c r="B580"/>
      <c r="C580"/>
      <c r="D580"/>
      <c r="E580"/>
      <c r="F580"/>
      <c r="G580"/>
      <c r="H580"/>
      <c r="I580"/>
    </row>
    <row r="581" spans="1:9" x14ac:dyDescent="0.25">
      <c r="A581"/>
      <c r="B581"/>
      <c r="C581"/>
      <c r="D581"/>
      <c r="E581"/>
      <c r="F581"/>
      <c r="G581"/>
      <c r="H581"/>
      <c r="I581"/>
    </row>
    <row r="582" spans="1:9" x14ac:dyDescent="0.25">
      <c r="A582"/>
      <c r="B582"/>
      <c r="C582"/>
      <c r="D582"/>
      <c r="E582"/>
      <c r="F582"/>
      <c r="G582"/>
      <c r="H582"/>
      <c r="I582"/>
    </row>
    <row r="583" spans="1:9" x14ac:dyDescent="0.25">
      <c r="A583"/>
      <c r="B583"/>
      <c r="C583"/>
      <c r="D583"/>
      <c r="E583"/>
      <c r="F583"/>
      <c r="G583"/>
      <c r="H583"/>
      <c r="I583"/>
    </row>
    <row r="584" spans="1:9" x14ac:dyDescent="0.25">
      <c r="A584"/>
      <c r="B584"/>
      <c r="C584"/>
      <c r="D584"/>
      <c r="E584"/>
      <c r="F584"/>
      <c r="G584"/>
      <c r="H584"/>
      <c r="I584"/>
    </row>
    <row r="585" spans="1:9" x14ac:dyDescent="0.25">
      <c r="A585"/>
      <c r="B585"/>
      <c r="C585"/>
      <c r="D585"/>
      <c r="E585"/>
      <c r="F585"/>
      <c r="G585"/>
      <c r="H585"/>
      <c r="I585"/>
    </row>
    <row r="586" spans="1:9" x14ac:dyDescent="0.25">
      <c r="A586"/>
      <c r="B586"/>
      <c r="C586"/>
      <c r="D586"/>
      <c r="E586"/>
      <c r="F586"/>
      <c r="G586"/>
      <c r="H586"/>
      <c r="I586"/>
    </row>
    <row r="587" spans="1:9" x14ac:dyDescent="0.25">
      <c r="A587"/>
      <c r="B587"/>
      <c r="C587"/>
      <c r="D587"/>
      <c r="E587"/>
      <c r="F587"/>
      <c r="G587"/>
      <c r="H587"/>
      <c r="I587"/>
    </row>
    <row r="588" spans="1:9" x14ac:dyDescent="0.25">
      <c r="A588"/>
      <c r="B588"/>
      <c r="C588"/>
      <c r="D588"/>
      <c r="E588"/>
      <c r="F588"/>
      <c r="G588"/>
      <c r="H588"/>
      <c r="I588"/>
    </row>
    <row r="589" spans="1:9" x14ac:dyDescent="0.25">
      <c r="A589"/>
      <c r="B589"/>
      <c r="C589"/>
      <c r="D589"/>
      <c r="E589"/>
      <c r="F589"/>
      <c r="G589"/>
      <c r="H589"/>
      <c r="I589"/>
    </row>
    <row r="590" spans="1:9" x14ac:dyDescent="0.25">
      <c r="A590"/>
      <c r="B590"/>
      <c r="C590"/>
      <c r="D590"/>
      <c r="E590"/>
      <c r="F590"/>
      <c r="G590"/>
      <c r="H590"/>
      <c r="I590"/>
    </row>
    <row r="591" spans="1:9" x14ac:dyDescent="0.25">
      <c r="A591"/>
      <c r="B591"/>
      <c r="C591"/>
      <c r="D591"/>
      <c r="E591"/>
      <c r="F591"/>
      <c r="G591"/>
      <c r="H591"/>
      <c r="I591"/>
    </row>
    <row r="592" spans="1:9" x14ac:dyDescent="0.25">
      <c r="A592"/>
      <c r="B592"/>
      <c r="C592"/>
      <c r="D592"/>
      <c r="E592"/>
      <c r="F592"/>
      <c r="G592"/>
      <c r="H592"/>
      <c r="I592"/>
    </row>
    <row r="593" spans="1:9" x14ac:dyDescent="0.25">
      <c r="A593"/>
      <c r="B593"/>
      <c r="C593"/>
      <c r="D593"/>
      <c r="E593"/>
      <c r="F593"/>
      <c r="G593"/>
      <c r="H593"/>
      <c r="I593"/>
    </row>
    <row r="594" spans="1:9" x14ac:dyDescent="0.25">
      <c r="A594"/>
      <c r="B594"/>
      <c r="C594"/>
      <c r="D594"/>
      <c r="E594"/>
      <c r="F594"/>
      <c r="G594"/>
      <c r="H594"/>
      <c r="I594"/>
    </row>
    <row r="595" spans="1:9" x14ac:dyDescent="0.25">
      <c r="A595"/>
      <c r="B595"/>
      <c r="C595"/>
      <c r="D595"/>
      <c r="E595"/>
      <c r="F595"/>
      <c r="G595"/>
      <c r="H595"/>
      <c r="I595"/>
    </row>
    <row r="596" spans="1:9" x14ac:dyDescent="0.25">
      <c r="A596"/>
      <c r="B596"/>
      <c r="C596"/>
      <c r="D596"/>
      <c r="E596"/>
      <c r="F596"/>
      <c r="G596"/>
      <c r="H596"/>
      <c r="I596"/>
    </row>
    <row r="597" spans="1:9" x14ac:dyDescent="0.25">
      <c r="A597"/>
      <c r="B597"/>
      <c r="C597"/>
      <c r="D597"/>
      <c r="E597"/>
      <c r="F597"/>
      <c r="G597"/>
      <c r="H597"/>
      <c r="I597"/>
    </row>
    <row r="598" spans="1:9" x14ac:dyDescent="0.25">
      <c r="A598"/>
      <c r="B598"/>
      <c r="C598"/>
      <c r="D598"/>
      <c r="E598"/>
      <c r="F598"/>
      <c r="G598"/>
      <c r="H598"/>
      <c r="I598"/>
    </row>
    <row r="599" spans="1:9" x14ac:dyDescent="0.25">
      <c r="A599"/>
      <c r="B599"/>
      <c r="C599"/>
      <c r="D599"/>
      <c r="E599"/>
      <c r="F599"/>
      <c r="G599"/>
      <c r="H599"/>
      <c r="I599"/>
    </row>
    <row r="600" spans="1:9" x14ac:dyDescent="0.25">
      <c r="A600"/>
      <c r="B600"/>
      <c r="C600"/>
      <c r="D600"/>
      <c r="E600"/>
      <c r="F600"/>
      <c r="G600"/>
      <c r="H600"/>
      <c r="I600"/>
    </row>
    <row r="601" spans="1:9" x14ac:dyDescent="0.25">
      <c r="A601"/>
      <c r="B601"/>
      <c r="C601"/>
      <c r="D601"/>
      <c r="E601"/>
      <c r="F601"/>
      <c r="G601"/>
      <c r="H601"/>
      <c r="I601"/>
    </row>
    <row r="602" spans="1:9" x14ac:dyDescent="0.25">
      <c r="A602"/>
      <c r="B602"/>
      <c r="C602"/>
      <c r="D602"/>
      <c r="E602"/>
      <c r="F602"/>
      <c r="G602"/>
      <c r="H602"/>
      <c r="I602"/>
    </row>
    <row r="603" spans="1:9" x14ac:dyDescent="0.25">
      <c r="A603"/>
      <c r="B603"/>
      <c r="C603"/>
      <c r="D603"/>
      <c r="E603"/>
      <c r="F603"/>
      <c r="G603"/>
      <c r="H603"/>
      <c r="I603"/>
    </row>
    <row r="604" spans="1:9" x14ac:dyDescent="0.25">
      <c r="A604"/>
      <c r="B604"/>
      <c r="C604"/>
      <c r="D604"/>
      <c r="E604"/>
      <c r="F604"/>
      <c r="G604"/>
      <c r="H604"/>
      <c r="I604"/>
    </row>
    <row r="605" spans="1:9" x14ac:dyDescent="0.25">
      <c r="A605"/>
      <c r="B605"/>
      <c r="C605"/>
      <c r="D605"/>
      <c r="E605"/>
      <c r="F605"/>
      <c r="G605"/>
      <c r="H605"/>
      <c r="I605"/>
    </row>
    <row r="606" spans="1:9" x14ac:dyDescent="0.25">
      <c r="A606"/>
      <c r="B606"/>
      <c r="C606"/>
      <c r="D606"/>
      <c r="E606"/>
      <c r="F606"/>
      <c r="G606"/>
      <c r="H606"/>
      <c r="I606"/>
    </row>
    <row r="607" spans="1:9" x14ac:dyDescent="0.25">
      <c r="A607"/>
      <c r="B607"/>
      <c r="C607"/>
      <c r="D607"/>
      <c r="E607"/>
      <c r="F607"/>
      <c r="G607"/>
      <c r="H607"/>
      <c r="I607"/>
    </row>
    <row r="608" spans="1:9" x14ac:dyDescent="0.25">
      <c r="A608"/>
      <c r="B608"/>
      <c r="C608"/>
      <c r="D608"/>
      <c r="E608"/>
      <c r="F608"/>
      <c r="G608"/>
      <c r="H608"/>
      <c r="I608"/>
    </row>
    <row r="609" spans="1:9" x14ac:dyDescent="0.25">
      <c r="A609"/>
      <c r="B609"/>
      <c r="C609"/>
      <c r="D609"/>
      <c r="E609"/>
      <c r="F609"/>
      <c r="G609"/>
      <c r="H609"/>
      <c r="I609"/>
    </row>
    <row r="610" spans="1:9" x14ac:dyDescent="0.25">
      <c r="A610"/>
      <c r="B610"/>
      <c r="C610"/>
      <c r="D610"/>
      <c r="E610"/>
      <c r="F610"/>
      <c r="G610"/>
      <c r="H610"/>
      <c r="I610"/>
    </row>
    <row r="611" spans="1:9" x14ac:dyDescent="0.25">
      <c r="A611"/>
      <c r="B611"/>
      <c r="C611"/>
      <c r="D611"/>
      <c r="E611"/>
      <c r="F611"/>
      <c r="G611"/>
      <c r="H611"/>
      <c r="I611"/>
    </row>
    <row r="612" spans="1:9" x14ac:dyDescent="0.25">
      <c r="A612"/>
      <c r="B612"/>
      <c r="C612"/>
      <c r="D612"/>
      <c r="E612"/>
      <c r="F612"/>
      <c r="G612"/>
      <c r="H612"/>
      <c r="I612"/>
    </row>
    <row r="613" spans="1:9" x14ac:dyDescent="0.25">
      <c r="A613"/>
      <c r="B613"/>
      <c r="C613"/>
      <c r="D613"/>
      <c r="E613"/>
      <c r="F613"/>
      <c r="G613"/>
      <c r="H613"/>
      <c r="I613"/>
    </row>
    <row r="614" spans="1:9" x14ac:dyDescent="0.25">
      <c r="A614"/>
      <c r="B614"/>
      <c r="C614"/>
      <c r="D614"/>
      <c r="E614"/>
      <c r="F614"/>
      <c r="G614"/>
      <c r="H614"/>
      <c r="I614"/>
    </row>
    <row r="615" spans="1:9" x14ac:dyDescent="0.25">
      <c r="A615"/>
      <c r="B615"/>
      <c r="C615"/>
      <c r="D615"/>
      <c r="E615"/>
      <c r="F615"/>
      <c r="G615"/>
      <c r="H615"/>
      <c r="I615"/>
    </row>
    <row r="616" spans="1:9" x14ac:dyDescent="0.25">
      <c r="A616"/>
      <c r="B616"/>
      <c r="C616"/>
      <c r="D616"/>
      <c r="E616"/>
      <c r="F616"/>
      <c r="G616"/>
      <c r="H616"/>
      <c r="I616"/>
    </row>
    <row r="617" spans="1:9" x14ac:dyDescent="0.25">
      <c r="A617"/>
      <c r="B617"/>
      <c r="C617"/>
      <c r="D617"/>
      <c r="E617"/>
      <c r="F617"/>
      <c r="G617"/>
      <c r="H617"/>
      <c r="I617"/>
    </row>
    <row r="618" spans="1:9" x14ac:dyDescent="0.25">
      <c r="A618"/>
      <c r="B618"/>
      <c r="C618"/>
      <c r="D618"/>
      <c r="E618"/>
      <c r="F618"/>
      <c r="G618"/>
      <c r="H618"/>
      <c r="I618"/>
    </row>
    <row r="619" spans="1:9" x14ac:dyDescent="0.25">
      <c r="A619"/>
      <c r="B619"/>
      <c r="C619"/>
      <c r="D619"/>
      <c r="E619"/>
      <c r="F619"/>
      <c r="G619"/>
      <c r="H619"/>
      <c r="I619"/>
    </row>
    <row r="620" spans="1:9" x14ac:dyDescent="0.25">
      <c r="A620"/>
      <c r="B620"/>
      <c r="C620"/>
      <c r="D620"/>
      <c r="E620"/>
      <c r="F620"/>
      <c r="G620"/>
      <c r="H620"/>
      <c r="I620"/>
    </row>
    <row r="621" spans="1:9" x14ac:dyDescent="0.25">
      <c r="A621"/>
      <c r="B621"/>
      <c r="C621"/>
      <c r="D621"/>
      <c r="E621"/>
      <c r="F621"/>
      <c r="G621"/>
      <c r="H621"/>
      <c r="I621"/>
    </row>
    <row r="622" spans="1:9" x14ac:dyDescent="0.25">
      <c r="A622"/>
      <c r="B622"/>
      <c r="C622"/>
      <c r="D622"/>
      <c r="E622"/>
      <c r="F622"/>
      <c r="G622"/>
      <c r="H622"/>
      <c r="I622"/>
    </row>
    <row r="623" spans="1:9" x14ac:dyDescent="0.25">
      <c r="A623"/>
      <c r="B623"/>
      <c r="C623"/>
      <c r="D623"/>
      <c r="E623"/>
      <c r="F623"/>
      <c r="G623"/>
      <c r="H623"/>
      <c r="I623"/>
    </row>
    <row r="624" spans="1:9" x14ac:dyDescent="0.25">
      <c r="A624"/>
      <c r="B624"/>
      <c r="C624"/>
      <c r="D624"/>
      <c r="E624"/>
      <c r="F624"/>
      <c r="G624"/>
      <c r="H624"/>
      <c r="I624"/>
    </row>
    <row r="625" spans="1:9" x14ac:dyDescent="0.25">
      <c r="A625"/>
      <c r="B625"/>
      <c r="C625"/>
      <c r="D625"/>
      <c r="E625"/>
      <c r="F625"/>
      <c r="G625"/>
      <c r="H625"/>
      <c r="I625"/>
    </row>
    <row r="626" spans="1:9" x14ac:dyDescent="0.25">
      <c r="A626"/>
      <c r="B626"/>
      <c r="C626"/>
      <c r="D626"/>
      <c r="E626"/>
      <c r="F626"/>
      <c r="G626"/>
      <c r="H626"/>
      <c r="I626"/>
    </row>
    <row r="627" spans="1:9" x14ac:dyDescent="0.25">
      <c r="A627"/>
      <c r="B627"/>
      <c r="C627"/>
      <c r="D627"/>
      <c r="E627"/>
      <c r="F627"/>
      <c r="G627"/>
      <c r="H627"/>
      <c r="I627"/>
    </row>
    <row r="628" spans="1:9" x14ac:dyDescent="0.25">
      <c r="A628"/>
      <c r="B628"/>
      <c r="C628"/>
      <c r="D628"/>
      <c r="E628"/>
      <c r="F628"/>
      <c r="G628"/>
      <c r="H628"/>
      <c r="I628"/>
    </row>
    <row r="629" spans="1:9" x14ac:dyDescent="0.25">
      <c r="A629"/>
      <c r="B629"/>
      <c r="C629"/>
      <c r="D629"/>
      <c r="E629"/>
      <c r="F629"/>
      <c r="G629"/>
      <c r="H629"/>
      <c r="I629"/>
    </row>
    <row r="630" spans="1:9" x14ac:dyDescent="0.25">
      <c r="A630"/>
      <c r="B630"/>
      <c r="C630"/>
      <c r="D630"/>
      <c r="E630"/>
      <c r="F630"/>
      <c r="G630"/>
      <c r="H630"/>
      <c r="I630"/>
    </row>
    <row r="631" spans="1:9" x14ac:dyDescent="0.25">
      <c r="A631"/>
      <c r="B631"/>
      <c r="C631"/>
      <c r="D631"/>
      <c r="E631"/>
      <c r="F631"/>
      <c r="G631"/>
      <c r="H631"/>
      <c r="I631"/>
    </row>
    <row r="632" spans="1:9" x14ac:dyDescent="0.25">
      <c r="A632"/>
      <c r="B632"/>
      <c r="C632"/>
      <c r="D632"/>
      <c r="E632"/>
      <c r="F632"/>
      <c r="G632"/>
      <c r="H632"/>
      <c r="I632"/>
    </row>
    <row r="633" spans="1:9" x14ac:dyDescent="0.25">
      <c r="A633"/>
      <c r="B633"/>
      <c r="C633"/>
      <c r="D633"/>
      <c r="E633"/>
      <c r="F633"/>
      <c r="G633"/>
      <c r="H633"/>
      <c r="I633"/>
    </row>
    <row r="634" spans="1:9" x14ac:dyDescent="0.25">
      <c r="A634"/>
      <c r="B634"/>
      <c r="C634"/>
      <c r="D634"/>
      <c r="E634"/>
      <c r="F634"/>
      <c r="G634"/>
      <c r="H634"/>
      <c r="I634"/>
    </row>
    <row r="635" spans="1:9" x14ac:dyDescent="0.25">
      <c r="A635"/>
      <c r="B635"/>
      <c r="C635"/>
      <c r="D635"/>
      <c r="E635"/>
      <c r="F635"/>
      <c r="G635"/>
      <c r="H635"/>
      <c r="I635"/>
    </row>
    <row r="636" spans="1:9" x14ac:dyDescent="0.25">
      <c r="A636"/>
      <c r="B636"/>
      <c r="C636"/>
      <c r="D636"/>
      <c r="E636"/>
      <c r="F636"/>
      <c r="G636"/>
      <c r="H636"/>
      <c r="I636"/>
    </row>
    <row r="637" spans="1:9" x14ac:dyDescent="0.25">
      <c r="A637"/>
      <c r="B637"/>
      <c r="C637"/>
      <c r="D637"/>
      <c r="E637"/>
      <c r="F637"/>
      <c r="G637"/>
      <c r="H637"/>
      <c r="I637"/>
    </row>
    <row r="638" spans="1:9" x14ac:dyDescent="0.25">
      <c r="A638"/>
      <c r="B638"/>
      <c r="C638"/>
      <c r="D638"/>
      <c r="E638"/>
      <c r="F638"/>
      <c r="G638"/>
      <c r="H638"/>
      <c r="I638"/>
    </row>
    <row r="639" spans="1:9" x14ac:dyDescent="0.25">
      <c r="A639"/>
      <c r="B639"/>
      <c r="C639"/>
      <c r="D639"/>
      <c r="E639"/>
      <c r="F639"/>
      <c r="G639"/>
      <c r="H639"/>
      <c r="I639"/>
    </row>
    <row r="640" spans="1:9" x14ac:dyDescent="0.25">
      <c r="A640"/>
      <c r="B640"/>
      <c r="C640"/>
      <c r="D640"/>
      <c r="E640"/>
      <c r="F640"/>
      <c r="G640"/>
      <c r="H640"/>
      <c r="I640"/>
    </row>
    <row r="641" spans="1:9" x14ac:dyDescent="0.25">
      <c r="A641"/>
      <c r="B641"/>
      <c r="C641"/>
      <c r="D641"/>
      <c r="E641"/>
      <c r="F641"/>
      <c r="G641"/>
      <c r="H641"/>
      <c r="I641"/>
    </row>
    <row r="642" spans="1:9" x14ac:dyDescent="0.25">
      <c r="A642"/>
      <c r="B642"/>
      <c r="C642"/>
      <c r="D642"/>
      <c r="E642"/>
      <c r="F642"/>
      <c r="G642"/>
      <c r="H642"/>
      <c r="I642"/>
    </row>
    <row r="643" spans="1:9" x14ac:dyDescent="0.25">
      <c r="A643"/>
      <c r="B643"/>
      <c r="C643"/>
      <c r="D643"/>
      <c r="E643"/>
      <c r="F643"/>
      <c r="G643"/>
      <c r="H643"/>
      <c r="I643"/>
    </row>
    <row r="644" spans="1:9" x14ac:dyDescent="0.25">
      <c r="A644"/>
      <c r="B644"/>
      <c r="C644"/>
      <c r="D644"/>
      <c r="E644"/>
      <c r="F644"/>
      <c r="G644"/>
      <c r="H644"/>
      <c r="I644"/>
    </row>
    <row r="645" spans="1:9" x14ac:dyDescent="0.25">
      <c r="A645"/>
      <c r="B645"/>
      <c r="C645"/>
      <c r="D645"/>
      <c r="E645"/>
      <c r="F645"/>
      <c r="G645"/>
      <c r="H645"/>
      <c r="I645"/>
    </row>
    <row r="646" spans="1:9" x14ac:dyDescent="0.25">
      <c r="A646"/>
      <c r="B646"/>
      <c r="C646"/>
      <c r="D646"/>
      <c r="E646"/>
      <c r="F646"/>
      <c r="G646"/>
      <c r="H646"/>
      <c r="I646"/>
    </row>
    <row r="647" spans="1:9" x14ac:dyDescent="0.25">
      <c r="A647"/>
      <c r="B647"/>
      <c r="C647"/>
      <c r="D647"/>
      <c r="E647"/>
      <c r="F647"/>
      <c r="G647"/>
      <c r="H647"/>
      <c r="I647"/>
    </row>
    <row r="648" spans="1:9" x14ac:dyDescent="0.25">
      <c r="A648"/>
      <c r="B648"/>
      <c r="C648"/>
      <c r="D648"/>
      <c r="E648"/>
      <c r="F648"/>
      <c r="G648"/>
      <c r="H648"/>
      <c r="I648"/>
    </row>
    <row r="649" spans="1:9" x14ac:dyDescent="0.25">
      <c r="A649"/>
      <c r="B649"/>
      <c r="C649"/>
      <c r="D649"/>
      <c r="E649"/>
      <c r="F649"/>
      <c r="G649"/>
      <c r="H649"/>
      <c r="I649"/>
    </row>
    <row r="650" spans="1:9" x14ac:dyDescent="0.25">
      <c r="A650"/>
      <c r="B650"/>
      <c r="C650"/>
      <c r="D650"/>
      <c r="E650"/>
      <c r="F650"/>
      <c r="G650"/>
      <c r="H650"/>
      <c r="I650"/>
    </row>
    <row r="651" spans="1:9" x14ac:dyDescent="0.25">
      <c r="A651"/>
      <c r="B651"/>
      <c r="C651"/>
      <c r="D651"/>
      <c r="E651"/>
      <c r="F651"/>
      <c r="G651"/>
      <c r="H651"/>
      <c r="I651"/>
    </row>
    <row r="652" spans="1:9" x14ac:dyDescent="0.25">
      <c r="A652"/>
      <c r="B652"/>
      <c r="C652"/>
      <c r="D652"/>
      <c r="E652"/>
      <c r="F652"/>
      <c r="G652"/>
      <c r="H652"/>
      <c r="I652"/>
    </row>
    <row r="653" spans="1:9" x14ac:dyDescent="0.25">
      <c r="A653"/>
      <c r="B653"/>
      <c r="C653"/>
      <c r="D653"/>
      <c r="E653"/>
      <c r="F653"/>
      <c r="G653"/>
      <c r="H653"/>
      <c r="I653"/>
    </row>
    <row r="654" spans="1:9" x14ac:dyDescent="0.25">
      <c r="A654"/>
      <c r="B654"/>
      <c r="C654"/>
      <c r="D654"/>
      <c r="E654"/>
      <c r="F654"/>
      <c r="G654"/>
      <c r="H654"/>
      <c r="I654"/>
    </row>
    <row r="655" spans="1:9" x14ac:dyDescent="0.25">
      <c r="A655"/>
      <c r="B655"/>
      <c r="C655"/>
      <c r="D655"/>
      <c r="E655"/>
      <c r="F655"/>
      <c r="G655"/>
      <c r="H655"/>
      <c r="I655"/>
    </row>
    <row r="656" spans="1:9" x14ac:dyDescent="0.25">
      <c r="A656"/>
      <c r="B656"/>
      <c r="C656"/>
      <c r="D656"/>
      <c r="E656"/>
      <c r="F656"/>
      <c r="G656"/>
      <c r="H656"/>
      <c r="I656"/>
    </row>
    <row r="657" spans="1:9" x14ac:dyDescent="0.25">
      <c r="A657"/>
      <c r="B657"/>
      <c r="C657"/>
      <c r="D657"/>
      <c r="E657"/>
      <c r="F657"/>
      <c r="G657"/>
      <c r="H657"/>
      <c r="I657"/>
    </row>
    <row r="658" spans="1:9" x14ac:dyDescent="0.25">
      <c r="A658"/>
      <c r="B658"/>
      <c r="C658"/>
      <c r="D658"/>
      <c r="E658"/>
      <c r="F658"/>
      <c r="G658"/>
      <c r="H658"/>
      <c r="I658"/>
    </row>
    <row r="659" spans="1:9" x14ac:dyDescent="0.25">
      <c r="A659"/>
      <c r="B659"/>
      <c r="C659"/>
      <c r="D659"/>
      <c r="E659"/>
      <c r="F659"/>
      <c r="G659"/>
      <c r="H659"/>
      <c r="I659"/>
    </row>
    <row r="660" spans="1:9" x14ac:dyDescent="0.25">
      <c r="A660"/>
      <c r="B660"/>
      <c r="C660"/>
      <c r="D660"/>
      <c r="E660"/>
      <c r="F660"/>
      <c r="G660"/>
      <c r="H660"/>
      <c r="I660"/>
    </row>
    <row r="661" spans="1:9" x14ac:dyDescent="0.25">
      <c r="A661"/>
      <c r="B661"/>
      <c r="C661"/>
      <c r="D661"/>
      <c r="E661"/>
      <c r="F661"/>
      <c r="G661"/>
      <c r="H661"/>
      <c r="I661"/>
    </row>
    <row r="662" spans="1:9" x14ac:dyDescent="0.25">
      <c r="A662"/>
      <c r="B662"/>
      <c r="C662"/>
      <c r="D662"/>
      <c r="E662"/>
      <c r="F662"/>
      <c r="G662"/>
      <c r="H662"/>
      <c r="I662"/>
    </row>
    <row r="663" spans="1:9" x14ac:dyDescent="0.25">
      <c r="A663"/>
      <c r="B663"/>
      <c r="C663"/>
      <c r="D663"/>
      <c r="E663"/>
      <c r="F663"/>
      <c r="G663"/>
      <c r="H663"/>
      <c r="I663"/>
    </row>
    <row r="664" spans="1:9" x14ac:dyDescent="0.25">
      <c r="A664"/>
      <c r="B664"/>
      <c r="C664"/>
      <c r="D664"/>
      <c r="E664"/>
      <c r="F664"/>
      <c r="G664"/>
      <c r="H664"/>
      <c r="I664"/>
    </row>
    <row r="665" spans="1:9" x14ac:dyDescent="0.25">
      <c r="A665"/>
      <c r="B665"/>
      <c r="C665"/>
      <c r="D665"/>
      <c r="E665"/>
      <c r="F665"/>
      <c r="G665"/>
      <c r="H665"/>
      <c r="I665"/>
    </row>
    <row r="666" spans="1:9" x14ac:dyDescent="0.25">
      <c r="A666"/>
      <c r="B666"/>
      <c r="C666"/>
      <c r="D666"/>
      <c r="E666"/>
      <c r="F666"/>
      <c r="G666"/>
      <c r="H666"/>
      <c r="I666"/>
    </row>
    <row r="667" spans="1:9" x14ac:dyDescent="0.25">
      <c r="A667"/>
      <c r="B667"/>
      <c r="C667"/>
      <c r="D667"/>
      <c r="E667"/>
      <c r="F667"/>
      <c r="G667"/>
      <c r="H667"/>
      <c r="I667"/>
    </row>
    <row r="668" spans="1:9" x14ac:dyDescent="0.25">
      <c r="A668"/>
      <c r="B668"/>
      <c r="C668"/>
      <c r="D668"/>
      <c r="E668"/>
      <c r="F668"/>
      <c r="G668"/>
      <c r="H668"/>
      <c r="I668"/>
    </row>
    <row r="669" spans="1:9" x14ac:dyDescent="0.25">
      <c r="A669"/>
      <c r="B669"/>
      <c r="C669"/>
      <c r="D669"/>
      <c r="E669"/>
      <c r="F669"/>
      <c r="G669"/>
      <c r="H669"/>
      <c r="I669"/>
    </row>
    <row r="670" spans="1:9" x14ac:dyDescent="0.25">
      <c r="A670"/>
      <c r="B670"/>
      <c r="C670"/>
      <c r="D670"/>
      <c r="E670"/>
      <c r="F670"/>
      <c r="G670"/>
      <c r="H670"/>
      <c r="I670"/>
    </row>
    <row r="671" spans="1:9" x14ac:dyDescent="0.25">
      <c r="A671"/>
      <c r="B671"/>
      <c r="C671"/>
      <c r="D671"/>
      <c r="E671"/>
      <c r="F671"/>
      <c r="G671"/>
      <c r="H671"/>
      <c r="I671"/>
    </row>
    <row r="672" spans="1:9" x14ac:dyDescent="0.25">
      <c r="A672"/>
      <c r="B672"/>
      <c r="C672"/>
      <c r="D672"/>
      <c r="E672"/>
      <c r="F672"/>
      <c r="G672"/>
      <c r="H672"/>
      <c r="I672"/>
    </row>
    <row r="673" spans="1:9" x14ac:dyDescent="0.25">
      <c r="A673"/>
      <c r="B673"/>
      <c r="C673"/>
      <c r="D673"/>
      <c r="E673"/>
      <c r="F673"/>
      <c r="G673"/>
      <c r="H673"/>
      <c r="I673"/>
    </row>
    <row r="674" spans="1:9" x14ac:dyDescent="0.25">
      <c r="A674"/>
      <c r="B674"/>
      <c r="C674"/>
      <c r="D674"/>
      <c r="E674"/>
      <c r="F674"/>
      <c r="G674"/>
      <c r="H674"/>
      <c r="I674"/>
    </row>
    <row r="675" spans="1:9" x14ac:dyDescent="0.25">
      <c r="A675"/>
      <c r="B675"/>
      <c r="C675"/>
      <c r="D675"/>
      <c r="E675"/>
      <c r="F675"/>
      <c r="G675"/>
      <c r="H675"/>
      <c r="I675"/>
    </row>
    <row r="676" spans="1:9" x14ac:dyDescent="0.25">
      <c r="A676"/>
      <c r="B676"/>
      <c r="C676"/>
      <c r="D676"/>
      <c r="E676"/>
      <c r="F676"/>
      <c r="G676"/>
      <c r="H676"/>
      <c r="I676"/>
    </row>
    <row r="677" spans="1:9" x14ac:dyDescent="0.25">
      <c r="A677"/>
      <c r="B677"/>
      <c r="C677"/>
      <c r="D677"/>
      <c r="E677"/>
      <c r="F677"/>
      <c r="G677"/>
      <c r="H677"/>
      <c r="I677"/>
    </row>
    <row r="678" spans="1:9" x14ac:dyDescent="0.25">
      <c r="A678"/>
      <c r="B678"/>
      <c r="C678"/>
      <c r="D678"/>
      <c r="E678"/>
      <c r="F678"/>
      <c r="G678"/>
      <c r="H678"/>
      <c r="I678"/>
    </row>
    <row r="679" spans="1:9" x14ac:dyDescent="0.25">
      <c r="A679"/>
      <c r="B679"/>
      <c r="C679"/>
      <c r="D679"/>
      <c r="E679"/>
      <c r="F679"/>
      <c r="G679"/>
      <c r="H679"/>
      <c r="I679"/>
    </row>
    <row r="680" spans="1:9" x14ac:dyDescent="0.25">
      <c r="A680"/>
      <c r="B680"/>
      <c r="C680"/>
      <c r="D680"/>
      <c r="E680"/>
      <c r="F680"/>
      <c r="G680"/>
      <c r="H680"/>
      <c r="I680"/>
    </row>
    <row r="681" spans="1:9" x14ac:dyDescent="0.25">
      <c r="A681"/>
      <c r="B681"/>
      <c r="C681"/>
      <c r="D681"/>
      <c r="E681"/>
      <c r="F681"/>
      <c r="G681"/>
      <c r="H681"/>
      <c r="I681"/>
    </row>
    <row r="682" spans="1:9" x14ac:dyDescent="0.25">
      <c r="A682"/>
      <c r="B682"/>
      <c r="C682"/>
      <c r="D682"/>
      <c r="E682"/>
      <c r="F682"/>
      <c r="G682"/>
      <c r="H682"/>
      <c r="I682"/>
    </row>
    <row r="683" spans="1:9" x14ac:dyDescent="0.25">
      <c r="A683"/>
      <c r="B683"/>
      <c r="C683"/>
      <c r="D683"/>
      <c r="E683"/>
      <c r="F683"/>
      <c r="G683"/>
      <c r="H683"/>
      <c r="I683"/>
    </row>
    <row r="684" spans="1:9" x14ac:dyDescent="0.25">
      <c r="A684"/>
      <c r="B684"/>
      <c r="C684"/>
      <c r="D684"/>
      <c r="E684"/>
      <c r="F684"/>
      <c r="G684"/>
      <c r="H684"/>
      <c r="I684"/>
    </row>
    <row r="685" spans="1:9" x14ac:dyDescent="0.25">
      <c r="A685"/>
      <c r="B685"/>
      <c r="C685"/>
      <c r="D685"/>
      <c r="E685"/>
      <c r="F685"/>
      <c r="G685"/>
      <c r="H685"/>
      <c r="I685"/>
    </row>
    <row r="686" spans="1:9" x14ac:dyDescent="0.25">
      <c r="A686"/>
      <c r="B686"/>
      <c r="C686"/>
      <c r="D686"/>
      <c r="E686"/>
      <c r="F686"/>
      <c r="G686"/>
      <c r="H686"/>
      <c r="I686"/>
    </row>
    <row r="687" spans="1:9" x14ac:dyDescent="0.25">
      <c r="A687"/>
      <c r="B687"/>
      <c r="C687"/>
      <c r="D687"/>
      <c r="E687"/>
      <c r="F687"/>
      <c r="G687"/>
      <c r="H687"/>
      <c r="I687"/>
    </row>
    <row r="688" spans="1:9" x14ac:dyDescent="0.25">
      <c r="A688"/>
      <c r="B688"/>
      <c r="C688"/>
      <c r="D688"/>
      <c r="E688"/>
      <c r="F688"/>
      <c r="G688"/>
      <c r="H688"/>
      <c r="I688"/>
    </row>
    <row r="689" spans="1:9" x14ac:dyDescent="0.25">
      <c r="A689"/>
      <c r="B689"/>
      <c r="C689"/>
      <c r="D689"/>
      <c r="E689"/>
      <c r="F689"/>
      <c r="G689"/>
      <c r="H689"/>
      <c r="I689"/>
    </row>
    <row r="690" spans="1:9" x14ac:dyDescent="0.25">
      <c r="A690"/>
      <c r="B690"/>
      <c r="C690"/>
      <c r="D690"/>
      <c r="E690"/>
      <c r="F690"/>
      <c r="G690"/>
      <c r="H690"/>
      <c r="I690"/>
    </row>
    <row r="691" spans="1:9" x14ac:dyDescent="0.25">
      <c r="A691"/>
      <c r="B691"/>
      <c r="C691"/>
      <c r="D691"/>
      <c r="E691"/>
      <c r="F691"/>
      <c r="G691"/>
      <c r="H691"/>
      <c r="I691"/>
    </row>
    <row r="692" spans="1:9" x14ac:dyDescent="0.25">
      <c r="A692"/>
      <c r="B692"/>
      <c r="C692"/>
      <c r="D692"/>
      <c r="E692"/>
      <c r="F692"/>
      <c r="G692"/>
      <c r="H692"/>
      <c r="I692"/>
    </row>
    <row r="693" spans="1:9" x14ac:dyDescent="0.25">
      <c r="A693"/>
      <c r="B693"/>
      <c r="C693"/>
      <c r="D693"/>
      <c r="E693"/>
      <c r="F693"/>
      <c r="G693"/>
      <c r="H693"/>
      <c r="I693"/>
    </row>
    <row r="694" spans="1:9" x14ac:dyDescent="0.25">
      <c r="A694"/>
      <c r="B694"/>
      <c r="C694"/>
      <c r="D694"/>
      <c r="E694"/>
      <c r="F694"/>
      <c r="G694"/>
      <c r="H694"/>
      <c r="I694"/>
    </row>
    <row r="695" spans="1:9" x14ac:dyDescent="0.25">
      <c r="A695"/>
      <c r="B695"/>
      <c r="C695"/>
      <c r="D695"/>
      <c r="E695"/>
      <c r="F695"/>
      <c r="G695"/>
      <c r="H695"/>
      <c r="I695"/>
    </row>
    <row r="696" spans="1:9" x14ac:dyDescent="0.25">
      <c r="A696"/>
      <c r="B696"/>
      <c r="C696"/>
      <c r="D696"/>
      <c r="E696"/>
      <c r="F696"/>
      <c r="G696"/>
      <c r="H696"/>
      <c r="I696"/>
    </row>
    <row r="697" spans="1:9" x14ac:dyDescent="0.25">
      <c r="A697"/>
      <c r="B697"/>
      <c r="C697"/>
      <c r="D697"/>
      <c r="E697"/>
      <c r="F697"/>
      <c r="G697"/>
      <c r="H697"/>
      <c r="I697"/>
    </row>
    <row r="698" spans="1:9" x14ac:dyDescent="0.25">
      <c r="A698"/>
      <c r="B698"/>
      <c r="C698"/>
      <c r="D698"/>
      <c r="E698"/>
      <c r="F698"/>
      <c r="G698"/>
      <c r="H698"/>
      <c r="I698"/>
    </row>
    <row r="699" spans="1:9" x14ac:dyDescent="0.25">
      <c r="A699"/>
      <c r="B699"/>
      <c r="C699"/>
      <c r="D699"/>
      <c r="E699"/>
      <c r="F699"/>
      <c r="G699"/>
      <c r="H699"/>
      <c r="I699"/>
    </row>
    <row r="700" spans="1:9" x14ac:dyDescent="0.25">
      <c r="A700"/>
      <c r="B700"/>
      <c r="C700"/>
      <c r="D700"/>
      <c r="E700"/>
      <c r="F700"/>
      <c r="G700"/>
      <c r="H700"/>
      <c r="I700"/>
    </row>
    <row r="701" spans="1:9" x14ac:dyDescent="0.25">
      <c r="A701"/>
      <c r="B701"/>
      <c r="C701"/>
      <c r="D701"/>
      <c r="E701"/>
      <c r="F701"/>
      <c r="G701"/>
      <c r="H701"/>
      <c r="I701"/>
    </row>
    <row r="702" spans="1:9" x14ac:dyDescent="0.25">
      <c r="A702"/>
      <c r="B702"/>
      <c r="C702"/>
      <c r="D702"/>
      <c r="E702"/>
      <c r="F702"/>
      <c r="G702"/>
      <c r="H702"/>
      <c r="I702"/>
    </row>
    <row r="703" spans="1:9" x14ac:dyDescent="0.25">
      <c r="A703"/>
      <c r="B703"/>
      <c r="C703"/>
      <c r="D703"/>
      <c r="E703"/>
      <c r="F703"/>
      <c r="G703"/>
      <c r="H703"/>
      <c r="I703"/>
    </row>
    <row r="704" spans="1:9" x14ac:dyDescent="0.25">
      <c r="A704"/>
      <c r="B704"/>
      <c r="C704"/>
      <c r="D704"/>
      <c r="E704"/>
      <c r="F704"/>
      <c r="G704"/>
      <c r="H704"/>
      <c r="I704"/>
    </row>
    <row r="705" spans="1:9" x14ac:dyDescent="0.25">
      <c r="A705"/>
      <c r="B705"/>
      <c r="C705"/>
      <c r="D705"/>
      <c r="E705"/>
      <c r="F705"/>
      <c r="G705"/>
      <c r="H705"/>
      <c r="I705"/>
    </row>
    <row r="706" spans="1:9" x14ac:dyDescent="0.25">
      <c r="A706"/>
      <c r="B706"/>
      <c r="C706"/>
      <c r="D706"/>
      <c r="E706"/>
      <c r="F706"/>
      <c r="G706"/>
      <c r="H706"/>
      <c r="I706"/>
    </row>
    <row r="707" spans="1:9" x14ac:dyDescent="0.25">
      <c r="A707"/>
      <c r="B707"/>
      <c r="C707"/>
      <c r="D707"/>
      <c r="E707"/>
      <c r="F707"/>
      <c r="G707"/>
      <c r="H707"/>
      <c r="I707"/>
    </row>
    <row r="708" spans="1:9" x14ac:dyDescent="0.25">
      <c r="A708"/>
      <c r="B708"/>
      <c r="C708"/>
      <c r="D708"/>
      <c r="E708"/>
      <c r="F708"/>
      <c r="G708"/>
      <c r="H708"/>
      <c r="I708"/>
    </row>
    <row r="709" spans="1:9" x14ac:dyDescent="0.25">
      <c r="A709"/>
      <c r="B709"/>
      <c r="C709"/>
      <c r="D709"/>
      <c r="E709"/>
      <c r="F709"/>
      <c r="G709"/>
      <c r="H709"/>
      <c r="I709"/>
    </row>
    <row r="710" spans="1:9" x14ac:dyDescent="0.25">
      <c r="A710"/>
      <c r="B710"/>
      <c r="C710"/>
      <c r="D710"/>
      <c r="E710"/>
      <c r="F710"/>
      <c r="G710"/>
      <c r="H710"/>
      <c r="I710"/>
    </row>
    <row r="711" spans="1:9" x14ac:dyDescent="0.25">
      <c r="A711"/>
      <c r="B711"/>
      <c r="C711"/>
      <c r="D711"/>
      <c r="E711"/>
      <c r="F711"/>
      <c r="G711"/>
      <c r="H711"/>
      <c r="I711"/>
    </row>
    <row r="712" spans="1:9" x14ac:dyDescent="0.25">
      <c r="A712"/>
      <c r="B712"/>
      <c r="C712"/>
      <c r="D712"/>
      <c r="E712"/>
      <c r="F712"/>
      <c r="G712"/>
      <c r="H712"/>
      <c r="I712"/>
    </row>
    <row r="713" spans="1:9" x14ac:dyDescent="0.25">
      <c r="A713"/>
      <c r="B713"/>
      <c r="C713"/>
      <c r="D713"/>
      <c r="E713"/>
      <c r="F713"/>
      <c r="G713"/>
      <c r="H713"/>
      <c r="I713"/>
    </row>
    <row r="714" spans="1:9" x14ac:dyDescent="0.25">
      <c r="A714"/>
      <c r="B714"/>
      <c r="C714"/>
      <c r="D714"/>
      <c r="E714"/>
      <c r="F714"/>
      <c r="G714"/>
      <c r="H714"/>
      <c r="I714"/>
    </row>
    <row r="715" spans="1:9" x14ac:dyDescent="0.25">
      <c r="A715"/>
      <c r="B715"/>
      <c r="C715"/>
      <c r="D715"/>
      <c r="E715"/>
      <c r="F715"/>
      <c r="G715"/>
      <c r="H715"/>
      <c r="I715"/>
    </row>
    <row r="716" spans="1:9" x14ac:dyDescent="0.25">
      <c r="A716"/>
      <c r="B716"/>
      <c r="C716"/>
      <c r="D716"/>
      <c r="E716"/>
      <c r="F716"/>
      <c r="G716"/>
      <c r="H716"/>
      <c r="I716"/>
    </row>
    <row r="717" spans="1:9" x14ac:dyDescent="0.25">
      <c r="A717"/>
      <c r="B717"/>
      <c r="C717"/>
      <c r="D717"/>
      <c r="E717"/>
      <c r="F717"/>
      <c r="G717"/>
      <c r="H717"/>
      <c r="I717"/>
    </row>
    <row r="718" spans="1:9" x14ac:dyDescent="0.25">
      <c r="A718"/>
      <c r="B718"/>
      <c r="C718"/>
      <c r="D718"/>
      <c r="E718"/>
      <c r="F718"/>
      <c r="G718"/>
      <c r="H718"/>
      <c r="I718"/>
    </row>
    <row r="719" spans="1:9" x14ac:dyDescent="0.25">
      <c r="A719"/>
      <c r="B719"/>
      <c r="C719"/>
      <c r="D719"/>
      <c r="E719"/>
      <c r="F719"/>
      <c r="G719"/>
      <c r="H719"/>
      <c r="I719"/>
    </row>
    <row r="720" spans="1:9" x14ac:dyDescent="0.25">
      <c r="A720"/>
      <c r="B720"/>
      <c r="C720"/>
      <c r="D720"/>
      <c r="E720"/>
      <c r="F720"/>
      <c r="G720"/>
      <c r="H720"/>
      <c r="I720"/>
    </row>
    <row r="721" spans="1:9" x14ac:dyDescent="0.25">
      <c r="A721"/>
      <c r="B721"/>
      <c r="C721"/>
      <c r="D721"/>
      <c r="E721"/>
      <c r="F721"/>
      <c r="G721"/>
      <c r="H721"/>
      <c r="I721"/>
    </row>
    <row r="722" spans="1:9" x14ac:dyDescent="0.25">
      <c r="A722"/>
      <c r="B722"/>
      <c r="C722"/>
      <c r="D722"/>
      <c r="E722"/>
      <c r="F722"/>
      <c r="G722"/>
      <c r="H722"/>
      <c r="I722"/>
    </row>
    <row r="723" spans="1:9" x14ac:dyDescent="0.25">
      <c r="A723"/>
      <c r="B723"/>
      <c r="C723"/>
      <c r="D723"/>
      <c r="E723"/>
      <c r="F723"/>
      <c r="G723"/>
      <c r="H723"/>
      <c r="I723"/>
    </row>
    <row r="724" spans="1:9" x14ac:dyDescent="0.25">
      <c r="A724"/>
      <c r="B724"/>
      <c r="C724"/>
      <c r="D724"/>
      <c r="E724"/>
      <c r="F724"/>
      <c r="G724"/>
      <c r="H724"/>
      <c r="I724"/>
    </row>
    <row r="725" spans="1:9" x14ac:dyDescent="0.25">
      <c r="A725"/>
      <c r="B725"/>
      <c r="C725"/>
      <c r="D725"/>
      <c r="E725"/>
      <c r="F725"/>
      <c r="G725"/>
      <c r="H725"/>
      <c r="I725"/>
    </row>
    <row r="726" spans="1:9" x14ac:dyDescent="0.25">
      <c r="A726"/>
      <c r="B726"/>
      <c r="C726"/>
      <c r="D726"/>
      <c r="E726"/>
      <c r="F726"/>
      <c r="G726"/>
      <c r="H726"/>
      <c r="I726"/>
    </row>
    <row r="727" spans="1:9" x14ac:dyDescent="0.25">
      <c r="A727"/>
      <c r="B727"/>
      <c r="C727"/>
      <c r="D727"/>
      <c r="E727"/>
      <c r="F727"/>
      <c r="G727"/>
      <c r="H727"/>
      <c r="I727"/>
    </row>
    <row r="728" spans="1:9" x14ac:dyDescent="0.25">
      <c r="A728"/>
      <c r="B728"/>
      <c r="C728"/>
      <c r="D728"/>
      <c r="E728"/>
      <c r="F728"/>
      <c r="G728"/>
      <c r="H728"/>
      <c r="I728"/>
    </row>
    <row r="729" spans="1:9" x14ac:dyDescent="0.25">
      <c r="A729"/>
      <c r="B729"/>
      <c r="C729"/>
      <c r="D729"/>
      <c r="E729"/>
      <c r="F729"/>
      <c r="G729"/>
      <c r="H729"/>
      <c r="I729"/>
    </row>
    <row r="730" spans="1:9" x14ac:dyDescent="0.25">
      <c r="A730"/>
      <c r="B730"/>
      <c r="C730"/>
      <c r="D730"/>
      <c r="E730"/>
      <c r="F730"/>
      <c r="G730"/>
      <c r="H730"/>
      <c r="I730"/>
    </row>
    <row r="731" spans="1:9" x14ac:dyDescent="0.25">
      <c r="A731"/>
      <c r="B731"/>
      <c r="C731"/>
      <c r="D731"/>
      <c r="E731"/>
      <c r="F731"/>
      <c r="G731"/>
      <c r="H731"/>
      <c r="I731"/>
    </row>
    <row r="732" spans="1:9" x14ac:dyDescent="0.25">
      <c r="A732"/>
      <c r="B732"/>
      <c r="C732"/>
      <c r="D732"/>
      <c r="E732"/>
      <c r="F732"/>
      <c r="G732"/>
      <c r="H732"/>
      <c r="I732"/>
    </row>
    <row r="733" spans="1:9" x14ac:dyDescent="0.25">
      <c r="A733"/>
      <c r="B733"/>
      <c r="C733"/>
      <c r="D733"/>
      <c r="E733"/>
      <c r="F733"/>
      <c r="G733"/>
      <c r="H733"/>
      <c r="I733"/>
    </row>
    <row r="734" spans="1:9" x14ac:dyDescent="0.25">
      <c r="A734"/>
      <c r="B734"/>
      <c r="C734"/>
      <c r="D734"/>
      <c r="E734"/>
      <c r="F734"/>
      <c r="G734"/>
      <c r="H734"/>
      <c r="I734"/>
    </row>
    <row r="735" spans="1:9" x14ac:dyDescent="0.25">
      <c r="A735"/>
      <c r="B735"/>
      <c r="C735"/>
      <c r="D735"/>
      <c r="E735"/>
      <c r="F735"/>
      <c r="G735"/>
      <c r="H735"/>
      <c r="I735"/>
    </row>
    <row r="736" spans="1:9" x14ac:dyDescent="0.25">
      <c r="A736"/>
      <c r="B736"/>
      <c r="C736"/>
      <c r="D736"/>
      <c r="E736"/>
      <c r="F736"/>
      <c r="G736"/>
      <c r="H736"/>
      <c r="I736"/>
    </row>
    <row r="737" spans="1:9" x14ac:dyDescent="0.25">
      <c r="A737"/>
      <c r="B737"/>
      <c r="C737"/>
      <c r="D737"/>
      <c r="E737"/>
      <c r="F737"/>
      <c r="G737"/>
      <c r="H737"/>
      <c r="I737"/>
    </row>
    <row r="738" spans="1:9" x14ac:dyDescent="0.25">
      <c r="A738"/>
      <c r="B738"/>
      <c r="C738"/>
      <c r="D738"/>
      <c r="E738"/>
      <c r="F738"/>
      <c r="G738"/>
      <c r="H738"/>
      <c r="I738"/>
    </row>
    <row r="739" spans="1:9" x14ac:dyDescent="0.25">
      <c r="A739"/>
      <c r="B739"/>
      <c r="C739"/>
      <c r="D739"/>
      <c r="E739"/>
      <c r="F739"/>
      <c r="G739"/>
      <c r="H739"/>
      <c r="I739"/>
    </row>
    <row r="740" spans="1:9" x14ac:dyDescent="0.25">
      <c r="A740"/>
      <c r="B740"/>
      <c r="C740"/>
      <c r="D740"/>
      <c r="E740"/>
      <c r="F740"/>
      <c r="G740"/>
      <c r="H740"/>
      <c r="I740"/>
    </row>
    <row r="741" spans="1:9" x14ac:dyDescent="0.25">
      <c r="A741"/>
      <c r="B741"/>
      <c r="C741"/>
      <c r="D741"/>
      <c r="E741"/>
      <c r="F741"/>
      <c r="G741"/>
      <c r="H741"/>
      <c r="I741"/>
    </row>
    <row r="742" spans="1:9" x14ac:dyDescent="0.25">
      <c r="A742"/>
      <c r="B742"/>
      <c r="C742"/>
      <c r="D742"/>
      <c r="E742"/>
      <c r="F742"/>
      <c r="G742"/>
      <c r="H742"/>
      <c r="I742"/>
    </row>
    <row r="743" spans="1:9" x14ac:dyDescent="0.25">
      <c r="A743"/>
      <c r="B743"/>
      <c r="C743"/>
      <c r="D743"/>
      <c r="E743"/>
      <c r="F743"/>
      <c r="G743"/>
      <c r="H743"/>
      <c r="I743"/>
    </row>
    <row r="744" spans="1:9" x14ac:dyDescent="0.25">
      <c r="A744"/>
      <c r="B744"/>
      <c r="C744"/>
      <c r="D744"/>
      <c r="E744"/>
      <c r="F744"/>
      <c r="G744"/>
      <c r="H744"/>
      <c r="I744"/>
    </row>
    <row r="745" spans="1:9" x14ac:dyDescent="0.25">
      <c r="A745"/>
      <c r="B745"/>
      <c r="C745"/>
      <c r="D745"/>
      <c r="E745"/>
      <c r="F745"/>
      <c r="G745"/>
      <c r="H745"/>
      <c r="I745"/>
    </row>
    <row r="746" spans="1:9" x14ac:dyDescent="0.25">
      <c r="A746"/>
      <c r="B746"/>
      <c r="C746"/>
      <c r="D746"/>
      <c r="E746"/>
      <c r="F746"/>
      <c r="G746"/>
      <c r="H746"/>
      <c r="I746"/>
    </row>
    <row r="747" spans="1:9" x14ac:dyDescent="0.25">
      <c r="A747"/>
      <c r="B747"/>
      <c r="C747"/>
      <c r="D747"/>
      <c r="E747"/>
      <c r="F747"/>
      <c r="G747"/>
      <c r="H747"/>
      <c r="I747"/>
    </row>
    <row r="748" spans="1:9" x14ac:dyDescent="0.25">
      <c r="A748"/>
      <c r="B748"/>
      <c r="C748"/>
      <c r="D748"/>
      <c r="E748"/>
      <c r="F748"/>
      <c r="G748"/>
      <c r="H748"/>
      <c r="I748"/>
    </row>
    <row r="749" spans="1:9" x14ac:dyDescent="0.25">
      <c r="A749"/>
      <c r="B749"/>
      <c r="C749"/>
      <c r="D749"/>
      <c r="E749"/>
      <c r="F749"/>
      <c r="G749"/>
      <c r="H749"/>
      <c r="I749"/>
    </row>
    <row r="750" spans="1:9" x14ac:dyDescent="0.25">
      <c r="A750"/>
      <c r="B750"/>
      <c r="C750"/>
      <c r="D750"/>
      <c r="E750"/>
      <c r="F750"/>
      <c r="G750"/>
      <c r="H750"/>
      <c r="I750"/>
    </row>
    <row r="751" spans="1:9" x14ac:dyDescent="0.25">
      <c r="A751"/>
      <c r="B751"/>
      <c r="C751"/>
      <c r="D751"/>
      <c r="E751"/>
      <c r="F751"/>
      <c r="G751"/>
      <c r="H751"/>
      <c r="I751"/>
    </row>
    <row r="752" spans="1:9" x14ac:dyDescent="0.25">
      <c r="A752"/>
      <c r="B752"/>
      <c r="C752"/>
      <c r="D752"/>
      <c r="E752"/>
      <c r="F752"/>
      <c r="G752"/>
      <c r="H752"/>
      <c r="I752"/>
    </row>
    <row r="753" spans="1:9" x14ac:dyDescent="0.25">
      <c r="A753"/>
      <c r="B753"/>
      <c r="C753"/>
      <c r="D753"/>
      <c r="E753"/>
      <c r="F753"/>
      <c r="G753"/>
      <c r="H753"/>
      <c r="I753"/>
    </row>
    <row r="754" spans="1:9" x14ac:dyDescent="0.25">
      <c r="A754"/>
      <c r="B754"/>
      <c r="C754"/>
      <c r="D754"/>
      <c r="E754"/>
      <c r="F754"/>
      <c r="G754"/>
      <c r="H754"/>
      <c r="I754"/>
    </row>
    <row r="755" spans="1:9" x14ac:dyDescent="0.25">
      <c r="A755"/>
      <c r="B755"/>
      <c r="C755"/>
      <c r="D755"/>
      <c r="E755"/>
      <c r="F755"/>
      <c r="G755"/>
      <c r="H755"/>
      <c r="I755"/>
    </row>
    <row r="756" spans="1:9" x14ac:dyDescent="0.25">
      <c r="A756"/>
      <c r="B756"/>
      <c r="C756"/>
      <c r="D756"/>
      <c r="E756"/>
      <c r="F756"/>
      <c r="G756"/>
      <c r="H756"/>
      <c r="I756"/>
    </row>
    <row r="757" spans="1:9" x14ac:dyDescent="0.25">
      <c r="A757"/>
      <c r="B757"/>
      <c r="C757"/>
      <c r="D757"/>
      <c r="E757"/>
      <c r="F757"/>
      <c r="G757"/>
      <c r="H757"/>
      <c r="I757"/>
    </row>
    <row r="758" spans="1:9" x14ac:dyDescent="0.25">
      <c r="A758"/>
      <c r="B758"/>
      <c r="C758"/>
      <c r="D758"/>
      <c r="E758"/>
      <c r="F758"/>
      <c r="G758"/>
      <c r="H758"/>
      <c r="I758"/>
    </row>
    <row r="759" spans="1:9" x14ac:dyDescent="0.25">
      <c r="A759"/>
      <c r="B759"/>
      <c r="C759"/>
      <c r="D759"/>
      <c r="E759"/>
      <c r="F759"/>
      <c r="G759"/>
      <c r="H759"/>
      <c r="I759"/>
    </row>
    <row r="760" spans="1:9" x14ac:dyDescent="0.25">
      <c r="A760"/>
      <c r="B760"/>
      <c r="C760"/>
      <c r="D760"/>
      <c r="E760"/>
      <c r="F760"/>
      <c r="G760"/>
      <c r="H760"/>
      <c r="I760"/>
    </row>
    <row r="761" spans="1:9" x14ac:dyDescent="0.25">
      <c r="A761"/>
      <c r="B761"/>
      <c r="C761"/>
      <c r="D761"/>
      <c r="E761"/>
      <c r="F761"/>
      <c r="G761"/>
      <c r="H761"/>
      <c r="I761"/>
    </row>
    <row r="762" spans="1:9" x14ac:dyDescent="0.25">
      <c r="A762"/>
      <c r="B762"/>
      <c r="C762"/>
      <c r="D762"/>
      <c r="E762"/>
      <c r="F762"/>
      <c r="G762"/>
      <c r="H762"/>
      <c r="I762"/>
    </row>
    <row r="763" spans="1:9" x14ac:dyDescent="0.25">
      <c r="A763"/>
      <c r="B763"/>
      <c r="C763"/>
      <c r="D763"/>
      <c r="E763"/>
      <c r="F763"/>
      <c r="G763"/>
      <c r="H763"/>
      <c r="I763"/>
    </row>
    <row r="764" spans="1:9" x14ac:dyDescent="0.25">
      <c r="A764"/>
      <c r="B764"/>
      <c r="C764"/>
      <c r="D764"/>
      <c r="E764"/>
      <c r="F764"/>
      <c r="G764"/>
      <c r="H764"/>
      <c r="I764"/>
    </row>
    <row r="765" spans="1:9" x14ac:dyDescent="0.25">
      <c r="A765"/>
      <c r="B765"/>
      <c r="C765"/>
      <c r="D765"/>
      <c r="E765"/>
      <c r="F765"/>
      <c r="G765"/>
      <c r="H765"/>
      <c r="I765"/>
    </row>
    <row r="766" spans="1:9" x14ac:dyDescent="0.25">
      <c r="A766"/>
      <c r="B766"/>
      <c r="C766"/>
      <c r="D766"/>
      <c r="E766"/>
      <c r="F766"/>
      <c r="G766"/>
      <c r="H766"/>
      <c r="I766"/>
    </row>
    <row r="767" spans="1:9" x14ac:dyDescent="0.25">
      <c r="A767"/>
      <c r="B767"/>
      <c r="C767"/>
      <c r="D767"/>
      <c r="E767"/>
      <c r="F767"/>
      <c r="G767"/>
      <c r="H767"/>
      <c r="I767"/>
    </row>
    <row r="768" spans="1:9" x14ac:dyDescent="0.25">
      <c r="A768"/>
      <c r="B768"/>
      <c r="C768"/>
      <c r="D768"/>
      <c r="E768"/>
      <c r="F768"/>
      <c r="G768"/>
      <c r="H768"/>
      <c r="I768"/>
    </row>
    <row r="769" spans="1:9" x14ac:dyDescent="0.25">
      <c r="A769"/>
      <c r="B769"/>
      <c r="C769"/>
      <c r="D769"/>
      <c r="E769"/>
      <c r="F769"/>
      <c r="G769"/>
      <c r="H769"/>
      <c r="I769"/>
    </row>
    <row r="770" spans="1:9" x14ac:dyDescent="0.25">
      <c r="A770"/>
      <c r="B770"/>
      <c r="C770"/>
      <c r="D770"/>
      <c r="E770"/>
      <c r="F770"/>
      <c r="G770"/>
      <c r="H770"/>
      <c r="I770"/>
    </row>
    <row r="771" spans="1:9" x14ac:dyDescent="0.25">
      <c r="A771"/>
      <c r="B771"/>
      <c r="C771"/>
      <c r="D771"/>
      <c r="E771"/>
      <c r="F771"/>
      <c r="G771"/>
      <c r="H771"/>
      <c r="I771"/>
    </row>
    <row r="772" spans="1:9" x14ac:dyDescent="0.25">
      <c r="A772"/>
      <c r="B772"/>
      <c r="C772"/>
      <c r="D772"/>
      <c r="E772"/>
      <c r="F772"/>
      <c r="G772"/>
      <c r="H772"/>
      <c r="I772"/>
    </row>
    <row r="773" spans="1:9" x14ac:dyDescent="0.25">
      <c r="A773"/>
      <c r="B773"/>
      <c r="C773"/>
      <c r="D773"/>
      <c r="E773"/>
      <c r="F773"/>
      <c r="G773"/>
      <c r="H773"/>
      <c r="I773"/>
    </row>
    <row r="774" spans="1:9" x14ac:dyDescent="0.25">
      <c r="A774"/>
      <c r="B774"/>
      <c r="C774"/>
      <c r="D774"/>
      <c r="E774"/>
      <c r="F774"/>
      <c r="G774"/>
      <c r="H774"/>
      <c r="I774"/>
    </row>
    <row r="775" spans="1:9" x14ac:dyDescent="0.25">
      <c r="A775"/>
      <c r="B775"/>
      <c r="C775"/>
      <c r="D775"/>
      <c r="E775"/>
      <c r="F775"/>
      <c r="G775"/>
      <c r="H775"/>
      <c r="I775"/>
    </row>
    <row r="776" spans="1:9" x14ac:dyDescent="0.25">
      <c r="A776"/>
      <c r="B776"/>
      <c r="C776"/>
      <c r="D776"/>
      <c r="E776"/>
      <c r="F776"/>
      <c r="G776"/>
      <c r="H776"/>
      <c r="I776"/>
    </row>
    <row r="777" spans="1:9" x14ac:dyDescent="0.25">
      <c r="A777"/>
      <c r="B777"/>
      <c r="C777"/>
      <c r="D777"/>
      <c r="E777"/>
      <c r="F777"/>
      <c r="G777"/>
      <c r="H777"/>
      <c r="I777"/>
    </row>
    <row r="778" spans="1:9" x14ac:dyDescent="0.25">
      <c r="A778"/>
      <c r="B778"/>
      <c r="C778"/>
      <c r="D778"/>
      <c r="E778"/>
      <c r="F778"/>
      <c r="G778"/>
      <c r="H778"/>
      <c r="I778"/>
    </row>
    <row r="779" spans="1:9" x14ac:dyDescent="0.25">
      <c r="A779"/>
      <c r="B779"/>
      <c r="C779"/>
      <c r="D779"/>
      <c r="E779"/>
      <c r="F779"/>
      <c r="G779"/>
      <c r="H779"/>
      <c r="I779"/>
    </row>
    <row r="780" spans="1:9" x14ac:dyDescent="0.25">
      <c r="A780"/>
      <c r="B780"/>
      <c r="C780"/>
      <c r="D780"/>
      <c r="E780"/>
      <c r="F780"/>
      <c r="G780"/>
      <c r="H780"/>
      <c r="I780"/>
    </row>
    <row r="781" spans="1:9" x14ac:dyDescent="0.25">
      <c r="A781"/>
      <c r="B781"/>
      <c r="C781"/>
      <c r="D781"/>
      <c r="E781"/>
      <c r="F781"/>
      <c r="G781"/>
      <c r="H781"/>
      <c r="I781"/>
    </row>
    <row r="782" spans="1:9" x14ac:dyDescent="0.25">
      <c r="A782"/>
      <c r="B782"/>
      <c r="C782"/>
      <c r="D782"/>
      <c r="E782"/>
      <c r="F782"/>
      <c r="G782"/>
      <c r="H782"/>
      <c r="I782"/>
    </row>
    <row r="783" spans="1:9" x14ac:dyDescent="0.25">
      <c r="A783"/>
      <c r="B783"/>
      <c r="C783"/>
      <c r="D783"/>
      <c r="E783"/>
      <c r="F783"/>
      <c r="G783"/>
      <c r="H783"/>
      <c r="I783"/>
    </row>
    <row r="784" spans="1:9" x14ac:dyDescent="0.25">
      <c r="A784"/>
      <c r="B784"/>
      <c r="C784"/>
      <c r="D784"/>
      <c r="E784"/>
      <c r="F784"/>
      <c r="G784"/>
      <c r="H784"/>
      <c r="I784"/>
    </row>
    <row r="785" spans="1:9" x14ac:dyDescent="0.25">
      <c r="A785"/>
      <c r="B785"/>
      <c r="C785"/>
      <c r="D785"/>
      <c r="E785"/>
      <c r="F785"/>
      <c r="G785"/>
      <c r="H785"/>
      <c r="I785"/>
    </row>
    <row r="786" spans="1:9" x14ac:dyDescent="0.25">
      <c r="A786"/>
      <c r="B786"/>
      <c r="C786"/>
      <c r="D786"/>
      <c r="E786"/>
      <c r="F786"/>
      <c r="G786"/>
      <c r="H786"/>
      <c r="I786"/>
    </row>
    <row r="787" spans="1:9" x14ac:dyDescent="0.25">
      <c r="A787"/>
      <c r="B787"/>
      <c r="C787"/>
      <c r="D787"/>
      <c r="E787"/>
      <c r="F787"/>
      <c r="G787"/>
      <c r="H787"/>
      <c r="I787"/>
    </row>
    <row r="788" spans="1:9" x14ac:dyDescent="0.25">
      <c r="A788"/>
      <c r="B788"/>
      <c r="C788"/>
      <c r="D788"/>
      <c r="E788"/>
      <c r="F788"/>
      <c r="G788"/>
      <c r="H788"/>
      <c r="I788"/>
    </row>
    <row r="789" spans="1:9" x14ac:dyDescent="0.25">
      <c r="A789"/>
      <c r="B789"/>
      <c r="C789"/>
      <c r="D789"/>
      <c r="E789"/>
      <c r="F789"/>
      <c r="G789"/>
      <c r="H789"/>
      <c r="I789"/>
    </row>
    <row r="790" spans="1:9" x14ac:dyDescent="0.25">
      <c r="A790"/>
      <c r="B790"/>
      <c r="C790"/>
      <c r="D790"/>
      <c r="E790"/>
      <c r="F790"/>
      <c r="G790"/>
      <c r="H790"/>
      <c r="I790"/>
    </row>
    <row r="791" spans="1:9" x14ac:dyDescent="0.25">
      <c r="A791"/>
      <c r="B791"/>
      <c r="C791"/>
      <c r="D791"/>
      <c r="E791"/>
      <c r="F791"/>
      <c r="G791"/>
      <c r="H791"/>
      <c r="I791"/>
    </row>
    <row r="792" spans="1:9" x14ac:dyDescent="0.25">
      <c r="A792"/>
      <c r="B792"/>
      <c r="C792"/>
      <c r="D792"/>
      <c r="E792"/>
      <c r="F792"/>
      <c r="G792"/>
      <c r="H792"/>
      <c r="I792"/>
    </row>
    <row r="793" spans="1:9" x14ac:dyDescent="0.25">
      <c r="A793"/>
      <c r="B793"/>
      <c r="C793"/>
      <c r="D793"/>
      <c r="E793"/>
      <c r="F793"/>
      <c r="G793"/>
      <c r="H793"/>
      <c r="I793"/>
    </row>
    <row r="794" spans="1:9" x14ac:dyDescent="0.25">
      <c r="A794"/>
      <c r="B794"/>
      <c r="C794"/>
      <c r="D794"/>
      <c r="E794"/>
      <c r="F794"/>
      <c r="G794"/>
      <c r="H794"/>
      <c r="I794"/>
    </row>
    <row r="795" spans="1:9" x14ac:dyDescent="0.25">
      <c r="A795"/>
      <c r="B795"/>
      <c r="C795"/>
      <c r="D795"/>
      <c r="E795"/>
      <c r="F795"/>
      <c r="G795"/>
      <c r="H795"/>
      <c r="I795"/>
    </row>
    <row r="796" spans="1:9" x14ac:dyDescent="0.25">
      <c r="A796"/>
      <c r="B796"/>
      <c r="C796"/>
      <c r="D796"/>
      <c r="E796"/>
      <c r="F796"/>
      <c r="G796"/>
      <c r="H796"/>
      <c r="I796"/>
    </row>
    <row r="797" spans="1:9" x14ac:dyDescent="0.25">
      <c r="A797"/>
      <c r="B797"/>
      <c r="C797"/>
      <c r="D797"/>
      <c r="E797"/>
      <c r="F797"/>
      <c r="G797"/>
      <c r="H797"/>
      <c r="I797"/>
    </row>
    <row r="798" spans="1:9" x14ac:dyDescent="0.25">
      <c r="A798"/>
      <c r="B798"/>
      <c r="C798"/>
      <c r="D798"/>
      <c r="E798"/>
      <c r="F798"/>
      <c r="G798"/>
      <c r="H798"/>
      <c r="I798"/>
    </row>
    <row r="799" spans="1:9" x14ac:dyDescent="0.25">
      <c r="A799"/>
      <c r="B799"/>
      <c r="C799"/>
      <c r="D799"/>
      <c r="E799"/>
      <c r="F799"/>
      <c r="G799"/>
      <c r="H799"/>
      <c r="I799"/>
    </row>
    <row r="800" spans="1:9" x14ac:dyDescent="0.25">
      <c r="A800"/>
      <c r="B800"/>
      <c r="C800"/>
      <c r="D800"/>
      <c r="E800"/>
      <c r="F800"/>
      <c r="G800"/>
      <c r="H800"/>
      <c r="I800"/>
    </row>
    <row r="801" spans="1:9" x14ac:dyDescent="0.25">
      <c r="A801"/>
      <c r="B801"/>
      <c r="C801"/>
      <c r="D801"/>
      <c r="E801"/>
      <c r="F801"/>
      <c r="G801"/>
      <c r="H801"/>
      <c r="I801"/>
    </row>
    <row r="802" spans="1:9" x14ac:dyDescent="0.25">
      <c r="A802"/>
      <c r="B802"/>
      <c r="C802"/>
      <c r="D802"/>
      <c r="E802"/>
      <c r="F802"/>
      <c r="G802"/>
      <c r="H802"/>
      <c r="I802"/>
    </row>
    <row r="803" spans="1:9" x14ac:dyDescent="0.25">
      <c r="A803"/>
      <c r="B803"/>
      <c r="C803"/>
      <c r="D803"/>
      <c r="E803"/>
      <c r="F803"/>
      <c r="G803"/>
      <c r="H803"/>
      <c r="I803"/>
    </row>
    <row r="804" spans="1:9" x14ac:dyDescent="0.25">
      <c r="A804"/>
      <c r="B804"/>
      <c r="C804"/>
      <c r="D804"/>
      <c r="E804"/>
      <c r="F804"/>
      <c r="G804"/>
      <c r="H804"/>
      <c r="I804"/>
    </row>
    <row r="805" spans="1:9" x14ac:dyDescent="0.25">
      <c r="A805"/>
      <c r="B805"/>
      <c r="C805"/>
      <c r="D805"/>
      <c r="E805"/>
      <c r="F805"/>
      <c r="G805"/>
      <c r="H805"/>
      <c r="I805"/>
    </row>
    <row r="806" spans="1:9" x14ac:dyDescent="0.25">
      <c r="A806"/>
      <c r="B806"/>
      <c r="C806"/>
      <c r="D806"/>
      <c r="E806"/>
      <c r="F806"/>
      <c r="G806"/>
      <c r="H806"/>
      <c r="I806"/>
    </row>
    <row r="807" spans="1:9" x14ac:dyDescent="0.25">
      <c r="A807"/>
      <c r="B807"/>
      <c r="C807"/>
      <c r="D807"/>
      <c r="E807"/>
      <c r="F807"/>
      <c r="G807"/>
      <c r="H807"/>
      <c r="I807"/>
    </row>
    <row r="808" spans="1:9" x14ac:dyDescent="0.25">
      <c r="A808"/>
      <c r="B808"/>
      <c r="C808"/>
      <c r="D808"/>
      <c r="E808"/>
      <c r="F808"/>
      <c r="G808"/>
      <c r="H808"/>
      <c r="I808"/>
    </row>
    <row r="809" spans="1:9" x14ac:dyDescent="0.25">
      <c r="A809"/>
      <c r="B809"/>
      <c r="C809"/>
      <c r="D809"/>
      <c r="E809"/>
      <c r="F809"/>
      <c r="G809"/>
      <c r="H809"/>
      <c r="I809"/>
    </row>
    <row r="810" spans="1:9" x14ac:dyDescent="0.25">
      <c r="A810"/>
      <c r="B810"/>
      <c r="C810"/>
      <c r="D810"/>
      <c r="E810"/>
      <c r="F810"/>
      <c r="G810"/>
      <c r="H810"/>
      <c r="I810"/>
    </row>
    <row r="811" spans="1:9" x14ac:dyDescent="0.25">
      <c r="A811"/>
      <c r="B811"/>
      <c r="C811"/>
      <c r="D811"/>
      <c r="E811"/>
      <c r="F811"/>
      <c r="G811"/>
      <c r="H811"/>
      <c r="I811"/>
    </row>
    <row r="812" spans="1:9" x14ac:dyDescent="0.25">
      <c r="A812"/>
      <c r="B812"/>
      <c r="C812"/>
      <c r="D812"/>
      <c r="E812"/>
      <c r="F812"/>
      <c r="G812"/>
      <c r="H812"/>
      <c r="I812"/>
    </row>
    <row r="813" spans="1:9" x14ac:dyDescent="0.25">
      <c r="A813"/>
      <c r="B813"/>
      <c r="C813"/>
      <c r="D813"/>
      <c r="E813"/>
      <c r="F813"/>
      <c r="G813"/>
      <c r="H813"/>
      <c r="I813"/>
    </row>
    <row r="814" spans="1:9" x14ac:dyDescent="0.25">
      <c r="A814"/>
      <c r="B814"/>
      <c r="C814"/>
      <c r="D814"/>
      <c r="E814"/>
      <c r="F814"/>
      <c r="G814"/>
      <c r="H814"/>
      <c r="I814"/>
    </row>
    <row r="815" spans="1:9" x14ac:dyDescent="0.25">
      <c r="A815"/>
      <c r="B815"/>
      <c r="C815"/>
      <c r="D815"/>
      <c r="E815"/>
      <c r="F815"/>
      <c r="G815"/>
      <c r="H815"/>
      <c r="I815"/>
    </row>
    <row r="816" spans="1:9" x14ac:dyDescent="0.25">
      <c r="A816"/>
      <c r="B816"/>
      <c r="C816"/>
      <c r="D816"/>
      <c r="E816"/>
      <c r="F816"/>
      <c r="G816"/>
      <c r="H816"/>
      <c r="I816"/>
    </row>
    <row r="817" spans="1:9" x14ac:dyDescent="0.25">
      <c r="A817"/>
      <c r="B817"/>
      <c r="C817"/>
      <c r="D817"/>
      <c r="E817"/>
      <c r="F817"/>
      <c r="G817"/>
      <c r="H817"/>
      <c r="I817"/>
    </row>
    <row r="818" spans="1:9" x14ac:dyDescent="0.25">
      <c r="A818"/>
      <c r="B818"/>
      <c r="C818"/>
      <c r="D818"/>
      <c r="E818"/>
      <c r="F818"/>
      <c r="G818"/>
      <c r="H818"/>
      <c r="I818"/>
    </row>
    <row r="819" spans="1:9" x14ac:dyDescent="0.25">
      <c r="A819"/>
      <c r="B819"/>
      <c r="C819"/>
      <c r="D819"/>
      <c r="E819"/>
      <c r="F819"/>
      <c r="G819"/>
      <c r="H819"/>
      <c r="I819"/>
    </row>
    <row r="820" spans="1:9" x14ac:dyDescent="0.25">
      <c r="A820"/>
      <c r="B820"/>
      <c r="C820"/>
      <c r="D820"/>
      <c r="E820"/>
      <c r="F820"/>
      <c r="G820"/>
      <c r="H820"/>
      <c r="I820"/>
    </row>
    <row r="821" spans="1:9" x14ac:dyDescent="0.25">
      <c r="A821"/>
      <c r="B821"/>
      <c r="C821"/>
      <c r="D821"/>
      <c r="E821"/>
      <c r="F821"/>
      <c r="G821"/>
      <c r="H821"/>
      <c r="I821"/>
    </row>
    <row r="822" spans="1:9" x14ac:dyDescent="0.25">
      <c r="A822"/>
      <c r="B822"/>
      <c r="C822"/>
      <c r="D822"/>
      <c r="E822"/>
      <c r="F822"/>
      <c r="G822"/>
      <c r="H822"/>
      <c r="I822"/>
    </row>
    <row r="823" spans="1:9" x14ac:dyDescent="0.25">
      <c r="A823"/>
      <c r="B823"/>
      <c r="C823"/>
      <c r="D823"/>
      <c r="E823"/>
      <c r="F823"/>
      <c r="G823"/>
      <c r="H823"/>
      <c r="I823"/>
    </row>
    <row r="824" spans="1:9" x14ac:dyDescent="0.25">
      <c r="A824"/>
      <c r="B824"/>
      <c r="C824"/>
      <c r="D824"/>
      <c r="E824"/>
      <c r="F824"/>
      <c r="G824"/>
      <c r="H824"/>
      <c r="I824"/>
    </row>
    <row r="825" spans="1:9" x14ac:dyDescent="0.25">
      <c r="A825"/>
      <c r="B825"/>
      <c r="C825"/>
      <c r="D825"/>
      <c r="E825"/>
      <c r="F825"/>
      <c r="G825"/>
      <c r="H825"/>
      <c r="I825"/>
    </row>
    <row r="826" spans="1:9" x14ac:dyDescent="0.25">
      <c r="A826"/>
      <c r="B826"/>
      <c r="C826"/>
      <c r="D826"/>
      <c r="E826"/>
      <c r="F826"/>
      <c r="G826"/>
      <c r="H826"/>
      <c r="I826"/>
    </row>
    <row r="827" spans="1:9" x14ac:dyDescent="0.25">
      <c r="A827"/>
      <c r="B827"/>
      <c r="C827"/>
      <c r="D827"/>
      <c r="E827"/>
      <c r="F827"/>
      <c r="G827"/>
      <c r="H827"/>
      <c r="I827"/>
    </row>
    <row r="828" spans="1:9" x14ac:dyDescent="0.25">
      <c r="A828"/>
      <c r="B828"/>
      <c r="C828"/>
      <c r="D828"/>
      <c r="E828"/>
      <c r="F828"/>
      <c r="G828"/>
      <c r="H828"/>
      <c r="I828"/>
    </row>
    <row r="829" spans="1:9" x14ac:dyDescent="0.25">
      <c r="A829"/>
      <c r="B829"/>
      <c r="C829"/>
      <c r="D829"/>
      <c r="E829"/>
      <c r="F829"/>
      <c r="G829"/>
      <c r="H829"/>
      <c r="I829"/>
    </row>
    <row r="830" spans="1:9" x14ac:dyDescent="0.25">
      <c r="A830"/>
      <c r="B830"/>
      <c r="C830"/>
      <c r="D830"/>
      <c r="E830"/>
      <c r="F830"/>
      <c r="G830"/>
      <c r="H830"/>
      <c r="I830"/>
    </row>
    <row r="831" spans="1:9" x14ac:dyDescent="0.25">
      <c r="A831"/>
      <c r="B831"/>
      <c r="C831"/>
      <c r="D831"/>
      <c r="E831"/>
      <c r="F831"/>
      <c r="G831"/>
      <c r="H831"/>
      <c r="I831"/>
    </row>
    <row r="832" spans="1:9" x14ac:dyDescent="0.25">
      <c r="A832"/>
      <c r="B832"/>
      <c r="C832"/>
      <c r="D832"/>
      <c r="E832"/>
      <c r="F832"/>
      <c r="G832"/>
      <c r="H832"/>
      <c r="I832"/>
    </row>
    <row r="833" spans="1:9" x14ac:dyDescent="0.25">
      <c r="A833"/>
      <c r="B833"/>
      <c r="C833"/>
      <c r="D833"/>
      <c r="E833"/>
      <c r="F833"/>
      <c r="G833"/>
      <c r="H833"/>
      <c r="I833"/>
    </row>
    <row r="834" spans="1:9" x14ac:dyDescent="0.25">
      <c r="A834"/>
      <c r="B834"/>
      <c r="C834"/>
      <c r="D834"/>
      <c r="E834"/>
      <c r="F834"/>
      <c r="G834"/>
      <c r="H834"/>
      <c r="I834"/>
    </row>
    <row r="835" spans="1:9" x14ac:dyDescent="0.25">
      <c r="A835"/>
      <c r="B835"/>
      <c r="C835"/>
      <c r="D835"/>
      <c r="E835"/>
      <c r="F835"/>
      <c r="G835"/>
      <c r="H835"/>
      <c r="I835"/>
    </row>
    <row r="836" spans="1:9" x14ac:dyDescent="0.25">
      <c r="A836"/>
      <c r="B836"/>
      <c r="C836"/>
      <c r="D836"/>
      <c r="E836"/>
      <c r="F836"/>
      <c r="G836"/>
      <c r="H836"/>
      <c r="I836"/>
    </row>
    <row r="837" spans="1:9" x14ac:dyDescent="0.25">
      <c r="A837"/>
      <c r="B837"/>
      <c r="C837"/>
      <c r="D837"/>
      <c r="E837"/>
      <c r="F837"/>
      <c r="G837"/>
      <c r="H837"/>
      <c r="I837"/>
    </row>
    <row r="838" spans="1:9" x14ac:dyDescent="0.25">
      <c r="A838"/>
      <c r="B838"/>
      <c r="C838"/>
      <c r="D838"/>
      <c r="E838"/>
      <c r="F838"/>
      <c r="G838"/>
      <c r="H838"/>
      <c r="I838"/>
    </row>
    <row r="839" spans="1:9" x14ac:dyDescent="0.25">
      <c r="A839"/>
      <c r="B839"/>
      <c r="C839"/>
      <c r="D839"/>
      <c r="E839"/>
      <c r="F839"/>
      <c r="G839"/>
      <c r="H839"/>
      <c r="I839"/>
    </row>
    <row r="840" spans="1:9" x14ac:dyDescent="0.25">
      <c r="A840"/>
      <c r="B840"/>
      <c r="C840"/>
      <c r="D840"/>
      <c r="E840"/>
      <c r="F840"/>
      <c r="G840"/>
      <c r="H840"/>
      <c r="I840"/>
    </row>
    <row r="841" spans="1:9" x14ac:dyDescent="0.25">
      <c r="A841"/>
      <c r="B841"/>
      <c r="C841"/>
      <c r="D841"/>
      <c r="E841"/>
      <c r="F841"/>
      <c r="G841"/>
      <c r="H841"/>
      <c r="I841"/>
    </row>
    <row r="842" spans="1:9" x14ac:dyDescent="0.25">
      <c r="A842"/>
      <c r="B842"/>
      <c r="C842"/>
      <c r="D842"/>
      <c r="E842"/>
      <c r="F842"/>
      <c r="G842"/>
      <c r="H842"/>
      <c r="I842"/>
    </row>
    <row r="843" spans="1:9" x14ac:dyDescent="0.25">
      <c r="A843"/>
      <c r="B843"/>
      <c r="C843"/>
      <c r="D843"/>
      <c r="E843"/>
      <c r="F843"/>
      <c r="G843"/>
      <c r="H843"/>
      <c r="I843"/>
    </row>
    <row r="844" spans="1:9" x14ac:dyDescent="0.25">
      <c r="A844"/>
      <c r="B844"/>
      <c r="C844"/>
      <c r="D844"/>
      <c r="E844"/>
      <c r="F844"/>
      <c r="G844"/>
      <c r="H844"/>
      <c r="I844"/>
    </row>
    <row r="845" spans="1:9" x14ac:dyDescent="0.25">
      <c r="A845"/>
      <c r="B845"/>
      <c r="C845"/>
      <c r="D845"/>
      <c r="E845"/>
      <c r="F845"/>
      <c r="G845"/>
      <c r="H845"/>
      <c r="I845"/>
    </row>
    <row r="846" spans="1:9" x14ac:dyDescent="0.25">
      <c r="A846"/>
      <c r="B846"/>
      <c r="C846"/>
      <c r="D846"/>
      <c r="E846"/>
      <c r="F846"/>
      <c r="G846"/>
      <c r="H846"/>
      <c r="I846"/>
    </row>
    <row r="847" spans="1:9" x14ac:dyDescent="0.25">
      <c r="A847"/>
      <c r="B847"/>
      <c r="C847"/>
      <c r="D847"/>
      <c r="E847"/>
      <c r="F847"/>
      <c r="G847"/>
      <c r="H847"/>
      <c r="I847"/>
    </row>
    <row r="848" spans="1:9" x14ac:dyDescent="0.25">
      <c r="A848"/>
      <c r="B848"/>
      <c r="C848"/>
      <c r="D848"/>
      <c r="E848"/>
      <c r="F848"/>
      <c r="G848"/>
      <c r="H848"/>
      <c r="I848"/>
    </row>
    <row r="849" spans="1:9" x14ac:dyDescent="0.25">
      <c r="A849"/>
      <c r="B849"/>
      <c r="C849"/>
      <c r="D849"/>
      <c r="E849"/>
      <c r="F849"/>
      <c r="G849"/>
      <c r="H849"/>
      <c r="I849"/>
    </row>
    <row r="850" spans="1:9" x14ac:dyDescent="0.25">
      <c r="A850"/>
      <c r="B850"/>
      <c r="C850"/>
      <c r="D850"/>
      <c r="E850"/>
      <c r="F850"/>
      <c r="G850"/>
      <c r="H850"/>
      <c r="I850"/>
    </row>
    <row r="851" spans="1:9" x14ac:dyDescent="0.25">
      <c r="A851"/>
      <c r="B851"/>
      <c r="C851"/>
      <c r="D851"/>
      <c r="E851"/>
      <c r="F851"/>
      <c r="G851"/>
      <c r="H851"/>
      <c r="I851"/>
    </row>
    <row r="852" spans="1:9" x14ac:dyDescent="0.25">
      <c r="A852"/>
      <c r="B852"/>
      <c r="C852"/>
      <c r="D852"/>
      <c r="E852"/>
      <c r="F852"/>
      <c r="G852"/>
      <c r="H852"/>
      <c r="I852"/>
    </row>
    <row r="853" spans="1:9" x14ac:dyDescent="0.25">
      <c r="A853"/>
      <c r="B853"/>
      <c r="C853"/>
      <c r="D853"/>
      <c r="E853"/>
      <c r="F853"/>
      <c r="G853"/>
      <c r="H853"/>
      <c r="I853"/>
    </row>
    <row r="854" spans="1:9" x14ac:dyDescent="0.25">
      <c r="A854"/>
      <c r="B854"/>
      <c r="C854"/>
      <c r="D854"/>
      <c r="E854"/>
      <c r="F854"/>
      <c r="G854"/>
      <c r="H854"/>
      <c r="I854"/>
    </row>
    <row r="855" spans="1:9" x14ac:dyDescent="0.25">
      <c r="A855"/>
      <c r="B855"/>
      <c r="C855"/>
      <c r="D855"/>
      <c r="E855"/>
      <c r="F855"/>
      <c r="G855"/>
      <c r="H855"/>
      <c r="I855"/>
    </row>
    <row r="856" spans="1:9" x14ac:dyDescent="0.25">
      <c r="A856"/>
      <c r="B856"/>
      <c r="C856"/>
      <c r="D856"/>
      <c r="E856"/>
      <c r="F856"/>
      <c r="G856"/>
      <c r="H856"/>
      <c r="I856"/>
    </row>
    <row r="857" spans="1:9" x14ac:dyDescent="0.25">
      <c r="A857"/>
      <c r="B857"/>
      <c r="C857"/>
      <c r="D857"/>
      <c r="E857"/>
      <c r="F857"/>
      <c r="G857"/>
      <c r="H857"/>
      <c r="I857"/>
    </row>
    <row r="858" spans="1:9" x14ac:dyDescent="0.25">
      <c r="A858"/>
      <c r="B858"/>
      <c r="C858"/>
      <c r="D858"/>
      <c r="E858"/>
      <c r="F858"/>
      <c r="G858"/>
      <c r="H858"/>
      <c r="I858"/>
    </row>
    <row r="859" spans="1:9" x14ac:dyDescent="0.25">
      <c r="A859"/>
      <c r="B859"/>
      <c r="C859"/>
      <c r="D859"/>
      <c r="E859"/>
      <c r="F859"/>
      <c r="G859"/>
      <c r="H859"/>
      <c r="I859"/>
    </row>
    <row r="860" spans="1:9" x14ac:dyDescent="0.25">
      <c r="A860"/>
      <c r="B860"/>
      <c r="C860"/>
      <c r="D860"/>
      <c r="E860"/>
      <c r="F860"/>
      <c r="G860"/>
      <c r="H860"/>
      <c r="I860"/>
    </row>
    <row r="861" spans="1:9" x14ac:dyDescent="0.25">
      <c r="A861"/>
      <c r="B861"/>
      <c r="C861"/>
      <c r="D861"/>
      <c r="E861"/>
      <c r="F861"/>
      <c r="G861"/>
      <c r="H861"/>
      <c r="I861"/>
    </row>
    <row r="862" spans="1:9" x14ac:dyDescent="0.25">
      <c r="A862"/>
      <c r="B862"/>
      <c r="C862"/>
      <c r="D862"/>
      <c r="E862"/>
      <c r="F862"/>
      <c r="G862"/>
      <c r="H862"/>
      <c r="I862"/>
    </row>
    <row r="863" spans="1:9" x14ac:dyDescent="0.25">
      <c r="A863"/>
      <c r="B863"/>
      <c r="C863"/>
      <c r="D863"/>
      <c r="E863"/>
      <c r="F863"/>
      <c r="G863"/>
      <c r="H863"/>
      <c r="I863"/>
    </row>
    <row r="864" spans="1:9" x14ac:dyDescent="0.25">
      <c r="A864"/>
      <c r="B864"/>
      <c r="C864"/>
      <c r="D864"/>
      <c r="E864"/>
      <c r="F864"/>
      <c r="G864"/>
      <c r="H864"/>
      <c r="I864"/>
    </row>
    <row r="865" spans="1:9" x14ac:dyDescent="0.25">
      <c r="A865"/>
      <c r="B865"/>
      <c r="C865"/>
      <c r="D865"/>
      <c r="E865"/>
      <c r="F865"/>
      <c r="G865"/>
      <c r="H865"/>
      <c r="I865"/>
    </row>
    <row r="866" spans="1:9" x14ac:dyDescent="0.25">
      <c r="A866"/>
      <c r="B866"/>
      <c r="C866"/>
      <c r="D866"/>
      <c r="E866"/>
      <c r="F866"/>
      <c r="G866"/>
      <c r="H866"/>
      <c r="I866"/>
    </row>
    <row r="867" spans="1:9" x14ac:dyDescent="0.25">
      <c r="A867"/>
      <c r="B867"/>
      <c r="C867"/>
      <c r="D867"/>
      <c r="E867"/>
      <c r="F867"/>
      <c r="G867"/>
      <c r="H867"/>
      <c r="I867"/>
    </row>
    <row r="868" spans="1:9" x14ac:dyDescent="0.25">
      <c r="A868"/>
      <c r="B868"/>
      <c r="C868"/>
      <c r="D868"/>
      <c r="E868"/>
      <c r="F868"/>
      <c r="G868"/>
      <c r="H868"/>
      <c r="I868"/>
    </row>
    <row r="869" spans="1:9" x14ac:dyDescent="0.25">
      <c r="A869"/>
      <c r="B869"/>
      <c r="C869"/>
      <c r="D869"/>
      <c r="E869"/>
      <c r="F869"/>
      <c r="G869"/>
      <c r="H869"/>
      <c r="I869"/>
    </row>
    <row r="870" spans="1:9" x14ac:dyDescent="0.25">
      <c r="A870"/>
      <c r="B870"/>
      <c r="C870"/>
      <c r="D870"/>
      <c r="E870"/>
      <c r="F870"/>
      <c r="G870"/>
      <c r="H870"/>
      <c r="I870"/>
    </row>
    <row r="871" spans="1:9" x14ac:dyDescent="0.25">
      <c r="A871"/>
      <c r="B871"/>
      <c r="C871"/>
      <c r="D871"/>
      <c r="E871"/>
      <c r="F871"/>
      <c r="G871"/>
      <c r="H871"/>
      <c r="I871"/>
    </row>
    <row r="872" spans="1:9" x14ac:dyDescent="0.25">
      <c r="A872"/>
      <c r="B872"/>
      <c r="C872"/>
      <c r="D872"/>
      <c r="E872"/>
      <c r="F872"/>
      <c r="G872"/>
      <c r="H872"/>
      <c r="I872"/>
    </row>
    <row r="873" spans="1:9" x14ac:dyDescent="0.25">
      <c r="A873"/>
      <c r="B873"/>
      <c r="C873"/>
      <c r="D873"/>
      <c r="E873"/>
      <c r="F873"/>
      <c r="G873"/>
      <c r="H873"/>
      <c r="I873"/>
    </row>
    <row r="874" spans="1:9" x14ac:dyDescent="0.25">
      <c r="A874"/>
      <c r="B874"/>
      <c r="C874"/>
      <c r="D874"/>
      <c r="E874"/>
      <c r="F874"/>
      <c r="G874"/>
      <c r="H874"/>
      <c r="I874"/>
    </row>
    <row r="875" spans="1:9" x14ac:dyDescent="0.25">
      <c r="A875"/>
      <c r="B875"/>
      <c r="C875"/>
      <c r="D875"/>
      <c r="E875"/>
      <c r="F875"/>
      <c r="G875"/>
      <c r="H875"/>
      <c r="I875"/>
    </row>
    <row r="876" spans="1:9" x14ac:dyDescent="0.25">
      <c r="A876"/>
      <c r="B876"/>
      <c r="C876"/>
      <c r="D876"/>
      <c r="E876"/>
      <c r="F876"/>
      <c r="G876"/>
      <c r="H876"/>
      <c r="I876"/>
    </row>
    <row r="877" spans="1:9" x14ac:dyDescent="0.25">
      <c r="A877"/>
      <c r="B877"/>
      <c r="C877"/>
      <c r="D877"/>
      <c r="E877"/>
      <c r="F877"/>
      <c r="G877"/>
      <c r="H877"/>
      <c r="I877"/>
    </row>
  </sheetData>
  <printOptions horizontalCentered="1"/>
  <pageMargins left="0.25" right="0.25" top="0.75" bottom="0.75" header="0.3" footer="0.3"/>
  <pageSetup paperSize="9" scale="64" fitToHeight="3" orientation="portrait" r:id="rId2"/>
  <drawing r:id="rId3"/>
  <extLst>
    <ext xmlns:x14="http://schemas.microsoft.com/office/spreadsheetml/2009/9/main" uri="{A8765BA9-456A-4dab-B4F3-ACF838C121DE}">
      <x14:slicerList>
        <x14:slicer r:id="rId4"/>
      </x14:slicerList>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54AEC-B4C0-4E69-8A46-27D5447B82BC}">
  <sheetPr>
    <pageSetUpPr fitToPage="1"/>
  </sheetPr>
  <dimension ref="A9:N877"/>
  <sheetViews>
    <sheetView showGridLines="0" view="pageBreakPreview" topLeftCell="A43" zoomScale="85" zoomScaleNormal="100" zoomScaleSheetLayoutView="85" workbookViewId="0">
      <selection activeCell="J110" sqref="J110"/>
    </sheetView>
  </sheetViews>
  <sheetFormatPr defaultRowHeight="15" x14ac:dyDescent="0.25"/>
  <cols>
    <col min="1" max="1" width="13.28515625" style="79" bestFit="1" customWidth="1"/>
    <col min="2" max="2" width="16.140625" style="191" bestFit="1" customWidth="1"/>
    <col min="3" max="5" width="11.5703125" style="192" bestFit="1" customWidth="1"/>
    <col min="6" max="6" width="13.5703125" style="79" bestFit="1" customWidth="1"/>
    <col min="7" max="7" width="18.28515625" style="192" bestFit="1" customWidth="1"/>
    <col min="8" max="8" width="13.28515625" style="192" bestFit="1" customWidth="1"/>
    <col min="9" max="9" width="16.42578125" style="79" bestFit="1" customWidth="1"/>
    <col min="10" max="10" width="28.85546875" style="79" bestFit="1" customWidth="1"/>
    <col min="11" max="13" width="9.140625" style="79"/>
    <col min="14" max="14" width="24.7109375" style="79" bestFit="1" customWidth="1"/>
    <col min="15" max="16384" width="9.140625" style="79"/>
  </cols>
  <sheetData>
    <row r="9" spans="14:14" x14ac:dyDescent="0.25">
      <c r="N9" s="79" t="s">
        <v>1177</v>
      </c>
    </row>
    <row r="10" spans="14:14" x14ac:dyDescent="0.25">
      <c r="N10" s="79" t="s">
        <v>1171</v>
      </c>
    </row>
    <row r="11" spans="14:14" x14ac:dyDescent="0.25">
      <c r="N11" s="79">
        <f>COUNT(B18:B162)</f>
        <v>92</v>
      </c>
    </row>
    <row r="12" spans="14:14" x14ac:dyDescent="0.25">
      <c r="N12" s="79" t="s">
        <v>1164</v>
      </c>
    </row>
    <row r="13" spans="14:14" x14ac:dyDescent="0.25">
      <c r="N13" s="79" t="s">
        <v>1301</v>
      </c>
    </row>
    <row r="14" spans="14:14" x14ac:dyDescent="0.25">
      <c r="N14" s="226">
        <f>GETPIVOTDATA("Sum of TOTAL UNIT VALUE (SEMI FINISHED)",'PROJECT SUMMARY DASH'!$A$1,"SELLING PHASE NAME","R 8")</f>
        <v>901951809.7705096</v>
      </c>
    </row>
    <row r="18" spans="1:10" s="160" customFormat="1" ht="60" x14ac:dyDescent="0.25">
      <c r="A18" s="160" t="s">
        <v>733</v>
      </c>
      <c r="B18" s="160" t="s">
        <v>1303</v>
      </c>
      <c r="C18" s="160" t="s">
        <v>713</v>
      </c>
      <c r="D18" s="160" t="s">
        <v>1302</v>
      </c>
      <c r="E18" s="225" t="s">
        <v>1151</v>
      </c>
      <c r="F18" s="225" t="s">
        <v>1152</v>
      </c>
      <c r="G18" s="160" t="s">
        <v>1298</v>
      </c>
      <c r="H18" s="160" t="s">
        <v>1299</v>
      </c>
      <c r="I18" s="160" t="s">
        <v>1300</v>
      </c>
      <c r="J18" s="290" t="str">
        <f>Table1[[#Headers],[NO. OF BEDROOMS]]</f>
        <v>NO. OF BEDROOMS</v>
      </c>
    </row>
    <row r="19" spans="1:10" x14ac:dyDescent="0.25">
      <c r="A19" s="121" t="s">
        <v>736</v>
      </c>
      <c r="B19" s="191">
        <v>56028.5</v>
      </c>
      <c r="C19" s="191">
        <v>135</v>
      </c>
      <c r="D19" s="191"/>
      <c r="E19" s="122">
        <v>0</v>
      </c>
      <c r="F19" s="122">
        <v>642927.03750000009</v>
      </c>
      <c r="G19" s="122">
        <v>7807847.5</v>
      </c>
      <c r="H19" s="122">
        <v>8415347.5</v>
      </c>
      <c r="I19" s="122">
        <v>8820347.5</v>
      </c>
      <c r="J19" s="79" t="str">
        <f>VLOOKUP(A19,Table1[[Unit Number]:[NO. OF BEDROOMS]],2,FALSE)</f>
        <v>2 BEDROOM</v>
      </c>
    </row>
    <row r="20" spans="1:10" x14ac:dyDescent="0.25">
      <c r="A20" s="121" t="s">
        <v>248</v>
      </c>
      <c r="B20" s="191">
        <v>54442.5</v>
      </c>
      <c r="C20" s="191">
        <v>138</v>
      </c>
      <c r="D20" s="191"/>
      <c r="E20" s="122">
        <v>0</v>
      </c>
      <c r="F20" s="122">
        <v>638610.52500000002</v>
      </c>
      <c r="G20" s="122">
        <v>7757065</v>
      </c>
      <c r="H20" s="122">
        <v>8378065</v>
      </c>
      <c r="I20" s="122">
        <v>8792065</v>
      </c>
      <c r="J20" s="79" t="str">
        <f>VLOOKUP(A20,Table1[[Unit Number]:[NO. OF BEDROOMS]],2,FALSE)</f>
        <v>2 BEDROOM</v>
      </c>
    </row>
    <row r="21" spans="1:10" x14ac:dyDescent="0.25">
      <c r="A21" s="121" t="s">
        <v>326</v>
      </c>
      <c r="B21" s="191">
        <v>54503.5</v>
      </c>
      <c r="C21" s="191">
        <v>119</v>
      </c>
      <c r="D21" s="191"/>
      <c r="E21" s="122">
        <v>0</v>
      </c>
      <c r="F21" s="122">
        <v>551302.90250000008</v>
      </c>
      <c r="G21" s="122">
        <v>6729916.5</v>
      </c>
      <c r="H21" s="122">
        <v>7265416.5</v>
      </c>
      <c r="I21" s="122">
        <v>7622416.5</v>
      </c>
      <c r="J21" s="79" t="str">
        <f>VLOOKUP(A21,Table1[[Unit Number]:[NO. OF BEDROOMS]],2,FALSE)</f>
        <v>2 BEDROOM</v>
      </c>
    </row>
    <row r="22" spans="1:10" x14ac:dyDescent="0.25">
      <c r="A22" s="121" t="s">
        <v>328</v>
      </c>
      <c r="B22" s="191">
        <v>54503.5</v>
      </c>
      <c r="C22" s="191">
        <v>112</v>
      </c>
      <c r="D22" s="191"/>
      <c r="E22" s="122">
        <v>0</v>
      </c>
      <c r="F22" s="122">
        <v>518873.32000000007</v>
      </c>
      <c r="G22" s="122">
        <v>6348392</v>
      </c>
      <c r="H22" s="122">
        <v>6852392</v>
      </c>
      <c r="I22" s="122">
        <v>7188392</v>
      </c>
      <c r="J22" s="79" t="str">
        <f>VLOOKUP(A22,Table1[[Unit Number]:[NO. OF BEDROOMS]],2,FALSE)</f>
        <v>2 BEDROOM</v>
      </c>
    </row>
    <row r="23" spans="1:10" x14ac:dyDescent="0.25">
      <c r="A23" s="121" t="s">
        <v>334</v>
      </c>
      <c r="B23" s="191">
        <v>54503.5</v>
      </c>
      <c r="C23" s="191">
        <v>121</v>
      </c>
      <c r="D23" s="191"/>
      <c r="E23" s="122">
        <v>0</v>
      </c>
      <c r="F23" s="122">
        <v>560568.49750000006</v>
      </c>
      <c r="G23" s="122">
        <v>6838923.5</v>
      </c>
      <c r="H23" s="122">
        <v>7383423.5</v>
      </c>
      <c r="I23" s="122">
        <v>7746423.5</v>
      </c>
      <c r="J23" s="79" t="str">
        <f>VLOOKUP(A23,Table1[[Unit Number]:[NO. OF BEDROOMS]],2,FALSE)</f>
        <v>2 BEDROOM</v>
      </c>
    </row>
    <row r="24" spans="1:10" x14ac:dyDescent="0.25">
      <c r="A24" s="121" t="s">
        <v>339</v>
      </c>
      <c r="B24" s="191">
        <v>54442.5</v>
      </c>
      <c r="C24" s="191">
        <v>75</v>
      </c>
      <c r="D24" s="191">
        <v>23.799600000000002</v>
      </c>
      <c r="E24" s="122">
        <v>427584.20859000005</v>
      </c>
      <c r="F24" s="122">
        <v>383415.59523015004</v>
      </c>
      <c r="G24" s="122">
        <v>4754771.7085899999</v>
      </c>
      <c r="H24" s="122">
        <v>5092271.7085899999</v>
      </c>
      <c r="I24" s="122">
        <v>5317271.7085899999</v>
      </c>
      <c r="J24" s="79" t="str">
        <f>VLOOKUP(A24,Table1[[Unit Number]:[NO. OF BEDROOMS]],2,FALSE)</f>
        <v>1 BEDROOM (STUDIO)</v>
      </c>
    </row>
    <row r="25" spans="1:10" x14ac:dyDescent="0.25">
      <c r="A25" s="121" t="s">
        <v>340</v>
      </c>
      <c r="B25" s="191">
        <v>54503.5</v>
      </c>
      <c r="C25" s="191">
        <v>119</v>
      </c>
      <c r="D25" s="191"/>
      <c r="E25" s="122">
        <v>0</v>
      </c>
      <c r="F25" s="122">
        <v>551302.90250000008</v>
      </c>
      <c r="G25" s="122">
        <v>6729916.5</v>
      </c>
      <c r="H25" s="122">
        <v>7265416.5</v>
      </c>
      <c r="I25" s="122">
        <v>7622416.5</v>
      </c>
      <c r="J25" s="79" t="str">
        <f>VLOOKUP(A25,Table1[[Unit Number]:[NO. OF BEDROOMS]],2,FALSE)</f>
        <v>2 BEDROOM</v>
      </c>
    </row>
    <row r="26" spans="1:10" x14ac:dyDescent="0.25">
      <c r="A26" s="121" t="s">
        <v>351</v>
      </c>
      <c r="B26" s="191">
        <v>54442.5</v>
      </c>
      <c r="C26" s="191">
        <v>110</v>
      </c>
      <c r="D26" s="191"/>
      <c r="E26" s="122">
        <v>0</v>
      </c>
      <c r="F26" s="122">
        <v>509037.37500000006</v>
      </c>
      <c r="G26" s="122">
        <v>6232675</v>
      </c>
      <c r="H26" s="122">
        <v>6727675</v>
      </c>
      <c r="I26" s="122">
        <v>7057675</v>
      </c>
      <c r="J26" s="79" t="str">
        <f>VLOOKUP(A26,Table1[[Unit Number]:[NO. OF BEDROOMS]],2,FALSE)</f>
        <v>2 BEDROOM</v>
      </c>
    </row>
    <row r="27" spans="1:10" x14ac:dyDescent="0.25">
      <c r="A27" s="121" t="s">
        <v>352</v>
      </c>
      <c r="B27" s="191">
        <v>54442.5</v>
      </c>
      <c r="C27" s="191">
        <v>75</v>
      </c>
      <c r="D27" s="191">
        <v>23.800799999999999</v>
      </c>
      <c r="E27" s="122">
        <v>427605.76782000001</v>
      </c>
      <c r="F27" s="122">
        <v>383417.42776470003</v>
      </c>
      <c r="G27" s="122">
        <v>4754793.2678199997</v>
      </c>
      <c r="H27" s="122">
        <v>5092293.2678199997</v>
      </c>
      <c r="I27" s="122">
        <v>5317293.2678199997</v>
      </c>
      <c r="J27" s="79" t="str">
        <f>VLOOKUP(A27,Table1[[Unit Number]:[NO. OF BEDROOMS]],2,FALSE)</f>
        <v>1 BEDROOM (STUDIO)</v>
      </c>
    </row>
    <row r="28" spans="1:10" x14ac:dyDescent="0.25">
      <c r="A28" s="121" t="s">
        <v>355</v>
      </c>
      <c r="B28" s="191">
        <v>54503.5</v>
      </c>
      <c r="C28" s="191">
        <v>136</v>
      </c>
      <c r="D28" s="191">
        <v>50.038899999999998</v>
      </c>
      <c r="E28" s="122">
        <v>900007.41142950009</v>
      </c>
      <c r="F28" s="122">
        <v>706561.08997150755</v>
      </c>
      <c r="G28" s="122">
        <v>8556483.4114295002</v>
      </c>
      <c r="H28" s="122">
        <v>9168483.4114295002</v>
      </c>
      <c r="I28" s="122">
        <v>9576483.4114295002</v>
      </c>
      <c r="J28" s="79" t="str">
        <f>VLOOKUP(A28,Table1[[Unit Number]:[NO. OF BEDROOMS]],2,FALSE)</f>
        <v>2 BEDROOM</v>
      </c>
    </row>
    <row r="29" spans="1:10" x14ac:dyDescent="0.25">
      <c r="A29" s="121" t="s">
        <v>785</v>
      </c>
      <c r="B29" s="191">
        <v>56089.5</v>
      </c>
      <c r="C29" s="191">
        <v>135</v>
      </c>
      <c r="D29" s="191"/>
      <c r="E29" s="122">
        <v>0</v>
      </c>
      <c r="F29" s="122">
        <v>643627.01250000007</v>
      </c>
      <c r="G29" s="122">
        <v>7816082.5</v>
      </c>
      <c r="H29" s="122">
        <v>8423582.5</v>
      </c>
      <c r="I29" s="122">
        <v>8828582.5</v>
      </c>
      <c r="J29" s="79" t="str">
        <f>VLOOKUP(A29,Table1[[Unit Number]:[NO. OF BEDROOMS]],2,FALSE)</f>
        <v>2 BEDROOM</v>
      </c>
    </row>
    <row r="30" spans="1:10" x14ac:dyDescent="0.25">
      <c r="A30" s="121" t="s">
        <v>791</v>
      </c>
      <c r="B30" s="191">
        <v>56974</v>
      </c>
      <c r="C30" s="191">
        <v>199</v>
      </c>
      <c r="D30" s="191">
        <v>76.321799999999996</v>
      </c>
      <c r="E30" s="122">
        <v>1434958.2169560001</v>
      </c>
      <c r="F30" s="122">
        <v>1085686.6584412602</v>
      </c>
      <c r="G30" s="122">
        <v>13016784.216956001</v>
      </c>
      <c r="H30" s="122">
        <v>13912284.216956001</v>
      </c>
      <c r="I30" s="122">
        <v>14509284.216956001</v>
      </c>
      <c r="J30" s="79" t="str">
        <f>VLOOKUP(A30,Table1[[Unit Number]:[NO. OF BEDROOMS]],2,FALSE)</f>
        <v>3 BEDROOM</v>
      </c>
    </row>
    <row r="31" spans="1:10" x14ac:dyDescent="0.25">
      <c r="A31" s="121" t="s">
        <v>817</v>
      </c>
      <c r="B31" s="191">
        <v>56059</v>
      </c>
      <c r="C31" s="191">
        <v>198</v>
      </c>
      <c r="D31" s="191"/>
      <c r="E31" s="122">
        <v>0</v>
      </c>
      <c r="F31" s="122">
        <v>943472.97000000009</v>
      </c>
      <c r="G31" s="122">
        <v>11343682</v>
      </c>
      <c r="H31" s="122">
        <v>12234682</v>
      </c>
      <c r="I31" s="122">
        <v>12828682</v>
      </c>
      <c r="J31" s="79" t="str">
        <f>VLOOKUP(A31,Table1[[Unit Number]:[NO. OF BEDROOMS]],2,FALSE)</f>
        <v>3 BEDROOM</v>
      </c>
    </row>
    <row r="32" spans="1:10" x14ac:dyDescent="0.25">
      <c r="A32" s="121" t="s">
        <v>388</v>
      </c>
      <c r="B32" s="191">
        <v>54442.5</v>
      </c>
      <c r="C32" s="191">
        <v>173</v>
      </c>
      <c r="D32" s="191"/>
      <c r="E32" s="122">
        <v>0</v>
      </c>
      <c r="F32" s="122">
        <v>800576.96250000002</v>
      </c>
      <c r="G32" s="122">
        <v>9662552.5</v>
      </c>
      <c r="H32" s="122">
        <v>10441052.5</v>
      </c>
      <c r="I32" s="122">
        <v>10960052.5</v>
      </c>
      <c r="J32" s="79" t="str">
        <f>VLOOKUP(A32,Table1[[Unit Number]:[NO. OF BEDROOMS]],2,FALSE)</f>
        <v>3 BEDROOM</v>
      </c>
    </row>
    <row r="33" spans="1:10" x14ac:dyDescent="0.25">
      <c r="A33" s="121" t="s">
        <v>389</v>
      </c>
      <c r="B33" s="191">
        <v>54534</v>
      </c>
      <c r="C33" s="191">
        <v>172</v>
      </c>
      <c r="D33" s="191"/>
      <c r="E33" s="122">
        <v>0</v>
      </c>
      <c r="F33" s="122">
        <v>797287.08000000007</v>
      </c>
      <c r="G33" s="122">
        <v>9623848</v>
      </c>
      <c r="H33" s="122">
        <v>10397848</v>
      </c>
      <c r="I33" s="122">
        <v>10913848</v>
      </c>
      <c r="J33" s="79" t="str">
        <f>VLOOKUP(A33,Table1[[Unit Number]:[NO. OF BEDROOMS]],2,FALSE)</f>
        <v>3 BEDROOM</v>
      </c>
    </row>
    <row r="34" spans="1:10" x14ac:dyDescent="0.25">
      <c r="A34" s="121" t="s">
        <v>831</v>
      </c>
      <c r="B34" s="191">
        <v>56028.5</v>
      </c>
      <c r="C34" s="191">
        <v>344</v>
      </c>
      <c r="D34" s="191">
        <v>97.259299999999996</v>
      </c>
      <c r="E34" s="122">
        <v>1798266.5877165003</v>
      </c>
      <c r="F34" s="122">
        <v>1791125.9999559028</v>
      </c>
      <c r="G34" s="122">
        <v>21316070.587716501</v>
      </c>
      <c r="H34" s="122">
        <v>22864070.587716501</v>
      </c>
      <c r="I34" s="122">
        <v>23896070.587716501</v>
      </c>
      <c r="J34" s="79" t="str">
        <f>VLOOKUP(A34,Table1[[Unit Number]:[NO. OF BEDROOMS]],2,FALSE)</f>
        <v>3 BEDROOM + LIVING (DUPLEX)</v>
      </c>
    </row>
    <row r="35" spans="1:10" x14ac:dyDescent="0.25">
      <c r="A35" s="121" t="s">
        <v>401</v>
      </c>
      <c r="B35" s="191">
        <v>54534</v>
      </c>
      <c r="C35" s="191">
        <v>172</v>
      </c>
      <c r="D35" s="191"/>
      <c r="E35" s="122">
        <v>0</v>
      </c>
      <c r="F35" s="122">
        <v>797287.08000000007</v>
      </c>
      <c r="G35" s="122">
        <v>9623848</v>
      </c>
      <c r="H35" s="122">
        <v>10397848</v>
      </c>
      <c r="I35" s="122">
        <v>10913848</v>
      </c>
      <c r="J35" s="79" t="str">
        <f>VLOOKUP(A35,Table1[[Unit Number]:[NO. OF BEDROOMS]],2,FALSE)</f>
        <v>3 BEDROOM</v>
      </c>
    </row>
    <row r="36" spans="1:10" x14ac:dyDescent="0.25">
      <c r="A36" s="121" t="s">
        <v>402</v>
      </c>
      <c r="B36" s="191">
        <v>54534</v>
      </c>
      <c r="C36" s="191">
        <v>172</v>
      </c>
      <c r="D36" s="191"/>
      <c r="E36" s="122">
        <v>0</v>
      </c>
      <c r="F36" s="122">
        <v>797287.08000000007</v>
      </c>
      <c r="G36" s="122">
        <v>9623848</v>
      </c>
      <c r="H36" s="122">
        <v>10397848</v>
      </c>
      <c r="I36" s="122">
        <v>10913848</v>
      </c>
      <c r="J36" s="79" t="str">
        <f>VLOOKUP(A36,Table1[[Unit Number]:[NO. OF BEDROOMS]],2,FALSE)</f>
        <v>3 BEDROOM</v>
      </c>
    </row>
    <row r="37" spans="1:10" x14ac:dyDescent="0.25">
      <c r="A37" s="121" t="s">
        <v>405</v>
      </c>
      <c r="B37" s="191">
        <v>54503.5</v>
      </c>
      <c r="C37" s="191">
        <v>176</v>
      </c>
      <c r="D37" s="191"/>
      <c r="E37" s="122">
        <v>0</v>
      </c>
      <c r="F37" s="122">
        <v>815372.3600000001</v>
      </c>
      <c r="G37" s="122">
        <v>9836616</v>
      </c>
      <c r="H37" s="122">
        <v>10628616</v>
      </c>
      <c r="I37" s="122">
        <v>11156616</v>
      </c>
      <c r="J37" s="79" t="str">
        <f>VLOOKUP(A37,Table1[[Unit Number]:[NO. OF BEDROOMS]],2,FALSE)</f>
        <v>3 BEDROOM</v>
      </c>
    </row>
    <row r="38" spans="1:10" x14ac:dyDescent="0.25">
      <c r="A38" s="121" t="s">
        <v>412</v>
      </c>
      <c r="B38" s="191">
        <v>54442.5</v>
      </c>
      <c r="C38" s="191">
        <v>173</v>
      </c>
      <c r="D38" s="191"/>
      <c r="E38" s="122">
        <v>0</v>
      </c>
      <c r="F38" s="122">
        <v>800576.96250000002</v>
      </c>
      <c r="G38" s="122">
        <v>9662552.5</v>
      </c>
      <c r="H38" s="122">
        <v>10441052.5</v>
      </c>
      <c r="I38" s="122">
        <v>10960052.5</v>
      </c>
      <c r="J38" s="79" t="str">
        <f>VLOOKUP(A38,Table1[[Unit Number]:[NO. OF BEDROOMS]],2,FALSE)</f>
        <v>3 BEDROOM</v>
      </c>
    </row>
    <row r="39" spans="1:10" x14ac:dyDescent="0.25">
      <c r="A39" s="121" t="s">
        <v>845</v>
      </c>
      <c r="B39" s="191">
        <v>57035</v>
      </c>
      <c r="C39" s="191">
        <v>199</v>
      </c>
      <c r="D39" s="191"/>
      <c r="E39" s="122">
        <v>0</v>
      </c>
      <c r="F39" s="122">
        <v>964747.02500000002</v>
      </c>
      <c r="G39" s="122">
        <v>11593965</v>
      </c>
      <c r="H39" s="122">
        <v>12489465</v>
      </c>
      <c r="I39" s="122">
        <v>13086465</v>
      </c>
      <c r="J39" s="79" t="str">
        <f>VLOOKUP(A39,Table1[[Unit Number]:[NO. OF BEDROOMS]],2,FALSE)</f>
        <v>3 BEDROOM</v>
      </c>
    </row>
    <row r="40" spans="1:10" x14ac:dyDescent="0.25">
      <c r="A40" s="121" t="s">
        <v>415</v>
      </c>
      <c r="B40" s="191">
        <v>54534</v>
      </c>
      <c r="C40" s="191">
        <v>172</v>
      </c>
      <c r="D40" s="191"/>
      <c r="E40" s="122">
        <v>0</v>
      </c>
      <c r="F40" s="122">
        <v>797287.08000000007</v>
      </c>
      <c r="G40" s="122">
        <v>9623848</v>
      </c>
      <c r="H40" s="122">
        <v>10397848</v>
      </c>
      <c r="I40" s="122">
        <v>10913848</v>
      </c>
      <c r="J40" s="79" t="str">
        <f>VLOOKUP(A40,Table1[[Unit Number]:[NO. OF BEDROOMS]],2,FALSE)</f>
        <v>3 BEDROOM</v>
      </c>
    </row>
    <row r="41" spans="1:10" x14ac:dyDescent="0.25">
      <c r="A41" s="121" t="s">
        <v>425</v>
      </c>
      <c r="B41" s="191">
        <v>54503.5</v>
      </c>
      <c r="C41" s="191">
        <v>157</v>
      </c>
      <c r="D41" s="191"/>
      <c r="E41" s="122">
        <v>0</v>
      </c>
      <c r="F41" s="122">
        <v>727349.20750000002</v>
      </c>
      <c r="G41" s="122">
        <v>8801049.5</v>
      </c>
      <c r="H41" s="122">
        <v>9507549.5</v>
      </c>
      <c r="I41" s="122">
        <v>9978549.5</v>
      </c>
      <c r="J41" s="79" t="str">
        <f>VLOOKUP(A41,Table1[[Unit Number]:[NO. OF BEDROOMS]],2,FALSE)</f>
        <v>3 BEDROOM</v>
      </c>
    </row>
    <row r="42" spans="1:10" x14ac:dyDescent="0.25">
      <c r="A42" s="121" t="s">
        <v>856</v>
      </c>
      <c r="B42" s="191">
        <v>57035</v>
      </c>
      <c r="C42" s="191">
        <v>155</v>
      </c>
      <c r="D42" s="191"/>
      <c r="E42" s="122">
        <v>0</v>
      </c>
      <c r="F42" s="122">
        <v>751436.125</v>
      </c>
      <c r="G42" s="122">
        <v>9084425</v>
      </c>
      <c r="H42" s="122">
        <v>9781925</v>
      </c>
      <c r="I42" s="122">
        <v>10246925</v>
      </c>
      <c r="J42" s="79" t="str">
        <f>VLOOKUP(A42,Table1[[Unit Number]:[NO. OF BEDROOMS]],2,FALSE)</f>
        <v>3 BEDROOM</v>
      </c>
    </row>
    <row r="43" spans="1:10" x14ac:dyDescent="0.25">
      <c r="A43" s="121" t="s">
        <v>861</v>
      </c>
      <c r="B43" s="191">
        <v>56089.5</v>
      </c>
      <c r="C43" s="191">
        <v>160</v>
      </c>
      <c r="D43" s="191"/>
      <c r="E43" s="122">
        <v>0</v>
      </c>
      <c r="F43" s="122">
        <v>762817.20000000007</v>
      </c>
      <c r="G43" s="122">
        <v>9218320</v>
      </c>
      <c r="H43" s="122">
        <v>9938320</v>
      </c>
      <c r="I43" s="122">
        <v>10418320</v>
      </c>
      <c r="J43" s="79" t="str">
        <f>VLOOKUP(A43,Table1[[Unit Number]:[NO. OF BEDROOMS]],2,FALSE)</f>
        <v>3 BEDROOM</v>
      </c>
    </row>
    <row r="44" spans="1:10" x14ac:dyDescent="0.25">
      <c r="A44" s="121" t="s">
        <v>437</v>
      </c>
      <c r="B44" s="191">
        <v>54534</v>
      </c>
      <c r="C44" s="191">
        <v>160</v>
      </c>
      <c r="D44" s="191"/>
      <c r="E44" s="122">
        <v>0</v>
      </c>
      <c r="F44" s="122">
        <v>741662.4</v>
      </c>
      <c r="G44" s="122">
        <v>8969440</v>
      </c>
      <c r="H44" s="122">
        <v>9689440</v>
      </c>
      <c r="I44" s="122">
        <v>10169440</v>
      </c>
      <c r="J44" s="79" t="str">
        <f>VLOOKUP(A44,Table1[[Unit Number]:[NO. OF BEDROOMS]],2,FALSE)</f>
        <v>3 BEDROOM</v>
      </c>
    </row>
    <row r="45" spans="1:10" x14ac:dyDescent="0.25">
      <c r="A45" s="121" t="s">
        <v>865</v>
      </c>
      <c r="B45" s="191">
        <v>56974</v>
      </c>
      <c r="C45" s="191">
        <v>160</v>
      </c>
      <c r="D45" s="191"/>
      <c r="E45" s="122">
        <v>0</v>
      </c>
      <c r="F45" s="122">
        <v>774846.4</v>
      </c>
      <c r="G45" s="122">
        <v>9359840</v>
      </c>
      <c r="H45" s="122">
        <v>10079840</v>
      </c>
      <c r="I45" s="122">
        <v>10559840</v>
      </c>
      <c r="J45" s="79" t="str">
        <f>VLOOKUP(A45,Table1[[Unit Number]:[NO. OF BEDROOMS]],2,FALSE)</f>
        <v>3 BEDROOM</v>
      </c>
    </row>
    <row r="46" spans="1:10" x14ac:dyDescent="0.25">
      <c r="A46" s="121" t="s">
        <v>866</v>
      </c>
      <c r="B46" s="191">
        <v>57035</v>
      </c>
      <c r="C46" s="191">
        <v>155</v>
      </c>
      <c r="D46" s="191"/>
      <c r="E46" s="122">
        <v>0</v>
      </c>
      <c r="F46" s="122">
        <v>751436.125</v>
      </c>
      <c r="G46" s="122">
        <v>9084425</v>
      </c>
      <c r="H46" s="122">
        <v>9781925</v>
      </c>
      <c r="I46" s="122">
        <v>10246925</v>
      </c>
      <c r="J46" s="79" t="str">
        <f>VLOOKUP(A46,Table1[[Unit Number]:[NO. OF BEDROOMS]],2,FALSE)</f>
        <v>3 BEDROOM</v>
      </c>
    </row>
    <row r="47" spans="1:10" x14ac:dyDescent="0.25">
      <c r="A47" s="121" t="s">
        <v>446</v>
      </c>
      <c r="B47" s="191">
        <v>54503.5</v>
      </c>
      <c r="C47" s="191">
        <v>157</v>
      </c>
      <c r="D47" s="191"/>
      <c r="E47" s="122">
        <v>0</v>
      </c>
      <c r="F47" s="122">
        <v>727349.20750000002</v>
      </c>
      <c r="G47" s="122">
        <v>8801049.5</v>
      </c>
      <c r="H47" s="122">
        <v>9507549.5</v>
      </c>
      <c r="I47" s="122">
        <v>9978549.5</v>
      </c>
      <c r="J47" s="79" t="str">
        <f>VLOOKUP(A47,Table1[[Unit Number]:[NO. OF BEDROOMS]],2,FALSE)</f>
        <v>3 BEDROOM</v>
      </c>
    </row>
    <row r="48" spans="1:10" x14ac:dyDescent="0.25">
      <c r="A48" s="121" t="s">
        <v>875</v>
      </c>
      <c r="B48" s="191">
        <v>57035</v>
      </c>
      <c r="C48" s="191">
        <v>155</v>
      </c>
      <c r="D48" s="191"/>
      <c r="E48" s="122">
        <v>0</v>
      </c>
      <c r="F48" s="122">
        <v>751436.125</v>
      </c>
      <c r="G48" s="122">
        <v>9084425</v>
      </c>
      <c r="H48" s="122">
        <v>9781925</v>
      </c>
      <c r="I48" s="122">
        <v>10246925</v>
      </c>
      <c r="J48" s="79" t="str">
        <f>VLOOKUP(A48,Table1[[Unit Number]:[NO. OF BEDROOMS]],2,FALSE)</f>
        <v>3 BEDROOM</v>
      </c>
    </row>
    <row r="49" spans="1:10" x14ac:dyDescent="0.25">
      <c r="A49" s="121" t="s">
        <v>457</v>
      </c>
      <c r="B49" s="191">
        <v>54442.5</v>
      </c>
      <c r="C49" s="191">
        <v>173</v>
      </c>
      <c r="D49" s="191"/>
      <c r="E49" s="122">
        <v>0</v>
      </c>
      <c r="F49" s="122">
        <v>800576.96250000002</v>
      </c>
      <c r="G49" s="122">
        <v>9662552.5</v>
      </c>
      <c r="H49" s="122">
        <v>10441052.5</v>
      </c>
      <c r="I49" s="122">
        <v>10960052.5</v>
      </c>
      <c r="J49" s="79" t="str">
        <f>VLOOKUP(A49,Table1[[Unit Number]:[NO. OF BEDROOMS]],2,FALSE)</f>
        <v>3 BEDROOM</v>
      </c>
    </row>
    <row r="50" spans="1:10" x14ac:dyDescent="0.25">
      <c r="A50" s="121" t="s">
        <v>458</v>
      </c>
      <c r="B50" s="191">
        <v>54534</v>
      </c>
      <c r="C50" s="191">
        <v>172</v>
      </c>
      <c r="D50" s="191"/>
      <c r="E50" s="122">
        <v>0</v>
      </c>
      <c r="F50" s="122">
        <v>797287.08000000007</v>
      </c>
      <c r="G50" s="122">
        <v>9623848</v>
      </c>
      <c r="H50" s="122">
        <v>10397848</v>
      </c>
      <c r="I50" s="122">
        <v>10913848</v>
      </c>
      <c r="J50" s="79" t="str">
        <f>VLOOKUP(A50,Table1[[Unit Number]:[NO. OF BEDROOMS]],2,FALSE)</f>
        <v>3 BEDROOM</v>
      </c>
    </row>
    <row r="51" spans="1:10" x14ac:dyDescent="0.25">
      <c r="A51" s="121" t="s">
        <v>885</v>
      </c>
      <c r="B51" s="191">
        <v>57065.5</v>
      </c>
      <c r="C51" s="191">
        <v>228</v>
      </c>
      <c r="D51" s="191"/>
      <c r="E51" s="122">
        <v>0</v>
      </c>
      <c r="F51" s="122">
        <v>1105929.3900000001</v>
      </c>
      <c r="G51" s="122">
        <v>13254934</v>
      </c>
      <c r="H51" s="122">
        <v>14280934</v>
      </c>
      <c r="I51" s="122">
        <v>14964934</v>
      </c>
      <c r="J51" s="79" t="str">
        <f>VLOOKUP(A51,Table1[[Unit Number]:[NO. OF BEDROOMS]],2,FALSE)</f>
        <v>3 BEDROOM + LIVING</v>
      </c>
    </row>
    <row r="52" spans="1:10" x14ac:dyDescent="0.25">
      <c r="A52" s="121" t="s">
        <v>897</v>
      </c>
      <c r="B52" s="191">
        <v>57065.5</v>
      </c>
      <c r="C52" s="191">
        <v>228</v>
      </c>
      <c r="D52" s="191"/>
      <c r="E52" s="122">
        <v>0</v>
      </c>
      <c r="F52" s="122">
        <v>1105929.3900000001</v>
      </c>
      <c r="G52" s="122">
        <v>13254934</v>
      </c>
      <c r="H52" s="122">
        <v>14280934</v>
      </c>
      <c r="I52" s="122">
        <v>14964934</v>
      </c>
      <c r="J52" s="79" t="str">
        <f>VLOOKUP(A52,Table1[[Unit Number]:[NO. OF BEDROOMS]],2,FALSE)</f>
        <v>3 BEDROOM + LIVING</v>
      </c>
    </row>
    <row r="53" spans="1:10" x14ac:dyDescent="0.25">
      <c r="A53" s="121" t="s">
        <v>898</v>
      </c>
      <c r="B53" s="191">
        <v>56913</v>
      </c>
      <c r="C53" s="191">
        <v>205</v>
      </c>
      <c r="D53" s="191"/>
      <c r="E53" s="122">
        <v>0</v>
      </c>
      <c r="F53" s="122">
        <v>991709.02500000002</v>
      </c>
      <c r="G53" s="122">
        <v>11911165</v>
      </c>
      <c r="H53" s="122">
        <v>12833665</v>
      </c>
      <c r="I53" s="122">
        <v>13448665</v>
      </c>
      <c r="J53" s="79" t="str">
        <f>VLOOKUP(A53,Table1[[Unit Number]:[NO. OF BEDROOMS]],2,FALSE)</f>
        <v>3 BEDROOM</v>
      </c>
    </row>
    <row r="54" spans="1:10" x14ac:dyDescent="0.25">
      <c r="A54" s="121" t="s">
        <v>905</v>
      </c>
      <c r="B54" s="191">
        <v>56974</v>
      </c>
      <c r="C54" s="191">
        <v>199</v>
      </c>
      <c r="D54" s="191">
        <v>76.321799999999996</v>
      </c>
      <c r="E54" s="122">
        <v>1434958.2169560001</v>
      </c>
      <c r="F54" s="122">
        <v>1085686.6584412602</v>
      </c>
      <c r="G54" s="122">
        <v>13016784.216956001</v>
      </c>
      <c r="H54" s="122">
        <v>13912284.216956001</v>
      </c>
      <c r="I54" s="122">
        <v>14509284.216956001</v>
      </c>
      <c r="J54" s="79" t="str">
        <f>VLOOKUP(A54,Table1[[Unit Number]:[NO. OF BEDROOMS]],2,FALSE)</f>
        <v>3 BEDROOM</v>
      </c>
    </row>
    <row r="55" spans="1:10" x14ac:dyDescent="0.25">
      <c r="A55" s="121" t="s">
        <v>476</v>
      </c>
      <c r="B55" s="191">
        <v>54503.5</v>
      </c>
      <c r="C55" s="191">
        <v>176</v>
      </c>
      <c r="D55" s="191"/>
      <c r="E55" s="122">
        <v>0</v>
      </c>
      <c r="F55" s="122">
        <v>815372.3600000001</v>
      </c>
      <c r="G55" s="122">
        <v>9836616</v>
      </c>
      <c r="H55" s="122">
        <v>10628616</v>
      </c>
      <c r="I55" s="122">
        <v>11156616</v>
      </c>
      <c r="J55" s="79" t="str">
        <f>VLOOKUP(A55,Table1[[Unit Number]:[NO. OF BEDROOMS]],2,FALSE)</f>
        <v>3 BEDROOM</v>
      </c>
    </row>
    <row r="56" spans="1:10" x14ac:dyDescent="0.25">
      <c r="A56" s="121" t="s">
        <v>913</v>
      </c>
      <c r="B56" s="191">
        <v>57035</v>
      </c>
      <c r="C56" s="191">
        <v>199</v>
      </c>
      <c r="D56" s="191"/>
      <c r="E56" s="122">
        <v>0</v>
      </c>
      <c r="F56" s="122">
        <v>964747.02500000002</v>
      </c>
      <c r="G56" s="122">
        <v>11593965</v>
      </c>
      <c r="H56" s="122">
        <v>12489465</v>
      </c>
      <c r="I56" s="122">
        <v>13086465</v>
      </c>
      <c r="J56" s="79" t="str">
        <f>VLOOKUP(A56,Table1[[Unit Number]:[NO. OF BEDROOMS]],2,FALSE)</f>
        <v>3 BEDROOM</v>
      </c>
    </row>
    <row r="57" spans="1:10" x14ac:dyDescent="0.25">
      <c r="A57" s="121" t="s">
        <v>914</v>
      </c>
      <c r="B57" s="191">
        <v>56974</v>
      </c>
      <c r="C57" s="191">
        <v>153</v>
      </c>
      <c r="D57" s="191">
        <v>85.619500000000002</v>
      </c>
      <c r="E57" s="122">
        <v>1609768.1796900001</v>
      </c>
      <c r="F57" s="122">
        <v>877777.16527365008</v>
      </c>
      <c r="G57" s="122">
        <v>10570790.17969</v>
      </c>
      <c r="H57" s="122">
        <v>11259290.17969</v>
      </c>
      <c r="I57" s="122">
        <v>11718290.17969</v>
      </c>
      <c r="J57" s="79" t="str">
        <f>VLOOKUP(A57,Table1[[Unit Number]:[NO. OF BEDROOMS]],2,FALSE)</f>
        <v>3 BEDROOM</v>
      </c>
    </row>
    <row r="58" spans="1:10" x14ac:dyDescent="0.25">
      <c r="A58" s="121" t="s">
        <v>916</v>
      </c>
      <c r="B58" s="191">
        <v>57096</v>
      </c>
      <c r="C58" s="191">
        <v>155</v>
      </c>
      <c r="D58" s="191"/>
      <c r="E58" s="122">
        <v>0</v>
      </c>
      <c r="F58" s="122">
        <v>752239.8</v>
      </c>
      <c r="G58" s="122">
        <v>9093880</v>
      </c>
      <c r="H58" s="122">
        <v>9791380</v>
      </c>
      <c r="I58" s="122">
        <v>10256380</v>
      </c>
      <c r="J58" s="79" t="str">
        <f>VLOOKUP(A58,Table1[[Unit Number]:[NO. OF BEDROOMS]],2,FALSE)</f>
        <v>3 BEDROOM</v>
      </c>
    </row>
    <row r="59" spans="1:10" x14ac:dyDescent="0.25">
      <c r="A59" s="121" t="s">
        <v>485</v>
      </c>
      <c r="B59" s="191">
        <v>54442.5</v>
      </c>
      <c r="C59" s="191">
        <v>160</v>
      </c>
      <c r="D59" s="191"/>
      <c r="E59" s="122">
        <v>0</v>
      </c>
      <c r="F59" s="122">
        <v>740418</v>
      </c>
      <c r="G59" s="122">
        <v>8954800</v>
      </c>
      <c r="H59" s="122">
        <v>9674800</v>
      </c>
      <c r="I59" s="122">
        <v>10154800</v>
      </c>
      <c r="J59" s="79" t="str">
        <f>VLOOKUP(A59,Table1[[Unit Number]:[NO. OF BEDROOMS]],2,FALSE)</f>
        <v>3 BEDROOM</v>
      </c>
    </row>
    <row r="60" spans="1:10" x14ac:dyDescent="0.25">
      <c r="A60" s="121" t="s">
        <v>922</v>
      </c>
      <c r="B60" s="191">
        <v>57035</v>
      </c>
      <c r="C60" s="191">
        <v>155</v>
      </c>
      <c r="D60" s="191"/>
      <c r="E60" s="122">
        <v>0</v>
      </c>
      <c r="F60" s="122">
        <v>751436.125</v>
      </c>
      <c r="G60" s="122">
        <v>9084425</v>
      </c>
      <c r="H60" s="122">
        <v>9781925</v>
      </c>
      <c r="I60" s="122">
        <v>10246925</v>
      </c>
      <c r="J60" s="79" t="str">
        <f>VLOOKUP(A60,Table1[[Unit Number]:[NO. OF BEDROOMS]],2,FALSE)</f>
        <v>3 BEDROOM</v>
      </c>
    </row>
    <row r="61" spans="1:10" x14ac:dyDescent="0.25">
      <c r="A61" s="121" t="s">
        <v>496</v>
      </c>
      <c r="B61" s="191">
        <v>54534</v>
      </c>
      <c r="C61" s="191">
        <v>161</v>
      </c>
      <c r="D61" s="191"/>
      <c r="E61" s="122">
        <v>0</v>
      </c>
      <c r="F61" s="122">
        <v>746297.79</v>
      </c>
      <c r="G61" s="122">
        <v>9023974</v>
      </c>
      <c r="H61" s="122">
        <v>9748474</v>
      </c>
      <c r="I61" s="122">
        <v>10231474</v>
      </c>
      <c r="J61" s="79" t="str">
        <f>VLOOKUP(A61,Table1[[Unit Number]:[NO. OF BEDROOMS]],2,FALSE)</f>
        <v>3 BEDROOM</v>
      </c>
    </row>
    <row r="62" spans="1:10" x14ac:dyDescent="0.25">
      <c r="A62" s="121" t="s">
        <v>932</v>
      </c>
      <c r="B62" s="191">
        <v>56974</v>
      </c>
      <c r="C62" s="191">
        <v>161</v>
      </c>
      <c r="D62" s="191"/>
      <c r="E62" s="122">
        <v>0</v>
      </c>
      <c r="F62" s="122">
        <v>779689.19000000006</v>
      </c>
      <c r="G62" s="122">
        <v>9416814</v>
      </c>
      <c r="H62" s="122">
        <v>10141314</v>
      </c>
      <c r="I62" s="122">
        <v>10624314</v>
      </c>
      <c r="J62" s="79" t="str">
        <f>VLOOKUP(A62,Table1[[Unit Number]:[NO. OF BEDROOMS]],2,FALSE)</f>
        <v>3 BEDROOM</v>
      </c>
    </row>
    <row r="63" spans="1:10" x14ac:dyDescent="0.25">
      <c r="A63" s="121" t="s">
        <v>933</v>
      </c>
      <c r="B63" s="191">
        <v>57035</v>
      </c>
      <c r="C63" s="191">
        <v>155</v>
      </c>
      <c r="D63" s="191"/>
      <c r="E63" s="122">
        <v>0</v>
      </c>
      <c r="F63" s="122">
        <v>751436.125</v>
      </c>
      <c r="G63" s="122">
        <v>9084425</v>
      </c>
      <c r="H63" s="122">
        <v>9781925</v>
      </c>
      <c r="I63" s="122">
        <v>10246925</v>
      </c>
      <c r="J63" s="79" t="str">
        <f>VLOOKUP(A63,Table1[[Unit Number]:[NO. OF BEDROOMS]],2,FALSE)</f>
        <v>3 BEDROOM</v>
      </c>
    </row>
    <row r="64" spans="1:10" x14ac:dyDescent="0.25">
      <c r="A64" s="121" t="s">
        <v>935</v>
      </c>
      <c r="B64" s="191">
        <v>56974</v>
      </c>
      <c r="C64" s="191">
        <v>153</v>
      </c>
      <c r="D64" s="191">
        <v>85.562899999999999</v>
      </c>
      <c r="E64" s="122">
        <v>1608704.0193180002</v>
      </c>
      <c r="F64" s="122">
        <v>877686.71164203004</v>
      </c>
      <c r="G64" s="122">
        <v>10569726.019317999</v>
      </c>
      <c r="H64" s="122">
        <v>11258226.019317999</v>
      </c>
      <c r="I64" s="122">
        <v>11717226.019317999</v>
      </c>
      <c r="J64" s="79" t="str">
        <f>VLOOKUP(A64,Table1[[Unit Number]:[NO. OF BEDROOMS]],2,FALSE)</f>
        <v>3 BEDROOM</v>
      </c>
    </row>
    <row r="65" spans="1:10" x14ac:dyDescent="0.25">
      <c r="A65" s="121" t="s">
        <v>504</v>
      </c>
      <c r="B65" s="191">
        <v>54442.5</v>
      </c>
      <c r="C65" s="191">
        <v>160</v>
      </c>
      <c r="D65" s="191"/>
      <c r="E65" s="122">
        <v>0</v>
      </c>
      <c r="F65" s="122">
        <v>740418</v>
      </c>
      <c r="G65" s="122">
        <v>8954800</v>
      </c>
      <c r="H65" s="122">
        <v>9674800</v>
      </c>
      <c r="I65" s="122">
        <v>10154800</v>
      </c>
      <c r="J65" s="79" t="str">
        <f>VLOOKUP(A65,Table1[[Unit Number]:[NO. OF BEDROOMS]],2,FALSE)</f>
        <v>3 BEDROOM</v>
      </c>
    </row>
    <row r="66" spans="1:10" x14ac:dyDescent="0.25">
      <c r="A66" s="121" t="s">
        <v>940</v>
      </c>
      <c r="B66" s="191">
        <v>56943.5</v>
      </c>
      <c r="C66" s="191">
        <v>160</v>
      </c>
      <c r="D66" s="191"/>
      <c r="E66" s="122">
        <v>0</v>
      </c>
      <c r="F66" s="122">
        <v>774431.60000000009</v>
      </c>
      <c r="G66" s="122">
        <v>9354960</v>
      </c>
      <c r="H66" s="122">
        <v>10074960</v>
      </c>
      <c r="I66" s="122">
        <v>10554960</v>
      </c>
      <c r="J66" s="79" t="str">
        <f>VLOOKUP(A66,Table1[[Unit Number]:[NO. OF BEDROOMS]],2,FALSE)</f>
        <v>3 BEDROOM</v>
      </c>
    </row>
    <row r="67" spans="1:10" x14ac:dyDescent="0.25">
      <c r="A67" s="121" t="s">
        <v>943</v>
      </c>
      <c r="B67" s="191">
        <v>57035</v>
      </c>
      <c r="C67" s="191">
        <v>155</v>
      </c>
      <c r="D67" s="191"/>
      <c r="E67" s="122">
        <v>0</v>
      </c>
      <c r="F67" s="122">
        <v>751436.125</v>
      </c>
      <c r="G67" s="122">
        <v>9084425</v>
      </c>
      <c r="H67" s="122">
        <v>9781925</v>
      </c>
      <c r="I67" s="122">
        <v>10246925</v>
      </c>
      <c r="J67" s="79" t="str">
        <f>VLOOKUP(A67,Table1[[Unit Number]:[NO. OF BEDROOMS]],2,FALSE)</f>
        <v>3 BEDROOM</v>
      </c>
    </row>
    <row r="68" spans="1:10" x14ac:dyDescent="0.25">
      <c r="A68" s="121" t="s">
        <v>947</v>
      </c>
      <c r="B68" s="191">
        <v>56052.9</v>
      </c>
      <c r="C68" s="191">
        <v>224</v>
      </c>
      <c r="D68" s="191"/>
      <c r="E68" s="122">
        <v>0</v>
      </c>
      <c r="F68" s="122">
        <v>1067247.216</v>
      </c>
      <c r="G68" s="122">
        <v>12799849.6</v>
      </c>
      <c r="H68" s="122">
        <v>13807849.6</v>
      </c>
      <c r="I68" s="122">
        <v>14479849.6</v>
      </c>
      <c r="J68" s="79" t="str">
        <f>VLOOKUP(A68,Table1[[Unit Number]:[NO. OF BEDROOMS]],2,FALSE)</f>
        <v>3 BEDROOM + LIVING</v>
      </c>
    </row>
    <row r="69" spans="1:10" x14ac:dyDescent="0.25">
      <c r="A69" s="121" t="s">
        <v>515</v>
      </c>
      <c r="B69" s="191">
        <v>54442.5</v>
      </c>
      <c r="C69" s="191">
        <v>176</v>
      </c>
      <c r="D69" s="191"/>
      <c r="E69" s="122">
        <v>0</v>
      </c>
      <c r="F69" s="122">
        <v>814459.8</v>
      </c>
      <c r="G69" s="122">
        <v>9825880</v>
      </c>
      <c r="H69" s="122">
        <v>10617880</v>
      </c>
      <c r="I69" s="122">
        <v>11145880</v>
      </c>
      <c r="J69" s="79" t="str">
        <f>VLOOKUP(A69,Table1[[Unit Number]:[NO. OF BEDROOMS]],2,FALSE)</f>
        <v>3 BEDROOM</v>
      </c>
    </row>
    <row r="70" spans="1:10" x14ac:dyDescent="0.25">
      <c r="A70" s="121" t="s">
        <v>516</v>
      </c>
      <c r="B70" s="191">
        <v>54534</v>
      </c>
      <c r="C70" s="191">
        <v>172</v>
      </c>
      <c r="D70" s="191"/>
      <c r="E70" s="122">
        <v>0</v>
      </c>
      <c r="F70" s="122">
        <v>797287.08000000007</v>
      </c>
      <c r="G70" s="122">
        <v>9623848</v>
      </c>
      <c r="H70" s="122">
        <v>10397848</v>
      </c>
      <c r="I70" s="122">
        <v>10913848</v>
      </c>
      <c r="J70" s="79" t="str">
        <f>VLOOKUP(A70,Table1[[Unit Number]:[NO. OF BEDROOMS]],2,FALSE)</f>
        <v>3 BEDROOM</v>
      </c>
    </row>
    <row r="71" spans="1:10" x14ac:dyDescent="0.25">
      <c r="A71" s="121" t="s">
        <v>950</v>
      </c>
      <c r="B71" s="191">
        <v>57035</v>
      </c>
      <c r="C71" s="191">
        <v>201</v>
      </c>
      <c r="D71" s="191"/>
      <c r="E71" s="122">
        <v>0</v>
      </c>
      <c r="F71" s="122">
        <v>974442.97500000009</v>
      </c>
      <c r="G71" s="122">
        <v>11708035</v>
      </c>
      <c r="H71" s="122">
        <v>12612535</v>
      </c>
      <c r="I71" s="122">
        <v>13215535</v>
      </c>
      <c r="J71" s="79" t="str">
        <f>VLOOKUP(A71,Table1[[Unit Number]:[NO. OF BEDROOMS]],2,FALSE)</f>
        <v>3 BEDROOM</v>
      </c>
    </row>
    <row r="72" spans="1:10" x14ac:dyDescent="0.25">
      <c r="A72" s="121" t="s">
        <v>536</v>
      </c>
      <c r="B72" s="191">
        <v>54442.5</v>
      </c>
      <c r="C72" s="191">
        <v>176</v>
      </c>
      <c r="D72" s="191"/>
      <c r="E72" s="122">
        <v>0</v>
      </c>
      <c r="F72" s="122">
        <v>814459.8</v>
      </c>
      <c r="G72" s="122">
        <v>9825880</v>
      </c>
      <c r="H72" s="122">
        <v>10617880</v>
      </c>
      <c r="I72" s="122">
        <v>11145880</v>
      </c>
      <c r="J72" s="79" t="str">
        <f>VLOOKUP(A72,Table1[[Unit Number]:[NO. OF BEDROOMS]],2,FALSE)</f>
        <v>3 BEDROOM</v>
      </c>
    </row>
    <row r="73" spans="1:10" x14ac:dyDescent="0.25">
      <c r="A73" s="121" t="s">
        <v>966</v>
      </c>
      <c r="B73" s="191">
        <v>56943.5</v>
      </c>
      <c r="C73" s="191">
        <v>228</v>
      </c>
      <c r="D73" s="191"/>
      <c r="E73" s="122">
        <v>0</v>
      </c>
      <c r="F73" s="122">
        <v>1103565.03</v>
      </c>
      <c r="G73" s="122">
        <v>13227118</v>
      </c>
      <c r="H73" s="122">
        <v>14253118</v>
      </c>
      <c r="I73" s="122">
        <v>14937118</v>
      </c>
      <c r="J73" s="79" t="str">
        <f>VLOOKUP(A73,Table1[[Unit Number]:[NO. OF BEDROOMS]],2,FALSE)</f>
        <v>3 BEDROOM + LIVING</v>
      </c>
    </row>
    <row r="74" spans="1:10" x14ac:dyDescent="0.25">
      <c r="A74" s="121" t="s">
        <v>969</v>
      </c>
      <c r="B74" s="191">
        <v>57035</v>
      </c>
      <c r="C74" s="191">
        <v>201</v>
      </c>
      <c r="D74" s="191"/>
      <c r="E74" s="122">
        <v>0</v>
      </c>
      <c r="F74" s="122">
        <v>974442.97500000009</v>
      </c>
      <c r="G74" s="122">
        <v>11708035</v>
      </c>
      <c r="H74" s="122">
        <v>12612535</v>
      </c>
      <c r="I74" s="122">
        <v>13215535</v>
      </c>
      <c r="J74" s="79" t="str">
        <f>VLOOKUP(A74,Table1[[Unit Number]:[NO. OF BEDROOMS]],2,FALSE)</f>
        <v>3 BEDROOM</v>
      </c>
    </row>
    <row r="75" spans="1:10" x14ac:dyDescent="0.25">
      <c r="A75" s="121" t="s">
        <v>983</v>
      </c>
      <c r="B75" s="191">
        <v>56059</v>
      </c>
      <c r="C75" s="191">
        <v>198</v>
      </c>
      <c r="D75" s="191"/>
      <c r="E75" s="122">
        <v>0</v>
      </c>
      <c r="F75" s="122">
        <v>943472.97000000009</v>
      </c>
      <c r="G75" s="122">
        <v>11343682</v>
      </c>
      <c r="H75" s="122">
        <v>12234682</v>
      </c>
      <c r="I75" s="122">
        <v>12828682</v>
      </c>
      <c r="J75" s="79" t="str">
        <f>VLOOKUP(A75,Table1[[Unit Number]:[NO. OF BEDROOMS]],2,FALSE)</f>
        <v>3 BEDROOM</v>
      </c>
    </row>
    <row r="76" spans="1:10" x14ac:dyDescent="0.25">
      <c r="A76" s="121" t="s">
        <v>987</v>
      </c>
      <c r="B76" s="191">
        <v>57004.5</v>
      </c>
      <c r="C76" s="191">
        <v>224</v>
      </c>
      <c r="D76" s="191">
        <v>61.527700000000003</v>
      </c>
      <c r="E76" s="122">
        <v>1157427.4056345001</v>
      </c>
      <c r="F76" s="122">
        <v>1183747.0094789325</v>
      </c>
      <c r="G76" s="122">
        <v>14170435.4056345</v>
      </c>
      <c r="H76" s="122">
        <v>15178435.4056345</v>
      </c>
      <c r="I76" s="122">
        <v>15850435.4056345</v>
      </c>
      <c r="J76" s="79" t="str">
        <f>VLOOKUP(A76,Table1[[Unit Number]:[NO. OF BEDROOMS]],2,FALSE)</f>
        <v>3 BEDROOM + LIVING</v>
      </c>
    </row>
    <row r="77" spans="1:10" x14ac:dyDescent="0.25">
      <c r="A77" s="121" t="s">
        <v>988</v>
      </c>
      <c r="B77" s="191">
        <v>56028.5</v>
      </c>
      <c r="C77" s="191">
        <v>180</v>
      </c>
      <c r="D77" s="191">
        <v>79.64</v>
      </c>
      <c r="E77" s="122">
        <v>1472496.2142000003</v>
      </c>
      <c r="F77" s="122">
        <v>982398.22820700018</v>
      </c>
      <c r="G77" s="122">
        <v>11801626.214200001</v>
      </c>
      <c r="H77" s="122">
        <v>12611626.214200001</v>
      </c>
      <c r="I77" s="122">
        <v>13151626.214200001</v>
      </c>
      <c r="J77" s="79" t="str">
        <f>VLOOKUP(A77,Table1[[Unit Number]:[NO. OF BEDROOMS]],2,FALSE)</f>
        <v>3 BEDROOM</v>
      </c>
    </row>
    <row r="78" spans="1:10" x14ac:dyDescent="0.25">
      <c r="A78" s="121" t="s">
        <v>996</v>
      </c>
      <c r="B78" s="191">
        <v>56059</v>
      </c>
      <c r="C78" s="191">
        <v>198</v>
      </c>
      <c r="D78" s="191"/>
      <c r="E78" s="122">
        <v>0</v>
      </c>
      <c r="F78" s="122">
        <v>943472.97000000009</v>
      </c>
      <c r="G78" s="122">
        <v>11343682</v>
      </c>
      <c r="H78" s="122">
        <v>12234682</v>
      </c>
      <c r="I78" s="122">
        <v>12828682</v>
      </c>
      <c r="J78" s="79" t="str">
        <f>VLOOKUP(A78,Table1[[Unit Number]:[NO. OF BEDROOMS]],2,FALSE)</f>
        <v>3 BEDROOM</v>
      </c>
    </row>
    <row r="79" spans="1:10" x14ac:dyDescent="0.25">
      <c r="A79" s="121" t="s">
        <v>997</v>
      </c>
      <c r="B79" s="191">
        <v>57065.5</v>
      </c>
      <c r="C79" s="191">
        <v>222</v>
      </c>
      <c r="D79" s="191"/>
      <c r="E79" s="122">
        <v>0</v>
      </c>
      <c r="F79" s="122">
        <v>1076825.9850000001</v>
      </c>
      <c r="G79" s="122">
        <v>12912541</v>
      </c>
      <c r="H79" s="122">
        <v>13911541</v>
      </c>
      <c r="I79" s="122">
        <v>14577541</v>
      </c>
      <c r="J79" s="79" t="str">
        <f>VLOOKUP(A79,Table1[[Unit Number]:[NO. OF BEDROOMS]],2,FALSE)</f>
        <v>3 BEDROOM + LIVING</v>
      </c>
    </row>
    <row r="80" spans="1:10" x14ac:dyDescent="0.25">
      <c r="A80" s="121" t="s">
        <v>998</v>
      </c>
      <c r="B80" s="191">
        <v>56089.5</v>
      </c>
      <c r="C80" s="191">
        <v>173</v>
      </c>
      <c r="D80" s="191"/>
      <c r="E80" s="122">
        <v>0</v>
      </c>
      <c r="F80" s="122">
        <v>824796.09750000003</v>
      </c>
      <c r="G80" s="122">
        <v>9947483.5</v>
      </c>
      <c r="H80" s="122">
        <v>10725983.5</v>
      </c>
      <c r="I80" s="122">
        <v>11244983.5</v>
      </c>
      <c r="J80" s="79" t="str">
        <f>VLOOKUP(A80,Table1[[Unit Number]:[NO. OF BEDROOMS]],2,FALSE)</f>
        <v>3 BEDROOM</v>
      </c>
    </row>
    <row r="81" spans="1:10" x14ac:dyDescent="0.25">
      <c r="A81" s="121" t="s">
        <v>561</v>
      </c>
      <c r="B81" s="191">
        <v>54473</v>
      </c>
      <c r="C81" s="191">
        <v>173</v>
      </c>
      <c r="D81" s="191"/>
      <c r="E81" s="122">
        <v>0</v>
      </c>
      <c r="F81" s="122">
        <v>801025.46500000008</v>
      </c>
      <c r="G81" s="122">
        <v>9667829</v>
      </c>
      <c r="H81" s="122">
        <v>10446329</v>
      </c>
      <c r="I81" s="122">
        <v>10965329</v>
      </c>
      <c r="J81" s="79" t="str">
        <f>VLOOKUP(A81,Table1[[Unit Number]:[NO. OF BEDROOMS]],2,FALSE)</f>
        <v>3 BEDROOM</v>
      </c>
    </row>
    <row r="82" spans="1:10" x14ac:dyDescent="0.25">
      <c r="A82" s="121" t="s">
        <v>562</v>
      </c>
      <c r="B82" s="191">
        <v>54473</v>
      </c>
      <c r="C82" s="191">
        <v>173</v>
      </c>
      <c r="D82" s="191"/>
      <c r="E82" s="122">
        <v>0</v>
      </c>
      <c r="F82" s="122">
        <v>801025.46500000008</v>
      </c>
      <c r="G82" s="122">
        <v>9667829</v>
      </c>
      <c r="H82" s="122">
        <v>10446329</v>
      </c>
      <c r="I82" s="122">
        <v>10965329</v>
      </c>
      <c r="J82" s="79" t="str">
        <f>VLOOKUP(A82,Table1[[Unit Number]:[NO. OF BEDROOMS]],2,FALSE)</f>
        <v>3 BEDROOM</v>
      </c>
    </row>
    <row r="83" spans="1:10" x14ac:dyDescent="0.25">
      <c r="A83" s="121" t="s">
        <v>1014</v>
      </c>
      <c r="B83" s="191">
        <v>56052.9</v>
      </c>
      <c r="C83" s="191">
        <v>176</v>
      </c>
      <c r="D83" s="191"/>
      <c r="E83" s="122">
        <v>0</v>
      </c>
      <c r="F83" s="122">
        <v>838551.38400000008</v>
      </c>
      <c r="G83" s="122">
        <v>10109310.4</v>
      </c>
      <c r="H83" s="122">
        <v>10901310.4</v>
      </c>
      <c r="I83" s="122">
        <v>11429310.4</v>
      </c>
      <c r="J83" s="79" t="str">
        <f>VLOOKUP(A83,Table1[[Unit Number]:[NO. OF BEDROOMS]],2,FALSE)</f>
        <v>3 BEDROOM</v>
      </c>
    </row>
    <row r="84" spans="1:10" x14ac:dyDescent="0.25">
      <c r="A84" s="121" t="s">
        <v>1015</v>
      </c>
      <c r="B84" s="191">
        <v>56943.5</v>
      </c>
      <c r="C84" s="191">
        <v>228</v>
      </c>
      <c r="D84" s="191"/>
      <c r="E84" s="122">
        <v>0</v>
      </c>
      <c r="F84" s="122">
        <v>1103565.03</v>
      </c>
      <c r="G84" s="122">
        <v>13227118</v>
      </c>
      <c r="H84" s="122">
        <v>14253118</v>
      </c>
      <c r="I84" s="122">
        <v>14937118</v>
      </c>
      <c r="J84" s="79" t="str">
        <f>VLOOKUP(A84,Table1[[Unit Number]:[NO. OF BEDROOMS]],2,FALSE)</f>
        <v>3 BEDROOM + LIVING</v>
      </c>
    </row>
    <row r="85" spans="1:10" x14ac:dyDescent="0.25">
      <c r="A85" s="121" t="s">
        <v>1020</v>
      </c>
      <c r="B85" s="191">
        <v>56059</v>
      </c>
      <c r="C85" s="191">
        <v>198</v>
      </c>
      <c r="D85" s="191"/>
      <c r="E85" s="122">
        <v>0</v>
      </c>
      <c r="F85" s="122">
        <v>943472.97000000009</v>
      </c>
      <c r="G85" s="122">
        <v>11343682</v>
      </c>
      <c r="H85" s="122">
        <v>12234682</v>
      </c>
      <c r="I85" s="122">
        <v>12828682</v>
      </c>
      <c r="J85" s="79" t="str">
        <f>VLOOKUP(A85,Table1[[Unit Number]:[NO. OF BEDROOMS]],2,FALSE)</f>
        <v>3 BEDROOM</v>
      </c>
    </row>
    <row r="86" spans="1:10" x14ac:dyDescent="0.25">
      <c r="A86" s="121" t="s">
        <v>1026</v>
      </c>
      <c r="B86" s="191">
        <v>56059</v>
      </c>
      <c r="C86" s="191">
        <v>204</v>
      </c>
      <c r="D86" s="191"/>
      <c r="E86" s="122">
        <v>0</v>
      </c>
      <c r="F86" s="122">
        <v>972063.06</v>
      </c>
      <c r="G86" s="122">
        <v>11680036</v>
      </c>
      <c r="H86" s="122">
        <v>12598036</v>
      </c>
      <c r="I86" s="122">
        <v>13210036</v>
      </c>
      <c r="J86" s="79" t="str">
        <f>VLOOKUP(A86,Table1[[Unit Number]:[NO. OF BEDROOMS]],2,FALSE)</f>
        <v>3 BEDROOM</v>
      </c>
    </row>
    <row r="87" spans="1:10" x14ac:dyDescent="0.25">
      <c r="A87" s="121" t="s">
        <v>1033</v>
      </c>
      <c r="B87" s="191">
        <v>56052.9</v>
      </c>
      <c r="C87" s="191">
        <v>173</v>
      </c>
      <c r="D87" s="191"/>
      <c r="E87" s="122">
        <v>0</v>
      </c>
      <c r="F87" s="122">
        <v>824257.89450000017</v>
      </c>
      <c r="G87" s="122">
        <v>9941151.7000000011</v>
      </c>
      <c r="H87" s="122">
        <v>10719651.700000001</v>
      </c>
      <c r="I87" s="122">
        <v>11238651.700000001</v>
      </c>
      <c r="J87" s="79" t="str">
        <f>VLOOKUP(A87,Table1[[Unit Number]:[NO. OF BEDROOMS]],2,FALSE)</f>
        <v>3 BEDROOM</v>
      </c>
    </row>
    <row r="88" spans="1:10" x14ac:dyDescent="0.25">
      <c r="A88" s="121" t="s">
        <v>584</v>
      </c>
      <c r="B88" s="191">
        <v>54534</v>
      </c>
      <c r="C88" s="191">
        <v>172</v>
      </c>
      <c r="D88" s="191"/>
      <c r="E88" s="122">
        <v>0</v>
      </c>
      <c r="F88" s="122">
        <v>797287.08000000007</v>
      </c>
      <c r="G88" s="122">
        <v>9623848</v>
      </c>
      <c r="H88" s="122">
        <v>10397848</v>
      </c>
      <c r="I88" s="122">
        <v>10913848</v>
      </c>
      <c r="J88" s="79" t="str">
        <f>VLOOKUP(A88,Table1[[Unit Number]:[NO. OF BEDROOMS]],2,FALSE)</f>
        <v>3 BEDROOM</v>
      </c>
    </row>
    <row r="89" spans="1:10" x14ac:dyDescent="0.25">
      <c r="A89" s="121" t="s">
        <v>585</v>
      </c>
      <c r="B89" s="191">
        <v>54534</v>
      </c>
      <c r="C89" s="191">
        <v>172</v>
      </c>
      <c r="D89" s="191"/>
      <c r="E89" s="122">
        <v>0</v>
      </c>
      <c r="F89" s="122">
        <v>797287.08000000007</v>
      </c>
      <c r="G89" s="122">
        <v>9623848</v>
      </c>
      <c r="H89" s="122">
        <v>10397848</v>
      </c>
      <c r="I89" s="122">
        <v>10913848</v>
      </c>
      <c r="J89" s="79" t="str">
        <f>VLOOKUP(A89,Table1[[Unit Number]:[NO. OF BEDROOMS]],2,FALSE)</f>
        <v>3 BEDROOM</v>
      </c>
    </row>
    <row r="90" spans="1:10" x14ac:dyDescent="0.25">
      <c r="A90" s="121" t="s">
        <v>1045</v>
      </c>
      <c r="B90" s="191">
        <v>56089.5</v>
      </c>
      <c r="C90" s="191">
        <v>224</v>
      </c>
      <c r="D90" s="191"/>
      <c r="E90" s="122">
        <v>0</v>
      </c>
      <c r="F90" s="122">
        <v>1067944.08</v>
      </c>
      <c r="G90" s="122">
        <v>12808048</v>
      </c>
      <c r="H90" s="122">
        <v>13816048</v>
      </c>
      <c r="I90" s="122">
        <v>14488048</v>
      </c>
      <c r="J90" s="79" t="str">
        <f>VLOOKUP(A90,Table1[[Unit Number]:[NO. OF BEDROOMS]],2,FALSE)</f>
        <v>3 BEDROOM + LIVING</v>
      </c>
    </row>
    <row r="91" spans="1:10" x14ac:dyDescent="0.25">
      <c r="A91" s="121" t="s">
        <v>1048</v>
      </c>
      <c r="B91" s="191">
        <v>56059</v>
      </c>
      <c r="C91" s="191">
        <v>204</v>
      </c>
      <c r="D91" s="191"/>
      <c r="E91" s="122">
        <v>0</v>
      </c>
      <c r="F91" s="122">
        <v>972063.06</v>
      </c>
      <c r="G91" s="122">
        <v>11680036</v>
      </c>
      <c r="H91" s="122">
        <v>12598036</v>
      </c>
      <c r="I91" s="122">
        <v>13210036</v>
      </c>
      <c r="J91" s="79" t="str">
        <f>VLOOKUP(A91,Table1[[Unit Number]:[NO. OF BEDROOMS]],2,FALSE)</f>
        <v>3 BEDROOM</v>
      </c>
    </row>
    <row r="92" spans="1:10" x14ac:dyDescent="0.25">
      <c r="A92" s="121" t="s">
        <v>1055</v>
      </c>
      <c r="B92" s="191">
        <v>56089.5</v>
      </c>
      <c r="C92" s="191">
        <v>158</v>
      </c>
      <c r="D92" s="191">
        <v>84.075199999999995</v>
      </c>
      <c r="E92" s="122">
        <v>1556192.8570319999</v>
      </c>
      <c r="F92" s="122">
        <v>885558.37784771994</v>
      </c>
      <c r="G92" s="122">
        <v>10662333.857031999</v>
      </c>
      <c r="H92" s="122">
        <v>11373333.857031999</v>
      </c>
      <c r="I92" s="122">
        <v>11847333.857031999</v>
      </c>
      <c r="J92" s="79" t="str">
        <f>VLOOKUP(A92,Table1[[Unit Number]:[NO. OF BEDROOMS]],2,FALSE)</f>
        <v>3 BEDROOM</v>
      </c>
    </row>
    <row r="93" spans="1:10" x14ac:dyDescent="0.25">
      <c r="A93" s="121" t="s">
        <v>1056</v>
      </c>
      <c r="B93" s="191">
        <v>56059</v>
      </c>
      <c r="C93" s="191">
        <v>155</v>
      </c>
      <c r="D93" s="191"/>
      <c r="E93" s="122">
        <v>0</v>
      </c>
      <c r="F93" s="122">
        <v>738577.32500000007</v>
      </c>
      <c r="G93" s="122">
        <v>8933145</v>
      </c>
      <c r="H93" s="122">
        <v>9630645</v>
      </c>
      <c r="I93" s="122">
        <v>10095645</v>
      </c>
      <c r="J93" s="79" t="str">
        <f>VLOOKUP(A93,Table1[[Unit Number]:[NO. OF BEDROOMS]],2,FALSE)</f>
        <v>3 BEDROOM</v>
      </c>
    </row>
    <row r="94" spans="1:10" x14ac:dyDescent="0.25">
      <c r="A94" s="121" t="s">
        <v>605</v>
      </c>
      <c r="B94" s="191">
        <v>54442.5</v>
      </c>
      <c r="C94" s="191">
        <v>160</v>
      </c>
      <c r="D94" s="191"/>
      <c r="E94" s="122">
        <v>0</v>
      </c>
      <c r="F94" s="122">
        <v>740418</v>
      </c>
      <c r="G94" s="122">
        <v>8954800</v>
      </c>
      <c r="H94" s="122">
        <v>9674800</v>
      </c>
      <c r="I94" s="122">
        <v>10154800</v>
      </c>
      <c r="J94" s="79" t="str">
        <f>VLOOKUP(A94,Table1[[Unit Number]:[NO. OF BEDROOMS]],2,FALSE)</f>
        <v>3 BEDROOM</v>
      </c>
    </row>
    <row r="95" spans="1:10" x14ac:dyDescent="0.25">
      <c r="A95" s="121" t="s">
        <v>1062</v>
      </c>
      <c r="B95" s="191">
        <v>56089.5</v>
      </c>
      <c r="C95" s="191">
        <v>160</v>
      </c>
      <c r="D95" s="191"/>
      <c r="E95" s="122">
        <v>0</v>
      </c>
      <c r="F95" s="122">
        <v>762817.20000000007</v>
      </c>
      <c r="G95" s="122">
        <v>9218320</v>
      </c>
      <c r="H95" s="122">
        <v>9938320</v>
      </c>
      <c r="I95" s="122">
        <v>10418320</v>
      </c>
      <c r="J95" s="79" t="str">
        <f>VLOOKUP(A95,Table1[[Unit Number]:[NO. OF BEDROOMS]],2,FALSE)</f>
        <v>3 BEDROOM</v>
      </c>
    </row>
    <row r="96" spans="1:10" x14ac:dyDescent="0.25">
      <c r="A96" s="121" t="s">
        <v>1073</v>
      </c>
      <c r="B96" s="191">
        <v>56089.5</v>
      </c>
      <c r="C96" s="191">
        <v>158</v>
      </c>
      <c r="D96" s="191">
        <v>84.036199999999994</v>
      </c>
      <c r="E96" s="122">
        <v>1555470.985167</v>
      </c>
      <c r="F96" s="122">
        <v>885497.01873919507</v>
      </c>
      <c r="G96" s="122">
        <v>10661611.985167</v>
      </c>
      <c r="H96" s="122">
        <v>11372611.985167</v>
      </c>
      <c r="I96" s="122">
        <v>11846611.985167</v>
      </c>
      <c r="J96" s="79" t="str">
        <f>VLOOKUP(A96,Table1[[Unit Number]:[NO. OF BEDROOMS]],2,FALSE)</f>
        <v>3 BEDROOM</v>
      </c>
    </row>
    <row r="97" spans="1:10" x14ac:dyDescent="0.25">
      <c r="A97" s="121" t="s">
        <v>1076</v>
      </c>
      <c r="B97" s="191">
        <v>56059</v>
      </c>
      <c r="C97" s="191">
        <v>155</v>
      </c>
      <c r="D97" s="191"/>
      <c r="E97" s="122">
        <v>0</v>
      </c>
      <c r="F97" s="122">
        <v>738577.32500000007</v>
      </c>
      <c r="G97" s="122">
        <v>8933145</v>
      </c>
      <c r="H97" s="122">
        <v>9630645</v>
      </c>
      <c r="I97" s="122">
        <v>10095645</v>
      </c>
      <c r="J97" s="79" t="str">
        <f>VLOOKUP(A97,Table1[[Unit Number]:[NO. OF BEDROOMS]],2,FALSE)</f>
        <v>3 BEDROOM</v>
      </c>
    </row>
    <row r="98" spans="1:10" x14ac:dyDescent="0.25">
      <c r="A98" s="121" t="s">
        <v>625</v>
      </c>
      <c r="B98" s="191">
        <v>54442.5</v>
      </c>
      <c r="C98" s="191">
        <v>160</v>
      </c>
      <c r="D98" s="191"/>
      <c r="E98" s="122">
        <v>0</v>
      </c>
      <c r="F98" s="122">
        <v>740418</v>
      </c>
      <c r="G98" s="122">
        <v>8954800</v>
      </c>
      <c r="H98" s="122">
        <v>9674800</v>
      </c>
      <c r="I98" s="122">
        <v>10154800</v>
      </c>
      <c r="J98" s="79" t="str">
        <f>VLOOKUP(A98,Table1[[Unit Number]:[NO. OF BEDROOMS]],2,FALSE)</f>
        <v>3 BEDROOM</v>
      </c>
    </row>
    <row r="99" spans="1:10" x14ac:dyDescent="0.25">
      <c r="A99" s="121" t="s">
        <v>1080</v>
      </c>
      <c r="B99" s="191">
        <v>56089.5</v>
      </c>
      <c r="C99" s="191">
        <v>160</v>
      </c>
      <c r="D99" s="191"/>
      <c r="E99" s="122">
        <v>0</v>
      </c>
      <c r="F99" s="122">
        <v>762817.20000000007</v>
      </c>
      <c r="G99" s="122">
        <v>9218320</v>
      </c>
      <c r="H99" s="122">
        <v>9938320</v>
      </c>
      <c r="I99" s="122">
        <v>10418320</v>
      </c>
      <c r="J99" s="79" t="str">
        <f>VLOOKUP(A99,Table1[[Unit Number]:[NO. OF BEDROOMS]],2,FALSE)</f>
        <v>3 BEDROOM</v>
      </c>
    </row>
    <row r="100" spans="1:10" x14ac:dyDescent="0.25">
      <c r="A100" s="121" t="s">
        <v>1087</v>
      </c>
      <c r="B100" s="191">
        <v>56089.5</v>
      </c>
      <c r="C100" s="191">
        <v>161</v>
      </c>
      <c r="D100" s="191"/>
      <c r="E100" s="122">
        <v>0</v>
      </c>
      <c r="F100" s="122">
        <v>767584.80750000011</v>
      </c>
      <c r="G100" s="122">
        <v>9274409.5</v>
      </c>
      <c r="H100" s="122">
        <v>9998909.5</v>
      </c>
      <c r="I100" s="122">
        <v>10481909.5</v>
      </c>
      <c r="J100" s="79" t="str">
        <f>VLOOKUP(A100,Table1[[Unit Number]:[NO. OF BEDROOMS]],2,FALSE)</f>
        <v>3 BEDROOM</v>
      </c>
    </row>
    <row r="101" spans="1:10" x14ac:dyDescent="0.25">
      <c r="A101" s="121" t="s">
        <v>648</v>
      </c>
      <c r="B101" s="191">
        <v>54473</v>
      </c>
      <c r="C101" s="191">
        <v>155</v>
      </c>
      <c r="D101" s="191"/>
      <c r="E101" s="122">
        <v>0</v>
      </c>
      <c r="F101" s="122">
        <v>717681.77500000002</v>
      </c>
      <c r="G101" s="122">
        <v>8687315</v>
      </c>
      <c r="H101" s="122">
        <v>9384815</v>
      </c>
      <c r="I101" s="122">
        <v>9849815</v>
      </c>
      <c r="J101" s="79" t="str">
        <f>VLOOKUP(A101,Table1[[Unit Number]:[NO. OF BEDROOMS]],2,FALSE)</f>
        <v>3 BEDROOM</v>
      </c>
    </row>
    <row r="102" spans="1:10" x14ac:dyDescent="0.25">
      <c r="A102" s="121" t="s">
        <v>1102</v>
      </c>
      <c r="B102" s="191">
        <v>56059</v>
      </c>
      <c r="C102" s="191">
        <v>154</v>
      </c>
      <c r="D102" s="191"/>
      <c r="E102" s="122">
        <v>0</v>
      </c>
      <c r="F102" s="122">
        <v>733812.31</v>
      </c>
      <c r="G102" s="122">
        <v>8877086</v>
      </c>
      <c r="H102" s="122">
        <v>9570086</v>
      </c>
      <c r="I102" s="122">
        <v>10032086</v>
      </c>
      <c r="J102" s="79" t="str">
        <f>VLOOKUP(A102,Table1[[Unit Number]:[NO. OF BEDROOMS]],2,FALSE)</f>
        <v>3 BEDROOM</v>
      </c>
    </row>
    <row r="103" spans="1:10" x14ac:dyDescent="0.25">
      <c r="A103" s="121" t="s">
        <v>662</v>
      </c>
      <c r="B103" s="191">
        <v>54503.5</v>
      </c>
      <c r="C103" s="191">
        <v>161</v>
      </c>
      <c r="D103" s="191"/>
      <c r="E103" s="122">
        <v>0</v>
      </c>
      <c r="F103" s="122">
        <v>745880.39750000008</v>
      </c>
      <c r="G103" s="122">
        <v>9019063.5</v>
      </c>
      <c r="H103" s="122">
        <v>9743563.5</v>
      </c>
      <c r="I103" s="122">
        <v>10226563.5</v>
      </c>
      <c r="J103" s="79" t="str">
        <f>VLOOKUP(A103,Table1[[Unit Number]:[NO. OF BEDROOMS]],2,FALSE)</f>
        <v>3 BEDROOM</v>
      </c>
    </row>
    <row r="104" spans="1:10" x14ac:dyDescent="0.25">
      <c r="A104" s="121" t="s">
        <v>1108</v>
      </c>
      <c r="B104" s="191">
        <v>56089.5</v>
      </c>
      <c r="C104" s="191">
        <v>161</v>
      </c>
      <c r="D104" s="191"/>
      <c r="E104" s="122">
        <v>0</v>
      </c>
      <c r="F104" s="122">
        <v>767584.80750000011</v>
      </c>
      <c r="G104" s="122">
        <v>9274409.5</v>
      </c>
      <c r="H104" s="122">
        <v>9998909.5</v>
      </c>
      <c r="I104" s="122">
        <v>10481909.5</v>
      </c>
      <c r="J104" s="79" t="str">
        <f>VLOOKUP(A104,Table1[[Unit Number]:[NO. OF BEDROOMS]],2,FALSE)</f>
        <v>3 BEDROOM</v>
      </c>
    </row>
    <row r="105" spans="1:10" x14ac:dyDescent="0.25">
      <c r="A105" s="121" t="s">
        <v>1112</v>
      </c>
      <c r="B105" s="191">
        <v>56059</v>
      </c>
      <c r="C105" s="191">
        <v>154</v>
      </c>
      <c r="D105" s="191"/>
      <c r="E105" s="122">
        <v>0</v>
      </c>
      <c r="F105" s="122">
        <v>733812.31</v>
      </c>
      <c r="G105" s="122">
        <v>8877086</v>
      </c>
      <c r="H105" s="122">
        <v>9570086</v>
      </c>
      <c r="I105" s="122">
        <v>10032086</v>
      </c>
      <c r="J105" s="79" t="str">
        <f>VLOOKUP(A105,Table1[[Unit Number]:[NO. OF BEDROOMS]],2,FALSE)</f>
        <v>3 BEDROOM</v>
      </c>
    </row>
    <row r="106" spans="1:10" x14ac:dyDescent="0.25">
      <c r="A106" s="121" t="s">
        <v>677</v>
      </c>
      <c r="B106" s="191">
        <v>54503.5</v>
      </c>
      <c r="C106" s="191">
        <v>157</v>
      </c>
      <c r="D106" s="191"/>
      <c r="E106" s="122">
        <v>0</v>
      </c>
      <c r="F106" s="122">
        <v>727349.20750000002</v>
      </c>
      <c r="G106" s="122">
        <v>8801049.5</v>
      </c>
      <c r="H106" s="122">
        <v>9507549.5</v>
      </c>
      <c r="I106" s="122">
        <v>9978549.5</v>
      </c>
      <c r="J106" s="79" t="str">
        <f>VLOOKUP(A106,Table1[[Unit Number]:[NO. OF BEDROOMS]],2,FALSE)</f>
        <v>3 BEDROOM</v>
      </c>
    </row>
    <row r="107" spans="1:10" x14ac:dyDescent="0.25">
      <c r="A107" s="121" t="s">
        <v>690</v>
      </c>
      <c r="B107" s="191">
        <v>54534</v>
      </c>
      <c r="C107" s="191">
        <v>160</v>
      </c>
      <c r="D107" s="191"/>
      <c r="E107" s="122">
        <v>0</v>
      </c>
      <c r="F107" s="122">
        <v>741662.4</v>
      </c>
      <c r="G107" s="122">
        <v>8969440</v>
      </c>
      <c r="H107" s="122">
        <v>9689440</v>
      </c>
      <c r="I107" s="122">
        <v>10169440</v>
      </c>
      <c r="J107" s="79" t="str">
        <f>VLOOKUP(A107,Table1[[Unit Number]:[NO. OF BEDROOMS]],2,FALSE)</f>
        <v>3 BEDROOM</v>
      </c>
    </row>
    <row r="108" spans="1:10" x14ac:dyDescent="0.25">
      <c r="A108" s="121" t="s">
        <v>701</v>
      </c>
      <c r="B108" s="191">
        <v>54503.5</v>
      </c>
      <c r="C108" s="191">
        <v>157</v>
      </c>
      <c r="D108" s="191"/>
      <c r="E108" s="122">
        <v>0</v>
      </c>
      <c r="F108" s="122">
        <v>727349.20750000002</v>
      </c>
      <c r="G108" s="122">
        <v>8801049.5</v>
      </c>
      <c r="H108" s="122">
        <v>9507549.5</v>
      </c>
      <c r="I108" s="122">
        <v>9978549.5</v>
      </c>
      <c r="J108" s="79" t="str">
        <f>VLOOKUP(A108,Table1[[Unit Number]:[NO. OF BEDROOMS]],2,FALSE)</f>
        <v>3 BEDROOM</v>
      </c>
    </row>
    <row r="109" spans="1:10" x14ac:dyDescent="0.25">
      <c r="A109" s="121" t="s">
        <v>1139</v>
      </c>
      <c r="B109" s="191">
        <v>56089.5</v>
      </c>
      <c r="C109" s="191">
        <v>160</v>
      </c>
      <c r="D109" s="191"/>
      <c r="E109" s="122">
        <v>0</v>
      </c>
      <c r="F109" s="122">
        <v>762817.20000000007</v>
      </c>
      <c r="G109" s="122">
        <v>9218320</v>
      </c>
      <c r="H109" s="122">
        <v>9938320</v>
      </c>
      <c r="I109" s="122">
        <v>10418320</v>
      </c>
      <c r="J109" s="79" t="str">
        <f>VLOOKUP(A109,Table1[[Unit Number]:[NO. OF BEDROOMS]],2,FALSE)</f>
        <v>3 BEDROOM</v>
      </c>
    </row>
    <row r="110" spans="1:10" x14ac:dyDescent="0.25">
      <c r="A110" s="121" t="s">
        <v>709</v>
      </c>
      <c r="B110" s="122">
        <v>5064140.6999999993</v>
      </c>
      <c r="C110" s="122">
        <v>15508</v>
      </c>
      <c r="D110" s="122">
        <v>828.00369999999998</v>
      </c>
      <c r="E110" s="122">
        <v>15383440.070509499</v>
      </c>
      <c r="F110" s="122">
        <v>74778563.830493331</v>
      </c>
      <c r="G110" s="122">
        <v>901951809.7705096</v>
      </c>
      <c r="H110" s="122">
        <v>971737809.7705096</v>
      </c>
      <c r="I110" s="122">
        <v>1018261809.7705096</v>
      </c>
    </row>
    <row r="111" spans="1:10" x14ac:dyDescent="0.25">
      <c r="A111"/>
      <c r="B111"/>
      <c r="C111"/>
      <c r="D111"/>
      <c r="E111"/>
      <c r="F111"/>
      <c r="G111"/>
      <c r="H111"/>
      <c r="I111"/>
      <c r="J111" s="79" t="e">
        <f>VLOOKUP(A111,Table1[[Unit Number]:[NO. OF BEDROOMS]],2,FALSE)</f>
        <v>#N/A</v>
      </c>
    </row>
    <row r="112" spans="1:10" x14ac:dyDescent="0.25">
      <c r="A112"/>
      <c r="B112"/>
      <c r="C112"/>
      <c r="D112"/>
      <c r="E112"/>
      <c r="F112"/>
      <c r="G112"/>
      <c r="H112"/>
      <c r="I112"/>
      <c r="J112" s="79" t="e">
        <f>VLOOKUP(A112,Table1[[Unit Number]:[NO. OF BEDROOMS]],2,FALSE)</f>
        <v>#N/A</v>
      </c>
    </row>
    <row r="113" spans="1:10" x14ac:dyDescent="0.25">
      <c r="A113"/>
      <c r="B113"/>
      <c r="C113"/>
      <c r="D113"/>
      <c r="E113"/>
      <c r="F113"/>
      <c r="G113"/>
      <c r="H113"/>
      <c r="I113"/>
      <c r="J113" s="79" t="e">
        <f>VLOOKUP(A113,Table1[[Unit Number]:[NO. OF BEDROOMS]],2,FALSE)</f>
        <v>#N/A</v>
      </c>
    </row>
    <row r="114" spans="1:10" x14ac:dyDescent="0.25">
      <c r="A114"/>
      <c r="B114"/>
      <c r="C114"/>
      <c r="D114"/>
      <c r="E114"/>
      <c r="F114"/>
      <c r="G114"/>
      <c r="H114"/>
      <c r="I114"/>
      <c r="J114" s="79" t="e">
        <f>VLOOKUP(A114,Table1[[Unit Number]:[NO. OF BEDROOMS]],2,FALSE)</f>
        <v>#N/A</v>
      </c>
    </row>
    <row r="115" spans="1:10" x14ac:dyDescent="0.25">
      <c r="A115"/>
      <c r="B115"/>
      <c r="C115"/>
      <c r="D115"/>
      <c r="E115"/>
      <c r="F115"/>
      <c r="G115"/>
      <c r="H115"/>
      <c r="I115"/>
      <c r="J115" s="79" t="e">
        <f>VLOOKUP(A115,Table1[[Unit Number]:[NO. OF BEDROOMS]],2,FALSE)</f>
        <v>#N/A</v>
      </c>
    </row>
    <row r="116" spans="1:10" x14ac:dyDescent="0.25">
      <c r="A116"/>
      <c r="B116"/>
      <c r="C116"/>
      <c r="D116"/>
      <c r="E116"/>
      <c r="F116"/>
      <c r="G116"/>
      <c r="H116"/>
      <c r="I116"/>
      <c r="J116" s="79" t="e">
        <f>VLOOKUP(A116,Table1[[Unit Number]:[NO. OF BEDROOMS]],2,FALSE)</f>
        <v>#N/A</v>
      </c>
    </row>
    <row r="117" spans="1:10" x14ac:dyDescent="0.25">
      <c r="A117"/>
      <c r="B117"/>
      <c r="C117"/>
      <c r="D117"/>
      <c r="E117"/>
      <c r="F117"/>
      <c r="G117"/>
      <c r="H117"/>
      <c r="I117"/>
      <c r="J117" s="79" t="e">
        <f>VLOOKUP(A117,Table1[[Unit Number]:[NO. OF BEDROOMS]],2,FALSE)</f>
        <v>#N/A</v>
      </c>
    </row>
    <row r="118" spans="1:10" x14ac:dyDescent="0.25">
      <c r="A118"/>
      <c r="B118"/>
      <c r="C118"/>
      <c r="D118"/>
      <c r="E118"/>
      <c r="F118"/>
      <c r="G118"/>
      <c r="H118"/>
      <c r="I118"/>
      <c r="J118" s="79" t="e">
        <f>VLOOKUP(A118,Table1[[Unit Number]:[NO. OF BEDROOMS]],2,FALSE)</f>
        <v>#N/A</v>
      </c>
    </row>
    <row r="119" spans="1:10" x14ac:dyDescent="0.25">
      <c r="A119"/>
      <c r="B119"/>
      <c r="C119"/>
      <c r="D119"/>
      <c r="E119"/>
      <c r="F119"/>
      <c r="G119"/>
      <c r="H119"/>
      <c r="I119"/>
      <c r="J119" s="79" t="e">
        <f>VLOOKUP(A119,Table1[[Unit Number]:[NO. OF BEDROOMS]],2,FALSE)</f>
        <v>#N/A</v>
      </c>
    </row>
    <row r="120" spans="1:10" x14ac:dyDescent="0.25">
      <c r="A120"/>
      <c r="B120"/>
      <c r="C120"/>
      <c r="D120"/>
      <c r="E120"/>
      <c r="F120"/>
      <c r="G120"/>
      <c r="H120"/>
      <c r="I120"/>
      <c r="J120" s="79" t="e">
        <f>VLOOKUP(A120,Table1[[Unit Number]:[NO. OF BEDROOMS]],2,FALSE)</f>
        <v>#N/A</v>
      </c>
    </row>
    <row r="121" spans="1:10" x14ac:dyDescent="0.25">
      <c r="A121"/>
      <c r="B121"/>
      <c r="C121"/>
      <c r="D121"/>
      <c r="E121"/>
      <c r="F121"/>
      <c r="G121"/>
      <c r="H121"/>
      <c r="I121"/>
      <c r="J121" s="79" t="e">
        <f>VLOOKUP(A121,Table1[[Unit Number]:[NO. OF BEDROOMS]],2,FALSE)</f>
        <v>#N/A</v>
      </c>
    </row>
    <row r="122" spans="1:10" x14ac:dyDescent="0.25">
      <c r="A122"/>
      <c r="B122"/>
      <c r="C122"/>
      <c r="D122"/>
      <c r="E122"/>
      <c r="F122"/>
      <c r="G122"/>
      <c r="H122"/>
      <c r="I122"/>
      <c r="J122" s="79" t="e">
        <f>VLOOKUP(A122,Table1[[Unit Number]:[NO. OF BEDROOMS]],2,FALSE)</f>
        <v>#N/A</v>
      </c>
    </row>
    <row r="123" spans="1:10" x14ac:dyDescent="0.25">
      <c r="A123"/>
      <c r="B123"/>
      <c r="C123"/>
      <c r="D123"/>
      <c r="E123"/>
      <c r="F123"/>
      <c r="G123"/>
      <c r="H123"/>
      <c r="I123"/>
      <c r="J123" s="79" t="e">
        <f>VLOOKUP(A123,Table1[[Unit Number]:[NO. OF BEDROOMS]],2,FALSE)</f>
        <v>#N/A</v>
      </c>
    </row>
    <row r="124" spans="1:10" x14ac:dyDescent="0.25">
      <c r="A124"/>
      <c r="B124"/>
      <c r="C124"/>
      <c r="D124"/>
      <c r="E124"/>
      <c r="F124"/>
      <c r="G124"/>
      <c r="H124"/>
      <c r="I124"/>
      <c r="J124" s="79" t="e">
        <f>VLOOKUP(A124,Table1[[Unit Number]:[NO. OF BEDROOMS]],2,FALSE)</f>
        <v>#N/A</v>
      </c>
    </row>
    <row r="125" spans="1:10" x14ac:dyDescent="0.25">
      <c r="A125"/>
      <c r="B125"/>
      <c r="C125"/>
      <c r="D125"/>
      <c r="E125"/>
      <c r="F125"/>
      <c r="G125"/>
      <c r="H125"/>
      <c r="I125"/>
      <c r="J125" s="79" t="e">
        <f>VLOOKUP(A125,Table1[[Unit Number]:[NO. OF BEDROOMS]],2,FALSE)</f>
        <v>#N/A</v>
      </c>
    </row>
    <row r="126" spans="1:10" x14ac:dyDescent="0.25">
      <c r="A126"/>
      <c r="B126"/>
      <c r="C126"/>
      <c r="D126"/>
      <c r="E126"/>
      <c r="F126"/>
      <c r="G126"/>
      <c r="H126"/>
      <c r="I126"/>
      <c r="J126" s="79" t="e">
        <f>VLOOKUP(A126,Table1[[Unit Number]:[NO. OF BEDROOMS]],2,FALSE)</f>
        <v>#N/A</v>
      </c>
    </row>
    <row r="127" spans="1:10" x14ac:dyDescent="0.25">
      <c r="A127"/>
      <c r="B127"/>
      <c r="C127"/>
      <c r="D127"/>
      <c r="E127"/>
      <c r="F127"/>
      <c r="G127"/>
      <c r="H127"/>
      <c r="I127"/>
      <c r="J127" s="79" t="e">
        <f>VLOOKUP(A127,Table1[[Unit Number]:[NO. OF BEDROOMS]],2,FALSE)</f>
        <v>#N/A</v>
      </c>
    </row>
    <row r="128" spans="1:10" x14ac:dyDescent="0.25">
      <c r="A128"/>
      <c r="B128"/>
      <c r="C128"/>
      <c r="D128"/>
      <c r="E128"/>
      <c r="F128"/>
      <c r="G128"/>
      <c r="H128"/>
      <c r="I128"/>
      <c r="J128" s="79" t="e">
        <f>VLOOKUP(A128,Table1[[Unit Number]:[NO. OF BEDROOMS]],2,FALSE)</f>
        <v>#N/A</v>
      </c>
    </row>
    <row r="129" spans="1:10" x14ac:dyDescent="0.25">
      <c r="A129"/>
      <c r="B129"/>
      <c r="C129"/>
      <c r="D129"/>
      <c r="E129"/>
      <c r="F129"/>
      <c r="G129"/>
      <c r="H129"/>
      <c r="I129"/>
      <c r="J129" s="79" t="e">
        <f>VLOOKUP(A129,Table1[[Unit Number]:[NO. OF BEDROOMS]],2,FALSE)</f>
        <v>#N/A</v>
      </c>
    </row>
    <row r="130" spans="1:10" x14ac:dyDescent="0.25">
      <c r="A130"/>
      <c r="B130"/>
      <c r="C130"/>
      <c r="D130"/>
      <c r="E130"/>
      <c r="F130"/>
      <c r="G130"/>
      <c r="H130"/>
      <c r="I130"/>
      <c r="J130" s="79" t="e">
        <f>VLOOKUP(A130,Table1[[Unit Number]:[NO. OF BEDROOMS]],2,FALSE)</f>
        <v>#N/A</v>
      </c>
    </row>
    <row r="131" spans="1:10" x14ac:dyDescent="0.25">
      <c r="A131"/>
      <c r="B131"/>
      <c r="C131"/>
      <c r="D131"/>
      <c r="E131"/>
      <c r="F131"/>
      <c r="G131"/>
      <c r="H131"/>
      <c r="I131"/>
      <c r="J131" s="79" t="e">
        <f>VLOOKUP(A131,Table1[[Unit Number]:[NO. OF BEDROOMS]],2,FALSE)</f>
        <v>#N/A</v>
      </c>
    </row>
    <row r="132" spans="1:10" x14ac:dyDescent="0.25">
      <c r="A132"/>
      <c r="B132"/>
      <c r="C132"/>
      <c r="D132"/>
      <c r="E132"/>
      <c r="F132"/>
      <c r="G132"/>
      <c r="H132"/>
      <c r="I132"/>
      <c r="J132" s="79" t="e">
        <f>VLOOKUP(A132,Table1[[Unit Number]:[NO. OF BEDROOMS]],2,FALSE)</f>
        <v>#N/A</v>
      </c>
    </row>
    <row r="133" spans="1:10" x14ac:dyDescent="0.25">
      <c r="A133"/>
      <c r="B133"/>
      <c r="C133"/>
      <c r="D133"/>
      <c r="E133"/>
      <c r="F133"/>
      <c r="G133"/>
      <c r="H133"/>
      <c r="I133"/>
      <c r="J133" s="79" t="e">
        <f>VLOOKUP(A133,Table1[[Unit Number]:[NO. OF BEDROOMS]],2,FALSE)</f>
        <v>#N/A</v>
      </c>
    </row>
    <row r="134" spans="1:10" x14ac:dyDescent="0.25">
      <c r="A134"/>
      <c r="B134"/>
      <c r="C134"/>
      <c r="D134"/>
      <c r="E134"/>
      <c r="F134"/>
      <c r="G134"/>
      <c r="H134"/>
      <c r="I134"/>
      <c r="J134" s="79" t="e">
        <f>VLOOKUP(A134,Table1[[Unit Number]:[NO. OF BEDROOMS]],2,FALSE)</f>
        <v>#N/A</v>
      </c>
    </row>
    <row r="135" spans="1:10" x14ac:dyDescent="0.25">
      <c r="A135"/>
      <c r="B135"/>
      <c r="C135"/>
      <c r="D135"/>
      <c r="E135"/>
      <c r="F135"/>
      <c r="G135"/>
      <c r="H135"/>
      <c r="I135"/>
      <c r="J135" s="79" t="e">
        <f>VLOOKUP(A135,Table1[[Unit Number]:[NO. OF BEDROOMS]],2,FALSE)</f>
        <v>#N/A</v>
      </c>
    </row>
    <row r="136" spans="1:10" x14ac:dyDescent="0.25">
      <c r="A136"/>
      <c r="B136"/>
      <c r="C136"/>
      <c r="D136"/>
      <c r="E136"/>
      <c r="F136"/>
      <c r="G136"/>
      <c r="H136"/>
      <c r="I136"/>
      <c r="J136" s="79" t="e">
        <f>VLOOKUP(A136,Table1[[Unit Number]:[NO. OF BEDROOMS]],2,FALSE)</f>
        <v>#N/A</v>
      </c>
    </row>
    <row r="137" spans="1:10" x14ac:dyDescent="0.25">
      <c r="A137"/>
      <c r="B137"/>
      <c r="C137"/>
      <c r="D137"/>
      <c r="E137"/>
      <c r="F137"/>
      <c r="G137"/>
      <c r="H137"/>
      <c r="I137"/>
      <c r="J137" s="79" t="e">
        <f>VLOOKUP(A137,Table1[[Unit Number]:[NO. OF BEDROOMS]],2,FALSE)</f>
        <v>#N/A</v>
      </c>
    </row>
    <row r="138" spans="1:10" x14ac:dyDescent="0.25">
      <c r="A138"/>
      <c r="B138"/>
      <c r="C138"/>
      <c r="D138"/>
      <c r="E138"/>
      <c r="F138"/>
      <c r="G138"/>
      <c r="H138"/>
      <c r="I138"/>
      <c r="J138" s="79" t="e">
        <f>VLOOKUP(A138,Table1[[Unit Number]:[NO. OF BEDROOMS]],2,FALSE)</f>
        <v>#N/A</v>
      </c>
    </row>
    <row r="139" spans="1:10" x14ac:dyDescent="0.25">
      <c r="A139"/>
      <c r="B139"/>
      <c r="C139"/>
      <c r="D139"/>
      <c r="E139"/>
      <c r="F139"/>
      <c r="G139"/>
      <c r="H139"/>
      <c r="I139"/>
      <c r="J139" s="79" t="e">
        <f>VLOOKUP(A139,Table1[[Unit Number]:[NO. OF BEDROOMS]],2,FALSE)</f>
        <v>#N/A</v>
      </c>
    </row>
    <row r="140" spans="1:10" x14ac:dyDescent="0.25">
      <c r="A140"/>
      <c r="B140"/>
      <c r="C140"/>
      <c r="D140"/>
      <c r="E140"/>
      <c r="F140"/>
      <c r="G140"/>
      <c r="H140"/>
      <c r="I140"/>
      <c r="J140" s="79" t="e">
        <f>VLOOKUP(A140,Table1[[Unit Number]:[NO. OF BEDROOMS]],2,FALSE)</f>
        <v>#N/A</v>
      </c>
    </row>
    <row r="141" spans="1:10" x14ac:dyDescent="0.25">
      <c r="A141"/>
      <c r="B141"/>
      <c r="C141"/>
      <c r="D141"/>
      <c r="E141"/>
      <c r="F141"/>
      <c r="G141"/>
      <c r="H141"/>
      <c r="I141"/>
      <c r="J141" s="79" t="e">
        <f>VLOOKUP(A141,Table1[[Unit Number]:[NO. OF BEDROOMS]],2,FALSE)</f>
        <v>#N/A</v>
      </c>
    </row>
    <row r="142" spans="1:10" x14ac:dyDescent="0.25">
      <c r="A142"/>
      <c r="B142"/>
      <c r="C142"/>
      <c r="D142"/>
      <c r="E142"/>
      <c r="F142"/>
      <c r="G142"/>
      <c r="H142"/>
      <c r="I142"/>
      <c r="J142" s="79" t="e">
        <f>VLOOKUP(A142,Table1[[Unit Number]:[NO. OF BEDROOMS]],2,FALSE)</f>
        <v>#N/A</v>
      </c>
    </row>
    <row r="143" spans="1:10" x14ac:dyDescent="0.25">
      <c r="A143"/>
      <c r="B143"/>
      <c r="C143"/>
      <c r="D143"/>
      <c r="E143"/>
      <c r="F143"/>
      <c r="G143"/>
      <c r="H143"/>
      <c r="I143"/>
      <c r="J143" s="79" t="e">
        <f>VLOOKUP(A143,Table1[[Unit Number]:[NO. OF BEDROOMS]],2,FALSE)</f>
        <v>#N/A</v>
      </c>
    </row>
    <row r="144" spans="1:10" x14ac:dyDescent="0.25">
      <c r="A144"/>
      <c r="B144"/>
      <c r="C144"/>
      <c r="D144"/>
      <c r="E144"/>
      <c r="F144"/>
      <c r="G144"/>
      <c r="H144"/>
      <c r="I144"/>
      <c r="J144" s="79" t="e">
        <f>VLOOKUP(A144,Table1[[Unit Number]:[NO. OF BEDROOMS]],2,FALSE)</f>
        <v>#N/A</v>
      </c>
    </row>
    <row r="145" spans="1:10" x14ac:dyDescent="0.25">
      <c r="A145"/>
      <c r="B145"/>
      <c r="C145"/>
      <c r="D145"/>
      <c r="E145"/>
      <c r="F145"/>
      <c r="G145"/>
      <c r="H145"/>
      <c r="I145"/>
      <c r="J145" s="79" t="e">
        <f>VLOOKUP(A145,Table1[[Unit Number]:[NO. OF BEDROOMS]],2,FALSE)</f>
        <v>#N/A</v>
      </c>
    </row>
    <row r="146" spans="1:10" x14ac:dyDescent="0.25">
      <c r="A146"/>
      <c r="B146"/>
      <c r="C146"/>
      <c r="D146"/>
      <c r="E146"/>
      <c r="F146"/>
      <c r="G146"/>
      <c r="H146"/>
      <c r="I146"/>
      <c r="J146" s="79" t="e">
        <f>VLOOKUP(A146,Table1[[Unit Number]:[NO. OF BEDROOMS]],2,FALSE)</f>
        <v>#N/A</v>
      </c>
    </row>
    <row r="147" spans="1:10" x14ac:dyDescent="0.25">
      <c r="A147"/>
      <c r="B147"/>
      <c r="C147"/>
      <c r="D147"/>
      <c r="E147"/>
      <c r="F147"/>
      <c r="G147"/>
      <c r="H147"/>
      <c r="I147"/>
      <c r="J147" s="79" t="e">
        <f>VLOOKUP(A147,Table1[[Unit Number]:[NO. OF BEDROOMS]],2,FALSE)</f>
        <v>#N/A</v>
      </c>
    </row>
    <row r="148" spans="1:10" x14ac:dyDescent="0.25">
      <c r="A148"/>
      <c r="B148"/>
      <c r="C148"/>
      <c r="D148"/>
      <c r="E148"/>
      <c r="F148"/>
      <c r="G148"/>
      <c r="H148"/>
      <c r="I148"/>
      <c r="J148" s="79" t="e">
        <f>VLOOKUP(A148,Table1[[Unit Number]:[NO. OF BEDROOMS]],2,FALSE)</f>
        <v>#N/A</v>
      </c>
    </row>
    <row r="149" spans="1:10" x14ac:dyDescent="0.25">
      <c r="A149"/>
      <c r="B149"/>
      <c r="C149"/>
      <c r="D149"/>
      <c r="E149"/>
      <c r="F149"/>
      <c r="G149"/>
      <c r="H149"/>
      <c r="I149"/>
      <c r="J149" s="79" t="e">
        <f>VLOOKUP(A149,Table1[[Unit Number]:[NO. OF BEDROOMS]],2,FALSE)</f>
        <v>#N/A</v>
      </c>
    </row>
    <row r="150" spans="1:10" x14ac:dyDescent="0.25">
      <c r="A150"/>
      <c r="B150"/>
      <c r="C150"/>
      <c r="D150"/>
      <c r="E150"/>
      <c r="F150"/>
      <c r="G150"/>
      <c r="H150"/>
      <c r="I150"/>
      <c r="J150" s="79" t="e">
        <f>VLOOKUP(A150,Table1[[Unit Number]:[NO. OF BEDROOMS]],2,FALSE)</f>
        <v>#N/A</v>
      </c>
    </row>
    <row r="151" spans="1:10" x14ac:dyDescent="0.25">
      <c r="A151"/>
      <c r="B151"/>
      <c r="C151"/>
      <c r="D151"/>
      <c r="E151"/>
      <c r="F151"/>
      <c r="G151"/>
      <c r="H151"/>
      <c r="I151"/>
      <c r="J151" s="79" t="e">
        <f>VLOOKUP(A151,Table1[[Unit Number]:[NO. OF BEDROOMS]],2,FALSE)</f>
        <v>#N/A</v>
      </c>
    </row>
    <row r="152" spans="1:10" x14ac:dyDescent="0.25">
      <c r="A152"/>
      <c r="B152"/>
      <c r="C152"/>
      <c r="D152"/>
      <c r="E152"/>
      <c r="F152"/>
      <c r="G152"/>
      <c r="H152"/>
      <c r="I152"/>
      <c r="J152" s="79" t="e">
        <f>VLOOKUP(A152,Table1[[Unit Number]:[NO. OF BEDROOMS]],2,FALSE)</f>
        <v>#N/A</v>
      </c>
    </row>
    <row r="153" spans="1:10" x14ac:dyDescent="0.25">
      <c r="A153"/>
      <c r="B153"/>
      <c r="C153"/>
      <c r="D153"/>
      <c r="E153"/>
      <c r="F153"/>
      <c r="G153"/>
      <c r="H153"/>
      <c r="I153"/>
      <c r="J153" s="79" t="e">
        <f>VLOOKUP(A153,Table1[[Unit Number]:[NO. OF BEDROOMS]],2,FALSE)</f>
        <v>#N/A</v>
      </c>
    </row>
    <row r="154" spans="1:10" x14ac:dyDescent="0.25">
      <c r="A154"/>
      <c r="B154"/>
      <c r="C154"/>
      <c r="D154"/>
      <c r="E154"/>
      <c r="F154"/>
      <c r="G154"/>
      <c r="H154"/>
      <c r="I154"/>
      <c r="J154" s="79" t="e">
        <f>VLOOKUP(A154,Table1[[Unit Number]:[NO. OF BEDROOMS]],2,FALSE)</f>
        <v>#N/A</v>
      </c>
    </row>
    <row r="155" spans="1:10" x14ac:dyDescent="0.25">
      <c r="A155"/>
      <c r="B155"/>
      <c r="C155"/>
      <c r="D155"/>
      <c r="E155"/>
      <c r="F155"/>
      <c r="G155"/>
      <c r="H155"/>
      <c r="I155"/>
      <c r="J155" s="79" t="e">
        <f>VLOOKUP(A155,Table1[[Unit Number]:[NO. OF BEDROOMS]],2,FALSE)</f>
        <v>#N/A</v>
      </c>
    </row>
    <row r="156" spans="1:10" x14ac:dyDescent="0.25">
      <c r="A156"/>
      <c r="B156"/>
      <c r="C156"/>
      <c r="D156"/>
      <c r="E156"/>
      <c r="F156"/>
      <c r="G156"/>
      <c r="H156"/>
      <c r="I156"/>
      <c r="J156" s="79" t="e">
        <f>VLOOKUP(A156,Table1[[Unit Number]:[NO. OF BEDROOMS]],2,FALSE)</f>
        <v>#N/A</v>
      </c>
    </row>
    <row r="157" spans="1:10" x14ac:dyDescent="0.25">
      <c r="A157"/>
      <c r="B157"/>
      <c r="C157"/>
      <c r="D157"/>
      <c r="E157"/>
      <c r="F157"/>
      <c r="G157"/>
      <c r="H157"/>
      <c r="I157"/>
      <c r="J157" s="79" t="e">
        <f>VLOOKUP(A157,Table1[[Unit Number]:[NO. OF BEDROOMS]],2,FALSE)</f>
        <v>#N/A</v>
      </c>
    </row>
    <row r="158" spans="1:10" x14ac:dyDescent="0.25">
      <c r="A158"/>
      <c r="B158"/>
      <c r="C158"/>
      <c r="D158"/>
      <c r="E158"/>
      <c r="F158"/>
      <c r="G158"/>
      <c r="H158"/>
      <c r="I158"/>
      <c r="J158" s="79" t="e">
        <f>VLOOKUP(A158,Table1[[Unit Number]:[NO. OF BEDROOMS]],2,FALSE)</f>
        <v>#N/A</v>
      </c>
    </row>
    <row r="159" spans="1:10" x14ac:dyDescent="0.25">
      <c r="A159"/>
      <c r="B159"/>
      <c r="C159"/>
      <c r="D159"/>
      <c r="E159"/>
      <c r="F159"/>
      <c r="G159"/>
      <c r="H159"/>
      <c r="I159"/>
      <c r="J159" s="79" t="e">
        <f>VLOOKUP(A159,Table1[[Unit Number]:[NO. OF BEDROOMS]],2,FALSE)</f>
        <v>#N/A</v>
      </c>
    </row>
    <row r="160" spans="1:10" x14ac:dyDescent="0.25">
      <c r="A160"/>
      <c r="B160"/>
      <c r="C160"/>
      <c r="D160"/>
      <c r="E160"/>
      <c r="F160"/>
      <c r="G160"/>
      <c r="H160"/>
      <c r="I160"/>
      <c r="J160" s="79" t="e">
        <f>VLOOKUP(A160,Table1[[Unit Number]:[NO. OF BEDROOMS]],2,FALSE)</f>
        <v>#N/A</v>
      </c>
    </row>
    <row r="161" spans="1:10" x14ac:dyDescent="0.25">
      <c r="A161"/>
      <c r="B161"/>
      <c r="C161"/>
      <c r="D161"/>
      <c r="E161"/>
      <c r="F161"/>
      <c r="G161"/>
      <c r="H161"/>
      <c r="I161"/>
      <c r="J161" s="79" t="e">
        <f>VLOOKUP(A161,Table1[[Unit Number]:[NO. OF BEDROOMS]],2,FALSE)</f>
        <v>#N/A</v>
      </c>
    </row>
    <row r="162" spans="1:10" x14ac:dyDescent="0.25">
      <c r="A162"/>
      <c r="B162"/>
      <c r="C162"/>
      <c r="D162"/>
      <c r="E162"/>
      <c r="F162"/>
      <c r="G162"/>
      <c r="H162"/>
      <c r="I162"/>
      <c r="J162" s="79" t="e">
        <f>VLOOKUP(A162,Table1[[Unit Number]:[NO. OF BEDROOMS]],2,FALSE)</f>
        <v>#N/A</v>
      </c>
    </row>
    <row r="163" spans="1:10" x14ac:dyDescent="0.25">
      <c r="A163"/>
      <c r="B163"/>
      <c r="C163"/>
      <c r="D163"/>
      <c r="E163"/>
      <c r="F163"/>
      <c r="G163"/>
      <c r="H163"/>
      <c r="I163"/>
    </row>
    <row r="164" spans="1:10" x14ac:dyDescent="0.25">
      <c r="A164"/>
      <c r="B164"/>
      <c r="C164"/>
      <c r="D164"/>
      <c r="E164"/>
      <c r="F164"/>
      <c r="G164"/>
      <c r="H164"/>
      <c r="I164"/>
    </row>
    <row r="165" spans="1:10" x14ac:dyDescent="0.25">
      <c r="A165"/>
      <c r="B165"/>
      <c r="C165"/>
      <c r="D165"/>
      <c r="E165"/>
      <c r="F165"/>
      <c r="G165"/>
      <c r="H165"/>
      <c r="I165"/>
    </row>
    <row r="166" spans="1:10" x14ac:dyDescent="0.25">
      <c r="A166"/>
      <c r="B166"/>
      <c r="C166"/>
      <c r="D166"/>
      <c r="E166"/>
      <c r="F166"/>
      <c r="G166"/>
      <c r="H166"/>
      <c r="I166"/>
    </row>
    <row r="167" spans="1:10" x14ac:dyDescent="0.25">
      <c r="A167"/>
      <c r="B167"/>
      <c r="C167"/>
      <c r="D167"/>
      <c r="E167"/>
      <c r="F167"/>
      <c r="G167"/>
      <c r="H167"/>
      <c r="I167"/>
    </row>
    <row r="168" spans="1:10" x14ac:dyDescent="0.25">
      <c r="A168"/>
      <c r="B168"/>
      <c r="C168"/>
      <c r="D168"/>
      <c r="E168"/>
      <c r="F168"/>
      <c r="G168"/>
      <c r="H168"/>
      <c r="I168"/>
    </row>
    <row r="169" spans="1:10" x14ac:dyDescent="0.25">
      <c r="A169"/>
      <c r="B169"/>
      <c r="C169"/>
      <c r="D169"/>
      <c r="E169"/>
      <c r="F169"/>
      <c r="G169"/>
      <c r="H169"/>
      <c r="I169"/>
    </row>
    <row r="170" spans="1:10" x14ac:dyDescent="0.25">
      <c r="A170"/>
      <c r="B170"/>
      <c r="C170"/>
      <c r="D170"/>
      <c r="E170"/>
      <c r="F170"/>
      <c r="G170"/>
      <c r="H170"/>
      <c r="I170"/>
    </row>
    <row r="171" spans="1:10" x14ac:dyDescent="0.25">
      <c r="A171"/>
      <c r="B171"/>
      <c r="C171"/>
      <c r="D171"/>
      <c r="E171"/>
      <c r="F171"/>
      <c r="G171"/>
      <c r="H171"/>
      <c r="I171"/>
    </row>
    <row r="172" spans="1:10" x14ac:dyDescent="0.25">
      <c r="A172"/>
      <c r="B172"/>
      <c r="C172"/>
      <c r="D172"/>
      <c r="E172"/>
      <c r="F172"/>
      <c r="G172"/>
      <c r="H172"/>
      <c r="I172"/>
    </row>
    <row r="173" spans="1:10" x14ac:dyDescent="0.25">
      <c r="A173"/>
      <c r="B173"/>
      <c r="C173"/>
      <c r="D173"/>
      <c r="E173"/>
      <c r="F173"/>
      <c r="G173"/>
      <c r="H173"/>
      <c r="I173"/>
    </row>
    <row r="174" spans="1:10" x14ac:dyDescent="0.25">
      <c r="A174"/>
      <c r="B174"/>
      <c r="C174"/>
      <c r="D174"/>
      <c r="E174"/>
      <c r="F174"/>
      <c r="G174"/>
      <c r="H174"/>
      <c r="I174"/>
    </row>
    <row r="175" spans="1:10" x14ac:dyDescent="0.25">
      <c r="A175"/>
      <c r="B175"/>
      <c r="C175"/>
      <c r="D175"/>
      <c r="E175"/>
      <c r="F175"/>
      <c r="G175"/>
      <c r="H175"/>
      <c r="I175"/>
    </row>
    <row r="176" spans="1:10" x14ac:dyDescent="0.25">
      <c r="A176"/>
      <c r="B176"/>
      <c r="C176"/>
      <c r="D176"/>
      <c r="E176"/>
      <c r="F176"/>
      <c r="G176"/>
      <c r="H176"/>
      <c r="I176"/>
    </row>
    <row r="177" spans="1:9" x14ac:dyDescent="0.25">
      <c r="A177"/>
      <c r="B177"/>
      <c r="C177"/>
      <c r="D177"/>
      <c r="E177"/>
      <c r="F177"/>
      <c r="G177"/>
      <c r="H177"/>
      <c r="I177"/>
    </row>
    <row r="178" spans="1:9" x14ac:dyDescent="0.25">
      <c r="A178"/>
      <c r="B178"/>
      <c r="C178"/>
      <c r="D178"/>
      <c r="E178"/>
      <c r="F178"/>
      <c r="G178"/>
      <c r="H178"/>
      <c r="I178"/>
    </row>
    <row r="179" spans="1:9" x14ac:dyDescent="0.25">
      <c r="A179"/>
      <c r="B179"/>
      <c r="C179"/>
      <c r="D179"/>
      <c r="E179"/>
      <c r="F179"/>
      <c r="G179"/>
      <c r="H179"/>
      <c r="I179"/>
    </row>
    <row r="180" spans="1:9" x14ac:dyDescent="0.25">
      <c r="A180"/>
      <c r="B180"/>
      <c r="C180"/>
      <c r="D180"/>
      <c r="E180"/>
      <c r="F180"/>
      <c r="G180"/>
      <c r="H180"/>
      <c r="I180"/>
    </row>
    <row r="181" spans="1:9" x14ac:dyDescent="0.25">
      <c r="A181"/>
      <c r="B181"/>
      <c r="C181"/>
      <c r="D181"/>
      <c r="E181"/>
      <c r="F181"/>
      <c r="G181"/>
      <c r="H181"/>
      <c r="I181"/>
    </row>
    <row r="182" spans="1:9" x14ac:dyDescent="0.25">
      <c r="A182"/>
      <c r="B182"/>
      <c r="C182"/>
      <c r="D182"/>
      <c r="E182"/>
      <c r="F182"/>
      <c r="G182"/>
      <c r="H182"/>
      <c r="I182"/>
    </row>
    <row r="183" spans="1:9" x14ac:dyDescent="0.25">
      <c r="A183"/>
      <c r="B183"/>
      <c r="C183"/>
      <c r="D183"/>
      <c r="E183"/>
      <c r="F183"/>
      <c r="G183"/>
      <c r="H183"/>
      <c r="I183"/>
    </row>
    <row r="184" spans="1:9" x14ac:dyDescent="0.25">
      <c r="A184"/>
      <c r="B184"/>
      <c r="C184"/>
      <c r="D184"/>
      <c r="E184"/>
      <c r="F184"/>
      <c r="G184"/>
      <c r="H184"/>
      <c r="I184"/>
    </row>
    <row r="185" spans="1:9" x14ac:dyDescent="0.25">
      <c r="A185"/>
      <c r="B185"/>
      <c r="C185"/>
      <c r="D185"/>
      <c r="E185"/>
      <c r="F185"/>
      <c r="G185"/>
      <c r="H185"/>
      <c r="I185"/>
    </row>
    <row r="186" spans="1:9" x14ac:dyDescent="0.25">
      <c r="A186"/>
      <c r="B186"/>
      <c r="C186"/>
      <c r="D186"/>
      <c r="E186"/>
      <c r="F186"/>
      <c r="G186"/>
      <c r="H186"/>
      <c r="I186"/>
    </row>
    <row r="187" spans="1:9" x14ac:dyDescent="0.25">
      <c r="A187"/>
      <c r="B187"/>
      <c r="C187"/>
      <c r="D187"/>
      <c r="E187"/>
      <c r="F187"/>
      <c r="G187"/>
      <c r="H187"/>
      <c r="I187"/>
    </row>
    <row r="188" spans="1:9" x14ac:dyDescent="0.25">
      <c r="A188"/>
      <c r="B188"/>
      <c r="C188"/>
      <c r="D188"/>
      <c r="E188"/>
      <c r="F188"/>
      <c r="G188"/>
      <c r="H188"/>
      <c r="I188"/>
    </row>
    <row r="189" spans="1:9" x14ac:dyDescent="0.25">
      <c r="A189"/>
      <c r="B189"/>
      <c r="C189"/>
      <c r="D189"/>
      <c r="E189"/>
      <c r="F189"/>
      <c r="G189"/>
      <c r="H189"/>
      <c r="I189"/>
    </row>
    <row r="190" spans="1:9" x14ac:dyDescent="0.25">
      <c r="A190"/>
      <c r="B190"/>
      <c r="C190"/>
      <c r="D190"/>
      <c r="E190"/>
      <c r="F190"/>
      <c r="G190"/>
      <c r="H190"/>
      <c r="I190"/>
    </row>
    <row r="191" spans="1:9" x14ac:dyDescent="0.25">
      <c r="A191"/>
      <c r="B191"/>
      <c r="C191"/>
      <c r="D191"/>
      <c r="E191"/>
      <c r="F191"/>
      <c r="G191"/>
      <c r="H191"/>
      <c r="I191"/>
    </row>
    <row r="192" spans="1:9" x14ac:dyDescent="0.25">
      <c r="A192"/>
      <c r="B192"/>
      <c r="C192"/>
      <c r="D192"/>
      <c r="E192"/>
      <c r="F192"/>
      <c r="G192"/>
      <c r="H192"/>
      <c r="I192"/>
    </row>
    <row r="193" spans="1:9" x14ac:dyDescent="0.25">
      <c r="A193"/>
      <c r="B193"/>
      <c r="C193"/>
      <c r="D193"/>
      <c r="E193"/>
      <c r="F193"/>
      <c r="G193"/>
      <c r="H193"/>
      <c r="I193"/>
    </row>
    <row r="194" spans="1:9" x14ac:dyDescent="0.25">
      <c r="A194"/>
      <c r="B194"/>
      <c r="C194"/>
      <c r="D194"/>
      <c r="E194"/>
      <c r="F194"/>
      <c r="G194"/>
      <c r="H194"/>
      <c r="I194"/>
    </row>
    <row r="195" spans="1:9" x14ac:dyDescent="0.25">
      <c r="A195"/>
      <c r="B195"/>
      <c r="C195"/>
      <c r="D195"/>
      <c r="E195"/>
      <c r="F195"/>
      <c r="G195"/>
      <c r="H195"/>
      <c r="I195"/>
    </row>
    <row r="196" spans="1:9" x14ac:dyDescent="0.25">
      <c r="A196"/>
      <c r="B196"/>
      <c r="C196"/>
      <c r="D196"/>
      <c r="E196"/>
      <c r="F196"/>
      <c r="G196"/>
      <c r="H196"/>
      <c r="I196"/>
    </row>
    <row r="197" spans="1:9" x14ac:dyDescent="0.25">
      <c r="A197"/>
      <c r="B197"/>
      <c r="C197"/>
      <c r="D197"/>
      <c r="E197"/>
      <c r="F197"/>
      <c r="G197"/>
      <c r="H197"/>
      <c r="I197"/>
    </row>
    <row r="198" spans="1:9" x14ac:dyDescent="0.25">
      <c r="A198"/>
      <c r="B198"/>
      <c r="C198"/>
      <c r="D198"/>
      <c r="E198"/>
      <c r="F198"/>
      <c r="G198"/>
      <c r="H198"/>
      <c r="I198"/>
    </row>
    <row r="199" spans="1:9" x14ac:dyDescent="0.25">
      <c r="A199"/>
      <c r="B199"/>
      <c r="C199"/>
      <c r="D199"/>
      <c r="E199"/>
      <c r="F199"/>
      <c r="G199"/>
      <c r="H199"/>
      <c r="I199"/>
    </row>
    <row r="200" spans="1:9" x14ac:dyDescent="0.25">
      <c r="A200"/>
      <c r="B200"/>
      <c r="C200"/>
      <c r="D200"/>
      <c r="E200"/>
      <c r="F200"/>
      <c r="G200"/>
      <c r="H200"/>
      <c r="I200"/>
    </row>
    <row r="201" spans="1:9" x14ac:dyDescent="0.25">
      <c r="A201"/>
      <c r="B201"/>
      <c r="C201"/>
      <c r="D201"/>
      <c r="E201"/>
      <c r="F201"/>
      <c r="G201"/>
      <c r="H201"/>
      <c r="I201"/>
    </row>
    <row r="202" spans="1:9" x14ac:dyDescent="0.25">
      <c r="A202"/>
      <c r="B202"/>
      <c r="C202"/>
      <c r="D202"/>
      <c r="E202"/>
      <c r="F202"/>
      <c r="G202"/>
      <c r="H202"/>
      <c r="I202"/>
    </row>
    <row r="203" spans="1:9" x14ac:dyDescent="0.25">
      <c r="A203"/>
      <c r="B203"/>
      <c r="C203"/>
      <c r="D203"/>
      <c r="E203"/>
      <c r="F203"/>
      <c r="G203"/>
      <c r="H203"/>
      <c r="I203"/>
    </row>
    <row r="204" spans="1:9" x14ac:dyDescent="0.25">
      <c r="A204"/>
      <c r="B204"/>
      <c r="C204"/>
      <c r="D204"/>
      <c r="E204"/>
      <c r="F204"/>
      <c r="G204"/>
      <c r="H204"/>
      <c r="I204"/>
    </row>
    <row r="205" spans="1:9" x14ac:dyDescent="0.25">
      <c r="A205"/>
      <c r="B205"/>
      <c r="C205"/>
      <c r="D205"/>
      <c r="E205"/>
      <c r="F205"/>
      <c r="G205"/>
      <c r="H205"/>
      <c r="I205"/>
    </row>
    <row r="206" spans="1:9" x14ac:dyDescent="0.25">
      <c r="A206"/>
      <c r="B206"/>
      <c r="C206"/>
      <c r="D206"/>
      <c r="E206"/>
      <c r="F206"/>
      <c r="G206"/>
      <c r="H206"/>
      <c r="I206"/>
    </row>
    <row r="207" spans="1:9" x14ac:dyDescent="0.25">
      <c r="A207"/>
      <c r="B207"/>
      <c r="C207"/>
      <c r="D207"/>
      <c r="E207"/>
      <c r="F207"/>
      <c r="G207"/>
      <c r="H207"/>
      <c r="I207"/>
    </row>
    <row r="208" spans="1:9" x14ac:dyDescent="0.25">
      <c r="A208"/>
      <c r="B208"/>
      <c r="C208"/>
      <c r="D208"/>
      <c r="E208"/>
      <c r="F208"/>
      <c r="G208"/>
      <c r="H208"/>
      <c r="I208"/>
    </row>
    <row r="209" spans="1:9" x14ac:dyDescent="0.25">
      <c r="A209"/>
      <c r="B209"/>
      <c r="C209"/>
      <c r="D209"/>
      <c r="E209"/>
      <c r="F209"/>
      <c r="G209"/>
      <c r="H209"/>
      <c r="I209"/>
    </row>
    <row r="210" spans="1:9" x14ac:dyDescent="0.25">
      <c r="A210"/>
      <c r="B210"/>
      <c r="C210"/>
      <c r="D210"/>
      <c r="E210"/>
      <c r="F210"/>
      <c r="G210"/>
      <c r="H210"/>
      <c r="I210"/>
    </row>
    <row r="211" spans="1:9" x14ac:dyDescent="0.25">
      <c r="A211"/>
      <c r="B211"/>
      <c r="C211"/>
      <c r="D211"/>
      <c r="E211"/>
      <c r="F211"/>
      <c r="G211"/>
      <c r="H211"/>
      <c r="I211"/>
    </row>
    <row r="212" spans="1:9" x14ac:dyDescent="0.25">
      <c r="A212"/>
      <c r="B212"/>
      <c r="C212"/>
      <c r="D212"/>
      <c r="E212"/>
      <c r="F212"/>
      <c r="G212"/>
      <c r="H212"/>
      <c r="I212"/>
    </row>
    <row r="213" spans="1:9" x14ac:dyDescent="0.25">
      <c r="A213"/>
      <c r="B213"/>
      <c r="C213"/>
      <c r="D213"/>
      <c r="E213"/>
      <c r="F213"/>
      <c r="G213"/>
      <c r="H213"/>
      <c r="I213"/>
    </row>
    <row r="214" spans="1:9" x14ac:dyDescent="0.25">
      <c r="A214"/>
      <c r="B214"/>
      <c r="C214"/>
      <c r="D214"/>
      <c r="E214"/>
      <c r="F214"/>
      <c r="G214"/>
      <c r="H214"/>
      <c r="I214"/>
    </row>
    <row r="215" spans="1:9" x14ac:dyDescent="0.25">
      <c r="A215"/>
      <c r="B215"/>
      <c r="C215"/>
      <c r="D215"/>
      <c r="E215"/>
      <c r="F215"/>
      <c r="G215"/>
      <c r="H215"/>
      <c r="I215"/>
    </row>
    <row r="216" spans="1:9" x14ac:dyDescent="0.25">
      <c r="A216"/>
      <c r="B216"/>
      <c r="C216"/>
      <c r="D216"/>
      <c r="E216"/>
      <c r="F216"/>
      <c r="G216"/>
      <c r="H216"/>
      <c r="I216"/>
    </row>
    <row r="217" spans="1:9" x14ac:dyDescent="0.25">
      <c r="A217"/>
      <c r="B217"/>
      <c r="C217"/>
      <c r="D217"/>
      <c r="E217"/>
      <c r="F217"/>
      <c r="G217"/>
      <c r="H217"/>
      <c r="I217"/>
    </row>
    <row r="218" spans="1:9" x14ac:dyDescent="0.25">
      <c r="A218"/>
      <c r="B218"/>
      <c r="C218"/>
      <c r="D218"/>
      <c r="E218"/>
      <c r="F218"/>
      <c r="G218"/>
      <c r="H218"/>
      <c r="I218"/>
    </row>
    <row r="219" spans="1:9" x14ac:dyDescent="0.25">
      <c r="A219"/>
      <c r="B219"/>
      <c r="C219"/>
      <c r="D219"/>
      <c r="E219"/>
      <c r="F219"/>
      <c r="G219"/>
      <c r="H219"/>
      <c r="I219"/>
    </row>
    <row r="220" spans="1:9" x14ac:dyDescent="0.25">
      <c r="A220"/>
      <c r="B220"/>
      <c r="C220"/>
      <c r="D220"/>
      <c r="E220"/>
      <c r="F220"/>
      <c r="G220"/>
      <c r="H220"/>
      <c r="I220"/>
    </row>
    <row r="221" spans="1:9" x14ac:dyDescent="0.25">
      <c r="A221"/>
      <c r="B221"/>
      <c r="C221"/>
      <c r="D221"/>
      <c r="E221"/>
      <c r="F221"/>
      <c r="G221"/>
      <c r="H221"/>
      <c r="I221"/>
    </row>
    <row r="222" spans="1:9" x14ac:dyDescent="0.25">
      <c r="A222"/>
      <c r="B222"/>
      <c r="C222"/>
      <c r="D222"/>
      <c r="E222"/>
      <c r="F222"/>
      <c r="G222"/>
      <c r="H222"/>
      <c r="I222"/>
    </row>
    <row r="223" spans="1:9" x14ac:dyDescent="0.25">
      <c r="A223"/>
      <c r="B223"/>
      <c r="C223"/>
      <c r="D223"/>
      <c r="E223"/>
      <c r="F223"/>
      <c r="G223"/>
      <c r="H223"/>
      <c r="I223"/>
    </row>
    <row r="224" spans="1:9" x14ac:dyDescent="0.25">
      <c r="A224"/>
      <c r="B224"/>
      <c r="C224"/>
      <c r="D224"/>
      <c r="E224"/>
      <c r="F224"/>
      <c r="G224"/>
      <c r="H224"/>
      <c r="I224"/>
    </row>
    <row r="225" spans="1:9" x14ac:dyDescent="0.25">
      <c r="A225"/>
      <c r="B225"/>
      <c r="C225"/>
      <c r="D225"/>
      <c r="E225"/>
      <c r="F225"/>
      <c r="G225"/>
      <c r="H225"/>
      <c r="I225"/>
    </row>
    <row r="226" spans="1:9" x14ac:dyDescent="0.25">
      <c r="A226"/>
      <c r="B226"/>
      <c r="C226"/>
      <c r="D226"/>
      <c r="E226"/>
      <c r="F226"/>
      <c r="G226"/>
      <c r="H226"/>
      <c r="I226"/>
    </row>
    <row r="227" spans="1:9" x14ac:dyDescent="0.25">
      <c r="A227"/>
      <c r="B227"/>
      <c r="C227"/>
      <c r="D227"/>
      <c r="E227"/>
      <c r="F227"/>
      <c r="G227"/>
      <c r="H227"/>
      <c r="I227"/>
    </row>
    <row r="228" spans="1:9" x14ac:dyDescent="0.25">
      <c r="A228"/>
      <c r="B228"/>
      <c r="C228"/>
      <c r="D228"/>
      <c r="E228"/>
      <c r="F228"/>
      <c r="G228"/>
      <c r="H228"/>
      <c r="I228"/>
    </row>
    <row r="229" spans="1:9" x14ac:dyDescent="0.25">
      <c r="A229"/>
      <c r="B229"/>
      <c r="C229"/>
      <c r="D229"/>
      <c r="E229"/>
      <c r="F229"/>
      <c r="G229"/>
      <c r="H229"/>
      <c r="I229"/>
    </row>
    <row r="230" spans="1:9" x14ac:dyDescent="0.25">
      <c r="A230"/>
      <c r="B230"/>
      <c r="C230"/>
      <c r="D230"/>
      <c r="E230"/>
      <c r="F230"/>
      <c r="G230"/>
      <c r="H230"/>
      <c r="I230"/>
    </row>
    <row r="231" spans="1:9" x14ac:dyDescent="0.25">
      <c r="A231"/>
      <c r="B231"/>
      <c r="C231"/>
      <c r="D231"/>
      <c r="E231"/>
      <c r="F231"/>
      <c r="G231"/>
      <c r="H231"/>
      <c r="I231"/>
    </row>
    <row r="232" spans="1:9" x14ac:dyDescent="0.25">
      <c r="A232"/>
      <c r="B232"/>
      <c r="C232"/>
      <c r="D232"/>
      <c r="E232"/>
      <c r="F232"/>
      <c r="G232"/>
      <c r="H232"/>
      <c r="I232"/>
    </row>
    <row r="233" spans="1:9" x14ac:dyDescent="0.25">
      <c r="A233"/>
      <c r="B233"/>
      <c r="C233"/>
      <c r="D233"/>
      <c r="E233"/>
      <c r="F233"/>
      <c r="G233"/>
      <c r="H233"/>
      <c r="I233"/>
    </row>
    <row r="234" spans="1:9" x14ac:dyDescent="0.25">
      <c r="A234"/>
      <c r="B234"/>
      <c r="C234"/>
      <c r="D234"/>
      <c r="E234"/>
      <c r="F234"/>
      <c r="G234"/>
      <c r="H234"/>
      <c r="I234"/>
    </row>
    <row r="235" spans="1:9" x14ac:dyDescent="0.25">
      <c r="A235"/>
      <c r="B235"/>
      <c r="C235"/>
      <c r="D235"/>
      <c r="E235"/>
      <c r="F235"/>
      <c r="G235"/>
      <c r="H235"/>
      <c r="I235"/>
    </row>
    <row r="236" spans="1:9" x14ac:dyDescent="0.25">
      <c r="A236"/>
      <c r="B236"/>
      <c r="C236"/>
      <c r="D236"/>
      <c r="E236"/>
      <c r="F236"/>
      <c r="G236"/>
      <c r="H236"/>
      <c r="I236"/>
    </row>
    <row r="237" spans="1:9" x14ac:dyDescent="0.25">
      <c r="A237"/>
      <c r="B237"/>
      <c r="C237"/>
      <c r="D237"/>
      <c r="E237"/>
      <c r="F237"/>
      <c r="G237"/>
      <c r="H237"/>
      <c r="I237"/>
    </row>
    <row r="238" spans="1:9" x14ac:dyDescent="0.25">
      <c r="A238"/>
      <c r="B238"/>
      <c r="C238"/>
      <c r="D238"/>
      <c r="E238"/>
      <c r="F238"/>
      <c r="G238"/>
      <c r="H238"/>
      <c r="I238"/>
    </row>
    <row r="239" spans="1:9" x14ac:dyDescent="0.25">
      <c r="A239"/>
      <c r="B239"/>
      <c r="C239"/>
      <c r="D239"/>
      <c r="E239"/>
      <c r="F239"/>
      <c r="G239"/>
      <c r="H239"/>
      <c r="I239"/>
    </row>
    <row r="240" spans="1:9" x14ac:dyDescent="0.25">
      <c r="A240"/>
      <c r="B240"/>
      <c r="C240"/>
      <c r="D240"/>
      <c r="E240"/>
      <c r="F240"/>
      <c r="G240"/>
      <c r="H240"/>
      <c r="I240"/>
    </row>
    <row r="241" spans="1:9" x14ac:dyDescent="0.25">
      <c r="A241"/>
      <c r="B241"/>
      <c r="C241"/>
      <c r="D241"/>
      <c r="E241"/>
      <c r="F241"/>
      <c r="G241"/>
      <c r="H241"/>
      <c r="I241"/>
    </row>
    <row r="242" spans="1:9" x14ac:dyDescent="0.25">
      <c r="A242"/>
      <c r="B242"/>
      <c r="C242"/>
      <c r="D242"/>
      <c r="E242"/>
      <c r="F242"/>
      <c r="G242"/>
      <c r="H242"/>
      <c r="I242"/>
    </row>
    <row r="243" spans="1:9" x14ac:dyDescent="0.25">
      <c r="A243"/>
      <c r="B243"/>
      <c r="C243"/>
      <c r="D243"/>
      <c r="E243"/>
      <c r="F243"/>
      <c r="G243"/>
      <c r="H243"/>
      <c r="I243"/>
    </row>
    <row r="244" spans="1:9" x14ac:dyDescent="0.25">
      <c r="A244"/>
      <c r="B244"/>
      <c r="C244"/>
      <c r="D244"/>
      <c r="E244"/>
      <c r="F244"/>
      <c r="G244"/>
      <c r="H244"/>
      <c r="I244"/>
    </row>
    <row r="245" spans="1:9" x14ac:dyDescent="0.25">
      <c r="A245"/>
      <c r="B245"/>
      <c r="C245"/>
      <c r="D245"/>
      <c r="E245"/>
      <c r="F245"/>
      <c r="G245"/>
      <c r="H245"/>
      <c r="I245"/>
    </row>
    <row r="246" spans="1:9" x14ac:dyDescent="0.25">
      <c r="A246"/>
      <c r="B246"/>
      <c r="C246"/>
      <c r="D246"/>
      <c r="E246"/>
      <c r="F246"/>
      <c r="G246"/>
      <c r="H246"/>
      <c r="I246"/>
    </row>
    <row r="247" spans="1:9" x14ac:dyDescent="0.25">
      <c r="A247"/>
      <c r="B247"/>
      <c r="C247"/>
      <c r="D247"/>
      <c r="E247"/>
      <c r="F247"/>
      <c r="G247"/>
      <c r="H247"/>
      <c r="I247"/>
    </row>
    <row r="248" spans="1:9" x14ac:dyDescent="0.25">
      <c r="A248"/>
      <c r="B248"/>
      <c r="C248"/>
      <c r="D248"/>
      <c r="E248"/>
      <c r="F248"/>
      <c r="G248"/>
      <c r="H248"/>
      <c r="I248"/>
    </row>
    <row r="249" spans="1:9" x14ac:dyDescent="0.25">
      <c r="A249"/>
      <c r="B249"/>
      <c r="C249"/>
      <c r="D249"/>
      <c r="E249"/>
      <c r="F249"/>
      <c r="G249"/>
      <c r="H249"/>
      <c r="I249"/>
    </row>
    <row r="250" spans="1:9" x14ac:dyDescent="0.25">
      <c r="A250"/>
      <c r="B250"/>
      <c r="C250"/>
      <c r="D250"/>
      <c r="E250"/>
      <c r="F250"/>
      <c r="G250"/>
      <c r="H250"/>
      <c r="I250"/>
    </row>
    <row r="251" spans="1:9" x14ac:dyDescent="0.25">
      <c r="A251"/>
      <c r="B251"/>
      <c r="C251"/>
      <c r="D251"/>
      <c r="E251"/>
      <c r="F251"/>
      <c r="G251"/>
      <c r="H251"/>
      <c r="I251"/>
    </row>
    <row r="252" spans="1:9" x14ac:dyDescent="0.25">
      <c r="A252"/>
      <c r="B252"/>
      <c r="C252"/>
      <c r="D252"/>
      <c r="E252"/>
      <c r="F252"/>
      <c r="G252"/>
      <c r="H252"/>
      <c r="I252"/>
    </row>
    <row r="253" spans="1:9" x14ac:dyDescent="0.25">
      <c r="A253"/>
      <c r="B253"/>
      <c r="C253"/>
      <c r="D253"/>
      <c r="E253"/>
      <c r="F253"/>
      <c r="G253"/>
      <c r="H253"/>
      <c r="I253"/>
    </row>
    <row r="254" spans="1:9" x14ac:dyDescent="0.25">
      <c r="A254"/>
      <c r="B254"/>
      <c r="C254"/>
      <c r="D254"/>
      <c r="E254"/>
      <c r="F254"/>
      <c r="G254"/>
      <c r="H254"/>
      <c r="I254"/>
    </row>
    <row r="255" spans="1:9" x14ac:dyDescent="0.25">
      <c r="A255"/>
      <c r="B255"/>
      <c r="C255"/>
      <c r="D255"/>
      <c r="E255"/>
      <c r="F255"/>
      <c r="G255"/>
      <c r="H255"/>
      <c r="I255"/>
    </row>
    <row r="256" spans="1:9" x14ac:dyDescent="0.25">
      <c r="A256"/>
      <c r="B256"/>
      <c r="C256"/>
      <c r="D256"/>
      <c r="E256"/>
      <c r="F256"/>
      <c r="G256"/>
      <c r="H256"/>
      <c r="I256"/>
    </row>
    <row r="257" spans="1:9" x14ac:dyDescent="0.25">
      <c r="A257"/>
      <c r="B257"/>
      <c r="C257"/>
      <c r="D257"/>
      <c r="E257"/>
      <c r="F257"/>
      <c r="G257"/>
      <c r="H257"/>
      <c r="I257"/>
    </row>
    <row r="258" spans="1:9" x14ac:dyDescent="0.25">
      <c r="A258"/>
      <c r="B258"/>
      <c r="C258"/>
      <c r="D258"/>
      <c r="E258"/>
      <c r="F258"/>
      <c r="G258"/>
      <c r="H258"/>
      <c r="I258"/>
    </row>
    <row r="259" spans="1:9" x14ac:dyDescent="0.25">
      <c r="A259"/>
      <c r="B259"/>
      <c r="C259"/>
      <c r="D259"/>
      <c r="E259"/>
      <c r="F259"/>
      <c r="G259"/>
      <c r="H259"/>
      <c r="I259"/>
    </row>
    <row r="260" spans="1:9" x14ac:dyDescent="0.25">
      <c r="A260"/>
      <c r="B260"/>
      <c r="C260"/>
      <c r="D260"/>
      <c r="E260"/>
      <c r="F260"/>
      <c r="G260"/>
      <c r="H260"/>
      <c r="I260"/>
    </row>
    <row r="261" spans="1:9" x14ac:dyDescent="0.25">
      <c r="A261"/>
      <c r="B261"/>
      <c r="C261"/>
      <c r="D261"/>
      <c r="E261"/>
      <c r="F261"/>
      <c r="G261"/>
      <c r="H261"/>
      <c r="I261"/>
    </row>
    <row r="262" spans="1:9" x14ac:dyDescent="0.25">
      <c r="A262"/>
      <c r="B262"/>
      <c r="C262"/>
      <c r="D262"/>
      <c r="E262"/>
      <c r="F262"/>
      <c r="G262"/>
      <c r="H262"/>
      <c r="I262"/>
    </row>
    <row r="263" spans="1:9" x14ac:dyDescent="0.25">
      <c r="A263"/>
      <c r="B263"/>
      <c r="C263"/>
      <c r="D263"/>
      <c r="E263"/>
      <c r="F263"/>
      <c r="G263"/>
      <c r="H263"/>
      <c r="I263"/>
    </row>
    <row r="264" spans="1:9" x14ac:dyDescent="0.25">
      <c r="A264"/>
      <c r="B264"/>
      <c r="C264"/>
      <c r="D264"/>
      <c r="E264"/>
      <c r="F264"/>
      <c r="G264"/>
      <c r="H264"/>
      <c r="I264"/>
    </row>
    <row r="265" spans="1:9" x14ac:dyDescent="0.25">
      <c r="A265"/>
      <c r="B265"/>
      <c r="C265"/>
      <c r="D265"/>
      <c r="E265"/>
      <c r="F265"/>
      <c r="G265"/>
      <c r="H265"/>
      <c r="I265"/>
    </row>
    <row r="266" spans="1:9" x14ac:dyDescent="0.25">
      <c r="A266"/>
      <c r="B266"/>
      <c r="C266"/>
      <c r="D266"/>
      <c r="E266"/>
      <c r="F266"/>
      <c r="G266"/>
      <c r="H266"/>
      <c r="I266"/>
    </row>
    <row r="267" spans="1:9" x14ac:dyDescent="0.25">
      <c r="A267"/>
      <c r="B267"/>
      <c r="C267"/>
      <c r="D267"/>
      <c r="E267"/>
      <c r="F267"/>
      <c r="G267"/>
      <c r="H267"/>
      <c r="I267"/>
    </row>
    <row r="268" spans="1:9" x14ac:dyDescent="0.25">
      <c r="A268"/>
      <c r="B268"/>
      <c r="C268"/>
      <c r="D268"/>
      <c r="E268"/>
      <c r="F268"/>
      <c r="G268"/>
      <c r="H268"/>
      <c r="I268"/>
    </row>
    <row r="269" spans="1:9" x14ac:dyDescent="0.25">
      <c r="A269"/>
      <c r="B269"/>
      <c r="C269"/>
      <c r="D269"/>
      <c r="E269"/>
      <c r="F269"/>
      <c r="G269"/>
      <c r="H269"/>
      <c r="I269"/>
    </row>
    <row r="270" spans="1:9" x14ac:dyDescent="0.25">
      <c r="A270"/>
      <c r="B270"/>
      <c r="C270"/>
      <c r="D270"/>
      <c r="E270"/>
      <c r="F270"/>
      <c r="G270"/>
      <c r="H270"/>
      <c r="I270"/>
    </row>
    <row r="271" spans="1:9" x14ac:dyDescent="0.25">
      <c r="A271"/>
      <c r="B271"/>
      <c r="C271"/>
      <c r="D271"/>
      <c r="E271"/>
      <c r="F271"/>
      <c r="G271"/>
      <c r="H271"/>
      <c r="I271"/>
    </row>
    <row r="272" spans="1:9" x14ac:dyDescent="0.25">
      <c r="A272"/>
      <c r="B272"/>
      <c r="C272"/>
      <c r="D272"/>
      <c r="E272"/>
      <c r="F272"/>
      <c r="G272"/>
      <c r="H272"/>
      <c r="I272"/>
    </row>
    <row r="273" spans="1:9" x14ac:dyDescent="0.25">
      <c r="A273"/>
      <c r="B273"/>
      <c r="C273"/>
      <c r="D273"/>
      <c r="E273"/>
      <c r="F273"/>
      <c r="G273"/>
      <c r="H273"/>
      <c r="I273"/>
    </row>
    <row r="274" spans="1:9" x14ac:dyDescent="0.25">
      <c r="A274"/>
      <c r="B274"/>
      <c r="C274"/>
      <c r="D274"/>
      <c r="E274"/>
      <c r="F274"/>
      <c r="G274"/>
      <c r="H274"/>
      <c r="I274"/>
    </row>
    <row r="275" spans="1:9" x14ac:dyDescent="0.25">
      <c r="A275"/>
      <c r="B275"/>
      <c r="C275"/>
      <c r="D275"/>
      <c r="E275"/>
      <c r="F275"/>
      <c r="G275"/>
      <c r="H275"/>
      <c r="I275"/>
    </row>
    <row r="276" spans="1:9" x14ac:dyDescent="0.25">
      <c r="A276"/>
      <c r="B276"/>
      <c r="C276"/>
      <c r="D276"/>
      <c r="E276"/>
      <c r="F276"/>
      <c r="G276"/>
      <c r="H276"/>
      <c r="I276"/>
    </row>
    <row r="277" spans="1:9" x14ac:dyDescent="0.25">
      <c r="A277"/>
      <c r="B277"/>
      <c r="C277"/>
      <c r="D277"/>
      <c r="E277"/>
      <c r="F277"/>
      <c r="G277"/>
      <c r="H277"/>
      <c r="I277"/>
    </row>
    <row r="278" spans="1:9" x14ac:dyDescent="0.25">
      <c r="A278"/>
      <c r="B278"/>
      <c r="C278"/>
      <c r="D278"/>
      <c r="E278"/>
      <c r="F278"/>
      <c r="G278"/>
      <c r="H278"/>
      <c r="I278"/>
    </row>
    <row r="279" spans="1:9" x14ac:dyDescent="0.25">
      <c r="A279"/>
      <c r="B279"/>
      <c r="C279"/>
      <c r="D279"/>
      <c r="E279"/>
      <c r="F279"/>
      <c r="G279"/>
      <c r="H279"/>
      <c r="I279"/>
    </row>
    <row r="280" spans="1:9" x14ac:dyDescent="0.25">
      <c r="A280"/>
      <c r="B280"/>
      <c r="C280"/>
      <c r="D280"/>
      <c r="E280"/>
      <c r="F280"/>
      <c r="G280"/>
      <c r="H280"/>
      <c r="I280"/>
    </row>
    <row r="281" spans="1:9" x14ac:dyDescent="0.25">
      <c r="A281"/>
      <c r="B281"/>
      <c r="C281"/>
      <c r="D281"/>
      <c r="E281"/>
      <c r="F281"/>
      <c r="G281"/>
      <c r="H281"/>
      <c r="I281"/>
    </row>
    <row r="282" spans="1:9" x14ac:dyDescent="0.25">
      <c r="A282"/>
      <c r="B282"/>
      <c r="C282"/>
      <c r="D282"/>
      <c r="E282"/>
      <c r="F282"/>
      <c r="G282"/>
      <c r="H282"/>
      <c r="I282"/>
    </row>
    <row r="283" spans="1:9" x14ac:dyDescent="0.25">
      <c r="A283"/>
      <c r="B283"/>
      <c r="C283"/>
      <c r="D283"/>
      <c r="E283"/>
      <c r="F283"/>
      <c r="G283"/>
      <c r="H283"/>
      <c r="I283"/>
    </row>
    <row r="284" spans="1:9" x14ac:dyDescent="0.25">
      <c r="A284"/>
      <c r="B284"/>
      <c r="C284"/>
      <c r="D284"/>
      <c r="E284"/>
      <c r="F284"/>
      <c r="G284"/>
      <c r="H284"/>
      <c r="I284"/>
    </row>
    <row r="285" spans="1:9" x14ac:dyDescent="0.25">
      <c r="A285"/>
      <c r="B285"/>
      <c r="C285"/>
      <c r="D285"/>
      <c r="E285"/>
      <c r="F285"/>
      <c r="G285"/>
      <c r="H285"/>
      <c r="I285"/>
    </row>
    <row r="286" spans="1:9" x14ac:dyDescent="0.25">
      <c r="A286"/>
      <c r="B286"/>
      <c r="C286"/>
      <c r="D286"/>
      <c r="E286"/>
      <c r="F286"/>
      <c r="G286"/>
      <c r="H286"/>
      <c r="I286"/>
    </row>
    <row r="287" spans="1:9" x14ac:dyDescent="0.25">
      <c r="A287"/>
      <c r="B287"/>
      <c r="C287"/>
      <c r="D287"/>
      <c r="E287"/>
      <c r="F287"/>
      <c r="G287"/>
      <c r="H287"/>
      <c r="I287"/>
    </row>
    <row r="288" spans="1:9" x14ac:dyDescent="0.25">
      <c r="A288"/>
      <c r="B288"/>
      <c r="C288"/>
      <c r="D288"/>
      <c r="E288"/>
      <c r="F288"/>
      <c r="G288"/>
      <c r="H288"/>
      <c r="I288"/>
    </row>
    <row r="289" spans="1:9" x14ac:dyDescent="0.25">
      <c r="A289"/>
      <c r="B289"/>
      <c r="C289"/>
      <c r="D289"/>
      <c r="E289"/>
      <c r="F289"/>
      <c r="G289"/>
      <c r="H289"/>
      <c r="I289"/>
    </row>
    <row r="290" spans="1:9" x14ac:dyDescent="0.25">
      <c r="A290"/>
      <c r="B290"/>
      <c r="C290"/>
      <c r="D290"/>
      <c r="E290"/>
      <c r="F290"/>
      <c r="G290"/>
      <c r="H290"/>
      <c r="I290"/>
    </row>
    <row r="291" spans="1:9" x14ac:dyDescent="0.25">
      <c r="A291"/>
      <c r="B291"/>
      <c r="C291"/>
      <c r="D291"/>
      <c r="E291"/>
      <c r="F291"/>
      <c r="G291"/>
      <c r="H291"/>
      <c r="I291"/>
    </row>
    <row r="292" spans="1:9" x14ac:dyDescent="0.25">
      <c r="A292"/>
      <c r="B292"/>
      <c r="C292"/>
      <c r="D292"/>
      <c r="E292"/>
      <c r="F292"/>
      <c r="G292"/>
      <c r="H292"/>
      <c r="I292"/>
    </row>
    <row r="293" spans="1:9" x14ac:dyDescent="0.25">
      <c r="A293"/>
      <c r="B293"/>
      <c r="C293"/>
      <c r="D293"/>
      <c r="E293"/>
      <c r="F293"/>
      <c r="G293"/>
      <c r="H293"/>
      <c r="I293"/>
    </row>
    <row r="294" spans="1:9" x14ac:dyDescent="0.25">
      <c r="A294"/>
      <c r="B294"/>
      <c r="C294"/>
      <c r="D294"/>
      <c r="E294"/>
      <c r="F294"/>
      <c r="G294"/>
      <c r="H294"/>
      <c r="I294"/>
    </row>
    <row r="295" spans="1:9" x14ac:dyDescent="0.25">
      <c r="A295"/>
      <c r="B295"/>
      <c r="C295"/>
      <c r="D295"/>
      <c r="E295"/>
      <c r="F295"/>
      <c r="G295"/>
      <c r="H295"/>
      <c r="I295"/>
    </row>
    <row r="296" spans="1:9" x14ac:dyDescent="0.25">
      <c r="A296"/>
      <c r="B296"/>
      <c r="C296"/>
      <c r="D296"/>
      <c r="E296"/>
      <c r="F296"/>
      <c r="G296"/>
      <c r="H296"/>
      <c r="I296"/>
    </row>
    <row r="297" spans="1:9" x14ac:dyDescent="0.25">
      <c r="A297"/>
      <c r="B297"/>
      <c r="C297"/>
      <c r="D297"/>
      <c r="E297"/>
      <c r="F297"/>
      <c r="G297"/>
      <c r="H297"/>
      <c r="I297"/>
    </row>
    <row r="298" spans="1:9" x14ac:dyDescent="0.25">
      <c r="A298"/>
      <c r="B298"/>
      <c r="C298"/>
      <c r="D298"/>
      <c r="E298"/>
      <c r="F298"/>
      <c r="G298"/>
      <c r="H298"/>
      <c r="I298"/>
    </row>
    <row r="299" spans="1:9" x14ac:dyDescent="0.25">
      <c r="A299"/>
      <c r="B299"/>
      <c r="C299"/>
      <c r="D299"/>
      <c r="E299"/>
      <c r="F299"/>
      <c r="G299"/>
      <c r="H299"/>
      <c r="I299"/>
    </row>
    <row r="300" spans="1:9" x14ac:dyDescent="0.25">
      <c r="A300"/>
      <c r="B300"/>
      <c r="C300"/>
      <c r="D300"/>
      <c r="E300"/>
      <c r="F300"/>
      <c r="G300"/>
      <c r="H300"/>
      <c r="I300"/>
    </row>
    <row r="301" spans="1:9" x14ac:dyDescent="0.25">
      <c r="A301"/>
      <c r="B301"/>
      <c r="C301"/>
      <c r="D301"/>
      <c r="E301"/>
      <c r="F301"/>
      <c r="G301"/>
      <c r="H301"/>
      <c r="I301"/>
    </row>
    <row r="302" spans="1:9" x14ac:dyDescent="0.25">
      <c r="A302"/>
      <c r="B302"/>
      <c r="C302"/>
      <c r="D302"/>
      <c r="E302"/>
      <c r="F302"/>
      <c r="G302"/>
      <c r="H302"/>
      <c r="I302"/>
    </row>
    <row r="303" spans="1:9" x14ac:dyDescent="0.25">
      <c r="A303"/>
      <c r="B303"/>
      <c r="C303"/>
      <c r="D303"/>
      <c r="E303"/>
      <c r="F303"/>
      <c r="G303"/>
      <c r="H303"/>
      <c r="I303"/>
    </row>
    <row r="304" spans="1:9" x14ac:dyDescent="0.25">
      <c r="A304"/>
      <c r="B304"/>
      <c r="C304"/>
      <c r="D304"/>
      <c r="E304"/>
      <c r="F304"/>
      <c r="G304"/>
      <c r="H304"/>
      <c r="I304"/>
    </row>
    <row r="305" spans="1:9" x14ac:dyDescent="0.25">
      <c r="A305"/>
      <c r="B305"/>
      <c r="C305"/>
      <c r="D305"/>
      <c r="E305"/>
      <c r="F305"/>
      <c r="G305"/>
      <c r="H305"/>
      <c r="I305"/>
    </row>
    <row r="306" spans="1:9" x14ac:dyDescent="0.25">
      <c r="A306"/>
      <c r="B306"/>
      <c r="C306"/>
      <c r="D306"/>
      <c r="E306"/>
      <c r="F306"/>
      <c r="G306"/>
      <c r="H306"/>
      <c r="I306"/>
    </row>
    <row r="307" spans="1:9" x14ac:dyDescent="0.25">
      <c r="A307"/>
      <c r="B307"/>
      <c r="C307"/>
      <c r="D307"/>
      <c r="E307"/>
      <c r="F307"/>
      <c r="G307"/>
      <c r="H307"/>
      <c r="I307"/>
    </row>
    <row r="308" spans="1:9" x14ac:dyDescent="0.25">
      <c r="A308"/>
      <c r="B308"/>
      <c r="C308"/>
      <c r="D308"/>
      <c r="E308"/>
      <c r="F308"/>
      <c r="G308"/>
      <c r="H308"/>
      <c r="I308"/>
    </row>
    <row r="309" spans="1:9" x14ac:dyDescent="0.25">
      <c r="A309"/>
      <c r="B309"/>
      <c r="C309"/>
      <c r="D309"/>
      <c r="E309"/>
      <c r="F309"/>
      <c r="G309"/>
      <c r="H309"/>
      <c r="I309"/>
    </row>
    <row r="310" spans="1:9" x14ac:dyDescent="0.25">
      <c r="A310"/>
      <c r="B310"/>
      <c r="C310"/>
      <c r="D310"/>
      <c r="E310"/>
      <c r="F310"/>
      <c r="G310"/>
      <c r="H310"/>
      <c r="I310"/>
    </row>
    <row r="311" spans="1:9" x14ac:dyDescent="0.25">
      <c r="A311"/>
      <c r="B311"/>
      <c r="C311"/>
      <c r="D311"/>
      <c r="E311"/>
      <c r="F311"/>
      <c r="G311"/>
      <c r="H311"/>
      <c r="I311"/>
    </row>
    <row r="312" spans="1:9" x14ac:dyDescent="0.25">
      <c r="A312"/>
      <c r="B312"/>
      <c r="C312"/>
      <c r="D312"/>
      <c r="E312"/>
      <c r="F312"/>
      <c r="G312"/>
      <c r="H312"/>
      <c r="I312"/>
    </row>
    <row r="313" spans="1:9" x14ac:dyDescent="0.25">
      <c r="A313"/>
      <c r="B313"/>
      <c r="C313"/>
      <c r="D313"/>
      <c r="E313"/>
      <c r="F313"/>
      <c r="G313"/>
      <c r="H313"/>
      <c r="I313"/>
    </row>
    <row r="314" spans="1:9" x14ac:dyDescent="0.25">
      <c r="A314"/>
      <c r="B314"/>
      <c r="C314"/>
      <c r="D314"/>
      <c r="E314"/>
      <c r="F314"/>
      <c r="G314"/>
      <c r="H314"/>
      <c r="I314"/>
    </row>
    <row r="315" spans="1:9" x14ac:dyDescent="0.25">
      <c r="A315"/>
      <c r="B315"/>
      <c r="C315"/>
      <c r="D315"/>
      <c r="E315"/>
      <c r="F315"/>
      <c r="G315"/>
      <c r="H315"/>
      <c r="I315"/>
    </row>
    <row r="316" spans="1:9" x14ac:dyDescent="0.25">
      <c r="A316"/>
      <c r="B316"/>
      <c r="C316"/>
      <c r="D316"/>
      <c r="E316"/>
      <c r="F316"/>
      <c r="G316"/>
      <c r="H316"/>
      <c r="I316"/>
    </row>
    <row r="317" spans="1:9" x14ac:dyDescent="0.25">
      <c r="A317"/>
      <c r="B317"/>
      <c r="C317"/>
      <c r="D317"/>
      <c r="E317"/>
      <c r="F317"/>
      <c r="G317"/>
      <c r="H317"/>
      <c r="I317"/>
    </row>
    <row r="318" spans="1:9" x14ac:dyDescent="0.25">
      <c r="A318"/>
      <c r="B318"/>
      <c r="C318"/>
      <c r="D318"/>
      <c r="E318"/>
      <c r="F318"/>
      <c r="G318"/>
      <c r="H318"/>
      <c r="I318"/>
    </row>
    <row r="319" spans="1:9" x14ac:dyDescent="0.25">
      <c r="A319"/>
      <c r="B319"/>
      <c r="C319"/>
      <c r="D319"/>
      <c r="E319"/>
      <c r="F319"/>
      <c r="G319"/>
      <c r="H319"/>
      <c r="I319"/>
    </row>
    <row r="320" spans="1:9" x14ac:dyDescent="0.25">
      <c r="A320"/>
      <c r="B320"/>
      <c r="C320"/>
      <c r="D320"/>
      <c r="E320"/>
      <c r="F320"/>
      <c r="G320"/>
      <c r="H320"/>
      <c r="I320"/>
    </row>
    <row r="321" spans="1:9" x14ac:dyDescent="0.25">
      <c r="A321"/>
      <c r="B321"/>
      <c r="C321"/>
      <c r="D321"/>
      <c r="E321"/>
      <c r="F321"/>
      <c r="G321"/>
      <c r="H321"/>
      <c r="I321"/>
    </row>
    <row r="322" spans="1:9" x14ac:dyDescent="0.25">
      <c r="A322"/>
      <c r="B322"/>
      <c r="C322"/>
      <c r="D322"/>
      <c r="E322"/>
      <c r="F322"/>
      <c r="G322"/>
      <c r="H322"/>
      <c r="I322"/>
    </row>
    <row r="323" spans="1:9" x14ac:dyDescent="0.25">
      <c r="A323"/>
      <c r="B323"/>
      <c r="C323"/>
      <c r="D323"/>
      <c r="E323"/>
      <c r="F323"/>
      <c r="G323"/>
      <c r="H323"/>
      <c r="I323"/>
    </row>
    <row r="324" spans="1:9" x14ac:dyDescent="0.25">
      <c r="A324"/>
      <c r="B324"/>
      <c r="C324"/>
      <c r="D324"/>
      <c r="E324"/>
      <c r="F324"/>
      <c r="G324"/>
      <c r="H324"/>
      <c r="I324"/>
    </row>
    <row r="325" spans="1:9" x14ac:dyDescent="0.25">
      <c r="A325"/>
      <c r="B325"/>
      <c r="C325"/>
      <c r="D325"/>
      <c r="E325"/>
      <c r="F325"/>
      <c r="G325"/>
      <c r="H325"/>
      <c r="I325"/>
    </row>
    <row r="326" spans="1:9" x14ac:dyDescent="0.25">
      <c r="A326"/>
      <c r="B326"/>
      <c r="C326"/>
      <c r="D326"/>
      <c r="E326"/>
      <c r="F326"/>
      <c r="G326"/>
      <c r="H326"/>
      <c r="I326"/>
    </row>
    <row r="327" spans="1:9" x14ac:dyDescent="0.25">
      <c r="A327"/>
      <c r="B327"/>
      <c r="C327"/>
      <c r="D327"/>
      <c r="E327"/>
      <c r="F327"/>
      <c r="G327"/>
      <c r="H327"/>
      <c r="I327"/>
    </row>
    <row r="328" spans="1:9" x14ac:dyDescent="0.25">
      <c r="A328"/>
      <c r="B328"/>
      <c r="C328"/>
      <c r="D328"/>
      <c r="E328"/>
      <c r="F328"/>
      <c r="G328"/>
      <c r="H328"/>
      <c r="I328"/>
    </row>
    <row r="329" spans="1:9" x14ac:dyDescent="0.25">
      <c r="A329"/>
      <c r="B329"/>
      <c r="C329"/>
      <c r="D329"/>
      <c r="E329"/>
      <c r="F329"/>
      <c r="G329"/>
      <c r="H329"/>
      <c r="I329"/>
    </row>
    <row r="330" spans="1:9" x14ac:dyDescent="0.25">
      <c r="A330"/>
      <c r="B330"/>
      <c r="C330"/>
      <c r="D330"/>
      <c r="E330"/>
      <c r="F330"/>
      <c r="G330"/>
      <c r="H330"/>
      <c r="I330"/>
    </row>
    <row r="331" spans="1:9" x14ac:dyDescent="0.25">
      <c r="A331"/>
      <c r="B331"/>
      <c r="C331"/>
      <c r="D331"/>
      <c r="E331"/>
      <c r="F331"/>
      <c r="G331"/>
      <c r="H331"/>
      <c r="I331"/>
    </row>
    <row r="332" spans="1:9" x14ac:dyDescent="0.25">
      <c r="A332"/>
      <c r="B332"/>
      <c r="C332"/>
      <c r="D332"/>
      <c r="E332"/>
      <c r="F332"/>
      <c r="G332"/>
      <c r="H332"/>
      <c r="I332"/>
    </row>
    <row r="333" spans="1:9" x14ac:dyDescent="0.25">
      <c r="A333"/>
      <c r="B333"/>
      <c r="C333"/>
      <c r="D333"/>
      <c r="E333"/>
      <c r="F333"/>
      <c r="G333"/>
      <c r="H333"/>
      <c r="I333"/>
    </row>
    <row r="334" spans="1:9" x14ac:dyDescent="0.25">
      <c r="A334"/>
      <c r="B334"/>
      <c r="C334"/>
      <c r="D334"/>
      <c r="E334"/>
      <c r="F334"/>
      <c r="G334"/>
      <c r="H334"/>
      <c r="I334"/>
    </row>
    <row r="335" spans="1:9" x14ac:dyDescent="0.25">
      <c r="A335"/>
      <c r="B335"/>
      <c r="C335"/>
      <c r="D335"/>
      <c r="E335"/>
      <c r="F335"/>
      <c r="G335"/>
      <c r="H335"/>
      <c r="I335"/>
    </row>
    <row r="336" spans="1:9" x14ac:dyDescent="0.25">
      <c r="A336"/>
      <c r="B336"/>
      <c r="C336"/>
      <c r="D336"/>
      <c r="E336"/>
      <c r="F336"/>
      <c r="G336"/>
      <c r="H336"/>
      <c r="I336"/>
    </row>
    <row r="337" spans="1:9" x14ac:dyDescent="0.25">
      <c r="A337"/>
      <c r="B337"/>
      <c r="C337"/>
      <c r="D337"/>
      <c r="E337"/>
      <c r="F337"/>
      <c r="G337"/>
      <c r="H337"/>
      <c r="I337"/>
    </row>
    <row r="338" spans="1:9" x14ac:dyDescent="0.25">
      <c r="A338"/>
      <c r="B338"/>
      <c r="C338"/>
      <c r="D338"/>
      <c r="E338"/>
      <c r="F338"/>
      <c r="G338"/>
      <c r="H338"/>
      <c r="I338"/>
    </row>
    <row r="339" spans="1:9" x14ac:dyDescent="0.25">
      <c r="A339"/>
      <c r="B339"/>
      <c r="C339"/>
      <c r="D339"/>
      <c r="E339"/>
      <c r="F339"/>
      <c r="G339"/>
      <c r="H339"/>
      <c r="I339"/>
    </row>
    <row r="340" spans="1:9" x14ac:dyDescent="0.25">
      <c r="A340"/>
      <c r="B340"/>
      <c r="C340"/>
      <c r="D340"/>
      <c r="E340"/>
      <c r="F340"/>
      <c r="G340"/>
      <c r="H340"/>
      <c r="I340"/>
    </row>
    <row r="341" spans="1:9" x14ac:dyDescent="0.25">
      <c r="A341"/>
      <c r="B341"/>
      <c r="C341"/>
      <c r="D341"/>
      <c r="E341"/>
      <c r="F341"/>
      <c r="G341"/>
      <c r="H341"/>
      <c r="I341"/>
    </row>
    <row r="342" spans="1:9" x14ac:dyDescent="0.25">
      <c r="A342"/>
      <c r="B342"/>
      <c r="C342"/>
      <c r="D342"/>
      <c r="E342"/>
      <c r="F342"/>
      <c r="G342"/>
      <c r="H342"/>
      <c r="I342"/>
    </row>
    <row r="343" spans="1:9" x14ac:dyDescent="0.25">
      <c r="A343"/>
      <c r="B343"/>
      <c r="C343"/>
      <c r="D343"/>
      <c r="E343"/>
      <c r="F343"/>
      <c r="G343"/>
      <c r="H343"/>
      <c r="I343"/>
    </row>
    <row r="344" spans="1:9" x14ac:dyDescent="0.25">
      <c r="A344"/>
      <c r="B344"/>
      <c r="C344"/>
      <c r="D344"/>
      <c r="E344"/>
      <c r="F344"/>
      <c r="G344"/>
      <c r="H344"/>
      <c r="I344"/>
    </row>
    <row r="345" spans="1:9" x14ac:dyDescent="0.25">
      <c r="A345"/>
      <c r="B345"/>
      <c r="C345"/>
      <c r="D345"/>
      <c r="E345"/>
      <c r="F345"/>
      <c r="G345"/>
      <c r="H345"/>
      <c r="I345"/>
    </row>
    <row r="346" spans="1:9" x14ac:dyDescent="0.25">
      <c r="A346"/>
      <c r="B346"/>
      <c r="C346"/>
      <c r="D346"/>
      <c r="E346"/>
      <c r="F346"/>
      <c r="G346"/>
      <c r="H346"/>
      <c r="I346"/>
    </row>
    <row r="347" spans="1:9" x14ac:dyDescent="0.25">
      <c r="A347"/>
      <c r="B347"/>
      <c r="C347"/>
      <c r="D347"/>
      <c r="E347"/>
      <c r="F347"/>
      <c r="G347"/>
      <c r="H347"/>
      <c r="I347"/>
    </row>
    <row r="348" spans="1:9" x14ac:dyDescent="0.25">
      <c r="A348"/>
      <c r="B348"/>
      <c r="C348"/>
      <c r="D348"/>
      <c r="E348"/>
      <c r="F348"/>
      <c r="G348"/>
      <c r="H348"/>
      <c r="I348"/>
    </row>
    <row r="349" spans="1:9" x14ac:dyDescent="0.25">
      <c r="A349"/>
      <c r="B349"/>
      <c r="C349"/>
      <c r="D349"/>
      <c r="E349"/>
      <c r="F349"/>
      <c r="G349"/>
      <c r="H349"/>
      <c r="I349"/>
    </row>
    <row r="350" spans="1:9" x14ac:dyDescent="0.25">
      <c r="A350"/>
      <c r="B350"/>
      <c r="C350"/>
      <c r="D350"/>
      <c r="E350"/>
      <c r="F350"/>
      <c r="G350"/>
      <c r="H350"/>
      <c r="I350"/>
    </row>
    <row r="351" spans="1:9" x14ac:dyDescent="0.25">
      <c r="A351"/>
      <c r="B351"/>
      <c r="C351"/>
      <c r="D351"/>
      <c r="E351"/>
      <c r="F351"/>
      <c r="G351"/>
      <c r="H351"/>
      <c r="I351"/>
    </row>
    <row r="352" spans="1:9" x14ac:dyDescent="0.25">
      <c r="A352"/>
      <c r="B352"/>
      <c r="C352"/>
      <c r="D352"/>
      <c r="E352"/>
      <c r="F352"/>
      <c r="G352"/>
      <c r="H352"/>
      <c r="I352"/>
    </row>
    <row r="353" spans="1:9" x14ac:dyDescent="0.25">
      <c r="A353"/>
      <c r="B353"/>
      <c r="C353"/>
      <c r="D353"/>
      <c r="E353"/>
      <c r="F353"/>
      <c r="G353"/>
      <c r="H353"/>
      <c r="I353"/>
    </row>
    <row r="354" spans="1:9" x14ac:dyDescent="0.25">
      <c r="A354"/>
      <c r="B354"/>
      <c r="C354"/>
      <c r="D354"/>
      <c r="E354"/>
      <c r="F354"/>
      <c r="G354"/>
      <c r="H354"/>
      <c r="I354"/>
    </row>
    <row r="355" spans="1:9" x14ac:dyDescent="0.25">
      <c r="A355"/>
      <c r="B355"/>
      <c r="C355"/>
      <c r="D355"/>
      <c r="E355"/>
      <c r="F355"/>
      <c r="G355"/>
      <c r="H355"/>
      <c r="I355"/>
    </row>
    <row r="356" spans="1:9" x14ac:dyDescent="0.25">
      <c r="A356"/>
      <c r="B356"/>
      <c r="C356"/>
      <c r="D356"/>
      <c r="E356"/>
      <c r="F356"/>
      <c r="G356"/>
      <c r="H356"/>
      <c r="I356"/>
    </row>
    <row r="357" spans="1:9" x14ac:dyDescent="0.25">
      <c r="A357"/>
      <c r="B357"/>
      <c r="C357"/>
      <c r="D357"/>
      <c r="E357"/>
      <c r="F357"/>
      <c r="G357"/>
      <c r="H357"/>
      <c r="I357"/>
    </row>
    <row r="358" spans="1:9" x14ac:dyDescent="0.25">
      <c r="A358"/>
      <c r="B358"/>
      <c r="C358"/>
      <c r="D358"/>
      <c r="E358"/>
      <c r="F358"/>
      <c r="G358"/>
      <c r="H358"/>
      <c r="I358"/>
    </row>
    <row r="359" spans="1:9" x14ac:dyDescent="0.25">
      <c r="A359"/>
      <c r="B359"/>
      <c r="C359"/>
      <c r="D359"/>
      <c r="E359"/>
      <c r="F359"/>
      <c r="G359"/>
      <c r="H359"/>
      <c r="I359"/>
    </row>
    <row r="360" spans="1:9" x14ac:dyDescent="0.25">
      <c r="A360"/>
      <c r="B360"/>
      <c r="C360"/>
      <c r="D360"/>
      <c r="E360"/>
      <c r="F360"/>
      <c r="G360"/>
      <c r="H360"/>
      <c r="I360"/>
    </row>
    <row r="361" spans="1:9" x14ac:dyDescent="0.25">
      <c r="A361"/>
      <c r="B361"/>
      <c r="C361"/>
      <c r="D361"/>
      <c r="E361"/>
      <c r="F361"/>
      <c r="G361"/>
      <c r="H361"/>
      <c r="I361"/>
    </row>
    <row r="362" spans="1:9" x14ac:dyDescent="0.25">
      <c r="A362"/>
      <c r="B362"/>
      <c r="C362"/>
      <c r="D362"/>
      <c r="E362"/>
      <c r="F362"/>
      <c r="G362"/>
      <c r="H362"/>
      <c r="I362"/>
    </row>
    <row r="363" spans="1:9" x14ac:dyDescent="0.25">
      <c r="A363"/>
      <c r="B363"/>
      <c r="C363"/>
      <c r="D363"/>
      <c r="E363"/>
      <c r="F363"/>
      <c r="G363"/>
      <c r="H363"/>
      <c r="I363"/>
    </row>
    <row r="364" spans="1:9" x14ac:dyDescent="0.25">
      <c r="A364"/>
      <c r="B364"/>
      <c r="C364"/>
      <c r="D364"/>
      <c r="E364"/>
      <c r="F364"/>
      <c r="G364"/>
      <c r="H364"/>
      <c r="I364"/>
    </row>
    <row r="365" spans="1:9" x14ac:dyDescent="0.25">
      <c r="A365"/>
      <c r="B365"/>
      <c r="C365"/>
      <c r="D365"/>
      <c r="E365"/>
      <c r="F365"/>
      <c r="G365"/>
      <c r="H365"/>
      <c r="I365"/>
    </row>
    <row r="366" spans="1:9" x14ac:dyDescent="0.25">
      <c r="A366"/>
      <c r="B366"/>
      <c r="C366"/>
      <c r="D366"/>
      <c r="E366"/>
      <c r="F366"/>
      <c r="G366"/>
      <c r="H366"/>
      <c r="I366"/>
    </row>
    <row r="367" spans="1:9" x14ac:dyDescent="0.25">
      <c r="A367"/>
      <c r="B367"/>
      <c r="C367"/>
      <c r="D367"/>
      <c r="E367"/>
      <c r="F367"/>
      <c r="G367"/>
      <c r="H367"/>
      <c r="I367"/>
    </row>
    <row r="368" spans="1:9" x14ac:dyDescent="0.25">
      <c r="A368"/>
      <c r="B368"/>
      <c r="C368"/>
      <c r="D368"/>
      <c r="E368"/>
      <c r="F368"/>
      <c r="G368"/>
      <c r="H368"/>
      <c r="I368"/>
    </row>
    <row r="369" spans="1:9" x14ac:dyDescent="0.25">
      <c r="A369"/>
      <c r="B369"/>
      <c r="C369"/>
      <c r="D369"/>
      <c r="E369"/>
      <c r="F369"/>
      <c r="G369"/>
      <c r="H369"/>
      <c r="I369"/>
    </row>
    <row r="370" spans="1:9" x14ac:dyDescent="0.25">
      <c r="A370"/>
      <c r="B370"/>
      <c r="C370"/>
      <c r="D370"/>
      <c r="E370"/>
      <c r="F370"/>
      <c r="G370"/>
      <c r="H370"/>
      <c r="I370"/>
    </row>
    <row r="371" spans="1:9" x14ac:dyDescent="0.25">
      <c r="A371"/>
      <c r="B371"/>
      <c r="C371"/>
      <c r="D371"/>
      <c r="E371"/>
      <c r="F371"/>
      <c r="G371"/>
      <c r="H371"/>
      <c r="I371"/>
    </row>
    <row r="372" spans="1:9" x14ac:dyDescent="0.25">
      <c r="A372"/>
      <c r="B372"/>
      <c r="C372"/>
      <c r="D372"/>
      <c r="E372"/>
      <c r="F372"/>
      <c r="G372"/>
      <c r="H372"/>
      <c r="I372"/>
    </row>
    <row r="373" spans="1:9" x14ac:dyDescent="0.25">
      <c r="A373"/>
      <c r="B373"/>
      <c r="C373"/>
      <c r="D373"/>
      <c r="E373"/>
      <c r="F373"/>
      <c r="G373"/>
      <c r="H373"/>
      <c r="I373"/>
    </row>
    <row r="374" spans="1:9" x14ac:dyDescent="0.25">
      <c r="A374"/>
      <c r="B374"/>
      <c r="C374"/>
      <c r="D374"/>
      <c r="E374"/>
      <c r="F374"/>
      <c r="G374"/>
      <c r="H374"/>
      <c r="I374"/>
    </row>
    <row r="375" spans="1:9" x14ac:dyDescent="0.25">
      <c r="A375"/>
      <c r="B375"/>
      <c r="C375"/>
      <c r="D375"/>
      <c r="E375"/>
      <c r="F375"/>
      <c r="G375"/>
      <c r="H375"/>
      <c r="I375"/>
    </row>
    <row r="376" spans="1:9" x14ac:dyDescent="0.25">
      <c r="A376"/>
      <c r="B376"/>
      <c r="C376"/>
      <c r="D376"/>
      <c r="E376"/>
      <c r="F376"/>
      <c r="G376"/>
      <c r="H376"/>
      <c r="I376"/>
    </row>
    <row r="377" spans="1:9" x14ac:dyDescent="0.25">
      <c r="A377"/>
      <c r="B377"/>
      <c r="C377"/>
      <c r="D377"/>
      <c r="E377"/>
      <c r="F377"/>
      <c r="G377"/>
      <c r="H377"/>
      <c r="I377"/>
    </row>
    <row r="378" spans="1:9" x14ac:dyDescent="0.25">
      <c r="A378"/>
      <c r="B378"/>
      <c r="C378"/>
      <c r="D378"/>
      <c r="E378"/>
      <c r="F378"/>
      <c r="G378"/>
      <c r="H378"/>
      <c r="I378"/>
    </row>
    <row r="379" spans="1:9" x14ac:dyDescent="0.25">
      <c r="A379"/>
      <c r="B379"/>
      <c r="C379"/>
      <c r="D379"/>
      <c r="E379"/>
      <c r="F379"/>
      <c r="G379"/>
      <c r="H379"/>
      <c r="I379"/>
    </row>
    <row r="380" spans="1:9" x14ac:dyDescent="0.25">
      <c r="A380"/>
      <c r="B380"/>
      <c r="C380"/>
      <c r="D380"/>
      <c r="E380"/>
      <c r="F380"/>
      <c r="G380"/>
      <c r="H380"/>
      <c r="I380"/>
    </row>
    <row r="381" spans="1:9" x14ac:dyDescent="0.25">
      <c r="A381"/>
      <c r="B381"/>
      <c r="C381"/>
      <c r="D381"/>
      <c r="E381"/>
      <c r="F381"/>
      <c r="G381"/>
      <c r="H381"/>
      <c r="I381"/>
    </row>
    <row r="382" spans="1:9" x14ac:dyDescent="0.25">
      <c r="A382"/>
      <c r="B382"/>
      <c r="C382"/>
      <c r="D382"/>
      <c r="E382"/>
      <c r="F382"/>
      <c r="G382"/>
      <c r="H382"/>
      <c r="I382"/>
    </row>
    <row r="383" spans="1:9" x14ac:dyDescent="0.25">
      <c r="A383"/>
      <c r="B383"/>
      <c r="C383"/>
      <c r="D383"/>
      <c r="E383"/>
      <c r="F383"/>
      <c r="G383"/>
      <c r="H383"/>
      <c r="I383"/>
    </row>
    <row r="384" spans="1:9" x14ac:dyDescent="0.25">
      <c r="A384"/>
      <c r="B384"/>
      <c r="C384"/>
      <c r="D384"/>
      <c r="E384"/>
      <c r="F384"/>
      <c r="G384"/>
      <c r="H384"/>
      <c r="I384"/>
    </row>
    <row r="385" spans="1:9" x14ac:dyDescent="0.25">
      <c r="A385"/>
      <c r="B385"/>
      <c r="C385"/>
      <c r="D385"/>
      <c r="E385"/>
      <c r="F385"/>
      <c r="G385"/>
      <c r="H385"/>
      <c r="I385"/>
    </row>
    <row r="386" spans="1:9" x14ac:dyDescent="0.25">
      <c r="A386"/>
      <c r="B386"/>
      <c r="C386"/>
      <c r="D386"/>
      <c r="E386"/>
      <c r="F386"/>
      <c r="G386"/>
      <c r="H386"/>
      <c r="I386"/>
    </row>
    <row r="387" spans="1:9" x14ac:dyDescent="0.25">
      <c r="A387"/>
      <c r="B387"/>
      <c r="C387"/>
      <c r="D387"/>
      <c r="E387"/>
      <c r="F387"/>
      <c r="G387"/>
      <c r="H387"/>
      <c r="I387"/>
    </row>
    <row r="388" spans="1:9" x14ac:dyDescent="0.25">
      <c r="A388"/>
      <c r="B388"/>
      <c r="C388"/>
      <c r="D388"/>
      <c r="E388"/>
      <c r="F388"/>
      <c r="G388"/>
      <c r="H388"/>
      <c r="I388"/>
    </row>
    <row r="389" spans="1:9" x14ac:dyDescent="0.25">
      <c r="A389"/>
      <c r="B389"/>
      <c r="C389"/>
      <c r="D389"/>
      <c r="E389"/>
      <c r="F389"/>
      <c r="G389"/>
      <c r="H389"/>
      <c r="I389"/>
    </row>
    <row r="390" spans="1:9" x14ac:dyDescent="0.25">
      <c r="A390"/>
      <c r="B390"/>
      <c r="C390"/>
      <c r="D390"/>
      <c r="E390"/>
      <c r="F390"/>
      <c r="G390"/>
      <c r="H390"/>
      <c r="I390"/>
    </row>
    <row r="391" spans="1:9" x14ac:dyDescent="0.25">
      <c r="A391"/>
      <c r="B391"/>
      <c r="C391"/>
      <c r="D391"/>
      <c r="E391"/>
      <c r="F391"/>
      <c r="G391"/>
      <c r="H391"/>
      <c r="I391"/>
    </row>
    <row r="392" spans="1:9" x14ac:dyDescent="0.25">
      <c r="A392"/>
      <c r="B392"/>
      <c r="C392"/>
      <c r="D392"/>
      <c r="E392"/>
      <c r="F392"/>
      <c r="G392"/>
      <c r="H392"/>
      <c r="I392"/>
    </row>
    <row r="393" spans="1:9" x14ac:dyDescent="0.25">
      <c r="A393"/>
      <c r="B393"/>
      <c r="C393"/>
      <c r="D393"/>
      <c r="E393"/>
      <c r="F393"/>
      <c r="G393"/>
      <c r="H393"/>
      <c r="I393"/>
    </row>
    <row r="394" spans="1:9" x14ac:dyDescent="0.25">
      <c r="A394"/>
      <c r="B394"/>
      <c r="C394"/>
      <c r="D394"/>
      <c r="E394"/>
      <c r="F394"/>
      <c r="G394"/>
      <c r="H394"/>
      <c r="I394"/>
    </row>
    <row r="395" spans="1:9" x14ac:dyDescent="0.25">
      <c r="A395"/>
      <c r="B395"/>
      <c r="C395"/>
      <c r="D395"/>
      <c r="E395"/>
      <c r="F395"/>
      <c r="G395"/>
      <c r="H395"/>
      <c r="I395"/>
    </row>
    <row r="396" spans="1:9" x14ac:dyDescent="0.25">
      <c r="A396"/>
      <c r="B396"/>
      <c r="C396"/>
      <c r="D396"/>
      <c r="E396"/>
      <c r="F396"/>
      <c r="G396"/>
      <c r="H396"/>
      <c r="I396"/>
    </row>
    <row r="397" spans="1:9" x14ac:dyDescent="0.25">
      <c r="A397"/>
      <c r="B397"/>
      <c r="C397"/>
      <c r="D397"/>
      <c r="E397"/>
      <c r="F397"/>
      <c r="G397"/>
      <c r="H397"/>
      <c r="I397"/>
    </row>
    <row r="398" spans="1:9" x14ac:dyDescent="0.25">
      <c r="A398"/>
      <c r="B398"/>
      <c r="C398"/>
      <c r="D398"/>
      <c r="E398"/>
      <c r="F398"/>
      <c r="G398"/>
      <c r="H398"/>
      <c r="I398"/>
    </row>
    <row r="399" spans="1:9" x14ac:dyDescent="0.25">
      <c r="A399"/>
      <c r="B399"/>
      <c r="C399"/>
      <c r="D399"/>
      <c r="E399"/>
      <c r="F399"/>
      <c r="G399"/>
      <c r="H399"/>
      <c r="I399"/>
    </row>
    <row r="400" spans="1:9" x14ac:dyDescent="0.25">
      <c r="A400"/>
      <c r="B400"/>
      <c r="C400"/>
      <c r="D400"/>
      <c r="E400"/>
      <c r="F400"/>
      <c r="G400"/>
      <c r="H400"/>
      <c r="I400"/>
    </row>
    <row r="401" spans="1:9" x14ac:dyDescent="0.25">
      <c r="A401"/>
      <c r="B401"/>
      <c r="C401"/>
      <c r="D401"/>
      <c r="E401"/>
      <c r="F401"/>
      <c r="G401"/>
      <c r="H401"/>
      <c r="I401"/>
    </row>
    <row r="402" spans="1:9" x14ac:dyDescent="0.25">
      <c r="A402"/>
      <c r="B402"/>
      <c r="C402"/>
      <c r="D402"/>
      <c r="E402"/>
      <c r="F402"/>
      <c r="G402"/>
      <c r="H402"/>
      <c r="I402"/>
    </row>
    <row r="403" spans="1:9" x14ac:dyDescent="0.25">
      <c r="A403"/>
      <c r="B403"/>
      <c r="C403"/>
      <c r="D403"/>
      <c r="E403"/>
      <c r="F403"/>
      <c r="G403"/>
      <c r="H403"/>
      <c r="I403"/>
    </row>
    <row r="404" spans="1:9" x14ac:dyDescent="0.25">
      <c r="A404"/>
      <c r="B404"/>
      <c r="C404"/>
      <c r="D404"/>
      <c r="E404"/>
      <c r="F404"/>
      <c r="G404"/>
      <c r="H404"/>
      <c r="I404"/>
    </row>
    <row r="405" spans="1:9" x14ac:dyDescent="0.25">
      <c r="A405"/>
      <c r="B405"/>
      <c r="C405"/>
      <c r="D405"/>
      <c r="E405"/>
      <c r="F405"/>
      <c r="G405"/>
      <c r="H405"/>
      <c r="I405"/>
    </row>
    <row r="406" spans="1:9" x14ac:dyDescent="0.25">
      <c r="A406"/>
      <c r="B406"/>
      <c r="C406"/>
      <c r="D406"/>
      <c r="E406"/>
      <c r="F406"/>
      <c r="G406"/>
      <c r="H406"/>
      <c r="I406"/>
    </row>
    <row r="407" spans="1:9" x14ac:dyDescent="0.25">
      <c r="A407"/>
      <c r="B407"/>
      <c r="C407"/>
      <c r="D407"/>
      <c r="E407"/>
      <c r="F407"/>
      <c r="G407"/>
      <c r="H407"/>
      <c r="I407"/>
    </row>
    <row r="408" spans="1:9" x14ac:dyDescent="0.25">
      <c r="A408"/>
      <c r="B408"/>
      <c r="C408"/>
      <c r="D408"/>
      <c r="E408"/>
      <c r="F408"/>
      <c r="G408"/>
      <c r="H408"/>
      <c r="I408"/>
    </row>
    <row r="409" spans="1:9" x14ac:dyDescent="0.25">
      <c r="A409"/>
      <c r="B409"/>
      <c r="C409"/>
      <c r="D409"/>
      <c r="E409"/>
      <c r="F409"/>
      <c r="G409"/>
      <c r="H409"/>
      <c r="I409"/>
    </row>
    <row r="410" spans="1:9" x14ac:dyDescent="0.25">
      <c r="A410"/>
      <c r="B410"/>
      <c r="C410"/>
      <c r="D410"/>
      <c r="E410"/>
      <c r="F410"/>
      <c r="G410"/>
      <c r="H410"/>
      <c r="I410"/>
    </row>
    <row r="411" spans="1:9" x14ac:dyDescent="0.25">
      <c r="A411"/>
      <c r="B411"/>
      <c r="C411"/>
      <c r="D411"/>
      <c r="E411"/>
      <c r="F411"/>
      <c r="G411"/>
      <c r="H411"/>
      <c r="I411"/>
    </row>
    <row r="412" spans="1:9" x14ac:dyDescent="0.25">
      <c r="A412"/>
      <c r="B412"/>
      <c r="C412"/>
      <c r="D412"/>
      <c r="E412"/>
      <c r="F412"/>
      <c r="G412"/>
      <c r="H412"/>
      <c r="I412"/>
    </row>
    <row r="413" spans="1:9" x14ac:dyDescent="0.25">
      <c r="A413"/>
      <c r="B413"/>
      <c r="C413"/>
      <c r="D413"/>
      <c r="E413"/>
      <c r="F413"/>
      <c r="G413"/>
      <c r="H413"/>
      <c r="I413"/>
    </row>
    <row r="414" spans="1:9" x14ac:dyDescent="0.25">
      <c r="A414"/>
      <c r="B414"/>
      <c r="C414"/>
      <c r="D414"/>
      <c r="E414"/>
      <c r="F414"/>
      <c r="G414"/>
      <c r="H414"/>
      <c r="I414"/>
    </row>
    <row r="415" spans="1:9" x14ac:dyDescent="0.25">
      <c r="A415"/>
      <c r="B415"/>
      <c r="C415"/>
      <c r="D415"/>
      <c r="E415"/>
      <c r="F415"/>
      <c r="G415"/>
      <c r="H415"/>
      <c r="I415"/>
    </row>
    <row r="416" spans="1:9" x14ac:dyDescent="0.25">
      <c r="A416"/>
      <c r="B416"/>
      <c r="C416"/>
      <c r="D416"/>
      <c r="E416"/>
      <c r="F416"/>
      <c r="G416"/>
      <c r="H416"/>
      <c r="I416"/>
    </row>
    <row r="417" spans="1:9" x14ac:dyDescent="0.25">
      <c r="A417"/>
      <c r="B417"/>
      <c r="C417"/>
      <c r="D417"/>
      <c r="E417"/>
      <c r="F417"/>
      <c r="G417"/>
      <c r="H417"/>
      <c r="I417"/>
    </row>
    <row r="418" spans="1:9" x14ac:dyDescent="0.25">
      <c r="A418"/>
      <c r="B418"/>
      <c r="C418"/>
      <c r="D418"/>
      <c r="E418"/>
      <c r="F418"/>
      <c r="G418"/>
      <c r="H418"/>
      <c r="I418"/>
    </row>
    <row r="419" spans="1:9" x14ac:dyDescent="0.25">
      <c r="A419"/>
      <c r="B419"/>
      <c r="C419"/>
      <c r="D419"/>
      <c r="E419"/>
      <c r="F419"/>
      <c r="G419"/>
      <c r="H419"/>
      <c r="I419"/>
    </row>
    <row r="420" spans="1:9" x14ac:dyDescent="0.25">
      <c r="A420"/>
      <c r="B420"/>
      <c r="C420"/>
      <c r="D420"/>
      <c r="E420"/>
      <c r="F420"/>
      <c r="G420"/>
      <c r="H420"/>
      <c r="I420"/>
    </row>
    <row r="421" spans="1:9" x14ac:dyDescent="0.25">
      <c r="A421"/>
      <c r="B421"/>
      <c r="C421"/>
      <c r="D421"/>
      <c r="E421"/>
      <c r="F421"/>
      <c r="G421"/>
      <c r="H421"/>
      <c r="I421"/>
    </row>
    <row r="422" spans="1:9" x14ac:dyDescent="0.25">
      <c r="A422"/>
      <c r="B422"/>
      <c r="C422"/>
      <c r="D422"/>
      <c r="E422"/>
      <c r="F422"/>
      <c r="G422"/>
      <c r="H422"/>
      <c r="I422"/>
    </row>
    <row r="423" spans="1:9" x14ac:dyDescent="0.25">
      <c r="A423"/>
      <c r="B423"/>
      <c r="C423"/>
      <c r="D423"/>
      <c r="E423"/>
      <c r="F423"/>
      <c r="G423"/>
      <c r="H423"/>
      <c r="I423"/>
    </row>
    <row r="424" spans="1:9" x14ac:dyDescent="0.25">
      <c r="A424"/>
      <c r="B424"/>
      <c r="C424"/>
      <c r="D424"/>
      <c r="E424"/>
      <c r="F424"/>
      <c r="G424"/>
      <c r="H424"/>
      <c r="I424"/>
    </row>
    <row r="425" spans="1:9" x14ac:dyDescent="0.25">
      <c r="A425"/>
      <c r="B425"/>
      <c r="C425"/>
      <c r="D425"/>
      <c r="E425"/>
      <c r="F425"/>
      <c r="G425"/>
      <c r="H425"/>
      <c r="I425"/>
    </row>
    <row r="426" spans="1:9" x14ac:dyDescent="0.25">
      <c r="A426"/>
      <c r="B426"/>
      <c r="C426"/>
      <c r="D426"/>
      <c r="E426"/>
      <c r="F426"/>
      <c r="G426"/>
      <c r="H426"/>
      <c r="I426"/>
    </row>
    <row r="427" spans="1:9" x14ac:dyDescent="0.25">
      <c r="A427"/>
      <c r="B427"/>
      <c r="C427"/>
      <c r="D427"/>
      <c r="E427"/>
      <c r="F427"/>
      <c r="G427"/>
      <c r="H427"/>
      <c r="I427"/>
    </row>
    <row r="428" spans="1:9" x14ac:dyDescent="0.25">
      <c r="A428"/>
      <c r="B428"/>
      <c r="C428"/>
      <c r="D428"/>
      <c r="E428"/>
      <c r="F428"/>
      <c r="G428"/>
      <c r="H428"/>
      <c r="I428"/>
    </row>
    <row r="429" spans="1:9" x14ac:dyDescent="0.25">
      <c r="A429"/>
      <c r="B429"/>
      <c r="C429"/>
      <c r="D429"/>
      <c r="E429"/>
      <c r="F429"/>
      <c r="G429"/>
      <c r="H429"/>
      <c r="I429"/>
    </row>
    <row r="430" spans="1:9" x14ac:dyDescent="0.25">
      <c r="A430"/>
      <c r="B430"/>
      <c r="C430"/>
      <c r="D430"/>
      <c r="E430"/>
      <c r="F430"/>
      <c r="G430"/>
      <c r="H430"/>
      <c r="I430"/>
    </row>
    <row r="431" spans="1:9" x14ac:dyDescent="0.25">
      <c r="A431"/>
      <c r="B431"/>
      <c r="C431"/>
      <c r="D431"/>
      <c r="E431"/>
      <c r="F431"/>
      <c r="G431"/>
      <c r="H431"/>
      <c r="I431"/>
    </row>
    <row r="432" spans="1:9" x14ac:dyDescent="0.25">
      <c r="A432"/>
      <c r="B432"/>
      <c r="C432"/>
      <c r="D432"/>
      <c r="E432"/>
      <c r="F432"/>
      <c r="G432"/>
      <c r="H432"/>
      <c r="I432"/>
    </row>
    <row r="433" spans="1:9" x14ac:dyDescent="0.25">
      <c r="A433"/>
      <c r="B433"/>
      <c r="C433"/>
      <c r="D433"/>
      <c r="E433"/>
      <c r="F433"/>
      <c r="G433"/>
      <c r="H433"/>
      <c r="I433"/>
    </row>
    <row r="434" spans="1:9" x14ac:dyDescent="0.25">
      <c r="A434"/>
      <c r="B434"/>
      <c r="C434"/>
      <c r="D434"/>
      <c r="E434"/>
      <c r="F434"/>
      <c r="G434"/>
      <c r="H434"/>
      <c r="I434"/>
    </row>
    <row r="435" spans="1:9" x14ac:dyDescent="0.25">
      <c r="A435"/>
      <c r="B435"/>
      <c r="C435"/>
      <c r="D435"/>
      <c r="E435"/>
      <c r="F435"/>
      <c r="G435"/>
      <c r="H435"/>
      <c r="I435"/>
    </row>
    <row r="436" spans="1:9" x14ac:dyDescent="0.25">
      <c r="A436"/>
      <c r="B436"/>
      <c r="C436"/>
      <c r="D436"/>
      <c r="E436"/>
      <c r="F436"/>
      <c r="G436"/>
      <c r="H436"/>
      <c r="I436"/>
    </row>
    <row r="437" spans="1:9" x14ac:dyDescent="0.25">
      <c r="A437"/>
      <c r="B437"/>
      <c r="C437"/>
      <c r="D437"/>
      <c r="E437"/>
      <c r="F437"/>
      <c r="G437"/>
      <c r="H437"/>
      <c r="I437"/>
    </row>
    <row r="438" spans="1:9" x14ac:dyDescent="0.25">
      <c r="A438"/>
      <c r="B438"/>
      <c r="C438"/>
      <c r="D438"/>
      <c r="E438"/>
      <c r="F438"/>
      <c r="G438"/>
      <c r="H438"/>
      <c r="I438"/>
    </row>
    <row r="439" spans="1:9" x14ac:dyDescent="0.25">
      <c r="A439"/>
      <c r="B439"/>
      <c r="C439"/>
      <c r="D439"/>
      <c r="E439"/>
      <c r="F439"/>
      <c r="G439"/>
      <c r="H439"/>
      <c r="I439"/>
    </row>
    <row r="440" spans="1:9" x14ac:dyDescent="0.25">
      <c r="A440"/>
      <c r="B440"/>
      <c r="C440"/>
      <c r="D440"/>
      <c r="E440"/>
      <c r="F440"/>
      <c r="G440"/>
      <c r="H440"/>
      <c r="I440"/>
    </row>
    <row r="441" spans="1:9" x14ac:dyDescent="0.25">
      <c r="A441"/>
      <c r="B441"/>
      <c r="C441"/>
      <c r="D441"/>
      <c r="E441"/>
      <c r="F441"/>
      <c r="G441"/>
      <c r="H441"/>
      <c r="I441"/>
    </row>
    <row r="442" spans="1:9" x14ac:dyDescent="0.25">
      <c r="A442"/>
      <c r="B442"/>
      <c r="C442"/>
      <c r="D442"/>
      <c r="E442"/>
      <c r="F442"/>
      <c r="G442"/>
      <c r="H442"/>
      <c r="I442"/>
    </row>
    <row r="443" spans="1:9" x14ac:dyDescent="0.25">
      <c r="A443"/>
      <c r="B443"/>
      <c r="C443"/>
      <c r="D443"/>
      <c r="E443"/>
      <c r="F443"/>
      <c r="G443"/>
      <c r="H443"/>
      <c r="I443"/>
    </row>
    <row r="444" spans="1:9" x14ac:dyDescent="0.25">
      <c r="A444"/>
      <c r="B444"/>
      <c r="C444"/>
      <c r="D444"/>
      <c r="E444"/>
      <c r="F444"/>
      <c r="G444"/>
      <c r="H444"/>
      <c r="I444"/>
    </row>
    <row r="445" spans="1:9" x14ac:dyDescent="0.25">
      <c r="A445"/>
      <c r="B445"/>
      <c r="C445"/>
      <c r="D445"/>
      <c r="E445"/>
      <c r="F445"/>
      <c r="G445"/>
      <c r="H445"/>
      <c r="I445"/>
    </row>
    <row r="446" spans="1:9" x14ac:dyDescent="0.25">
      <c r="A446"/>
      <c r="B446"/>
      <c r="C446"/>
      <c r="D446"/>
      <c r="E446"/>
      <c r="F446"/>
      <c r="G446"/>
      <c r="H446"/>
      <c r="I446"/>
    </row>
    <row r="447" spans="1:9" x14ac:dyDescent="0.25">
      <c r="A447"/>
      <c r="B447"/>
      <c r="C447"/>
      <c r="D447"/>
      <c r="E447"/>
      <c r="F447"/>
      <c r="G447"/>
      <c r="H447"/>
      <c r="I447"/>
    </row>
    <row r="448" spans="1:9" x14ac:dyDescent="0.25">
      <c r="A448"/>
      <c r="B448"/>
      <c r="C448"/>
      <c r="D448"/>
      <c r="E448"/>
      <c r="F448"/>
      <c r="G448"/>
      <c r="H448"/>
      <c r="I448"/>
    </row>
    <row r="449" spans="1:9" x14ac:dyDescent="0.25">
      <c r="A449"/>
      <c r="B449"/>
      <c r="C449"/>
      <c r="D449"/>
      <c r="E449"/>
      <c r="F449"/>
      <c r="G449"/>
      <c r="H449"/>
      <c r="I449"/>
    </row>
    <row r="450" spans="1:9" x14ac:dyDescent="0.25">
      <c r="A450"/>
      <c r="B450"/>
      <c r="C450"/>
      <c r="D450"/>
      <c r="E450"/>
      <c r="F450"/>
      <c r="G450"/>
      <c r="H450"/>
      <c r="I450"/>
    </row>
    <row r="451" spans="1:9" x14ac:dyDescent="0.25">
      <c r="A451"/>
      <c r="B451"/>
      <c r="C451"/>
      <c r="D451"/>
      <c r="E451"/>
      <c r="F451"/>
      <c r="G451"/>
      <c r="H451"/>
      <c r="I451"/>
    </row>
    <row r="452" spans="1:9" x14ac:dyDescent="0.25">
      <c r="A452"/>
      <c r="B452"/>
      <c r="C452"/>
      <c r="D452"/>
      <c r="E452"/>
      <c r="F452"/>
      <c r="G452"/>
      <c r="H452"/>
      <c r="I452"/>
    </row>
    <row r="453" spans="1:9" x14ac:dyDescent="0.25">
      <c r="A453"/>
      <c r="B453"/>
      <c r="C453"/>
      <c r="D453"/>
      <c r="E453"/>
      <c r="F453"/>
      <c r="G453"/>
      <c r="H453"/>
      <c r="I453"/>
    </row>
    <row r="454" spans="1:9" x14ac:dyDescent="0.25">
      <c r="A454"/>
      <c r="B454"/>
      <c r="C454"/>
      <c r="D454"/>
      <c r="E454"/>
      <c r="F454"/>
      <c r="G454"/>
      <c r="H454"/>
      <c r="I454"/>
    </row>
    <row r="455" spans="1:9" x14ac:dyDescent="0.25">
      <c r="A455"/>
      <c r="B455"/>
      <c r="C455"/>
      <c r="D455"/>
      <c r="E455"/>
      <c r="F455"/>
      <c r="G455"/>
      <c r="H455"/>
      <c r="I455"/>
    </row>
    <row r="456" spans="1:9" x14ac:dyDescent="0.25">
      <c r="A456"/>
      <c r="B456"/>
      <c r="C456"/>
      <c r="D456"/>
      <c r="E456"/>
      <c r="F456"/>
      <c r="G456"/>
      <c r="H456"/>
      <c r="I456"/>
    </row>
    <row r="457" spans="1:9" x14ac:dyDescent="0.25">
      <c r="A457"/>
      <c r="B457"/>
      <c r="C457"/>
      <c r="D457"/>
      <c r="E457"/>
      <c r="F457"/>
      <c r="G457"/>
      <c r="H457"/>
      <c r="I457"/>
    </row>
    <row r="458" spans="1:9" x14ac:dyDescent="0.25">
      <c r="A458"/>
      <c r="B458"/>
      <c r="C458"/>
      <c r="D458"/>
      <c r="E458"/>
      <c r="F458"/>
      <c r="G458"/>
      <c r="H458"/>
      <c r="I458"/>
    </row>
    <row r="459" spans="1:9" x14ac:dyDescent="0.25">
      <c r="A459"/>
      <c r="B459"/>
      <c r="C459"/>
      <c r="D459"/>
      <c r="E459"/>
      <c r="F459"/>
      <c r="G459"/>
      <c r="H459"/>
      <c r="I459"/>
    </row>
    <row r="460" spans="1:9" x14ac:dyDescent="0.25">
      <c r="A460"/>
      <c r="B460"/>
      <c r="C460"/>
      <c r="D460"/>
      <c r="E460"/>
      <c r="F460"/>
      <c r="G460"/>
      <c r="H460"/>
      <c r="I460"/>
    </row>
    <row r="461" spans="1:9" x14ac:dyDescent="0.25">
      <c r="A461"/>
      <c r="B461"/>
      <c r="C461"/>
      <c r="D461"/>
      <c r="E461"/>
      <c r="F461"/>
      <c r="G461"/>
      <c r="H461"/>
      <c r="I461"/>
    </row>
    <row r="462" spans="1:9" x14ac:dyDescent="0.25">
      <c r="A462"/>
      <c r="B462"/>
      <c r="C462"/>
      <c r="D462"/>
      <c r="E462"/>
      <c r="F462"/>
      <c r="G462"/>
      <c r="H462"/>
      <c r="I462"/>
    </row>
    <row r="463" spans="1:9" x14ac:dyDescent="0.25">
      <c r="A463"/>
      <c r="B463"/>
      <c r="C463"/>
      <c r="D463"/>
      <c r="E463"/>
      <c r="F463"/>
      <c r="G463"/>
      <c r="H463"/>
      <c r="I463"/>
    </row>
    <row r="464" spans="1:9" x14ac:dyDescent="0.25">
      <c r="A464"/>
      <c r="B464"/>
      <c r="C464"/>
      <c r="D464"/>
      <c r="E464"/>
      <c r="F464"/>
      <c r="G464"/>
      <c r="H464"/>
      <c r="I464"/>
    </row>
    <row r="465" spans="1:9" x14ac:dyDescent="0.25">
      <c r="A465"/>
      <c r="B465"/>
      <c r="C465"/>
      <c r="D465"/>
      <c r="E465"/>
      <c r="F465"/>
      <c r="G465"/>
      <c r="H465"/>
      <c r="I465"/>
    </row>
    <row r="466" spans="1:9" x14ac:dyDescent="0.25">
      <c r="A466"/>
      <c r="B466"/>
      <c r="C466"/>
      <c r="D466"/>
      <c r="E466"/>
      <c r="F466"/>
      <c r="G466"/>
      <c r="H466"/>
      <c r="I466"/>
    </row>
    <row r="467" spans="1:9" x14ac:dyDescent="0.25">
      <c r="A467"/>
      <c r="B467"/>
      <c r="C467"/>
      <c r="D467"/>
      <c r="E467"/>
      <c r="F467"/>
      <c r="G467"/>
      <c r="H467"/>
      <c r="I467"/>
    </row>
    <row r="468" spans="1:9" x14ac:dyDescent="0.25">
      <c r="A468"/>
      <c r="B468"/>
      <c r="C468"/>
      <c r="D468"/>
      <c r="E468"/>
      <c r="F468"/>
      <c r="G468"/>
      <c r="H468"/>
      <c r="I468"/>
    </row>
    <row r="469" spans="1:9" x14ac:dyDescent="0.25">
      <c r="A469"/>
      <c r="B469"/>
      <c r="C469"/>
      <c r="D469"/>
      <c r="E469"/>
      <c r="F469"/>
      <c r="G469"/>
      <c r="H469"/>
      <c r="I469"/>
    </row>
    <row r="470" spans="1:9" x14ac:dyDescent="0.25">
      <c r="A470"/>
      <c r="B470"/>
      <c r="C470"/>
      <c r="D470"/>
      <c r="E470"/>
      <c r="F470"/>
      <c r="G470"/>
      <c r="H470"/>
      <c r="I470"/>
    </row>
    <row r="471" spans="1:9" x14ac:dyDescent="0.25">
      <c r="A471"/>
      <c r="B471"/>
      <c r="C471"/>
      <c r="D471"/>
      <c r="E471"/>
      <c r="F471"/>
      <c r="G471"/>
      <c r="H471"/>
      <c r="I471"/>
    </row>
    <row r="472" spans="1:9" x14ac:dyDescent="0.25">
      <c r="A472"/>
      <c r="B472"/>
      <c r="C472"/>
      <c r="D472"/>
      <c r="E472"/>
      <c r="F472"/>
      <c r="G472"/>
      <c r="H472"/>
      <c r="I472"/>
    </row>
    <row r="473" spans="1:9" x14ac:dyDescent="0.25">
      <c r="A473"/>
      <c r="B473"/>
      <c r="C473"/>
      <c r="D473"/>
      <c r="E473"/>
      <c r="F473"/>
      <c r="G473"/>
      <c r="H473"/>
      <c r="I473"/>
    </row>
    <row r="474" spans="1:9" x14ac:dyDescent="0.25">
      <c r="A474"/>
      <c r="B474"/>
      <c r="C474"/>
      <c r="D474"/>
      <c r="E474"/>
      <c r="F474"/>
      <c r="G474"/>
      <c r="H474"/>
      <c r="I474"/>
    </row>
    <row r="475" spans="1:9" x14ac:dyDescent="0.25">
      <c r="A475"/>
      <c r="B475"/>
      <c r="C475"/>
      <c r="D475"/>
      <c r="E475"/>
      <c r="F475"/>
      <c r="G475"/>
      <c r="H475"/>
      <c r="I475"/>
    </row>
    <row r="476" spans="1:9" x14ac:dyDescent="0.25">
      <c r="A476"/>
      <c r="B476"/>
      <c r="C476"/>
      <c r="D476"/>
      <c r="E476"/>
      <c r="F476"/>
      <c r="G476"/>
      <c r="H476"/>
      <c r="I476"/>
    </row>
    <row r="477" spans="1:9" x14ac:dyDescent="0.25">
      <c r="A477"/>
      <c r="B477"/>
      <c r="C477"/>
      <c r="D477"/>
      <c r="E477"/>
      <c r="F477"/>
      <c r="G477"/>
      <c r="H477"/>
      <c r="I477"/>
    </row>
    <row r="478" spans="1:9" x14ac:dyDescent="0.25">
      <c r="A478"/>
      <c r="B478"/>
      <c r="C478"/>
      <c r="D478"/>
      <c r="E478"/>
      <c r="F478"/>
      <c r="G478"/>
      <c r="H478"/>
      <c r="I478"/>
    </row>
    <row r="479" spans="1:9" x14ac:dyDescent="0.25">
      <c r="A479"/>
      <c r="B479"/>
      <c r="C479"/>
      <c r="D479"/>
      <c r="E479"/>
      <c r="F479"/>
      <c r="G479"/>
      <c r="H479"/>
      <c r="I479"/>
    </row>
    <row r="480" spans="1:9" x14ac:dyDescent="0.25">
      <c r="A480"/>
      <c r="B480"/>
      <c r="C480"/>
      <c r="D480"/>
      <c r="E480"/>
      <c r="F480"/>
      <c r="G480"/>
      <c r="H480"/>
      <c r="I480"/>
    </row>
    <row r="481" spans="1:9" x14ac:dyDescent="0.25">
      <c r="A481"/>
      <c r="B481"/>
      <c r="C481"/>
      <c r="D481"/>
      <c r="E481"/>
      <c r="F481"/>
      <c r="G481"/>
      <c r="H481"/>
      <c r="I481"/>
    </row>
    <row r="482" spans="1:9" x14ac:dyDescent="0.25">
      <c r="A482"/>
      <c r="B482"/>
      <c r="C482"/>
      <c r="D482"/>
      <c r="E482"/>
      <c r="F482"/>
      <c r="G482"/>
      <c r="H482"/>
      <c r="I482"/>
    </row>
    <row r="483" spans="1:9" x14ac:dyDescent="0.25">
      <c r="A483"/>
      <c r="B483"/>
      <c r="C483"/>
      <c r="D483"/>
      <c r="E483"/>
      <c r="F483"/>
      <c r="G483"/>
      <c r="H483"/>
      <c r="I483"/>
    </row>
    <row r="484" spans="1:9" x14ac:dyDescent="0.25">
      <c r="A484"/>
      <c r="B484"/>
      <c r="C484"/>
      <c r="D484"/>
      <c r="E484"/>
      <c r="F484"/>
      <c r="G484"/>
      <c r="H484"/>
      <c r="I484"/>
    </row>
    <row r="485" spans="1:9" x14ac:dyDescent="0.25">
      <c r="A485"/>
      <c r="B485"/>
      <c r="C485"/>
      <c r="D485"/>
      <c r="E485"/>
      <c r="F485"/>
      <c r="G485"/>
      <c r="H485"/>
      <c r="I485"/>
    </row>
    <row r="486" spans="1:9" x14ac:dyDescent="0.25">
      <c r="A486"/>
      <c r="B486"/>
      <c r="C486"/>
      <c r="D486"/>
      <c r="E486"/>
      <c r="F486"/>
      <c r="G486"/>
      <c r="H486"/>
      <c r="I486"/>
    </row>
    <row r="487" spans="1:9" x14ac:dyDescent="0.25">
      <c r="A487"/>
      <c r="B487"/>
      <c r="C487"/>
      <c r="D487"/>
      <c r="E487"/>
      <c r="F487"/>
      <c r="G487"/>
      <c r="H487"/>
      <c r="I487"/>
    </row>
    <row r="488" spans="1:9" x14ac:dyDescent="0.25">
      <c r="A488"/>
      <c r="B488"/>
      <c r="C488"/>
      <c r="D488"/>
      <c r="E488"/>
      <c r="F488"/>
      <c r="G488"/>
      <c r="H488"/>
      <c r="I488"/>
    </row>
    <row r="489" spans="1:9" x14ac:dyDescent="0.25">
      <c r="A489"/>
      <c r="B489"/>
      <c r="C489"/>
      <c r="D489"/>
      <c r="E489"/>
      <c r="F489"/>
      <c r="G489"/>
      <c r="H489"/>
      <c r="I489"/>
    </row>
    <row r="490" spans="1:9" x14ac:dyDescent="0.25">
      <c r="A490"/>
      <c r="B490"/>
      <c r="C490"/>
      <c r="D490"/>
      <c r="E490"/>
      <c r="F490"/>
      <c r="G490"/>
      <c r="H490"/>
      <c r="I490"/>
    </row>
    <row r="491" spans="1:9" x14ac:dyDescent="0.25">
      <c r="A491"/>
      <c r="B491"/>
      <c r="C491"/>
      <c r="D491"/>
      <c r="E491"/>
      <c r="F491"/>
      <c r="G491"/>
      <c r="H491"/>
      <c r="I491"/>
    </row>
    <row r="492" spans="1:9" x14ac:dyDescent="0.25">
      <c r="A492"/>
      <c r="B492"/>
      <c r="C492"/>
      <c r="D492"/>
      <c r="E492"/>
      <c r="F492"/>
      <c r="G492"/>
      <c r="H492"/>
      <c r="I492"/>
    </row>
    <row r="493" spans="1:9" x14ac:dyDescent="0.25">
      <c r="A493"/>
      <c r="B493"/>
      <c r="C493"/>
      <c r="D493"/>
      <c r="E493"/>
      <c r="F493"/>
      <c r="G493"/>
      <c r="H493"/>
      <c r="I493"/>
    </row>
    <row r="494" spans="1:9" x14ac:dyDescent="0.25">
      <c r="A494"/>
      <c r="B494"/>
      <c r="C494"/>
      <c r="D494"/>
      <c r="E494"/>
      <c r="F494"/>
      <c r="G494"/>
      <c r="H494"/>
      <c r="I494"/>
    </row>
    <row r="495" spans="1:9" x14ac:dyDescent="0.25">
      <c r="A495"/>
      <c r="B495"/>
      <c r="C495"/>
      <c r="D495"/>
      <c r="E495"/>
      <c r="F495"/>
      <c r="G495"/>
      <c r="H495"/>
      <c r="I495"/>
    </row>
    <row r="496" spans="1:9" x14ac:dyDescent="0.25">
      <c r="A496"/>
      <c r="B496"/>
      <c r="C496"/>
      <c r="D496"/>
      <c r="E496"/>
      <c r="F496"/>
      <c r="G496"/>
      <c r="H496"/>
      <c r="I496"/>
    </row>
    <row r="497" spans="1:9" x14ac:dyDescent="0.25">
      <c r="A497"/>
      <c r="B497"/>
      <c r="C497"/>
      <c r="D497"/>
      <c r="E497"/>
      <c r="F497"/>
      <c r="G497"/>
      <c r="H497"/>
      <c r="I497"/>
    </row>
    <row r="498" spans="1:9" x14ac:dyDescent="0.25">
      <c r="A498"/>
      <c r="B498"/>
      <c r="C498"/>
      <c r="D498"/>
      <c r="E498"/>
      <c r="F498"/>
      <c r="G498"/>
      <c r="H498"/>
      <c r="I498"/>
    </row>
    <row r="499" spans="1:9" x14ac:dyDescent="0.25">
      <c r="A499"/>
      <c r="B499"/>
      <c r="C499"/>
      <c r="D499"/>
      <c r="E499"/>
      <c r="F499"/>
      <c r="G499"/>
      <c r="H499"/>
      <c r="I499"/>
    </row>
    <row r="500" spans="1:9" x14ac:dyDescent="0.25">
      <c r="A500"/>
      <c r="B500"/>
      <c r="C500"/>
      <c r="D500"/>
      <c r="E500"/>
      <c r="F500"/>
      <c r="G500"/>
      <c r="H500"/>
      <c r="I500"/>
    </row>
    <row r="501" spans="1:9" x14ac:dyDescent="0.25">
      <c r="A501"/>
      <c r="B501"/>
      <c r="C501"/>
      <c r="D501"/>
      <c r="E501"/>
      <c r="F501"/>
      <c r="G501"/>
      <c r="H501"/>
      <c r="I501"/>
    </row>
    <row r="502" spans="1:9" x14ac:dyDescent="0.25">
      <c r="A502"/>
      <c r="B502"/>
      <c r="C502"/>
      <c r="D502"/>
      <c r="E502"/>
      <c r="F502"/>
      <c r="G502"/>
      <c r="H502"/>
      <c r="I502"/>
    </row>
    <row r="503" spans="1:9" x14ac:dyDescent="0.25">
      <c r="A503"/>
      <c r="B503"/>
      <c r="C503"/>
      <c r="D503"/>
      <c r="E503"/>
      <c r="F503"/>
      <c r="G503"/>
      <c r="H503"/>
      <c r="I503"/>
    </row>
    <row r="504" spans="1:9" x14ac:dyDescent="0.25">
      <c r="A504"/>
      <c r="B504"/>
      <c r="C504"/>
      <c r="D504"/>
      <c r="E504"/>
      <c r="F504"/>
      <c r="G504"/>
      <c r="H504"/>
      <c r="I504"/>
    </row>
    <row r="505" spans="1:9" x14ac:dyDescent="0.25">
      <c r="A505"/>
      <c r="B505"/>
      <c r="C505"/>
      <c r="D505"/>
      <c r="E505"/>
      <c r="F505"/>
      <c r="G505"/>
      <c r="H505"/>
      <c r="I505"/>
    </row>
    <row r="506" spans="1:9" x14ac:dyDescent="0.25">
      <c r="A506"/>
      <c r="B506"/>
      <c r="C506"/>
      <c r="D506"/>
      <c r="E506"/>
      <c r="F506"/>
      <c r="G506"/>
      <c r="H506"/>
      <c r="I506"/>
    </row>
    <row r="507" spans="1:9" x14ac:dyDescent="0.25">
      <c r="A507"/>
      <c r="B507"/>
      <c r="C507"/>
      <c r="D507"/>
      <c r="E507"/>
      <c r="F507"/>
      <c r="G507"/>
      <c r="H507"/>
      <c r="I507"/>
    </row>
    <row r="508" spans="1:9" x14ac:dyDescent="0.25">
      <c r="A508"/>
      <c r="B508"/>
      <c r="C508"/>
      <c r="D508"/>
      <c r="E508"/>
      <c r="F508"/>
      <c r="G508"/>
      <c r="H508"/>
      <c r="I508"/>
    </row>
    <row r="509" spans="1:9" x14ac:dyDescent="0.25">
      <c r="A509"/>
      <c r="B509"/>
      <c r="C509"/>
      <c r="D509"/>
      <c r="E509"/>
      <c r="F509"/>
      <c r="G509"/>
      <c r="H509"/>
      <c r="I509"/>
    </row>
    <row r="510" spans="1:9" x14ac:dyDescent="0.25">
      <c r="A510"/>
      <c r="B510"/>
      <c r="C510"/>
      <c r="D510"/>
      <c r="E510"/>
      <c r="F510"/>
      <c r="G510"/>
      <c r="H510"/>
      <c r="I510"/>
    </row>
    <row r="511" spans="1:9" x14ac:dyDescent="0.25">
      <c r="A511"/>
      <c r="B511"/>
      <c r="C511"/>
      <c r="D511"/>
      <c r="E511"/>
      <c r="F511"/>
      <c r="G511"/>
      <c r="H511"/>
      <c r="I511"/>
    </row>
    <row r="512" spans="1:9" x14ac:dyDescent="0.25">
      <c r="A512"/>
      <c r="B512"/>
      <c r="C512"/>
      <c r="D512"/>
      <c r="E512"/>
      <c r="F512"/>
      <c r="G512"/>
      <c r="H512"/>
      <c r="I512"/>
    </row>
    <row r="513" spans="1:9" x14ac:dyDescent="0.25">
      <c r="A513"/>
      <c r="B513"/>
      <c r="C513"/>
      <c r="D513"/>
      <c r="E513"/>
      <c r="F513"/>
      <c r="G513"/>
      <c r="H513"/>
      <c r="I513"/>
    </row>
    <row r="514" spans="1:9" x14ac:dyDescent="0.25">
      <c r="A514"/>
      <c r="B514"/>
      <c r="C514"/>
      <c r="D514"/>
      <c r="E514"/>
      <c r="F514"/>
      <c r="G514"/>
      <c r="H514"/>
      <c r="I514"/>
    </row>
    <row r="515" spans="1:9" x14ac:dyDescent="0.25">
      <c r="A515"/>
      <c r="B515"/>
      <c r="C515"/>
      <c r="D515"/>
      <c r="E515"/>
      <c r="F515"/>
      <c r="G515"/>
      <c r="H515"/>
      <c r="I515"/>
    </row>
    <row r="516" spans="1:9" x14ac:dyDescent="0.25">
      <c r="A516"/>
      <c r="B516"/>
      <c r="C516"/>
      <c r="D516"/>
      <c r="E516"/>
      <c r="F516"/>
      <c r="G516"/>
      <c r="H516"/>
      <c r="I516"/>
    </row>
    <row r="517" spans="1:9" x14ac:dyDescent="0.25">
      <c r="A517"/>
      <c r="B517"/>
      <c r="C517"/>
      <c r="D517"/>
      <c r="E517"/>
      <c r="F517"/>
      <c r="G517"/>
      <c r="H517"/>
      <c r="I517"/>
    </row>
    <row r="518" spans="1:9" x14ac:dyDescent="0.25">
      <c r="A518"/>
      <c r="B518"/>
      <c r="C518"/>
      <c r="D518"/>
      <c r="E518"/>
      <c r="F518"/>
      <c r="G518"/>
      <c r="H518"/>
      <c r="I518"/>
    </row>
    <row r="519" spans="1:9" x14ac:dyDescent="0.25">
      <c r="A519"/>
      <c r="B519"/>
      <c r="C519"/>
      <c r="D519"/>
      <c r="E519"/>
      <c r="F519"/>
      <c r="G519"/>
      <c r="H519"/>
      <c r="I519"/>
    </row>
    <row r="520" spans="1:9" x14ac:dyDescent="0.25">
      <c r="A520"/>
      <c r="B520"/>
      <c r="C520"/>
      <c r="D520"/>
      <c r="E520"/>
      <c r="F520"/>
      <c r="G520"/>
      <c r="H520"/>
      <c r="I520"/>
    </row>
    <row r="521" spans="1:9" x14ac:dyDescent="0.25">
      <c r="A521"/>
      <c r="B521"/>
      <c r="C521"/>
      <c r="D521"/>
      <c r="E521"/>
      <c r="F521"/>
      <c r="G521"/>
      <c r="H521"/>
      <c r="I521"/>
    </row>
    <row r="522" spans="1:9" x14ac:dyDescent="0.25">
      <c r="A522"/>
      <c r="B522"/>
      <c r="C522"/>
      <c r="D522"/>
      <c r="E522"/>
      <c r="F522"/>
      <c r="G522"/>
      <c r="H522"/>
      <c r="I522"/>
    </row>
    <row r="523" spans="1:9" x14ac:dyDescent="0.25">
      <c r="A523"/>
      <c r="B523"/>
      <c r="C523"/>
      <c r="D523"/>
      <c r="E523"/>
      <c r="F523"/>
      <c r="G523"/>
      <c r="H523"/>
      <c r="I523"/>
    </row>
    <row r="524" spans="1:9" x14ac:dyDescent="0.25">
      <c r="A524"/>
      <c r="B524"/>
      <c r="C524"/>
      <c r="D524"/>
      <c r="E524"/>
      <c r="F524"/>
      <c r="G524"/>
      <c r="H524"/>
      <c r="I524"/>
    </row>
    <row r="525" spans="1:9" x14ac:dyDescent="0.25">
      <c r="A525"/>
      <c r="B525"/>
      <c r="C525"/>
      <c r="D525"/>
      <c r="E525"/>
      <c r="F525"/>
      <c r="G525"/>
      <c r="H525"/>
      <c r="I525"/>
    </row>
    <row r="526" spans="1:9" x14ac:dyDescent="0.25">
      <c r="A526"/>
      <c r="B526"/>
      <c r="C526"/>
      <c r="D526"/>
      <c r="E526"/>
      <c r="F526"/>
      <c r="G526"/>
      <c r="H526"/>
      <c r="I526"/>
    </row>
    <row r="527" spans="1:9" x14ac:dyDescent="0.25">
      <c r="A527"/>
      <c r="B527"/>
      <c r="C527"/>
      <c r="D527"/>
      <c r="E527"/>
      <c r="F527"/>
      <c r="G527"/>
      <c r="H527"/>
      <c r="I527"/>
    </row>
    <row r="528" spans="1:9" x14ac:dyDescent="0.25">
      <c r="A528"/>
      <c r="B528"/>
      <c r="C528"/>
      <c r="D528"/>
      <c r="E528"/>
      <c r="F528"/>
      <c r="G528"/>
      <c r="H528"/>
      <c r="I528"/>
    </row>
    <row r="529" spans="1:9" x14ac:dyDescent="0.25">
      <c r="A529"/>
      <c r="B529"/>
      <c r="C529"/>
      <c r="D529"/>
      <c r="E529"/>
      <c r="F529"/>
      <c r="G529"/>
      <c r="H529"/>
      <c r="I529"/>
    </row>
    <row r="530" spans="1:9" x14ac:dyDescent="0.25">
      <c r="A530"/>
      <c r="B530"/>
      <c r="C530"/>
      <c r="D530"/>
      <c r="E530"/>
      <c r="F530"/>
      <c r="G530"/>
      <c r="H530"/>
      <c r="I530"/>
    </row>
    <row r="531" spans="1:9" x14ac:dyDescent="0.25">
      <c r="A531"/>
      <c r="B531"/>
      <c r="C531"/>
      <c r="D531"/>
      <c r="E531"/>
      <c r="F531"/>
      <c r="G531"/>
      <c r="H531"/>
      <c r="I531"/>
    </row>
    <row r="532" spans="1:9" x14ac:dyDescent="0.25">
      <c r="A532"/>
      <c r="B532"/>
      <c r="C532"/>
      <c r="D532"/>
      <c r="E532"/>
      <c r="F532"/>
      <c r="G532"/>
      <c r="H532"/>
      <c r="I532"/>
    </row>
    <row r="533" spans="1:9" x14ac:dyDescent="0.25">
      <c r="A533"/>
      <c r="B533"/>
      <c r="C533"/>
      <c r="D533"/>
      <c r="E533"/>
      <c r="F533"/>
      <c r="G533"/>
      <c r="H533"/>
      <c r="I533"/>
    </row>
    <row r="534" spans="1:9" x14ac:dyDescent="0.25">
      <c r="A534"/>
      <c r="B534"/>
      <c r="C534"/>
      <c r="D534"/>
      <c r="E534"/>
      <c r="F534"/>
      <c r="G534"/>
      <c r="H534"/>
      <c r="I534"/>
    </row>
    <row r="535" spans="1:9" x14ac:dyDescent="0.25">
      <c r="A535"/>
      <c r="B535"/>
      <c r="C535"/>
      <c r="D535"/>
      <c r="E535"/>
      <c r="F535"/>
      <c r="G535"/>
      <c r="H535"/>
      <c r="I535"/>
    </row>
    <row r="536" spans="1:9" x14ac:dyDescent="0.25">
      <c r="A536"/>
      <c r="B536"/>
      <c r="C536"/>
      <c r="D536"/>
      <c r="E536"/>
      <c r="F536"/>
      <c r="G536"/>
      <c r="H536"/>
      <c r="I536"/>
    </row>
    <row r="537" spans="1:9" x14ac:dyDescent="0.25">
      <c r="A537"/>
      <c r="B537"/>
      <c r="C537"/>
      <c r="D537"/>
      <c r="E537"/>
      <c r="F537"/>
      <c r="G537"/>
      <c r="H537"/>
      <c r="I537"/>
    </row>
    <row r="538" spans="1:9" x14ac:dyDescent="0.25">
      <c r="A538"/>
      <c r="B538"/>
      <c r="C538"/>
      <c r="D538"/>
      <c r="E538"/>
      <c r="F538"/>
      <c r="G538"/>
      <c r="H538"/>
      <c r="I538"/>
    </row>
    <row r="539" spans="1:9" x14ac:dyDescent="0.25">
      <c r="A539"/>
      <c r="B539"/>
      <c r="C539"/>
      <c r="D539"/>
      <c r="E539"/>
      <c r="F539"/>
      <c r="G539"/>
      <c r="H539"/>
      <c r="I539"/>
    </row>
    <row r="540" spans="1:9" x14ac:dyDescent="0.25">
      <c r="A540"/>
      <c r="B540"/>
      <c r="C540"/>
      <c r="D540"/>
      <c r="E540"/>
      <c r="F540"/>
      <c r="G540"/>
      <c r="H540"/>
      <c r="I540"/>
    </row>
    <row r="541" spans="1:9" x14ac:dyDescent="0.25">
      <c r="A541"/>
      <c r="B541"/>
      <c r="C541"/>
      <c r="D541"/>
      <c r="E541"/>
      <c r="F541"/>
      <c r="G541"/>
      <c r="H541"/>
      <c r="I541"/>
    </row>
    <row r="542" spans="1:9" x14ac:dyDescent="0.25">
      <c r="A542"/>
      <c r="B542"/>
      <c r="C542"/>
      <c r="D542"/>
      <c r="E542"/>
      <c r="F542"/>
      <c r="G542"/>
      <c r="H542"/>
      <c r="I542"/>
    </row>
    <row r="543" spans="1:9" x14ac:dyDescent="0.25">
      <c r="A543"/>
      <c r="B543"/>
      <c r="C543"/>
      <c r="D543"/>
      <c r="E543"/>
      <c r="F543"/>
      <c r="G543"/>
      <c r="H543"/>
      <c r="I543"/>
    </row>
    <row r="544" spans="1:9" x14ac:dyDescent="0.25">
      <c r="A544"/>
      <c r="B544"/>
      <c r="C544"/>
      <c r="D544"/>
      <c r="E544"/>
      <c r="F544"/>
      <c r="G544"/>
      <c r="H544"/>
      <c r="I544"/>
    </row>
    <row r="545" spans="1:9" x14ac:dyDescent="0.25">
      <c r="A545"/>
      <c r="B545"/>
      <c r="C545"/>
      <c r="D545"/>
      <c r="E545"/>
      <c r="F545"/>
      <c r="G545"/>
      <c r="H545"/>
      <c r="I545"/>
    </row>
    <row r="546" spans="1:9" x14ac:dyDescent="0.25">
      <c r="A546"/>
      <c r="B546"/>
      <c r="C546"/>
      <c r="D546"/>
      <c r="E546"/>
      <c r="F546"/>
      <c r="G546"/>
      <c r="H546"/>
      <c r="I546"/>
    </row>
    <row r="547" spans="1:9" x14ac:dyDescent="0.25">
      <c r="A547"/>
      <c r="B547"/>
      <c r="C547"/>
      <c r="D547"/>
      <c r="E547"/>
      <c r="F547"/>
      <c r="G547"/>
      <c r="H547"/>
      <c r="I547"/>
    </row>
    <row r="548" spans="1:9" x14ac:dyDescent="0.25">
      <c r="A548"/>
      <c r="B548"/>
      <c r="C548"/>
      <c r="D548"/>
      <c r="E548"/>
      <c r="F548"/>
      <c r="G548"/>
      <c r="H548"/>
      <c r="I548"/>
    </row>
    <row r="549" spans="1:9" x14ac:dyDescent="0.25">
      <c r="A549"/>
      <c r="B549"/>
      <c r="C549"/>
      <c r="D549"/>
      <c r="E549"/>
      <c r="F549"/>
      <c r="G549"/>
      <c r="H549"/>
      <c r="I549"/>
    </row>
    <row r="550" spans="1:9" x14ac:dyDescent="0.25">
      <c r="A550"/>
      <c r="B550"/>
      <c r="C550"/>
      <c r="D550"/>
      <c r="E550"/>
      <c r="F550"/>
      <c r="G550"/>
      <c r="H550"/>
      <c r="I550"/>
    </row>
    <row r="551" spans="1:9" x14ac:dyDescent="0.25">
      <c r="A551"/>
      <c r="B551"/>
      <c r="C551"/>
      <c r="D551"/>
      <c r="E551"/>
      <c r="F551"/>
      <c r="G551"/>
      <c r="H551"/>
      <c r="I551"/>
    </row>
    <row r="552" spans="1:9" x14ac:dyDescent="0.25">
      <c r="A552"/>
      <c r="B552"/>
      <c r="C552"/>
      <c r="D552"/>
      <c r="E552"/>
      <c r="F552"/>
      <c r="G552"/>
      <c r="H552"/>
      <c r="I552"/>
    </row>
    <row r="553" spans="1:9" x14ac:dyDescent="0.25">
      <c r="A553"/>
      <c r="B553"/>
      <c r="C553"/>
      <c r="D553"/>
      <c r="E553"/>
      <c r="F553"/>
      <c r="G553"/>
      <c r="H553"/>
      <c r="I553"/>
    </row>
    <row r="554" spans="1:9" x14ac:dyDescent="0.25">
      <c r="A554"/>
      <c r="B554"/>
      <c r="C554"/>
      <c r="D554"/>
      <c r="E554"/>
      <c r="F554"/>
      <c r="G554"/>
      <c r="H554"/>
      <c r="I554"/>
    </row>
    <row r="555" spans="1:9" x14ac:dyDescent="0.25">
      <c r="A555"/>
      <c r="B555"/>
      <c r="C555"/>
      <c r="D555"/>
      <c r="E555"/>
      <c r="F555"/>
      <c r="G555"/>
      <c r="H555"/>
      <c r="I555"/>
    </row>
    <row r="556" spans="1:9" x14ac:dyDescent="0.25">
      <c r="A556"/>
      <c r="B556"/>
      <c r="C556"/>
      <c r="D556"/>
      <c r="E556"/>
      <c r="F556"/>
      <c r="G556"/>
      <c r="H556"/>
      <c r="I556"/>
    </row>
    <row r="557" spans="1:9" x14ac:dyDescent="0.25">
      <c r="A557"/>
      <c r="B557"/>
      <c r="C557"/>
      <c r="D557"/>
      <c r="E557"/>
      <c r="F557"/>
      <c r="G557"/>
      <c r="H557"/>
      <c r="I557"/>
    </row>
    <row r="558" spans="1:9" x14ac:dyDescent="0.25">
      <c r="A558"/>
      <c r="B558"/>
      <c r="C558"/>
      <c r="D558"/>
      <c r="E558"/>
      <c r="F558"/>
      <c r="G558"/>
      <c r="H558"/>
      <c r="I558"/>
    </row>
    <row r="559" spans="1:9" x14ac:dyDescent="0.25">
      <c r="A559"/>
      <c r="B559"/>
      <c r="C559"/>
      <c r="D559"/>
      <c r="E559"/>
      <c r="F559"/>
      <c r="G559"/>
      <c r="H559"/>
      <c r="I559"/>
    </row>
    <row r="560" spans="1:9" x14ac:dyDescent="0.25">
      <c r="A560"/>
      <c r="B560"/>
      <c r="C560"/>
      <c r="D560"/>
      <c r="E560"/>
      <c r="F560"/>
      <c r="G560"/>
      <c r="H560"/>
      <c r="I560"/>
    </row>
    <row r="561" spans="1:9" x14ac:dyDescent="0.25">
      <c r="A561"/>
      <c r="B561"/>
      <c r="C561"/>
      <c r="D561"/>
      <c r="E561"/>
      <c r="F561"/>
      <c r="G561"/>
      <c r="H561"/>
      <c r="I561"/>
    </row>
    <row r="562" spans="1:9" x14ac:dyDescent="0.25">
      <c r="A562"/>
      <c r="B562"/>
      <c r="C562"/>
      <c r="D562"/>
      <c r="E562"/>
      <c r="F562"/>
      <c r="G562"/>
      <c r="H562"/>
      <c r="I562"/>
    </row>
    <row r="563" spans="1:9" x14ac:dyDescent="0.25">
      <c r="A563"/>
      <c r="B563"/>
      <c r="C563"/>
      <c r="D563"/>
      <c r="E563"/>
      <c r="F563"/>
      <c r="G563"/>
      <c r="H563"/>
      <c r="I563"/>
    </row>
    <row r="564" spans="1:9" x14ac:dyDescent="0.25">
      <c r="A564"/>
      <c r="B564"/>
      <c r="C564"/>
      <c r="D564"/>
      <c r="E564"/>
      <c r="F564"/>
      <c r="G564"/>
      <c r="H564"/>
      <c r="I564"/>
    </row>
    <row r="565" spans="1:9" x14ac:dyDescent="0.25">
      <c r="A565"/>
      <c r="B565"/>
      <c r="C565"/>
      <c r="D565"/>
      <c r="E565"/>
      <c r="F565"/>
      <c r="G565"/>
      <c r="H565"/>
      <c r="I565"/>
    </row>
    <row r="566" spans="1:9" x14ac:dyDescent="0.25">
      <c r="A566"/>
      <c r="B566"/>
      <c r="C566"/>
      <c r="D566"/>
      <c r="E566"/>
      <c r="F566"/>
      <c r="G566"/>
      <c r="H566"/>
      <c r="I566"/>
    </row>
    <row r="567" spans="1:9" x14ac:dyDescent="0.25">
      <c r="A567"/>
      <c r="B567"/>
      <c r="C567"/>
      <c r="D567"/>
      <c r="E567"/>
      <c r="F567"/>
      <c r="G567"/>
      <c r="H567"/>
      <c r="I567"/>
    </row>
    <row r="568" spans="1:9" x14ac:dyDescent="0.25">
      <c r="A568"/>
      <c r="B568"/>
      <c r="C568"/>
      <c r="D568"/>
      <c r="E568"/>
      <c r="F568"/>
      <c r="G568"/>
      <c r="H568"/>
      <c r="I568"/>
    </row>
    <row r="569" spans="1:9" x14ac:dyDescent="0.25">
      <c r="A569"/>
      <c r="B569"/>
      <c r="C569"/>
      <c r="D569"/>
      <c r="E569"/>
      <c r="F569"/>
      <c r="G569"/>
      <c r="H569"/>
      <c r="I569"/>
    </row>
    <row r="570" spans="1:9" x14ac:dyDescent="0.25">
      <c r="A570"/>
      <c r="B570"/>
      <c r="C570"/>
      <c r="D570"/>
      <c r="E570"/>
      <c r="F570"/>
      <c r="G570"/>
      <c r="H570"/>
      <c r="I570"/>
    </row>
    <row r="571" spans="1:9" x14ac:dyDescent="0.25">
      <c r="A571"/>
      <c r="B571"/>
      <c r="C571"/>
      <c r="D571"/>
      <c r="E571"/>
      <c r="F571"/>
      <c r="G571"/>
      <c r="H571"/>
      <c r="I571"/>
    </row>
    <row r="572" spans="1:9" x14ac:dyDescent="0.25">
      <c r="A572"/>
      <c r="B572"/>
      <c r="C572"/>
      <c r="D572"/>
      <c r="E572"/>
      <c r="F572"/>
      <c r="G572"/>
      <c r="H572"/>
      <c r="I572"/>
    </row>
    <row r="573" spans="1:9" x14ac:dyDescent="0.25">
      <c r="A573"/>
      <c r="B573"/>
      <c r="C573"/>
      <c r="D573"/>
      <c r="E573"/>
      <c r="F573"/>
      <c r="G573"/>
      <c r="H573"/>
      <c r="I573"/>
    </row>
    <row r="574" spans="1:9" x14ac:dyDescent="0.25">
      <c r="A574"/>
      <c r="B574"/>
      <c r="C574"/>
      <c r="D574"/>
      <c r="E574"/>
      <c r="F574"/>
      <c r="G574"/>
      <c r="H574"/>
      <c r="I574"/>
    </row>
    <row r="575" spans="1:9" x14ac:dyDescent="0.25">
      <c r="A575"/>
      <c r="B575"/>
      <c r="C575"/>
      <c r="D575"/>
      <c r="E575"/>
      <c r="F575"/>
      <c r="G575"/>
      <c r="H575"/>
      <c r="I575"/>
    </row>
    <row r="576" spans="1:9" x14ac:dyDescent="0.25">
      <c r="A576"/>
      <c r="B576"/>
      <c r="C576"/>
      <c r="D576"/>
      <c r="E576"/>
      <c r="F576"/>
      <c r="G576"/>
      <c r="H576"/>
      <c r="I576"/>
    </row>
    <row r="577" spans="1:9" x14ac:dyDescent="0.25">
      <c r="A577"/>
      <c r="B577"/>
      <c r="C577"/>
      <c r="D577"/>
      <c r="E577"/>
      <c r="F577"/>
      <c r="G577"/>
      <c r="H577"/>
      <c r="I577"/>
    </row>
    <row r="578" spans="1:9" x14ac:dyDescent="0.25">
      <c r="A578"/>
      <c r="B578"/>
      <c r="C578"/>
      <c r="D578"/>
      <c r="E578"/>
      <c r="F578"/>
      <c r="G578"/>
      <c r="H578"/>
      <c r="I578"/>
    </row>
    <row r="579" spans="1:9" x14ac:dyDescent="0.25">
      <c r="A579"/>
      <c r="B579"/>
      <c r="C579"/>
      <c r="D579"/>
      <c r="E579"/>
      <c r="F579"/>
      <c r="G579"/>
      <c r="H579"/>
      <c r="I579"/>
    </row>
    <row r="580" spans="1:9" x14ac:dyDescent="0.25">
      <c r="A580"/>
      <c r="B580"/>
      <c r="C580"/>
      <c r="D580"/>
      <c r="E580"/>
      <c r="F580"/>
      <c r="G580"/>
      <c r="H580"/>
      <c r="I580"/>
    </row>
    <row r="581" spans="1:9" x14ac:dyDescent="0.25">
      <c r="A581"/>
      <c r="B581"/>
      <c r="C581"/>
      <c r="D581"/>
      <c r="E581"/>
      <c r="F581"/>
      <c r="G581"/>
      <c r="H581"/>
      <c r="I581"/>
    </row>
    <row r="582" spans="1:9" x14ac:dyDescent="0.25">
      <c r="A582"/>
      <c r="B582"/>
      <c r="C582"/>
      <c r="D582"/>
      <c r="E582"/>
      <c r="F582"/>
      <c r="G582"/>
      <c r="H582"/>
      <c r="I582"/>
    </row>
    <row r="583" spans="1:9" x14ac:dyDescent="0.25">
      <c r="A583"/>
      <c r="B583"/>
      <c r="C583"/>
      <c r="D583"/>
      <c r="E583"/>
      <c r="F583"/>
      <c r="G583"/>
      <c r="H583"/>
      <c r="I583"/>
    </row>
    <row r="584" spans="1:9" x14ac:dyDescent="0.25">
      <c r="A584"/>
      <c r="B584"/>
      <c r="C584"/>
      <c r="D584"/>
      <c r="E584"/>
      <c r="F584"/>
      <c r="G584"/>
      <c r="H584"/>
      <c r="I584"/>
    </row>
    <row r="585" spans="1:9" x14ac:dyDescent="0.25">
      <c r="A585"/>
      <c r="B585"/>
      <c r="C585"/>
      <c r="D585"/>
      <c r="E585"/>
      <c r="F585"/>
      <c r="G585"/>
      <c r="H585"/>
      <c r="I585"/>
    </row>
    <row r="586" spans="1:9" x14ac:dyDescent="0.25">
      <c r="A586"/>
      <c r="B586"/>
      <c r="C586"/>
      <c r="D586"/>
      <c r="E586"/>
      <c r="F586"/>
      <c r="G586"/>
      <c r="H586"/>
      <c r="I586"/>
    </row>
    <row r="587" spans="1:9" x14ac:dyDescent="0.25">
      <c r="A587"/>
      <c r="B587"/>
      <c r="C587"/>
      <c r="D587"/>
      <c r="E587"/>
      <c r="F587"/>
      <c r="G587"/>
      <c r="H587"/>
      <c r="I587"/>
    </row>
    <row r="588" spans="1:9" x14ac:dyDescent="0.25">
      <c r="A588"/>
      <c r="B588"/>
      <c r="C588"/>
      <c r="D588"/>
      <c r="E588"/>
      <c r="F588"/>
      <c r="G588"/>
      <c r="H588"/>
      <c r="I588"/>
    </row>
    <row r="589" spans="1:9" x14ac:dyDescent="0.25">
      <c r="A589"/>
      <c r="B589"/>
      <c r="C589"/>
      <c r="D589"/>
      <c r="E589"/>
      <c r="F589"/>
      <c r="G589"/>
      <c r="H589"/>
      <c r="I589"/>
    </row>
    <row r="590" spans="1:9" x14ac:dyDescent="0.25">
      <c r="A590"/>
      <c r="B590"/>
      <c r="C590"/>
      <c r="D590"/>
      <c r="E590"/>
      <c r="F590"/>
      <c r="G590"/>
      <c r="H590"/>
      <c r="I590"/>
    </row>
    <row r="591" spans="1:9" x14ac:dyDescent="0.25">
      <c r="A591"/>
      <c r="B591"/>
      <c r="C591"/>
      <c r="D591"/>
      <c r="E591"/>
      <c r="F591"/>
      <c r="G591"/>
      <c r="H591"/>
      <c r="I591"/>
    </row>
    <row r="592" spans="1:9" x14ac:dyDescent="0.25">
      <c r="A592"/>
      <c r="B592"/>
      <c r="C592"/>
      <c r="D592"/>
      <c r="E592"/>
      <c r="F592"/>
      <c r="G592"/>
      <c r="H592"/>
      <c r="I592"/>
    </row>
    <row r="593" spans="1:9" x14ac:dyDescent="0.25">
      <c r="A593"/>
      <c r="B593"/>
      <c r="C593"/>
      <c r="D593"/>
      <c r="E593"/>
      <c r="F593"/>
      <c r="G593"/>
      <c r="H593"/>
      <c r="I593"/>
    </row>
    <row r="594" spans="1:9" x14ac:dyDescent="0.25">
      <c r="A594"/>
      <c r="B594"/>
      <c r="C594"/>
      <c r="D594"/>
      <c r="E594"/>
      <c r="F594"/>
      <c r="G594"/>
      <c r="H594"/>
      <c r="I594"/>
    </row>
    <row r="595" spans="1:9" x14ac:dyDescent="0.25">
      <c r="A595"/>
      <c r="B595"/>
      <c r="C595"/>
      <c r="D595"/>
      <c r="E595"/>
      <c r="F595"/>
      <c r="G595"/>
      <c r="H595"/>
      <c r="I595"/>
    </row>
    <row r="596" spans="1:9" x14ac:dyDescent="0.25">
      <c r="A596"/>
      <c r="B596"/>
      <c r="C596"/>
      <c r="D596"/>
      <c r="E596"/>
      <c r="F596"/>
      <c r="G596"/>
      <c r="H596"/>
      <c r="I596"/>
    </row>
    <row r="597" spans="1:9" x14ac:dyDescent="0.25">
      <c r="A597"/>
      <c r="B597"/>
      <c r="C597"/>
      <c r="D597"/>
      <c r="E597"/>
      <c r="F597"/>
      <c r="G597"/>
      <c r="H597"/>
      <c r="I597"/>
    </row>
    <row r="598" spans="1:9" x14ac:dyDescent="0.25">
      <c r="A598"/>
      <c r="B598"/>
      <c r="C598"/>
      <c r="D598"/>
      <c r="E598"/>
      <c r="F598"/>
      <c r="G598"/>
      <c r="H598"/>
      <c r="I598"/>
    </row>
    <row r="599" spans="1:9" x14ac:dyDescent="0.25">
      <c r="A599"/>
      <c r="B599"/>
      <c r="C599"/>
      <c r="D599"/>
      <c r="E599"/>
      <c r="F599"/>
      <c r="G599"/>
      <c r="H599"/>
      <c r="I599"/>
    </row>
    <row r="600" spans="1:9" x14ac:dyDescent="0.25">
      <c r="A600"/>
      <c r="B600"/>
      <c r="C600"/>
      <c r="D600"/>
      <c r="E600"/>
      <c r="F600"/>
      <c r="G600"/>
      <c r="H600"/>
      <c r="I600"/>
    </row>
    <row r="601" spans="1:9" x14ac:dyDescent="0.25">
      <c r="A601"/>
      <c r="B601"/>
      <c r="C601"/>
      <c r="D601"/>
      <c r="E601"/>
      <c r="F601"/>
      <c r="G601"/>
      <c r="H601"/>
      <c r="I601"/>
    </row>
    <row r="602" spans="1:9" x14ac:dyDescent="0.25">
      <c r="A602"/>
      <c r="B602"/>
      <c r="C602"/>
      <c r="D602"/>
      <c r="E602"/>
      <c r="F602"/>
      <c r="G602"/>
      <c r="H602"/>
      <c r="I602"/>
    </row>
    <row r="603" spans="1:9" x14ac:dyDescent="0.25">
      <c r="A603"/>
      <c r="B603"/>
      <c r="C603"/>
      <c r="D603"/>
      <c r="E603"/>
      <c r="F603"/>
      <c r="G603"/>
      <c r="H603"/>
      <c r="I603"/>
    </row>
    <row r="604" spans="1:9" x14ac:dyDescent="0.25">
      <c r="A604"/>
      <c r="B604"/>
      <c r="C604"/>
      <c r="D604"/>
      <c r="E604"/>
      <c r="F604"/>
      <c r="G604"/>
      <c r="H604"/>
      <c r="I604"/>
    </row>
    <row r="605" spans="1:9" x14ac:dyDescent="0.25">
      <c r="A605"/>
      <c r="B605"/>
      <c r="C605"/>
      <c r="D605"/>
      <c r="E605"/>
      <c r="F605"/>
      <c r="G605"/>
      <c r="H605"/>
      <c r="I605"/>
    </row>
    <row r="606" spans="1:9" x14ac:dyDescent="0.25">
      <c r="A606"/>
      <c r="B606"/>
      <c r="C606"/>
      <c r="D606"/>
      <c r="E606"/>
      <c r="F606"/>
      <c r="G606"/>
      <c r="H606"/>
      <c r="I606"/>
    </row>
    <row r="607" spans="1:9" x14ac:dyDescent="0.25">
      <c r="A607"/>
      <c r="B607"/>
      <c r="C607"/>
      <c r="D607"/>
      <c r="E607"/>
      <c r="F607"/>
      <c r="G607"/>
      <c r="H607"/>
      <c r="I607"/>
    </row>
    <row r="608" spans="1:9" x14ac:dyDescent="0.25">
      <c r="A608"/>
      <c r="B608"/>
      <c r="C608"/>
      <c r="D608"/>
      <c r="E608"/>
      <c r="F608"/>
      <c r="G608"/>
      <c r="H608"/>
      <c r="I608"/>
    </row>
    <row r="609" spans="1:9" x14ac:dyDescent="0.25">
      <c r="A609"/>
      <c r="B609"/>
      <c r="C609"/>
      <c r="D609"/>
      <c r="E609"/>
      <c r="F609"/>
      <c r="G609"/>
      <c r="H609"/>
      <c r="I609"/>
    </row>
    <row r="610" spans="1:9" x14ac:dyDescent="0.25">
      <c r="A610"/>
      <c r="B610"/>
      <c r="C610"/>
      <c r="D610"/>
      <c r="E610"/>
      <c r="F610"/>
      <c r="G610"/>
      <c r="H610"/>
      <c r="I610"/>
    </row>
    <row r="611" spans="1:9" x14ac:dyDescent="0.25">
      <c r="A611"/>
      <c r="B611"/>
      <c r="C611"/>
      <c r="D611"/>
      <c r="E611"/>
      <c r="F611"/>
      <c r="G611"/>
      <c r="H611"/>
      <c r="I611"/>
    </row>
    <row r="612" spans="1:9" x14ac:dyDescent="0.25">
      <c r="A612"/>
      <c r="B612"/>
      <c r="C612"/>
      <c r="D612"/>
      <c r="E612"/>
      <c r="F612"/>
      <c r="G612"/>
      <c r="H612"/>
      <c r="I612"/>
    </row>
    <row r="613" spans="1:9" x14ac:dyDescent="0.25">
      <c r="A613"/>
      <c r="B613"/>
      <c r="C613"/>
      <c r="D613"/>
      <c r="E613"/>
      <c r="F613"/>
      <c r="G613"/>
      <c r="H613"/>
      <c r="I613"/>
    </row>
    <row r="614" spans="1:9" x14ac:dyDescent="0.25">
      <c r="A614"/>
      <c r="B614"/>
      <c r="C614"/>
      <c r="D614"/>
      <c r="E614"/>
      <c r="F614"/>
      <c r="G614"/>
      <c r="H614"/>
      <c r="I614"/>
    </row>
    <row r="615" spans="1:9" x14ac:dyDescent="0.25">
      <c r="A615"/>
      <c r="B615"/>
      <c r="C615"/>
      <c r="D615"/>
      <c r="E615"/>
      <c r="F615"/>
      <c r="G615"/>
      <c r="H615"/>
      <c r="I615"/>
    </row>
    <row r="616" spans="1:9" x14ac:dyDescent="0.25">
      <c r="A616"/>
      <c r="B616"/>
      <c r="C616"/>
      <c r="D616"/>
      <c r="E616"/>
      <c r="F616"/>
      <c r="G616"/>
      <c r="H616"/>
      <c r="I616"/>
    </row>
    <row r="617" spans="1:9" x14ac:dyDescent="0.25">
      <c r="A617"/>
      <c r="B617"/>
      <c r="C617"/>
      <c r="D617"/>
      <c r="E617"/>
      <c r="F617"/>
      <c r="G617"/>
      <c r="H617"/>
      <c r="I617"/>
    </row>
    <row r="618" spans="1:9" x14ac:dyDescent="0.25">
      <c r="A618"/>
      <c r="B618"/>
      <c r="C618"/>
      <c r="D618"/>
      <c r="E618"/>
      <c r="F618"/>
      <c r="G618"/>
      <c r="H618"/>
      <c r="I618"/>
    </row>
    <row r="619" spans="1:9" x14ac:dyDescent="0.25">
      <c r="A619"/>
      <c r="B619"/>
      <c r="C619"/>
      <c r="D619"/>
      <c r="E619"/>
      <c r="F619"/>
      <c r="G619"/>
      <c r="H619"/>
      <c r="I619"/>
    </row>
    <row r="620" spans="1:9" x14ac:dyDescent="0.25">
      <c r="A620"/>
      <c r="B620"/>
      <c r="C620"/>
      <c r="D620"/>
      <c r="E620"/>
      <c r="F620"/>
      <c r="G620"/>
      <c r="H620"/>
      <c r="I620"/>
    </row>
    <row r="621" spans="1:9" x14ac:dyDescent="0.25">
      <c r="A621"/>
      <c r="B621"/>
      <c r="C621"/>
      <c r="D621"/>
      <c r="E621"/>
      <c r="F621"/>
      <c r="G621"/>
      <c r="H621"/>
      <c r="I621"/>
    </row>
    <row r="622" spans="1:9" x14ac:dyDescent="0.25">
      <c r="A622"/>
      <c r="B622"/>
      <c r="C622"/>
      <c r="D622"/>
      <c r="E622"/>
      <c r="F622"/>
      <c r="G622"/>
      <c r="H622"/>
      <c r="I622"/>
    </row>
    <row r="623" spans="1:9" x14ac:dyDescent="0.25">
      <c r="A623"/>
      <c r="B623"/>
      <c r="C623"/>
      <c r="D623"/>
      <c r="E623"/>
      <c r="F623"/>
      <c r="G623"/>
      <c r="H623"/>
      <c r="I623"/>
    </row>
    <row r="624" spans="1:9" x14ac:dyDescent="0.25">
      <c r="A624"/>
      <c r="B624"/>
      <c r="C624"/>
      <c r="D624"/>
      <c r="E624"/>
      <c r="F624"/>
      <c r="G624"/>
      <c r="H624"/>
      <c r="I624"/>
    </row>
    <row r="625" spans="1:9" x14ac:dyDescent="0.25">
      <c r="A625"/>
      <c r="B625"/>
      <c r="C625"/>
      <c r="D625"/>
      <c r="E625"/>
      <c r="F625"/>
      <c r="G625"/>
      <c r="H625"/>
      <c r="I625"/>
    </row>
    <row r="626" spans="1:9" x14ac:dyDescent="0.25">
      <c r="A626"/>
      <c r="B626"/>
      <c r="C626"/>
      <c r="D626"/>
      <c r="E626"/>
      <c r="F626"/>
      <c r="G626"/>
      <c r="H626"/>
      <c r="I626"/>
    </row>
    <row r="627" spans="1:9" x14ac:dyDescent="0.25">
      <c r="A627"/>
      <c r="B627"/>
      <c r="C627"/>
      <c r="D627"/>
      <c r="E627"/>
      <c r="F627"/>
      <c r="G627"/>
      <c r="H627"/>
      <c r="I627"/>
    </row>
    <row r="628" spans="1:9" x14ac:dyDescent="0.25">
      <c r="A628"/>
      <c r="B628"/>
      <c r="C628"/>
      <c r="D628"/>
      <c r="E628"/>
      <c r="F628"/>
      <c r="G628"/>
      <c r="H628"/>
      <c r="I628"/>
    </row>
    <row r="629" spans="1:9" x14ac:dyDescent="0.25">
      <c r="A629"/>
      <c r="B629"/>
      <c r="C629"/>
      <c r="D629"/>
      <c r="E629"/>
      <c r="F629"/>
      <c r="G629"/>
      <c r="H629"/>
      <c r="I629"/>
    </row>
    <row r="630" spans="1:9" x14ac:dyDescent="0.25">
      <c r="A630"/>
      <c r="B630"/>
      <c r="C630"/>
      <c r="D630"/>
      <c r="E630"/>
      <c r="F630"/>
      <c r="G630"/>
      <c r="H630"/>
      <c r="I630"/>
    </row>
    <row r="631" spans="1:9" x14ac:dyDescent="0.25">
      <c r="A631"/>
      <c r="B631"/>
      <c r="C631"/>
      <c r="D631"/>
      <c r="E631"/>
      <c r="F631"/>
      <c r="G631"/>
      <c r="H631"/>
      <c r="I631"/>
    </row>
    <row r="632" spans="1:9" x14ac:dyDescent="0.25">
      <c r="A632"/>
      <c r="B632"/>
      <c r="C632"/>
      <c r="D632"/>
      <c r="E632"/>
      <c r="F632"/>
      <c r="G632"/>
      <c r="H632"/>
      <c r="I632"/>
    </row>
    <row r="633" spans="1:9" x14ac:dyDescent="0.25">
      <c r="A633"/>
      <c r="B633"/>
      <c r="C633"/>
      <c r="D633"/>
      <c r="E633"/>
      <c r="F633"/>
      <c r="G633"/>
      <c r="H633"/>
      <c r="I633"/>
    </row>
    <row r="634" spans="1:9" x14ac:dyDescent="0.25">
      <c r="A634"/>
      <c r="B634"/>
      <c r="C634"/>
      <c r="D634"/>
      <c r="E634"/>
      <c r="F634"/>
      <c r="G634"/>
      <c r="H634"/>
      <c r="I634"/>
    </row>
    <row r="635" spans="1:9" x14ac:dyDescent="0.25">
      <c r="A635"/>
      <c r="B635"/>
      <c r="C635"/>
      <c r="D635"/>
      <c r="E635"/>
      <c r="F635"/>
      <c r="G635"/>
      <c r="H635"/>
      <c r="I635"/>
    </row>
    <row r="636" spans="1:9" x14ac:dyDescent="0.25">
      <c r="A636"/>
      <c r="B636"/>
      <c r="C636"/>
      <c r="D636"/>
      <c r="E636"/>
      <c r="F636"/>
      <c r="G636"/>
      <c r="H636"/>
      <c r="I636"/>
    </row>
    <row r="637" spans="1:9" x14ac:dyDescent="0.25">
      <c r="A637"/>
      <c r="B637"/>
      <c r="C637"/>
      <c r="D637"/>
      <c r="E637"/>
      <c r="F637"/>
      <c r="G637"/>
      <c r="H637"/>
      <c r="I637"/>
    </row>
    <row r="638" spans="1:9" x14ac:dyDescent="0.25">
      <c r="A638"/>
      <c r="B638"/>
      <c r="C638"/>
      <c r="D638"/>
      <c r="E638"/>
      <c r="F638"/>
      <c r="G638"/>
      <c r="H638"/>
      <c r="I638"/>
    </row>
    <row r="639" spans="1:9" x14ac:dyDescent="0.25">
      <c r="A639"/>
      <c r="B639"/>
      <c r="C639"/>
      <c r="D639"/>
      <c r="E639"/>
      <c r="F639"/>
      <c r="G639"/>
      <c r="H639"/>
      <c r="I639"/>
    </row>
    <row r="640" spans="1:9" x14ac:dyDescent="0.25">
      <c r="A640"/>
      <c r="B640"/>
      <c r="C640"/>
      <c r="D640"/>
      <c r="E640"/>
      <c r="F640"/>
      <c r="G640"/>
      <c r="H640"/>
      <c r="I640"/>
    </row>
    <row r="641" spans="1:9" x14ac:dyDescent="0.25">
      <c r="A641"/>
      <c r="B641"/>
      <c r="C641"/>
      <c r="D641"/>
      <c r="E641"/>
      <c r="F641"/>
      <c r="G641"/>
      <c r="H641"/>
      <c r="I641"/>
    </row>
    <row r="642" spans="1:9" x14ac:dyDescent="0.25">
      <c r="A642"/>
      <c r="B642"/>
      <c r="C642"/>
      <c r="D642"/>
      <c r="E642"/>
      <c r="F642"/>
      <c r="G642"/>
      <c r="H642"/>
      <c r="I642"/>
    </row>
    <row r="643" spans="1:9" x14ac:dyDescent="0.25">
      <c r="A643"/>
      <c r="B643"/>
      <c r="C643"/>
      <c r="D643"/>
      <c r="E643"/>
      <c r="F643"/>
      <c r="G643"/>
      <c r="H643"/>
      <c r="I643"/>
    </row>
    <row r="644" spans="1:9" x14ac:dyDescent="0.25">
      <c r="A644"/>
      <c r="B644"/>
      <c r="C644"/>
      <c r="D644"/>
      <c r="E644"/>
      <c r="F644"/>
      <c r="G644"/>
      <c r="H644"/>
      <c r="I644"/>
    </row>
    <row r="645" spans="1:9" x14ac:dyDescent="0.25">
      <c r="A645"/>
      <c r="B645"/>
      <c r="C645"/>
      <c r="D645"/>
      <c r="E645"/>
      <c r="F645"/>
      <c r="G645"/>
      <c r="H645"/>
      <c r="I645"/>
    </row>
    <row r="646" spans="1:9" x14ac:dyDescent="0.25">
      <c r="A646"/>
      <c r="B646"/>
      <c r="C646"/>
      <c r="D646"/>
      <c r="E646"/>
      <c r="F646"/>
      <c r="G646"/>
      <c r="H646"/>
      <c r="I646"/>
    </row>
    <row r="647" spans="1:9" x14ac:dyDescent="0.25">
      <c r="A647"/>
      <c r="B647"/>
      <c r="C647"/>
      <c r="D647"/>
      <c r="E647"/>
      <c r="F647"/>
      <c r="G647"/>
      <c r="H647"/>
      <c r="I647"/>
    </row>
    <row r="648" spans="1:9" x14ac:dyDescent="0.25">
      <c r="A648"/>
      <c r="B648"/>
      <c r="C648"/>
      <c r="D648"/>
      <c r="E648"/>
      <c r="F648"/>
      <c r="G648"/>
      <c r="H648"/>
      <c r="I648"/>
    </row>
    <row r="649" spans="1:9" x14ac:dyDescent="0.25">
      <c r="A649"/>
      <c r="B649"/>
      <c r="C649"/>
      <c r="D649"/>
      <c r="E649"/>
      <c r="F649"/>
      <c r="G649"/>
      <c r="H649"/>
      <c r="I649"/>
    </row>
    <row r="650" spans="1:9" x14ac:dyDescent="0.25">
      <c r="A650"/>
      <c r="B650"/>
      <c r="C650"/>
      <c r="D650"/>
      <c r="E650"/>
      <c r="F650"/>
      <c r="G650"/>
      <c r="H650"/>
      <c r="I650"/>
    </row>
    <row r="651" spans="1:9" x14ac:dyDescent="0.25">
      <c r="A651"/>
      <c r="B651"/>
      <c r="C651"/>
      <c r="D651"/>
      <c r="E651"/>
      <c r="F651"/>
      <c r="G651"/>
      <c r="H651"/>
      <c r="I651"/>
    </row>
    <row r="652" spans="1:9" x14ac:dyDescent="0.25">
      <c r="A652"/>
      <c r="B652"/>
      <c r="C652"/>
      <c r="D652"/>
      <c r="E652"/>
      <c r="F652"/>
      <c r="G652"/>
      <c r="H652"/>
      <c r="I652"/>
    </row>
    <row r="653" spans="1:9" x14ac:dyDescent="0.25">
      <c r="A653"/>
      <c r="B653"/>
      <c r="C653"/>
      <c r="D653"/>
      <c r="E653"/>
      <c r="F653"/>
      <c r="G653"/>
      <c r="H653"/>
      <c r="I653"/>
    </row>
    <row r="654" spans="1:9" x14ac:dyDescent="0.25">
      <c r="A654"/>
      <c r="B654"/>
      <c r="C654"/>
      <c r="D654"/>
      <c r="E654"/>
      <c r="F654"/>
      <c r="G654"/>
      <c r="H654"/>
      <c r="I654"/>
    </row>
    <row r="655" spans="1:9" x14ac:dyDescent="0.25">
      <c r="A655"/>
      <c r="B655"/>
      <c r="C655"/>
      <c r="D655"/>
      <c r="E655"/>
      <c r="F655"/>
      <c r="G655"/>
      <c r="H655"/>
      <c r="I655"/>
    </row>
    <row r="656" spans="1:9" x14ac:dyDescent="0.25">
      <c r="A656"/>
      <c r="B656"/>
      <c r="C656"/>
      <c r="D656"/>
      <c r="E656"/>
      <c r="F656"/>
      <c r="G656"/>
      <c r="H656"/>
      <c r="I656"/>
    </row>
    <row r="657" spans="1:9" x14ac:dyDescent="0.25">
      <c r="A657"/>
      <c r="B657"/>
      <c r="C657"/>
      <c r="D657"/>
      <c r="E657"/>
      <c r="F657"/>
      <c r="G657"/>
      <c r="H657"/>
      <c r="I657"/>
    </row>
    <row r="658" spans="1:9" x14ac:dyDescent="0.25">
      <c r="A658"/>
      <c r="B658"/>
      <c r="C658"/>
      <c r="D658"/>
      <c r="E658"/>
      <c r="F658"/>
      <c r="G658"/>
      <c r="H658"/>
      <c r="I658"/>
    </row>
    <row r="659" spans="1:9" x14ac:dyDescent="0.25">
      <c r="A659"/>
      <c r="B659"/>
      <c r="C659"/>
      <c r="D659"/>
      <c r="E659"/>
      <c r="F659"/>
      <c r="G659"/>
      <c r="H659"/>
      <c r="I659"/>
    </row>
    <row r="660" spans="1:9" x14ac:dyDescent="0.25">
      <c r="A660"/>
      <c r="B660"/>
      <c r="C660"/>
      <c r="D660"/>
      <c r="E660"/>
      <c r="F660"/>
      <c r="G660"/>
      <c r="H660"/>
      <c r="I660"/>
    </row>
    <row r="661" spans="1:9" x14ac:dyDescent="0.25">
      <c r="A661"/>
      <c r="B661"/>
      <c r="C661"/>
      <c r="D661"/>
      <c r="E661"/>
      <c r="F661"/>
      <c r="G661"/>
      <c r="H661"/>
      <c r="I661"/>
    </row>
    <row r="662" spans="1:9" x14ac:dyDescent="0.25">
      <c r="A662"/>
      <c r="B662"/>
      <c r="C662"/>
      <c r="D662"/>
      <c r="E662"/>
      <c r="F662"/>
      <c r="G662"/>
      <c r="H662"/>
      <c r="I662"/>
    </row>
    <row r="663" spans="1:9" x14ac:dyDescent="0.25">
      <c r="A663"/>
      <c r="B663"/>
      <c r="C663"/>
      <c r="D663"/>
      <c r="E663"/>
      <c r="F663"/>
      <c r="G663"/>
      <c r="H663"/>
      <c r="I663"/>
    </row>
    <row r="664" spans="1:9" x14ac:dyDescent="0.25">
      <c r="A664"/>
      <c r="B664"/>
      <c r="C664"/>
      <c r="D664"/>
      <c r="E664"/>
      <c r="F664"/>
      <c r="G664"/>
      <c r="H664"/>
      <c r="I664"/>
    </row>
    <row r="665" spans="1:9" x14ac:dyDescent="0.25">
      <c r="A665"/>
      <c r="B665"/>
      <c r="C665"/>
      <c r="D665"/>
      <c r="E665"/>
      <c r="F665"/>
      <c r="G665"/>
      <c r="H665"/>
      <c r="I665"/>
    </row>
    <row r="666" spans="1:9" x14ac:dyDescent="0.25">
      <c r="A666"/>
      <c r="B666"/>
      <c r="C666"/>
      <c r="D666"/>
      <c r="E666"/>
      <c r="F666"/>
      <c r="G666"/>
      <c r="H666"/>
      <c r="I666"/>
    </row>
    <row r="667" spans="1:9" x14ac:dyDescent="0.25">
      <c r="A667"/>
      <c r="B667"/>
      <c r="C667"/>
      <c r="D667"/>
      <c r="E667"/>
      <c r="F667"/>
      <c r="G667"/>
      <c r="H667"/>
      <c r="I667"/>
    </row>
    <row r="668" spans="1:9" x14ac:dyDescent="0.25">
      <c r="A668"/>
      <c r="B668"/>
      <c r="C668"/>
      <c r="D668"/>
      <c r="E668"/>
      <c r="F668"/>
      <c r="G668"/>
      <c r="H668"/>
      <c r="I668"/>
    </row>
    <row r="669" spans="1:9" x14ac:dyDescent="0.25">
      <c r="A669"/>
      <c r="B669"/>
      <c r="C669"/>
      <c r="D669"/>
      <c r="E669"/>
      <c r="F669"/>
      <c r="G669"/>
      <c r="H669"/>
      <c r="I669"/>
    </row>
    <row r="670" spans="1:9" x14ac:dyDescent="0.25">
      <c r="A670"/>
      <c r="B670"/>
      <c r="C670"/>
      <c r="D670"/>
      <c r="E670"/>
      <c r="F670"/>
      <c r="G670"/>
      <c r="H670"/>
      <c r="I670"/>
    </row>
    <row r="671" spans="1:9" x14ac:dyDescent="0.25">
      <c r="A671"/>
      <c r="B671"/>
      <c r="C671"/>
      <c r="D671"/>
      <c r="E671"/>
      <c r="F671"/>
      <c r="G671"/>
      <c r="H671"/>
      <c r="I671"/>
    </row>
    <row r="672" spans="1:9" x14ac:dyDescent="0.25">
      <c r="A672"/>
      <c r="B672"/>
      <c r="C672"/>
      <c r="D672"/>
      <c r="E672"/>
      <c r="F672"/>
      <c r="G672"/>
      <c r="H672"/>
      <c r="I672"/>
    </row>
    <row r="673" spans="1:9" x14ac:dyDescent="0.25">
      <c r="A673"/>
      <c r="B673"/>
      <c r="C673"/>
      <c r="D673"/>
      <c r="E673"/>
      <c r="F673"/>
      <c r="G673"/>
      <c r="H673"/>
      <c r="I673"/>
    </row>
    <row r="674" spans="1:9" x14ac:dyDescent="0.25">
      <c r="A674"/>
      <c r="B674"/>
      <c r="C674"/>
      <c r="D674"/>
      <c r="E674"/>
      <c r="F674"/>
      <c r="G674"/>
      <c r="H674"/>
      <c r="I674"/>
    </row>
    <row r="675" spans="1:9" x14ac:dyDescent="0.25">
      <c r="A675"/>
      <c r="B675"/>
      <c r="C675"/>
      <c r="D675"/>
      <c r="E675"/>
      <c r="F675"/>
      <c r="G675"/>
      <c r="H675"/>
      <c r="I675"/>
    </row>
    <row r="676" spans="1:9" x14ac:dyDescent="0.25">
      <c r="A676"/>
      <c r="B676"/>
      <c r="C676"/>
      <c r="D676"/>
      <c r="E676"/>
      <c r="F676"/>
      <c r="G676"/>
      <c r="H676"/>
      <c r="I676"/>
    </row>
    <row r="677" spans="1:9" x14ac:dyDescent="0.25">
      <c r="A677"/>
      <c r="B677"/>
      <c r="C677"/>
      <c r="D677"/>
      <c r="E677"/>
      <c r="F677"/>
      <c r="G677"/>
      <c r="H677"/>
      <c r="I677"/>
    </row>
    <row r="678" spans="1:9" x14ac:dyDescent="0.25">
      <c r="A678"/>
      <c r="B678"/>
      <c r="C678"/>
      <c r="D678"/>
      <c r="E678"/>
      <c r="F678"/>
      <c r="G678"/>
      <c r="H678"/>
      <c r="I678"/>
    </row>
    <row r="679" spans="1:9" x14ac:dyDescent="0.25">
      <c r="A679"/>
      <c r="B679"/>
      <c r="C679"/>
      <c r="D679"/>
      <c r="E679"/>
      <c r="F679"/>
      <c r="G679"/>
      <c r="H679"/>
      <c r="I679"/>
    </row>
    <row r="680" spans="1:9" x14ac:dyDescent="0.25">
      <c r="A680"/>
      <c r="B680"/>
      <c r="C680"/>
      <c r="D680"/>
      <c r="E680"/>
      <c r="F680"/>
      <c r="G680"/>
      <c r="H680"/>
      <c r="I680"/>
    </row>
    <row r="681" spans="1:9" x14ac:dyDescent="0.25">
      <c r="A681"/>
      <c r="B681"/>
      <c r="C681"/>
      <c r="D681"/>
      <c r="E681"/>
      <c r="F681"/>
      <c r="G681"/>
      <c r="H681"/>
      <c r="I681"/>
    </row>
    <row r="682" spans="1:9" x14ac:dyDescent="0.25">
      <c r="A682"/>
      <c r="B682"/>
      <c r="C682"/>
      <c r="D682"/>
      <c r="E682"/>
      <c r="F682"/>
      <c r="G682"/>
      <c r="H682"/>
      <c r="I682"/>
    </row>
    <row r="683" spans="1:9" x14ac:dyDescent="0.25">
      <c r="A683"/>
      <c r="B683"/>
      <c r="C683"/>
      <c r="D683"/>
      <c r="E683"/>
      <c r="F683"/>
      <c r="G683"/>
      <c r="H683"/>
      <c r="I683"/>
    </row>
    <row r="684" spans="1:9" x14ac:dyDescent="0.25">
      <c r="A684"/>
      <c r="B684"/>
      <c r="C684"/>
      <c r="D684"/>
      <c r="E684"/>
      <c r="F684"/>
      <c r="G684"/>
      <c r="H684"/>
      <c r="I684"/>
    </row>
    <row r="685" spans="1:9" x14ac:dyDescent="0.25">
      <c r="A685"/>
      <c r="B685"/>
      <c r="C685"/>
      <c r="D685"/>
      <c r="E685"/>
      <c r="F685"/>
      <c r="G685"/>
      <c r="H685"/>
      <c r="I685"/>
    </row>
    <row r="686" spans="1:9" x14ac:dyDescent="0.25">
      <c r="A686"/>
      <c r="B686"/>
      <c r="C686"/>
      <c r="D686"/>
      <c r="E686"/>
      <c r="F686"/>
      <c r="G686"/>
      <c r="H686"/>
      <c r="I686"/>
    </row>
    <row r="687" spans="1:9" x14ac:dyDescent="0.25">
      <c r="A687"/>
      <c r="B687"/>
      <c r="C687"/>
      <c r="D687"/>
      <c r="E687"/>
      <c r="F687"/>
      <c r="G687"/>
      <c r="H687"/>
      <c r="I687"/>
    </row>
    <row r="688" spans="1:9" x14ac:dyDescent="0.25">
      <c r="A688"/>
      <c r="B688"/>
      <c r="C688"/>
      <c r="D688"/>
      <c r="E688"/>
      <c r="F688"/>
      <c r="G688"/>
      <c r="H688"/>
      <c r="I688"/>
    </row>
    <row r="689" spans="1:9" x14ac:dyDescent="0.25">
      <c r="A689"/>
      <c r="B689"/>
      <c r="C689"/>
      <c r="D689"/>
      <c r="E689"/>
      <c r="F689"/>
      <c r="G689"/>
      <c r="H689"/>
      <c r="I689"/>
    </row>
    <row r="690" spans="1:9" x14ac:dyDescent="0.25">
      <c r="A690"/>
      <c r="B690"/>
      <c r="C690"/>
      <c r="D690"/>
      <c r="E690"/>
      <c r="F690"/>
      <c r="G690"/>
      <c r="H690"/>
      <c r="I690"/>
    </row>
    <row r="691" spans="1:9" x14ac:dyDescent="0.25">
      <c r="A691"/>
      <c r="B691"/>
      <c r="C691"/>
      <c r="D691"/>
      <c r="E691"/>
      <c r="F691"/>
      <c r="G691"/>
      <c r="H691"/>
      <c r="I691"/>
    </row>
    <row r="692" spans="1:9" x14ac:dyDescent="0.25">
      <c r="A692"/>
      <c r="B692"/>
      <c r="C692"/>
      <c r="D692"/>
      <c r="E692"/>
      <c r="F692"/>
      <c r="G692"/>
      <c r="H692"/>
      <c r="I692"/>
    </row>
    <row r="693" spans="1:9" x14ac:dyDescent="0.25">
      <c r="A693"/>
      <c r="B693"/>
      <c r="C693"/>
      <c r="D693"/>
      <c r="E693"/>
      <c r="F693"/>
      <c r="G693"/>
      <c r="H693"/>
      <c r="I693"/>
    </row>
    <row r="694" spans="1:9" x14ac:dyDescent="0.25">
      <c r="A694"/>
      <c r="B694"/>
      <c r="C694"/>
      <c r="D694"/>
      <c r="E694"/>
      <c r="F694"/>
      <c r="G694"/>
      <c r="H694"/>
      <c r="I694"/>
    </row>
    <row r="695" spans="1:9" x14ac:dyDescent="0.25">
      <c r="A695"/>
      <c r="B695"/>
      <c r="C695"/>
      <c r="D695"/>
      <c r="E695"/>
      <c r="F695"/>
      <c r="G695"/>
      <c r="H695"/>
      <c r="I695"/>
    </row>
    <row r="696" spans="1:9" x14ac:dyDescent="0.25">
      <c r="A696"/>
      <c r="B696"/>
      <c r="C696"/>
      <c r="D696"/>
      <c r="E696"/>
      <c r="F696"/>
      <c r="G696"/>
      <c r="H696"/>
      <c r="I696"/>
    </row>
    <row r="697" spans="1:9" x14ac:dyDescent="0.25">
      <c r="A697"/>
      <c r="B697"/>
      <c r="C697"/>
      <c r="D697"/>
      <c r="E697"/>
      <c r="F697"/>
      <c r="G697"/>
      <c r="H697"/>
      <c r="I697"/>
    </row>
    <row r="698" spans="1:9" x14ac:dyDescent="0.25">
      <c r="A698"/>
      <c r="B698"/>
      <c r="C698"/>
      <c r="D698"/>
      <c r="E698"/>
      <c r="F698"/>
      <c r="G698"/>
      <c r="H698"/>
      <c r="I698"/>
    </row>
    <row r="699" spans="1:9" x14ac:dyDescent="0.25">
      <c r="A699"/>
      <c r="B699"/>
      <c r="C699"/>
      <c r="D699"/>
      <c r="E699"/>
      <c r="F699"/>
      <c r="G699"/>
      <c r="H699"/>
      <c r="I699"/>
    </row>
    <row r="700" spans="1:9" x14ac:dyDescent="0.25">
      <c r="A700"/>
      <c r="B700"/>
      <c r="C700"/>
      <c r="D700"/>
      <c r="E700"/>
      <c r="F700"/>
      <c r="G700"/>
      <c r="H700"/>
      <c r="I700"/>
    </row>
    <row r="701" spans="1:9" x14ac:dyDescent="0.25">
      <c r="A701"/>
      <c r="B701"/>
      <c r="C701"/>
      <c r="D701"/>
      <c r="E701"/>
      <c r="F701"/>
      <c r="G701"/>
      <c r="H701"/>
      <c r="I701"/>
    </row>
    <row r="702" spans="1:9" x14ac:dyDescent="0.25">
      <c r="A702"/>
      <c r="B702"/>
      <c r="C702"/>
      <c r="D702"/>
      <c r="E702"/>
      <c r="F702"/>
      <c r="G702"/>
      <c r="H702"/>
      <c r="I702"/>
    </row>
    <row r="703" spans="1:9" x14ac:dyDescent="0.25">
      <c r="A703"/>
      <c r="B703"/>
      <c r="C703"/>
      <c r="D703"/>
      <c r="E703"/>
      <c r="F703"/>
      <c r="G703"/>
      <c r="H703"/>
      <c r="I703"/>
    </row>
    <row r="704" spans="1:9" x14ac:dyDescent="0.25">
      <c r="A704"/>
      <c r="B704"/>
      <c r="C704"/>
      <c r="D704"/>
      <c r="E704"/>
      <c r="F704"/>
      <c r="G704"/>
      <c r="H704"/>
      <c r="I704"/>
    </row>
    <row r="705" spans="1:9" x14ac:dyDescent="0.25">
      <c r="A705"/>
      <c r="B705"/>
      <c r="C705"/>
      <c r="D705"/>
      <c r="E705"/>
      <c r="F705"/>
      <c r="G705"/>
      <c r="H705"/>
      <c r="I705"/>
    </row>
    <row r="706" spans="1:9" x14ac:dyDescent="0.25">
      <c r="A706"/>
      <c r="B706"/>
      <c r="C706"/>
      <c r="D706"/>
      <c r="E706"/>
      <c r="F706"/>
      <c r="G706"/>
      <c r="H706"/>
      <c r="I706"/>
    </row>
    <row r="707" spans="1:9" x14ac:dyDescent="0.25">
      <c r="A707"/>
      <c r="B707"/>
      <c r="C707"/>
      <c r="D707"/>
      <c r="E707"/>
      <c r="F707"/>
      <c r="G707"/>
      <c r="H707"/>
      <c r="I707"/>
    </row>
    <row r="708" spans="1:9" x14ac:dyDescent="0.25">
      <c r="A708"/>
      <c r="B708"/>
      <c r="C708"/>
      <c r="D708"/>
      <c r="E708"/>
      <c r="F708"/>
      <c r="G708"/>
      <c r="H708"/>
      <c r="I708"/>
    </row>
    <row r="709" spans="1:9" x14ac:dyDescent="0.25">
      <c r="A709"/>
      <c r="B709"/>
      <c r="C709"/>
      <c r="D709"/>
      <c r="E709"/>
      <c r="F709"/>
      <c r="G709"/>
      <c r="H709"/>
      <c r="I709"/>
    </row>
    <row r="710" spans="1:9" x14ac:dyDescent="0.25">
      <c r="A710"/>
      <c r="B710"/>
      <c r="C710"/>
      <c r="D710"/>
      <c r="E710"/>
      <c r="F710"/>
      <c r="G710"/>
      <c r="H710"/>
      <c r="I710"/>
    </row>
    <row r="711" spans="1:9" x14ac:dyDescent="0.25">
      <c r="A711"/>
      <c r="B711"/>
      <c r="C711"/>
      <c r="D711"/>
      <c r="E711"/>
      <c r="F711"/>
      <c r="G711"/>
      <c r="H711"/>
      <c r="I711"/>
    </row>
    <row r="712" spans="1:9" x14ac:dyDescent="0.25">
      <c r="A712"/>
      <c r="B712"/>
      <c r="C712"/>
      <c r="D712"/>
      <c r="E712"/>
      <c r="F712"/>
      <c r="G712"/>
      <c r="H712"/>
      <c r="I712"/>
    </row>
    <row r="713" spans="1:9" x14ac:dyDescent="0.25">
      <c r="A713"/>
      <c r="B713"/>
      <c r="C713"/>
      <c r="D713"/>
      <c r="E713"/>
      <c r="F713"/>
      <c r="G713"/>
      <c r="H713"/>
      <c r="I713"/>
    </row>
    <row r="714" spans="1:9" x14ac:dyDescent="0.25">
      <c r="A714"/>
      <c r="B714"/>
      <c r="C714"/>
      <c r="D714"/>
      <c r="E714"/>
      <c r="F714"/>
      <c r="G714"/>
      <c r="H714"/>
      <c r="I714"/>
    </row>
    <row r="715" spans="1:9" x14ac:dyDescent="0.25">
      <c r="A715"/>
      <c r="B715"/>
      <c r="C715"/>
      <c r="D715"/>
      <c r="E715"/>
      <c r="F715"/>
      <c r="G715"/>
      <c r="H715"/>
      <c r="I715"/>
    </row>
    <row r="716" spans="1:9" x14ac:dyDescent="0.25">
      <c r="A716"/>
      <c r="B716"/>
      <c r="C716"/>
      <c r="D716"/>
      <c r="E716"/>
      <c r="F716"/>
      <c r="G716"/>
      <c r="H716"/>
      <c r="I716"/>
    </row>
    <row r="717" spans="1:9" x14ac:dyDescent="0.25">
      <c r="A717"/>
      <c r="B717"/>
      <c r="C717"/>
      <c r="D717"/>
      <c r="E717"/>
      <c r="F717"/>
      <c r="G717"/>
      <c r="H717"/>
      <c r="I717"/>
    </row>
    <row r="718" spans="1:9" x14ac:dyDescent="0.25">
      <c r="A718"/>
      <c r="B718"/>
      <c r="C718"/>
      <c r="D718"/>
      <c r="E718"/>
      <c r="F718"/>
      <c r="G718"/>
      <c r="H718"/>
      <c r="I718"/>
    </row>
    <row r="719" spans="1:9" x14ac:dyDescent="0.25">
      <c r="A719"/>
      <c r="B719"/>
      <c r="C719"/>
      <c r="D719"/>
      <c r="E719"/>
      <c r="F719"/>
      <c r="G719"/>
      <c r="H719"/>
      <c r="I719"/>
    </row>
    <row r="720" spans="1:9" x14ac:dyDescent="0.25">
      <c r="A720"/>
      <c r="B720"/>
      <c r="C720"/>
      <c r="D720"/>
      <c r="E720"/>
      <c r="F720"/>
      <c r="G720"/>
      <c r="H720"/>
      <c r="I720"/>
    </row>
    <row r="721" spans="1:9" x14ac:dyDescent="0.25">
      <c r="A721"/>
      <c r="B721"/>
      <c r="C721"/>
      <c r="D721"/>
      <c r="E721"/>
      <c r="F721"/>
      <c r="G721"/>
      <c r="H721"/>
      <c r="I721"/>
    </row>
    <row r="722" spans="1:9" x14ac:dyDescent="0.25">
      <c r="A722"/>
      <c r="B722"/>
      <c r="C722"/>
      <c r="D722"/>
      <c r="E722"/>
      <c r="F722"/>
      <c r="G722"/>
      <c r="H722"/>
      <c r="I722"/>
    </row>
    <row r="723" spans="1:9" x14ac:dyDescent="0.25">
      <c r="A723"/>
      <c r="B723"/>
      <c r="C723"/>
      <c r="D723"/>
      <c r="E723"/>
      <c r="F723"/>
      <c r="G723"/>
      <c r="H723"/>
      <c r="I723"/>
    </row>
    <row r="724" spans="1:9" x14ac:dyDescent="0.25">
      <c r="A724"/>
      <c r="B724"/>
      <c r="C724"/>
      <c r="D724"/>
      <c r="E724"/>
      <c r="F724"/>
      <c r="G724"/>
      <c r="H724"/>
      <c r="I724"/>
    </row>
    <row r="725" spans="1:9" x14ac:dyDescent="0.25">
      <c r="A725"/>
      <c r="B725"/>
      <c r="C725"/>
      <c r="D725"/>
      <c r="E725"/>
      <c r="F725"/>
      <c r="G725"/>
      <c r="H725"/>
      <c r="I725"/>
    </row>
    <row r="726" spans="1:9" x14ac:dyDescent="0.25">
      <c r="A726"/>
      <c r="B726"/>
      <c r="C726"/>
      <c r="D726"/>
      <c r="E726"/>
      <c r="F726"/>
      <c r="G726"/>
      <c r="H726"/>
      <c r="I726"/>
    </row>
    <row r="727" spans="1:9" x14ac:dyDescent="0.25">
      <c r="A727"/>
      <c r="B727"/>
      <c r="C727"/>
      <c r="D727"/>
      <c r="E727"/>
      <c r="F727"/>
      <c r="G727"/>
      <c r="H727"/>
      <c r="I727"/>
    </row>
    <row r="728" spans="1:9" x14ac:dyDescent="0.25">
      <c r="A728"/>
      <c r="B728"/>
      <c r="C728"/>
      <c r="D728"/>
      <c r="E728"/>
      <c r="F728"/>
      <c r="G728"/>
      <c r="H728"/>
      <c r="I728"/>
    </row>
    <row r="729" spans="1:9" x14ac:dyDescent="0.25">
      <c r="A729"/>
      <c r="B729"/>
      <c r="C729"/>
      <c r="D729"/>
      <c r="E729"/>
      <c r="F729"/>
      <c r="G729"/>
      <c r="H729"/>
      <c r="I729"/>
    </row>
    <row r="730" spans="1:9" x14ac:dyDescent="0.25">
      <c r="A730"/>
      <c r="B730"/>
      <c r="C730"/>
      <c r="D730"/>
      <c r="E730"/>
      <c r="F730"/>
      <c r="G730"/>
      <c r="H730"/>
      <c r="I730"/>
    </row>
    <row r="731" spans="1:9" x14ac:dyDescent="0.25">
      <c r="A731"/>
      <c r="B731"/>
      <c r="C731"/>
      <c r="D731"/>
      <c r="E731"/>
      <c r="F731"/>
      <c r="G731"/>
      <c r="H731"/>
      <c r="I731"/>
    </row>
    <row r="732" spans="1:9" x14ac:dyDescent="0.25">
      <c r="A732"/>
      <c r="B732"/>
      <c r="C732"/>
      <c r="D732"/>
      <c r="E732"/>
      <c r="F732"/>
      <c r="G732"/>
      <c r="H732"/>
      <c r="I732"/>
    </row>
    <row r="733" spans="1:9" x14ac:dyDescent="0.25">
      <c r="A733"/>
      <c r="B733"/>
      <c r="C733"/>
      <c r="D733"/>
      <c r="E733"/>
      <c r="F733"/>
      <c r="G733"/>
      <c r="H733"/>
      <c r="I733"/>
    </row>
    <row r="734" spans="1:9" x14ac:dyDescent="0.25">
      <c r="A734"/>
      <c r="B734"/>
      <c r="C734"/>
      <c r="D734"/>
      <c r="E734"/>
      <c r="F734"/>
      <c r="G734"/>
      <c r="H734"/>
      <c r="I734"/>
    </row>
    <row r="735" spans="1:9" x14ac:dyDescent="0.25">
      <c r="A735"/>
      <c r="B735"/>
      <c r="C735"/>
      <c r="D735"/>
      <c r="E735"/>
      <c r="F735"/>
      <c r="G735"/>
      <c r="H735"/>
      <c r="I735"/>
    </row>
    <row r="736" spans="1:9" x14ac:dyDescent="0.25">
      <c r="A736"/>
      <c r="B736"/>
      <c r="C736"/>
      <c r="D736"/>
      <c r="E736"/>
      <c r="F736"/>
      <c r="G736"/>
      <c r="H736"/>
      <c r="I736"/>
    </row>
    <row r="737" spans="1:9" x14ac:dyDescent="0.25">
      <c r="A737"/>
      <c r="B737"/>
      <c r="C737"/>
      <c r="D737"/>
      <c r="E737"/>
      <c r="F737"/>
      <c r="G737"/>
      <c r="H737"/>
      <c r="I737"/>
    </row>
    <row r="738" spans="1:9" x14ac:dyDescent="0.25">
      <c r="A738"/>
      <c r="B738"/>
      <c r="C738"/>
      <c r="D738"/>
      <c r="E738"/>
      <c r="F738"/>
      <c r="G738"/>
      <c r="H738"/>
      <c r="I738"/>
    </row>
    <row r="739" spans="1:9" x14ac:dyDescent="0.25">
      <c r="A739"/>
      <c r="B739"/>
      <c r="C739"/>
      <c r="D739"/>
      <c r="E739"/>
      <c r="F739"/>
      <c r="G739"/>
      <c r="H739"/>
      <c r="I739"/>
    </row>
    <row r="740" spans="1:9" x14ac:dyDescent="0.25">
      <c r="A740"/>
      <c r="B740"/>
      <c r="C740"/>
      <c r="D740"/>
      <c r="E740"/>
      <c r="F740"/>
      <c r="G740"/>
      <c r="H740"/>
      <c r="I740"/>
    </row>
    <row r="741" spans="1:9" x14ac:dyDescent="0.25">
      <c r="A741"/>
      <c r="B741"/>
      <c r="C741"/>
      <c r="D741"/>
      <c r="E741"/>
      <c r="F741"/>
      <c r="G741"/>
      <c r="H741"/>
      <c r="I741"/>
    </row>
    <row r="742" spans="1:9" x14ac:dyDescent="0.25">
      <c r="A742"/>
      <c r="B742"/>
      <c r="C742"/>
      <c r="D742"/>
      <c r="E742"/>
      <c r="F742"/>
      <c r="G742"/>
      <c r="H742"/>
      <c r="I742"/>
    </row>
    <row r="743" spans="1:9" x14ac:dyDescent="0.25">
      <c r="A743"/>
      <c r="B743"/>
      <c r="C743"/>
      <c r="D743"/>
      <c r="E743"/>
      <c r="F743"/>
      <c r="G743"/>
      <c r="H743"/>
      <c r="I743"/>
    </row>
    <row r="744" spans="1:9" x14ac:dyDescent="0.25">
      <c r="A744"/>
      <c r="B744"/>
      <c r="C744"/>
      <c r="D744"/>
      <c r="E744"/>
      <c r="F744"/>
      <c r="G744"/>
      <c r="H744"/>
      <c r="I744"/>
    </row>
    <row r="745" spans="1:9" x14ac:dyDescent="0.25">
      <c r="A745"/>
      <c r="B745"/>
      <c r="C745"/>
      <c r="D745"/>
      <c r="E745"/>
      <c r="F745"/>
      <c r="G745"/>
      <c r="H745"/>
      <c r="I745"/>
    </row>
    <row r="746" spans="1:9" x14ac:dyDescent="0.25">
      <c r="A746"/>
      <c r="B746"/>
      <c r="C746"/>
      <c r="D746"/>
      <c r="E746"/>
      <c r="F746"/>
      <c r="G746"/>
      <c r="H746"/>
      <c r="I746"/>
    </row>
    <row r="747" spans="1:9" x14ac:dyDescent="0.25">
      <c r="A747"/>
      <c r="B747"/>
      <c r="C747"/>
      <c r="D747"/>
      <c r="E747"/>
      <c r="F747"/>
      <c r="G747"/>
      <c r="H747"/>
      <c r="I747"/>
    </row>
    <row r="748" spans="1:9" x14ac:dyDescent="0.25">
      <c r="A748"/>
      <c r="B748"/>
      <c r="C748"/>
      <c r="D748"/>
      <c r="E748"/>
      <c r="F748"/>
      <c r="G748"/>
      <c r="H748"/>
      <c r="I748"/>
    </row>
    <row r="749" spans="1:9" x14ac:dyDescent="0.25">
      <c r="A749"/>
      <c r="B749"/>
      <c r="C749"/>
      <c r="D749"/>
      <c r="E749"/>
      <c r="F749"/>
      <c r="G749"/>
      <c r="H749"/>
      <c r="I749"/>
    </row>
    <row r="750" spans="1:9" x14ac:dyDescent="0.25">
      <c r="A750"/>
      <c r="B750"/>
      <c r="C750"/>
      <c r="D750"/>
      <c r="E750"/>
      <c r="F750"/>
      <c r="G750"/>
      <c r="H750"/>
      <c r="I750"/>
    </row>
    <row r="751" spans="1:9" x14ac:dyDescent="0.25">
      <c r="A751"/>
      <c r="B751"/>
      <c r="C751"/>
      <c r="D751"/>
      <c r="E751"/>
      <c r="F751"/>
      <c r="G751"/>
      <c r="H751"/>
      <c r="I751"/>
    </row>
    <row r="752" spans="1:9" x14ac:dyDescent="0.25">
      <c r="A752"/>
      <c r="B752"/>
      <c r="C752"/>
      <c r="D752"/>
      <c r="E752"/>
      <c r="F752"/>
      <c r="G752"/>
      <c r="H752"/>
      <c r="I752"/>
    </row>
    <row r="753" spans="1:9" x14ac:dyDescent="0.25">
      <c r="A753"/>
      <c r="B753"/>
      <c r="C753"/>
      <c r="D753"/>
      <c r="E753"/>
      <c r="F753"/>
      <c r="G753"/>
      <c r="H753"/>
      <c r="I753"/>
    </row>
    <row r="754" spans="1:9" x14ac:dyDescent="0.25">
      <c r="A754"/>
      <c r="B754"/>
      <c r="C754"/>
      <c r="D754"/>
      <c r="E754"/>
      <c r="F754"/>
      <c r="G754"/>
      <c r="H754"/>
      <c r="I754"/>
    </row>
    <row r="755" spans="1:9" x14ac:dyDescent="0.25">
      <c r="A755"/>
      <c r="B755"/>
      <c r="C755"/>
      <c r="D755"/>
      <c r="E755"/>
      <c r="F755"/>
      <c r="G755"/>
      <c r="H755"/>
      <c r="I755"/>
    </row>
    <row r="756" spans="1:9" x14ac:dyDescent="0.25">
      <c r="A756"/>
      <c r="B756"/>
      <c r="C756"/>
      <c r="D756"/>
      <c r="E756"/>
      <c r="F756"/>
      <c r="G756"/>
      <c r="H756"/>
      <c r="I756"/>
    </row>
    <row r="757" spans="1:9" x14ac:dyDescent="0.25">
      <c r="A757"/>
      <c r="B757"/>
      <c r="C757"/>
      <c r="D757"/>
      <c r="E757"/>
      <c r="F757"/>
      <c r="G757"/>
      <c r="H757"/>
      <c r="I757"/>
    </row>
    <row r="758" spans="1:9" x14ac:dyDescent="0.25">
      <c r="A758"/>
      <c r="B758"/>
      <c r="C758"/>
      <c r="D758"/>
      <c r="E758"/>
      <c r="F758"/>
      <c r="G758"/>
      <c r="H758"/>
      <c r="I758"/>
    </row>
    <row r="759" spans="1:9" x14ac:dyDescent="0.25">
      <c r="A759"/>
      <c r="B759"/>
      <c r="C759"/>
      <c r="D759"/>
      <c r="E759"/>
      <c r="F759"/>
      <c r="G759"/>
      <c r="H759"/>
      <c r="I759"/>
    </row>
    <row r="760" spans="1:9" x14ac:dyDescent="0.25">
      <c r="A760"/>
      <c r="B760"/>
      <c r="C760"/>
      <c r="D760"/>
      <c r="E760"/>
      <c r="F760"/>
      <c r="G760"/>
      <c r="H760"/>
      <c r="I760"/>
    </row>
    <row r="761" spans="1:9" x14ac:dyDescent="0.25">
      <c r="A761"/>
      <c r="B761"/>
      <c r="C761"/>
      <c r="D761"/>
      <c r="E761"/>
      <c r="F761"/>
      <c r="G761"/>
      <c r="H761"/>
      <c r="I761"/>
    </row>
    <row r="762" spans="1:9" x14ac:dyDescent="0.25">
      <c r="A762"/>
      <c r="B762"/>
      <c r="C762"/>
      <c r="D762"/>
      <c r="E762"/>
      <c r="F762"/>
      <c r="G762"/>
      <c r="H762"/>
      <c r="I762"/>
    </row>
    <row r="763" spans="1:9" x14ac:dyDescent="0.25">
      <c r="A763"/>
      <c r="B763"/>
      <c r="C763"/>
      <c r="D763"/>
      <c r="E763"/>
      <c r="F763"/>
      <c r="G763"/>
      <c r="H763"/>
      <c r="I763"/>
    </row>
    <row r="764" spans="1:9" x14ac:dyDescent="0.25">
      <c r="A764"/>
      <c r="B764"/>
      <c r="C764"/>
      <c r="D764"/>
      <c r="E764"/>
      <c r="F764"/>
      <c r="G764"/>
      <c r="H764"/>
      <c r="I764"/>
    </row>
    <row r="765" spans="1:9" x14ac:dyDescent="0.25">
      <c r="A765"/>
      <c r="B765"/>
      <c r="C765"/>
      <c r="D765"/>
      <c r="E765"/>
      <c r="F765"/>
      <c r="G765"/>
      <c r="H765"/>
      <c r="I765"/>
    </row>
    <row r="766" spans="1:9" x14ac:dyDescent="0.25">
      <c r="A766"/>
      <c r="B766"/>
      <c r="C766"/>
      <c r="D766"/>
      <c r="E766"/>
      <c r="F766"/>
      <c r="G766"/>
      <c r="H766"/>
      <c r="I766"/>
    </row>
    <row r="767" spans="1:9" x14ac:dyDescent="0.25">
      <c r="A767"/>
      <c r="B767"/>
      <c r="C767"/>
      <c r="D767"/>
      <c r="E767"/>
      <c r="F767"/>
      <c r="G767"/>
      <c r="H767"/>
      <c r="I767"/>
    </row>
    <row r="768" spans="1:9" x14ac:dyDescent="0.25">
      <c r="A768"/>
      <c r="B768"/>
      <c r="C768"/>
      <c r="D768"/>
      <c r="E768"/>
      <c r="F768"/>
      <c r="G768"/>
      <c r="H768"/>
      <c r="I768"/>
    </row>
    <row r="769" spans="1:9" x14ac:dyDescent="0.25">
      <c r="A769"/>
      <c r="B769"/>
      <c r="C769"/>
      <c r="D769"/>
      <c r="E769"/>
      <c r="F769"/>
      <c r="G769"/>
      <c r="H769"/>
      <c r="I769"/>
    </row>
    <row r="770" spans="1:9" x14ac:dyDescent="0.25">
      <c r="A770"/>
      <c r="B770"/>
      <c r="C770"/>
      <c r="D770"/>
      <c r="E770"/>
      <c r="F770"/>
      <c r="G770"/>
      <c r="H770"/>
      <c r="I770"/>
    </row>
    <row r="771" spans="1:9" x14ac:dyDescent="0.25">
      <c r="A771"/>
      <c r="B771"/>
      <c r="C771"/>
      <c r="D771"/>
      <c r="E771"/>
      <c r="F771"/>
      <c r="G771"/>
      <c r="H771"/>
      <c r="I771"/>
    </row>
    <row r="772" spans="1:9" x14ac:dyDescent="0.25">
      <c r="A772"/>
      <c r="B772"/>
      <c r="C772"/>
      <c r="D772"/>
      <c r="E772"/>
      <c r="F772"/>
      <c r="G772"/>
      <c r="H772"/>
      <c r="I772"/>
    </row>
    <row r="773" spans="1:9" x14ac:dyDescent="0.25">
      <c r="A773"/>
      <c r="B773"/>
      <c r="C773"/>
      <c r="D773"/>
      <c r="E773"/>
      <c r="F773"/>
      <c r="G773"/>
      <c r="H773"/>
      <c r="I773"/>
    </row>
    <row r="774" spans="1:9" x14ac:dyDescent="0.25">
      <c r="A774"/>
      <c r="B774"/>
      <c r="C774"/>
      <c r="D774"/>
      <c r="E774"/>
      <c r="F774"/>
      <c r="G774"/>
      <c r="H774"/>
      <c r="I774"/>
    </row>
    <row r="775" spans="1:9" x14ac:dyDescent="0.25">
      <c r="A775"/>
      <c r="B775"/>
      <c r="C775"/>
      <c r="D775"/>
      <c r="E775"/>
      <c r="F775"/>
      <c r="G775"/>
      <c r="H775"/>
      <c r="I775"/>
    </row>
    <row r="776" spans="1:9" x14ac:dyDescent="0.25">
      <c r="A776"/>
      <c r="B776"/>
      <c r="C776"/>
      <c r="D776"/>
      <c r="E776"/>
      <c r="F776"/>
      <c r="G776"/>
      <c r="H776"/>
      <c r="I776"/>
    </row>
    <row r="777" spans="1:9" x14ac:dyDescent="0.25">
      <c r="A777"/>
      <c r="B777"/>
      <c r="C777"/>
      <c r="D777"/>
      <c r="E777"/>
      <c r="F777"/>
      <c r="G777"/>
      <c r="H777"/>
      <c r="I777"/>
    </row>
    <row r="778" spans="1:9" x14ac:dyDescent="0.25">
      <c r="A778"/>
      <c r="B778"/>
      <c r="C778"/>
      <c r="D778"/>
      <c r="E778"/>
      <c r="F778"/>
      <c r="G778"/>
      <c r="H778"/>
      <c r="I778"/>
    </row>
    <row r="779" spans="1:9" x14ac:dyDescent="0.25">
      <c r="A779"/>
      <c r="B779"/>
      <c r="C779"/>
      <c r="D779"/>
      <c r="E779"/>
      <c r="F779"/>
      <c r="G779"/>
      <c r="H779"/>
      <c r="I779"/>
    </row>
    <row r="780" spans="1:9" x14ac:dyDescent="0.25">
      <c r="A780"/>
      <c r="B780"/>
      <c r="C780"/>
      <c r="D780"/>
      <c r="E780"/>
      <c r="F780"/>
      <c r="G780"/>
      <c r="H780"/>
      <c r="I780"/>
    </row>
    <row r="781" spans="1:9" x14ac:dyDescent="0.25">
      <c r="A781"/>
      <c r="B781"/>
      <c r="C781"/>
      <c r="D781"/>
      <c r="E781"/>
      <c r="F781"/>
      <c r="G781"/>
      <c r="H781"/>
      <c r="I781"/>
    </row>
    <row r="782" spans="1:9" x14ac:dyDescent="0.25">
      <c r="A782"/>
      <c r="B782"/>
      <c r="C782"/>
      <c r="D782"/>
      <c r="E782"/>
      <c r="F782"/>
      <c r="G782"/>
      <c r="H782"/>
      <c r="I782"/>
    </row>
    <row r="783" spans="1:9" x14ac:dyDescent="0.25">
      <c r="A783"/>
      <c r="B783"/>
      <c r="C783"/>
      <c r="D783"/>
      <c r="E783"/>
      <c r="F783"/>
      <c r="G783"/>
      <c r="H783"/>
      <c r="I783"/>
    </row>
    <row r="784" spans="1:9" x14ac:dyDescent="0.25">
      <c r="A784"/>
      <c r="B784"/>
      <c r="C784"/>
      <c r="D784"/>
      <c r="E784"/>
      <c r="F784"/>
      <c r="G784"/>
      <c r="H784"/>
      <c r="I784"/>
    </row>
    <row r="785" spans="1:9" x14ac:dyDescent="0.25">
      <c r="A785"/>
      <c r="B785"/>
      <c r="C785"/>
      <c r="D785"/>
      <c r="E785"/>
      <c r="F785"/>
      <c r="G785"/>
      <c r="H785"/>
      <c r="I785"/>
    </row>
    <row r="786" spans="1:9" x14ac:dyDescent="0.25">
      <c r="A786"/>
      <c r="B786"/>
      <c r="C786"/>
      <c r="D786"/>
      <c r="E786"/>
      <c r="F786"/>
      <c r="G786"/>
      <c r="H786"/>
      <c r="I786"/>
    </row>
    <row r="787" spans="1:9" x14ac:dyDescent="0.25">
      <c r="A787"/>
      <c r="B787"/>
      <c r="C787"/>
      <c r="D787"/>
      <c r="E787"/>
      <c r="F787"/>
      <c r="G787"/>
      <c r="H787"/>
      <c r="I787"/>
    </row>
    <row r="788" spans="1:9" x14ac:dyDescent="0.25">
      <c r="A788"/>
      <c r="B788"/>
      <c r="C788"/>
      <c r="D788"/>
      <c r="E788"/>
      <c r="F788"/>
      <c r="G788"/>
      <c r="H788"/>
      <c r="I788"/>
    </row>
    <row r="789" spans="1:9" x14ac:dyDescent="0.25">
      <c r="A789"/>
      <c r="B789"/>
      <c r="C789"/>
      <c r="D789"/>
      <c r="E789"/>
      <c r="F789"/>
      <c r="G789"/>
      <c r="H789"/>
      <c r="I789"/>
    </row>
    <row r="790" spans="1:9" x14ac:dyDescent="0.25">
      <c r="A790"/>
      <c r="B790"/>
      <c r="C790"/>
      <c r="D790"/>
      <c r="E790"/>
      <c r="F790"/>
      <c r="G790"/>
      <c r="H790"/>
      <c r="I790"/>
    </row>
    <row r="791" spans="1:9" x14ac:dyDescent="0.25">
      <c r="A791"/>
      <c r="B791"/>
      <c r="C791"/>
      <c r="D791"/>
      <c r="E791"/>
      <c r="F791"/>
      <c r="G791"/>
      <c r="H791"/>
      <c r="I791"/>
    </row>
    <row r="792" spans="1:9" x14ac:dyDescent="0.25">
      <c r="A792"/>
      <c r="B792"/>
      <c r="C792"/>
      <c r="D792"/>
      <c r="E792"/>
      <c r="F792"/>
      <c r="G792"/>
      <c r="H792"/>
      <c r="I792"/>
    </row>
    <row r="793" spans="1:9" x14ac:dyDescent="0.25">
      <c r="A793"/>
      <c r="B793"/>
      <c r="C793"/>
      <c r="D793"/>
      <c r="E793"/>
      <c r="F793"/>
      <c r="G793"/>
      <c r="H793"/>
      <c r="I793"/>
    </row>
    <row r="794" spans="1:9" x14ac:dyDescent="0.25">
      <c r="A794"/>
      <c r="B794"/>
      <c r="C794"/>
      <c r="D794"/>
      <c r="E794"/>
      <c r="F794"/>
      <c r="G794"/>
      <c r="H794"/>
      <c r="I794"/>
    </row>
    <row r="795" spans="1:9" x14ac:dyDescent="0.25">
      <c r="A795"/>
      <c r="B795"/>
      <c r="C795"/>
      <c r="D795"/>
      <c r="E795"/>
      <c r="F795"/>
      <c r="G795"/>
      <c r="H795"/>
      <c r="I795"/>
    </row>
    <row r="796" spans="1:9" x14ac:dyDescent="0.25">
      <c r="A796"/>
      <c r="B796"/>
      <c r="C796"/>
      <c r="D796"/>
      <c r="E796"/>
      <c r="F796"/>
      <c r="G796"/>
      <c r="H796"/>
      <c r="I796"/>
    </row>
    <row r="797" spans="1:9" x14ac:dyDescent="0.25">
      <c r="A797"/>
      <c r="B797"/>
      <c r="C797"/>
      <c r="D797"/>
      <c r="E797"/>
      <c r="F797"/>
      <c r="G797"/>
      <c r="H797"/>
      <c r="I797"/>
    </row>
    <row r="798" spans="1:9" x14ac:dyDescent="0.25">
      <c r="A798"/>
      <c r="B798"/>
      <c r="C798"/>
      <c r="D798"/>
      <c r="E798"/>
      <c r="F798"/>
      <c r="G798"/>
      <c r="H798"/>
      <c r="I798"/>
    </row>
    <row r="799" spans="1:9" x14ac:dyDescent="0.25">
      <c r="A799"/>
      <c r="B799"/>
      <c r="C799"/>
      <c r="D799"/>
      <c r="E799"/>
      <c r="F799"/>
      <c r="G799"/>
      <c r="H799"/>
      <c r="I799"/>
    </row>
    <row r="800" spans="1:9" x14ac:dyDescent="0.25">
      <c r="A800"/>
      <c r="B800"/>
      <c r="C800"/>
      <c r="D800"/>
      <c r="E800"/>
      <c r="F800"/>
      <c r="G800"/>
      <c r="H800"/>
      <c r="I800"/>
    </row>
    <row r="801" spans="1:9" x14ac:dyDescent="0.25">
      <c r="A801"/>
      <c r="B801"/>
      <c r="C801"/>
      <c r="D801"/>
      <c r="E801"/>
      <c r="F801"/>
      <c r="G801"/>
      <c r="H801"/>
      <c r="I801"/>
    </row>
    <row r="802" spans="1:9" x14ac:dyDescent="0.25">
      <c r="A802"/>
      <c r="B802"/>
      <c r="C802"/>
      <c r="D802"/>
      <c r="E802"/>
      <c r="F802"/>
      <c r="G802"/>
      <c r="H802"/>
      <c r="I802"/>
    </row>
    <row r="803" spans="1:9" x14ac:dyDescent="0.25">
      <c r="A803"/>
      <c r="B803"/>
      <c r="C803"/>
      <c r="D803"/>
      <c r="E803"/>
      <c r="F803"/>
      <c r="G803"/>
      <c r="H803"/>
      <c r="I803"/>
    </row>
    <row r="804" spans="1:9" x14ac:dyDescent="0.25">
      <c r="A804"/>
      <c r="B804"/>
      <c r="C804"/>
      <c r="D804"/>
      <c r="E804"/>
      <c r="F804"/>
      <c r="G804"/>
      <c r="H804"/>
      <c r="I804"/>
    </row>
    <row r="805" spans="1:9" x14ac:dyDescent="0.25">
      <c r="A805"/>
      <c r="B805"/>
      <c r="C805"/>
      <c r="D805"/>
      <c r="E805"/>
      <c r="F805"/>
      <c r="G805"/>
      <c r="H805"/>
      <c r="I805"/>
    </row>
    <row r="806" spans="1:9" x14ac:dyDescent="0.25">
      <c r="A806"/>
      <c r="B806"/>
      <c r="C806"/>
      <c r="D806"/>
      <c r="E806"/>
      <c r="F806"/>
      <c r="G806"/>
      <c r="H806"/>
      <c r="I806"/>
    </row>
    <row r="807" spans="1:9" x14ac:dyDescent="0.25">
      <c r="A807"/>
      <c r="B807"/>
      <c r="C807"/>
      <c r="D807"/>
      <c r="E807"/>
      <c r="F807"/>
      <c r="G807"/>
      <c r="H807"/>
      <c r="I807"/>
    </row>
    <row r="808" spans="1:9" x14ac:dyDescent="0.25">
      <c r="A808"/>
      <c r="B808"/>
      <c r="C808"/>
      <c r="D808"/>
      <c r="E808"/>
      <c r="F808"/>
      <c r="G808"/>
      <c r="H808"/>
      <c r="I808"/>
    </row>
    <row r="809" spans="1:9" x14ac:dyDescent="0.25">
      <c r="A809"/>
      <c r="B809"/>
      <c r="C809"/>
      <c r="D809"/>
      <c r="E809"/>
      <c r="F809"/>
      <c r="G809"/>
      <c r="H809"/>
      <c r="I809"/>
    </row>
    <row r="810" spans="1:9" x14ac:dyDescent="0.25">
      <c r="A810"/>
      <c r="B810"/>
      <c r="C810"/>
      <c r="D810"/>
      <c r="E810"/>
      <c r="F810"/>
      <c r="G810"/>
      <c r="H810"/>
      <c r="I810"/>
    </row>
    <row r="811" spans="1:9" x14ac:dyDescent="0.25">
      <c r="A811"/>
      <c r="B811"/>
      <c r="C811"/>
      <c r="D811"/>
      <c r="E811"/>
      <c r="F811"/>
      <c r="G811"/>
      <c r="H811"/>
      <c r="I811"/>
    </row>
    <row r="812" spans="1:9" x14ac:dyDescent="0.25">
      <c r="A812"/>
      <c r="B812"/>
      <c r="C812"/>
      <c r="D812"/>
      <c r="E812"/>
      <c r="F812"/>
      <c r="G812"/>
      <c r="H812"/>
      <c r="I812"/>
    </row>
    <row r="813" spans="1:9" x14ac:dyDescent="0.25">
      <c r="A813"/>
      <c r="B813"/>
      <c r="C813"/>
      <c r="D813"/>
      <c r="E813"/>
      <c r="F813"/>
      <c r="G813"/>
      <c r="H813"/>
      <c r="I813"/>
    </row>
    <row r="814" spans="1:9" x14ac:dyDescent="0.25">
      <c r="A814"/>
      <c r="B814"/>
      <c r="C814"/>
      <c r="D814"/>
      <c r="E814"/>
      <c r="F814"/>
      <c r="G814"/>
      <c r="H814"/>
      <c r="I814"/>
    </row>
    <row r="815" spans="1:9" x14ac:dyDescent="0.25">
      <c r="A815"/>
      <c r="B815"/>
      <c r="C815"/>
      <c r="D815"/>
      <c r="E815"/>
      <c r="F815"/>
      <c r="G815"/>
      <c r="H815"/>
      <c r="I815"/>
    </row>
    <row r="816" spans="1:9" x14ac:dyDescent="0.25">
      <c r="A816"/>
      <c r="B816"/>
      <c r="C816"/>
      <c r="D816"/>
      <c r="E816"/>
      <c r="F816"/>
      <c r="G816"/>
      <c r="H816"/>
      <c r="I816"/>
    </row>
    <row r="817" spans="1:9" x14ac:dyDescent="0.25">
      <c r="A817"/>
      <c r="B817"/>
      <c r="C817"/>
      <c r="D817"/>
      <c r="E817"/>
      <c r="F817"/>
      <c r="G817"/>
      <c r="H817"/>
      <c r="I817"/>
    </row>
    <row r="818" spans="1:9" x14ac:dyDescent="0.25">
      <c r="A818"/>
      <c r="B818"/>
      <c r="C818"/>
      <c r="D818"/>
      <c r="E818"/>
      <c r="F818"/>
      <c r="G818"/>
      <c r="H818"/>
      <c r="I818"/>
    </row>
    <row r="819" spans="1:9" x14ac:dyDescent="0.25">
      <c r="A819"/>
      <c r="B819"/>
      <c r="C819"/>
      <c r="D819"/>
      <c r="E819"/>
      <c r="F819"/>
      <c r="G819"/>
      <c r="H819"/>
      <c r="I819"/>
    </row>
    <row r="820" spans="1:9" x14ac:dyDescent="0.25">
      <c r="A820"/>
      <c r="B820"/>
      <c r="C820"/>
      <c r="D820"/>
      <c r="E820"/>
      <c r="F820"/>
      <c r="G820"/>
      <c r="H820"/>
      <c r="I820"/>
    </row>
    <row r="821" spans="1:9" x14ac:dyDescent="0.25">
      <c r="A821"/>
      <c r="B821"/>
      <c r="C821"/>
      <c r="D821"/>
      <c r="E821"/>
      <c r="F821"/>
      <c r="G821"/>
      <c r="H821"/>
      <c r="I821"/>
    </row>
    <row r="822" spans="1:9" x14ac:dyDescent="0.25">
      <c r="A822"/>
      <c r="B822"/>
      <c r="C822"/>
      <c r="D822"/>
      <c r="E822"/>
      <c r="F822"/>
      <c r="G822"/>
      <c r="H822"/>
      <c r="I822"/>
    </row>
    <row r="823" spans="1:9" x14ac:dyDescent="0.25">
      <c r="A823"/>
      <c r="B823"/>
      <c r="C823"/>
      <c r="D823"/>
      <c r="E823"/>
      <c r="F823"/>
      <c r="G823"/>
      <c r="H823"/>
      <c r="I823"/>
    </row>
    <row r="824" spans="1:9" x14ac:dyDescent="0.25">
      <c r="A824"/>
      <c r="B824"/>
      <c r="C824"/>
      <c r="D824"/>
      <c r="E824"/>
      <c r="F824"/>
      <c r="G824"/>
      <c r="H824"/>
      <c r="I824"/>
    </row>
    <row r="825" spans="1:9" x14ac:dyDescent="0.25">
      <c r="A825"/>
      <c r="B825"/>
      <c r="C825"/>
      <c r="D825"/>
      <c r="E825"/>
      <c r="F825"/>
      <c r="G825"/>
      <c r="H825"/>
      <c r="I825"/>
    </row>
    <row r="826" spans="1:9" x14ac:dyDescent="0.25">
      <c r="A826"/>
      <c r="B826"/>
      <c r="C826"/>
      <c r="D826"/>
      <c r="E826"/>
      <c r="F826"/>
      <c r="G826"/>
      <c r="H826"/>
      <c r="I826"/>
    </row>
    <row r="827" spans="1:9" x14ac:dyDescent="0.25">
      <c r="A827"/>
      <c r="B827"/>
      <c r="C827"/>
      <c r="D827"/>
      <c r="E827"/>
      <c r="F827"/>
      <c r="G827"/>
      <c r="H827"/>
      <c r="I827"/>
    </row>
    <row r="828" spans="1:9" x14ac:dyDescent="0.25">
      <c r="A828"/>
      <c r="B828"/>
      <c r="C828"/>
      <c r="D828"/>
      <c r="E828"/>
      <c r="F828"/>
      <c r="G828"/>
      <c r="H828"/>
      <c r="I828"/>
    </row>
    <row r="829" spans="1:9" x14ac:dyDescent="0.25">
      <c r="A829"/>
      <c r="B829"/>
      <c r="C829"/>
      <c r="D829"/>
      <c r="E829"/>
      <c r="F829"/>
      <c r="G829"/>
      <c r="H829"/>
      <c r="I829"/>
    </row>
    <row r="830" spans="1:9" x14ac:dyDescent="0.25">
      <c r="A830"/>
      <c r="B830"/>
      <c r="C830"/>
      <c r="D830"/>
      <c r="E830"/>
      <c r="F830"/>
      <c r="G830"/>
      <c r="H830"/>
      <c r="I830"/>
    </row>
    <row r="831" spans="1:9" x14ac:dyDescent="0.25">
      <c r="A831"/>
      <c r="B831"/>
      <c r="C831"/>
      <c r="D831"/>
      <c r="E831"/>
      <c r="F831"/>
      <c r="G831"/>
      <c r="H831"/>
      <c r="I831"/>
    </row>
    <row r="832" spans="1:9" x14ac:dyDescent="0.25">
      <c r="A832"/>
      <c r="B832"/>
      <c r="C832"/>
      <c r="D832"/>
      <c r="E832"/>
      <c r="F832"/>
      <c r="G832"/>
      <c r="H832"/>
      <c r="I832"/>
    </row>
    <row r="833" spans="1:9" x14ac:dyDescent="0.25">
      <c r="A833"/>
      <c r="B833"/>
      <c r="C833"/>
      <c r="D833"/>
      <c r="E833"/>
      <c r="F833"/>
      <c r="G833"/>
      <c r="H833"/>
      <c r="I833"/>
    </row>
    <row r="834" spans="1:9" x14ac:dyDescent="0.25">
      <c r="A834"/>
      <c r="B834"/>
      <c r="C834"/>
      <c r="D834"/>
      <c r="E834"/>
      <c r="F834"/>
      <c r="G834"/>
      <c r="H834"/>
      <c r="I834"/>
    </row>
    <row r="835" spans="1:9" x14ac:dyDescent="0.25">
      <c r="A835"/>
      <c r="B835"/>
      <c r="C835"/>
      <c r="D835"/>
      <c r="E835"/>
      <c r="F835"/>
      <c r="G835"/>
      <c r="H835"/>
      <c r="I835"/>
    </row>
    <row r="836" spans="1:9" x14ac:dyDescent="0.25">
      <c r="A836"/>
      <c r="B836"/>
      <c r="C836"/>
      <c r="D836"/>
      <c r="E836"/>
      <c r="F836"/>
      <c r="G836"/>
      <c r="H836"/>
      <c r="I836"/>
    </row>
    <row r="837" spans="1:9" x14ac:dyDescent="0.25">
      <c r="A837"/>
      <c r="B837"/>
      <c r="C837"/>
      <c r="D837"/>
      <c r="E837"/>
      <c r="F837"/>
      <c r="G837"/>
      <c r="H837"/>
      <c r="I837"/>
    </row>
    <row r="838" spans="1:9" x14ac:dyDescent="0.25">
      <c r="A838"/>
      <c r="B838"/>
      <c r="C838"/>
      <c r="D838"/>
      <c r="E838"/>
      <c r="F838"/>
      <c r="G838"/>
      <c r="H838"/>
      <c r="I838"/>
    </row>
    <row r="839" spans="1:9" x14ac:dyDescent="0.25">
      <c r="A839"/>
      <c r="B839"/>
      <c r="C839"/>
      <c r="D839"/>
      <c r="E839"/>
      <c r="F839"/>
      <c r="G839"/>
      <c r="H839"/>
      <c r="I839"/>
    </row>
    <row r="840" spans="1:9" x14ac:dyDescent="0.25">
      <c r="A840"/>
      <c r="B840"/>
      <c r="C840"/>
      <c r="D840"/>
      <c r="E840"/>
      <c r="F840"/>
      <c r="G840"/>
      <c r="H840"/>
      <c r="I840"/>
    </row>
    <row r="841" spans="1:9" x14ac:dyDescent="0.25">
      <c r="A841"/>
      <c r="B841"/>
      <c r="C841"/>
      <c r="D841"/>
      <c r="E841"/>
      <c r="F841"/>
      <c r="G841"/>
      <c r="H841"/>
      <c r="I841"/>
    </row>
    <row r="842" spans="1:9" x14ac:dyDescent="0.25">
      <c r="A842"/>
      <c r="B842"/>
      <c r="C842"/>
      <c r="D842"/>
      <c r="E842"/>
      <c r="F842"/>
      <c r="G842"/>
      <c r="H842"/>
      <c r="I842"/>
    </row>
    <row r="843" spans="1:9" x14ac:dyDescent="0.25">
      <c r="A843"/>
      <c r="B843"/>
      <c r="C843"/>
      <c r="D843"/>
      <c r="E843"/>
      <c r="F843"/>
      <c r="G843"/>
      <c r="H843"/>
      <c r="I843"/>
    </row>
    <row r="844" spans="1:9" x14ac:dyDescent="0.25">
      <c r="A844"/>
      <c r="B844"/>
      <c r="C844"/>
      <c r="D844"/>
      <c r="E844"/>
      <c r="F844"/>
      <c r="G844"/>
      <c r="H844"/>
      <c r="I844"/>
    </row>
    <row r="845" spans="1:9" x14ac:dyDescent="0.25">
      <c r="A845"/>
      <c r="B845"/>
      <c r="C845"/>
      <c r="D845"/>
      <c r="E845"/>
      <c r="F845"/>
      <c r="G845"/>
      <c r="H845"/>
      <c r="I845"/>
    </row>
    <row r="846" spans="1:9" x14ac:dyDescent="0.25">
      <c r="A846"/>
      <c r="B846"/>
      <c r="C846"/>
      <c r="D846"/>
      <c r="E846"/>
      <c r="F846"/>
      <c r="G846"/>
      <c r="H846"/>
      <c r="I846"/>
    </row>
    <row r="847" spans="1:9" x14ac:dyDescent="0.25">
      <c r="A847"/>
      <c r="B847"/>
      <c r="C847"/>
      <c r="D847"/>
      <c r="E847"/>
      <c r="F847"/>
      <c r="G847"/>
      <c r="H847"/>
      <c r="I847"/>
    </row>
    <row r="848" spans="1:9" x14ac:dyDescent="0.25">
      <c r="A848"/>
      <c r="B848"/>
      <c r="C848"/>
      <c r="D848"/>
      <c r="E848"/>
      <c r="F848"/>
      <c r="G848"/>
      <c r="H848"/>
      <c r="I848"/>
    </row>
    <row r="849" spans="1:9" x14ac:dyDescent="0.25">
      <c r="A849"/>
      <c r="B849"/>
      <c r="C849"/>
      <c r="D849"/>
      <c r="E849"/>
      <c r="F849"/>
      <c r="G849"/>
      <c r="H849"/>
      <c r="I849"/>
    </row>
    <row r="850" spans="1:9" x14ac:dyDescent="0.25">
      <c r="A850"/>
      <c r="B850"/>
      <c r="C850"/>
      <c r="D850"/>
      <c r="E850"/>
      <c r="F850"/>
      <c r="G850"/>
      <c r="H850"/>
      <c r="I850"/>
    </row>
    <row r="851" spans="1:9" x14ac:dyDescent="0.25">
      <c r="A851"/>
      <c r="B851"/>
      <c r="C851"/>
      <c r="D851"/>
      <c r="E851"/>
      <c r="F851"/>
      <c r="G851"/>
      <c r="H851"/>
      <c r="I851"/>
    </row>
    <row r="852" spans="1:9" x14ac:dyDescent="0.25">
      <c r="A852"/>
      <c r="B852"/>
      <c r="C852"/>
      <c r="D852"/>
      <c r="E852"/>
      <c r="F852"/>
      <c r="G852"/>
      <c r="H852"/>
      <c r="I852"/>
    </row>
    <row r="853" spans="1:9" x14ac:dyDescent="0.25">
      <c r="A853"/>
      <c r="B853"/>
      <c r="C853"/>
      <c r="D853"/>
      <c r="E853"/>
      <c r="F853"/>
      <c r="G853"/>
      <c r="H853"/>
      <c r="I853"/>
    </row>
    <row r="854" spans="1:9" x14ac:dyDescent="0.25">
      <c r="A854"/>
      <c r="B854"/>
      <c r="C854"/>
      <c r="D854"/>
      <c r="E854"/>
      <c r="F854"/>
      <c r="G854"/>
      <c r="H854"/>
      <c r="I854"/>
    </row>
    <row r="855" spans="1:9" x14ac:dyDescent="0.25">
      <c r="A855"/>
      <c r="B855"/>
      <c r="C855"/>
      <c r="D855"/>
      <c r="E855"/>
      <c r="F855"/>
      <c r="G855"/>
      <c r="H855"/>
      <c r="I855"/>
    </row>
    <row r="856" spans="1:9" x14ac:dyDescent="0.25">
      <c r="A856"/>
      <c r="B856"/>
      <c r="C856"/>
      <c r="D856"/>
      <c r="E856"/>
      <c r="F856"/>
      <c r="G856"/>
      <c r="H856"/>
      <c r="I856"/>
    </row>
    <row r="857" spans="1:9" x14ac:dyDescent="0.25">
      <c r="A857"/>
      <c r="B857"/>
      <c r="C857"/>
      <c r="D857"/>
      <c r="E857"/>
      <c r="F857"/>
      <c r="G857"/>
      <c r="H857"/>
      <c r="I857"/>
    </row>
    <row r="858" spans="1:9" x14ac:dyDescent="0.25">
      <c r="A858"/>
      <c r="B858"/>
      <c r="C858"/>
      <c r="D858"/>
      <c r="E858"/>
      <c r="F858"/>
      <c r="G858"/>
      <c r="H858"/>
      <c r="I858"/>
    </row>
    <row r="859" spans="1:9" x14ac:dyDescent="0.25">
      <c r="A859"/>
      <c r="B859"/>
      <c r="C859"/>
      <c r="D859"/>
      <c r="E859"/>
      <c r="F859"/>
      <c r="G859"/>
      <c r="H859"/>
      <c r="I859"/>
    </row>
    <row r="860" spans="1:9" x14ac:dyDescent="0.25">
      <c r="A860"/>
      <c r="B860"/>
      <c r="C860"/>
      <c r="D860"/>
      <c r="E860"/>
      <c r="F860"/>
      <c r="G860"/>
      <c r="H860"/>
      <c r="I860"/>
    </row>
    <row r="861" spans="1:9" x14ac:dyDescent="0.25">
      <c r="A861"/>
      <c r="B861"/>
      <c r="C861"/>
      <c r="D861"/>
      <c r="E861"/>
      <c r="F861"/>
      <c r="G861"/>
      <c r="H861"/>
      <c r="I861"/>
    </row>
    <row r="862" spans="1:9" x14ac:dyDescent="0.25">
      <c r="A862"/>
      <c r="B862"/>
      <c r="C862"/>
      <c r="D862"/>
      <c r="E862"/>
      <c r="F862"/>
      <c r="G862"/>
      <c r="H862"/>
      <c r="I862"/>
    </row>
    <row r="863" spans="1:9" x14ac:dyDescent="0.25">
      <c r="A863"/>
      <c r="B863"/>
      <c r="C863"/>
      <c r="D863"/>
      <c r="E863"/>
      <c r="F863"/>
      <c r="G863"/>
      <c r="H863"/>
      <c r="I863"/>
    </row>
    <row r="864" spans="1:9" x14ac:dyDescent="0.25">
      <c r="A864"/>
      <c r="B864"/>
      <c r="C864"/>
      <c r="D864"/>
      <c r="E864"/>
      <c r="F864"/>
      <c r="G864"/>
      <c r="H864"/>
      <c r="I864"/>
    </row>
    <row r="865" spans="1:9" x14ac:dyDescent="0.25">
      <c r="A865"/>
      <c r="B865"/>
      <c r="C865"/>
      <c r="D865"/>
      <c r="E865"/>
      <c r="F865"/>
      <c r="G865"/>
      <c r="H865"/>
      <c r="I865"/>
    </row>
    <row r="866" spans="1:9" x14ac:dyDescent="0.25">
      <c r="A866"/>
      <c r="B866"/>
      <c r="C866"/>
      <c r="D866"/>
      <c r="E866"/>
      <c r="F866"/>
      <c r="G866"/>
      <c r="H866"/>
      <c r="I866"/>
    </row>
    <row r="867" spans="1:9" x14ac:dyDescent="0.25">
      <c r="A867"/>
      <c r="B867"/>
      <c r="C867"/>
      <c r="D867"/>
      <c r="E867"/>
      <c r="F867"/>
      <c r="G867"/>
      <c r="H867"/>
      <c r="I867"/>
    </row>
    <row r="868" spans="1:9" x14ac:dyDescent="0.25">
      <c r="A868"/>
      <c r="B868"/>
      <c r="C868"/>
      <c r="D868"/>
      <c r="E868"/>
      <c r="F868"/>
      <c r="G868"/>
      <c r="H868"/>
      <c r="I868"/>
    </row>
    <row r="869" spans="1:9" x14ac:dyDescent="0.25">
      <c r="A869"/>
      <c r="B869"/>
      <c r="C869"/>
      <c r="D869"/>
      <c r="E869"/>
      <c r="F869"/>
      <c r="G869"/>
      <c r="H869"/>
      <c r="I869"/>
    </row>
    <row r="870" spans="1:9" x14ac:dyDescent="0.25">
      <c r="A870"/>
      <c r="B870"/>
      <c r="C870"/>
      <c r="D870"/>
      <c r="E870"/>
      <c r="F870"/>
      <c r="G870"/>
      <c r="H870"/>
      <c r="I870"/>
    </row>
    <row r="871" spans="1:9" x14ac:dyDescent="0.25">
      <c r="A871"/>
      <c r="B871"/>
      <c r="C871"/>
      <c r="D871"/>
      <c r="E871"/>
      <c r="F871"/>
      <c r="G871"/>
      <c r="H871"/>
      <c r="I871"/>
    </row>
    <row r="872" spans="1:9" x14ac:dyDescent="0.25">
      <c r="A872"/>
      <c r="B872"/>
      <c r="C872"/>
      <c r="D872"/>
      <c r="E872"/>
      <c r="F872"/>
      <c r="G872"/>
      <c r="H872"/>
      <c r="I872"/>
    </row>
    <row r="873" spans="1:9" x14ac:dyDescent="0.25">
      <c r="A873"/>
      <c r="B873"/>
      <c r="C873"/>
      <c r="D873"/>
      <c r="E873"/>
      <c r="F873"/>
      <c r="G873"/>
      <c r="H873"/>
      <c r="I873"/>
    </row>
    <row r="874" spans="1:9" x14ac:dyDescent="0.25">
      <c r="A874"/>
      <c r="B874"/>
      <c r="C874"/>
      <c r="D874"/>
      <c r="E874"/>
      <c r="F874"/>
      <c r="G874"/>
      <c r="H874"/>
      <c r="I874"/>
    </row>
    <row r="875" spans="1:9" x14ac:dyDescent="0.25">
      <c r="A875"/>
      <c r="B875"/>
      <c r="C875"/>
      <c r="D875"/>
      <c r="E875"/>
      <c r="F875"/>
      <c r="G875"/>
      <c r="H875"/>
      <c r="I875"/>
    </row>
    <row r="876" spans="1:9" x14ac:dyDescent="0.25">
      <c r="A876"/>
      <c r="B876"/>
      <c r="C876"/>
      <c r="D876"/>
      <c r="E876"/>
      <c r="F876"/>
      <c r="G876"/>
      <c r="H876"/>
      <c r="I876"/>
    </row>
    <row r="877" spans="1:9" x14ac:dyDescent="0.25">
      <c r="A877"/>
      <c r="B877"/>
      <c r="C877"/>
      <c r="D877"/>
      <c r="E877"/>
      <c r="F877"/>
      <c r="G877"/>
      <c r="H877"/>
      <c r="I877"/>
    </row>
  </sheetData>
  <printOptions horizontalCentered="1"/>
  <pageMargins left="0.25" right="0.25" top="0.75" bottom="0.75" header="0.3" footer="0.3"/>
  <pageSetup paperSize="9" scale="64" fitToHeight="3" orientation="portrait" r:id="rId2"/>
  <drawing r:id="rId3"/>
  <extLst>
    <ext xmlns:x14="http://schemas.microsoft.com/office/spreadsheetml/2009/9/main" uri="{A8765BA9-456A-4dab-B4F3-ACF838C121DE}">
      <x14:slicerList>
        <x14:slicer r:id="rId4"/>
      </x14:slicerList>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8F105-1BEE-4757-8882-0F8D4063044C}">
  <sheetPr>
    <pageSetUpPr fitToPage="1"/>
  </sheetPr>
  <dimension ref="A9:N877"/>
  <sheetViews>
    <sheetView showGridLines="0" view="pageBreakPreview" topLeftCell="A25" zoomScale="85" zoomScaleNormal="100" zoomScaleSheetLayoutView="85" workbookViewId="0">
      <selection activeCell="J83" sqref="J83"/>
    </sheetView>
  </sheetViews>
  <sheetFormatPr defaultRowHeight="15" x14ac:dyDescent="0.25"/>
  <cols>
    <col min="1" max="1" width="13.28515625" style="79" bestFit="1" customWidth="1"/>
    <col min="2" max="2" width="16.140625" style="191" bestFit="1" customWidth="1"/>
    <col min="3" max="5" width="11.5703125" style="192" bestFit="1" customWidth="1"/>
    <col min="6" max="6" width="13.5703125" style="79" bestFit="1" customWidth="1"/>
    <col min="7" max="7" width="18.28515625" style="192" bestFit="1" customWidth="1"/>
    <col min="8" max="8" width="13.28515625" style="192" bestFit="1" customWidth="1"/>
    <col min="9" max="9" width="16.42578125" style="79" bestFit="1" customWidth="1"/>
    <col min="10" max="10" width="28.85546875" style="79" bestFit="1" customWidth="1"/>
    <col min="11" max="13" width="9.140625" style="79"/>
    <col min="14" max="14" width="24.7109375" style="79" bestFit="1" customWidth="1"/>
    <col min="15" max="16384" width="9.140625" style="79"/>
  </cols>
  <sheetData>
    <row r="9" spans="14:14" x14ac:dyDescent="0.25">
      <c r="N9" s="79" t="s">
        <v>1177</v>
      </c>
    </row>
    <row r="10" spans="14:14" x14ac:dyDescent="0.25">
      <c r="N10" s="79" t="s">
        <v>1170</v>
      </c>
    </row>
    <row r="11" spans="14:14" x14ac:dyDescent="0.25">
      <c r="N11" s="79">
        <f>COUNT(B18:B162)</f>
        <v>65</v>
      </c>
    </row>
    <row r="12" spans="14:14" x14ac:dyDescent="0.25">
      <c r="N12" s="79" t="s">
        <v>1164</v>
      </c>
    </row>
    <row r="13" spans="14:14" x14ac:dyDescent="0.25">
      <c r="N13" s="79" t="s">
        <v>1301</v>
      </c>
    </row>
    <row r="14" spans="14:14" x14ac:dyDescent="0.25">
      <c r="N14" s="226">
        <f>GETPIVOTDATA("Sum of TOTAL UNIT VALUE (SEMI FINISHED)",'PROJECT SUMMARY DASH'!$A$1,"SELLING PHASE NAME","R 9")</f>
        <v>635970312.23317194</v>
      </c>
    </row>
    <row r="18" spans="1:10" s="160" customFormat="1" ht="60" x14ac:dyDescent="0.25">
      <c r="A18" s="160" t="s">
        <v>733</v>
      </c>
      <c r="B18" s="160" t="s">
        <v>1303</v>
      </c>
      <c r="C18" s="160" t="s">
        <v>713</v>
      </c>
      <c r="D18" s="160" t="s">
        <v>1302</v>
      </c>
      <c r="E18" s="225" t="s">
        <v>1151</v>
      </c>
      <c r="F18" s="225" t="s">
        <v>1152</v>
      </c>
      <c r="G18" s="160" t="s">
        <v>1298</v>
      </c>
      <c r="H18" s="160" t="s">
        <v>1299</v>
      </c>
      <c r="I18" s="160" t="s">
        <v>1300</v>
      </c>
      <c r="J18" s="290" t="str">
        <f>Table1[[#Headers],[NO. OF BEDROOMS]]</f>
        <v>NO. OF BEDROOMS</v>
      </c>
    </row>
    <row r="19" spans="1:10" x14ac:dyDescent="0.25">
      <c r="A19" s="121" t="s">
        <v>251</v>
      </c>
      <c r="B19" s="191">
        <v>56353.5</v>
      </c>
      <c r="C19" s="191">
        <v>110</v>
      </c>
      <c r="D19" s="191"/>
      <c r="E19" s="122">
        <v>0</v>
      </c>
      <c r="F19" s="122">
        <v>526905.22500000009</v>
      </c>
      <c r="G19" s="122">
        <v>6450885</v>
      </c>
      <c r="H19" s="122">
        <v>6945885</v>
      </c>
      <c r="I19" s="122">
        <v>7275885</v>
      </c>
      <c r="J19" s="79" t="str">
        <f>VLOOKUP(A19,Table1[[Unit Number]:[NO. OF BEDROOMS]],2,FALSE)</f>
        <v>2 BEDROOM</v>
      </c>
    </row>
    <row r="20" spans="1:10" x14ac:dyDescent="0.25">
      <c r="A20" s="121" t="s">
        <v>260</v>
      </c>
      <c r="B20" s="191">
        <v>56353.5</v>
      </c>
      <c r="C20" s="191">
        <v>110</v>
      </c>
      <c r="D20" s="191"/>
      <c r="E20" s="122">
        <v>0</v>
      </c>
      <c r="F20" s="122">
        <v>526905.22500000009</v>
      </c>
      <c r="G20" s="122">
        <v>6450885</v>
      </c>
      <c r="H20" s="122">
        <v>6945885</v>
      </c>
      <c r="I20" s="122">
        <v>7275885</v>
      </c>
      <c r="J20" s="79" t="str">
        <f>VLOOKUP(A20,Table1[[Unit Number]:[NO. OF BEDROOMS]],2,FALSE)</f>
        <v>2 BEDROOM</v>
      </c>
    </row>
    <row r="21" spans="1:10" x14ac:dyDescent="0.25">
      <c r="A21" s="121" t="s">
        <v>261</v>
      </c>
      <c r="B21" s="191">
        <v>56353.5</v>
      </c>
      <c r="C21" s="191">
        <v>119</v>
      </c>
      <c r="D21" s="191"/>
      <c r="E21" s="122">
        <v>0</v>
      </c>
      <c r="F21" s="122">
        <v>570015.65250000008</v>
      </c>
      <c r="G21" s="122">
        <v>6958066.5</v>
      </c>
      <c r="H21" s="122">
        <v>7493566.5</v>
      </c>
      <c r="I21" s="122">
        <v>7850566.5</v>
      </c>
      <c r="J21" s="79" t="str">
        <f>VLOOKUP(A21,Table1[[Unit Number]:[NO. OF BEDROOMS]],2,FALSE)</f>
        <v>2 BEDROOM</v>
      </c>
    </row>
    <row r="22" spans="1:10" x14ac:dyDescent="0.25">
      <c r="A22" s="121" t="s">
        <v>273</v>
      </c>
      <c r="B22" s="191">
        <v>56353.5</v>
      </c>
      <c r="C22" s="191">
        <v>119</v>
      </c>
      <c r="D22" s="191"/>
      <c r="E22" s="122">
        <v>0</v>
      </c>
      <c r="F22" s="122">
        <v>570015.65250000008</v>
      </c>
      <c r="G22" s="122">
        <v>6958066.5</v>
      </c>
      <c r="H22" s="122">
        <v>7493566.5</v>
      </c>
      <c r="I22" s="122">
        <v>7850566.5</v>
      </c>
      <c r="J22" s="79" t="str">
        <f>VLOOKUP(A22,Table1[[Unit Number]:[NO. OF BEDROOMS]],2,FALSE)</f>
        <v>2 BEDROOM</v>
      </c>
    </row>
    <row r="23" spans="1:10" x14ac:dyDescent="0.25">
      <c r="A23" s="121" t="s">
        <v>275</v>
      </c>
      <c r="B23" s="191">
        <v>56353.5</v>
      </c>
      <c r="C23" s="191">
        <v>110</v>
      </c>
      <c r="D23" s="191"/>
      <c r="E23" s="122">
        <v>0</v>
      </c>
      <c r="F23" s="122">
        <v>526905.22500000009</v>
      </c>
      <c r="G23" s="122">
        <v>6450885</v>
      </c>
      <c r="H23" s="122">
        <v>6945885</v>
      </c>
      <c r="I23" s="122">
        <v>7275885</v>
      </c>
      <c r="J23" s="79" t="str">
        <f>VLOOKUP(A23,Table1[[Unit Number]:[NO. OF BEDROOMS]],2,FALSE)</f>
        <v>2 BEDROOM</v>
      </c>
    </row>
    <row r="24" spans="1:10" x14ac:dyDescent="0.25">
      <c r="A24" s="121" t="s">
        <v>323</v>
      </c>
      <c r="B24" s="191">
        <v>56353.5</v>
      </c>
      <c r="C24" s="191">
        <v>76</v>
      </c>
      <c r="D24" s="191"/>
      <c r="E24" s="122">
        <v>0</v>
      </c>
      <c r="F24" s="122">
        <v>364043.61000000004</v>
      </c>
      <c r="G24" s="122">
        <v>4534866</v>
      </c>
      <c r="H24" s="122">
        <v>4876866</v>
      </c>
      <c r="I24" s="122">
        <v>5104866</v>
      </c>
      <c r="J24" s="79" t="str">
        <f>VLOOKUP(A24,Table1[[Unit Number]:[NO. OF BEDROOMS]],2,FALSE)</f>
        <v>1 BEDROOM (STUDIO)</v>
      </c>
    </row>
    <row r="25" spans="1:10" x14ac:dyDescent="0.25">
      <c r="A25" s="121" t="s">
        <v>325</v>
      </c>
      <c r="B25" s="191">
        <v>56353.5</v>
      </c>
      <c r="C25" s="191">
        <v>119</v>
      </c>
      <c r="D25" s="191"/>
      <c r="E25" s="122">
        <v>0</v>
      </c>
      <c r="F25" s="122">
        <v>570015.65250000008</v>
      </c>
      <c r="G25" s="122">
        <v>6958066.5</v>
      </c>
      <c r="H25" s="122">
        <v>7493566.5</v>
      </c>
      <c r="I25" s="122">
        <v>7850566.5</v>
      </c>
      <c r="J25" s="79" t="str">
        <f>VLOOKUP(A25,Table1[[Unit Number]:[NO. OF BEDROOMS]],2,FALSE)</f>
        <v>2 BEDROOM</v>
      </c>
    </row>
    <row r="26" spans="1:10" x14ac:dyDescent="0.25">
      <c r="A26" s="121" t="s">
        <v>343</v>
      </c>
      <c r="B26" s="191">
        <v>56353.5</v>
      </c>
      <c r="C26" s="191">
        <v>76</v>
      </c>
      <c r="D26" s="191"/>
      <c r="E26" s="122">
        <v>0</v>
      </c>
      <c r="F26" s="122">
        <v>364043.61000000004</v>
      </c>
      <c r="G26" s="122">
        <v>4534866</v>
      </c>
      <c r="H26" s="122">
        <v>4876866</v>
      </c>
      <c r="I26" s="122">
        <v>5104866</v>
      </c>
      <c r="J26" s="79" t="str">
        <f>VLOOKUP(A26,Table1[[Unit Number]:[NO. OF BEDROOMS]],2,FALSE)</f>
        <v>1 BEDROOM (STUDIO)</v>
      </c>
    </row>
    <row r="27" spans="1:10" x14ac:dyDescent="0.25">
      <c r="A27" s="121" t="s">
        <v>356</v>
      </c>
      <c r="B27" s="191">
        <v>56353.5</v>
      </c>
      <c r="C27" s="191">
        <v>76</v>
      </c>
      <c r="D27" s="191"/>
      <c r="E27" s="122">
        <v>0</v>
      </c>
      <c r="F27" s="122">
        <v>364043.61000000004</v>
      </c>
      <c r="G27" s="122">
        <v>4534866</v>
      </c>
      <c r="H27" s="122">
        <v>4876866</v>
      </c>
      <c r="I27" s="122">
        <v>5104866</v>
      </c>
      <c r="J27" s="79" t="str">
        <f>VLOOKUP(A27,Table1[[Unit Number]:[NO. OF BEDROOMS]],2,FALSE)</f>
        <v>1 BEDROOM (STUDIO)</v>
      </c>
    </row>
    <row r="28" spans="1:10" x14ac:dyDescent="0.25">
      <c r="A28" s="121" t="s">
        <v>366</v>
      </c>
      <c r="B28" s="191">
        <v>56353.5</v>
      </c>
      <c r="C28" s="191">
        <v>136</v>
      </c>
      <c r="D28" s="191"/>
      <c r="E28" s="122">
        <v>0</v>
      </c>
      <c r="F28" s="122">
        <v>651446.46000000008</v>
      </c>
      <c r="G28" s="122">
        <v>7916076</v>
      </c>
      <c r="H28" s="122">
        <v>8528076</v>
      </c>
      <c r="I28" s="122">
        <v>8936076</v>
      </c>
      <c r="J28" s="79" t="str">
        <f>VLOOKUP(A28,Table1[[Unit Number]:[NO. OF BEDROOMS]],2,FALSE)</f>
        <v>2 BEDROOM</v>
      </c>
    </row>
    <row r="29" spans="1:10" x14ac:dyDescent="0.25">
      <c r="A29" s="121" t="s">
        <v>794</v>
      </c>
      <c r="B29" s="191">
        <v>58999.5</v>
      </c>
      <c r="C29" s="191">
        <v>224</v>
      </c>
      <c r="D29" s="191">
        <v>61.571399999999997</v>
      </c>
      <c r="E29" s="122">
        <v>1198784.9987189998</v>
      </c>
      <c r="F29" s="122">
        <v>1225247.204891115</v>
      </c>
      <c r="G29" s="122">
        <v>14666672.998718999</v>
      </c>
      <c r="H29" s="122">
        <v>15674672.998718999</v>
      </c>
      <c r="I29" s="122">
        <v>16346672.998718999</v>
      </c>
      <c r="J29" s="79" t="str">
        <f>VLOOKUP(A29,Table1[[Unit Number]:[NO. OF BEDROOMS]],2,FALSE)</f>
        <v>3 BEDROOM + LIVING</v>
      </c>
    </row>
    <row r="30" spans="1:10" x14ac:dyDescent="0.25">
      <c r="A30" s="121" t="s">
        <v>798</v>
      </c>
      <c r="B30" s="191">
        <v>57960</v>
      </c>
      <c r="C30" s="191">
        <v>173</v>
      </c>
      <c r="D30" s="191"/>
      <c r="E30" s="122">
        <v>0</v>
      </c>
      <c r="F30" s="122">
        <v>852301.8</v>
      </c>
      <c r="G30" s="122">
        <v>10279080</v>
      </c>
      <c r="H30" s="122">
        <v>11057580</v>
      </c>
      <c r="I30" s="122">
        <v>11576580</v>
      </c>
      <c r="J30" s="79" t="str">
        <f>VLOOKUP(A30,Table1[[Unit Number]:[NO. OF BEDROOMS]],2,FALSE)</f>
        <v>3 BEDROOM</v>
      </c>
    </row>
    <row r="31" spans="1:10" x14ac:dyDescent="0.25">
      <c r="A31" s="121" t="s">
        <v>799</v>
      </c>
      <c r="B31" s="191">
        <v>57960</v>
      </c>
      <c r="C31" s="191">
        <v>173</v>
      </c>
      <c r="D31" s="191"/>
      <c r="E31" s="122">
        <v>0</v>
      </c>
      <c r="F31" s="122">
        <v>852301.8</v>
      </c>
      <c r="G31" s="122">
        <v>10279080</v>
      </c>
      <c r="H31" s="122">
        <v>11057580</v>
      </c>
      <c r="I31" s="122">
        <v>11576580</v>
      </c>
      <c r="J31" s="79" t="str">
        <f>VLOOKUP(A31,Table1[[Unit Number]:[NO. OF BEDROOMS]],2,FALSE)</f>
        <v>3 BEDROOM</v>
      </c>
    </row>
    <row r="32" spans="1:10" x14ac:dyDescent="0.25">
      <c r="A32" s="121" t="s">
        <v>806</v>
      </c>
      <c r="B32" s="191">
        <v>57960</v>
      </c>
      <c r="C32" s="191">
        <v>198</v>
      </c>
      <c r="D32" s="191"/>
      <c r="E32" s="122">
        <v>0</v>
      </c>
      <c r="F32" s="122">
        <v>975466.8</v>
      </c>
      <c r="G32" s="122">
        <v>11728080</v>
      </c>
      <c r="H32" s="122">
        <v>12619080</v>
      </c>
      <c r="I32" s="122">
        <v>13213080</v>
      </c>
      <c r="J32" s="79" t="str">
        <f>VLOOKUP(A32,Table1[[Unit Number]:[NO. OF BEDROOMS]],2,FALSE)</f>
        <v>3 BEDROOM</v>
      </c>
    </row>
    <row r="33" spans="1:10" x14ac:dyDescent="0.25">
      <c r="A33" s="121" t="s">
        <v>807</v>
      </c>
      <c r="B33" s="191">
        <v>58968</v>
      </c>
      <c r="C33" s="191">
        <v>199</v>
      </c>
      <c r="D33" s="191"/>
      <c r="E33" s="122">
        <v>0</v>
      </c>
      <c r="F33" s="122">
        <v>997443.72000000009</v>
      </c>
      <c r="G33" s="122">
        <v>11986632</v>
      </c>
      <c r="H33" s="122">
        <v>12882132</v>
      </c>
      <c r="I33" s="122">
        <v>13479132</v>
      </c>
      <c r="J33" s="79" t="str">
        <f>VLOOKUP(A33,Table1[[Unit Number]:[NO. OF BEDROOMS]],2,FALSE)</f>
        <v>3 BEDROOM</v>
      </c>
    </row>
    <row r="34" spans="1:10" x14ac:dyDescent="0.25">
      <c r="A34" s="121" t="s">
        <v>818</v>
      </c>
      <c r="B34" s="191">
        <v>57960</v>
      </c>
      <c r="C34" s="191">
        <v>199</v>
      </c>
      <c r="D34" s="191">
        <v>77.610299999999995</v>
      </c>
      <c r="E34" s="122">
        <v>1484436.6860399998</v>
      </c>
      <c r="F34" s="122">
        <v>1106570.5183134</v>
      </c>
      <c r="G34" s="122">
        <v>13270476.686039999</v>
      </c>
      <c r="H34" s="122">
        <v>14165976.686039999</v>
      </c>
      <c r="I34" s="122">
        <v>14762976.686039999</v>
      </c>
      <c r="J34" s="79" t="str">
        <f>VLOOKUP(A34,Table1[[Unit Number]:[NO. OF BEDROOMS]],2,FALSE)</f>
        <v>3 BEDROOM</v>
      </c>
    </row>
    <row r="35" spans="1:10" x14ac:dyDescent="0.25">
      <c r="A35" s="121" t="s">
        <v>842</v>
      </c>
      <c r="B35" s="191">
        <v>57960</v>
      </c>
      <c r="C35" s="191">
        <v>199</v>
      </c>
      <c r="D35" s="191">
        <v>77.576999999999998</v>
      </c>
      <c r="E35" s="122">
        <v>1483799.7635999999</v>
      </c>
      <c r="F35" s="122">
        <v>1106516.3799060001</v>
      </c>
      <c r="G35" s="122">
        <v>13269839.763599999</v>
      </c>
      <c r="H35" s="122">
        <v>14165339.763599999</v>
      </c>
      <c r="I35" s="122">
        <v>14762339.763599999</v>
      </c>
      <c r="J35" s="79" t="str">
        <f>VLOOKUP(A35,Table1[[Unit Number]:[NO. OF BEDROOMS]],2,FALSE)</f>
        <v>3 BEDROOM</v>
      </c>
    </row>
    <row r="36" spans="1:10" x14ac:dyDescent="0.25">
      <c r="A36" s="121" t="s">
        <v>848</v>
      </c>
      <c r="B36" s="191">
        <v>59062.5</v>
      </c>
      <c r="C36" s="191">
        <v>223</v>
      </c>
      <c r="D36" s="191"/>
      <c r="E36" s="122">
        <v>0</v>
      </c>
      <c r="F36" s="122">
        <v>1119529.6875</v>
      </c>
      <c r="G36" s="122">
        <v>13422937.5</v>
      </c>
      <c r="H36" s="122">
        <v>14426437.5</v>
      </c>
      <c r="I36" s="122">
        <v>15095437.5</v>
      </c>
      <c r="J36" s="79" t="str">
        <f>VLOOKUP(A36,Table1[[Unit Number]:[NO. OF BEDROOMS]],2,FALSE)</f>
        <v>3 BEDROOM + LIVING</v>
      </c>
    </row>
    <row r="37" spans="1:10" x14ac:dyDescent="0.25">
      <c r="A37" s="121" t="s">
        <v>853</v>
      </c>
      <c r="B37" s="191">
        <v>57928.5</v>
      </c>
      <c r="C37" s="191">
        <v>158</v>
      </c>
      <c r="D37" s="191">
        <v>84.075199999999995</v>
      </c>
      <c r="E37" s="122">
        <v>1607215.5736560002</v>
      </c>
      <c r="F37" s="122">
        <v>914593.07876076014</v>
      </c>
      <c r="G37" s="122">
        <v>11011918.573656</v>
      </c>
      <c r="H37" s="122">
        <v>11722918.573656</v>
      </c>
      <c r="I37" s="122">
        <v>12196918.573656</v>
      </c>
      <c r="J37" s="79" t="str">
        <f>VLOOKUP(A37,Table1[[Unit Number]:[NO. OF BEDROOMS]],2,FALSE)</f>
        <v>3 BEDROOM</v>
      </c>
    </row>
    <row r="38" spans="1:10" x14ac:dyDescent="0.25">
      <c r="A38" s="121" t="s">
        <v>855</v>
      </c>
      <c r="B38" s="191">
        <v>57991.5</v>
      </c>
      <c r="C38" s="191">
        <v>160</v>
      </c>
      <c r="D38" s="191"/>
      <c r="E38" s="122">
        <v>0</v>
      </c>
      <c r="F38" s="122">
        <v>788684.4</v>
      </c>
      <c r="G38" s="122">
        <v>9530640</v>
      </c>
      <c r="H38" s="122">
        <v>10250640</v>
      </c>
      <c r="I38" s="122">
        <v>10730640</v>
      </c>
      <c r="J38" s="79" t="str">
        <f>VLOOKUP(A38,Table1[[Unit Number]:[NO. OF BEDROOMS]],2,FALSE)</f>
        <v>3 BEDROOM</v>
      </c>
    </row>
    <row r="39" spans="1:10" x14ac:dyDescent="0.25">
      <c r="A39" s="121" t="s">
        <v>426</v>
      </c>
      <c r="B39" s="191">
        <v>56385</v>
      </c>
      <c r="C39" s="191">
        <v>155</v>
      </c>
      <c r="D39" s="191"/>
      <c r="E39" s="122">
        <v>0</v>
      </c>
      <c r="F39" s="122">
        <v>742872.375</v>
      </c>
      <c r="G39" s="122">
        <v>8991675</v>
      </c>
      <c r="H39" s="122">
        <v>9689175</v>
      </c>
      <c r="I39" s="122">
        <v>10154175</v>
      </c>
      <c r="J39" s="79" t="str">
        <f>VLOOKUP(A39,Table1[[Unit Number]:[NO. OF BEDROOMS]],2,FALSE)</f>
        <v>3 BEDROOM</v>
      </c>
    </row>
    <row r="40" spans="1:10" x14ac:dyDescent="0.25">
      <c r="A40" s="121" t="s">
        <v>438</v>
      </c>
      <c r="B40" s="191">
        <v>56385</v>
      </c>
      <c r="C40" s="191">
        <v>155</v>
      </c>
      <c r="D40" s="191"/>
      <c r="E40" s="122">
        <v>0</v>
      </c>
      <c r="F40" s="122">
        <v>742872.375</v>
      </c>
      <c r="G40" s="122">
        <v>8991675</v>
      </c>
      <c r="H40" s="122">
        <v>9689175</v>
      </c>
      <c r="I40" s="122">
        <v>10154175</v>
      </c>
      <c r="J40" s="79" t="str">
        <f>VLOOKUP(A40,Table1[[Unit Number]:[NO. OF BEDROOMS]],2,FALSE)</f>
        <v>3 BEDROOM</v>
      </c>
    </row>
    <row r="41" spans="1:10" x14ac:dyDescent="0.25">
      <c r="A41" s="121" t="s">
        <v>874</v>
      </c>
      <c r="B41" s="191">
        <v>58999.5</v>
      </c>
      <c r="C41" s="191">
        <v>160</v>
      </c>
      <c r="D41" s="191"/>
      <c r="E41" s="122">
        <v>0</v>
      </c>
      <c r="F41" s="122">
        <v>802393.20000000007</v>
      </c>
      <c r="G41" s="122">
        <v>9691920</v>
      </c>
      <c r="H41" s="122">
        <v>10411920</v>
      </c>
      <c r="I41" s="122">
        <v>10891920</v>
      </c>
      <c r="J41" s="79" t="str">
        <f>VLOOKUP(A41,Table1[[Unit Number]:[NO. OF BEDROOMS]],2,FALSE)</f>
        <v>3 BEDROOM</v>
      </c>
    </row>
    <row r="42" spans="1:10" x14ac:dyDescent="0.25">
      <c r="A42" s="121" t="s">
        <v>449</v>
      </c>
      <c r="B42" s="191">
        <v>56385</v>
      </c>
      <c r="C42" s="191">
        <v>155</v>
      </c>
      <c r="D42" s="191"/>
      <c r="E42" s="122">
        <v>0</v>
      </c>
      <c r="F42" s="122">
        <v>742872.375</v>
      </c>
      <c r="G42" s="122">
        <v>8991675</v>
      </c>
      <c r="H42" s="122">
        <v>9689175</v>
      </c>
      <c r="I42" s="122">
        <v>10154175</v>
      </c>
      <c r="J42" s="79" t="str">
        <f>VLOOKUP(A42,Table1[[Unit Number]:[NO. OF BEDROOMS]],2,FALSE)</f>
        <v>3 BEDROOM</v>
      </c>
    </row>
    <row r="43" spans="1:10" x14ac:dyDescent="0.25">
      <c r="A43" s="121" t="s">
        <v>886</v>
      </c>
      <c r="B43" s="191">
        <v>59031</v>
      </c>
      <c r="C43" s="191">
        <v>202</v>
      </c>
      <c r="D43" s="191"/>
      <c r="E43" s="122">
        <v>0</v>
      </c>
      <c r="F43" s="122">
        <v>1013562.27</v>
      </c>
      <c r="G43" s="122">
        <v>12176262</v>
      </c>
      <c r="H43" s="122">
        <v>13085262</v>
      </c>
      <c r="I43" s="122">
        <v>13691262</v>
      </c>
      <c r="J43" s="79" t="str">
        <f>VLOOKUP(A43,Table1[[Unit Number]:[NO. OF BEDROOMS]],2,FALSE)</f>
        <v>3 BEDROOM</v>
      </c>
    </row>
    <row r="44" spans="1:10" x14ac:dyDescent="0.25">
      <c r="A44" s="121" t="s">
        <v>901</v>
      </c>
      <c r="B44" s="191">
        <v>59031</v>
      </c>
      <c r="C44" s="191">
        <v>202</v>
      </c>
      <c r="D44" s="191"/>
      <c r="E44" s="122">
        <v>0</v>
      </c>
      <c r="F44" s="122">
        <v>1013562.27</v>
      </c>
      <c r="G44" s="122">
        <v>12176262</v>
      </c>
      <c r="H44" s="122">
        <v>13085262</v>
      </c>
      <c r="I44" s="122">
        <v>13691262</v>
      </c>
      <c r="J44" s="79" t="str">
        <f>VLOOKUP(A44,Table1[[Unit Number]:[NO. OF BEDROOMS]],2,FALSE)</f>
        <v>3 BEDROOM</v>
      </c>
    </row>
    <row r="45" spans="1:10" x14ac:dyDescent="0.25">
      <c r="A45" s="121" t="s">
        <v>904</v>
      </c>
      <c r="B45" s="191">
        <v>58999.5</v>
      </c>
      <c r="C45" s="191">
        <v>224</v>
      </c>
      <c r="D45" s="191">
        <v>61.571399999999997</v>
      </c>
      <c r="E45" s="122">
        <v>1198784.9987189998</v>
      </c>
      <c r="F45" s="122">
        <v>1225247.204891115</v>
      </c>
      <c r="G45" s="122">
        <v>14666672.998718999</v>
      </c>
      <c r="H45" s="122">
        <v>15674672.998718999</v>
      </c>
      <c r="I45" s="122">
        <v>16346672.998718999</v>
      </c>
      <c r="J45" s="79" t="str">
        <f>VLOOKUP(A45,Table1[[Unit Number]:[NO. OF BEDROOMS]],2,FALSE)</f>
        <v>3 BEDROOM + LIVING</v>
      </c>
    </row>
    <row r="46" spans="1:10" x14ac:dyDescent="0.25">
      <c r="A46" s="121" t="s">
        <v>907</v>
      </c>
      <c r="B46" s="191">
        <v>58968</v>
      </c>
      <c r="C46" s="191">
        <v>199</v>
      </c>
      <c r="D46" s="191"/>
      <c r="E46" s="122">
        <v>0</v>
      </c>
      <c r="F46" s="122">
        <v>997443.72000000009</v>
      </c>
      <c r="G46" s="122">
        <v>11986632</v>
      </c>
      <c r="H46" s="122">
        <v>12882132</v>
      </c>
      <c r="I46" s="122">
        <v>13479132</v>
      </c>
      <c r="J46" s="79" t="str">
        <f>VLOOKUP(A46,Table1[[Unit Number]:[NO. OF BEDROOMS]],2,FALSE)</f>
        <v>3 BEDROOM</v>
      </c>
    </row>
    <row r="47" spans="1:10" x14ac:dyDescent="0.25">
      <c r="A47" s="121" t="s">
        <v>915</v>
      </c>
      <c r="B47" s="191">
        <v>58999.5</v>
      </c>
      <c r="C47" s="191">
        <v>158</v>
      </c>
      <c r="D47" s="191">
        <v>84.075199999999995</v>
      </c>
      <c r="E47" s="122">
        <v>1636930.2715919998</v>
      </c>
      <c r="F47" s="122">
        <v>931502.3580853201</v>
      </c>
      <c r="G47" s="122">
        <v>11210851.271592</v>
      </c>
      <c r="H47" s="122">
        <v>11921851.271592</v>
      </c>
      <c r="I47" s="122">
        <v>12395851.271592</v>
      </c>
      <c r="J47" s="79" t="str">
        <f>VLOOKUP(A47,Table1[[Unit Number]:[NO. OF BEDROOMS]],2,FALSE)</f>
        <v>3 BEDROOM</v>
      </c>
    </row>
    <row r="48" spans="1:10" x14ac:dyDescent="0.25">
      <c r="A48" s="121" t="s">
        <v>486</v>
      </c>
      <c r="B48" s="191">
        <v>56385</v>
      </c>
      <c r="C48" s="191">
        <v>155</v>
      </c>
      <c r="D48" s="191"/>
      <c r="E48" s="122">
        <v>0</v>
      </c>
      <c r="F48" s="122">
        <v>742872.375</v>
      </c>
      <c r="G48" s="122">
        <v>8991675</v>
      </c>
      <c r="H48" s="122">
        <v>9689175</v>
      </c>
      <c r="I48" s="122">
        <v>10154175</v>
      </c>
      <c r="J48" s="79" t="str">
        <f>VLOOKUP(A48,Table1[[Unit Number]:[NO. OF BEDROOMS]],2,FALSE)</f>
        <v>3 BEDROOM</v>
      </c>
    </row>
    <row r="49" spans="1:10" x14ac:dyDescent="0.25">
      <c r="A49" s="121" t="s">
        <v>923</v>
      </c>
      <c r="B49" s="191">
        <v>58999.5</v>
      </c>
      <c r="C49" s="191">
        <v>160</v>
      </c>
      <c r="D49" s="191"/>
      <c r="E49" s="122">
        <v>0</v>
      </c>
      <c r="F49" s="122">
        <v>802393.20000000007</v>
      </c>
      <c r="G49" s="122">
        <v>9691920</v>
      </c>
      <c r="H49" s="122">
        <v>10411920</v>
      </c>
      <c r="I49" s="122">
        <v>10891920</v>
      </c>
      <c r="J49" s="79" t="str">
        <f>VLOOKUP(A49,Table1[[Unit Number]:[NO. OF BEDROOMS]],2,FALSE)</f>
        <v>3 BEDROOM</v>
      </c>
    </row>
    <row r="50" spans="1:10" x14ac:dyDescent="0.25">
      <c r="A50" s="121" t="s">
        <v>497</v>
      </c>
      <c r="B50" s="191">
        <v>56385</v>
      </c>
      <c r="C50" s="191">
        <v>155</v>
      </c>
      <c r="D50" s="191"/>
      <c r="E50" s="122">
        <v>0</v>
      </c>
      <c r="F50" s="122">
        <v>742872.375</v>
      </c>
      <c r="G50" s="122">
        <v>8991675</v>
      </c>
      <c r="H50" s="122">
        <v>9689175</v>
      </c>
      <c r="I50" s="122">
        <v>10154175</v>
      </c>
      <c r="J50" s="79" t="str">
        <f>VLOOKUP(A50,Table1[[Unit Number]:[NO. OF BEDROOMS]],2,FALSE)</f>
        <v>3 BEDROOM</v>
      </c>
    </row>
    <row r="51" spans="1:10" x14ac:dyDescent="0.25">
      <c r="A51" s="121" t="s">
        <v>937</v>
      </c>
      <c r="B51" s="191">
        <v>58968</v>
      </c>
      <c r="C51" s="191">
        <v>155</v>
      </c>
      <c r="D51" s="191"/>
      <c r="E51" s="122">
        <v>0</v>
      </c>
      <c r="F51" s="122">
        <v>776903.4</v>
      </c>
      <c r="G51" s="122">
        <v>9392040</v>
      </c>
      <c r="H51" s="122">
        <v>10089540</v>
      </c>
      <c r="I51" s="122">
        <v>10554540</v>
      </c>
      <c r="J51" s="79" t="str">
        <f>VLOOKUP(A51,Table1[[Unit Number]:[NO. OF BEDROOMS]],2,FALSE)</f>
        <v>3 BEDROOM</v>
      </c>
    </row>
    <row r="52" spans="1:10" x14ac:dyDescent="0.25">
      <c r="A52" s="121" t="s">
        <v>528</v>
      </c>
      <c r="B52" s="191">
        <v>56322</v>
      </c>
      <c r="C52" s="191">
        <v>173</v>
      </c>
      <c r="D52" s="191"/>
      <c r="E52" s="122">
        <v>0</v>
      </c>
      <c r="F52" s="122">
        <v>828215.01</v>
      </c>
      <c r="G52" s="122">
        <v>9995706</v>
      </c>
      <c r="H52" s="122">
        <v>10774206</v>
      </c>
      <c r="I52" s="122">
        <v>11293206</v>
      </c>
      <c r="J52" s="79" t="str">
        <f>VLOOKUP(A52,Table1[[Unit Number]:[NO. OF BEDROOMS]],2,FALSE)</f>
        <v>3 BEDROOM</v>
      </c>
    </row>
    <row r="53" spans="1:10" x14ac:dyDescent="0.25">
      <c r="A53" s="121" t="s">
        <v>958</v>
      </c>
      <c r="B53" s="191">
        <v>58968</v>
      </c>
      <c r="C53" s="191">
        <v>174</v>
      </c>
      <c r="D53" s="191"/>
      <c r="E53" s="122">
        <v>0</v>
      </c>
      <c r="F53" s="122">
        <v>872136.72000000009</v>
      </c>
      <c r="G53" s="122">
        <v>10512432</v>
      </c>
      <c r="H53" s="122">
        <v>11295432</v>
      </c>
      <c r="I53" s="122">
        <v>11817432</v>
      </c>
      <c r="J53" s="79" t="str">
        <f>VLOOKUP(A53,Table1[[Unit Number]:[NO. OF BEDROOMS]],2,FALSE)</f>
        <v>3 BEDROOM</v>
      </c>
    </row>
    <row r="54" spans="1:10" x14ac:dyDescent="0.25">
      <c r="A54" s="121" t="s">
        <v>959</v>
      </c>
      <c r="B54" s="191">
        <v>58968</v>
      </c>
      <c r="C54" s="191">
        <v>174</v>
      </c>
      <c r="D54" s="191"/>
      <c r="E54" s="122">
        <v>0</v>
      </c>
      <c r="F54" s="122">
        <v>872136.72000000009</v>
      </c>
      <c r="G54" s="122">
        <v>10512432</v>
      </c>
      <c r="H54" s="122">
        <v>11295432</v>
      </c>
      <c r="I54" s="122">
        <v>11817432</v>
      </c>
      <c r="J54" s="79" t="str">
        <f>VLOOKUP(A54,Table1[[Unit Number]:[NO. OF BEDROOMS]],2,FALSE)</f>
        <v>3 BEDROOM</v>
      </c>
    </row>
    <row r="55" spans="1:10" x14ac:dyDescent="0.25">
      <c r="A55" s="121" t="s">
        <v>529</v>
      </c>
      <c r="B55" s="191">
        <v>56322</v>
      </c>
      <c r="C55" s="191">
        <v>173</v>
      </c>
      <c r="D55" s="191"/>
      <c r="E55" s="122">
        <v>0</v>
      </c>
      <c r="F55" s="122">
        <v>828215.01</v>
      </c>
      <c r="G55" s="122">
        <v>9995706</v>
      </c>
      <c r="H55" s="122">
        <v>10774206</v>
      </c>
      <c r="I55" s="122">
        <v>11293206</v>
      </c>
      <c r="J55" s="79" t="str">
        <f>VLOOKUP(A55,Table1[[Unit Number]:[NO. OF BEDROOMS]],2,FALSE)</f>
        <v>3 BEDROOM</v>
      </c>
    </row>
    <row r="56" spans="1:10" x14ac:dyDescent="0.25">
      <c r="A56" s="121" t="s">
        <v>968</v>
      </c>
      <c r="B56" s="191">
        <v>59062.5</v>
      </c>
      <c r="C56" s="191">
        <v>228</v>
      </c>
      <c r="D56" s="191"/>
      <c r="E56" s="122">
        <v>0</v>
      </c>
      <c r="F56" s="122">
        <v>1144631.25</v>
      </c>
      <c r="G56" s="122">
        <v>13718250</v>
      </c>
      <c r="H56" s="122">
        <v>14744250</v>
      </c>
      <c r="I56" s="122">
        <v>15428250</v>
      </c>
      <c r="J56" s="79" t="str">
        <f>VLOOKUP(A56,Table1[[Unit Number]:[NO. OF BEDROOMS]],2,FALSE)</f>
        <v>3 BEDROOM + LIVING</v>
      </c>
    </row>
    <row r="57" spans="1:10" x14ac:dyDescent="0.25">
      <c r="A57" s="121" t="s">
        <v>539</v>
      </c>
      <c r="B57" s="191">
        <v>56322</v>
      </c>
      <c r="C57" s="191">
        <v>172</v>
      </c>
      <c r="D57" s="191"/>
      <c r="E57" s="122">
        <v>0</v>
      </c>
      <c r="F57" s="122">
        <v>823427.64</v>
      </c>
      <c r="G57" s="122">
        <v>9939384</v>
      </c>
      <c r="H57" s="122">
        <v>10713384</v>
      </c>
      <c r="I57" s="122">
        <v>11229384</v>
      </c>
      <c r="J57" s="79" t="str">
        <f>VLOOKUP(A57,Table1[[Unit Number]:[NO. OF BEDROOMS]],2,FALSE)</f>
        <v>3 BEDROOM</v>
      </c>
    </row>
    <row r="58" spans="1:10" x14ac:dyDescent="0.25">
      <c r="A58" s="121" t="s">
        <v>974</v>
      </c>
      <c r="B58" s="191">
        <v>57960</v>
      </c>
      <c r="C58" s="191">
        <v>198</v>
      </c>
      <c r="D58" s="191"/>
      <c r="E58" s="122">
        <v>0</v>
      </c>
      <c r="F58" s="122">
        <v>975466.8</v>
      </c>
      <c r="G58" s="122">
        <v>11728080</v>
      </c>
      <c r="H58" s="122">
        <v>12619080</v>
      </c>
      <c r="I58" s="122">
        <v>13213080</v>
      </c>
      <c r="J58" s="79" t="str">
        <f>VLOOKUP(A58,Table1[[Unit Number]:[NO. OF BEDROOMS]],2,FALSE)</f>
        <v>3 BEDROOM</v>
      </c>
    </row>
    <row r="59" spans="1:10" x14ac:dyDescent="0.25">
      <c r="A59" s="121" t="s">
        <v>989</v>
      </c>
      <c r="B59" s="191">
        <v>57960</v>
      </c>
      <c r="C59" s="191">
        <v>198</v>
      </c>
      <c r="D59" s="191"/>
      <c r="E59" s="122">
        <v>0</v>
      </c>
      <c r="F59" s="122">
        <v>975466.8</v>
      </c>
      <c r="G59" s="122">
        <v>11728080</v>
      </c>
      <c r="H59" s="122">
        <v>12619080</v>
      </c>
      <c r="I59" s="122">
        <v>13213080</v>
      </c>
      <c r="J59" s="79" t="str">
        <f>VLOOKUP(A59,Table1[[Unit Number]:[NO. OF BEDROOMS]],2,FALSE)</f>
        <v>3 BEDROOM</v>
      </c>
    </row>
    <row r="60" spans="1:10" x14ac:dyDescent="0.25">
      <c r="A60" s="121" t="s">
        <v>990</v>
      </c>
      <c r="B60" s="191">
        <v>58999.5</v>
      </c>
      <c r="C60" s="191">
        <v>224</v>
      </c>
      <c r="D60" s="191"/>
      <c r="E60" s="122">
        <v>0</v>
      </c>
      <c r="F60" s="122">
        <v>1123350.48</v>
      </c>
      <c r="G60" s="122">
        <v>13467888</v>
      </c>
      <c r="H60" s="122">
        <v>14475888</v>
      </c>
      <c r="I60" s="122">
        <v>15147888</v>
      </c>
      <c r="J60" s="79" t="str">
        <f>VLOOKUP(A60,Table1[[Unit Number]:[NO. OF BEDROOMS]],2,FALSE)</f>
        <v>3 BEDROOM + LIVING</v>
      </c>
    </row>
    <row r="61" spans="1:10" x14ac:dyDescent="0.25">
      <c r="A61" s="121" t="s">
        <v>1007</v>
      </c>
      <c r="B61" s="191">
        <v>57960</v>
      </c>
      <c r="C61" s="191">
        <v>173</v>
      </c>
      <c r="D61" s="191"/>
      <c r="E61" s="122">
        <v>0</v>
      </c>
      <c r="F61" s="122">
        <v>852301.8</v>
      </c>
      <c r="G61" s="122">
        <v>10279080</v>
      </c>
      <c r="H61" s="122">
        <v>11057580</v>
      </c>
      <c r="I61" s="122">
        <v>11576580</v>
      </c>
      <c r="J61" s="79" t="str">
        <f>VLOOKUP(A61,Table1[[Unit Number]:[NO. OF BEDROOMS]],2,FALSE)</f>
        <v>3 BEDROOM</v>
      </c>
    </row>
    <row r="62" spans="1:10" x14ac:dyDescent="0.25">
      <c r="A62" s="121" t="s">
        <v>1008</v>
      </c>
      <c r="B62" s="191">
        <v>57960</v>
      </c>
      <c r="C62" s="191">
        <v>173</v>
      </c>
      <c r="D62" s="191"/>
      <c r="E62" s="122">
        <v>0</v>
      </c>
      <c r="F62" s="122">
        <v>852301.8</v>
      </c>
      <c r="G62" s="122">
        <v>10279080</v>
      </c>
      <c r="H62" s="122">
        <v>11057580</v>
      </c>
      <c r="I62" s="122">
        <v>11576580</v>
      </c>
      <c r="J62" s="79" t="str">
        <f>VLOOKUP(A62,Table1[[Unit Number]:[NO. OF BEDROOMS]],2,FALSE)</f>
        <v>3 BEDROOM</v>
      </c>
    </row>
    <row r="63" spans="1:10" x14ac:dyDescent="0.25">
      <c r="A63" s="121" t="s">
        <v>1013</v>
      </c>
      <c r="B63" s="191">
        <v>57960</v>
      </c>
      <c r="C63" s="191">
        <v>198</v>
      </c>
      <c r="D63" s="191"/>
      <c r="E63" s="122">
        <v>0</v>
      </c>
      <c r="F63" s="122">
        <v>975466.8</v>
      </c>
      <c r="G63" s="122">
        <v>11728080</v>
      </c>
      <c r="H63" s="122">
        <v>12619080</v>
      </c>
      <c r="I63" s="122">
        <v>13213080</v>
      </c>
      <c r="J63" s="79" t="str">
        <f>VLOOKUP(A63,Table1[[Unit Number]:[NO. OF BEDROOMS]],2,FALSE)</f>
        <v>3 BEDROOM</v>
      </c>
    </row>
    <row r="64" spans="1:10" x14ac:dyDescent="0.25">
      <c r="A64" s="121" t="s">
        <v>1018</v>
      </c>
      <c r="B64" s="191">
        <v>59062.5</v>
      </c>
      <c r="C64" s="191">
        <v>228</v>
      </c>
      <c r="D64" s="191"/>
      <c r="E64" s="122">
        <v>0</v>
      </c>
      <c r="F64" s="122">
        <v>1144631.25</v>
      </c>
      <c r="G64" s="122">
        <v>13718250</v>
      </c>
      <c r="H64" s="122">
        <v>14744250</v>
      </c>
      <c r="I64" s="122">
        <v>15428250</v>
      </c>
      <c r="J64" s="79" t="str">
        <f>VLOOKUP(A64,Table1[[Unit Number]:[NO. OF BEDROOMS]],2,FALSE)</f>
        <v>3 BEDROOM + LIVING</v>
      </c>
    </row>
    <row r="65" spans="1:10" x14ac:dyDescent="0.25">
      <c r="A65" s="121" t="s">
        <v>1025</v>
      </c>
      <c r="B65" s="191">
        <v>57953.7</v>
      </c>
      <c r="C65" s="191">
        <v>173</v>
      </c>
      <c r="D65" s="191"/>
      <c r="E65" s="122">
        <v>0</v>
      </c>
      <c r="F65" s="122">
        <v>852209.15850000002</v>
      </c>
      <c r="G65" s="122">
        <v>10277990.1</v>
      </c>
      <c r="H65" s="122">
        <v>11056490.1</v>
      </c>
      <c r="I65" s="122">
        <v>11575490.1</v>
      </c>
      <c r="J65" s="79" t="str">
        <f>VLOOKUP(A65,Table1[[Unit Number]:[NO. OF BEDROOMS]],2,FALSE)</f>
        <v>3 BEDROOM</v>
      </c>
    </row>
    <row r="66" spans="1:10" x14ac:dyDescent="0.25">
      <c r="A66" s="121" t="s">
        <v>1038</v>
      </c>
      <c r="B66" s="191">
        <v>57960</v>
      </c>
      <c r="C66" s="191">
        <v>173</v>
      </c>
      <c r="D66" s="191"/>
      <c r="E66" s="122">
        <v>0</v>
      </c>
      <c r="F66" s="122">
        <v>852301.8</v>
      </c>
      <c r="G66" s="122">
        <v>10279080</v>
      </c>
      <c r="H66" s="122">
        <v>11057580</v>
      </c>
      <c r="I66" s="122">
        <v>11576580</v>
      </c>
      <c r="J66" s="79" t="str">
        <f>VLOOKUP(A66,Table1[[Unit Number]:[NO. OF BEDROOMS]],2,FALSE)</f>
        <v>3 BEDROOM</v>
      </c>
    </row>
    <row r="67" spans="1:10" x14ac:dyDescent="0.25">
      <c r="A67" s="121" t="s">
        <v>1039</v>
      </c>
      <c r="B67" s="191">
        <v>57960</v>
      </c>
      <c r="C67" s="191">
        <v>173</v>
      </c>
      <c r="D67" s="191"/>
      <c r="E67" s="122">
        <v>0</v>
      </c>
      <c r="F67" s="122">
        <v>852301.8</v>
      </c>
      <c r="G67" s="122">
        <v>10279080</v>
      </c>
      <c r="H67" s="122">
        <v>11057580</v>
      </c>
      <c r="I67" s="122">
        <v>11576580</v>
      </c>
      <c r="J67" s="79" t="str">
        <f>VLOOKUP(A67,Table1[[Unit Number]:[NO. OF BEDROOMS]],2,FALSE)</f>
        <v>3 BEDROOM</v>
      </c>
    </row>
    <row r="68" spans="1:10" x14ac:dyDescent="0.25">
      <c r="A68" s="121" t="s">
        <v>1057</v>
      </c>
      <c r="B68" s="191">
        <v>57991.5</v>
      </c>
      <c r="C68" s="191">
        <v>160</v>
      </c>
      <c r="D68" s="191"/>
      <c r="E68" s="122">
        <v>0</v>
      </c>
      <c r="F68" s="122">
        <v>788684.4</v>
      </c>
      <c r="G68" s="122">
        <v>9530640</v>
      </c>
      <c r="H68" s="122">
        <v>10250640</v>
      </c>
      <c r="I68" s="122">
        <v>10730640</v>
      </c>
      <c r="J68" s="79" t="str">
        <f>VLOOKUP(A68,Table1[[Unit Number]:[NO. OF BEDROOMS]],2,FALSE)</f>
        <v>3 BEDROOM</v>
      </c>
    </row>
    <row r="69" spans="1:10" x14ac:dyDescent="0.25">
      <c r="A69" s="121" t="s">
        <v>606</v>
      </c>
      <c r="B69" s="191">
        <v>56385</v>
      </c>
      <c r="C69" s="191">
        <v>155</v>
      </c>
      <c r="D69" s="191"/>
      <c r="E69" s="122">
        <v>0</v>
      </c>
      <c r="F69" s="122">
        <v>742872.375</v>
      </c>
      <c r="G69" s="122">
        <v>8991675</v>
      </c>
      <c r="H69" s="122">
        <v>9689175</v>
      </c>
      <c r="I69" s="122">
        <v>10154175</v>
      </c>
      <c r="J69" s="79" t="str">
        <f>VLOOKUP(A69,Table1[[Unit Number]:[NO. OF BEDROOMS]],2,FALSE)</f>
        <v>3 BEDROOM</v>
      </c>
    </row>
    <row r="70" spans="1:10" x14ac:dyDescent="0.25">
      <c r="A70" s="121" t="s">
        <v>617</v>
      </c>
      <c r="B70" s="191">
        <v>56322</v>
      </c>
      <c r="C70" s="191">
        <v>161</v>
      </c>
      <c r="D70" s="191"/>
      <c r="E70" s="122">
        <v>0</v>
      </c>
      <c r="F70" s="122">
        <v>770766.57000000007</v>
      </c>
      <c r="G70" s="122">
        <v>9319842</v>
      </c>
      <c r="H70" s="122">
        <v>10044342</v>
      </c>
      <c r="I70" s="122">
        <v>10527342</v>
      </c>
      <c r="J70" s="79" t="str">
        <f>VLOOKUP(A70,Table1[[Unit Number]:[NO. OF BEDROOMS]],2,FALSE)</f>
        <v>3 BEDROOM</v>
      </c>
    </row>
    <row r="71" spans="1:10" x14ac:dyDescent="0.25">
      <c r="A71" s="121" t="s">
        <v>618</v>
      </c>
      <c r="B71" s="191">
        <v>56385</v>
      </c>
      <c r="C71" s="191">
        <v>155</v>
      </c>
      <c r="D71" s="191"/>
      <c r="E71" s="122">
        <v>0</v>
      </c>
      <c r="F71" s="122">
        <v>742872.375</v>
      </c>
      <c r="G71" s="122">
        <v>8991675</v>
      </c>
      <c r="H71" s="122">
        <v>9689175</v>
      </c>
      <c r="I71" s="122">
        <v>10154175</v>
      </c>
      <c r="J71" s="79" t="str">
        <f>VLOOKUP(A71,Table1[[Unit Number]:[NO. OF BEDROOMS]],2,FALSE)</f>
        <v>3 BEDROOM</v>
      </c>
    </row>
    <row r="72" spans="1:10" x14ac:dyDescent="0.25">
      <c r="A72" s="121" t="s">
        <v>1075</v>
      </c>
      <c r="B72" s="191">
        <v>57991.5</v>
      </c>
      <c r="C72" s="191">
        <v>160</v>
      </c>
      <c r="D72" s="191"/>
      <c r="E72" s="122">
        <v>0</v>
      </c>
      <c r="F72" s="122">
        <v>788684.4</v>
      </c>
      <c r="G72" s="122">
        <v>9530640</v>
      </c>
      <c r="H72" s="122">
        <v>10250640</v>
      </c>
      <c r="I72" s="122">
        <v>10730640</v>
      </c>
      <c r="J72" s="79" t="str">
        <f>VLOOKUP(A72,Table1[[Unit Number]:[NO. OF BEDROOMS]],2,FALSE)</f>
        <v>3 BEDROOM</v>
      </c>
    </row>
    <row r="73" spans="1:10" x14ac:dyDescent="0.25">
      <c r="A73" s="121" t="s">
        <v>629</v>
      </c>
      <c r="B73" s="191">
        <v>56385</v>
      </c>
      <c r="C73" s="191">
        <v>155</v>
      </c>
      <c r="D73" s="191"/>
      <c r="E73" s="122">
        <v>0</v>
      </c>
      <c r="F73" s="122">
        <v>742872.375</v>
      </c>
      <c r="G73" s="122">
        <v>8991675</v>
      </c>
      <c r="H73" s="122">
        <v>9689175</v>
      </c>
      <c r="I73" s="122">
        <v>10154175</v>
      </c>
      <c r="J73" s="79" t="str">
        <f>VLOOKUP(A73,Table1[[Unit Number]:[NO. OF BEDROOMS]],2,FALSE)</f>
        <v>3 BEDROOM</v>
      </c>
    </row>
    <row r="74" spans="1:10" x14ac:dyDescent="0.25">
      <c r="A74" s="121" t="s">
        <v>636</v>
      </c>
      <c r="B74" s="191">
        <v>56385</v>
      </c>
      <c r="C74" s="191">
        <v>155</v>
      </c>
      <c r="D74" s="191"/>
      <c r="E74" s="122">
        <v>0</v>
      </c>
      <c r="F74" s="122">
        <v>742872.375</v>
      </c>
      <c r="G74" s="122">
        <v>8991675</v>
      </c>
      <c r="H74" s="122">
        <v>9689175</v>
      </c>
      <c r="I74" s="122">
        <v>10154175</v>
      </c>
      <c r="J74" s="79" t="str">
        <f>VLOOKUP(A74,Table1[[Unit Number]:[NO. OF BEDROOMS]],2,FALSE)</f>
        <v>3 BEDROOM</v>
      </c>
    </row>
    <row r="75" spans="1:10" x14ac:dyDescent="0.25">
      <c r="A75" s="121" t="s">
        <v>647</v>
      </c>
      <c r="B75" s="191">
        <v>56353.5</v>
      </c>
      <c r="C75" s="191">
        <v>161</v>
      </c>
      <c r="D75" s="191"/>
      <c r="E75" s="122">
        <v>0</v>
      </c>
      <c r="F75" s="122">
        <v>771197.64750000008</v>
      </c>
      <c r="G75" s="122">
        <v>9324913.5</v>
      </c>
      <c r="H75" s="122">
        <v>10049413.5</v>
      </c>
      <c r="I75" s="122">
        <v>10532413.5</v>
      </c>
      <c r="J75" s="79" t="str">
        <f>VLOOKUP(A75,Table1[[Unit Number]:[NO. OF BEDROOMS]],2,FALSE)</f>
        <v>3 BEDROOM</v>
      </c>
    </row>
    <row r="76" spans="1:10" x14ac:dyDescent="0.25">
      <c r="A76" s="121" t="s">
        <v>1095</v>
      </c>
      <c r="B76" s="191">
        <v>57928.5</v>
      </c>
      <c r="C76" s="191">
        <v>161</v>
      </c>
      <c r="D76" s="191"/>
      <c r="E76" s="122">
        <v>0</v>
      </c>
      <c r="F76" s="122">
        <v>792751.52250000008</v>
      </c>
      <c r="G76" s="122">
        <v>9578488.5</v>
      </c>
      <c r="H76" s="122">
        <v>10302988.5</v>
      </c>
      <c r="I76" s="122">
        <v>10785988.5</v>
      </c>
      <c r="J76" s="79" t="str">
        <f>VLOOKUP(A76,Table1[[Unit Number]:[NO. OF BEDROOMS]],2,FALSE)</f>
        <v>3 BEDROOM</v>
      </c>
    </row>
    <row r="77" spans="1:10" x14ac:dyDescent="0.25">
      <c r="A77" s="121" t="s">
        <v>1101</v>
      </c>
      <c r="B77" s="191">
        <v>57928.5</v>
      </c>
      <c r="C77" s="191">
        <v>158</v>
      </c>
      <c r="D77" s="191">
        <v>84.0732</v>
      </c>
      <c r="E77" s="122">
        <v>1607177.3408460002</v>
      </c>
      <c r="F77" s="122">
        <v>914589.82897191006</v>
      </c>
      <c r="G77" s="122">
        <v>11011880.340846</v>
      </c>
      <c r="H77" s="122">
        <v>11722880.340846</v>
      </c>
      <c r="I77" s="122">
        <v>12196880.340846</v>
      </c>
      <c r="J77" s="79" t="str">
        <f>VLOOKUP(A77,Table1[[Unit Number]:[NO. OF BEDROOMS]],2,FALSE)</f>
        <v>3 BEDROOM</v>
      </c>
    </row>
    <row r="78" spans="1:10" x14ac:dyDescent="0.25">
      <c r="A78" s="121" t="s">
        <v>668</v>
      </c>
      <c r="B78" s="191">
        <v>58243.5</v>
      </c>
      <c r="C78" s="191">
        <v>161</v>
      </c>
      <c r="D78" s="191"/>
      <c r="E78" s="122">
        <v>0</v>
      </c>
      <c r="F78" s="122">
        <v>797062.2975000001</v>
      </c>
      <c r="G78" s="122">
        <v>9629203.5</v>
      </c>
      <c r="H78" s="122">
        <v>10353703.5</v>
      </c>
      <c r="I78" s="122">
        <v>10836703.5</v>
      </c>
      <c r="J78" s="79" t="str">
        <f>VLOOKUP(A78,Table1[[Unit Number]:[NO. OF BEDROOMS]],2,FALSE)</f>
        <v>3 BEDROOM</v>
      </c>
    </row>
    <row r="79" spans="1:10" x14ac:dyDescent="0.25">
      <c r="A79" s="121" t="s">
        <v>678</v>
      </c>
      <c r="B79" s="191">
        <v>56385</v>
      </c>
      <c r="C79" s="191">
        <v>155</v>
      </c>
      <c r="D79" s="191"/>
      <c r="E79" s="122">
        <v>0</v>
      </c>
      <c r="F79" s="122">
        <v>742872.375</v>
      </c>
      <c r="G79" s="122">
        <v>8991675</v>
      </c>
      <c r="H79" s="122">
        <v>9689175</v>
      </c>
      <c r="I79" s="122">
        <v>10154175</v>
      </c>
      <c r="J79" s="79" t="str">
        <f>VLOOKUP(A79,Table1[[Unit Number]:[NO. OF BEDROOMS]],2,FALSE)</f>
        <v>3 BEDROOM</v>
      </c>
    </row>
    <row r="80" spans="1:10" x14ac:dyDescent="0.25">
      <c r="A80" s="121" t="s">
        <v>1125</v>
      </c>
      <c r="B80" s="191">
        <v>57928.5</v>
      </c>
      <c r="C80" s="191">
        <v>160</v>
      </c>
      <c r="D80" s="191"/>
      <c r="E80" s="122">
        <v>0</v>
      </c>
      <c r="F80" s="122">
        <v>787827.60000000009</v>
      </c>
      <c r="G80" s="122">
        <v>9520560</v>
      </c>
      <c r="H80" s="122">
        <v>10240560</v>
      </c>
      <c r="I80" s="122">
        <v>10720560</v>
      </c>
      <c r="J80" s="79" t="str">
        <f>VLOOKUP(A80,Table1[[Unit Number]:[NO. OF BEDROOMS]],2,FALSE)</f>
        <v>3 BEDROOM</v>
      </c>
    </row>
    <row r="81" spans="1:10" x14ac:dyDescent="0.25">
      <c r="A81" s="121" t="s">
        <v>691</v>
      </c>
      <c r="B81" s="191">
        <v>56385</v>
      </c>
      <c r="C81" s="191">
        <v>155</v>
      </c>
      <c r="D81" s="191"/>
      <c r="E81" s="122">
        <v>0</v>
      </c>
      <c r="F81" s="122">
        <v>742872.375</v>
      </c>
      <c r="G81" s="122">
        <v>8991675</v>
      </c>
      <c r="H81" s="122">
        <v>9689175</v>
      </c>
      <c r="I81" s="122">
        <v>10154175</v>
      </c>
      <c r="J81" s="79" t="str">
        <f>VLOOKUP(A81,Table1[[Unit Number]:[NO. OF BEDROOMS]],2,FALSE)</f>
        <v>3 BEDROOM</v>
      </c>
    </row>
    <row r="82" spans="1:10" x14ac:dyDescent="0.25">
      <c r="A82" s="121" t="s">
        <v>704</v>
      </c>
      <c r="B82" s="191">
        <v>56385</v>
      </c>
      <c r="C82" s="191">
        <v>155</v>
      </c>
      <c r="D82" s="191"/>
      <c r="E82" s="122">
        <v>0</v>
      </c>
      <c r="F82" s="122">
        <v>742872.375</v>
      </c>
      <c r="G82" s="122">
        <v>8991675</v>
      </c>
      <c r="H82" s="122">
        <v>9689175</v>
      </c>
      <c r="I82" s="122">
        <v>10154175</v>
      </c>
      <c r="J82" s="79" t="str">
        <f>VLOOKUP(A82,Table1[[Unit Number]:[NO. OF BEDROOMS]],2,FALSE)</f>
        <v>3 BEDROOM</v>
      </c>
    </row>
    <row r="83" spans="1:10" x14ac:dyDescent="0.25">
      <c r="A83" s="121" t="s">
        <v>709</v>
      </c>
      <c r="B83" s="122">
        <v>3683288.7</v>
      </c>
      <c r="C83" s="122">
        <v>10564</v>
      </c>
      <c r="D83" s="122">
        <v>530.55369999999994</v>
      </c>
      <c r="E83" s="122">
        <v>10217129.633172</v>
      </c>
      <c r="F83" s="122">
        <v>52686596.539819598</v>
      </c>
      <c r="G83" s="122">
        <v>635970312.23317206</v>
      </c>
      <c r="H83" s="122">
        <v>683508312.23317206</v>
      </c>
      <c r="I83" s="122">
        <v>715200312.23317194</v>
      </c>
    </row>
    <row r="84" spans="1:10" x14ac:dyDescent="0.25">
      <c r="A84"/>
      <c r="B84"/>
      <c r="C84"/>
      <c r="D84"/>
      <c r="E84"/>
      <c r="F84"/>
      <c r="G84"/>
      <c r="H84"/>
      <c r="I84"/>
      <c r="J84" s="79" t="e">
        <f>VLOOKUP(A84,Table1[[Unit Number]:[NO. OF BEDROOMS]],2,FALSE)</f>
        <v>#N/A</v>
      </c>
    </row>
    <row r="85" spans="1:10" x14ac:dyDescent="0.25">
      <c r="A85"/>
      <c r="B85"/>
      <c r="C85"/>
      <c r="D85"/>
      <c r="E85"/>
      <c r="F85"/>
      <c r="G85"/>
      <c r="H85"/>
      <c r="I85"/>
      <c r="J85" s="79" t="e">
        <f>VLOOKUP(A85,Table1[[Unit Number]:[NO. OF BEDROOMS]],2,FALSE)</f>
        <v>#N/A</v>
      </c>
    </row>
    <row r="86" spans="1:10" x14ac:dyDescent="0.25">
      <c r="A86"/>
      <c r="B86"/>
      <c r="C86"/>
      <c r="D86"/>
      <c r="E86"/>
      <c r="F86"/>
      <c r="G86"/>
      <c r="H86"/>
      <c r="I86"/>
      <c r="J86" s="79" t="e">
        <f>VLOOKUP(A86,Table1[[Unit Number]:[NO. OF BEDROOMS]],2,FALSE)</f>
        <v>#N/A</v>
      </c>
    </row>
    <row r="87" spans="1:10" x14ac:dyDescent="0.25">
      <c r="A87"/>
      <c r="B87"/>
      <c r="C87"/>
      <c r="D87"/>
      <c r="E87"/>
      <c r="F87"/>
      <c r="G87"/>
      <c r="H87"/>
      <c r="I87"/>
      <c r="J87" s="79" t="e">
        <f>VLOOKUP(A87,Table1[[Unit Number]:[NO. OF BEDROOMS]],2,FALSE)</f>
        <v>#N/A</v>
      </c>
    </row>
    <row r="88" spans="1:10" x14ac:dyDescent="0.25">
      <c r="A88"/>
      <c r="B88"/>
      <c r="C88"/>
      <c r="D88"/>
      <c r="E88"/>
      <c r="F88"/>
      <c r="G88"/>
      <c r="H88"/>
      <c r="I88"/>
      <c r="J88" s="79" t="e">
        <f>VLOOKUP(A88,Table1[[Unit Number]:[NO. OF BEDROOMS]],2,FALSE)</f>
        <v>#N/A</v>
      </c>
    </row>
    <row r="89" spans="1:10" x14ac:dyDescent="0.25">
      <c r="A89"/>
      <c r="B89"/>
      <c r="C89"/>
      <c r="D89"/>
      <c r="E89"/>
      <c r="F89"/>
      <c r="G89"/>
      <c r="H89"/>
      <c r="I89"/>
      <c r="J89" s="79" t="e">
        <f>VLOOKUP(A89,Table1[[Unit Number]:[NO. OF BEDROOMS]],2,FALSE)</f>
        <v>#N/A</v>
      </c>
    </row>
    <row r="90" spans="1:10" x14ac:dyDescent="0.25">
      <c r="A90"/>
      <c r="B90"/>
      <c r="C90"/>
      <c r="D90"/>
      <c r="E90"/>
      <c r="F90"/>
      <c r="G90"/>
      <c r="H90"/>
      <c r="I90"/>
      <c r="J90" s="79" t="e">
        <f>VLOOKUP(A90,Table1[[Unit Number]:[NO. OF BEDROOMS]],2,FALSE)</f>
        <v>#N/A</v>
      </c>
    </row>
    <row r="91" spans="1:10" x14ac:dyDescent="0.25">
      <c r="A91"/>
      <c r="B91"/>
      <c r="C91"/>
      <c r="D91"/>
      <c r="E91"/>
      <c r="F91"/>
      <c r="G91"/>
      <c r="H91"/>
      <c r="I91"/>
      <c r="J91" s="79" t="e">
        <f>VLOOKUP(A91,Table1[[Unit Number]:[NO. OF BEDROOMS]],2,FALSE)</f>
        <v>#N/A</v>
      </c>
    </row>
    <row r="92" spans="1:10" x14ac:dyDescent="0.25">
      <c r="A92"/>
      <c r="B92"/>
      <c r="C92"/>
      <c r="D92"/>
      <c r="E92"/>
      <c r="F92"/>
      <c r="G92"/>
      <c r="H92"/>
      <c r="I92"/>
      <c r="J92" s="79" t="e">
        <f>VLOOKUP(A92,Table1[[Unit Number]:[NO. OF BEDROOMS]],2,FALSE)</f>
        <v>#N/A</v>
      </c>
    </row>
    <row r="93" spans="1:10" x14ac:dyDescent="0.25">
      <c r="A93"/>
      <c r="B93"/>
      <c r="C93"/>
      <c r="D93"/>
      <c r="E93"/>
      <c r="F93"/>
      <c r="G93"/>
      <c r="H93"/>
      <c r="I93"/>
      <c r="J93" s="79" t="e">
        <f>VLOOKUP(A93,Table1[[Unit Number]:[NO. OF BEDROOMS]],2,FALSE)</f>
        <v>#N/A</v>
      </c>
    </row>
    <row r="94" spans="1:10" x14ac:dyDescent="0.25">
      <c r="A94"/>
      <c r="B94"/>
      <c r="C94"/>
      <c r="D94"/>
      <c r="E94"/>
      <c r="F94"/>
      <c r="G94"/>
      <c r="H94"/>
      <c r="I94"/>
      <c r="J94" s="79" t="e">
        <f>VLOOKUP(A94,Table1[[Unit Number]:[NO. OF BEDROOMS]],2,FALSE)</f>
        <v>#N/A</v>
      </c>
    </row>
    <row r="95" spans="1:10" x14ac:dyDescent="0.25">
      <c r="A95"/>
      <c r="B95"/>
      <c r="C95"/>
      <c r="D95"/>
      <c r="E95"/>
      <c r="F95"/>
      <c r="G95"/>
      <c r="H95"/>
      <c r="I95"/>
      <c r="J95" s="79" t="e">
        <f>VLOOKUP(A95,Table1[[Unit Number]:[NO. OF BEDROOMS]],2,FALSE)</f>
        <v>#N/A</v>
      </c>
    </row>
    <row r="96" spans="1:10" x14ac:dyDescent="0.25">
      <c r="A96"/>
      <c r="B96"/>
      <c r="C96"/>
      <c r="D96"/>
      <c r="E96"/>
      <c r="F96"/>
      <c r="G96"/>
      <c r="H96"/>
      <c r="I96"/>
      <c r="J96" s="79" t="e">
        <f>VLOOKUP(A96,Table1[[Unit Number]:[NO. OF BEDROOMS]],2,FALSE)</f>
        <v>#N/A</v>
      </c>
    </row>
    <row r="97" spans="1:10" x14ac:dyDescent="0.25">
      <c r="A97"/>
      <c r="B97"/>
      <c r="C97"/>
      <c r="D97"/>
      <c r="E97"/>
      <c r="F97"/>
      <c r="G97"/>
      <c r="H97"/>
      <c r="I97"/>
      <c r="J97" s="79" t="e">
        <f>VLOOKUP(A97,Table1[[Unit Number]:[NO. OF BEDROOMS]],2,FALSE)</f>
        <v>#N/A</v>
      </c>
    </row>
    <row r="98" spans="1:10" x14ac:dyDescent="0.25">
      <c r="A98"/>
      <c r="B98"/>
      <c r="C98"/>
      <c r="D98"/>
      <c r="E98"/>
      <c r="F98"/>
      <c r="G98"/>
      <c r="H98"/>
      <c r="I98"/>
      <c r="J98" s="79" t="e">
        <f>VLOOKUP(A98,Table1[[Unit Number]:[NO. OF BEDROOMS]],2,FALSE)</f>
        <v>#N/A</v>
      </c>
    </row>
    <row r="99" spans="1:10" x14ac:dyDescent="0.25">
      <c r="A99"/>
      <c r="B99"/>
      <c r="C99"/>
      <c r="D99"/>
      <c r="E99"/>
      <c r="F99"/>
      <c r="G99"/>
      <c r="H99"/>
      <c r="I99"/>
      <c r="J99" s="79" t="e">
        <f>VLOOKUP(A99,Table1[[Unit Number]:[NO. OF BEDROOMS]],2,FALSE)</f>
        <v>#N/A</v>
      </c>
    </row>
    <row r="100" spans="1:10" x14ac:dyDescent="0.25">
      <c r="A100"/>
      <c r="B100"/>
      <c r="C100"/>
      <c r="D100"/>
      <c r="E100"/>
      <c r="F100"/>
      <c r="G100"/>
      <c r="H100"/>
      <c r="I100"/>
      <c r="J100" s="79" t="e">
        <f>VLOOKUP(A100,Table1[[Unit Number]:[NO. OF BEDROOMS]],2,FALSE)</f>
        <v>#N/A</v>
      </c>
    </row>
    <row r="101" spans="1:10" x14ac:dyDescent="0.25">
      <c r="A101"/>
      <c r="B101"/>
      <c r="C101"/>
      <c r="D101"/>
      <c r="E101"/>
      <c r="F101"/>
      <c r="G101"/>
      <c r="H101"/>
      <c r="I101"/>
      <c r="J101" s="79" t="e">
        <f>VLOOKUP(A101,Table1[[Unit Number]:[NO. OF BEDROOMS]],2,FALSE)</f>
        <v>#N/A</v>
      </c>
    </row>
    <row r="102" spans="1:10" x14ac:dyDescent="0.25">
      <c r="A102"/>
      <c r="B102"/>
      <c r="C102"/>
      <c r="D102"/>
      <c r="E102"/>
      <c r="F102"/>
      <c r="G102"/>
      <c r="H102"/>
      <c r="I102"/>
      <c r="J102" s="79" t="e">
        <f>VLOOKUP(A102,Table1[[Unit Number]:[NO. OF BEDROOMS]],2,FALSE)</f>
        <v>#N/A</v>
      </c>
    </row>
    <row r="103" spans="1:10" x14ac:dyDescent="0.25">
      <c r="A103"/>
      <c r="B103"/>
      <c r="C103"/>
      <c r="D103"/>
      <c r="E103"/>
      <c r="F103"/>
      <c r="G103"/>
      <c r="H103"/>
      <c r="I103"/>
      <c r="J103" s="79" t="e">
        <f>VLOOKUP(A103,Table1[[Unit Number]:[NO. OF BEDROOMS]],2,FALSE)</f>
        <v>#N/A</v>
      </c>
    </row>
    <row r="104" spans="1:10" x14ac:dyDescent="0.25">
      <c r="A104"/>
      <c r="B104"/>
      <c r="C104"/>
      <c r="D104"/>
      <c r="E104"/>
      <c r="F104"/>
      <c r="G104"/>
      <c r="H104"/>
      <c r="I104"/>
      <c r="J104" s="79" t="e">
        <f>VLOOKUP(A104,Table1[[Unit Number]:[NO. OF BEDROOMS]],2,FALSE)</f>
        <v>#N/A</v>
      </c>
    </row>
    <row r="105" spans="1:10" x14ac:dyDescent="0.25">
      <c r="A105"/>
      <c r="B105"/>
      <c r="C105"/>
      <c r="D105"/>
      <c r="E105"/>
      <c r="F105"/>
      <c r="G105"/>
      <c r="H105"/>
      <c r="I105"/>
      <c r="J105" s="79" t="e">
        <f>VLOOKUP(A105,Table1[[Unit Number]:[NO. OF BEDROOMS]],2,FALSE)</f>
        <v>#N/A</v>
      </c>
    </row>
    <row r="106" spans="1:10" x14ac:dyDescent="0.25">
      <c r="A106"/>
      <c r="B106"/>
      <c r="C106"/>
      <c r="D106"/>
      <c r="E106"/>
      <c r="F106"/>
      <c r="G106"/>
      <c r="H106"/>
      <c r="I106"/>
      <c r="J106" s="79" t="e">
        <f>VLOOKUP(A106,Table1[[Unit Number]:[NO. OF BEDROOMS]],2,FALSE)</f>
        <v>#N/A</v>
      </c>
    </row>
    <row r="107" spans="1:10" x14ac:dyDescent="0.25">
      <c r="A107"/>
      <c r="B107"/>
      <c r="C107"/>
      <c r="D107"/>
      <c r="E107"/>
      <c r="F107"/>
      <c r="G107"/>
      <c r="H107"/>
      <c r="I107"/>
      <c r="J107" s="79" t="e">
        <f>VLOOKUP(A107,Table1[[Unit Number]:[NO. OF BEDROOMS]],2,FALSE)</f>
        <v>#N/A</v>
      </c>
    </row>
    <row r="108" spans="1:10" x14ac:dyDescent="0.25">
      <c r="A108"/>
      <c r="B108"/>
      <c r="C108"/>
      <c r="D108"/>
      <c r="E108"/>
      <c r="F108"/>
      <c r="G108"/>
      <c r="H108"/>
      <c r="I108"/>
      <c r="J108" s="79" t="e">
        <f>VLOOKUP(A108,Table1[[Unit Number]:[NO. OF BEDROOMS]],2,FALSE)</f>
        <v>#N/A</v>
      </c>
    </row>
    <row r="109" spans="1:10" x14ac:dyDescent="0.25">
      <c r="A109"/>
      <c r="B109"/>
      <c r="C109"/>
      <c r="D109"/>
      <c r="E109"/>
      <c r="F109"/>
      <c r="G109"/>
      <c r="H109"/>
      <c r="I109"/>
      <c r="J109" s="79" t="e">
        <f>VLOOKUP(A109,Table1[[Unit Number]:[NO. OF BEDROOMS]],2,FALSE)</f>
        <v>#N/A</v>
      </c>
    </row>
    <row r="110" spans="1:10" x14ac:dyDescent="0.25">
      <c r="A110"/>
      <c r="B110"/>
      <c r="C110"/>
      <c r="D110"/>
      <c r="E110"/>
      <c r="F110"/>
      <c r="G110"/>
      <c r="H110"/>
      <c r="I110"/>
      <c r="J110" s="79" t="e">
        <f>VLOOKUP(A110,Table1[[Unit Number]:[NO. OF BEDROOMS]],2,FALSE)</f>
        <v>#N/A</v>
      </c>
    </row>
    <row r="111" spans="1:10" x14ac:dyDescent="0.25">
      <c r="A111"/>
      <c r="B111"/>
      <c r="C111"/>
      <c r="D111"/>
      <c r="E111"/>
      <c r="F111"/>
      <c r="G111"/>
      <c r="H111"/>
      <c r="I111"/>
      <c r="J111" s="79" t="e">
        <f>VLOOKUP(A111,Table1[[Unit Number]:[NO. OF BEDROOMS]],2,FALSE)</f>
        <v>#N/A</v>
      </c>
    </row>
    <row r="112" spans="1:10" x14ac:dyDescent="0.25">
      <c r="A112"/>
      <c r="B112"/>
      <c r="C112"/>
      <c r="D112"/>
      <c r="E112"/>
      <c r="F112"/>
      <c r="G112"/>
      <c r="H112"/>
      <c r="I112"/>
      <c r="J112" s="79" t="e">
        <f>VLOOKUP(A112,Table1[[Unit Number]:[NO. OF BEDROOMS]],2,FALSE)</f>
        <v>#N/A</v>
      </c>
    </row>
    <row r="113" spans="1:10" x14ac:dyDescent="0.25">
      <c r="A113"/>
      <c r="B113"/>
      <c r="C113"/>
      <c r="D113"/>
      <c r="E113"/>
      <c r="F113"/>
      <c r="G113"/>
      <c r="H113"/>
      <c r="I113"/>
      <c r="J113" s="79" t="e">
        <f>VLOOKUP(A113,Table1[[Unit Number]:[NO. OF BEDROOMS]],2,FALSE)</f>
        <v>#N/A</v>
      </c>
    </row>
    <row r="114" spans="1:10" x14ac:dyDescent="0.25">
      <c r="A114"/>
      <c r="B114"/>
      <c r="C114"/>
      <c r="D114"/>
      <c r="E114"/>
      <c r="F114"/>
      <c r="G114"/>
      <c r="H114"/>
      <c r="I114"/>
      <c r="J114" s="79" t="e">
        <f>VLOOKUP(A114,Table1[[Unit Number]:[NO. OF BEDROOMS]],2,FALSE)</f>
        <v>#N/A</v>
      </c>
    </row>
    <row r="115" spans="1:10" x14ac:dyDescent="0.25">
      <c r="A115"/>
      <c r="B115"/>
      <c r="C115"/>
      <c r="D115"/>
      <c r="E115"/>
      <c r="F115"/>
      <c r="G115"/>
      <c r="H115"/>
      <c r="I115"/>
      <c r="J115" s="79" t="e">
        <f>VLOOKUP(A115,Table1[[Unit Number]:[NO. OF BEDROOMS]],2,FALSE)</f>
        <v>#N/A</v>
      </c>
    </row>
    <row r="116" spans="1:10" x14ac:dyDescent="0.25">
      <c r="A116"/>
      <c r="B116"/>
      <c r="C116"/>
      <c r="D116"/>
      <c r="E116"/>
      <c r="F116"/>
      <c r="G116"/>
      <c r="H116"/>
      <c r="I116"/>
      <c r="J116" s="79" t="e">
        <f>VLOOKUP(A116,Table1[[Unit Number]:[NO. OF BEDROOMS]],2,FALSE)</f>
        <v>#N/A</v>
      </c>
    </row>
    <row r="117" spans="1:10" x14ac:dyDescent="0.25">
      <c r="A117"/>
      <c r="B117"/>
      <c r="C117"/>
      <c r="D117"/>
      <c r="E117"/>
      <c r="F117"/>
      <c r="G117"/>
      <c r="H117"/>
      <c r="I117"/>
      <c r="J117" s="79" t="e">
        <f>VLOOKUP(A117,Table1[[Unit Number]:[NO. OF BEDROOMS]],2,FALSE)</f>
        <v>#N/A</v>
      </c>
    </row>
    <row r="118" spans="1:10" x14ac:dyDescent="0.25">
      <c r="A118"/>
      <c r="B118"/>
      <c r="C118"/>
      <c r="D118"/>
      <c r="E118"/>
      <c r="F118"/>
      <c r="G118"/>
      <c r="H118"/>
      <c r="I118"/>
      <c r="J118" s="79" t="e">
        <f>VLOOKUP(A118,Table1[[Unit Number]:[NO. OF BEDROOMS]],2,FALSE)</f>
        <v>#N/A</v>
      </c>
    </row>
    <row r="119" spans="1:10" x14ac:dyDescent="0.25">
      <c r="A119"/>
      <c r="B119"/>
      <c r="C119"/>
      <c r="D119"/>
      <c r="E119"/>
      <c r="F119"/>
      <c r="G119"/>
      <c r="H119"/>
      <c r="I119"/>
      <c r="J119" s="79" t="e">
        <f>VLOOKUP(A119,Table1[[Unit Number]:[NO. OF BEDROOMS]],2,FALSE)</f>
        <v>#N/A</v>
      </c>
    </row>
    <row r="120" spans="1:10" x14ac:dyDescent="0.25">
      <c r="A120"/>
      <c r="B120"/>
      <c r="C120"/>
      <c r="D120"/>
      <c r="E120"/>
      <c r="F120"/>
      <c r="G120"/>
      <c r="H120"/>
      <c r="I120"/>
      <c r="J120" s="79" t="e">
        <f>VLOOKUP(A120,Table1[[Unit Number]:[NO. OF BEDROOMS]],2,FALSE)</f>
        <v>#N/A</v>
      </c>
    </row>
    <row r="121" spans="1:10" x14ac:dyDescent="0.25">
      <c r="A121"/>
      <c r="B121"/>
      <c r="C121"/>
      <c r="D121"/>
      <c r="E121"/>
      <c r="F121"/>
      <c r="G121"/>
      <c r="H121"/>
      <c r="I121"/>
      <c r="J121" s="79" t="e">
        <f>VLOOKUP(A121,Table1[[Unit Number]:[NO. OF BEDROOMS]],2,FALSE)</f>
        <v>#N/A</v>
      </c>
    </row>
    <row r="122" spans="1:10" x14ac:dyDescent="0.25">
      <c r="A122"/>
      <c r="B122"/>
      <c r="C122"/>
      <c r="D122"/>
      <c r="E122"/>
      <c r="F122"/>
      <c r="G122"/>
      <c r="H122"/>
      <c r="I122"/>
      <c r="J122" s="79" t="e">
        <f>VLOOKUP(A122,Table1[[Unit Number]:[NO. OF BEDROOMS]],2,FALSE)</f>
        <v>#N/A</v>
      </c>
    </row>
    <row r="123" spans="1:10" x14ac:dyDescent="0.25">
      <c r="A123"/>
      <c r="B123"/>
      <c r="C123"/>
      <c r="D123"/>
      <c r="E123"/>
      <c r="F123"/>
      <c r="G123"/>
      <c r="H123"/>
      <c r="I123"/>
      <c r="J123" s="79" t="e">
        <f>VLOOKUP(A123,Table1[[Unit Number]:[NO. OF BEDROOMS]],2,FALSE)</f>
        <v>#N/A</v>
      </c>
    </row>
    <row r="124" spans="1:10" x14ac:dyDescent="0.25">
      <c r="A124"/>
      <c r="B124"/>
      <c r="C124"/>
      <c r="D124"/>
      <c r="E124"/>
      <c r="F124"/>
      <c r="G124"/>
      <c r="H124"/>
      <c r="I124"/>
      <c r="J124" s="79" t="e">
        <f>VLOOKUP(A124,Table1[[Unit Number]:[NO. OF BEDROOMS]],2,FALSE)</f>
        <v>#N/A</v>
      </c>
    </row>
    <row r="125" spans="1:10" x14ac:dyDescent="0.25">
      <c r="A125"/>
      <c r="B125"/>
      <c r="C125"/>
      <c r="D125"/>
      <c r="E125"/>
      <c r="F125"/>
      <c r="G125"/>
      <c r="H125"/>
      <c r="I125"/>
      <c r="J125" s="79" t="e">
        <f>VLOOKUP(A125,Table1[[Unit Number]:[NO. OF BEDROOMS]],2,FALSE)</f>
        <v>#N/A</v>
      </c>
    </row>
    <row r="126" spans="1:10" x14ac:dyDescent="0.25">
      <c r="A126"/>
      <c r="B126"/>
      <c r="C126"/>
      <c r="D126"/>
      <c r="E126"/>
      <c r="F126"/>
      <c r="G126"/>
      <c r="H126"/>
      <c r="I126"/>
      <c r="J126" s="79" t="e">
        <f>VLOOKUP(A126,Table1[[Unit Number]:[NO. OF BEDROOMS]],2,FALSE)</f>
        <v>#N/A</v>
      </c>
    </row>
    <row r="127" spans="1:10" x14ac:dyDescent="0.25">
      <c r="A127"/>
      <c r="B127"/>
      <c r="C127"/>
      <c r="D127"/>
      <c r="E127"/>
      <c r="F127"/>
      <c r="G127"/>
      <c r="H127"/>
      <c r="I127"/>
      <c r="J127" s="79" t="e">
        <f>VLOOKUP(A127,Table1[[Unit Number]:[NO. OF BEDROOMS]],2,FALSE)</f>
        <v>#N/A</v>
      </c>
    </row>
    <row r="128" spans="1:10" x14ac:dyDescent="0.25">
      <c r="A128"/>
      <c r="B128"/>
      <c r="C128"/>
      <c r="D128"/>
      <c r="E128"/>
      <c r="F128"/>
      <c r="G128"/>
      <c r="H128"/>
      <c r="I128"/>
      <c r="J128" s="79" t="e">
        <f>VLOOKUP(A128,Table1[[Unit Number]:[NO. OF BEDROOMS]],2,FALSE)</f>
        <v>#N/A</v>
      </c>
    </row>
    <row r="129" spans="1:10" x14ac:dyDescent="0.25">
      <c r="A129"/>
      <c r="B129"/>
      <c r="C129"/>
      <c r="D129"/>
      <c r="E129"/>
      <c r="F129"/>
      <c r="G129"/>
      <c r="H129"/>
      <c r="I129"/>
      <c r="J129" s="79" t="e">
        <f>VLOOKUP(A129,Table1[[Unit Number]:[NO. OF BEDROOMS]],2,FALSE)</f>
        <v>#N/A</v>
      </c>
    </row>
    <row r="130" spans="1:10" x14ac:dyDescent="0.25">
      <c r="A130"/>
      <c r="B130"/>
      <c r="C130"/>
      <c r="D130"/>
      <c r="E130"/>
      <c r="F130"/>
      <c r="G130"/>
      <c r="H130"/>
      <c r="I130"/>
      <c r="J130" s="79" t="e">
        <f>VLOOKUP(A130,Table1[[Unit Number]:[NO. OF BEDROOMS]],2,FALSE)</f>
        <v>#N/A</v>
      </c>
    </row>
    <row r="131" spans="1:10" x14ac:dyDescent="0.25">
      <c r="A131"/>
      <c r="B131"/>
      <c r="C131"/>
      <c r="D131"/>
      <c r="E131"/>
      <c r="F131"/>
      <c r="G131"/>
      <c r="H131"/>
      <c r="I131"/>
      <c r="J131" s="79" t="e">
        <f>VLOOKUP(A131,Table1[[Unit Number]:[NO. OF BEDROOMS]],2,FALSE)</f>
        <v>#N/A</v>
      </c>
    </row>
    <row r="132" spans="1:10" x14ac:dyDescent="0.25">
      <c r="A132"/>
      <c r="B132"/>
      <c r="C132"/>
      <c r="D132"/>
      <c r="E132"/>
      <c r="F132"/>
      <c r="G132"/>
      <c r="H132"/>
      <c r="I132"/>
      <c r="J132" s="79" t="e">
        <f>VLOOKUP(A132,Table1[[Unit Number]:[NO. OF BEDROOMS]],2,FALSE)</f>
        <v>#N/A</v>
      </c>
    </row>
    <row r="133" spans="1:10" x14ac:dyDescent="0.25">
      <c r="A133"/>
      <c r="B133"/>
      <c r="C133"/>
      <c r="D133"/>
      <c r="E133"/>
      <c r="F133"/>
      <c r="G133"/>
      <c r="H133"/>
      <c r="I133"/>
      <c r="J133" s="79" t="e">
        <f>VLOOKUP(A133,Table1[[Unit Number]:[NO. OF BEDROOMS]],2,FALSE)</f>
        <v>#N/A</v>
      </c>
    </row>
    <row r="134" spans="1:10" x14ac:dyDescent="0.25">
      <c r="A134"/>
      <c r="B134"/>
      <c r="C134"/>
      <c r="D134"/>
      <c r="E134"/>
      <c r="F134"/>
      <c r="G134"/>
      <c r="H134"/>
      <c r="I134"/>
      <c r="J134" s="79" t="e">
        <f>VLOOKUP(A134,Table1[[Unit Number]:[NO. OF BEDROOMS]],2,FALSE)</f>
        <v>#N/A</v>
      </c>
    </row>
    <row r="135" spans="1:10" x14ac:dyDescent="0.25">
      <c r="A135"/>
      <c r="B135"/>
      <c r="C135"/>
      <c r="D135"/>
      <c r="E135"/>
      <c r="F135"/>
      <c r="G135"/>
      <c r="H135"/>
      <c r="I135"/>
      <c r="J135" s="79" t="e">
        <f>VLOOKUP(A135,Table1[[Unit Number]:[NO. OF BEDROOMS]],2,FALSE)</f>
        <v>#N/A</v>
      </c>
    </row>
    <row r="136" spans="1:10" x14ac:dyDescent="0.25">
      <c r="A136"/>
      <c r="B136"/>
      <c r="C136"/>
      <c r="D136"/>
      <c r="E136"/>
      <c r="F136"/>
      <c r="G136"/>
      <c r="H136"/>
      <c r="I136"/>
      <c r="J136" s="79" t="e">
        <f>VLOOKUP(A136,Table1[[Unit Number]:[NO. OF BEDROOMS]],2,FALSE)</f>
        <v>#N/A</v>
      </c>
    </row>
    <row r="137" spans="1:10" x14ac:dyDescent="0.25">
      <c r="A137"/>
      <c r="B137"/>
      <c r="C137"/>
      <c r="D137"/>
      <c r="E137"/>
      <c r="F137"/>
      <c r="G137"/>
      <c r="H137"/>
      <c r="I137"/>
      <c r="J137" s="79" t="e">
        <f>VLOOKUP(A137,Table1[[Unit Number]:[NO. OF BEDROOMS]],2,FALSE)</f>
        <v>#N/A</v>
      </c>
    </row>
    <row r="138" spans="1:10" x14ac:dyDescent="0.25">
      <c r="A138"/>
      <c r="B138"/>
      <c r="C138"/>
      <c r="D138"/>
      <c r="E138"/>
      <c r="F138"/>
      <c r="G138"/>
      <c r="H138"/>
      <c r="I138"/>
      <c r="J138" s="79" t="e">
        <f>VLOOKUP(A138,Table1[[Unit Number]:[NO. OF BEDROOMS]],2,FALSE)</f>
        <v>#N/A</v>
      </c>
    </row>
    <row r="139" spans="1:10" x14ac:dyDescent="0.25">
      <c r="A139"/>
      <c r="B139"/>
      <c r="C139"/>
      <c r="D139"/>
      <c r="E139"/>
      <c r="F139"/>
      <c r="G139"/>
      <c r="H139"/>
      <c r="I139"/>
      <c r="J139" s="79" t="e">
        <f>VLOOKUP(A139,Table1[[Unit Number]:[NO. OF BEDROOMS]],2,FALSE)</f>
        <v>#N/A</v>
      </c>
    </row>
    <row r="140" spans="1:10" x14ac:dyDescent="0.25">
      <c r="A140"/>
      <c r="B140"/>
      <c r="C140"/>
      <c r="D140"/>
      <c r="E140"/>
      <c r="F140"/>
      <c r="G140"/>
      <c r="H140"/>
      <c r="I140"/>
      <c r="J140" s="79" t="e">
        <f>VLOOKUP(A140,Table1[[Unit Number]:[NO. OF BEDROOMS]],2,FALSE)</f>
        <v>#N/A</v>
      </c>
    </row>
    <row r="141" spans="1:10" x14ac:dyDescent="0.25">
      <c r="A141"/>
      <c r="B141"/>
      <c r="C141"/>
      <c r="D141"/>
      <c r="E141"/>
      <c r="F141"/>
      <c r="G141"/>
      <c r="H141"/>
      <c r="I141"/>
      <c r="J141" s="79" t="e">
        <f>VLOOKUP(A141,Table1[[Unit Number]:[NO. OF BEDROOMS]],2,FALSE)</f>
        <v>#N/A</v>
      </c>
    </row>
    <row r="142" spans="1:10" x14ac:dyDescent="0.25">
      <c r="A142"/>
      <c r="B142"/>
      <c r="C142"/>
      <c r="D142"/>
      <c r="E142"/>
      <c r="F142"/>
      <c r="G142"/>
      <c r="H142"/>
      <c r="I142"/>
      <c r="J142" s="79" t="e">
        <f>VLOOKUP(A142,Table1[[Unit Number]:[NO. OF BEDROOMS]],2,FALSE)</f>
        <v>#N/A</v>
      </c>
    </row>
    <row r="143" spans="1:10" x14ac:dyDescent="0.25">
      <c r="A143"/>
      <c r="B143"/>
      <c r="C143"/>
      <c r="D143"/>
      <c r="E143"/>
      <c r="F143"/>
      <c r="G143"/>
      <c r="H143"/>
      <c r="I143"/>
      <c r="J143" s="79" t="e">
        <f>VLOOKUP(A143,Table1[[Unit Number]:[NO. OF BEDROOMS]],2,FALSE)</f>
        <v>#N/A</v>
      </c>
    </row>
    <row r="144" spans="1:10" x14ac:dyDescent="0.25">
      <c r="A144"/>
      <c r="B144"/>
      <c r="C144"/>
      <c r="D144"/>
      <c r="E144"/>
      <c r="F144"/>
      <c r="G144"/>
      <c r="H144"/>
      <c r="I144"/>
      <c r="J144" s="79" t="e">
        <f>VLOOKUP(A144,Table1[[Unit Number]:[NO. OF BEDROOMS]],2,FALSE)</f>
        <v>#N/A</v>
      </c>
    </row>
    <row r="145" spans="1:10" x14ac:dyDescent="0.25">
      <c r="A145"/>
      <c r="B145"/>
      <c r="C145"/>
      <c r="D145"/>
      <c r="E145"/>
      <c r="F145"/>
      <c r="G145"/>
      <c r="H145"/>
      <c r="I145"/>
      <c r="J145" s="79" t="e">
        <f>VLOOKUP(A145,Table1[[Unit Number]:[NO. OF BEDROOMS]],2,FALSE)</f>
        <v>#N/A</v>
      </c>
    </row>
    <row r="146" spans="1:10" x14ac:dyDescent="0.25">
      <c r="A146"/>
      <c r="B146"/>
      <c r="C146"/>
      <c r="D146"/>
      <c r="E146"/>
      <c r="F146"/>
      <c r="G146"/>
      <c r="H146"/>
      <c r="I146"/>
      <c r="J146" s="79" t="e">
        <f>VLOOKUP(A146,Table1[[Unit Number]:[NO. OF BEDROOMS]],2,FALSE)</f>
        <v>#N/A</v>
      </c>
    </row>
    <row r="147" spans="1:10" x14ac:dyDescent="0.25">
      <c r="A147"/>
      <c r="B147"/>
      <c r="C147"/>
      <c r="D147"/>
      <c r="E147"/>
      <c r="F147"/>
      <c r="G147"/>
      <c r="H147"/>
      <c r="I147"/>
      <c r="J147" s="79" t="e">
        <f>VLOOKUP(A147,Table1[[Unit Number]:[NO. OF BEDROOMS]],2,FALSE)</f>
        <v>#N/A</v>
      </c>
    </row>
    <row r="148" spans="1:10" x14ac:dyDescent="0.25">
      <c r="A148"/>
      <c r="B148"/>
      <c r="C148"/>
      <c r="D148"/>
      <c r="E148"/>
      <c r="F148"/>
      <c r="G148"/>
      <c r="H148"/>
      <c r="I148"/>
      <c r="J148" s="79" t="e">
        <f>VLOOKUP(A148,Table1[[Unit Number]:[NO. OF BEDROOMS]],2,FALSE)</f>
        <v>#N/A</v>
      </c>
    </row>
    <row r="149" spans="1:10" x14ac:dyDescent="0.25">
      <c r="A149"/>
      <c r="B149"/>
      <c r="C149"/>
      <c r="D149"/>
      <c r="E149"/>
      <c r="F149"/>
      <c r="G149"/>
      <c r="H149"/>
      <c r="I149"/>
      <c r="J149" s="79" t="e">
        <f>VLOOKUP(A149,Table1[[Unit Number]:[NO. OF BEDROOMS]],2,FALSE)</f>
        <v>#N/A</v>
      </c>
    </row>
    <row r="150" spans="1:10" x14ac:dyDescent="0.25">
      <c r="A150"/>
      <c r="B150"/>
      <c r="C150"/>
      <c r="D150"/>
      <c r="E150"/>
      <c r="F150"/>
      <c r="G150"/>
      <c r="H150"/>
      <c r="I150"/>
      <c r="J150" s="79" t="e">
        <f>VLOOKUP(A150,Table1[[Unit Number]:[NO. OF BEDROOMS]],2,FALSE)</f>
        <v>#N/A</v>
      </c>
    </row>
    <row r="151" spans="1:10" x14ac:dyDescent="0.25">
      <c r="A151"/>
      <c r="B151"/>
      <c r="C151"/>
      <c r="D151"/>
      <c r="E151"/>
      <c r="F151"/>
      <c r="G151"/>
      <c r="H151"/>
      <c r="I151"/>
      <c r="J151" s="79" t="e">
        <f>VLOOKUP(A151,Table1[[Unit Number]:[NO. OF BEDROOMS]],2,FALSE)</f>
        <v>#N/A</v>
      </c>
    </row>
    <row r="152" spans="1:10" x14ac:dyDescent="0.25">
      <c r="A152"/>
      <c r="B152"/>
      <c r="C152"/>
      <c r="D152"/>
      <c r="E152"/>
      <c r="F152"/>
      <c r="G152"/>
      <c r="H152"/>
      <c r="I152"/>
      <c r="J152" s="79" t="e">
        <f>VLOOKUP(A152,Table1[[Unit Number]:[NO. OF BEDROOMS]],2,FALSE)</f>
        <v>#N/A</v>
      </c>
    </row>
    <row r="153" spans="1:10" x14ac:dyDescent="0.25">
      <c r="A153"/>
      <c r="B153"/>
      <c r="C153"/>
      <c r="D153"/>
      <c r="E153"/>
      <c r="F153"/>
      <c r="G153"/>
      <c r="H153"/>
      <c r="I153"/>
      <c r="J153" s="79" t="e">
        <f>VLOOKUP(A153,Table1[[Unit Number]:[NO. OF BEDROOMS]],2,FALSE)</f>
        <v>#N/A</v>
      </c>
    </row>
    <row r="154" spans="1:10" x14ac:dyDescent="0.25">
      <c r="A154"/>
      <c r="B154"/>
      <c r="C154"/>
      <c r="D154"/>
      <c r="E154"/>
      <c r="F154"/>
      <c r="G154"/>
      <c r="H154"/>
      <c r="I154"/>
      <c r="J154" s="79" t="e">
        <f>VLOOKUP(A154,Table1[[Unit Number]:[NO. OF BEDROOMS]],2,FALSE)</f>
        <v>#N/A</v>
      </c>
    </row>
    <row r="155" spans="1:10" x14ac:dyDescent="0.25">
      <c r="A155"/>
      <c r="B155"/>
      <c r="C155"/>
      <c r="D155"/>
      <c r="E155"/>
      <c r="F155"/>
      <c r="G155"/>
      <c r="H155"/>
      <c r="I155"/>
      <c r="J155" s="79" t="e">
        <f>VLOOKUP(A155,Table1[[Unit Number]:[NO. OF BEDROOMS]],2,FALSE)</f>
        <v>#N/A</v>
      </c>
    </row>
    <row r="156" spans="1:10" x14ac:dyDescent="0.25">
      <c r="A156"/>
      <c r="B156"/>
      <c r="C156"/>
      <c r="D156"/>
      <c r="E156"/>
      <c r="F156"/>
      <c r="G156"/>
      <c r="H156"/>
      <c r="I156"/>
      <c r="J156" s="79" t="e">
        <f>VLOOKUP(A156,Table1[[Unit Number]:[NO. OF BEDROOMS]],2,FALSE)</f>
        <v>#N/A</v>
      </c>
    </row>
    <row r="157" spans="1:10" x14ac:dyDescent="0.25">
      <c r="A157"/>
      <c r="B157"/>
      <c r="C157"/>
      <c r="D157"/>
      <c r="E157"/>
      <c r="F157"/>
      <c r="G157"/>
      <c r="H157"/>
      <c r="I157"/>
      <c r="J157" s="79" t="e">
        <f>VLOOKUP(A157,Table1[[Unit Number]:[NO. OF BEDROOMS]],2,FALSE)</f>
        <v>#N/A</v>
      </c>
    </row>
    <row r="158" spans="1:10" x14ac:dyDescent="0.25">
      <c r="A158"/>
      <c r="B158"/>
      <c r="C158"/>
      <c r="D158"/>
      <c r="E158"/>
      <c r="F158"/>
      <c r="G158"/>
      <c r="H158"/>
      <c r="I158"/>
      <c r="J158" s="79" t="e">
        <f>VLOOKUP(A158,Table1[[Unit Number]:[NO. OF BEDROOMS]],2,FALSE)</f>
        <v>#N/A</v>
      </c>
    </row>
    <row r="159" spans="1:10" x14ac:dyDescent="0.25">
      <c r="A159"/>
      <c r="B159"/>
      <c r="C159"/>
      <c r="D159"/>
      <c r="E159"/>
      <c r="F159"/>
      <c r="G159"/>
      <c r="H159"/>
      <c r="I159"/>
      <c r="J159" s="79" t="e">
        <f>VLOOKUP(A159,Table1[[Unit Number]:[NO. OF BEDROOMS]],2,FALSE)</f>
        <v>#N/A</v>
      </c>
    </row>
    <row r="160" spans="1:10" x14ac:dyDescent="0.25">
      <c r="A160"/>
      <c r="B160"/>
      <c r="C160"/>
      <c r="D160"/>
      <c r="E160"/>
      <c r="F160"/>
      <c r="G160"/>
      <c r="H160"/>
      <c r="I160"/>
      <c r="J160" s="79" t="e">
        <f>VLOOKUP(A160,Table1[[Unit Number]:[NO. OF BEDROOMS]],2,FALSE)</f>
        <v>#N/A</v>
      </c>
    </row>
    <row r="161" spans="1:10" x14ac:dyDescent="0.25">
      <c r="A161"/>
      <c r="B161"/>
      <c r="C161"/>
      <c r="D161"/>
      <c r="E161"/>
      <c r="F161"/>
      <c r="G161"/>
      <c r="H161"/>
      <c r="I161"/>
      <c r="J161" s="79" t="e">
        <f>VLOOKUP(A161,Table1[[Unit Number]:[NO. OF BEDROOMS]],2,FALSE)</f>
        <v>#N/A</v>
      </c>
    </row>
    <row r="162" spans="1:10" x14ac:dyDescent="0.25">
      <c r="A162"/>
      <c r="B162"/>
      <c r="C162"/>
      <c r="D162"/>
      <c r="E162"/>
      <c r="F162"/>
      <c r="G162"/>
      <c r="H162"/>
      <c r="I162"/>
      <c r="J162" s="79" t="e">
        <f>VLOOKUP(A162,Table1[[Unit Number]:[NO. OF BEDROOMS]],2,FALSE)</f>
        <v>#N/A</v>
      </c>
    </row>
    <row r="163" spans="1:10" x14ac:dyDescent="0.25">
      <c r="A163"/>
      <c r="B163"/>
      <c r="C163"/>
      <c r="D163"/>
      <c r="E163"/>
      <c r="F163"/>
      <c r="G163"/>
      <c r="H163"/>
      <c r="I163"/>
    </row>
    <row r="164" spans="1:10" x14ac:dyDescent="0.25">
      <c r="A164"/>
      <c r="B164"/>
      <c r="C164"/>
      <c r="D164"/>
      <c r="E164"/>
      <c r="F164"/>
      <c r="G164"/>
      <c r="H164"/>
      <c r="I164"/>
    </row>
    <row r="165" spans="1:10" x14ac:dyDescent="0.25">
      <c r="A165"/>
      <c r="B165"/>
      <c r="C165"/>
      <c r="D165"/>
      <c r="E165"/>
      <c r="F165"/>
      <c r="G165"/>
      <c r="H165"/>
      <c r="I165"/>
    </row>
    <row r="166" spans="1:10" x14ac:dyDescent="0.25">
      <c r="A166"/>
      <c r="B166"/>
      <c r="C166"/>
      <c r="D166"/>
      <c r="E166"/>
      <c r="F166"/>
      <c r="G166"/>
      <c r="H166"/>
      <c r="I166"/>
    </row>
    <row r="167" spans="1:10" x14ac:dyDescent="0.25">
      <c r="A167"/>
      <c r="B167"/>
      <c r="C167"/>
      <c r="D167"/>
      <c r="E167"/>
      <c r="F167"/>
      <c r="G167"/>
      <c r="H167"/>
      <c r="I167"/>
    </row>
    <row r="168" spans="1:10" x14ac:dyDescent="0.25">
      <c r="A168"/>
      <c r="B168"/>
      <c r="C168"/>
      <c r="D168"/>
      <c r="E168"/>
      <c r="F168"/>
      <c r="G168"/>
      <c r="H168"/>
      <c r="I168"/>
    </row>
    <row r="169" spans="1:10" x14ac:dyDescent="0.25">
      <c r="A169"/>
      <c r="B169"/>
      <c r="C169"/>
      <c r="D169"/>
      <c r="E169"/>
      <c r="F169"/>
      <c r="G169"/>
      <c r="H169"/>
      <c r="I169"/>
    </row>
    <row r="170" spans="1:10" x14ac:dyDescent="0.25">
      <c r="A170"/>
      <c r="B170"/>
      <c r="C170"/>
      <c r="D170"/>
      <c r="E170"/>
      <c r="F170"/>
      <c r="G170"/>
      <c r="H170"/>
      <c r="I170"/>
    </row>
    <row r="171" spans="1:10" x14ac:dyDescent="0.25">
      <c r="A171"/>
      <c r="B171"/>
      <c r="C171"/>
      <c r="D171"/>
      <c r="E171"/>
      <c r="F171"/>
      <c r="G171"/>
      <c r="H171"/>
      <c r="I171"/>
    </row>
    <row r="172" spans="1:10" x14ac:dyDescent="0.25">
      <c r="A172"/>
      <c r="B172"/>
      <c r="C172"/>
      <c r="D172"/>
      <c r="E172"/>
      <c r="F172"/>
      <c r="G172"/>
      <c r="H172"/>
      <c r="I172"/>
    </row>
    <row r="173" spans="1:10" x14ac:dyDescent="0.25">
      <c r="A173"/>
      <c r="B173"/>
      <c r="C173"/>
      <c r="D173"/>
      <c r="E173"/>
      <c r="F173"/>
      <c r="G173"/>
      <c r="H173"/>
      <c r="I173"/>
    </row>
    <row r="174" spans="1:10" x14ac:dyDescent="0.25">
      <c r="A174"/>
      <c r="B174"/>
      <c r="C174"/>
      <c r="D174"/>
      <c r="E174"/>
      <c r="F174"/>
      <c r="G174"/>
      <c r="H174"/>
      <c r="I174"/>
    </row>
    <row r="175" spans="1:10" x14ac:dyDescent="0.25">
      <c r="A175"/>
      <c r="B175"/>
      <c r="C175"/>
      <c r="D175"/>
      <c r="E175"/>
      <c r="F175"/>
      <c r="G175"/>
      <c r="H175"/>
      <c r="I175"/>
    </row>
    <row r="176" spans="1:10" x14ac:dyDescent="0.25">
      <c r="A176"/>
      <c r="B176"/>
      <c r="C176"/>
      <c r="D176"/>
      <c r="E176"/>
      <c r="F176"/>
      <c r="G176"/>
      <c r="H176"/>
      <c r="I176"/>
    </row>
    <row r="177" spans="1:9" x14ac:dyDescent="0.25">
      <c r="A177"/>
      <c r="B177"/>
      <c r="C177"/>
      <c r="D177"/>
      <c r="E177"/>
      <c r="F177"/>
      <c r="G177"/>
      <c r="H177"/>
      <c r="I177"/>
    </row>
    <row r="178" spans="1:9" x14ac:dyDescent="0.25">
      <c r="A178"/>
      <c r="B178"/>
      <c r="C178"/>
      <c r="D178"/>
      <c r="E178"/>
      <c r="F178"/>
      <c r="G178"/>
      <c r="H178"/>
      <c r="I178"/>
    </row>
    <row r="179" spans="1:9" x14ac:dyDescent="0.25">
      <c r="A179"/>
      <c r="B179"/>
      <c r="C179"/>
      <c r="D179"/>
      <c r="E179"/>
      <c r="F179"/>
      <c r="G179"/>
      <c r="H179"/>
      <c r="I179"/>
    </row>
    <row r="180" spans="1:9" x14ac:dyDescent="0.25">
      <c r="A180"/>
      <c r="B180"/>
      <c r="C180"/>
      <c r="D180"/>
      <c r="E180"/>
      <c r="F180"/>
      <c r="G180"/>
      <c r="H180"/>
      <c r="I180"/>
    </row>
    <row r="181" spans="1:9" x14ac:dyDescent="0.25">
      <c r="A181"/>
      <c r="B181"/>
      <c r="C181"/>
      <c r="D181"/>
      <c r="E181"/>
      <c r="F181"/>
      <c r="G181"/>
      <c r="H181"/>
      <c r="I181"/>
    </row>
    <row r="182" spans="1:9" x14ac:dyDescent="0.25">
      <c r="A182"/>
      <c r="B182"/>
      <c r="C182"/>
      <c r="D182"/>
      <c r="E182"/>
      <c r="F182"/>
      <c r="G182"/>
      <c r="H182"/>
      <c r="I182"/>
    </row>
    <row r="183" spans="1:9" x14ac:dyDescent="0.25">
      <c r="A183"/>
      <c r="B183"/>
      <c r="C183"/>
      <c r="D183"/>
      <c r="E183"/>
      <c r="F183"/>
      <c r="G183"/>
      <c r="H183"/>
      <c r="I183"/>
    </row>
    <row r="184" spans="1:9" x14ac:dyDescent="0.25">
      <c r="A184"/>
      <c r="B184"/>
      <c r="C184"/>
      <c r="D184"/>
      <c r="E184"/>
      <c r="F184"/>
      <c r="G184"/>
      <c r="H184"/>
      <c r="I184"/>
    </row>
    <row r="185" spans="1:9" x14ac:dyDescent="0.25">
      <c r="A185"/>
      <c r="B185"/>
      <c r="C185"/>
      <c r="D185"/>
      <c r="E185"/>
      <c r="F185"/>
      <c r="G185"/>
      <c r="H185"/>
      <c r="I185"/>
    </row>
    <row r="186" spans="1:9" x14ac:dyDescent="0.25">
      <c r="A186"/>
      <c r="B186"/>
      <c r="C186"/>
      <c r="D186"/>
      <c r="E186"/>
      <c r="F186"/>
      <c r="G186"/>
      <c r="H186"/>
      <c r="I186"/>
    </row>
    <row r="187" spans="1:9" x14ac:dyDescent="0.25">
      <c r="A187"/>
      <c r="B187"/>
      <c r="C187"/>
      <c r="D187"/>
      <c r="E187"/>
      <c r="F187"/>
      <c r="G187"/>
      <c r="H187"/>
      <c r="I187"/>
    </row>
    <row r="188" spans="1:9" x14ac:dyDescent="0.25">
      <c r="A188"/>
      <c r="B188"/>
      <c r="C188"/>
      <c r="D188"/>
      <c r="E188"/>
      <c r="F188"/>
      <c r="G188"/>
      <c r="H188"/>
      <c r="I188"/>
    </row>
    <row r="189" spans="1:9" x14ac:dyDescent="0.25">
      <c r="A189"/>
      <c r="B189"/>
      <c r="C189"/>
      <c r="D189"/>
      <c r="E189"/>
      <c r="F189"/>
      <c r="G189"/>
      <c r="H189"/>
      <c r="I189"/>
    </row>
    <row r="190" spans="1:9" x14ac:dyDescent="0.25">
      <c r="A190"/>
      <c r="B190"/>
      <c r="C190"/>
      <c r="D190"/>
      <c r="E190"/>
      <c r="F190"/>
      <c r="G190"/>
      <c r="H190"/>
      <c r="I190"/>
    </row>
    <row r="191" spans="1:9" x14ac:dyDescent="0.25">
      <c r="A191"/>
      <c r="B191"/>
      <c r="C191"/>
      <c r="D191"/>
      <c r="E191"/>
      <c r="F191"/>
      <c r="G191"/>
      <c r="H191"/>
      <c r="I191"/>
    </row>
    <row r="192" spans="1:9" x14ac:dyDescent="0.25">
      <c r="A192"/>
      <c r="B192"/>
      <c r="C192"/>
      <c r="D192"/>
      <c r="E192"/>
      <c r="F192"/>
      <c r="G192"/>
      <c r="H192"/>
      <c r="I192"/>
    </row>
    <row r="193" spans="1:9" x14ac:dyDescent="0.25">
      <c r="A193"/>
      <c r="B193"/>
      <c r="C193"/>
      <c r="D193"/>
      <c r="E193"/>
      <c r="F193"/>
      <c r="G193"/>
      <c r="H193"/>
      <c r="I193"/>
    </row>
    <row r="194" spans="1:9" x14ac:dyDescent="0.25">
      <c r="A194"/>
      <c r="B194"/>
      <c r="C194"/>
      <c r="D194"/>
      <c r="E194"/>
      <c r="F194"/>
      <c r="G194"/>
      <c r="H194"/>
      <c r="I194"/>
    </row>
    <row r="195" spans="1:9" x14ac:dyDescent="0.25">
      <c r="A195"/>
      <c r="B195"/>
      <c r="C195"/>
      <c r="D195"/>
      <c r="E195"/>
      <c r="F195"/>
      <c r="G195"/>
      <c r="H195"/>
      <c r="I195"/>
    </row>
    <row r="196" spans="1:9" x14ac:dyDescent="0.25">
      <c r="A196"/>
      <c r="B196"/>
      <c r="C196"/>
      <c r="D196"/>
      <c r="E196"/>
      <c r="F196"/>
      <c r="G196"/>
      <c r="H196"/>
      <c r="I196"/>
    </row>
    <row r="197" spans="1:9" x14ac:dyDescent="0.25">
      <c r="A197"/>
      <c r="B197"/>
      <c r="C197"/>
      <c r="D197"/>
      <c r="E197"/>
      <c r="F197"/>
      <c r="G197"/>
      <c r="H197"/>
      <c r="I197"/>
    </row>
    <row r="198" spans="1:9" x14ac:dyDescent="0.25">
      <c r="A198"/>
      <c r="B198"/>
      <c r="C198"/>
      <c r="D198"/>
      <c r="E198"/>
      <c r="F198"/>
      <c r="G198"/>
      <c r="H198"/>
      <c r="I198"/>
    </row>
    <row r="199" spans="1:9" x14ac:dyDescent="0.25">
      <c r="A199"/>
      <c r="B199"/>
      <c r="C199"/>
      <c r="D199"/>
      <c r="E199"/>
      <c r="F199"/>
      <c r="G199"/>
      <c r="H199"/>
      <c r="I199"/>
    </row>
    <row r="200" spans="1:9" x14ac:dyDescent="0.25">
      <c r="A200"/>
      <c r="B200"/>
      <c r="C200"/>
      <c r="D200"/>
      <c r="E200"/>
      <c r="F200"/>
      <c r="G200"/>
      <c r="H200"/>
      <c r="I200"/>
    </row>
    <row r="201" spans="1:9" x14ac:dyDescent="0.25">
      <c r="A201"/>
      <c r="B201"/>
      <c r="C201"/>
      <c r="D201"/>
      <c r="E201"/>
      <c r="F201"/>
      <c r="G201"/>
      <c r="H201"/>
      <c r="I201"/>
    </row>
    <row r="202" spans="1:9" x14ac:dyDescent="0.25">
      <c r="A202"/>
      <c r="B202"/>
      <c r="C202"/>
      <c r="D202"/>
      <c r="E202"/>
      <c r="F202"/>
      <c r="G202"/>
      <c r="H202"/>
      <c r="I202"/>
    </row>
    <row r="203" spans="1:9" x14ac:dyDescent="0.25">
      <c r="A203"/>
      <c r="B203"/>
      <c r="C203"/>
      <c r="D203"/>
      <c r="E203"/>
      <c r="F203"/>
      <c r="G203"/>
      <c r="H203"/>
      <c r="I203"/>
    </row>
    <row r="204" spans="1:9" x14ac:dyDescent="0.25">
      <c r="A204"/>
      <c r="B204"/>
      <c r="C204"/>
      <c r="D204"/>
      <c r="E204"/>
      <c r="F204"/>
      <c r="G204"/>
      <c r="H204"/>
      <c r="I204"/>
    </row>
    <row r="205" spans="1:9" x14ac:dyDescent="0.25">
      <c r="A205"/>
      <c r="B205"/>
      <c r="C205"/>
      <c r="D205"/>
      <c r="E205"/>
      <c r="F205"/>
      <c r="G205"/>
      <c r="H205"/>
      <c r="I205"/>
    </row>
    <row r="206" spans="1:9" x14ac:dyDescent="0.25">
      <c r="A206"/>
      <c r="B206"/>
      <c r="C206"/>
      <c r="D206"/>
      <c r="E206"/>
      <c r="F206"/>
      <c r="G206"/>
      <c r="H206"/>
      <c r="I206"/>
    </row>
    <row r="207" spans="1:9" x14ac:dyDescent="0.25">
      <c r="A207"/>
      <c r="B207"/>
      <c r="C207"/>
      <c r="D207"/>
      <c r="E207"/>
      <c r="F207"/>
      <c r="G207"/>
      <c r="H207"/>
      <c r="I207"/>
    </row>
    <row r="208" spans="1:9" x14ac:dyDescent="0.25">
      <c r="A208"/>
      <c r="B208"/>
      <c r="C208"/>
      <c r="D208"/>
      <c r="E208"/>
      <c r="F208"/>
      <c r="G208"/>
      <c r="H208"/>
      <c r="I208"/>
    </row>
    <row r="209" spans="1:9" x14ac:dyDescent="0.25">
      <c r="A209"/>
      <c r="B209"/>
      <c r="C209"/>
      <c r="D209"/>
      <c r="E209"/>
      <c r="F209"/>
      <c r="G209"/>
      <c r="H209"/>
      <c r="I209"/>
    </row>
    <row r="210" spans="1:9" x14ac:dyDescent="0.25">
      <c r="A210"/>
      <c r="B210"/>
      <c r="C210"/>
      <c r="D210"/>
      <c r="E210"/>
      <c r="F210"/>
      <c r="G210"/>
      <c r="H210"/>
      <c r="I210"/>
    </row>
    <row r="211" spans="1:9" x14ac:dyDescent="0.25">
      <c r="A211"/>
      <c r="B211"/>
      <c r="C211"/>
      <c r="D211"/>
      <c r="E211"/>
      <c r="F211"/>
      <c r="G211"/>
      <c r="H211"/>
      <c r="I211"/>
    </row>
    <row r="212" spans="1:9" x14ac:dyDescent="0.25">
      <c r="A212"/>
      <c r="B212"/>
      <c r="C212"/>
      <c r="D212"/>
      <c r="E212"/>
      <c r="F212"/>
      <c r="G212"/>
      <c r="H212"/>
      <c r="I212"/>
    </row>
    <row r="213" spans="1:9" x14ac:dyDescent="0.25">
      <c r="A213"/>
      <c r="B213"/>
      <c r="C213"/>
      <c r="D213"/>
      <c r="E213"/>
      <c r="F213"/>
      <c r="G213"/>
      <c r="H213"/>
      <c r="I213"/>
    </row>
    <row r="214" spans="1:9" x14ac:dyDescent="0.25">
      <c r="A214"/>
      <c r="B214"/>
      <c r="C214"/>
      <c r="D214"/>
      <c r="E214"/>
      <c r="F214"/>
      <c r="G214"/>
      <c r="H214"/>
      <c r="I214"/>
    </row>
    <row r="215" spans="1:9" x14ac:dyDescent="0.25">
      <c r="A215"/>
      <c r="B215"/>
      <c r="C215"/>
      <c r="D215"/>
      <c r="E215"/>
      <c r="F215"/>
      <c r="G215"/>
      <c r="H215"/>
      <c r="I215"/>
    </row>
    <row r="216" spans="1:9" x14ac:dyDescent="0.25">
      <c r="A216"/>
      <c r="B216"/>
      <c r="C216"/>
      <c r="D216"/>
      <c r="E216"/>
      <c r="F216"/>
      <c r="G216"/>
      <c r="H216"/>
      <c r="I216"/>
    </row>
    <row r="217" spans="1:9" x14ac:dyDescent="0.25">
      <c r="A217"/>
      <c r="B217"/>
      <c r="C217"/>
      <c r="D217"/>
      <c r="E217"/>
      <c r="F217"/>
      <c r="G217"/>
      <c r="H217"/>
      <c r="I217"/>
    </row>
    <row r="218" spans="1:9" x14ac:dyDescent="0.25">
      <c r="A218"/>
      <c r="B218"/>
      <c r="C218"/>
      <c r="D218"/>
      <c r="E218"/>
      <c r="F218"/>
      <c r="G218"/>
      <c r="H218"/>
      <c r="I218"/>
    </row>
    <row r="219" spans="1:9" x14ac:dyDescent="0.25">
      <c r="A219"/>
      <c r="B219"/>
      <c r="C219"/>
      <c r="D219"/>
      <c r="E219"/>
      <c r="F219"/>
      <c r="G219"/>
      <c r="H219"/>
      <c r="I219"/>
    </row>
    <row r="220" spans="1:9" x14ac:dyDescent="0.25">
      <c r="A220"/>
      <c r="B220"/>
      <c r="C220"/>
      <c r="D220"/>
      <c r="E220"/>
      <c r="F220"/>
      <c r="G220"/>
      <c r="H220"/>
      <c r="I220"/>
    </row>
    <row r="221" spans="1:9" x14ac:dyDescent="0.25">
      <c r="A221"/>
      <c r="B221"/>
      <c r="C221"/>
      <c r="D221"/>
      <c r="E221"/>
      <c r="F221"/>
      <c r="G221"/>
      <c r="H221"/>
      <c r="I221"/>
    </row>
    <row r="222" spans="1:9" x14ac:dyDescent="0.25">
      <c r="A222"/>
      <c r="B222"/>
      <c r="C222"/>
      <c r="D222"/>
      <c r="E222"/>
      <c r="F222"/>
      <c r="G222"/>
      <c r="H222"/>
      <c r="I222"/>
    </row>
    <row r="223" spans="1:9" x14ac:dyDescent="0.25">
      <c r="A223"/>
      <c r="B223"/>
      <c r="C223"/>
      <c r="D223"/>
      <c r="E223"/>
      <c r="F223"/>
      <c r="G223"/>
      <c r="H223"/>
      <c r="I223"/>
    </row>
    <row r="224" spans="1:9" x14ac:dyDescent="0.25">
      <c r="A224"/>
      <c r="B224"/>
      <c r="C224"/>
      <c r="D224"/>
      <c r="E224"/>
      <c r="F224"/>
      <c r="G224"/>
      <c r="H224"/>
      <c r="I224"/>
    </row>
    <row r="225" spans="1:9" x14ac:dyDescent="0.25">
      <c r="A225"/>
      <c r="B225"/>
      <c r="C225"/>
      <c r="D225"/>
      <c r="E225"/>
      <c r="F225"/>
      <c r="G225"/>
      <c r="H225"/>
      <c r="I225"/>
    </row>
    <row r="226" spans="1:9" x14ac:dyDescent="0.25">
      <c r="A226"/>
      <c r="B226"/>
      <c r="C226"/>
      <c r="D226"/>
      <c r="E226"/>
      <c r="F226"/>
      <c r="G226"/>
      <c r="H226"/>
      <c r="I226"/>
    </row>
    <row r="227" spans="1:9" x14ac:dyDescent="0.25">
      <c r="A227"/>
      <c r="B227"/>
      <c r="C227"/>
      <c r="D227"/>
      <c r="E227"/>
      <c r="F227"/>
      <c r="G227"/>
      <c r="H227"/>
      <c r="I227"/>
    </row>
    <row r="228" spans="1:9" x14ac:dyDescent="0.25">
      <c r="A228"/>
      <c r="B228"/>
      <c r="C228"/>
      <c r="D228"/>
      <c r="E228"/>
      <c r="F228"/>
      <c r="G228"/>
      <c r="H228"/>
      <c r="I228"/>
    </row>
    <row r="229" spans="1:9" x14ac:dyDescent="0.25">
      <c r="A229"/>
      <c r="B229"/>
      <c r="C229"/>
      <c r="D229"/>
      <c r="E229"/>
      <c r="F229"/>
      <c r="G229"/>
      <c r="H229"/>
      <c r="I229"/>
    </row>
    <row r="230" spans="1:9" x14ac:dyDescent="0.25">
      <c r="A230"/>
      <c r="B230"/>
      <c r="C230"/>
      <c r="D230"/>
      <c r="E230"/>
      <c r="F230"/>
      <c r="G230"/>
      <c r="H230"/>
      <c r="I230"/>
    </row>
    <row r="231" spans="1:9" x14ac:dyDescent="0.25">
      <c r="A231"/>
      <c r="B231"/>
      <c r="C231"/>
      <c r="D231"/>
      <c r="E231"/>
      <c r="F231"/>
      <c r="G231"/>
      <c r="H231"/>
      <c r="I231"/>
    </row>
    <row r="232" spans="1:9" x14ac:dyDescent="0.25">
      <c r="A232"/>
      <c r="B232"/>
      <c r="C232"/>
      <c r="D232"/>
      <c r="E232"/>
      <c r="F232"/>
      <c r="G232"/>
      <c r="H232"/>
      <c r="I232"/>
    </row>
    <row r="233" spans="1:9" x14ac:dyDescent="0.25">
      <c r="A233"/>
      <c r="B233"/>
      <c r="C233"/>
      <c r="D233"/>
      <c r="E233"/>
      <c r="F233"/>
      <c r="G233"/>
      <c r="H233"/>
      <c r="I233"/>
    </row>
    <row r="234" spans="1:9" x14ac:dyDescent="0.25">
      <c r="A234"/>
      <c r="B234"/>
      <c r="C234"/>
      <c r="D234"/>
      <c r="E234"/>
      <c r="F234"/>
      <c r="G234"/>
      <c r="H234"/>
      <c r="I234"/>
    </row>
    <row r="235" spans="1:9" x14ac:dyDescent="0.25">
      <c r="A235"/>
      <c r="B235"/>
      <c r="C235"/>
      <c r="D235"/>
      <c r="E235"/>
      <c r="F235"/>
      <c r="G235"/>
      <c r="H235"/>
      <c r="I235"/>
    </row>
    <row r="236" spans="1:9" x14ac:dyDescent="0.25">
      <c r="A236"/>
      <c r="B236"/>
      <c r="C236"/>
      <c r="D236"/>
      <c r="E236"/>
      <c r="F236"/>
      <c r="G236"/>
      <c r="H236"/>
      <c r="I236"/>
    </row>
    <row r="237" spans="1:9" x14ac:dyDescent="0.25">
      <c r="A237"/>
      <c r="B237"/>
      <c r="C237"/>
      <c r="D237"/>
      <c r="E237"/>
      <c r="F237"/>
      <c r="G237"/>
      <c r="H237"/>
      <c r="I237"/>
    </row>
    <row r="238" spans="1:9" x14ac:dyDescent="0.25">
      <c r="A238"/>
      <c r="B238"/>
      <c r="C238"/>
      <c r="D238"/>
      <c r="E238"/>
      <c r="F238"/>
      <c r="G238"/>
      <c r="H238"/>
      <c r="I238"/>
    </row>
    <row r="239" spans="1:9" x14ac:dyDescent="0.25">
      <c r="A239"/>
      <c r="B239"/>
      <c r="C239"/>
      <c r="D239"/>
      <c r="E239"/>
      <c r="F239"/>
      <c r="G239"/>
      <c r="H239"/>
      <c r="I239"/>
    </row>
    <row r="240" spans="1:9" x14ac:dyDescent="0.25">
      <c r="A240"/>
      <c r="B240"/>
      <c r="C240"/>
      <c r="D240"/>
      <c r="E240"/>
      <c r="F240"/>
      <c r="G240"/>
      <c r="H240"/>
      <c r="I240"/>
    </row>
    <row r="241" spans="1:9" x14ac:dyDescent="0.25">
      <c r="A241"/>
      <c r="B241"/>
      <c r="C241"/>
      <c r="D241"/>
      <c r="E241"/>
      <c r="F241"/>
      <c r="G241"/>
      <c r="H241"/>
      <c r="I241"/>
    </row>
    <row r="242" spans="1:9" x14ac:dyDescent="0.25">
      <c r="A242"/>
      <c r="B242"/>
      <c r="C242"/>
      <c r="D242"/>
      <c r="E242"/>
      <c r="F242"/>
      <c r="G242"/>
      <c r="H242"/>
      <c r="I242"/>
    </row>
    <row r="243" spans="1:9" x14ac:dyDescent="0.25">
      <c r="A243"/>
      <c r="B243"/>
      <c r="C243"/>
      <c r="D243"/>
      <c r="E243"/>
      <c r="F243"/>
      <c r="G243"/>
      <c r="H243"/>
      <c r="I243"/>
    </row>
    <row r="244" spans="1:9" x14ac:dyDescent="0.25">
      <c r="A244"/>
      <c r="B244"/>
      <c r="C244"/>
      <c r="D244"/>
      <c r="E244"/>
      <c r="F244"/>
      <c r="G244"/>
      <c r="H244"/>
      <c r="I244"/>
    </row>
    <row r="245" spans="1:9" x14ac:dyDescent="0.25">
      <c r="A245"/>
      <c r="B245"/>
      <c r="C245"/>
      <c r="D245"/>
      <c r="E245"/>
      <c r="F245"/>
      <c r="G245"/>
      <c r="H245"/>
      <c r="I245"/>
    </row>
    <row r="246" spans="1:9" x14ac:dyDescent="0.25">
      <c r="A246"/>
      <c r="B246"/>
      <c r="C246"/>
      <c r="D246"/>
      <c r="E246"/>
      <c r="F246"/>
      <c r="G246"/>
      <c r="H246"/>
      <c r="I246"/>
    </row>
    <row r="247" spans="1:9" x14ac:dyDescent="0.25">
      <c r="A247"/>
      <c r="B247"/>
      <c r="C247"/>
      <c r="D247"/>
      <c r="E247"/>
      <c r="F247"/>
      <c r="G247"/>
      <c r="H247"/>
      <c r="I247"/>
    </row>
    <row r="248" spans="1:9" x14ac:dyDescent="0.25">
      <c r="A248"/>
      <c r="B248"/>
      <c r="C248"/>
      <c r="D248"/>
      <c r="E248"/>
      <c r="F248"/>
      <c r="G248"/>
      <c r="H248"/>
      <c r="I248"/>
    </row>
    <row r="249" spans="1:9" x14ac:dyDescent="0.25">
      <c r="A249"/>
      <c r="B249"/>
      <c r="C249"/>
      <c r="D249"/>
      <c r="E249"/>
      <c r="F249"/>
      <c r="G249"/>
      <c r="H249"/>
      <c r="I249"/>
    </row>
    <row r="250" spans="1:9" x14ac:dyDescent="0.25">
      <c r="A250"/>
      <c r="B250"/>
      <c r="C250"/>
      <c r="D250"/>
      <c r="E250"/>
      <c r="F250"/>
      <c r="G250"/>
      <c r="H250"/>
      <c r="I250"/>
    </row>
    <row r="251" spans="1:9" x14ac:dyDescent="0.25">
      <c r="A251"/>
      <c r="B251"/>
      <c r="C251"/>
      <c r="D251"/>
      <c r="E251"/>
      <c r="F251"/>
      <c r="G251"/>
      <c r="H251"/>
      <c r="I251"/>
    </row>
    <row r="252" spans="1:9" x14ac:dyDescent="0.25">
      <c r="A252"/>
      <c r="B252"/>
      <c r="C252"/>
      <c r="D252"/>
      <c r="E252"/>
      <c r="F252"/>
      <c r="G252"/>
      <c r="H252"/>
      <c r="I252"/>
    </row>
    <row r="253" spans="1:9" x14ac:dyDescent="0.25">
      <c r="A253"/>
      <c r="B253"/>
      <c r="C253"/>
      <c r="D253"/>
      <c r="E253"/>
      <c r="F253"/>
      <c r="G253"/>
      <c r="H253"/>
      <c r="I253"/>
    </row>
    <row r="254" spans="1:9" x14ac:dyDescent="0.25">
      <c r="A254"/>
      <c r="B254"/>
      <c r="C254"/>
      <c r="D254"/>
      <c r="E254"/>
      <c r="F254"/>
      <c r="G254"/>
      <c r="H254"/>
      <c r="I254"/>
    </row>
    <row r="255" spans="1:9" x14ac:dyDescent="0.25">
      <c r="A255"/>
      <c r="B255"/>
      <c r="C255"/>
      <c r="D255"/>
      <c r="E255"/>
      <c r="F255"/>
      <c r="G255"/>
      <c r="H255"/>
      <c r="I255"/>
    </row>
    <row r="256" spans="1:9" x14ac:dyDescent="0.25">
      <c r="A256"/>
      <c r="B256"/>
      <c r="C256"/>
      <c r="D256"/>
      <c r="E256"/>
      <c r="F256"/>
      <c r="G256"/>
      <c r="H256"/>
      <c r="I256"/>
    </row>
    <row r="257" spans="1:9" x14ac:dyDescent="0.25">
      <c r="A257"/>
      <c r="B257"/>
      <c r="C257"/>
      <c r="D257"/>
      <c r="E257"/>
      <c r="F257"/>
      <c r="G257"/>
      <c r="H257"/>
      <c r="I257"/>
    </row>
    <row r="258" spans="1:9" x14ac:dyDescent="0.25">
      <c r="A258"/>
      <c r="B258"/>
      <c r="C258"/>
      <c r="D258"/>
      <c r="E258"/>
      <c r="F258"/>
      <c r="G258"/>
      <c r="H258"/>
      <c r="I258"/>
    </row>
    <row r="259" spans="1:9" x14ac:dyDescent="0.25">
      <c r="A259"/>
      <c r="B259"/>
      <c r="C259"/>
      <c r="D259"/>
      <c r="E259"/>
      <c r="F259"/>
      <c r="G259"/>
      <c r="H259"/>
      <c r="I259"/>
    </row>
    <row r="260" spans="1:9" x14ac:dyDescent="0.25">
      <c r="A260"/>
      <c r="B260"/>
      <c r="C260"/>
      <c r="D260"/>
      <c r="E260"/>
      <c r="F260"/>
      <c r="G260"/>
      <c r="H260"/>
      <c r="I260"/>
    </row>
    <row r="261" spans="1:9" x14ac:dyDescent="0.25">
      <c r="A261"/>
      <c r="B261"/>
      <c r="C261"/>
      <c r="D261"/>
      <c r="E261"/>
      <c r="F261"/>
      <c r="G261"/>
      <c r="H261"/>
      <c r="I261"/>
    </row>
    <row r="262" spans="1:9" x14ac:dyDescent="0.25">
      <c r="A262"/>
      <c r="B262"/>
      <c r="C262"/>
      <c r="D262"/>
      <c r="E262"/>
      <c r="F262"/>
      <c r="G262"/>
      <c r="H262"/>
      <c r="I262"/>
    </row>
    <row r="263" spans="1:9" x14ac:dyDescent="0.25">
      <c r="A263"/>
      <c r="B263"/>
      <c r="C263"/>
      <c r="D263"/>
      <c r="E263"/>
      <c r="F263"/>
      <c r="G263"/>
      <c r="H263"/>
      <c r="I263"/>
    </row>
    <row r="264" spans="1:9" x14ac:dyDescent="0.25">
      <c r="A264"/>
      <c r="B264"/>
      <c r="C264"/>
      <c r="D264"/>
      <c r="E264"/>
      <c r="F264"/>
      <c r="G264"/>
      <c r="H264"/>
      <c r="I264"/>
    </row>
    <row r="265" spans="1:9" x14ac:dyDescent="0.25">
      <c r="A265"/>
      <c r="B265"/>
      <c r="C265"/>
      <c r="D265"/>
      <c r="E265"/>
      <c r="F265"/>
      <c r="G265"/>
      <c r="H265"/>
      <c r="I265"/>
    </row>
    <row r="266" spans="1:9" x14ac:dyDescent="0.25">
      <c r="A266"/>
      <c r="B266"/>
      <c r="C266"/>
      <c r="D266"/>
      <c r="E266"/>
      <c r="F266"/>
      <c r="G266"/>
      <c r="H266"/>
      <c r="I266"/>
    </row>
    <row r="267" spans="1:9" x14ac:dyDescent="0.25">
      <c r="A267"/>
      <c r="B267"/>
      <c r="C267"/>
      <c r="D267"/>
      <c r="E267"/>
      <c r="F267"/>
      <c r="G267"/>
      <c r="H267"/>
      <c r="I267"/>
    </row>
    <row r="268" spans="1:9" x14ac:dyDescent="0.25">
      <c r="A268"/>
      <c r="B268"/>
      <c r="C268"/>
      <c r="D268"/>
      <c r="E268"/>
      <c r="F268"/>
      <c r="G268"/>
      <c r="H268"/>
      <c r="I268"/>
    </row>
    <row r="269" spans="1:9" x14ac:dyDescent="0.25">
      <c r="A269"/>
      <c r="B269"/>
      <c r="C269"/>
      <c r="D269"/>
      <c r="E269"/>
      <c r="F269"/>
      <c r="G269"/>
      <c r="H269"/>
      <c r="I269"/>
    </row>
    <row r="270" spans="1:9" x14ac:dyDescent="0.25">
      <c r="A270"/>
      <c r="B270"/>
      <c r="C270"/>
      <c r="D270"/>
      <c r="E270"/>
      <c r="F270"/>
      <c r="G270"/>
      <c r="H270"/>
      <c r="I270"/>
    </row>
    <row r="271" spans="1:9" x14ac:dyDescent="0.25">
      <c r="A271"/>
      <c r="B271"/>
      <c r="C271"/>
      <c r="D271"/>
      <c r="E271"/>
      <c r="F271"/>
      <c r="G271"/>
      <c r="H271"/>
      <c r="I271"/>
    </row>
    <row r="272" spans="1:9" x14ac:dyDescent="0.25">
      <c r="A272"/>
      <c r="B272"/>
      <c r="C272"/>
      <c r="D272"/>
      <c r="E272"/>
      <c r="F272"/>
      <c r="G272"/>
      <c r="H272"/>
      <c r="I272"/>
    </row>
    <row r="273" spans="1:9" x14ac:dyDescent="0.25">
      <c r="A273"/>
      <c r="B273"/>
      <c r="C273"/>
      <c r="D273"/>
      <c r="E273"/>
      <c r="F273"/>
      <c r="G273"/>
      <c r="H273"/>
      <c r="I273"/>
    </row>
    <row r="274" spans="1:9" x14ac:dyDescent="0.25">
      <c r="A274"/>
      <c r="B274"/>
      <c r="C274"/>
      <c r="D274"/>
      <c r="E274"/>
      <c r="F274"/>
      <c r="G274"/>
      <c r="H274"/>
      <c r="I274"/>
    </row>
    <row r="275" spans="1:9" x14ac:dyDescent="0.25">
      <c r="A275"/>
      <c r="B275"/>
      <c r="C275"/>
      <c r="D275"/>
      <c r="E275"/>
      <c r="F275"/>
      <c r="G275"/>
      <c r="H275"/>
      <c r="I275"/>
    </row>
    <row r="276" spans="1:9" x14ac:dyDescent="0.25">
      <c r="A276"/>
      <c r="B276"/>
      <c r="C276"/>
      <c r="D276"/>
      <c r="E276"/>
      <c r="F276"/>
      <c r="G276"/>
      <c r="H276"/>
      <c r="I276"/>
    </row>
    <row r="277" spans="1:9" x14ac:dyDescent="0.25">
      <c r="A277"/>
      <c r="B277"/>
      <c r="C277"/>
      <c r="D277"/>
      <c r="E277"/>
      <c r="F277"/>
      <c r="G277"/>
      <c r="H277"/>
      <c r="I277"/>
    </row>
    <row r="278" spans="1:9" x14ac:dyDescent="0.25">
      <c r="A278"/>
      <c r="B278"/>
      <c r="C278"/>
      <c r="D278"/>
      <c r="E278"/>
      <c r="F278"/>
      <c r="G278"/>
      <c r="H278"/>
      <c r="I278"/>
    </row>
    <row r="279" spans="1:9" x14ac:dyDescent="0.25">
      <c r="A279"/>
      <c r="B279"/>
      <c r="C279"/>
      <c r="D279"/>
      <c r="E279"/>
      <c r="F279"/>
      <c r="G279"/>
      <c r="H279"/>
      <c r="I279"/>
    </row>
    <row r="280" spans="1:9" x14ac:dyDescent="0.25">
      <c r="A280"/>
      <c r="B280"/>
      <c r="C280"/>
      <c r="D280"/>
      <c r="E280"/>
      <c r="F280"/>
      <c r="G280"/>
      <c r="H280"/>
      <c r="I280"/>
    </row>
    <row r="281" spans="1:9" x14ac:dyDescent="0.25">
      <c r="A281"/>
      <c r="B281"/>
      <c r="C281"/>
      <c r="D281"/>
      <c r="E281"/>
      <c r="F281"/>
      <c r="G281"/>
      <c r="H281"/>
      <c r="I281"/>
    </row>
    <row r="282" spans="1:9" x14ac:dyDescent="0.25">
      <c r="A282"/>
      <c r="B282"/>
      <c r="C282"/>
      <c r="D282"/>
      <c r="E282"/>
      <c r="F282"/>
      <c r="G282"/>
      <c r="H282"/>
      <c r="I282"/>
    </row>
    <row r="283" spans="1:9" x14ac:dyDescent="0.25">
      <c r="A283"/>
      <c r="B283"/>
      <c r="C283"/>
      <c r="D283"/>
      <c r="E283"/>
      <c r="F283"/>
      <c r="G283"/>
      <c r="H283"/>
      <c r="I283"/>
    </row>
    <row r="284" spans="1:9" x14ac:dyDescent="0.25">
      <c r="A284"/>
      <c r="B284"/>
      <c r="C284"/>
      <c r="D284"/>
      <c r="E284"/>
      <c r="F284"/>
      <c r="G284"/>
      <c r="H284"/>
      <c r="I284"/>
    </row>
    <row r="285" spans="1:9" x14ac:dyDescent="0.25">
      <c r="A285"/>
      <c r="B285"/>
      <c r="C285"/>
      <c r="D285"/>
      <c r="E285"/>
      <c r="F285"/>
      <c r="G285"/>
      <c r="H285"/>
      <c r="I285"/>
    </row>
    <row r="286" spans="1:9" x14ac:dyDescent="0.25">
      <c r="A286"/>
      <c r="B286"/>
      <c r="C286"/>
      <c r="D286"/>
      <c r="E286"/>
      <c r="F286"/>
      <c r="G286"/>
      <c r="H286"/>
      <c r="I286"/>
    </row>
    <row r="287" spans="1:9" x14ac:dyDescent="0.25">
      <c r="A287"/>
      <c r="B287"/>
      <c r="C287"/>
      <c r="D287"/>
      <c r="E287"/>
      <c r="F287"/>
      <c r="G287"/>
      <c r="H287"/>
      <c r="I287"/>
    </row>
    <row r="288" spans="1:9" x14ac:dyDescent="0.25">
      <c r="A288"/>
      <c r="B288"/>
      <c r="C288"/>
      <c r="D288"/>
      <c r="E288"/>
      <c r="F288"/>
      <c r="G288"/>
      <c r="H288"/>
      <c r="I288"/>
    </row>
    <row r="289" spans="1:9" x14ac:dyDescent="0.25">
      <c r="A289"/>
      <c r="B289"/>
      <c r="C289"/>
      <c r="D289"/>
      <c r="E289"/>
      <c r="F289"/>
      <c r="G289"/>
      <c r="H289"/>
      <c r="I289"/>
    </row>
    <row r="290" spans="1:9" x14ac:dyDescent="0.25">
      <c r="A290"/>
      <c r="B290"/>
      <c r="C290"/>
      <c r="D290"/>
      <c r="E290"/>
      <c r="F290"/>
      <c r="G290"/>
      <c r="H290"/>
      <c r="I290"/>
    </row>
    <row r="291" spans="1:9" x14ac:dyDescent="0.25">
      <c r="A291"/>
      <c r="B291"/>
      <c r="C291"/>
      <c r="D291"/>
      <c r="E291"/>
      <c r="F291"/>
      <c r="G291"/>
      <c r="H291"/>
      <c r="I291"/>
    </row>
    <row r="292" spans="1:9" x14ac:dyDescent="0.25">
      <c r="A292"/>
      <c r="B292"/>
      <c r="C292"/>
      <c r="D292"/>
      <c r="E292"/>
      <c r="F292"/>
      <c r="G292"/>
      <c r="H292"/>
      <c r="I292"/>
    </row>
    <row r="293" spans="1:9" x14ac:dyDescent="0.25">
      <c r="A293"/>
      <c r="B293"/>
      <c r="C293"/>
      <c r="D293"/>
      <c r="E293"/>
      <c r="F293"/>
      <c r="G293"/>
      <c r="H293"/>
      <c r="I293"/>
    </row>
    <row r="294" spans="1:9" x14ac:dyDescent="0.25">
      <c r="A294"/>
      <c r="B294"/>
      <c r="C294"/>
      <c r="D294"/>
      <c r="E294"/>
      <c r="F294"/>
      <c r="G294"/>
      <c r="H294"/>
      <c r="I294"/>
    </row>
    <row r="295" spans="1:9" x14ac:dyDescent="0.25">
      <c r="A295"/>
      <c r="B295"/>
      <c r="C295"/>
      <c r="D295"/>
      <c r="E295"/>
      <c r="F295"/>
      <c r="G295"/>
      <c r="H295"/>
      <c r="I295"/>
    </row>
    <row r="296" spans="1:9" x14ac:dyDescent="0.25">
      <c r="A296"/>
      <c r="B296"/>
      <c r="C296"/>
      <c r="D296"/>
      <c r="E296"/>
      <c r="F296"/>
      <c r="G296"/>
      <c r="H296"/>
      <c r="I296"/>
    </row>
    <row r="297" spans="1:9" x14ac:dyDescent="0.25">
      <c r="A297"/>
      <c r="B297"/>
      <c r="C297"/>
      <c r="D297"/>
      <c r="E297"/>
      <c r="F297"/>
      <c r="G297"/>
      <c r="H297"/>
      <c r="I297"/>
    </row>
    <row r="298" spans="1:9" x14ac:dyDescent="0.25">
      <c r="A298"/>
      <c r="B298"/>
      <c r="C298"/>
      <c r="D298"/>
      <c r="E298"/>
      <c r="F298"/>
      <c r="G298"/>
      <c r="H298"/>
      <c r="I298"/>
    </row>
    <row r="299" spans="1:9" x14ac:dyDescent="0.25">
      <c r="A299"/>
      <c r="B299"/>
      <c r="C299"/>
      <c r="D299"/>
      <c r="E299"/>
      <c r="F299"/>
      <c r="G299"/>
      <c r="H299"/>
      <c r="I299"/>
    </row>
    <row r="300" spans="1:9" x14ac:dyDescent="0.25">
      <c r="A300"/>
      <c r="B300"/>
      <c r="C300"/>
      <c r="D300"/>
      <c r="E300"/>
      <c r="F300"/>
      <c r="G300"/>
      <c r="H300"/>
      <c r="I300"/>
    </row>
    <row r="301" spans="1:9" x14ac:dyDescent="0.25">
      <c r="A301"/>
      <c r="B301"/>
      <c r="C301"/>
      <c r="D301"/>
      <c r="E301"/>
      <c r="F301"/>
      <c r="G301"/>
      <c r="H301"/>
      <c r="I301"/>
    </row>
    <row r="302" spans="1:9" x14ac:dyDescent="0.25">
      <c r="A302"/>
      <c r="B302"/>
      <c r="C302"/>
      <c r="D302"/>
      <c r="E302"/>
      <c r="F302"/>
      <c r="G302"/>
      <c r="H302"/>
      <c r="I302"/>
    </row>
    <row r="303" spans="1:9" x14ac:dyDescent="0.25">
      <c r="A303"/>
      <c r="B303"/>
      <c r="C303"/>
      <c r="D303"/>
      <c r="E303"/>
      <c r="F303"/>
      <c r="G303"/>
      <c r="H303"/>
      <c r="I303"/>
    </row>
    <row r="304" spans="1:9" x14ac:dyDescent="0.25">
      <c r="A304"/>
      <c r="B304"/>
      <c r="C304"/>
      <c r="D304"/>
      <c r="E304"/>
      <c r="F304"/>
      <c r="G304"/>
      <c r="H304"/>
      <c r="I304"/>
    </row>
    <row r="305" spans="1:9" x14ac:dyDescent="0.25">
      <c r="A305"/>
      <c r="B305"/>
      <c r="C305"/>
      <c r="D305"/>
      <c r="E305"/>
      <c r="F305"/>
      <c r="G305"/>
      <c r="H305"/>
      <c r="I305"/>
    </row>
    <row r="306" spans="1:9" x14ac:dyDescent="0.25">
      <c r="A306"/>
      <c r="B306"/>
      <c r="C306"/>
      <c r="D306"/>
      <c r="E306"/>
      <c r="F306"/>
      <c r="G306"/>
      <c r="H306"/>
      <c r="I306"/>
    </row>
    <row r="307" spans="1:9" x14ac:dyDescent="0.25">
      <c r="A307"/>
      <c r="B307"/>
      <c r="C307"/>
      <c r="D307"/>
      <c r="E307"/>
      <c r="F307"/>
      <c r="G307"/>
      <c r="H307"/>
      <c r="I307"/>
    </row>
    <row r="308" spans="1:9" x14ac:dyDescent="0.25">
      <c r="A308"/>
      <c r="B308"/>
      <c r="C308"/>
      <c r="D308"/>
      <c r="E308"/>
      <c r="F308"/>
      <c r="G308"/>
      <c r="H308"/>
      <c r="I308"/>
    </row>
    <row r="309" spans="1:9" x14ac:dyDescent="0.25">
      <c r="A309"/>
      <c r="B309"/>
      <c r="C309"/>
      <c r="D309"/>
      <c r="E309"/>
      <c r="F309"/>
      <c r="G309"/>
      <c r="H309"/>
      <c r="I309"/>
    </row>
    <row r="310" spans="1:9" x14ac:dyDescent="0.25">
      <c r="A310"/>
      <c r="B310"/>
      <c r="C310"/>
      <c r="D310"/>
      <c r="E310"/>
      <c r="F310"/>
      <c r="G310"/>
      <c r="H310"/>
      <c r="I310"/>
    </row>
    <row r="311" spans="1:9" x14ac:dyDescent="0.25">
      <c r="A311"/>
      <c r="B311"/>
      <c r="C311"/>
      <c r="D311"/>
      <c r="E311"/>
      <c r="F311"/>
      <c r="G311"/>
      <c r="H311"/>
      <c r="I311"/>
    </row>
    <row r="312" spans="1:9" x14ac:dyDescent="0.25">
      <c r="A312"/>
      <c r="B312"/>
      <c r="C312"/>
      <c r="D312"/>
      <c r="E312"/>
      <c r="F312"/>
      <c r="G312"/>
      <c r="H312"/>
      <c r="I312"/>
    </row>
    <row r="313" spans="1:9" x14ac:dyDescent="0.25">
      <c r="A313"/>
      <c r="B313"/>
      <c r="C313"/>
      <c r="D313"/>
      <c r="E313"/>
      <c r="F313"/>
      <c r="G313"/>
      <c r="H313"/>
      <c r="I313"/>
    </row>
    <row r="314" spans="1:9" x14ac:dyDescent="0.25">
      <c r="A314"/>
      <c r="B314"/>
      <c r="C314"/>
      <c r="D314"/>
      <c r="E314"/>
      <c r="F314"/>
      <c r="G314"/>
      <c r="H314"/>
      <c r="I314"/>
    </row>
    <row r="315" spans="1:9" x14ac:dyDescent="0.25">
      <c r="A315"/>
      <c r="B315"/>
      <c r="C315"/>
      <c r="D315"/>
      <c r="E315"/>
      <c r="F315"/>
      <c r="G315"/>
      <c r="H315"/>
      <c r="I315"/>
    </row>
    <row r="316" spans="1:9" x14ac:dyDescent="0.25">
      <c r="A316"/>
      <c r="B316"/>
      <c r="C316"/>
      <c r="D316"/>
      <c r="E316"/>
      <c r="F316"/>
      <c r="G316"/>
      <c r="H316"/>
      <c r="I316"/>
    </row>
    <row r="317" spans="1:9" x14ac:dyDescent="0.25">
      <c r="A317"/>
      <c r="B317"/>
      <c r="C317"/>
      <c r="D317"/>
      <c r="E317"/>
      <c r="F317"/>
      <c r="G317"/>
      <c r="H317"/>
      <c r="I317"/>
    </row>
    <row r="318" spans="1:9" x14ac:dyDescent="0.25">
      <c r="A318"/>
      <c r="B318"/>
      <c r="C318"/>
      <c r="D318"/>
      <c r="E318"/>
      <c r="F318"/>
      <c r="G318"/>
      <c r="H318"/>
      <c r="I318"/>
    </row>
    <row r="319" spans="1:9" x14ac:dyDescent="0.25">
      <c r="A319"/>
      <c r="B319"/>
      <c r="C319"/>
      <c r="D319"/>
      <c r="E319"/>
      <c r="F319"/>
      <c r="G319"/>
      <c r="H319"/>
      <c r="I319"/>
    </row>
    <row r="320" spans="1:9" x14ac:dyDescent="0.25">
      <c r="A320"/>
      <c r="B320"/>
      <c r="C320"/>
      <c r="D320"/>
      <c r="E320"/>
      <c r="F320"/>
      <c r="G320"/>
      <c r="H320"/>
      <c r="I320"/>
    </row>
    <row r="321" spans="1:9" x14ac:dyDescent="0.25">
      <c r="A321"/>
      <c r="B321"/>
      <c r="C321"/>
      <c r="D321"/>
      <c r="E321"/>
      <c r="F321"/>
      <c r="G321"/>
      <c r="H321"/>
      <c r="I321"/>
    </row>
    <row r="322" spans="1:9" x14ac:dyDescent="0.25">
      <c r="A322"/>
      <c r="B322"/>
      <c r="C322"/>
      <c r="D322"/>
      <c r="E322"/>
      <c r="F322"/>
      <c r="G322"/>
      <c r="H322"/>
      <c r="I322"/>
    </row>
    <row r="323" spans="1:9" x14ac:dyDescent="0.25">
      <c r="A323"/>
      <c r="B323"/>
      <c r="C323"/>
      <c r="D323"/>
      <c r="E323"/>
      <c r="F323"/>
      <c r="G323"/>
      <c r="H323"/>
      <c r="I323"/>
    </row>
    <row r="324" spans="1:9" x14ac:dyDescent="0.25">
      <c r="A324"/>
      <c r="B324"/>
      <c r="C324"/>
      <c r="D324"/>
      <c r="E324"/>
      <c r="F324"/>
      <c r="G324"/>
      <c r="H324"/>
      <c r="I324"/>
    </row>
    <row r="325" spans="1:9" x14ac:dyDescent="0.25">
      <c r="A325"/>
      <c r="B325"/>
      <c r="C325"/>
      <c r="D325"/>
      <c r="E325"/>
      <c r="F325"/>
      <c r="G325"/>
      <c r="H325"/>
      <c r="I325"/>
    </row>
    <row r="326" spans="1:9" x14ac:dyDescent="0.25">
      <c r="A326"/>
      <c r="B326"/>
      <c r="C326"/>
      <c r="D326"/>
      <c r="E326"/>
      <c r="F326"/>
      <c r="G326"/>
      <c r="H326"/>
      <c r="I326"/>
    </row>
    <row r="327" spans="1:9" x14ac:dyDescent="0.25">
      <c r="A327"/>
      <c r="B327"/>
      <c r="C327"/>
      <c r="D327"/>
      <c r="E327"/>
      <c r="F327"/>
      <c r="G327"/>
      <c r="H327"/>
      <c r="I327"/>
    </row>
    <row r="328" spans="1:9" x14ac:dyDescent="0.25">
      <c r="A328"/>
      <c r="B328"/>
      <c r="C328"/>
      <c r="D328"/>
      <c r="E328"/>
      <c r="F328"/>
      <c r="G328"/>
      <c r="H328"/>
      <c r="I328"/>
    </row>
    <row r="329" spans="1:9" x14ac:dyDescent="0.25">
      <c r="A329"/>
      <c r="B329"/>
      <c r="C329"/>
      <c r="D329"/>
      <c r="E329"/>
      <c r="F329"/>
      <c r="G329"/>
      <c r="H329"/>
      <c r="I329"/>
    </row>
    <row r="330" spans="1:9" x14ac:dyDescent="0.25">
      <c r="A330"/>
      <c r="B330"/>
      <c r="C330"/>
      <c r="D330"/>
      <c r="E330"/>
      <c r="F330"/>
      <c r="G330"/>
      <c r="H330"/>
      <c r="I330"/>
    </row>
    <row r="331" spans="1:9" x14ac:dyDescent="0.25">
      <c r="A331"/>
      <c r="B331"/>
      <c r="C331"/>
      <c r="D331"/>
      <c r="E331"/>
      <c r="F331"/>
      <c r="G331"/>
      <c r="H331"/>
      <c r="I331"/>
    </row>
    <row r="332" spans="1:9" x14ac:dyDescent="0.25">
      <c r="A332"/>
      <c r="B332"/>
      <c r="C332"/>
      <c r="D332"/>
      <c r="E332"/>
      <c r="F332"/>
      <c r="G332"/>
      <c r="H332"/>
      <c r="I332"/>
    </row>
    <row r="333" spans="1:9" x14ac:dyDescent="0.25">
      <c r="A333"/>
      <c r="B333"/>
      <c r="C333"/>
      <c r="D333"/>
      <c r="E333"/>
      <c r="F333"/>
      <c r="G333"/>
      <c r="H333"/>
      <c r="I333"/>
    </row>
    <row r="334" spans="1:9" x14ac:dyDescent="0.25">
      <c r="A334"/>
      <c r="B334"/>
      <c r="C334"/>
      <c r="D334"/>
      <c r="E334"/>
      <c r="F334"/>
      <c r="G334"/>
      <c r="H334"/>
      <c r="I334"/>
    </row>
    <row r="335" spans="1:9" x14ac:dyDescent="0.25">
      <c r="A335"/>
      <c r="B335"/>
      <c r="C335"/>
      <c r="D335"/>
      <c r="E335"/>
      <c r="F335"/>
      <c r="G335"/>
      <c r="H335"/>
      <c r="I335"/>
    </row>
    <row r="336" spans="1:9" x14ac:dyDescent="0.25">
      <c r="A336"/>
      <c r="B336"/>
      <c r="C336"/>
      <c r="D336"/>
      <c r="E336"/>
      <c r="F336"/>
      <c r="G336"/>
      <c r="H336"/>
      <c r="I336"/>
    </row>
    <row r="337" spans="1:9" x14ac:dyDescent="0.25">
      <c r="A337"/>
      <c r="B337"/>
      <c r="C337"/>
      <c r="D337"/>
      <c r="E337"/>
      <c r="F337"/>
      <c r="G337"/>
      <c r="H337"/>
      <c r="I337"/>
    </row>
    <row r="338" spans="1:9" x14ac:dyDescent="0.25">
      <c r="A338"/>
      <c r="B338"/>
      <c r="C338"/>
      <c r="D338"/>
      <c r="E338"/>
      <c r="F338"/>
      <c r="G338"/>
      <c r="H338"/>
      <c r="I338"/>
    </row>
    <row r="339" spans="1:9" x14ac:dyDescent="0.25">
      <c r="A339"/>
      <c r="B339"/>
      <c r="C339"/>
      <c r="D339"/>
      <c r="E339"/>
      <c r="F339"/>
      <c r="G339"/>
      <c r="H339"/>
      <c r="I339"/>
    </row>
    <row r="340" spans="1:9" x14ac:dyDescent="0.25">
      <c r="A340"/>
      <c r="B340"/>
      <c r="C340"/>
      <c r="D340"/>
      <c r="E340"/>
      <c r="F340"/>
      <c r="G340"/>
      <c r="H340"/>
      <c r="I340"/>
    </row>
    <row r="341" spans="1:9" x14ac:dyDescent="0.25">
      <c r="A341"/>
      <c r="B341"/>
      <c r="C341"/>
      <c r="D341"/>
      <c r="E341"/>
      <c r="F341"/>
      <c r="G341"/>
      <c r="H341"/>
      <c r="I341"/>
    </row>
    <row r="342" spans="1:9" x14ac:dyDescent="0.25">
      <c r="A342"/>
      <c r="B342"/>
      <c r="C342"/>
      <c r="D342"/>
      <c r="E342"/>
      <c r="F342"/>
      <c r="G342"/>
      <c r="H342"/>
      <c r="I342"/>
    </row>
    <row r="343" spans="1:9" x14ac:dyDescent="0.25">
      <c r="A343"/>
      <c r="B343"/>
      <c r="C343"/>
      <c r="D343"/>
      <c r="E343"/>
      <c r="F343"/>
      <c r="G343"/>
      <c r="H343"/>
      <c r="I343"/>
    </row>
    <row r="344" spans="1:9" x14ac:dyDescent="0.25">
      <c r="A344"/>
      <c r="B344"/>
      <c r="C344"/>
      <c r="D344"/>
      <c r="E344"/>
      <c r="F344"/>
      <c r="G344"/>
      <c r="H344"/>
      <c r="I344"/>
    </row>
    <row r="345" spans="1:9" x14ac:dyDescent="0.25">
      <c r="A345"/>
      <c r="B345"/>
      <c r="C345"/>
      <c r="D345"/>
      <c r="E345"/>
      <c r="F345"/>
      <c r="G345"/>
      <c r="H345"/>
      <c r="I345"/>
    </row>
    <row r="346" spans="1:9" x14ac:dyDescent="0.25">
      <c r="A346"/>
      <c r="B346"/>
      <c r="C346"/>
      <c r="D346"/>
      <c r="E346"/>
      <c r="F346"/>
      <c r="G346"/>
      <c r="H346"/>
      <c r="I346"/>
    </row>
    <row r="347" spans="1:9" x14ac:dyDescent="0.25">
      <c r="A347"/>
      <c r="B347"/>
      <c r="C347"/>
      <c r="D347"/>
      <c r="E347"/>
      <c r="F347"/>
      <c r="G347"/>
      <c r="H347"/>
      <c r="I347"/>
    </row>
    <row r="348" spans="1:9" x14ac:dyDescent="0.25">
      <c r="A348"/>
      <c r="B348"/>
      <c r="C348"/>
      <c r="D348"/>
      <c r="E348"/>
      <c r="F348"/>
      <c r="G348"/>
      <c r="H348"/>
      <c r="I348"/>
    </row>
    <row r="349" spans="1:9" x14ac:dyDescent="0.25">
      <c r="A349"/>
      <c r="B349"/>
      <c r="C349"/>
      <c r="D349"/>
      <c r="E349"/>
      <c r="F349"/>
      <c r="G349"/>
      <c r="H349"/>
      <c r="I349"/>
    </row>
    <row r="350" spans="1:9" x14ac:dyDescent="0.25">
      <c r="A350"/>
      <c r="B350"/>
      <c r="C350"/>
      <c r="D350"/>
      <c r="E350"/>
      <c r="F350"/>
      <c r="G350"/>
      <c r="H350"/>
      <c r="I350"/>
    </row>
    <row r="351" spans="1:9" x14ac:dyDescent="0.25">
      <c r="A351"/>
      <c r="B351"/>
      <c r="C351"/>
      <c r="D351"/>
      <c r="E351"/>
      <c r="F351"/>
      <c r="G351"/>
      <c r="H351"/>
      <c r="I351"/>
    </row>
    <row r="352" spans="1:9" x14ac:dyDescent="0.25">
      <c r="A352"/>
      <c r="B352"/>
      <c r="C352"/>
      <c r="D352"/>
      <c r="E352"/>
      <c r="F352"/>
      <c r="G352"/>
      <c r="H352"/>
      <c r="I352"/>
    </row>
    <row r="353" spans="1:9" x14ac:dyDescent="0.25">
      <c r="A353"/>
      <c r="B353"/>
      <c r="C353"/>
      <c r="D353"/>
      <c r="E353"/>
      <c r="F353"/>
      <c r="G353"/>
      <c r="H353"/>
      <c r="I353"/>
    </row>
    <row r="354" spans="1:9" x14ac:dyDescent="0.25">
      <c r="A354"/>
      <c r="B354"/>
      <c r="C354"/>
      <c r="D354"/>
      <c r="E354"/>
      <c r="F354"/>
      <c r="G354"/>
      <c r="H354"/>
      <c r="I354"/>
    </row>
    <row r="355" spans="1:9" x14ac:dyDescent="0.25">
      <c r="A355"/>
      <c r="B355"/>
      <c r="C355"/>
      <c r="D355"/>
      <c r="E355"/>
      <c r="F355"/>
      <c r="G355"/>
      <c r="H355"/>
      <c r="I355"/>
    </row>
    <row r="356" spans="1:9" x14ac:dyDescent="0.25">
      <c r="A356"/>
      <c r="B356"/>
      <c r="C356"/>
      <c r="D356"/>
      <c r="E356"/>
      <c r="F356"/>
      <c r="G356"/>
      <c r="H356"/>
      <c r="I356"/>
    </row>
    <row r="357" spans="1:9" x14ac:dyDescent="0.25">
      <c r="A357"/>
      <c r="B357"/>
      <c r="C357"/>
      <c r="D357"/>
      <c r="E357"/>
      <c r="F357"/>
      <c r="G357"/>
      <c r="H357"/>
      <c r="I357"/>
    </row>
    <row r="358" spans="1:9" x14ac:dyDescent="0.25">
      <c r="A358"/>
      <c r="B358"/>
      <c r="C358"/>
      <c r="D358"/>
      <c r="E358"/>
      <c r="F358"/>
      <c r="G358"/>
      <c r="H358"/>
      <c r="I358"/>
    </row>
    <row r="359" spans="1:9" x14ac:dyDescent="0.25">
      <c r="A359"/>
      <c r="B359"/>
      <c r="C359"/>
      <c r="D359"/>
      <c r="E359"/>
      <c r="F359"/>
      <c r="G359"/>
      <c r="H359"/>
      <c r="I359"/>
    </row>
    <row r="360" spans="1:9" x14ac:dyDescent="0.25">
      <c r="A360"/>
      <c r="B360"/>
      <c r="C360"/>
      <c r="D360"/>
      <c r="E360"/>
      <c r="F360"/>
      <c r="G360"/>
      <c r="H360"/>
      <c r="I360"/>
    </row>
    <row r="361" spans="1:9" x14ac:dyDescent="0.25">
      <c r="A361"/>
      <c r="B361"/>
      <c r="C361"/>
      <c r="D361"/>
      <c r="E361"/>
      <c r="F361"/>
      <c r="G361"/>
      <c r="H361"/>
      <c r="I361"/>
    </row>
    <row r="362" spans="1:9" x14ac:dyDescent="0.25">
      <c r="A362"/>
      <c r="B362"/>
      <c r="C362"/>
      <c r="D362"/>
      <c r="E362"/>
      <c r="F362"/>
      <c r="G362"/>
      <c r="H362"/>
      <c r="I362"/>
    </row>
    <row r="363" spans="1:9" x14ac:dyDescent="0.25">
      <c r="A363"/>
      <c r="B363"/>
      <c r="C363"/>
      <c r="D363"/>
      <c r="E363"/>
      <c r="F363"/>
      <c r="G363"/>
      <c r="H363"/>
      <c r="I363"/>
    </row>
    <row r="364" spans="1:9" x14ac:dyDescent="0.25">
      <c r="A364"/>
      <c r="B364"/>
      <c r="C364"/>
      <c r="D364"/>
      <c r="E364"/>
      <c r="F364"/>
      <c r="G364"/>
      <c r="H364"/>
      <c r="I364"/>
    </row>
    <row r="365" spans="1:9" x14ac:dyDescent="0.25">
      <c r="A365"/>
      <c r="B365"/>
      <c r="C365"/>
      <c r="D365"/>
      <c r="E365"/>
      <c r="F365"/>
      <c r="G365"/>
      <c r="H365"/>
      <c r="I365"/>
    </row>
    <row r="366" spans="1:9" x14ac:dyDescent="0.25">
      <c r="A366"/>
      <c r="B366"/>
      <c r="C366"/>
      <c r="D366"/>
      <c r="E366"/>
      <c r="F366"/>
      <c r="G366"/>
      <c r="H366"/>
      <c r="I366"/>
    </row>
    <row r="367" spans="1:9" x14ac:dyDescent="0.25">
      <c r="A367"/>
      <c r="B367"/>
      <c r="C367"/>
      <c r="D367"/>
      <c r="E367"/>
      <c r="F367"/>
      <c r="G367"/>
      <c r="H367"/>
      <c r="I367"/>
    </row>
    <row r="368" spans="1:9" x14ac:dyDescent="0.25">
      <c r="A368"/>
      <c r="B368"/>
      <c r="C368"/>
      <c r="D368"/>
      <c r="E368"/>
      <c r="F368"/>
      <c r="G368"/>
      <c r="H368"/>
      <c r="I368"/>
    </row>
    <row r="369" spans="1:9" x14ac:dyDescent="0.25">
      <c r="A369"/>
      <c r="B369"/>
      <c r="C369"/>
      <c r="D369"/>
      <c r="E369"/>
      <c r="F369"/>
      <c r="G369"/>
      <c r="H369"/>
      <c r="I369"/>
    </row>
    <row r="370" spans="1:9" x14ac:dyDescent="0.25">
      <c r="A370"/>
      <c r="B370"/>
      <c r="C370"/>
      <c r="D370"/>
      <c r="E370"/>
      <c r="F370"/>
      <c r="G370"/>
      <c r="H370"/>
      <c r="I370"/>
    </row>
    <row r="371" spans="1:9" x14ac:dyDescent="0.25">
      <c r="A371"/>
      <c r="B371"/>
      <c r="C371"/>
      <c r="D371"/>
      <c r="E371"/>
      <c r="F371"/>
      <c r="G371"/>
      <c r="H371"/>
      <c r="I371"/>
    </row>
    <row r="372" spans="1:9" x14ac:dyDescent="0.25">
      <c r="A372"/>
      <c r="B372"/>
      <c r="C372"/>
      <c r="D372"/>
      <c r="E372"/>
      <c r="F372"/>
      <c r="G372"/>
      <c r="H372"/>
      <c r="I372"/>
    </row>
    <row r="373" spans="1:9" x14ac:dyDescent="0.25">
      <c r="A373"/>
      <c r="B373"/>
      <c r="C373"/>
      <c r="D373"/>
      <c r="E373"/>
      <c r="F373"/>
      <c r="G373"/>
      <c r="H373"/>
      <c r="I373"/>
    </row>
    <row r="374" spans="1:9" x14ac:dyDescent="0.25">
      <c r="A374"/>
      <c r="B374"/>
      <c r="C374"/>
      <c r="D374"/>
      <c r="E374"/>
      <c r="F374"/>
      <c r="G374"/>
      <c r="H374"/>
      <c r="I374"/>
    </row>
    <row r="375" spans="1:9" x14ac:dyDescent="0.25">
      <c r="A375"/>
      <c r="B375"/>
      <c r="C375"/>
      <c r="D375"/>
      <c r="E375"/>
      <c r="F375"/>
      <c r="G375"/>
      <c r="H375"/>
      <c r="I375"/>
    </row>
    <row r="376" spans="1:9" x14ac:dyDescent="0.25">
      <c r="A376"/>
      <c r="B376"/>
      <c r="C376"/>
      <c r="D376"/>
      <c r="E376"/>
      <c r="F376"/>
      <c r="G376"/>
      <c r="H376"/>
      <c r="I376"/>
    </row>
    <row r="377" spans="1:9" x14ac:dyDescent="0.25">
      <c r="A377"/>
      <c r="B377"/>
      <c r="C377"/>
      <c r="D377"/>
      <c r="E377"/>
      <c r="F377"/>
      <c r="G377"/>
      <c r="H377"/>
      <c r="I377"/>
    </row>
    <row r="378" spans="1:9" x14ac:dyDescent="0.25">
      <c r="A378"/>
      <c r="B378"/>
      <c r="C378"/>
      <c r="D378"/>
      <c r="E378"/>
      <c r="F378"/>
      <c r="G378"/>
      <c r="H378"/>
      <c r="I378"/>
    </row>
    <row r="379" spans="1:9" x14ac:dyDescent="0.25">
      <c r="A379"/>
      <c r="B379"/>
      <c r="C379"/>
      <c r="D379"/>
      <c r="E379"/>
      <c r="F379"/>
      <c r="G379"/>
      <c r="H379"/>
      <c r="I379"/>
    </row>
    <row r="380" spans="1:9" x14ac:dyDescent="0.25">
      <c r="A380"/>
      <c r="B380"/>
      <c r="C380"/>
      <c r="D380"/>
      <c r="E380"/>
      <c r="F380"/>
      <c r="G380"/>
      <c r="H380"/>
      <c r="I380"/>
    </row>
    <row r="381" spans="1:9" x14ac:dyDescent="0.25">
      <c r="A381"/>
      <c r="B381"/>
      <c r="C381"/>
      <c r="D381"/>
      <c r="E381"/>
      <c r="F381"/>
      <c r="G381"/>
      <c r="H381"/>
      <c r="I381"/>
    </row>
    <row r="382" spans="1:9" x14ac:dyDescent="0.25">
      <c r="A382"/>
      <c r="B382"/>
      <c r="C382"/>
      <c r="D382"/>
      <c r="E382"/>
      <c r="F382"/>
      <c r="G382"/>
      <c r="H382"/>
      <c r="I382"/>
    </row>
    <row r="383" spans="1:9" x14ac:dyDescent="0.25">
      <c r="A383"/>
      <c r="B383"/>
      <c r="C383"/>
      <c r="D383"/>
      <c r="E383"/>
      <c r="F383"/>
      <c r="G383"/>
      <c r="H383"/>
      <c r="I383"/>
    </row>
    <row r="384" spans="1:9" x14ac:dyDescent="0.25">
      <c r="A384"/>
      <c r="B384"/>
      <c r="C384"/>
      <c r="D384"/>
      <c r="E384"/>
      <c r="F384"/>
      <c r="G384"/>
      <c r="H384"/>
      <c r="I384"/>
    </row>
    <row r="385" spans="1:9" x14ac:dyDescent="0.25">
      <c r="A385"/>
      <c r="B385"/>
      <c r="C385"/>
      <c r="D385"/>
      <c r="E385"/>
      <c r="F385"/>
      <c r="G385"/>
      <c r="H385"/>
      <c r="I385"/>
    </row>
    <row r="386" spans="1:9" x14ac:dyDescent="0.25">
      <c r="A386"/>
      <c r="B386"/>
      <c r="C386"/>
      <c r="D386"/>
      <c r="E386"/>
      <c r="F386"/>
      <c r="G386"/>
      <c r="H386"/>
      <c r="I386"/>
    </row>
    <row r="387" spans="1:9" x14ac:dyDescent="0.25">
      <c r="A387"/>
      <c r="B387"/>
      <c r="C387"/>
      <c r="D387"/>
      <c r="E387"/>
      <c r="F387"/>
      <c r="G387"/>
      <c r="H387"/>
      <c r="I387"/>
    </row>
    <row r="388" spans="1:9" x14ac:dyDescent="0.25">
      <c r="A388"/>
      <c r="B388"/>
      <c r="C388"/>
      <c r="D388"/>
      <c r="E388"/>
      <c r="F388"/>
      <c r="G388"/>
      <c r="H388"/>
      <c r="I388"/>
    </row>
    <row r="389" spans="1:9" x14ac:dyDescent="0.25">
      <c r="A389"/>
      <c r="B389"/>
      <c r="C389"/>
      <c r="D389"/>
      <c r="E389"/>
      <c r="F389"/>
      <c r="G389"/>
      <c r="H389"/>
      <c r="I389"/>
    </row>
    <row r="390" spans="1:9" x14ac:dyDescent="0.25">
      <c r="A390"/>
      <c r="B390"/>
      <c r="C390"/>
      <c r="D390"/>
      <c r="E390"/>
      <c r="F390"/>
      <c r="G390"/>
      <c r="H390"/>
      <c r="I390"/>
    </row>
    <row r="391" spans="1:9" x14ac:dyDescent="0.25">
      <c r="A391"/>
      <c r="B391"/>
      <c r="C391"/>
      <c r="D391"/>
      <c r="E391"/>
      <c r="F391"/>
      <c r="G391"/>
      <c r="H391"/>
      <c r="I391"/>
    </row>
    <row r="392" spans="1:9" x14ac:dyDescent="0.25">
      <c r="A392"/>
      <c r="B392"/>
      <c r="C392"/>
      <c r="D392"/>
      <c r="E392"/>
      <c r="F392"/>
      <c r="G392"/>
      <c r="H392"/>
      <c r="I392"/>
    </row>
    <row r="393" spans="1:9" x14ac:dyDescent="0.25">
      <c r="A393"/>
      <c r="B393"/>
      <c r="C393"/>
      <c r="D393"/>
      <c r="E393"/>
      <c r="F393"/>
      <c r="G393"/>
      <c r="H393"/>
      <c r="I393"/>
    </row>
    <row r="394" spans="1:9" x14ac:dyDescent="0.25">
      <c r="A394"/>
      <c r="B394"/>
      <c r="C394"/>
      <c r="D394"/>
      <c r="E394"/>
      <c r="F394"/>
      <c r="G394"/>
      <c r="H394"/>
      <c r="I394"/>
    </row>
    <row r="395" spans="1:9" x14ac:dyDescent="0.25">
      <c r="A395"/>
      <c r="B395"/>
      <c r="C395"/>
      <c r="D395"/>
      <c r="E395"/>
      <c r="F395"/>
      <c r="G395"/>
      <c r="H395"/>
      <c r="I395"/>
    </row>
    <row r="396" spans="1:9" x14ac:dyDescent="0.25">
      <c r="A396"/>
      <c r="B396"/>
      <c r="C396"/>
      <c r="D396"/>
      <c r="E396"/>
      <c r="F396"/>
      <c r="G396"/>
      <c r="H396"/>
      <c r="I396"/>
    </row>
    <row r="397" spans="1:9" x14ac:dyDescent="0.25">
      <c r="A397"/>
      <c r="B397"/>
      <c r="C397"/>
      <c r="D397"/>
      <c r="E397"/>
      <c r="F397"/>
      <c r="G397"/>
      <c r="H397"/>
      <c r="I397"/>
    </row>
    <row r="398" spans="1:9" x14ac:dyDescent="0.25">
      <c r="A398"/>
      <c r="B398"/>
      <c r="C398"/>
      <c r="D398"/>
      <c r="E398"/>
      <c r="F398"/>
      <c r="G398"/>
      <c r="H398"/>
      <c r="I398"/>
    </row>
    <row r="399" spans="1:9" x14ac:dyDescent="0.25">
      <c r="A399"/>
      <c r="B399"/>
      <c r="C399"/>
      <c r="D399"/>
      <c r="E399"/>
      <c r="F399"/>
      <c r="G399"/>
      <c r="H399"/>
      <c r="I399"/>
    </row>
    <row r="400" spans="1:9" x14ac:dyDescent="0.25">
      <c r="A400"/>
      <c r="B400"/>
      <c r="C400"/>
      <c r="D400"/>
      <c r="E400"/>
      <c r="F400"/>
      <c r="G400"/>
      <c r="H400"/>
      <c r="I400"/>
    </row>
    <row r="401" spans="1:9" x14ac:dyDescent="0.25">
      <c r="A401"/>
      <c r="B401"/>
      <c r="C401"/>
      <c r="D401"/>
      <c r="E401"/>
      <c r="F401"/>
      <c r="G401"/>
      <c r="H401"/>
      <c r="I401"/>
    </row>
    <row r="402" spans="1:9" x14ac:dyDescent="0.25">
      <c r="A402"/>
      <c r="B402"/>
      <c r="C402"/>
      <c r="D402"/>
      <c r="E402"/>
      <c r="F402"/>
      <c r="G402"/>
      <c r="H402"/>
      <c r="I402"/>
    </row>
    <row r="403" spans="1:9" x14ac:dyDescent="0.25">
      <c r="A403"/>
      <c r="B403"/>
      <c r="C403"/>
      <c r="D403"/>
      <c r="E403"/>
      <c r="F403"/>
      <c r="G403"/>
      <c r="H403"/>
      <c r="I403"/>
    </row>
    <row r="404" spans="1:9" x14ac:dyDescent="0.25">
      <c r="A404"/>
      <c r="B404"/>
      <c r="C404"/>
      <c r="D404"/>
      <c r="E404"/>
      <c r="F404"/>
      <c r="G404"/>
      <c r="H404"/>
      <c r="I404"/>
    </row>
    <row r="405" spans="1:9" x14ac:dyDescent="0.25">
      <c r="A405"/>
      <c r="B405"/>
      <c r="C405"/>
      <c r="D405"/>
      <c r="E405"/>
      <c r="F405"/>
      <c r="G405"/>
      <c r="H405"/>
      <c r="I405"/>
    </row>
    <row r="406" spans="1:9" x14ac:dyDescent="0.25">
      <c r="A406"/>
      <c r="B406"/>
      <c r="C406"/>
      <c r="D406"/>
      <c r="E406"/>
      <c r="F406"/>
      <c r="G406"/>
      <c r="H406"/>
      <c r="I406"/>
    </row>
    <row r="407" spans="1:9" x14ac:dyDescent="0.25">
      <c r="A407"/>
      <c r="B407"/>
      <c r="C407"/>
      <c r="D407"/>
      <c r="E407"/>
      <c r="F407"/>
      <c r="G407"/>
      <c r="H407"/>
      <c r="I407"/>
    </row>
    <row r="408" spans="1:9" x14ac:dyDescent="0.25">
      <c r="A408"/>
      <c r="B408"/>
      <c r="C408"/>
      <c r="D408"/>
      <c r="E408"/>
      <c r="F408"/>
      <c r="G408"/>
      <c r="H408"/>
      <c r="I408"/>
    </row>
    <row r="409" spans="1:9" x14ac:dyDescent="0.25">
      <c r="A409"/>
      <c r="B409"/>
      <c r="C409"/>
      <c r="D409"/>
      <c r="E409"/>
      <c r="F409"/>
      <c r="G409"/>
      <c r="H409"/>
      <c r="I409"/>
    </row>
    <row r="410" spans="1:9" x14ac:dyDescent="0.25">
      <c r="A410"/>
      <c r="B410"/>
      <c r="C410"/>
      <c r="D410"/>
      <c r="E410"/>
      <c r="F410"/>
      <c r="G410"/>
      <c r="H410"/>
      <c r="I410"/>
    </row>
    <row r="411" spans="1:9" x14ac:dyDescent="0.25">
      <c r="A411"/>
      <c r="B411"/>
      <c r="C411"/>
      <c r="D411"/>
      <c r="E411"/>
      <c r="F411"/>
      <c r="G411"/>
      <c r="H411"/>
      <c r="I411"/>
    </row>
    <row r="412" spans="1:9" x14ac:dyDescent="0.25">
      <c r="A412"/>
      <c r="B412"/>
      <c r="C412"/>
      <c r="D412"/>
      <c r="E412"/>
      <c r="F412"/>
      <c r="G412"/>
      <c r="H412"/>
      <c r="I412"/>
    </row>
    <row r="413" spans="1:9" x14ac:dyDescent="0.25">
      <c r="A413"/>
      <c r="B413"/>
      <c r="C413"/>
      <c r="D413"/>
      <c r="E413"/>
      <c r="F413"/>
      <c r="G413"/>
      <c r="H413"/>
      <c r="I413"/>
    </row>
    <row r="414" spans="1:9" x14ac:dyDescent="0.25">
      <c r="A414"/>
      <c r="B414"/>
      <c r="C414"/>
      <c r="D414"/>
      <c r="E414"/>
      <c r="F414"/>
      <c r="G414"/>
      <c r="H414"/>
      <c r="I414"/>
    </row>
    <row r="415" spans="1:9" x14ac:dyDescent="0.25">
      <c r="A415"/>
      <c r="B415"/>
      <c r="C415"/>
      <c r="D415"/>
      <c r="E415"/>
      <c r="F415"/>
      <c r="G415"/>
      <c r="H415"/>
      <c r="I415"/>
    </row>
    <row r="416" spans="1:9" x14ac:dyDescent="0.25">
      <c r="A416"/>
      <c r="B416"/>
      <c r="C416"/>
      <c r="D416"/>
      <c r="E416"/>
      <c r="F416"/>
      <c r="G416"/>
      <c r="H416"/>
      <c r="I416"/>
    </row>
    <row r="417" spans="1:9" x14ac:dyDescent="0.25">
      <c r="A417"/>
      <c r="B417"/>
      <c r="C417"/>
      <c r="D417"/>
      <c r="E417"/>
      <c r="F417"/>
      <c r="G417"/>
      <c r="H417"/>
      <c r="I417"/>
    </row>
    <row r="418" spans="1:9" x14ac:dyDescent="0.25">
      <c r="A418"/>
      <c r="B418"/>
      <c r="C418"/>
      <c r="D418"/>
      <c r="E418"/>
      <c r="F418"/>
      <c r="G418"/>
      <c r="H418"/>
      <c r="I418"/>
    </row>
    <row r="419" spans="1:9" x14ac:dyDescent="0.25">
      <c r="A419"/>
      <c r="B419"/>
      <c r="C419"/>
      <c r="D419"/>
      <c r="E419"/>
      <c r="F419"/>
      <c r="G419"/>
      <c r="H419"/>
      <c r="I419"/>
    </row>
    <row r="420" spans="1:9" x14ac:dyDescent="0.25">
      <c r="A420"/>
      <c r="B420"/>
      <c r="C420"/>
      <c r="D420"/>
      <c r="E420"/>
      <c r="F420"/>
      <c r="G420"/>
      <c r="H420"/>
      <c r="I420"/>
    </row>
    <row r="421" spans="1:9" x14ac:dyDescent="0.25">
      <c r="A421"/>
      <c r="B421"/>
      <c r="C421"/>
      <c r="D421"/>
      <c r="E421"/>
      <c r="F421"/>
      <c r="G421"/>
      <c r="H421"/>
      <c r="I421"/>
    </row>
    <row r="422" spans="1:9" x14ac:dyDescent="0.25">
      <c r="A422"/>
      <c r="B422"/>
      <c r="C422"/>
      <c r="D422"/>
      <c r="E422"/>
      <c r="F422"/>
      <c r="G422"/>
      <c r="H422"/>
      <c r="I422"/>
    </row>
    <row r="423" spans="1:9" x14ac:dyDescent="0.25">
      <c r="A423"/>
      <c r="B423"/>
      <c r="C423"/>
      <c r="D423"/>
      <c r="E423"/>
      <c r="F423"/>
      <c r="G423"/>
      <c r="H423"/>
      <c r="I423"/>
    </row>
    <row r="424" spans="1:9" x14ac:dyDescent="0.25">
      <c r="A424"/>
      <c r="B424"/>
      <c r="C424"/>
      <c r="D424"/>
      <c r="E424"/>
      <c r="F424"/>
      <c r="G424"/>
      <c r="H424"/>
      <c r="I424"/>
    </row>
    <row r="425" spans="1:9" x14ac:dyDescent="0.25">
      <c r="A425"/>
      <c r="B425"/>
      <c r="C425"/>
      <c r="D425"/>
      <c r="E425"/>
      <c r="F425"/>
      <c r="G425"/>
      <c r="H425"/>
      <c r="I425"/>
    </row>
    <row r="426" spans="1:9" x14ac:dyDescent="0.25">
      <c r="A426"/>
      <c r="B426"/>
      <c r="C426"/>
      <c r="D426"/>
      <c r="E426"/>
      <c r="F426"/>
      <c r="G426"/>
      <c r="H426"/>
      <c r="I426"/>
    </row>
    <row r="427" spans="1:9" x14ac:dyDescent="0.25">
      <c r="A427"/>
      <c r="B427"/>
      <c r="C427"/>
      <c r="D427"/>
      <c r="E427"/>
      <c r="F427"/>
      <c r="G427"/>
      <c r="H427"/>
      <c r="I427"/>
    </row>
    <row r="428" spans="1:9" x14ac:dyDescent="0.25">
      <c r="A428"/>
      <c r="B428"/>
      <c r="C428"/>
      <c r="D428"/>
      <c r="E428"/>
      <c r="F428"/>
      <c r="G428"/>
      <c r="H428"/>
      <c r="I428"/>
    </row>
    <row r="429" spans="1:9" x14ac:dyDescent="0.25">
      <c r="A429"/>
      <c r="B429"/>
      <c r="C429"/>
      <c r="D429"/>
      <c r="E429"/>
      <c r="F429"/>
      <c r="G429"/>
      <c r="H429"/>
      <c r="I429"/>
    </row>
    <row r="430" spans="1:9" x14ac:dyDescent="0.25">
      <c r="A430"/>
      <c r="B430"/>
      <c r="C430"/>
      <c r="D430"/>
      <c r="E430"/>
      <c r="F430"/>
      <c r="G430"/>
      <c r="H430"/>
      <c r="I430"/>
    </row>
    <row r="431" spans="1:9" x14ac:dyDescent="0.25">
      <c r="A431"/>
      <c r="B431"/>
      <c r="C431"/>
      <c r="D431"/>
      <c r="E431"/>
      <c r="F431"/>
      <c r="G431"/>
      <c r="H431"/>
      <c r="I431"/>
    </row>
    <row r="432" spans="1:9" x14ac:dyDescent="0.25">
      <c r="A432"/>
      <c r="B432"/>
      <c r="C432"/>
      <c r="D432"/>
      <c r="E432"/>
      <c r="F432"/>
      <c r="G432"/>
      <c r="H432"/>
      <c r="I432"/>
    </row>
    <row r="433" spans="1:9" x14ac:dyDescent="0.25">
      <c r="A433"/>
      <c r="B433"/>
      <c r="C433"/>
      <c r="D433"/>
      <c r="E433"/>
      <c r="F433"/>
      <c r="G433"/>
      <c r="H433"/>
      <c r="I433"/>
    </row>
    <row r="434" spans="1:9" x14ac:dyDescent="0.25">
      <c r="A434"/>
      <c r="B434"/>
      <c r="C434"/>
      <c r="D434"/>
      <c r="E434"/>
      <c r="F434"/>
      <c r="G434"/>
      <c r="H434"/>
      <c r="I434"/>
    </row>
    <row r="435" spans="1:9" x14ac:dyDescent="0.25">
      <c r="A435"/>
      <c r="B435"/>
      <c r="C435"/>
      <c r="D435"/>
      <c r="E435"/>
      <c r="F435"/>
      <c r="G435"/>
      <c r="H435"/>
      <c r="I435"/>
    </row>
    <row r="436" spans="1:9" x14ac:dyDescent="0.25">
      <c r="A436"/>
      <c r="B436"/>
      <c r="C436"/>
      <c r="D436"/>
      <c r="E436"/>
      <c r="F436"/>
      <c r="G436"/>
      <c r="H436"/>
      <c r="I436"/>
    </row>
    <row r="437" spans="1:9" x14ac:dyDescent="0.25">
      <c r="A437"/>
      <c r="B437"/>
      <c r="C437"/>
      <c r="D437"/>
      <c r="E437"/>
      <c r="F437"/>
      <c r="G437"/>
      <c r="H437"/>
      <c r="I437"/>
    </row>
    <row r="438" spans="1:9" x14ac:dyDescent="0.25">
      <c r="A438"/>
      <c r="B438"/>
      <c r="C438"/>
      <c r="D438"/>
      <c r="E438"/>
      <c r="F438"/>
      <c r="G438"/>
      <c r="H438"/>
      <c r="I438"/>
    </row>
    <row r="439" spans="1:9" x14ac:dyDescent="0.25">
      <c r="A439"/>
      <c r="B439"/>
      <c r="C439"/>
      <c r="D439"/>
      <c r="E439"/>
      <c r="F439"/>
      <c r="G439"/>
      <c r="H439"/>
      <c r="I439"/>
    </row>
    <row r="440" spans="1:9" x14ac:dyDescent="0.25">
      <c r="A440"/>
      <c r="B440"/>
      <c r="C440"/>
      <c r="D440"/>
      <c r="E440"/>
      <c r="F440"/>
      <c r="G440"/>
      <c r="H440"/>
      <c r="I440"/>
    </row>
    <row r="441" spans="1:9" x14ac:dyDescent="0.25">
      <c r="A441"/>
      <c r="B441"/>
      <c r="C441"/>
      <c r="D441"/>
      <c r="E441"/>
      <c r="F441"/>
      <c r="G441"/>
      <c r="H441"/>
      <c r="I441"/>
    </row>
    <row r="442" spans="1:9" x14ac:dyDescent="0.25">
      <c r="A442"/>
      <c r="B442"/>
      <c r="C442"/>
      <c r="D442"/>
      <c r="E442"/>
      <c r="F442"/>
      <c r="G442"/>
      <c r="H442"/>
      <c r="I442"/>
    </row>
    <row r="443" spans="1:9" x14ac:dyDescent="0.25">
      <c r="A443"/>
      <c r="B443"/>
      <c r="C443"/>
      <c r="D443"/>
      <c r="E443"/>
      <c r="F443"/>
      <c r="G443"/>
      <c r="H443"/>
      <c r="I443"/>
    </row>
    <row r="444" spans="1:9" x14ac:dyDescent="0.25">
      <c r="A444"/>
      <c r="B444"/>
      <c r="C444"/>
      <c r="D444"/>
      <c r="E444"/>
      <c r="F444"/>
      <c r="G444"/>
      <c r="H444"/>
      <c r="I444"/>
    </row>
    <row r="445" spans="1:9" x14ac:dyDescent="0.25">
      <c r="A445"/>
      <c r="B445"/>
      <c r="C445"/>
      <c r="D445"/>
      <c r="E445"/>
      <c r="F445"/>
      <c r="G445"/>
      <c r="H445"/>
      <c r="I445"/>
    </row>
    <row r="446" spans="1:9" x14ac:dyDescent="0.25">
      <c r="A446"/>
      <c r="B446"/>
      <c r="C446"/>
      <c r="D446"/>
      <c r="E446"/>
      <c r="F446"/>
      <c r="G446"/>
      <c r="H446"/>
      <c r="I446"/>
    </row>
    <row r="447" spans="1:9" x14ac:dyDescent="0.25">
      <c r="A447"/>
      <c r="B447"/>
      <c r="C447"/>
      <c r="D447"/>
      <c r="E447"/>
      <c r="F447"/>
      <c r="G447"/>
      <c r="H447"/>
      <c r="I447"/>
    </row>
    <row r="448" spans="1:9" x14ac:dyDescent="0.25">
      <c r="A448"/>
      <c r="B448"/>
      <c r="C448"/>
      <c r="D448"/>
      <c r="E448"/>
      <c r="F448"/>
      <c r="G448"/>
      <c r="H448"/>
      <c r="I448"/>
    </row>
    <row r="449" spans="1:9" x14ac:dyDescent="0.25">
      <c r="A449"/>
      <c r="B449"/>
      <c r="C449"/>
      <c r="D449"/>
      <c r="E449"/>
      <c r="F449"/>
      <c r="G449"/>
      <c r="H449"/>
      <c r="I449"/>
    </row>
    <row r="450" spans="1:9" x14ac:dyDescent="0.25">
      <c r="A450"/>
      <c r="B450"/>
      <c r="C450"/>
      <c r="D450"/>
      <c r="E450"/>
      <c r="F450"/>
      <c r="G450"/>
      <c r="H450"/>
      <c r="I450"/>
    </row>
    <row r="451" spans="1:9" x14ac:dyDescent="0.25">
      <c r="A451"/>
      <c r="B451"/>
      <c r="C451"/>
      <c r="D451"/>
      <c r="E451"/>
      <c r="F451"/>
      <c r="G451"/>
      <c r="H451"/>
      <c r="I451"/>
    </row>
    <row r="452" spans="1:9" x14ac:dyDescent="0.25">
      <c r="A452"/>
      <c r="B452"/>
      <c r="C452"/>
      <c r="D452"/>
      <c r="E452"/>
      <c r="F452"/>
      <c r="G452"/>
      <c r="H452"/>
      <c r="I452"/>
    </row>
    <row r="453" spans="1:9" x14ac:dyDescent="0.25">
      <c r="A453"/>
      <c r="B453"/>
      <c r="C453"/>
      <c r="D453"/>
      <c r="E453"/>
      <c r="F453"/>
      <c r="G453"/>
      <c r="H453"/>
      <c r="I453"/>
    </row>
    <row r="454" spans="1:9" x14ac:dyDescent="0.25">
      <c r="A454"/>
      <c r="B454"/>
      <c r="C454"/>
      <c r="D454"/>
      <c r="E454"/>
      <c r="F454"/>
      <c r="G454"/>
      <c r="H454"/>
      <c r="I454"/>
    </row>
    <row r="455" spans="1:9" x14ac:dyDescent="0.25">
      <c r="A455"/>
      <c r="B455"/>
      <c r="C455"/>
      <c r="D455"/>
      <c r="E455"/>
      <c r="F455"/>
      <c r="G455"/>
      <c r="H455"/>
      <c r="I455"/>
    </row>
    <row r="456" spans="1:9" x14ac:dyDescent="0.25">
      <c r="A456"/>
      <c r="B456"/>
      <c r="C456"/>
      <c r="D456"/>
      <c r="E456"/>
      <c r="F456"/>
      <c r="G456"/>
      <c r="H456"/>
      <c r="I456"/>
    </row>
    <row r="457" spans="1:9" x14ac:dyDescent="0.25">
      <c r="A457"/>
      <c r="B457"/>
      <c r="C457"/>
      <c r="D457"/>
      <c r="E457"/>
      <c r="F457"/>
      <c r="G457"/>
      <c r="H457"/>
      <c r="I457"/>
    </row>
    <row r="458" spans="1:9" x14ac:dyDescent="0.25">
      <c r="A458"/>
      <c r="B458"/>
      <c r="C458"/>
      <c r="D458"/>
      <c r="E458"/>
      <c r="F458"/>
      <c r="G458"/>
      <c r="H458"/>
      <c r="I458"/>
    </row>
    <row r="459" spans="1:9" x14ac:dyDescent="0.25">
      <c r="A459"/>
      <c r="B459"/>
      <c r="C459"/>
      <c r="D459"/>
      <c r="E459"/>
      <c r="F459"/>
      <c r="G459"/>
      <c r="H459"/>
      <c r="I459"/>
    </row>
    <row r="460" spans="1:9" x14ac:dyDescent="0.25">
      <c r="A460"/>
      <c r="B460"/>
      <c r="C460"/>
      <c r="D460"/>
      <c r="E460"/>
      <c r="F460"/>
      <c r="G460"/>
      <c r="H460"/>
      <c r="I460"/>
    </row>
    <row r="461" spans="1:9" x14ac:dyDescent="0.25">
      <c r="A461"/>
      <c r="B461"/>
      <c r="C461"/>
      <c r="D461"/>
      <c r="E461"/>
      <c r="F461"/>
      <c r="G461"/>
      <c r="H461"/>
      <c r="I461"/>
    </row>
    <row r="462" spans="1:9" x14ac:dyDescent="0.25">
      <c r="A462"/>
      <c r="B462"/>
      <c r="C462"/>
      <c r="D462"/>
      <c r="E462"/>
      <c r="F462"/>
      <c r="G462"/>
      <c r="H462"/>
      <c r="I462"/>
    </row>
    <row r="463" spans="1:9" x14ac:dyDescent="0.25">
      <c r="A463"/>
      <c r="B463"/>
      <c r="C463"/>
      <c r="D463"/>
      <c r="E463"/>
      <c r="F463"/>
      <c r="G463"/>
      <c r="H463"/>
      <c r="I463"/>
    </row>
    <row r="464" spans="1:9" x14ac:dyDescent="0.25">
      <c r="A464"/>
      <c r="B464"/>
      <c r="C464"/>
      <c r="D464"/>
      <c r="E464"/>
      <c r="F464"/>
      <c r="G464"/>
      <c r="H464"/>
      <c r="I464"/>
    </row>
    <row r="465" spans="1:9" x14ac:dyDescent="0.25">
      <c r="A465"/>
      <c r="B465"/>
      <c r="C465"/>
      <c r="D465"/>
      <c r="E465"/>
      <c r="F465"/>
      <c r="G465"/>
      <c r="H465"/>
      <c r="I465"/>
    </row>
    <row r="466" spans="1:9" x14ac:dyDescent="0.25">
      <c r="A466"/>
      <c r="B466"/>
      <c r="C466"/>
      <c r="D466"/>
      <c r="E466"/>
      <c r="F466"/>
      <c r="G466"/>
      <c r="H466"/>
      <c r="I466"/>
    </row>
    <row r="467" spans="1:9" x14ac:dyDescent="0.25">
      <c r="A467"/>
      <c r="B467"/>
      <c r="C467"/>
      <c r="D467"/>
      <c r="E467"/>
      <c r="F467"/>
      <c r="G467"/>
      <c r="H467"/>
      <c r="I467"/>
    </row>
    <row r="468" spans="1:9" x14ac:dyDescent="0.25">
      <c r="A468"/>
      <c r="B468"/>
      <c r="C468"/>
      <c r="D468"/>
      <c r="E468"/>
      <c r="F468"/>
      <c r="G468"/>
      <c r="H468"/>
      <c r="I468"/>
    </row>
    <row r="469" spans="1:9" x14ac:dyDescent="0.25">
      <c r="A469"/>
      <c r="B469"/>
      <c r="C469"/>
      <c r="D469"/>
      <c r="E469"/>
      <c r="F469"/>
      <c r="G469"/>
      <c r="H469"/>
      <c r="I469"/>
    </row>
    <row r="470" spans="1:9" x14ac:dyDescent="0.25">
      <c r="A470"/>
      <c r="B470"/>
      <c r="C470"/>
      <c r="D470"/>
      <c r="E470"/>
      <c r="F470"/>
      <c r="G470"/>
      <c r="H470"/>
      <c r="I470"/>
    </row>
    <row r="471" spans="1:9" x14ac:dyDescent="0.25">
      <c r="A471"/>
      <c r="B471"/>
      <c r="C471"/>
      <c r="D471"/>
      <c r="E471"/>
      <c r="F471"/>
      <c r="G471"/>
      <c r="H471"/>
      <c r="I471"/>
    </row>
    <row r="472" spans="1:9" x14ac:dyDescent="0.25">
      <c r="A472"/>
      <c r="B472"/>
      <c r="C472"/>
      <c r="D472"/>
      <c r="E472"/>
      <c r="F472"/>
      <c r="G472"/>
      <c r="H472"/>
      <c r="I472"/>
    </row>
    <row r="473" spans="1:9" x14ac:dyDescent="0.25">
      <c r="A473"/>
      <c r="B473"/>
      <c r="C473"/>
      <c r="D473"/>
      <c r="E473"/>
      <c r="F473"/>
      <c r="G473"/>
      <c r="H473"/>
      <c r="I473"/>
    </row>
    <row r="474" spans="1:9" x14ac:dyDescent="0.25">
      <c r="A474"/>
      <c r="B474"/>
      <c r="C474"/>
      <c r="D474"/>
      <c r="E474"/>
      <c r="F474"/>
      <c r="G474"/>
      <c r="H474"/>
      <c r="I474"/>
    </row>
    <row r="475" spans="1:9" x14ac:dyDescent="0.25">
      <c r="A475"/>
      <c r="B475"/>
      <c r="C475"/>
      <c r="D475"/>
      <c r="E475"/>
      <c r="F475"/>
      <c r="G475"/>
      <c r="H475"/>
      <c r="I475"/>
    </row>
    <row r="476" spans="1:9" x14ac:dyDescent="0.25">
      <c r="A476"/>
      <c r="B476"/>
      <c r="C476"/>
      <c r="D476"/>
      <c r="E476"/>
      <c r="F476"/>
      <c r="G476"/>
      <c r="H476"/>
      <c r="I476"/>
    </row>
    <row r="477" spans="1:9" x14ac:dyDescent="0.25">
      <c r="A477"/>
      <c r="B477"/>
      <c r="C477"/>
      <c r="D477"/>
      <c r="E477"/>
      <c r="F477"/>
      <c r="G477"/>
      <c r="H477"/>
      <c r="I477"/>
    </row>
    <row r="478" spans="1:9" x14ac:dyDescent="0.25">
      <c r="A478"/>
      <c r="B478"/>
      <c r="C478"/>
      <c r="D478"/>
      <c r="E478"/>
      <c r="F478"/>
      <c r="G478"/>
      <c r="H478"/>
      <c r="I478"/>
    </row>
    <row r="479" spans="1:9" x14ac:dyDescent="0.25">
      <c r="A479"/>
      <c r="B479"/>
      <c r="C479"/>
      <c r="D479"/>
      <c r="E479"/>
      <c r="F479"/>
      <c r="G479"/>
      <c r="H479"/>
      <c r="I479"/>
    </row>
    <row r="480" spans="1:9" x14ac:dyDescent="0.25">
      <c r="A480"/>
      <c r="B480"/>
      <c r="C480"/>
      <c r="D480"/>
      <c r="E480"/>
      <c r="F480"/>
      <c r="G480"/>
      <c r="H480"/>
      <c r="I480"/>
    </row>
    <row r="481" spans="1:9" x14ac:dyDescent="0.25">
      <c r="A481"/>
      <c r="B481"/>
      <c r="C481"/>
      <c r="D481"/>
      <c r="E481"/>
      <c r="F481"/>
      <c r="G481"/>
      <c r="H481"/>
      <c r="I481"/>
    </row>
    <row r="482" spans="1:9" x14ac:dyDescent="0.25">
      <c r="A482"/>
      <c r="B482"/>
      <c r="C482"/>
      <c r="D482"/>
      <c r="E482"/>
      <c r="F482"/>
      <c r="G482"/>
      <c r="H482"/>
      <c r="I482"/>
    </row>
    <row r="483" spans="1:9" x14ac:dyDescent="0.25">
      <c r="A483"/>
      <c r="B483"/>
      <c r="C483"/>
      <c r="D483"/>
      <c r="E483"/>
      <c r="F483"/>
      <c r="G483"/>
      <c r="H483"/>
      <c r="I483"/>
    </row>
    <row r="484" spans="1:9" x14ac:dyDescent="0.25">
      <c r="A484"/>
      <c r="B484"/>
      <c r="C484"/>
      <c r="D484"/>
      <c r="E484"/>
      <c r="F484"/>
      <c r="G484"/>
      <c r="H484"/>
      <c r="I484"/>
    </row>
    <row r="485" spans="1:9" x14ac:dyDescent="0.25">
      <c r="A485"/>
      <c r="B485"/>
      <c r="C485"/>
      <c r="D485"/>
      <c r="E485"/>
      <c r="F485"/>
      <c r="G485"/>
      <c r="H485"/>
      <c r="I485"/>
    </row>
    <row r="486" spans="1:9" x14ac:dyDescent="0.25">
      <c r="A486"/>
      <c r="B486"/>
      <c r="C486"/>
      <c r="D486"/>
      <c r="E486"/>
      <c r="F486"/>
      <c r="G486"/>
      <c r="H486"/>
      <c r="I486"/>
    </row>
    <row r="487" spans="1:9" x14ac:dyDescent="0.25">
      <c r="A487"/>
      <c r="B487"/>
      <c r="C487"/>
      <c r="D487"/>
      <c r="E487"/>
      <c r="F487"/>
      <c r="G487"/>
      <c r="H487"/>
      <c r="I487"/>
    </row>
    <row r="488" spans="1:9" x14ac:dyDescent="0.25">
      <c r="A488"/>
      <c r="B488"/>
      <c r="C488"/>
      <c r="D488"/>
      <c r="E488"/>
      <c r="F488"/>
      <c r="G488"/>
      <c r="H488"/>
      <c r="I488"/>
    </row>
    <row r="489" spans="1:9" x14ac:dyDescent="0.25">
      <c r="A489"/>
      <c r="B489"/>
      <c r="C489"/>
      <c r="D489"/>
      <c r="E489"/>
      <c r="F489"/>
      <c r="G489"/>
      <c r="H489"/>
      <c r="I489"/>
    </row>
    <row r="490" spans="1:9" x14ac:dyDescent="0.25">
      <c r="A490"/>
      <c r="B490"/>
      <c r="C490"/>
      <c r="D490"/>
      <c r="E490"/>
      <c r="F490"/>
      <c r="G490"/>
      <c r="H490"/>
      <c r="I490"/>
    </row>
    <row r="491" spans="1:9" x14ac:dyDescent="0.25">
      <c r="A491"/>
      <c r="B491"/>
      <c r="C491"/>
      <c r="D491"/>
      <c r="E491"/>
      <c r="F491"/>
      <c r="G491"/>
      <c r="H491"/>
      <c r="I491"/>
    </row>
    <row r="492" spans="1:9" x14ac:dyDescent="0.25">
      <c r="A492"/>
      <c r="B492"/>
      <c r="C492"/>
      <c r="D492"/>
      <c r="E492"/>
      <c r="F492"/>
      <c r="G492"/>
      <c r="H492"/>
      <c r="I492"/>
    </row>
    <row r="493" spans="1:9" x14ac:dyDescent="0.25">
      <c r="A493"/>
      <c r="B493"/>
      <c r="C493"/>
      <c r="D493"/>
      <c r="E493"/>
      <c r="F493"/>
      <c r="G493"/>
      <c r="H493"/>
      <c r="I493"/>
    </row>
    <row r="494" spans="1:9" x14ac:dyDescent="0.25">
      <c r="A494"/>
      <c r="B494"/>
      <c r="C494"/>
      <c r="D494"/>
      <c r="E494"/>
      <c r="F494"/>
      <c r="G494"/>
      <c r="H494"/>
      <c r="I494"/>
    </row>
    <row r="495" spans="1:9" x14ac:dyDescent="0.25">
      <c r="A495"/>
      <c r="B495"/>
      <c r="C495"/>
      <c r="D495"/>
      <c r="E495"/>
      <c r="F495"/>
      <c r="G495"/>
      <c r="H495"/>
      <c r="I495"/>
    </row>
    <row r="496" spans="1:9" x14ac:dyDescent="0.25">
      <c r="A496"/>
      <c r="B496"/>
      <c r="C496"/>
      <c r="D496"/>
      <c r="E496"/>
      <c r="F496"/>
      <c r="G496"/>
      <c r="H496"/>
      <c r="I496"/>
    </row>
    <row r="497" spans="1:9" x14ac:dyDescent="0.25">
      <c r="A497"/>
      <c r="B497"/>
      <c r="C497"/>
      <c r="D497"/>
      <c r="E497"/>
      <c r="F497"/>
      <c r="G497"/>
      <c r="H497"/>
      <c r="I497"/>
    </row>
    <row r="498" spans="1:9" x14ac:dyDescent="0.25">
      <c r="A498"/>
      <c r="B498"/>
      <c r="C498"/>
      <c r="D498"/>
      <c r="E498"/>
      <c r="F498"/>
      <c r="G498"/>
      <c r="H498"/>
      <c r="I498"/>
    </row>
    <row r="499" spans="1:9" x14ac:dyDescent="0.25">
      <c r="A499"/>
      <c r="B499"/>
      <c r="C499"/>
      <c r="D499"/>
      <c r="E499"/>
      <c r="F499"/>
      <c r="G499"/>
      <c r="H499"/>
      <c r="I499"/>
    </row>
    <row r="500" spans="1:9" x14ac:dyDescent="0.25">
      <c r="A500"/>
      <c r="B500"/>
      <c r="C500"/>
      <c r="D500"/>
      <c r="E500"/>
      <c r="F500"/>
      <c r="G500"/>
      <c r="H500"/>
      <c r="I500"/>
    </row>
    <row r="501" spans="1:9" x14ac:dyDescent="0.25">
      <c r="A501"/>
      <c r="B501"/>
      <c r="C501"/>
      <c r="D501"/>
      <c r="E501"/>
      <c r="F501"/>
      <c r="G501"/>
      <c r="H501"/>
      <c r="I501"/>
    </row>
    <row r="502" spans="1:9" x14ac:dyDescent="0.25">
      <c r="A502"/>
      <c r="B502"/>
      <c r="C502"/>
      <c r="D502"/>
      <c r="E502"/>
      <c r="F502"/>
      <c r="G502"/>
      <c r="H502"/>
      <c r="I502"/>
    </row>
    <row r="503" spans="1:9" x14ac:dyDescent="0.25">
      <c r="A503"/>
      <c r="B503"/>
      <c r="C503"/>
      <c r="D503"/>
      <c r="E503"/>
      <c r="F503"/>
      <c r="G503"/>
      <c r="H503"/>
      <c r="I503"/>
    </row>
    <row r="504" spans="1:9" x14ac:dyDescent="0.25">
      <c r="A504"/>
      <c r="B504"/>
      <c r="C504"/>
      <c r="D504"/>
      <c r="E504"/>
      <c r="F504"/>
      <c r="G504"/>
      <c r="H504"/>
      <c r="I504"/>
    </row>
    <row r="505" spans="1:9" x14ac:dyDescent="0.25">
      <c r="A505"/>
      <c r="B505"/>
      <c r="C505"/>
      <c r="D505"/>
      <c r="E505"/>
      <c r="F505"/>
      <c r="G505"/>
      <c r="H505"/>
      <c r="I505"/>
    </row>
    <row r="506" spans="1:9" x14ac:dyDescent="0.25">
      <c r="A506"/>
      <c r="B506"/>
      <c r="C506"/>
      <c r="D506"/>
      <c r="E506"/>
      <c r="F506"/>
      <c r="G506"/>
      <c r="H506"/>
      <c r="I506"/>
    </row>
    <row r="507" spans="1:9" x14ac:dyDescent="0.25">
      <c r="A507"/>
      <c r="B507"/>
      <c r="C507"/>
      <c r="D507"/>
      <c r="E507"/>
      <c r="F507"/>
      <c r="G507"/>
      <c r="H507"/>
      <c r="I507"/>
    </row>
    <row r="508" spans="1:9" x14ac:dyDescent="0.25">
      <c r="A508"/>
      <c r="B508"/>
      <c r="C508"/>
      <c r="D508"/>
      <c r="E508"/>
      <c r="F508"/>
      <c r="G508"/>
      <c r="H508"/>
      <c r="I508"/>
    </row>
    <row r="509" spans="1:9" x14ac:dyDescent="0.25">
      <c r="A509"/>
      <c r="B509"/>
      <c r="C509"/>
      <c r="D509"/>
      <c r="E509"/>
      <c r="F509"/>
      <c r="G509"/>
      <c r="H509"/>
      <c r="I509"/>
    </row>
    <row r="510" spans="1:9" x14ac:dyDescent="0.25">
      <c r="A510"/>
      <c r="B510"/>
      <c r="C510"/>
      <c r="D510"/>
      <c r="E510"/>
      <c r="F510"/>
      <c r="G510"/>
      <c r="H510"/>
      <c r="I510"/>
    </row>
    <row r="511" spans="1:9" x14ac:dyDescent="0.25">
      <c r="A511"/>
      <c r="B511"/>
      <c r="C511"/>
      <c r="D511"/>
      <c r="E511"/>
      <c r="F511"/>
      <c r="G511"/>
      <c r="H511"/>
      <c r="I511"/>
    </row>
    <row r="512" spans="1:9" x14ac:dyDescent="0.25">
      <c r="A512"/>
      <c r="B512"/>
      <c r="C512"/>
      <c r="D512"/>
      <c r="E512"/>
      <c r="F512"/>
      <c r="G512"/>
      <c r="H512"/>
      <c r="I512"/>
    </row>
    <row r="513" spans="1:9" x14ac:dyDescent="0.25">
      <c r="A513"/>
      <c r="B513"/>
      <c r="C513"/>
      <c r="D513"/>
      <c r="E513"/>
      <c r="F513"/>
      <c r="G513"/>
      <c r="H513"/>
      <c r="I513"/>
    </row>
    <row r="514" spans="1:9" x14ac:dyDescent="0.25">
      <c r="A514"/>
      <c r="B514"/>
      <c r="C514"/>
      <c r="D514"/>
      <c r="E514"/>
      <c r="F514"/>
      <c r="G514"/>
      <c r="H514"/>
      <c r="I514"/>
    </row>
    <row r="515" spans="1:9" x14ac:dyDescent="0.25">
      <c r="A515"/>
      <c r="B515"/>
      <c r="C515"/>
      <c r="D515"/>
      <c r="E515"/>
      <c r="F515"/>
      <c r="G515"/>
      <c r="H515"/>
      <c r="I515"/>
    </row>
    <row r="516" spans="1:9" x14ac:dyDescent="0.25">
      <c r="A516"/>
      <c r="B516"/>
      <c r="C516"/>
      <c r="D516"/>
      <c r="E516"/>
      <c r="F516"/>
      <c r="G516"/>
      <c r="H516"/>
      <c r="I516"/>
    </row>
    <row r="517" spans="1:9" x14ac:dyDescent="0.25">
      <c r="A517"/>
      <c r="B517"/>
      <c r="C517"/>
      <c r="D517"/>
      <c r="E517"/>
      <c r="F517"/>
      <c r="G517"/>
      <c r="H517"/>
      <c r="I517"/>
    </row>
    <row r="518" spans="1:9" x14ac:dyDescent="0.25">
      <c r="A518"/>
      <c r="B518"/>
      <c r="C518"/>
      <c r="D518"/>
      <c r="E518"/>
      <c r="F518"/>
      <c r="G518"/>
      <c r="H518"/>
      <c r="I518"/>
    </row>
    <row r="519" spans="1:9" x14ac:dyDescent="0.25">
      <c r="A519"/>
      <c r="B519"/>
      <c r="C519"/>
      <c r="D519"/>
      <c r="E519"/>
      <c r="F519"/>
      <c r="G519"/>
      <c r="H519"/>
      <c r="I519"/>
    </row>
    <row r="520" spans="1:9" x14ac:dyDescent="0.25">
      <c r="A520"/>
      <c r="B520"/>
      <c r="C520"/>
      <c r="D520"/>
      <c r="E520"/>
      <c r="F520"/>
      <c r="G520"/>
      <c r="H520"/>
      <c r="I520"/>
    </row>
    <row r="521" spans="1:9" x14ac:dyDescent="0.25">
      <c r="A521"/>
      <c r="B521"/>
      <c r="C521"/>
      <c r="D521"/>
      <c r="E521"/>
      <c r="F521"/>
      <c r="G521"/>
      <c r="H521"/>
      <c r="I521"/>
    </row>
    <row r="522" spans="1:9" x14ac:dyDescent="0.25">
      <c r="A522"/>
      <c r="B522"/>
      <c r="C522"/>
      <c r="D522"/>
      <c r="E522"/>
      <c r="F522"/>
      <c r="G522"/>
      <c r="H522"/>
      <c r="I522"/>
    </row>
    <row r="523" spans="1:9" x14ac:dyDescent="0.25">
      <c r="A523"/>
      <c r="B523"/>
      <c r="C523"/>
      <c r="D523"/>
      <c r="E523"/>
      <c r="F523"/>
      <c r="G523"/>
      <c r="H523"/>
      <c r="I523"/>
    </row>
    <row r="524" spans="1:9" x14ac:dyDescent="0.25">
      <c r="A524"/>
      <c r="B524"/>
      <c r="C524"/>
      <c r="D524"/>
      <c r="E524"/>
      <c r="F524"/>
      <c r="G524"/>
      <c r="H524"/>
      <c r="I524"/>
    </row>
    <row r="525" spans="1:9" x14ac:dyDescent="0.25">
      <c r="A525"/>
      <c r="B525"/>
      <c r="C525"/>
      <c r="D525"/>
      <c r="E525"/>
      <c r="F525"/>
      <c r="G525"/>
      <c r="H525"/>
      <c r="I525"/>
    </row>
    <row r="526" spans="1:9" x14ac:dyDescent="0.25">
      <c r="A526"/>
      <c r="B526"/>
      <c r="C526"/>
      <c r="D526"/>
      <c r="E526"/>
      <c r="F526"/>
      <c r="G526"/>
      <c r="H526"/>
      <c r="I526"/>
    </row>
    <row r="527" spans="1:9" x14ac:dyDescent="0.25">
      <c r="A527"/>
      <c r="B527"/>
      <c r="C527"/>
      <c r="D527"/>
      <c r="E527"/>
      <c r="F527"/>
      <c r="G527"/>
      <c r="H527"/>
      <c r="I527"/>
    </row>
    <row r="528" spans="1:9" x14ac:dyDescent="0.25">
      <c r="A528"/>
      <c r="B528"/>
      <c r="C528"/>
      <c r="D528"/>
      <c r="E528"/>
      <c r="F528"/>
      <c r="G528"/>
      <c r="H528"/>
      <c r="I528"/>
    </row>
    <row r="529" spans="1:9" x14ac:dyDescent="0.25">
      <c r="A529"/>
      <c r="B529"/>
      <c r="C529"/>
      <c r="D529"/>
      <c r="E529"/>
      <c r="F529"/>
      <c r="G529"/>
      <c r="H529"/>
      <c r="I529"/>
    </row>
    <row r="530" spans="1:9" x14ac:dyDescent="0.25">
      <c r="A530"/>
      <c r="B530"/>
      <c r="C530"/>
      <c r="D530"/>
      <c r="E530"/>
      <c r="F530"/>
      <c r="G530"/>
      <c r="H530"/>
      <c r="I530"/>
    </row>
    <row r="531" spans="1:9" x14ac:dyDescent="0.25">
      <c r="A531"/>
      <c r="B531"/>
      <c r="C531"/>
      <c r="D531"/>
      <c r="E531"/>
      <c r="F531"/>
      <c r="G531"/>
      <c r="H531"/>
      <c r="I531"/>
    </row>
    <row r="532" spans="1:9" x14ac:dyDescent="0.25">
      <c r="A532"/>
      <c r="B532"/>
      <c r="C532"/>
      <c r="D532"/>
      <c r="E532"/>
      <c r="F532"/>
      <c r="G532"/>
      <c r="H532"/>
      <c r="I532"/>
    </row>
    <row r="533" spans="1:9" x14ac:dyDescent="0.25">
      <c r="A533"/>
      <c r="B533"/>
      <c r="C533"/>
      <c r="D533"/>
      <c r="E533"/>
      <c r="F533"/>
      <c r="G533"/>
      <c r="H533"/>
      <c r="I533"/>
    </row>
    <row r="534" spans="1:9" x14ac:dyDescent="0.25">
      <c r="A534"/>
      <c r="B534"/>
      <c r="C534"/>
      <c r="D534"/>
      <c r="E534"/>
      <c r="F534"/>
      <c r="G534"/>
      <c r="H534"/>
      <c r="I534"/>
    </row>
    <row r="535" spans="1:9" x14ac:dyDescent="0.25">
      <c r="A535"/>
      <c r="B535"/>
      <c r="C535"/>
      <c r="D535"/>
      <c r="E535"/>
      <c r="F535"/>
      <c r="G535"/>
      <c r="H535"/>
      <c r="I535"/>
    </row>
    <row r="536" spans="1:9" x14ac:dyDescent="0.25">
      <c r="A536"/>
      <c r="B536"/>
      <c r="C536"/>
      <c r="D536"/>
      <c r="E536"/>
      <c r="F536"/>
      <c r="G536"/>
      <c r="H536"/>
      <c r="I536"/>
    </row>
    <row r="537" spans="1:9" x14ac:dyDescent="0.25">
      <c r="A537"/>
      <c r="B537"/>
      <c r="C537"/>
      <c r="D537"/>
      <c r="E537"/>
      <c r="F537"/>
      <c r="G537"/>
      <c r="H537"/>
      <c r="I537"/>
    </row>
    <row r="538" spans="1:9" x14ac:dyDescent="0.25">
      <c r="A538"/>
      <c r="B538"/>
      <c r="C538"/>
      <c r="D538"/>
      <c r="E538"/>
      <c r="F538"/>
      <c r="G538"/>
      <c r="H538"/>
      <c r="I538"/>
    </row>
    <row r="539" spans="1:9" x14ac:dyDescent="0.25">
      <c r="A539"/>
      <c r="B539"/>
      <c r="C539"/>
      <c r="D539"/>
      <c r="E539"/>
      <c r="F539"/>
      <c r="G539"/>
      <c r="H539"/>
      <c r="I539"/>
    </row>
    <row r="540" spans="1:9" x14ac:dyDescent="0.25">
      <c r="A540"/>
      <c r="B540"/>
      <c r="C540"/>
      <c r="D540"/>
      <c r="E540"/>
      <c r="F540"/>
      <c r="G540"/>
      <c r="H540"/>
      <c r="I540"/>
    </row>
    <row r="541" spans="1:9" x14ac:dyDescent="0.25">
      <c r="A541"/>
      <c r="B541"/>
      <c r="C541"/>
      <c r="D541"/>
      <c r="E541"/>
      <c r="F541"/>
      <c r="G541"/>
      <c r="H541"/>
      <c r="I541"/>
    </row>
    <row r="542" spans="1:9" x14ac:dyDescent="0.25">
      <c r="A542"/>
      <c r="B542"/>
      <c r="C542"/>
      <c r="D542"/>
      <c r="E542"/>
      <c r="F542"/>
      <c r="G542"/>
      <c r="H542"/>
      <c r="I542"/>
    </row>
    <row r="543" spans="1:9" x14ac:dyDescent="0.25">
      <c r="A543"/>
      <c r="B543"/>
      <c r="C543"/>
      <c r="D543"/>
      <c r="E543"/>
      <c r="F543"/>
      <c r="G543"/>
      <c r="H543"/>
      <c r="I543"/>
    </row>
    <row r="544" spans="1:9" x14ac:dyDescent="0.25">
      <c r="A544"/>
      <c r="B544"/>
      <c r="C544"/>
      <c r="D544"/>
      <c r="E544"/>
      <c r="F544"/>
      <c r="G544"/>
      <c r="H544"/>
      <c r="I544"/>
    </row>
    <row r="545" spans="1:9" x14ac:dyDescent="0.25">
      <c r="A545"/>
      <c r="B545"/>
      <c r="C545"/>
      <c r="D545"/>
      <c r="E545"/>
      <c r="F545"/>
      <c r="G545"/>
      <c r="H545"/>
      <c r="I545"/>
    </row>
    <row r="546" spans="1:9" x14ac:dyDescent="0.25">
      <c r="A546"/>
      <c r="B546"/>
      <c r="C546"/>
      <c r="D546"/>
      <c r="E546"/>
      <c r="F546"/>
      <c r="G546"/>
      <c r="H546"/>
      <c r="I546"/>
    </row>
    <row r="547" spans="1:9" x14ac:dyDescent="0.25">
      <c r="A547"/>
      <c r="B547"/>
      <c r="C547"/>
      <c r="D547"/>
      <c r="E547"/>
      <c r="F547"/>
      <c r="G547"/>
      <c r="H547"/>
      <c r="I547"/>
    </row>
    <row r="548" spans="1:9" x14ac:dyDescent="0.25">
      <c r="A548"/>
      <c r="B548"/>
      <c r="C548"/>
      <c r="D548"/>
      <c r="E548"/>
      <c r="F548"/>
      <c r="G548"/>
      <c r="H548"/>
      <c r="I548"/>
    </row>
    <row r="549" spans="1:9" x14ac:dyDescent="0.25">
      <c r="A549"/>
      <c r="B549"/>
      <c r="C549"/>
      <c r="D549"/>
      <c r="E549"/>
      <c r="F549"/>
      <c r="G549"/>
      <c r="H549"/>
      <c r="I549"/>
    </row>
    <row r="550" spans="1:9" x14ac:dyDescent="0.25">
      <c r="A550"/>
      <c r="B550"/>
      <c r="C550"/>
      <c r="D550"/>
      <c r="E550"/>
      <c r="F550"/>
      <c r="G550"/>
      <c r="H550"/>
      <c r="I550"/>
    </row>
    <row r="551" spans="1:9" x14ac:dyDescent="0.25">
      <c r="A551"/>
      <c r="B551"/>
      <c r="C551"/>
      <c r="D551"/>
      <c r="E551"/>
      <c r="F551"/>
      <c r="G551"/>
      <c r="H551"/>
      <c r="I551"/>
    </row>
    <row r="552" spans="1:9" x14ac:dyDescent="0.25">
      <c r="A552"/>
      <c r="B552"/>
      <c r="C552"/>
      <c r="D552"/>
      <c r="E552"/>
      <c r="F552"/>
      <c r="G552"/>
      <c r="H552"/>
      <c r="I552"/>
    </row>
    <row r="553" spans="1:9" x14ac:dyDescent="0.25">
      <c r="A553"/>
      <c r="B553"/>
      <c r="C553"/>
      <c r="D553"/>
      <c r="E553"/>
      <c r="F553"/>
      <c r="G553"/>
      <c r="H553"/>
      <c r="I553"/>
    </row>
    <row r="554" spans="1:9" x14ac:dyDescent="0.25">
      <c r="A554"/>
      <c r="B554"/>
      <c r="C554"/>
      <c r="D554"/>
      <c r="E554"/>
      <c r="F554"/>
      <c r="G554"/>
      <c r="H554"/>
      <c r="I554"/>
    </row>
    <row r="555" spans="1:9" x14ac:dyDescent="0.25">
      <c r="A555"/>
      <c r="B555"/>
      <c r="C555"/>
      <c r="D555"/>
      <c r="E555"/>
      <c r="F555"/>
      <c r="G555"/>
      <c r="H555"/>
      <c r="I555"/>
    </row>
    <row r="556" spans="1:9" x14ac:dyDescent="0.25">
      <c r="A556"/>
      <c r="B556"/>
      <c r="C556"/>
      <c r="D556"/>
      <c r="E556"/>
      <c r="F556"/>
      <c r="G556"/>
      <c r="H556"/>
      <c r="I556"/>
    </row>
    <row r="557" spans="1:9" x14ac:dyDescent="0.25">
      <c r="A557"/>
      <c r="B557"/>
      <c r="C557"/>
      <c r="D557"/>
      <c r="E557"/>
      <c r="F557"/>
      <c r="G557"/>
      <c r="H557"/>
      <c r="I557"/>
    </row>
    <row r="558" spans="1:9" x14ac:dyDescent="0.25">
      <c r="A558"/>
      <c r="B558"/>
      <c r="C558"/>
      <c r="D558"/>
      <c r="E558"/>
      <c r="F558"/>
      <c r="G558"/>
      <c r="H558"/>
      <c r="I558"/>
    </row>
    <row r="559" spans="1:9" x14ac:dyDescent="0.25">
      <c r="A559"/>
      <c r="B559"/>
      <c r="C559"/>
      <c r="D559"/>
      <c r="E559"/>
      <c r="F559"/>
      <c r="G559"/>
      <c r="H559"/>
      <c r="I559"/>
    </row>
    <row r="560" spans="1:9" x14ac:dyDescent="0.25">
      <c r="A560"/>
      <c r="B560"/>
      <c r="C560"/>
      <c r="D560"/>
      <c r="E560"/>
      <c r="F560"/>
      <c r="G560"/>
      <c r="H560"/>
      <c r="I560"/>
    </row>
    <row r="561" spans="1:9" x14ac:dyDescent="0.25">
      <c r="A561"/>
      <c r="B561"/>
      <c r="C561"/>
      <c r="D561"/>
      <c r="E561"/>
      <c r="F561"/>
      <c r="G561"/>
      <c r="H561"/>
      <c r="I561"/>
    </row>
    <row r="562" spans="1:9" x14ac:dyDescent="0.25">
      <c r="A562"/>
      <c r="B562"/>
      <c r="C562"/>
      <c r="D562"/>
      <c r="E562"/>
      <c r="F562"/>
      <c r="G562"/>
      <c r="H562"/>
      <c r="I562"/>
    </row>
    <row r="563" spans="1:9" x14ac:dyDescent="0.25">
      <c r="A563"/>
      <c r="B563"/>
      <c r="C563"/>
      <c r="D563"/>
      <c r="E563"/>
      <c r="F563"/>
      <c r="G563"/>
      <c r="H563"/>
      <c r="I563"/>
    </row>
    <row r="564" spans="1:9" x14ac:dyDescent="0.25">
      <c r="A564"/>
      <c r="B564"/>
      <c r="C564"/>
      <c r="D564"/>
      <c r="E564"/>
      <c r="F564"/>
      <c r="G564"/>
      <c r="H564"/>
      <c r="I564"/>
    </row>
    <row r="565" spans="1:9" x14ac:dyDescent="0.25">
      <c r="A565"/>
      <c r="B565"/>
      <c r="C565"/>
      <c r="D565"/>
      <c r="E565"/>
      <c r="F565"/>
      <c r="G565"/>
      <c r="H565"/>
      <c r="I565"/>
    </row>
    <row r="566" spans="1:9" x14ac:dyDescent="0.25">
      <c r="A566"/>
      <c r="B566"/>
      <c r="C566"/>
      <c r="D566"/>
      <c r="E566"/>
      <c r="F566"/>
      <c r="G566"/>
      <c r="H566"/>
      <c r="I566"/>
    </row>
    <row r="567" spans="1:9" x14ac:dyDescent="0.25">
      <c r="A567"/>
      <c r="B567"/>
      <c r="C567"/>
      <c r="D567"/>
      <c r="E567"/>
      <c r="F567"/>
      <c r="G567"/>
      <c r="H567"/>
      <c r="I567"/>
    </row>
    <row r="568" spans="1:9" x14ac:dyDescent="0.25">
      <c r="A568"/>
      <c r="B568"/>
      <c r="C568"/>
      <c r="D568"/>
      <c r="E568"/>
      <c r="F568"/>
      <c r="G568"/>
      <c r="H568"/>
      <c r="I568"/>
    </row>
    <row r="569" spans="1:9" x14ac:dyDescent="0.25">
      <c r="A569"/>
      <c r="B569"/>
      <c r="C569"/>
      <c r="D569"/>
      <c r="E569"/>
      <c r="F569"/>
      <c r="G569"/>
      <c r="H569"/>
      <c r="I569"/>
    </row>
    <row r="570" spans="1:9" x14ac:dyDescent="0.25">
      <c r="A570"/>
      <c r="B570"/>
      <c r="C570"/>
      <c r="D570"/>
      <c r="E570"/>
      <c r="F570"/>
      <c r="G570"/>
      <c r="H570"/>
      <c r="I570"/>
    </row>
    <row r="571" spans="1:9" x14ac:dyDescent="0.25">
      <c r="A571"/>
      <c r="B571"/>
      <c r="C571"/>
      <c r="D571"/>
      <c r="E571"/>
      <c r="F571"/>
      <c r="G571"/>
      <c r="H571"/>
      <c r="I571"/>
    </row>
    <row r="572" spans="1:9" x14ac:dyDescent="0.25">
      <c r="A572"/>
      <c r="B572"/>
      <c r="C572"/>
      <c r="D572"/>
      <c r="E572"/>
      <c r="F572"/>
      <c r="G572"/>
      <c r="H572"/>
      <c r="I572"/>
    </row>
    <row r="573" spans="1:9" x14ac:dyDescent="0.25">
      <c r="A573"/>
      <c r="B573"/>
      <c r="C573"/>
      <c r="D573"/>
      <c r="E573"/>
      <c r="F573"/>
      <c r="G573"/>
      <c r="H573"/>
      <c r="I573"/>
    </row>
    <row r="574" spans="1:9" x14ac:dyDescent="0.25">
      <c r="A574"/>
      <c r="B574"/>
      <c r="C574"/>
      <c r="D574"/>
      <c r="E574"/>
      <c r="F574"/>
      <c r="G574"/>
      <c r="H574"/>
      <c r="I574"/>
    </row>
    <row r="575" spans="1:9" x14ac:dyDescent="0.25">
      <c r="A575"/>
      <c r="B575"/>
      <c r="C575"/>
      <c r="D575"/>
      <c r="E575"/>
      <c r="F575"/>
      <c r="G575"/>
      <c r="H575"/>
      <c r="I575"/>
    </row>
    <row r="576" spans="1:9" x14ac:dyDescent="0.25">
      <c r="A576"/>
      <c r="B576"/>
      <c r="C576"/>
      <c r="D576"/>
      <c r="E576"/>
      <c r="F576"/>
      <c r="G576"/>
      <c r="H576"/>
      <c r="I576"/>
    </row>
    <row r="577" spans="1:9" x14ac:dyDescent="0.25">
      <c r="A577"/>
      <c r="B577"/>
      <c r="C577"/>
      <c r="D577"/>
      <c r="E577"/>
      <c r="F577"/>
      <c r="G577"/>
      <c r="H577"/>
      <c r="I577"/>
    </row>
    <row r="578" spans="1:9" x14ac:dyDescent="0.25">
      <c r="A578"/>
      <c r="B578"/>
      <c r="C578"/>
      <c r="D578"/>
      <c r="E578"/>
      <c r="F578"/>
      <c r="G578"/>
      <c r="H578"/>
      <c r="I578"/>
    </row>
    <row r="579" spans="1:9" x14ac:dyDescent="0.25">
      <c r="A579"/>
      <c r="B579"/>
      <c r="C579"/>
      <c r="D579"/>
      <c r="E579"/>
      <c r="F579"/>
      <c r="G579"/>
      <c r="H579"/>
      <c r="I579"/>
    </row>
    <row r="580" spans="1:9" x14ac:dyDescent="0.25">
      <c r="A580"/>
      <c r="B580"/>
      <c r="C580"/>
      <c r="D580"/>
      <c r="E580"/>
      <c r="F580"/>
      <c r="G580"/>
      <c r="H580"/>
      <c r="I580"/>
    </row>
    <row r="581" spans="1:9" x14ac:dyDescent="0.25">
      <c r="A581"/>
      <c r="B581"/>
      <c r="C581"/>
      <c r="D581"/>
      <c r="E581"/>
      <c r="F581"/>
      <c r="G581"/>
      <c r="H581"/>
      <c r="I581"/>
    </row>
    <row r="582" spans="1:9" x14ac:dyDescent="0.25">
      <c r="A582"/>
      <c r="B582"/>
      <c r="C582"/>
      <c r="D582"/>
      <c r="E582"/>
      <c r="F582"/>
      <c r="G582"/>
      <c r="H582"/>
      <c r="I582"/>
    </row>
    <row r="583" spans="1:9" x14ac:dyDescent="0.25">
      <c r="A583"/>
      <c r="B583"/>
      <c r="C583"/>
      <c r="D583"/>
      <c r="E583"/>
      <c r="F583"/>
      <c r="G583"/>
      <c r="H583"/>
      <c r="I583"/>
    </row>
    <row r="584" spans="1:9" x14ac:dyDescent="0.25">
      <c r="A584"/>
      <c r="B584"/>
      <c r="C584"/>
      <c r="D584"/>
      <c r="E584"/>
      <c r="F584"/>
      <c r="G584"/>
      <c r="H584"/>
      <c r="I584"/>
    </row>
    <row r="585" spans="1:9" x14ac:dyDescent="0.25">
      <c r="A585"/>
      <c r="B585"/>
      <c r="C585"/>
      <c r="D585"/>
      <c r="E585"/>
      <c r="F585"/>
      <c r="G585"/>
      <c r="H585"/>
      <c r="I585"/>
    </row>
    <row r="586" spans="1:9" x14ac:dyDescent="0.25">
      <c r="A586"/>
      <c r="B586"/>
      <c r="C586"/>
      <c r="D586"/>
      <c r="E586"/>
      <c r="F586"/>
      <c r="G586"/>
      <c r="H586"/>
      <c r="I586"/>
    </row>
    <row r="587" spans="1:9" x14ac:dyDescent="0.25">
      <c r="A587"/>
      <c r="B587"/>
      <c r="C587"/>
      <c r="D587"/>
      <c r="E587"/>
      <c r="F587"/>
      <c r="G587"/>
      <c r="H587"/>
      <c r="I587"/>
    </row>
    <row r="588" spans="1:9" x14ac:dyDescent="0.25">
      <c r="A588"/>
      <c r="B588"/>
      <c r="C588"/>
      <c r="D588"/>
      <c r="E588"/>
      <c r="F588"/>
      <c r="G588"/>
      <c r="H588"/>
      <c r="I588"/>
    </row>
    <row r="589" spans="1:9" x14ac:dyDescent="0.25">
      <c r="A589"/>
      <c r="B589"/>
      <c r="C589"/>
      <c r="D589"/>
      <c r="E589"/>
      <c r="F589"/>
      <c r="G589"/>
      <c r="H589"/>
      <c r="I589"/>
    </row>
    <row r="590" spans="1:9" x14ac:dyDescent="0.25">
      <c r="A590"/>
      <c r="B590"/>
      <c r="C590"/>
      <c r="D590"/>
      <c r="E590"/>
      <c r="F590"/>
      <c r="G590"/>
      <c r="H590"/>
      <c r="I590"/>
    </row>
    <row r="591" spans="1:9" x14ac:dyDescent="0.25">
      <c r="A591"/>
      <c r="B591"/>
      <c r="C591"/>
      <c r="D591"/>
      <c r="E591"/>
      <c r="F591"/>
      <c r="G591"/>
      <c r="H591"/>
      <c r="I591"/>
    </row>
    <row r="592" spans="1:9" x14ac:dyDescent="0.25">
      <c r="A592"/>
      <c r="B592"/>
      <c r="C592"/>
      <c r="D592"/>
      <c r="E592"/>
      <c r="F592"/>
      <c r="G592"/>
      <c r="H592"/>
      <c r="I592"/>
    </row>
    <row r="593" spans="1:9" x14ac:dyDescent="0.25">
      <c r="A593"/>
      <c r="B593"/>
      <c r="C593"/>
      <c r="D593"/>
      <c r="E593"/>
      <c r="F593"/>
      <c r="G593"/>
      <c r="H593"/>
      <c r="I593"/>
    </row>
    <row r="594" spans="1:9" x14ac:dyDescent="0.25">
      <c r="A594"/>
      <c r="B594"/>
      <c r="C594"/>
      <c r="D594"/>
      <c r="E594"/>
      <c r="F594"/>
      <c r="G594"/>
      <c r="H594"/>
      <c r="I594"/>
    </row>
    <row r="595" spans="1:9" x14ac:dyDescent="0.25">
      <c r="A595"/>
      <c r="B595"/>
      <c r="C595"/>
      <c r="D595"/>
      <c r="E595"/>
      <c r="F595"/>
      <c r="G595"/>
      <c r="H595"/>
      <c r="I595"/>
    </row>
    <row r="596" spans="1:9" x14ac:dyDescent="0.25">
      <c r="A596"/>
      <c r="B596"/>
      <c r="C596"/>
      <c r="D596"/>
      <c r="E596"/>
      <c r="F596"/>
      <c r="G596"/>
      <c r="H596"/>
      <c r="I596"/>
    </row>
    <row r="597" spans="1:9" x14ac:dyDescent="0.25">
      <c r="A597"/>
      <c r="B597"/>
      <c r="C597"/>
      <c r="D597"/>
      <c r="E597"/>
      <c r="F597"/>
      <c r="G597"/>
      <c r="H597"/>
      <c r="I597"/>
    </row>
    <row r="598" spans="1:9" x14ac:dyDescent="0.25">
      <c r="A598"/>
      <c r="B598"/>
      <c r="C598"/>
      <c r="D598"/>
      <c r="E598"/>
      <c r="F598"/>
      <c r="G598"/>
      <c r="H598"/>
      <c r="I598"/>
    </row>
    <row r="599" spans="1:9" x14ac:dyDescent="0.25">
      <c r="A599"/>
      <c r="B599"/>
      <c r="C599"/>
      <c r="D599"/>
      <c r="E599"/>
      <c r="F599"/>
      <c r="G599"/>
      <c r="H599"/>
      <c r="I599"/>
    </row>
    <row r="600" spans="1:9" x14ac:dyDescent="0.25">
      <c r="A600"/>
      <c r="B600"/>
      <c r="C600"/>
      <c r="D600"/>
      <c r="E600"/>
      <c r="F600"/>
      <c r="G600"/>
      <c r="H600"/>
      <c r="I600"/>
    </row>
    <row r="601" spans="1:9" x14ac:dyDescent="0.25">
      <c r="A601"/>
      <c r="B601"/>
      <c r="C601"/>
      <c r="D601"/>
      <c r="E601"/>
      <c r="F601"/>
      <c r="G601"/>
      <c r="H601"/>
      <c r="I601"/>
    </row>
    <row r="602" spans="1:9" x14ac:dyDescent="0.25">
      <c r="A602"/>
      <c r="B602"/>
      <c r="C602"/>
      <c r="D602"/>
      <c r="E602"/>
      <c r="F602"/>
      <c r="G602"/>
      <c r="H602"/>
      <c r="I602"/>
    </row>
    <row r="603" spans="1:9" x14ac:dyDescent="0.25">
      <c r="A603"/>
      <c r="B603"/>
      <c r="C603"/>
      <c r="D603"/>
      <c r="E603"/>
      <c r="F603"/>
      <c r="G603"/>
      <c r="H603"/>
      <c r="I603"/>
    </row>
    <row r="604" spans="1:9" x14ac:dyDescent="0.25">
      <c r="A604"/>
      <c r="B604"/>
      <c r="C604"/>
      <c r="D604"/>
      <c r="E604"/>
      <c r="F604"/>
      <c r="G604"/>
      <c r="H604"/>
      <c r="I604"/>
    </row>
    <row r="605" spans="1:9" x14ac:dyDescent="0.25">
      <c r="A605"/>
      <c r="B605"/>
      <c r="C605"/>
      <c r="D605"/>
      <c r="E605"/>
      <c r="F605"/>
      <c r="G605"/>
      <c r="H605"/>
      <c r="I605"/>
    </row>
    <row r="606" spans="1:9" x14ac:dyDescent="0.25">
      <c r="A606"/>
      <c r="B606"/>
      <c r="C606"/>
      <c r="D606"/>
      <c r="E606"/>
      <c r="F606"/>
      <c r="G606"/>
      <c r="H606"/>
      <c r="I606"/>
    </row>
    <row r="607" spans="1:9" x14ac:dyDescent="0.25">
      <c r="A607"/>
      <c r="B607"/>
      <c r="C607"/>
      <c r="D607"/>
      <c r="E607"/>
      <c r="F607"/>
      <c r="G607"/>
      <c r="H607"/>
      <c r="I607"/>
    </row>
    <row r="608" spans="1:9" x14ac:dyDescent="0.25">
      <c r="A608"/>
      <c r="B608"/>
      <c r="C608"/>
      <c r="D608"/>
      <c r="E608"/>
      <c r="F608"/>
      <c r="G608"/>
      <c r="H608"/>
      <c r="I608"/>
    </row>
    <row r="609" spans="1:9" x14ac:dyDescent="0.25">
      <c r="A609"/>
      <c r="B609"/>
      <c r="C609"/>
      <c r="D609"/>
      <c r="E609"/>
      <c r="F609"/>
      <c r="G609"/>
      <c r="H609"/>
      <c r="I609"/>
    </row>
    <row r="610" spans="1:9" x14ac:dyDescent="0.25">
      <c r="A610"/>
      <c r="B610"/>
      <c r="C610"/>
      <c r="D610"/>
      <c r="E610"/>
      <c r="F610"/>
      <c r="G610"/>
      <c r="H610"/>
      <c r="I610"/>
    </row>
    <row r="611" spans="1:9" x14ac:dyDescent="0.25">
      <c r="A611"/>
      <c r="B611"/>
      <c r="C611"/>
      <c r="D611"/>
      <c r="E611"/>
      <c r="F611"/>
      <c r="G611"/>
      <c r="H611"/>
      <c r="I611"/>
    </row>
    <row r="612" spans="1:9" x14ac:dyDescent="0.25">
      <c r="A612"/>
      <c r="B612"/>
      <c r="C612"/>
      <c r="D612"/>
      <c r="E612"/>
      <c r="F612"/>
      <c r="G612"/>
      <c r="H612"/>
      <c r="I612"/>
    </row>
    <row r="613" spans="1:9" x14ac:dyDescent="0.25">
      <c r="A613"/>
      <c r="B613"/>
      <c r="C613"/>
      <c r="D613"/>
      <c r="E613"/>
      <c r="F613"/>
      <c r="G613"/>
      <c r="H613"/>
      <c r="I613"/>
    </row>
    <row r="614" spans="1:9" x14ac:dyDescent="0.25">
      <c r="A614"/>
      <c r="B614"/>
      <c r="C614"/>
      <c r="D614"/>
      <c r="E614"/>
      <c r="F614"/>
      <c r="G614"/>
      <c r="H614"/>
      <c r="I614"/>
    </row>
    <row r="615" spans="1:9" x14ac:dyDescent="0.25">
      <c r="A615"/>
      <c r="B615"/>
      <c r="C615"/>
      <c r="D615"/>
      <c r="E615"/>
      <c r="F615"/>
      <c r="G615"/>
      <c r="H615"/>
      <c r="I615"/>
    </row>
    <row r="616" spans="1:9" x14ac:dyDescent="0.25">
      <c r="A616"/>
      <c r="B616"/>
      <c r="C616"/>
      <c r="D616"/>
      <c r="E616"/>
      <c r="F616"/>
      <c r="G616"/>
      <c r="H616"/>
      <c r="I616"/>
    </row>
    <row r="617" spans="1:9" x14ac:dyDescent="0.25">
      <c r="A617"/>
      <c r="B617"/>
      <c r="C617"/>
      <c r="D617"/>
      <c r="E617"/>
      <c r="F617"/>
      <c r="G617"/>
      <c r="H617"/>
      <c r="I617"/>
    </row>
    <row r="618" spans="1:9" x14ac:dyDescent="0.25">
      <c r="A618"/>
      <c r="B618"/>
      <c r="C618"/>
      <c r="D618"/>
      <c r="E618"/>
      <c r="F618"/>
      <c r="G618"/>
      <c r="H618"/>
      <c r="I618"/>
    </row>
    <row r="619" spans="1:9" x14ac:dyDescent="0.25">
      <c r="A619"/>
      <c r="B619"/>
      <c r="C619"/>
      <c r="D619"/>
      <c r="E619"/>
      <c r="F619"/>
      <c r="G619"/>
      <c r="H619"/>
      <c r="I619"/>
    </row>
    <row r="620" spans="1:9" x14ac:dyDescent="0.25">
      <c r="A620"/>
      <c r="B620"/>
      <c r="C620"/>
      <c r="D620"/>
      <c r="E620"/>
      <c r="F620"/>
      <c r="G620"/>
      <c r="H620"/>
      <c r="I620"/>
    </row>
    <row r="621" spans="1:9" x14ac:dyDescent="0.25">
      <c r="A621"/>
      <c r="B621"/>
      <c r="C621"/>
      <c r="D621"/>
      <c r="E621"/>
      <c r="F621"/>
      <c r="G621"/>
      <c r="H621"/>
      <c r="I621"/>
    </row>
    <row r="622" spans="1:9" x14ac:dyDescent="0.25">
      <c r="A622"/>
      <c r="B622"/>
      <c r="C622"/>
      <c r="D622"/>
      <c r="E622"/>
      <c r="F622"/>
      <c r="G622"/>
      <c r="H622"/>
      <c r="I622"/>
    </row>
    <row r="623" spans="1:9" x14ac:dyDescent="0.25">
      <c r="A623"/>
      <c r="B623"/>
      <c r="C623"/>
      <c r="D623"/>
      <c r="E623"/>
      <c r="F623"/>
      <c r="G623"/>
      <c r="H623"/>
      <c r="I623"/>
    </row>
    <row r="624" spans="1:9" x14ac:dyDescent="0.25">
      <c r="A624"/>
      <c r="B624"/>
      <c r="C624"/>
      <c r="D624"/>
      <c r="E624"/>
      <c r="F624"/>
      <c r="G624"/>
      <c r="H624"/>
      <c r="I624"/>
    </row>
    <row r="625" spans="1:9" x14ac:dyDescent="0.25">
      <c r="A625"/>
      <c r="B625"/>
      <c r="C625"/>
      <c r="D625"/>
      <c r="E625"/>
      <c r="F625"/>
      <c r="G625"/>
      <c r="H625"/>
      <c r="I625"/>
    </row>
    <row r="626" spans="1:9" x14ac:dyDescent="0.25">
      <c r="A626"/>
      <c r="B626"/>
      <c r="C626"/>
      <c r="D626"/>
      <c r="E626"/>
      <c r="F626"/>
      <c r="G626"/>
      <c r="H626"/>
      <c r="I626"/>
    </row>
    <row r="627" spans="1:9" x14ac:dyDescent="0.25">
      <c r="A627"/>
      <c r="B627"/>
      <c r="C627"/>
      <c r="D627"/>
      <c r="E627"/>
      <c r="F627"/>
      <c r="G627"/>
      <c r="H627"/>
      <c r="I627"/>
    </row>
    <row r="628" spans="1:9" x14ac:dyDescent="0.25">
      <c r="A628"/>
      <c r="B628"/>
      <c r="C628"/>
      <c r="D628"/>
      <c r="E628"/>
      <c r="F628"/>
      <c r="G628"/>
      <c r="H628"/>
      <c r="I628"/>
    </row>
    <row r="629" spans="1:9" x14ac:dyDescent="0.25">
      <c r="A629"/>
      <c r="B629"/>
      <c r="C629"/>
      <c r="D629"/>
      <c r="E629"/>
      <c r="F629"/>
      <c r="G629"/>
      <c r="H629"/>
      <c r="I629"/>
    </row>
    <row r="630" spans="1:9" x14ac:dyDescent="0.25">
      <c r="A630"/>
      <c r="B630"/>
      <c r="C630"/>
      <c r="D630"/>
      <c r="E630"/>
      <c r="F630"/>
      <c r="G630"/>
      <c r="H630"/>
      <c r="I630"/>
    </row>
    <row r="631" spans="1:9" x14ac:dyDescent="0.25">
      <c r="A631"/>
      <c r="B631"/>
      <c r="C631"/>
      <c r="D631"/>
      <c r="E631"/>
      <c r="F631"/>
      <c r="G631"/>
      <c r="H631"/>
      <c r="I631"/>
    </row>
    <row r="632" spans="1:9" x14ac:dyDescent="0.25">
      <c r="A632"/>
      <c r="B632"/>
      <c r="C632"/>
      <c r="D632"/>
      <c r="E632"/>
      <c r="F632"/>
      <c r="G632"/>
      <c r="H632"/>
      <c r="I632"/>
    </row>
    <row r="633" spans="1:9" x14ac:dyDescent="0.25">
      <c r="A633"/>
      <c r="B633"/>
      <c r="C633"/>
      <c r="D633"/>
      <c r="E633"/>
      <c r="F633"/>
      <c r="G633"/>
      <c r="H633"/>
      <c r="I633"/>
    </row>
    <row r="634" spans="1:9" x14ac:dyDescent="0.25">
      <c r="A634"/>
      <c r="B634"/>
      <c r="C634"/>
      <c r="D634"/>
      <c r="E634"/>
      <c r="F634"/>
      <c r="G634"/>
      <c r="H634"/>
      <c r="I634"/>
    </row>
    <row r="635" spans="1:9" x14ac:dyDescent="0.25">
      <c r="A635"/>
      <c r="B635"/>
      <c r="C635"/>
      <c r="D635"/>
      <c r="E635"/>
      <c r="F635"/>
      <c r="G635"/>
      <c r="H635"/>
      <c r="I635"/>
    </row>
    <row r="636" spans="1:9" x14ac:dyDescent="0.25">
      <c r="A636"/>
      <c r="B636"/>
      <c r="C636"/>
      <c r="D636"/>
      <c r="E636"/>
      <c r="F636"/>
      <c r="G636"/>
      <c r="H636"/>
      <c r="I636"/>
    </row>
    <row r="637" spans="1:9" x14ac:dyDescent="0.25">
      <c r="A637"/>
      <c r="B637"/>
      <c r="C637"/>
      <c r="D637"/>
      <c r="E637"/>
      <c r="F637"/>
      <c r="G637"/>
      <c r="H637"/>
      <c r="I637"/>
    </row>
    <row r="638" spans="1:9" x14ac:dyDescent="0.25">
      <c r="A638"/>
      <c r="B638"/>
      <c r="C638"/>
      <c r="D638"/>
      <c r="E638"/>
      <c r="F638"/>
      <c r="G638"/>
      <c r="H638"/>
      <c r="I638"/>
    </row>
    <row r="639" spans="1:9" x14ac:dyDescent="0.25">
      <c r="A639"/>
      <c r="B639"/>
      <c r="C639"/>
      <c r="D639"/>
      <c r="E639"/>
      <c r="F639"/>
      <c r="G639"/>
      <c r="H639"/>
      <c r="I639"/>
    </row>
    <row r="640" spans="1:9" x14ac:dyDescent="0.25">
      <c r="A640"/>
      <c r="B640"/>
      <c r="C640"/>
      <c r="D640"/>
      <c r="E640"/>
      <c r="F640"/>
      <c r="G640"/>
      <c r="H640"/>
      <c r="I640"/>
    </row>
    <row r="641" spans="1:9" x14ac:dyDescent="0.25">
      <c r="A641"/>
      <c r="B641"/>
      <c r="C641"/>
      <c r="D641"/>
      <c r="E641"/>
      <c r="F641"/>
      <c r="G641"/>
      <c r="H641"/>
      <c r="I641"/>
    </row>
    <row r="642" spans="1:9" x14ac:dyDescent="0.25">
      <c r="A642"/>
      <c r="B642"/>
      <c r="C642"/>
      <c r="D642"/>
      <c r="E642"/>
      <c r="F642"/>
      <c r="G642"/>
      <c r="H642"/>
      <c r="I642"/>
    </row>
    <row r="643" spans="1:9" x14ac:dyDescent="0.25">
      <c r="A643"/>
      <c r="B643"/>
      <c r="C643"/>
      <c r="D643"/>
      <c r="E643"/>
      <c r="F643"/>
      <c r="G643"/>
      <c r="H643"/>
      <c r="I643"/>
    </row>
    <row r="644" spans="1:9" x14ac:dyDescent="0.25">
      <c r="A644"/>
      <c r="B644"/>
      <c r="C644"/>
      <c r="D644"/>
      <c r="E644"/>
      <c r="F644"/>
      <c r="G644"/>
      <c r="H644"/>
      <c r="I644"/>
    </row>
    <row r="645" spans="1:9" x14ac:dyDescent="0.25">
      <c r="A645"/>
      <c r="B645"/>
      <c r="C645"/>
      <c r="D645"/>
      <c r="E645"/>
      <c r="F645"/>
      <c r="G645"/>
      <c r="H645"/>
      <c r="I645"/>
    </row>
    <row r="646" spans="1:9" x14ac:dyDescent="0.25">
      <c r="A646"/>
      <c r="B646"/>
      <c r="C646"/>
      <c r="D646"/>
      <c r="E646"/>
      <c r="F646"/>
      <c r="G646"/>
      <c r="H646"/>
      <c r="I646"/>
    </row>
    <row r="647" spans="1:9" x14ac:dyDescent="0.25">
      <c r="A647"/>
      <c r="B647"/>
      <c r="C647"/>
      <c r="D647"/>
      <c r="E647"/>
      <c r="F647"/>
      <c r="G647"/>
      <c r="H647"/>
      <c r="I647"/>
    </row>
    <row r="648" spans="1:9" x14ac:dyDescent="0.25">
      <c r="A648"/>
      <c r="B648"/>
      <c r="C648"/>
      <c r="D648"/>
      <c r="E648"/>
      <c r="F648"/>
      <c r="G648"/>
      <c r="H648"/>
      <c r="I648"/>
    </row>
    <row r="649" spans="1:9" x14ac:dyDescent="0.25">
      <c r="A649"/>
      <c r="B649"/>
      <c r="C649"/>
      <c r="D649"/>
      <c r="E649"/>
      <c r="F649"/>
      <c r="G649"/>
      <c r="H649"/>
      <c r="I649"/>
    </row>
    <row r="650" spans="1:9" x14ac:dyDescent="0.25">
      <c r="A650"/>
      <c r="B650"/>
      <c r="C650"/>
      <c r="D650"/>
      <c r="E650"/>
      <c r="F650"/>
      <c r="G650"/>
      <c r="H650"/>
      <c r="I650"/>
    </row>
    <row r="651" spans="1:9" x14ac:dyDescent="0.25">
      <c r="A651"/>
      <c r="B651"/>
      <c r="C651"/>
      <c r="D651"/>
      <c r="E651"/>
      <c r="F651"/>
      <c r="G651"/>
      <c r="H651"/>
      <c r="I651"/>
    </row>
    <row r="652" spans="1:9" x14ac:dyDescent="0.25">
      <c r="A652"/>
      <c r="B652"/>
      <c r="C652"/>
      <c r="D652"/>
      <c r="E652"/>
      <c r="F652"/>
      <c r="G652"/>
      <c r="H652"/>
      <c r="I652"/>
    </row>
    <row r="653" spans="1:9" x14ac:dyDescent="0.25">
      <c r="A653"/>
      <c r="B653"/>
      <c r="C653"/>
      <c r="D653"/>
      <c r="E653"/>
      <c r="F653"/>
      <c r="G653"/>
      <c r="H653"/>
      <c r="I653"/>
    </row>
    <row r="654" spans="1:9" x14ac:dyDescent="0.25">
      <c r="A654"/>
      <c r="B654"/>
      <c r="C654"/>
      <c r="D654"/>
      <c r="E654"/>
      <c r="F654"/>
      <c r="G654"/>
      <c r="H654"/>
      <c r="I654"/>
    </row>
    <row r="655" spans="1:9" x14ac:dyDescent="0.25">
      <c r="A655"/>
      <c r="B655"/>
      <c r="C655"/>
      <c r="D655"/>
      <c r="E655"/>
      <c r="F655"/>
      <c r="G655"/>
      <c r="H655"/>
      <c r="I655"/>
    </row>
    <row r="656" spans="1:9" x14ac:dyDescent="0.25">
      <c r="A656"/>
      <c r="B656"/>
      <c r="C656"/>
      <c r="D656"/>
      <c r="E656"/>
      <c r="F656"/>
      <c r="G656"/>
      <c r="H656"/>
      <c r="I656"/>
    </row>
    <row r="657" spans="1:9" x14ac:dyDescent="0.25">
      <c r="A657"/>
      <c r="B657"/>
      <c r="C657"/>
      <c r="D657"/>
      <c r="E657"/>
      <c r="F657"/>
      <c r="G657"/>
      <c r="H657"/>
      <c r="I657"/>
    </row>
    <row r="658" spans="1:9" x14ac:dyDescent="0.25">
      <c r="A658"/>
      <c r="B658"/>
      <c r="C658"/>
      <c r="D658"/>
      <c r="E658"/>
      <c r="F658"/>
      <c r="G658"/>
      <c r="H658"/>
      <c r="I658"/>
    </row>
    <row r="659" spans="1:9" x14ac:dyDescent="0.25">
      <c r="A659"/>
      <c r="B659"/>
      <c r="C659"/>
      <c r="D659"/>
      <c r="E659"/>
      <c r="F659"/>
      <c r="G659"/>
      <c r="H659"/>
      <c r="I659"/>
    </row>
    <row r="660" spans="1:9" x14ac:dyDescent="0.25">
      <c r="A660"/>
      <c r="B660"/>
      <c r="C660"/>
      <c r="D660"/>
      <c r="E660"/>
      <c r="F660"/>
      <c r="G660"/>
      <c r="H660"/>
      <c r="I660"/>
    </row>
    <row r="661" spans="1:9" x14ac:dyDescent="0.25">
      <c r="A661"/>
      <c r="B661"/>
      <c r="C661"/>
      <c r="D661"/>
      <c r="E661"/>
      <c r="F661"/>
      <c r="G661"/>
      <c r="H661"/>
      <c r="I661"/>
    </row>
    <row r="662" spans="1:9" x14ac:dyDescent="0.25">
      <c r="A662"/>
      <c r="B662"/>
      <c r="C662"/>
      <c r="D662"/>
      <c r="E662"/>
      <c r="F662"/>
      <c r="G662"/>
      <c r="H662"/>
      <c r="I662"/>
    </row>
    <row r="663" spans="1:9" x14ac:dyDescent="0.25">
      <c r="A663"/>
      <c r="B663"/>
      <c r="C663"/>
      <c r="D663"/>
      <c r="E663"/>
      <c r="F663"/>
      <c r="G663"/>
      <c r="H663"/>
      <c r="I663"/>
    </row>
    <row r="664" spans="1:9" x14ac:dyDescent="0.25">
      <c r="A664"/>
      <c r="B664"/>
      <c r="C664"/>
      <c r="D664"/>
      <c r="E664"/>
      <c r="F664"/>
      <c r="G664"/>
      <c r="H664"/>
      <c r="I664"/>
    </row>
    <row r="665" spans="1:9" x14ac:dyDescent="0.25">
      <c r="A665"/>
      <c r="B665"/>
      <c r="C665"/>
      <c r="D665"/>
      <c r="E665"/>
      <c r="F665"/>
      <c r="G665"/>
      <c r="H665"/>
      <c r="I665"/>
    </row>
    <row r="666" spans="1:9" x14ac:dyDescent="0.25">
      <c r="A666"/>
      <c r="B666"/>
      <c r="C666"/>
      <c r="D666"/>
      <c r="E666"/>
      <c r="F666"/>
      <c r="G666"/>
      <c r="H666"/>
      <c r="I666"/>
    </row>
    <row r="667" spans="1:9" x14ac:dyDescent="0.25">
      <c r="A667"/>
      <c r="B667"/>
      <c r="C667"/>
      <c r="D667"/>
      <c r="E667"/>
      <c r="F667"/>
      <c r="G667"/>
      <c r="H667"/>
      <c r="I667"/>
    </row>
    <row r="668" spans="1:9" x14ac:dyDescent="0.25">
      <c r="A668"/>
      <c r="B668"/>
      <c r="C668"/>
      <c r="D668"/>
      <c r="E668"/>
      <c r="F668"/>
      <c r="G668"/>
      <c r="H668"/>
      <c r="I668"/>
    </row>
    <row r="669" spans="1:9" x14ac:dyDescent="0.25">
      <c r="A669"/>
      <c r="B669"/>
      <c r="C669"/>
      <c r="D669"/>
      <c r="E669"/>
      <c r="F669"/>
      <c r="G669"/>
      <c r="H669"/>
      <c r="I669"/>
    </row>
    <row r="670" spans="1:9" x14ac:dyDescent="0.25">
      <c r="A670"/>
      <c r="B670"/>
      <c r="C670"/>
      <c r="D670"/>
      <c r="E670"/>
      <c r="F670"/>
      <c r="G670"/>
      <c r="H670"/>
      <c r="I670"/>
    </row>
    <row r="671" spans="1:9" x14ac:dyDescent="0.25">
      <c r="A671"/>
      <c r="B671"/>
      <c r="C671"/>
      <c r="D671"/>
      <c r="E671"/>
      <c r="F671"/>
      <c r="G671"/>
      <c r="H671"/>
      <c r="I671"/>
    </row>
    <row r="672" spans="1:9" x14ac:dyDescent="0.25">
      <c r="A672"/>
      <c r="B672"/>
      <c r="C672"/>
      <c r="D672"/>
      <c r="E672"/>
      <c r="F672"/>
      <c r="G672"/>
      <c r="H672"/>
      <c r="I672"/>
    </row>
    <row r="673" spans="1:9" x14ac:dyDescent="0.25">
      <c r="A673"/>
      <c r="B673"/>
      <c r="C673"/>
      <c r="D673"/>
      <c r="E673"/>
      <c r="F673"/>
      <c r="G673"/>
      <c r="H673"/>
      <c r="I673"/>
    </row>
    <row r="674" spans="1:9" x14ac:dyDescent="0.25">
      <c r="A674"/>
      <c r="B674"/>
      <c r="C674"/>
      <c r="D674"/>
      <c r="E674"/>
      <c r="F674"/>
      <c r="G674"/>
      <c r="H674"/>
      <c r="I674"/>
    </row>
    <row r="675" spans="1:9" x14ac:dyDescent="0.25">
      <c r="A675"/>
      <c r="B675"/>
      <c r="C675"/>
      <c r="D675"/>
      <c r="E675"/>
      <c r="F675"/>
      <c r="G675"/>
      <c r="H675"/>
      <c r="I675"/>
    </row>
    <row r="676" spans="1:9" x14ac:dyDescent="0.25">
      <c r="A676"/>
      <c r="B676"/>
      <c r="C676"/>
      <c r="D676"/>
      <c r="E676"/>
      <c r="F676"/>
      <c r="G676"/>
      <c r="H676"/>
      <c r="I676"/>
    </row>
    <row r="677" spans="1:9" x14ac:dyDescent="0.25">
      <c r="A677"/>
      <c r="B677"/>
      <c r="C677"/>
      <c r="D677"/>
      <c r="E677"/>
      <c r="F677"/>
      <c r="G677"/>
      <c r="H677"/>
      <c r="I677"/>
    </row>
    <row r="678" spans="1:9" x14ac:dyDescent="0.25">
      <c r="A678"/>
      <c r="B678"/>
      <c r="C678"/>
      <c r="D678"/>
      <c r="E678"/>
      <c r="F678"/>
      <c r="G678"/>
      <c r="H678"/>
      <c r="I678"/>
    </row>
    <row r="679" spans="1:9" x14ac:dyDescent="0.25">
      <c r="A679"/>
      <c r="B679"/>
      <c r="C679"/>
      <c r="D679"/>
      <c r="E679"/>
      <c r="F679"/>
      <c r="G679"/>
      <c r="H679"/>
      <c r="I679"/>
    </row>
    <row r="680" spans="1:9" x14ac:dyDescent="0.25">
      <c r="A680"/>
      <c r="B680"/>
      <c r="C680"/>
      <c r="D680"/>
      <c r="E680"/>
      <c r="F680"/>
      <c r="G680"/>
      <c r="H680"/>
      <c r="I680"/>
    </row>
    <row r="681" spans="1:9" x14ac:dyDescent="0.25">
      <c r="A681"/>
      <c r="B681"/>
      <c r="C681"/>
      <c r="D681"/>
      <c r="E681"/>
      <c r="F681"/>
      <c r="G681"/>
      <c r="H681"/>
      <c r="I681"/>
    </row>
    <row r="682" spans="1:9" x14ac:dyDescent="0.25">
      <c r="A682"/>
      <c r="B682"/>
      <c r="C682"/>
      <c r="D682"/>
      <c r="E682"/>
      <c r="F682"/>
      <c r="G682"/>
      <c r="H682"/>
      <c r="I682"/>
    </row>
    <row r="683" spans="1:9" x14ac:dyDescent="0.25">
      <c r="A683"/>
      <c r="B683"/>
      <c r="C683"/>
      <c r="D683"/>
      <c r="E683"/>
      <c r="F683"/>
      <c r="G683"/>
      <c r="H683"/>
      <c r="I683"/>
    </row>
    <row r="684" spans="1:9" x14ac:dyDescent="0.25">
      <c r="A684"/>
      <c r="B684"/>
      <c r="C684"/>
      <c r="D684"/>
      <c r="E684"/>
      <c r="F684"/>
      <c r="G684"/>
      <c r="H684"/>
      <c r="I684"/>
    </row>
    <row r="685" spans="1:9" x14ac:dyDescent="0.25">
      <c r="A685"/>
      <c r="B685"/>
      <c r="C685"/>
      <c r="D685"/>
      <c r="E685"/>
      <c r="F685"/>
      <c r="G685"/>
      <c r="H685"/>
      <c r="I685"/>
    </row>
    <row r="686" spans="1:9" x14ac:dyDescent="0.25">
      <c r="A686"/>
      <c r="B686"/>
      <c r="C686"/>
      <c r="D686"/>
      <c r="E686"/>
      <c r="F686"/>
      <c r="G686"/>
      <c r="H686"/>
      <c r="I686"/>
    </row>
    <row r="687" spans="1:9" x14ac:dyDescent="0.25">
      <c r="A687"/>
      <c r="B687"/>
      <c r="C687"/>
      <c r="D687"/>
      <c r="E687"/>
      <c r="F687"/>
      <c r="G687"/>
      <c r="H687"/>
      <c r="I687"/>
    </row>
    <row r="688" spans="1:9" x14ac:dyDescent="0.25">
      <c r="A688"/>
      <c r="B688"/>
      <c r="C688"/>
      <c r="D688"/>
      <c r="E688"/>
      <c r="F688"/>
      <c r="G688"/>
      <c r="H688"/>
      <c r="I688"/>
    </row>
    <row r="689" spans="1:9" x14ac:dyDescent="0.25">
      <c r="A689"/>
      <c r="B689"/>
      <c r="C689"/>
      <c r="D689"/>
      <c r="E689"/>
      <c r="F689"/>
      <c r="G689"/>
      <c r="H689"/>
      <c r="I689"/>
    </row>
    <row r="690" spans="1:9" x14ac:dyDescent="0.25">
      <c r="A690"/>
      <c r="B690"/>
      <c r="C690"/>
      <c r="D690"/>
      <c r="E690"/>
      <c r="F690"/>
      <c r="G690"/>
      <c r="H690"/>
      <c r="I690"/>
    </row>
    <row r="691" spans="1:9" x14ac:dyDescent="0.25">
      <c r="A691"/>
      <c r="B691"/>
      <c r="C691"/>
      <c r="D691"/>
      <c r="E691"/>
      <c r="F691"/>
      <c r="G691"/>
      <c r="H691"/>
      <c r="I691"/>
    </row>
    <row r="692" spans="1:9" x14ac:dyDescent="0.25">
      <c r="A692"/>
      <c r="B692"/>
      <c r="C692"/>
      <c r="D692"/>
      <c r="E692"/>
      <c r="F692"/>
      <c r="G692"/>
      <c r="H692"/>
      <c r="I692"/>
    </row>
    <row r="693" spans="1:9" x14ac:dyDescent="0.25">
      <c r="A693"/>
      <c r="B693"/>
      <c r="C693"/>
      <c r="D693"/>
      <c r="E693"/>
      <c r="F693"/>
      <c r="G693"/>
      <c r="H693"/>
      <c r="I693"/>
    </row>
    <row r="694" spans="1:9" x14ac:dyDescent="0.25">
      <c r="A694"/>
      <c r="B694"/>
      <c r="C694"/>
      <c r="D694"/>
      <c r="E694"/>
      <c r="F694"/>
      <c r="G694"/>
      <c r="H694"/>
      <c r="I694"/>
    </row>
    <row r="695" spans="1:9" x14ac:dyDescent="0.25">
      <c r="A695"/>
      <c r="B695"/>
      <c r="C695"/>
      <c r="D695"/>
      <c r="E695"/>
      <c r="F695"/>
      <c r="G695"/>
      <c r="H695"/>
      <c r="I695"/>
    </row>
    <row r="696" spans="1:9" x14ac:dyDescent="0.25">
      <c r="A696"/>
      <c r="B696"/>
      <c r="C696"/>
      <c r="D696"/>
      <c r="E696"/>
      <c r="F696"/>
      <c r="G696"/>
      <c r="H696"/>
      <c r="I696"/>
    </row>
    <row r="697" spans="1:9" x14ac:dyDescent="0.25">
      <c r="A697"/>
      <c r="B697"/>
      <c r="C697"/>
      <c r="D697"/>
      <c r="E697"/>
      <c r="F697"/>
      <c r="G697"/>
      <c r="H697"/>
      <c r="I697"/>
    </row>
    <row r="698" spans="1:9" x14ac:dyDescent="0.25">
      <c r="A698"/>
      <c r="B698"/>
      <c r="C698"/>
      <c r="D698"/>
      <c r="E698"/>
      <c r="F698"/>
      <c r="G698"/>
      <c r="H698"/>
      <c r="I698"/>
    </row>
    <row r="699" spans="1:9" x14ac:dyDescent="0.25">
      <c r="A699"/>
      <c r="B699"/>
      <c r="C699"/>
      <c r="D699"/>
      <c r="E699"/>
      <c r="F699"/>
      <c r="G699"/>
      <c r="H699"/>
      <c r="I699"/>
    </row>
    <row r="700" spans="1:9" x14ac:dyDescent="0.25">
      <c r="A700"/>
      <c r="B700"/>
      <c r="C700"/>
      <c r="D700"/>
      <c r="E700"/>
      <c r="F700"/>
      <c r="G700"/>
      <c r="H700"/>
      <c r="I700"/>
    </row>
    <row r="701" spans="1:9" x14ac:dyDescent="0.25">
      <c r="A701"/>
      <c r="B701"/>
      <c r="C701"/>
      <c r="D701"/>
      <c r="E701"/>
      <c r="F701"/>
      <c r="G701"/>
      <c r="H701"/>
      <c r="I701"/>
    </row>
    <row r="702" spans="1:9" x14ac:dyDescent="0.25">
      <c r="A702"/>
      <c r="B702"/>
      <c r="C702"/>
      <c r="D702"/>
      <c r="E702"/>
      <c r="F702"/>
      <c r="G702"/>
      <c r="H702"/>
      <c r="I702"/>
    </row>
    <row r="703" spans="1:9" x14ac:dyDescent="0.25">
      <c r="A703"/>
      <c r="B703"/>
      <c r="C703"/>
      <c r="D703"/>
      <c r="E703"/>
      <c r="F703"/>
      <c r="G703"/>
      <c r="H703"/>
      <c r="I703"/>
    </row>
    <row r="704" spans="1:9" x14ac:dyDescent="0.25">
      <c r="A704"/>
      <c r="B704"/>
      <c r="C704"/>
      <c r="D704"/>
      <c r="E704"/>
      <c r="F704"/>
      <c r="G704"/>
      <c r="H704"/>
      <c r="I704"/>
    </row>
    <row r="705" spans="1:9" x14ac:dyDescent="0.25">
      <c r="A705"/>
      <c r="B705"/>
      <c r="C705"/>
      <c r="D705"/>
      <c r="E705"/>
      <c r="F705"/>
      <c r="G705"/>
      <c r="H705"/>
      <c r="I705"/>
    </row>
    <row r="706" spans="1:9" x14ac:dyDescent="0.25">
      <c r="A706"/>
      <c r="B706"/>
      <c r="C706"/>
      <c r="D706"/>
      <c r="E706"/>
      <c r="F706"/>
      <c r="G706"/>
      <c r="H706"/>
      <c r="I706"/>
    </row>
    <row r="707" spans="1:9" x14ac:dyDescent="0.25">
      <c r="A707"/>
      <c r="B707"/>
      <c r="C707"/>
      <c r="D707"/>
      <c r="E707"/>
      <c r="F707"/>
      <c r="G707"/>
      <c r="H707"/>
      <c r="I707"/>
    </row>
    <row r="708" spans="1:9" x14ac:dyDescent="0.25">
      <c r="A708"/>
      <c r="B708"/>
      <c r="C708"/>
      <c r="D708"/>
      <c r="E708"/>
      <c r="F708"/>
      <c r="G708"/>
      <c r="H708"/>
      <c r="I708"/>
    </row>
    <row r="709" spans="1:9" x14ac:dyDescent="0.25">
      <c r="A709"/>
      <c r="B709"/>
      <c r="C709"/>
      <c r="D709"/>
      <c r="E709"/>
      <c r="F709"/>
      <c r="G709"/>
      <c r="H709"/>
      <c r="I709"/>
    </row>
    <row r="710" spans="1:9" x14ac:dyDescent="0.25">
      <c r="A710"/>
      <c r="B710"/>
      <c r="C710"/>
      <c r="D710"/>
      <c r="E710"/>
      <c r="F710"/>
      <c r="G710"/>
      <c r="H710"/>
      <c r="I710"/>
    </row>
    <row r="711" spans="1:9" x14ac:dyDescent="0.25">
      <c r="A711"/>
      <c r="B711"/>
      <c r="C711"/>
      <c r="D711"/>
      <c r="E711"/>
      <c r="F711"/>
      <c r="G711"/>
      <c r="H711"/>
      <c r="I711"/>
    </row>
    <row r="712" spans="1:9" x14ac:dyDescent="0.25">
      <c r="A712"/>
      <c r="B712"/>
      <c r="C712"/>
      <c r="D712"/>
      <c r="E712"/>
      <c r="F712"/>
      <c r="G712"/>
      <c r="H712"/>
      <c r="I712"/>
    </row>
    <row r="713" spans="1:9" x14ac:dyDescent="0.25">
      <c r="A713"/>
      <c r="B713"/>
      <c r="C713"/>
      <c r="D713"/>
      <c r="E713"/>
      <c r="F713"/>
      <c r="G713"/>
      <c r="H713"/>
      <c r="I713"/>
    </row>
    <row r="714" spans="1:9" x14ac:dyDescent="0.25">
      <c r="A714"/>
      <c r="B714"/>
      <c r="C714"/>
      <c r="D714"/>
      <c r="E714"/>
      <c r="F714"/>
      <c r="G714"/>
      <c r="H714"/>
      <c r="I714"/>
    </row>
    <row r="715" spans="1:9" x14ac:dyDescent="0.25">
      <c r="A715"/>
      <c r="B715"/>
      <c r="C715"/>
      <c r="D715"/>
      <c r="E715"/>
      <c r="F715"/>
      <c r="G715"/>
      <c r="H715"/>
      <c r="I715"/>
    </row>
    <row r="716" spans="1:9" x14ac:dyDescent="0.25">
      <c r="A716"/>
      <c r="B716"/>
      <c r="C716"/>
      <c r="D716"/>
      <c r="E716"/>
      <c r="F716"/>
      <c r="G716"/>
      <c r="H716"/>
      <c r="I716"/>
    </row>
    <row r="717" spans="1:9" x14ac:dyDescent="0.25">
      <c r="A717"/>
      <c r="B717"/>
      <c r="C717"/>
      <c r="D717"/>
      <c r="E717"/>
      <c r="F717"/>
      <c r="G717"/>
      <c r="H717"/>
      <c r="I717"/>
    </row>
    <row r="718" spans="1:9" x14ac:dyDescent="0.25">
      <c r="A718"/>
      <c r="B718"/>
      <c r="C718"/>
      <c r="D718"/>
      <c r="E718"/>
      <c r="F718"/>
      <c r="G718"/>
      <c r="H718"/>
      <c r="I718"/>
    </row>
    <row r="719" spans="1:9" x14ac:dyDescent="0.25">
      <c r="A719"/>
      <c r="B719"/>
      <c r="C719"/>
      <c r="D719"/>
      <c r="E719"/>
      <c r="F719"/>
      <c r="G719"/>
      <c r="H719"/>
      <c r="I719"/>
    </row>
    <row r="720" spans="1:9" x14ac:dyDescent="0.25">
      <c r="A720"/>
      <c r="B720"/>
      <c r="C720"/>
      <c r="D720"/>
      <c r="E720"/>
      <c r="F720"/>
      <c r="G720"/>
      <c r="H720"/>
      <c r="I720"/>
    </row>
    <row r="721" spans="1:9" x14ac:dyDescent="0.25">
      <c r="A721"/>
      <c r="B721"/>
      <c r="C721"/>
      <c r="D721"/>
      <c r="E721"/>
      <c r="F721"/>
      <c r="G721"/>
      <c r="H721"/>
      <c r="I721"/>
    </row>
    <row r="722" spans="1:9" x14ac:dyDescent="0.25">
      <c r="A722"/>
      <c r="B722"/>
      <c r="C722"/>
      <c r="D722"/>
      <c r="E722"/>
      <c r="F722"/>
      <c r="G722"/>
      <c r="H722"/>
      <c r="I722"/>
    </row>
    <row r="723" spans="1:9" x14ac:dyDescent="0.25">
      <c r="A723"/>
      <c r="B723"/>
      <c r="C723"/>
      <c r="D723"/>
      <c r="E723"/>
      <c r="F723"/>
      <c r="G723"/>
      <c r="H723"/>
      <c r="I723"/>
    </row>
    <row r="724" spans="1:9" x14ac:dyDescent="0.25">
      <c r="A724"/>
      <c r="B724"/>
      <c r="C724"/>
      <c r="D724"/>
      <c r="E724"/>
      <c r="F724"/>
      <c r="G724"/>
      <c r="H724"/>
      <c r="I724"/>
    </row>
    <row r="725" spans="1:9" x14ac:dyDescent="0.25">
      <c r="A725"/>
      <c r="B725"/>
      <c r="C725"/>
      <c r="D725"/>
      <c r="E725"/>
      <c r="F725"/>
      <c r="G725"/>
      <c r="H725"/>
      <c r="I725"/>
    </row>
    <row r="726" spans="1:9" x14ac:dyDescent="0.25">
      <c r="A726"/>
      <c r="B726"/>
      <c r="C726"/>
      <c r="D726"/>
      <c r="E726"/>
      <c r="F726"/>
      <c r="G726"/>
      <c r="H726"/>
      <c r="I726"/>
    </row>
    <row r="727" spans="1:9" x14ac:dyDescent="0.25">
      <c r="A727"/>
      <c r="B727"/>
      <c r="C727"/>
      <c r="D727"/>
      <c r="E727"/>
      <c r="F727"/>
      <c r="G727"/>
      <c r="H727"/>
      <c r="I727"/>
    </row>
    <row r="728" spans="1:9" x14ac:dyDescent="0.25">
      <c r="A728"/>
      <c r="B728"/>
      <c r="C728"/>
      <c r="D728"/>
      <c r="E728"/>
      <c r="F728"/>
      <c r="G728"/>
      <c r="H728"/>
      <c r="I728"/>
    </row>
    <row r="729" spans="1:9" x14ac:dyDescent="0.25">
      <c r="A729"/>
      <c r="B729"/>
      <c r="C729"/>
      <c r="D729"/>
      <c r="E729"/>
      <c r="F729"/>
      <c r="G729"/>
      <c r="H729"/>
      <c r="I729"/>
    </row>
    <row r="730" spans="1:9" x14ac:dyDescent="0.25">
      <c r="A730"/>
      <c r="B730"/>
      <c r="C730"/>
      <c r="D730"/>
      <c r="E730"/>
      <c r="F730"/>
      <c r="G730"/>
      <c r="H730"/>
      <c r="I730"/>
    </row>
    <row r="731" spans="1:9" x14ac:dyDescent="0.25">
      <c r="A731"/>
      <c r="B731"/>
      <c r="C731"/>
      <c r="D731"/>
      <c r="E731"/>
      <c r="F731"/>
      <c r="G731"/>
      <c r="H731"/>
      <c r="I731"/>
    </row>
    <row r="732" spans="1:9" x14ac:dyDescent="0.25">
      <c r="A732"/>
      <c r="B732"/>
      <c r="C732"/>
      <c r="D732"/>
      <c r="E732"/>
      <c r="F732"/>
      <c r="G732"/>
      <c r="H732"/>
      <c r="I732"/>
    </row>
    <row r="733" spans="1:9" x14ac:dyDescent="0.25">
      <c r="A733"/>
      <c r="B733"/>
      <c r="C733"/>
      <c r="D733"/>
      <c r="E733"/>
      <c r="F733"/>
      <c r="G733"/>
      <c r="H733"/>
      <c r="I733"/>
    </row>
    <row r="734" spans="1:9" x14ac:dyDescent="0.25">
      <c r="A734"/>
      <c r="B734"/>
      <c r="C734"/>
      <c r="D734"/>
      <c r="E734"/>
      <c r="F734"/>
      <c r="G734"/>
      <c r="H734"/>
      <c r="I734"/>
    </row>
    <row r="735" spans="1:9" x14ac:dyDescent="0.25">
      <c r="A735"/>
      <c r="B735"/>
      <c r="C735"/>
      <c r="D735"/>
      <c r="E735"/>
      <c r="F735"/>
      <c r="G735"/>
      <c r="H735"/>
      <c r="I735"/>
    </row>
    <row r="736" spans="1:9" x14ac:dyDescent="0.25">
      <c r="A736"/>
      <c r="B736"/>
      <c r="C736"/>
      <c r="D736"/>
      <c r="E736"/>
      <c r="F736"/>
      <c r="G736"/>
      <c r="H736"/>
      <c r="I736"/>
    </row>
    <row r="737" spans="1:9" x14ac:dyDescent="0.25">
      <c r="A737"/>
      <c r="B737"/>
      <c r="C737"/>
      <c r="D737"/>
      <c r="E737"/>
      <c r="F737"/>
      <c r="G737"/>
      <c r="H737"/>
      <c r="I737"/>
    </row>
    <row r="738" spans="1:9" x14ac:dyDescent="0.25">
      <c r="A738"/>
      <c r="B738"/>
      <c r="C738"/>
      <c r="D738"/>
      <c r="E738"/>
      <c r="F738"/>
      <c r="G738"/>
      <c r="H738"/>
      <c r="I738"/>
    </row>
    <row r="739" spans="1:9" x14ac:dyDescent="0.25">
      <c r="A739"/>
      <c r="B739"/>
      <c r="C739"/>
      <c r="D739"/>
      <c r="E739"/>
      <c r="F739"/>
      <c r="G739"/>
      <c r="H739"/>
      <c r="I739"/>
    </row>
    <row r="740" spans="1:9" x14ac:dyDescent="0.25">
      <c r="A740"/>
      <c r="B740"/>
      <c r="C740"/>
      <c r="D740"/>
      <c r="E740"/>
      <c r="F740"/>
      <c r="G740"/>
      <c r="H740"/>
      <c r="I740"/>
    </row>
    <row r="741" spans="1:9" x14ac:dyDescent="0.25">
      <c r="A741"/>
      <c r="B741"/>
      <c r="C741"/>
      <c r="D741"/>
      <c r="E741"/>
      <c r="F741"/>
      <c r="G741"/>
      <c r="H741"/>
      <c r="I741"/>
    </row>
    <row r="742" spans="1:9" x14ac:dyDescent="0.25">
      <c r="A742"/>
      <c r="B742"/>
      <c r="C742"/>
      <c r="D742"/>
      <c r="E742"/>
      <c r="F742"/>
      <c r="G742"/>
      <c r="H742"/>
      <c r="I742"/>
    </row>
    <row r="743" spans="1:9" x14ac:dyDescent="0.25">
      <c r="A743"/>
      <c r="B743"/>
      <c r="C743"/>
      <c r="D743"/>
      <c r="E743"/>
      <c r="F743"/>
      <c r="G743"/>
      <c r="H743"/>
      <c r="I743"/>
    </row>
    <row r="744" spans="1:9" x14ac:dyDescent="0.25">
      <c r="A744"/>
      <c r="B744"/>
      <c r="C744"/>
      <c r="D744"/>
      <c r="E744"/>
      <c r="F744"/>
      <c r="G744"/>
      <c r="H744"/>
      <c r="I744"/>
    </row>
    <row r="745" spans="1:9" x14ac:dyDescent="0.25">
      <c r="A745"/>
      <c r="B745"/>
      <c r="C745"/>
      <c r="D745"/>
      <c r="E745"/>
      <c r="F745"/>
      <c r="G745"/>
      <c r="H745"/>
      <c r="I745"/>
    </row>
    <row r="746" spans="1:9" x14ac:dyDescent="0.25">
      <c r="A746"/>
      <c r="B746"/>
      <c r="C746"/>
      <c r="D746"/>
      <c r="E746"/>
      <c r="F746"/>
      <c r="G746"/>
      <c r="H746"/>
      <c r="I746"/>
    </row>
    <row r="747" spans="1:9" x14ac:dyDescent="0.25">
      <c r="A747"/>
      <c r="B747"/>
      <c r="C747"/>
      <c r="D747"/>
      <c r="E747"/>
      <c r="F747"/>
      <c r="G747"/>
      <c r="H747"/>
      <c r="I747"/>
    </row>
    <row r="748" spans="1:9" x14ac:dyDescent="0.25">
      <c r="A748"/>
      <c r="B748"/>
      <c r="C748"/>
      <c r="D748"/>
      <c r="E748"/>
      <c r="F748"/>
      <c r="G748"/>
      <c r="H748"/>
      <c r="I748"/>
    </row>
    <row r="749" spans="1:9" x14ac:dyDescent="0.25">
      <c r="A749"/>
      <c r="B749"/>
      <c r="C749"/>
      <c r="D749"/>
      <c r="E749"/>
      <c r="F749"/>
      <c r="G749"/>
      <c r="H749"/>
      <c r="I749"/>
    </row>
    <row r="750" spans="1:9" x14ac:dyDescent="0.25">
      <c r="A750"/>
      <c r="B750"/>
      <c r="C750"/>
      <c r="D750"/>
      <c r="E750"/>
      <c r="F750"/>
      <c r="G750"/>
      <c r="H750"/>
      <c r="I750"/>
    </row>
    <row r="751" spans="1:9" x14ac:dyDescent="0.25">
      <c r="A751"/>
      <c r="B751"/>
      <c r="C751"/>
      <c r="D751"/>
      <c r="E751"/>
      <c r="F751"/>
      <c r="G751"/>
      <c r="H751"/>
      <c r="I751"/>
    </row>
    <row r="752" spans="1:9" x14ac:dyDescent="0.25">
      <c r="A752"/>
      <c r="B752"/>
      <c r="C752"/>
      <c r="D752"/>
      <c r="E752"/>
      <c r="F752"/>
      <c r="G752"/>
      <c r="H752"/>
      <c r="I752"/>
    </row>
    <row r="753" spans="1:9" x14ac:dyDescent="0.25">
      <c r="A753"/>
      <c r="B753"/>
      <c r="C753"/>
      <c r="D753"/>
      <c r="E753"/>
      <c r="F753"/>
      <c r="G753"/>
      <c r="H753"/>
      <c r="I753"/>
    </row>
    <row r="754" spans="1:9" x14ac:dyDescent="0.25">
      <c r="A754"/>
      <c r="B754"/>
      <c r="C754"/>
      <c r="D754"/>
      <c r="E754"/>
      <c r="F754"/>
      <c r="G754"/>
      <c r="H754"/>
      <c r="I754"/>
    </row>
    <row r="755" spans="1:9" x14ac:dyDescent="0.25">
      <c r="A755"/>
      <c r="B755"/>
      <c r="C755"/>
      <c r="D755"/>
      <c r="E755"/>
      <c r="F755"/>
      <c r="G755"/>
      <c r="H755"/>
      <c r="I755"/>
    </row>
    <row r="756" spans="1:9" x14ac:dyDescent="0.25">
      <c r="A756"/>
      <c r="B756"/>
      <c r="C756"/>
      <c r="D756"/>
      <c r="E756"/>
      <c r="F756"/>
      <c r="G756"/>
      <c r="H756"/>
      <c r="I756"/>
    </row>
    <row r="757" spans="1:9" x14ac:dyDescent="0.25">
      <c r="A757"/>
      <c r="B757"/>
      <c r="C757"/>
      <c r="D757"/>
      <c r="E757"/>
      <c r="F757"/>
      <c r="G757"/>
      <c r="H757"/>
      <c r="I757"/>
    </row>
    <row r="758" spans="1:9" x14ac:dyDescent="0.25">
      <c r="A758"/>
      <c r="B758"/>
      <c r="C758"/>
      <c r="D758"/>
      <c r="E758"/>
      <c r="F758"/>
      <c r="G758"/>
      <c r="H758"/>
      <c r="I758"/>
    </row>
    <row r="759" spans="1:9" x14ac:dyDescent="0.25">
      <c r="A759"/>
      <c r="B759"/>
      <c r="C759"/>
      <c r="D759"/>
      <c r="E759"/>
      <c r="F759"/>
      <c r="G759"/>
      <c r="H759"/>
      <c r="I759"/>
    </row>
    <row r="760" spans="1:9" x14ac:dyDescent="0.25">
      <c r="A760"/>
      <c r="B760"/>
      <c r="C760"/>
      <c r="D760"/>
      <c r="E760"/>
      <c r="F760"/>
      <c r="G760"/>
      <c r="H760"/>
      <c r="I760"/>
    </row>
    <row r="761" spans="1:9" x14ac:dyDescent="0.25">
      <c r="A761"/>
      <c r="B761"/>
      <c r="C761"/>
      <c r="D761"/>
      <c r="E761"/>
      <c r="F761"/>
      <c r="G761"/>
      <c r="H761"/>
      <c r="I761"/>
    </row>
    <row r="762" spans="1:9" x14ac:dyDescent="0.25">
      <c r="A762"/>
      <c r="B762"/>
      <c r="C762"/>
      <c r="D762"/>
      <c r="E762"/>
      <c r="F762"/>
      <c r="G762"/>
      <c r="H762"/>
      <c r="I762"/>
    </row>
    <row r="763" spans="1:9" x14ac:dyDescent="0.25">
      <c r="A763"/>
      <c r="B763"/>
      <c r="C763"/>
      <c r="D763"/>
      <c r="E763"/>
      <c r="F763"/>
      <c r="G763"/>
      <c r="H763"/>
      <c r="I763"/>
    </row>
    <row r="764" spans="1:9" x14ac:dyDescent="0.25">
      <c r="A764"/>
      <c r="B764"/>
      <c r="C764"/>
      <c r="D764"/>
      <c r="E764"/>
      <c r="F764"/>
      <c r="G764"/>
      <c r="H764"/>
      <c r="I764"/>
    </row>
    <row r="765" spans="1:9" x14ac:dyDescent="0.25">
      <c r="A765"/>
      <c r="B765"/>
      <c r="C765"/>
      <c r="D765"/>
      <c r="E765"/>
      <c r="F765"/>
      <c r="G765"/>
      <c r="H765"/>
      <c r="I765"/>
    </row>
    <row r="766" spans="1:9" x14ac:dyDescent="0.25">
      <c r="A766"/>
      <c r="B766"/>
      <c r="C766"/>
      <c r="D766"/>
      <c r="E766"/>
      <c r="F766"/>
      <c r="G766"/>
      <c r="H766"/>
      <c r="I766"/>
    </row>
    <row r="767" spans="1:9" x14ac:dyDescent="0.25">
      <c r="A767"/>
      <c r="B767"/>
      <c r="C767"/>
      <c r="D767"/>
      <c r="E767"/>
      <c r="F767"/>
      <c r="G767"/>
      <c r="H767"/>
      <c r="I767"/>
    </row>
    <row r="768" spans="1:9" x14ac:dyDescent="0.25">
      <c r="A768"/>
      <c r="B768"/>
      <c r="C768"/>
      <c r="D768"/>
      <c r="E768"/>
      <c r="F768"/>
      <c r="G768"/>
      <c r="H768"/>
      <c r="I768"/>
    </row>
    <row r="769" spans="1:9" x14ac:dyDescent="0.25">
      <c r="A769"/>
      <c r="B769"/>
      <c r="C769"/>
      <c r="D769"/>
      <c r="E769"/>
      <c r="F769"/>
      <c r="G769"/>
      <c r="H769"/>
      <c r="I769"/>
    </row>
    <row r="770" spans="1:9" x14ac:dyDescent="0.25">
      <c r="A770"/>
      <c r="B770"/>
      <c r="C770"/>
      <c r="D770"/>
      <c r="E770"/>
      <c r="F770"/>
      <c r="G770"/>
      <c r="H770"/>
      <c r="I770"/>
    </row>
    <row r="771" spans="1:9" x14ac:dyDescent="0.25">
      <c r="A771"/>
      <c r="B771"/>
      <c r="C771"/>
      <c r="D771"/>
      <c r="E771"/>
      <c r="F771"/>
      <c r="G771"/>
      <c r="H771"/>
      <c r="I771"/>
    </row>
    <row r="772" spans="1:9" x14ac:dyDescent="0.25">
      <c r="A772"/>
      <c r="B772"/>
      <c r="C772"/>
      <c r="D772"/>
      <c r="E772"/>
      <c r="F772"/>
      <c r="G772"/>
      <c r="H772"/>
      <c r="I772"/>
    </row>
    <row r="773" spans="1:9" x14ac:dyDescent="0.25">
      <c r="A773"/>
      <c r="B773"/>
      <c r="C773"/>
      <c r="D773"/>
      <c r="E773"/>
      <c r="F773"/>
      <c r="G773"/>
      <c r="H773"/>
      <c r="I773"/>
    </row>
    <row r="774" spans="1:9" x14ac:dyDescent="0.25">
      <c r="A774"/>
      <c r="B774"/>
      <c r="C774"/>
      <c r="D774"/>
      <c r="E774"/>
      <c r="F774"/>
      <c r="G774"/>
      <c r="H774"/>
      <c r="I774"/>
    </row>
    <row r="775" spans="1:9" x14ac:dyDescent="0.25">
      <c r="A775"/>
      <c r="B775"/>
      <c r="C775"/>
      <c r="D775"/>
      <c r="E775"/>
      <c r="F775"/>
      <c r="G775"/>
      <c r="H775"/>
      <c r="I775"/>
    </row>
    <row r="776" spans="1:9" x14ac:dyDescent="0.25">
      <c r="A776"/>
      <c r="B776"/>
      <c r="C776"/>
      <c r="D776"/>
      <c r="E776"/>
      <c r="F776"/>
      <c r="G776"/>
      <c r="H776"/>
      <c r="I776"/>
    </row>
    <row r="777" spans="1:9" x14ac:dyDescent="0.25">
      <c r="A777"/>
      <c r="B777"/>
      <c r="C777"/>
      <c r="D777"/>
      <c r="E777"/>
      <c r="F777"/>
      <c r="G777"/>
      <c r="H777"/>
      <c r="I777"/>
    </row>
    <row r="778" spans="1:9" x14ac:dyDescent="0.25">
      <c r="A778"/>
      <c r="B778"/>
      <c r="C778"/>
      <c r="D778"/>
      <c r="E778"/>
      <c r="F778"/>
      <c r="G778"/>
      <c r="H778"/>
      <c r="I778"/>
    </row>
    <row r="779" spans="1:9" x14ac:dyDescent="0.25">
      <c r="A779"/>
      <c r="B779"/>
      <c r="C779"/>
      <c r="D779"/>
      <c r="E779"/>
      <c r="F779"/>
      <c r="G779"/>
      <c r="H779"/>
      <c r="I779"/>
    </row>
    <row r="780" spans="1:9" x14ac:dyDescent="0.25">
      <c r="A780"/>
      <c r="B780"/>
      <c r="C780"/>
      <c r="D780"/>
      <c r="E780"/>
      <c r="F780"/>
      <c r="G780"/>
      <c r="H780"/>
      <c r="I780"/>
    </row>
    <row r="781" spans="1:9" x14ac:dyDescent="0.25">
      <c r="A781"/>
      <c r="B781"/>
      <c r="C781"/>
      <c r="D781"/>
      <c r="E781"/>
      <c r="F781"/>
      <c r="G781"/>
      <c r="H781"/>
      <c r="I781"/>
    </row>
    <row r="782" spans="1:9" x14ac:dyDescent="0.25">
      <c r="A782"/>
      <c r="B782"/>
      <c r="C782"/>
      <c r="D782"/>
      <c r="E782"/>
      <c r="F782"/>
      <c r="G782"/>
      <c r="H782"/>
      <c r="I782"/>
    </row>
    <row r="783" spans="1:9" x14ac:dyDescent="0.25">
      <c r="A783"/>
      <c r="B783"/>
      <c r="C783"/>
      <c r="D783"/>
      <c r="E783"/>
      <c r="F783"/>
      <c r="G783"/>
      <c r="H783"/>
      <c r="I783"/>
    </row>
    <row r="784" spans="1:9" x14ac:dyDescent="0.25">
      <c r="A784"/>
      <c r="B784"/>
      <c r="C784"/>
      <c r="D784"/>
      <c r="E784"/>
      <c r="F784"/>
      <c r="G784"/>
      <c r="H784"/>
      <c r="I784"/>
    </row>
    <row r="785" spans="1:9" x14ac:dyDescent="0.25">
      <c r="A785"/>
      <c r="B785"/>
      <c r="C785"/>
      <c r="D785"/>
      <c r="E785"/>
      <c r="F785"/>
      <c r="G785"/>
      <c r="H785"/>
      <c r="I785"/>
    </row>
    <row r="786" spans="1:9" x14ac:dyDescent="0.25">
      <c r="A786"/>
      <c r="B786"/>
      <c r="C786"/>
      <c r="D786"/>
      <c r="E786"/>
      <c r="F786"/>
      <c r="G786"/>
      <c r="H786"/>
      <c r="I786"/>
    </row>
    <row r="787" spans="1:9" x14ac:dyDescent="0.25">
      <c r="A787"/>
      <c r="B787"/>
      <c r="C787"/>
      <c r="D787"/>
      <c r="E787"/>
      <c r="F787"/>
      <c r="G787"/>
      <c r="H787"/>
      <c r="I787"/>
    </row>
    <row r="788" spans="1:9" x14ac:dyDescent="0.25">
      <c r="A788"/>
      <c r="B788"/>
      <c r="C788"/>
      <c r="D788"/>
      <c r="E788"/>
      <c r="F788"/>
      <c r="G788"/>
      <c r="H788"/>
      <c r="I788"/>
    </row>
    <row r="789" spans="1:9" x14ac:dyDescent="0.25">
      <c r="A789"/>
      <c r="B789"/>
      <c r="C789"/>
      <c r="D789"/>
      <c r="E789"/>
      <c r="F789"/>
      <c r="G789"/>
      <c r="H789"/>
      <c r="I789"/>
    </row>
    <row r="790" spans="1:9" x14ac:dyDescent="0.25">
      <c r="A790"/>
      <c r="B790"/>
      <c r="C790"/>
      <c r="D790"/>
      <c r="E790"/>
      <c r="F790"/>
      <c r="G790"/>
      <c r="H790"/>
      <c r="I790"/>
    </row>
    <row r="791" spans="1:9" x14ac:dyDescent="0.25">
      <c r="A791"/>
      <c r="B791"/>
      <c r="C791"/>
      <c r="D791"/>
      <c r="E791"/>
      <c r="F791"/>
      <c r="G791"/>
      <c r="H791"/>
      <c r="I791"/>
    </row>
    <row r="792" spans="1:9" x14ac:dyDescent="0.25">
      <c r="A792"/>
      <c r="B792"/>
      <c r="C792"/>
      <c r="D792"/>
      <c r="E792"/>
      <c r="F792"/>
      <c r="G792"/>
      <c r="H792"/>
      <c r="I792"/>
    </row>
    <row r="793" spans="1:9" x14ac:dyDescent="0.25">
      <c r="A793"/>
      <c r="B793"/>
      <c r="C793"/>
      <c r="D793"/>
      <c r="E793"/>
      <c r="F793"/>
      <c r="G793"/>
      <c r="H793"/>
      <c r="I793"/>
    </row>
    <row r="794" spans="1:9" x14ac:dyDescent="0.25">
      <c r="A794"/>
      <c r="B794"/>
      <c r="C794"/>
      <c r="D794"/>
      <c r="E794"/>
      <c r="F794"/>
      <c r="G794"/>
      <c r="H794"/>
      <c r="I794"/>
    </row>
    <row r="795" spans="1:9" x14ac:dyDescent="0.25">
      <c r="A795"/>
      <c r="B795"/>
      <c r="C795"/>
      <c r="D795"/>
      <c r="E795"/>
      <c r="F795"/>
      <c r="G795"/>
      <c r="H795"/>
      <c r="I795"/>
    </row>
    <row r="796" spans="1:9" x14ac:dyDescent="0.25">
      <c r="A796"/>
      <c r="B796"/>
      <c r="C796"/>
      <c r="D796"/>
      <c r="E796"/>
      <c r="F796"/>
      <c r="G796"/>
      <c r="H796"/>
      <c r="I796"/>
    </row>
    <row r="797" spans="1:9" x14ac:dyDescent="0.25">
      <c r="A797"/>
      <c r="B797"/>
      <c r="C797"/>
      <c r="D797"/>
      <c r="E797"/>
      <c r="F797"/>
      <c r="G797"/>
      <c r="H797"/>
      <c r="I797"/>
    </row>
    <row r="798" spans="1:9" x14ac:dyDescent="0.25">
      <c r="A798"/>
      <c r="B798"/>
      <c r="C798"/>
      <c r="D798"/>
      <c r="E798"/>
      <c r="F798"/>
      <c r="G798"/>
      <c r="H798"/>
      <c r="I798"/>
    </row>
    <row r="799" spans="1:9" x14ac:dyDescent="0.25">
      <c r="A799"/>
      <c r="B799"/>
      <c r="C799"/>
      <c r="D799"/>
      <c r="E799"/>
      <c r="F799"/>
      <c r="G799"/>
      <c r="H799"/>
      <c r="I799"/>
    </row>
    <row r="800" spans="1:9" x14ac:dyDescent="0.25">
      <c r="A800"/>
      <c r="B800"/>
      <c r="C800"/>
      <c r="D800"/>
      <c r="E800"/>
      <c r="F800"/>
      <c r="G800"/>
      <c r="H800"/>
      <c r="I800"/>
    </row>
    <row r="801" spans="1:9" x14ac:dyDescent="0.25">
      <c r="A801"/>
      <c r="B801"/>
      <c r="C801"/>
      <c r="D801"/>
      <c r="E801"/>
      <c r="F801"/>
      <c r="G801"/>
      <c r="H801"/>
      <c r="I801"/>
    </row>
    <row r="802" spans="1:9" x14ac:dyDescent="0.25">
      <c r="A802"/>
      <c r="B802"/>
      <c r="C802"/>
      <c r="D802"/>
      <c r="E802"/>
      <c r="F802"/>
      <c r="G802"/>
      <c r="H802"/>
      <c r="I802"/>
    </row>
    <row r="803" spans="1:9" x14ac:dyDescent="0.25">
      <c r="A803"/>
      <c r="B803"/>
      <c r="C803"/>
      <c r="D803"/>
      <c r="E803"/>
      <c r="F803"/>
      <c r="G803"/>
      <c r="H803"/>
      <c r="I803"/>
    </row>
    <row r="804" spans="1:9" x14ac:dyDescent="0.25">
      <c r="A804"/>
      <c r="B804"/>
      <c r="C804"/>
      <c r="D804"/>
      <c r="E804"/>
      <c r="F804"/>
      <c r="G804"/>
      <c r="H804"/>
      <c r="I804"/>
    </row>
    <row r="805" spans="1:9" x14ac:dyDescent="0.25">
      <c r="A805"/>
      <c r="B805"/>
      <c r="C805"/>
      <c r="D805"/>
      <c r="E805"/>
      <c r="F805"/>
      <c r="G805"/>
      <c r="H805"/>
      <c r="I805"/>
    </row>
    <row r="806" spans="1:9" x14ac:dyDescent="0.25">
      <c r="A806"/>
      <c r="B806"/>
      <c r="C806"/>
      <c r="D806"/>
      <c r="E806"/>
      <c r="F806"/>
      <c r="G806"/>
      <c r="H806"/>
      <c r="I806"/>
    </row>
    <row r="807" spans="1:9" x14ac:dyDescent="0.25">
      <c r="A807"/>
      <c r="B807"/>
      <c r="C807"/>
      <c r="D807"/>
      <c r="E807"/>
      <c r="F807"/>
      <c r="G807"/>
      <c r="H807"/>
      <c r="I807"/>
    </row>
    <row r="808" spans="1:9" x14ac:dyDescent="0.25">
      <c r="A808"/>
      <c r="B808"/>
      <c r="C808"/>
      <c r="D808"/>
      <c r="E808"/>
      <c r="F808"/>
      <c r="G808"/>
      <c r="H808"/>
      <c r="I808"/>
    </row>
    <row r="809" spans="1:9" x14ac:dyDescent="0.25">
      <c r="A809"/>
      <c r="B809"/>
      <c r="C809"/>
      <c r="D809"/>
      <c r="E809"/>
      <c r="F809"/>
      <c r="G809"/>
      <c r="H809"/>
      <c r="I809"/>
    </row>
    <row r="810" spans="1:9" x14ac:dyDescent="0.25">
      <c r="A810"/>
      <c r="B810"/>
      <c r="C810"/>
      <c r="D810"/>
      <c r="E810"/>
      <c r="F810"/>
      <c r="G810"/>
      <c r="H810"/>
      <c r="I810"/>
    </row>
    <row r="811" spans="1:9" x14ac:dyDescent="0.25">
      <c r="A811"/>
      <c r="B811"/>
      <c r="C811"/>
      <c r="D811"/>
      <c r="E811"/>
      <c r="F811"/>
      <c r="G811"/>
      <c r="H811"/>
      <c r="I811"/>
    </row>
    <row r="812" spans="1:9" x14ac:dyDescent="0.25">
      <c r="A812"/>
      <c r="B812"/>
      <c r="C812"/>
      <c r="D812"/>
      <c r="E812"/>
      <c r="F812"/>
      <c r="G812"/>
      <c r="H812"/>
      <c r="I812"/>
    </row>
    <row r="813" spans="1:9" x14ac:dyDescent="0.25">
      <c r="A813"/>
      <c r="B813"/>
      <c r="C813"/>
      <c r="D813"/>
      <c r="E813"/>
      <c r="F813"/>
      <c r="G813"/>
      <c r="H813"/>
      <c r="I813"/>
    </row>
    <row r="814" spans="1:9" x14ac:dyDescent="0.25">
      <c r="A814"/>
      <c r="B814"/>
      <c r="C814"/>
      <c r="D814"/>
      <c r="E814"/>
      <c r="F814"/>
      <c r="G814"/>
      <c r="H814"/>
      <c r="I814"/>
    </row>
    <row r="815" spans="1:9" x14ac:dyDescent="0.25">
      <c r="A815"/>
      <c r="B815"/>
      <c r="C815"/>
      <c r="D815"/>
      <c r="E815"/>
      <c r="F815"/>
      <c r="G815"/>
      <c r="H815"/>
      <c r="I815"/>
    </row>
    <row r="816" spans="1:9" x14ac:dyDescent="0.25">
      <c r="A816"/>
      <c r="B816"/>
      <c r="C816"/>
      <c r="D816"/>
      <c r="E816"/>
      <c r="F816"/>
      <c r="G816"/>
      <c r="H816"/>
      <c r="I816"/>
    </row>
    <row r="817" spans="1:9" x14ac:dyDescent="0.25">
      <c r="A817"/>
      <c r="B817"/>
      <c r="C817"/>
      <c r="D817"/>
      <c r="E817"/>
      <c r="F817"/>
      <c r="G817"/>
      <c r="H817"/>
      <c r="I817"/>
    </row>
    <row r="818" spans="1:9" x14ac:dyDescent="0.25">
      <c r="A818"/>
      <c r="B818"/>
      <c r="C818"/>
      <c r="D818"/>
      <c r="E818"/>
      <c r="F818"/>
      <c r="G818"/>
      <c r="H818"/>
      <c r="I818"/>
    </row>
    <row r="819" spans="1:9" x14ac:dyDescent="0.25">
      <c r="A819"/>
      <c r="B819"/>
      <c r="C819"/>
      <c r="D819"/>
      <c r="E819"/>
      <c r="F819"/>
      <c r="G819"/>
      <c r="H819"/>
      <c r="I819"/>
    </row>
    <row r="820" spans="1:9" x14ac:dyDescent="0.25">
      <c r="A820"/>
      <c r="B820"/>
      <c r="C820"/>
      <c r="D820"/>
      <c r="E820"/>
      <c r="F820"/>
      <c r="G820"/>
      <c r="H820"/>
      <c r="I820"/>
    </row>
    <row r="821" spans="1:9" x14ac:dyDescent="0.25">
      <c r="A821"/>
      <c r="B821"/>
      <c r="C821"/>
      <c r="D821"/>
      <c r="E821"/>
      <c r="F821"/>
      <c r="G821"/>
      <c r="H821"/>
      <c r="I821"/>
    </row>
    <row r="822" spans="1:9" x14ac:dyDescent="0.25">
      <c r="A822"/>
      <c r="B822"/>
      <c r="C822"/>
      <c r="D822"/>
      <c r="E822"/>
      <c r="F822"/>
      <c r="G822"/>
      <c r="H822"/>
      <c r="I822"/>
    </row>
    <row r="823" spans="1:9" x14ac:dyDescent="0.25">
      <c r="A823"/>
      <c r="B823"/>
      <c r="C823"/>
      <c r="D823"/>
      <c r="E823"/>
      <c r="F823"/>
      <c r="G823"/>
      <c r="H823"/>
      <c r="I823"/>
    </row>
    <row r="824" spans="1:9" x14ac:dyDescent="0.25">
      <c r="A824"/>
      <c r="B824"/>
      <c r="C824"/>
      <c r="D824"/>
      <c r="E824"/>
      <c r="F824"/>
      <c r="G824"/>
      <c r="H824"/>
      <c r="I824"/>
    </row>
    <row r="825" spans="1:9" x14ac:dyDescent="0.25">
      <c r="A825"/>
      <c r="B825"/>
      <c r="C825"/>
      <c r="D825"/>
      <c r="E825"/>
      <c r="F825"/>
      <c r="G825"/>
      <c r="H825"/>
      <c r="I825"/>
    </row>
    <row r="826" spans="1:9" x14ac:dyDescent="0.25">
      <c r="A826"/>
      <c r="B826"/>
      <c r="C826"/>
      <c r="D826"/>
      <c r="E826"/>
      <c r="F826"/>
      <c r="G826"/>
      <c r="H826"/>
      <c r="I826"/>
    </row>
    <row r="827" spans="1:9" x14ac:dyDescent="0.25">
      <c r="A827"/>
      <c r="B827"/>
      <c r="C827"/>
      <c r="D827"/>
      <c r="E827"/>
      <c r="F827"/>
      <c r="G827"/>
      <c r="H827"/>
      <c r="I827"/>
    </row>
    <row r="828" spans="1:9" x14ac:dyDescent="0.25">
      <c r="A828"/>
      <c r="B828"/>
      <c r="C828"/>
      <c r="D828"/>
      <c r="E828"/>
      <c r="F828"/>
      <c r="G828"/>
      <c r="H828"/>
      <c r="I828"/>
    </row>
    <row r="829" spans="1:9" x14ac:dyDescent="0.25">
      <c r="A829"/>
      <c r="B829"/>
      <c r="C829"/>
      <c r="D829"/>
      <c r="E829"/>
      <c r="F829"/>
      <c r="G829"/>
      <c r="H829"/>
      <c r="I829"/>
    </row>
    <row r="830" spans="1:9" x14ac:dyDescent="0.25">
      <c r="A830"/>
      <c r="B830"/>
      <c r="C830"/>
      <c r="D830"/>
      <c r="E830"/>
      <c r="F830"/>
      <c r="G830"/>
      <c r="H830"/>
      <c r="I830"/>
    </row>
    <row r="831" spans="1:9" x14ac:dyDescent="0.25">
      <c r="A831"/>
      <c r="B831"/>
      <c r="C831"/>
      <c r="D831"/>
      <c r="E831"/>
      <c r="F831"/>
      <c r="G831"/>
      <c r="H831"/>
      <c r="I831"/>
    </row>
    <row r="832" spans="1:9" x14ac:dyDescent="0.25">
      <c r="A832"/>
      <c r="B832"/>
      <c r="C832"/>
      <c r="D832"/>
      <c r="E832"/>
      <c r="F832"/>
      <c r="G832"/>
      <c r="H832"/>
      <c r="I832"/>
    </row>
    <row r="833" spans="1:9" x14ac:dyDescent="0.25">
      <c r="A833"/>
      <c r="B833"/>
      <c r="C833"/>
      <c r="D833"/>
      <c r="E833"/>
      <c r="F833"/>
      <c r="G833"/>
      <c r="H833"/>
      <c r="I833"/>
    </row>
    <row r="834" spans="1:9" x14ac:dyDescent="0.25">
      <c r="A834"/>
      <c r="B834"/>
      <c r="C834"/>
      <c r="D834"/>
      <c r="E834"/>
      <c r="F834"/>
      <c r="G834"/>
      <c r="H834"/>
      <c r="I834"/>
    </row>
    <row r="835" spans="1:9" x14ac:dyDescent="0.25">
      <c r="A835"/>
      <c r="B835"/>
      <c r="C835"/>
      <c r="D835"/>
      <c r="E835"/>
      <c r="F835"/>
      <c r="G835"/>
      <c r="H835"/>
      <c r="I835"/>
    </row>
    <row r="836" spans="1:9" x14ac:dyDescent="0.25">
      <c r="A836"/>
      <c r="B836"/>
      <c r="C836"/>
      <c r="D836"/>
      <c r="E836"/>
      <c r="F836"/>
      <c r="G836"/>
      <c r="H836"/>
      <c r="I836"/>
    </row>
    <row r="837" spans="1:9" x14ac:dyDescent="0.25">
      <c r="A837"/>
      <c r="B837"/>
      <c r="C837"/>
      <c r="D837"/>
      <c r="E837"/>
      <c r="F837"/>
      <c r="G837"/>
      <c r="H837"/>
      <c r="I837"/>
    </row>
    <row r="838" spans="1:9" x14ac:dyDescent="0.25">
      <c r="A838"/>
      <c r="B838"/>
      <c r="C838"/>
      <c r="D838"/>
      <c r="E838"/>
      <c r="F838"/>
      <c r="G838"/>
      <c r="H838"/>
      <c r="I838"/>
    </row>
    <row r="839" spans="1:9" x14ac:dyDescent="0.25">
      <c r="A839"/>
      <c r="B839"/>
      <c r="C839"/>
      <c r="D839"/>
      <c r="E839"/>
      <c r="F839"/>
      <c r="G839"/>
      <c r="H839"/>
      <c r="I839"/>
    </row>
    <row r="840" spans="1:9" x14ac:dyDescent="0.25">
      <c r="A840"/>
      <c r="B840"/>
      <c r="C840"/>
      <c r="D840"/>
      <c r="E840"/>
      <c r="F840"/>
      <c r="G840"/>
      <c r="H840"/>
      <c r="I840"/>
    </row>
    <row r="841" spans="1:9" x14ac:dyDescent="0.25">
      <c r="A841"/>
      <c r="B841"/>
      <c r="C841"/>
      <c r="D841"/>
      <c r="E841"/>
      <c r="F841"/>
      <c r="G841"/>
      <c r="H841"/>
      <c r="I841"/>
    </row>
    <row r="842" spans="1:9" x14ac:dyDescent="0.25">
      <c r="A842"/>
      <c r="B842"/>
      <c r="C842"/>
      <c r="D842"/>
      <c r="E842"/>
      <c r="F842"/>
      <c r="G842"/>
      <c r="H842"/>
      <c r="I842"/>
    </row>
    <row r="843" spans="1:9" x14ac:dyDescent="0.25">
      <c r="A843"/>
      <c r="B843"/>
      <c r="C843"/>
      <c r="D843"/>
      <c r="E843"/>
      <c r="F843"/>
      <c r="G843"/>
      <c r="H843"/>
      <c r="I843"/>
    </row>
    <row r="844" spans="1:9" x14ac:dyDescent="0.25">
      <c r="A844"/>
      <c r="B844"/>
      <c r="C844"/>
      <c r="D844"/>
      <c r="E844"/>
      <c r="F844"/>
      <c r="G844"/>
      <c r="H844"/>
      <c r="I844"/>
    </row>
    <row r="845" spans="1:9" x14ac:dyDescent="0.25">
      <c r="A845"/>
      <c r="B845"/>
      <c r="C845"/>
      <c r="D845"/>
      <c r="E845"/>
      <c r="F845"/>
      <c r="G845"/>
      <c r="H845"/>
      <c r="I845"/>
    </row>
    <row r="846" spans="1:9" x14ac:dyDescent="0.25">
      <c r="A846"/>
      <c r="B846"/>
      <c r="C846"/>
      <c r="D846"/>
      <c r="E846"/>
      <c r="F846"/>
      <c r="G846"/>
      <c r="H846"/>
      <c r="I846"/>
    </row>
    <row r="847" spans="1:9" x14ac:dyDescent="0.25">
      <c r="A847"/>
      <c r="B847"/>
      <c r="C847"/>
      <c r="D847"/>
      <c r="E847"/>
      <c r="F847"/>
      <c r="G847"/>
      <c r="H847"/>
      <c r="I847"/>
    </row>
    <row r="848" spans="1:9" x14ac:dyDescent="0.25">
      <c r="A848"/>
      <c r="B848"/>
      <c r="C848"/>
      <c r="D848"/>
      <c r="E848"/>
      <c r="F848"/>
      <c r="G848"/>
      <c r="H848"/>
      <c r="I848"/>
    </row>
    <row r="849" spans="1:9" x14ac:dyDescent="0.25">
      <c r="A849"/>
      <c r="B849"/>
      <c r="C849"/>
      <c r="D849"/>
      <c r="E849"/>
      <c r="F849"/>
      <c r="G849"/>
      <c r="H849"/>
      <c r="I849"/>
    </row>
    <row r="850" spans="1:9" x14ac:dyDescent="0.25">
      <c r="A850"/>
      <c r="B850"/>
      <c r="C850"/>
      <c r="D850"/>
      <c r="E850"/>
      <c r="F850"/>
      <c r="G850"/>
      <c r="H850"/>
      <c r="I850"/>
    </row>
    <row r="851" spans="1:9" x14ac:dyDescent="0.25">
      <c r="A851"/>
      <c r="B851"/>
      <c r="C851"/>
      <c r="D851"/>
      <c r="E851"/>
      <c r="F851"/>
      <c r="G851"/>
      <c r="H851"/>
      <c r="I851"/>
    </row>
    <row r="852" spans="1:9" x14ac:dyDescent="0.25">
      <c r="A852"/>
      <c r="B852"/>
      <c r="C852"/>
      <c r="D852"/>
      <c r="E852"/>
      <c r="F852"/>
      <c r="G852"/>
      <c r="H852"/>
      <c r="I852"/>
    </row>
    <row r="853" spans="1:9" x14ac:dyDescent="0.25">
      <c r="A853"/>
      <c r="B853"/>
      <c r="C853"/>
      <c r="D853"/>
      <c r="E853"/>
      <c r="F853"/>
      <c r="G853"/>
      <c r="H853"/>
      <c r="I853"/>
    </row>
    <row r="854" spans="1:9" x14ac:dyDescent="0.25">
      <c r="A854"/>
      <c r="B854"/>
      <c r="C854"/>
      <c r="D854"/>
      <c r="E854"/>
      <c r="F854"/>
      <c r="G854"/>
      <c r="H854"/>
      <c r="I854"/>
    </row>
    <row r="855" spans="1:9" x14ac:dyDescent="0.25">
      <c r="A855"/>
      <c r="B855"/>
      <c r="C855"/>
      <c r="D855"/>
      <c r="E855"/>
      <c r="F855"/>
      <c r="G855"/>
      <c r="H855"/>
      <c r="I855"/>
    </row>
    <row r="856" spans="1:9" x14ac:dyDescent="0.25">
      <c r="A856"/>
      <c r="B856"/>
      <c r="C856"/>
      <c r="D856"/>
      <c r="E856"/>
      <c r="F856"/>
      <c r="G856"/>
      <c r="H856"/>
      <c r="I856"/>
    </row>
    <row r="857" spans="1:9" x14ac:dyDescent="0.25">
      <c r="A857"/>
      <c r="B857"/>
      <c r="C857"/>
      <c r="D857"/>
      <c r="E857"/>
      <c r="F857"/>
      <c r="G857"/>
      <c r="H857"/>
      <c r="I857"/>
    </row>
    <row r="858" spans="1:9" x14ac:dyDescent="0.25">
      <c r="A858"/>
      <c r="B858"/>
      <c r="C858"/>
      <c r="D858"/>
      <c r="E858"/>
      <c r="F858"/>
      <c r="G858"/>
      <c r="H858"/>
      <c r="I858"/>
    </row>
    <row r="859" spans="1:9" x14ac:dyDescent="0.25">
      <c r="A859"/>
      <c r="B859"/>
      <c r="C859"/>
      <c r="D859"/>
      <c r="E859"/>
      <c r="F859"/>
      <c r="G859"/>
      <c r="H859"/>
      <c r="I859"/>
    </row>
    <row r="860" spans="1:9" x14ac:dyDescent="0.25">
      <c r="A860"/>
      <c r="B860"/>
      <c r="C860"/>
      <c r="D860"/>
      <c r="E860"/>
      <c r="F860"/>
      <c r="G860"/>
      <c r="H860"/>
      <c r="I860"/>
    </row>
    <row r="861" spans="1:9" x14ac:dyDescent="0.25">
      <c r="A861"/>
      <c r="B861"/>
      <c r="C861"/>
      <c r="D861"/>
      <c r="E861"/>
      <c r="F861"/>
      <c r="G861"/>
      <c r="H861"/>
      <c r="I861"/>
    </row>
    <row r="862" spans="1:9" x14ac:dyDescent="0.25">
      <c r="A862"/>
      <c r="B862"/>
      <c r="C862"/>
      <c r="D862"/>
      <c r="E862"/>
      <c r="F862"/>
      <c r="G862"/>
      <c r="H862"/>
      <c r="I862"/>
    </row>
    <row r="863" spans="1:9" x14ac:dyDescent="0.25">
      <c r="A863"/>
      <c r="B863"/>
      <c r="C863"/>
      <c r="D863"/>
      <c r="E863"/>
      <c r="F863"/>
      <c r="G863"/>
      <c r="H863"/>
      <c r="I863"/>
    </row>
    <row r="864" spans="1:9" x14ac:dyDescent="0.25">
      <c r="A864"/>
      <c r="B864"/>
      <c r="C864"/>
      <c r="D864"/>
      <c r="E864"/>
      <c r="F864"/>
      <c r="G864"/>
      <c r="H864"/>
      <c r="I864"/>
    </row>
    <row r="865" spans="1:9" x14ac:dyDescent="0.25">
      <c r="A865"/>
      <c r="B865"/>
      <c r="C865"/>
      <c r="D865"/>
      <c r="E865"/>
      <c r="F865"/>
      <c r="G865"/>
      <c r="H865"/>
      <c r="I865"/>
    </row>
    <row r="866" spans="1:9" x14ac:dyDescent="0.25">
      <c r="A866"/>
      <c r="B866"/>
      <c r="C866"/>
      <c r="D866"/>
      <c r="E866"/>
      <c r="F866"/>
      <c r="G866"/>
      <c r="H866"/>
      <c r="I866"/>
    </row>
    <row r="867" spans="1:9" x14ac:dyDescent="0.25">
      <c r="A867"/>
      <c r="B867"/>
      <c r="C867"/>
      <c r="D867"/>
      <c r="E867"/>
      <c r="F867"/>
      <c r="G867"/>
      <c r="H867"/>
      <c r="I867"/>
    </row>
    <row r="868" spans="1:9" x14ac:dyDescent="0.25">
      <c r="A868"/>
      <c r="B868"/>
      <c r="C868"/>
      <c r="D868"/>
      <c r="E868"/>
      <c r="F868"/>
      <c r="G868"/>
      <c r="H868"/>
      <c r="I868"/>
    </row>
    <row r="869" spans="1:9" x14ac:dyDescent="0.25">
      <c r="A869"/>
      <c r="B869"/>
      <c r="C869"/>
      <c r="D869"/>
      <c r="E869"/>
      <c r="F869"/>
      <c r="G869"/>
      <c r="H869"/>
      <c r="I869"/>
    </row>
    <row r="870" spans="1:9" x14ac:dyDescent="0.25">
      <c r="A870"/>
      <c r="B870"/>
      <c r="C870"/>
      <c r="D870"/>
      <c r="E870"/>
      <c r="F870"/>
      <c r="G870"/>
      <c r="H870"/>
      <c r="I870"/>
    </row>
    <row r="871" spans="1:9" x14ac:dyDescent="0.25">
      <c r="A871"/>
      <c r="B871"/>
      <c r="C871"/>
      <c r="D871"/>
      <c r="E871"/>
      <c r="F871"/>
      <c r="G871"/>
      <c r="H871"/>
      <c r="I871"/>
    </row>
    <row r="872" spans="1:9" x14ac:dyDescent="0.25">
      <c r="A872"/>
      <c r="B872"/>
      <c r="C872"/>
      <c r="D872"/>
      <c r="E872"/>
      <c r="F872"/>
      <c r="G872"/>
      <c r="H872"/>
      <c r="I872"/>
    </row>
    <row r="873" spans="1:9" x14ac:dyDescent="0.25">
      <c r="A873"/>
      <c r="B873"/>
      <c r="C873"/>
      <c r="D873"/>
      <c r="E873"/>
      <c r="F873"/>
      <c r="G873"/>
      <c r="H873"/>
      <c r="I873"/>
    </row>
    <row r="874" spans="1:9" x14ac:dyDescent="0.25">
      <c r="A874"/>
      <c r="B874"/>
      <c r="C874"/>
      <c r="D874"/>
      <c r="E874"/>
      <c r="F874"/>
      <c r="G874"/>
      <c r="H874"/>
      <c r="I874"/>
    </row>
    <row r="875" spans="1:9" x14ac:dyDescent="0.25">
      <c r="A875"/>
      <c r="B875"/>
      <c r="C875"/>
      <c r="D875"/>
      <c r="E875"/>
      <c r="F875"/>
      <c r="G875"/>
      <c r="H875"/>
      <c r="I875"/>
    </row>
    <row r="876" spans="1:9" x14ac:dyDescent="0.25">
      <c r="A876"/>
      <c r="B876"/>
      <c r="C876"/>
      <c r="D876"/>
      <c r="E876"/>
      <c r="F876"/>
      <c r="G876"/>
      <c r="H876"/>
      <c r="I876"/>
    </row>
    <row r="877" spans="1:9" x14ac:dyDescent="0.25">
      <c r="A877"/>
      <c r="B877"/>
      <c r="C877"/>
      <c r="D877"/>
      <c r="E877"/>
      <c r="F877"/>
      <c r="G877"/>
      <c r="H877"/>
      <c r="I877"/>
    </row>
  </sheetData>
  <printOptions horizontalCentered="1"/>
  <pageMargins left="0.25" right="0.25" top="0.75" bottom="0.75" header="0.3" footer="0.3"/>
  <pageSetup paperSize="9" scale="64" fitToHeight="3" orientation="portrait" r:id="rId2"/>
  <drawing r:id="rId3"/>
  <extLst>
    <ext xmlns:x14="http://schemas.microsoft.com/office/spreadsheetml/2009/9/main" uri="{A8765BA9-456A-4dab-B4F3-ACF838C121DE}">
      <x14:slicerList>
        <x14:slicer r:id="rId4"/>
      </x14:slicerList>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9C351-FD90-4772-B15A-3EB40EF44CE7}">
  <sheetPr>
    <pageSetUpPr fitToPage="1"/>
  </sheetPr>
  <dimension ref="A9:N877"/>
  <sheetViews>
    <sheetView showGridLines="0" view="pageBreakPreview" topLeftCell="A30" zoomScale="85" zoomScaleNormal="100" zoomScaleSheetLayoutView="85" workbookViewId="0">
      <selection activeCell="J43" sqref="J43"/>
    </sheetView>
  </sheetViews>
  <sheetFormatPr defaultRowHeight="15" x14ac:dyDescent="0.25"/>
  <cols>
    <col min="1" max="1" width="13.28515625" style="79" bestFit="1" customWidth="1"/>
    <col min="2" max="2" width="16.140625" style="191" bestFit="1" customWidth="1"/>
    <col min="3" max="4" width="11.5703125" style="192" bestFit="1" customWidth="1"/>
    <col min="5" max="5" width="10.5703125" style="192" bestFit="1" customWidth="1"/>
    <col min="6" max="6" width="13.5703125" style="79" bestFit="1" customWidth="1"/>
    <col min="7" max="7" width="18.28515625" style="192" bestFit="1" customWidth="1"/>
    <col min="8" max="8" width="13.28515625" style="192" bestFit="1" customWidth="1"/>
    <col min="9" max="9" width="16.42578125" style="79" bestFit="1" customWidth="1"/>
    <col min="10" max="10" width="28.85546875" style="79" bestFit="1" customWidth="1"/>
    <col min="11" max="13" width="9.140625" style="79"/>
    <col min="14" max="14" width="24.7109375" style="79" bestFit="1" customWidth="1"/>
    <col min="15" max="16384" width="9.140625" style="79"/>
  </cols>
  <sheetData>
    <row r="9" spans="14:14" x14ac:dyDescent="0.25">
      <c r="N9" s="79" t="s">
        <v>1177</v>
      </c>
    </row>
    <row r="10" spans="14:14" x14ac:dyDescent="0.25">
      <c r="N10" s="79" t="s">
        <v>1169</v>
      </c>
    </row>
    <row r="11" spans="14:14" x14ac:dyDescent="0.25">
      <c r="N11" s="79">
        <f>COUNT(B18:B162)</f>
        <v>25</v>
      </c>
    </row>
    <row r="12" spans="14:14" x14ac:dyDescent="0.25">
      <c r="N12" s="79" t="s">
        <v>1164</v>
      </c>
    </row>
    <row r="13" spans="14:14" x14ac:dyDescent="0.25">
      <c r="N13" s="79" t="s">
        <v>1301</v>
      </c>
    </row>
    <row r="14" spans="14:14" x14ac:dyDescent="0.25">
      <c r="N14" s="226">
        <f>GETPIVOTDATA("Sum of TOTAL UNIT VALUE (SEMI FINISHED)",'PROJECT SUMMARY DASH'!$A$1,"SELLING PHASE NAME","R 10")</f>
        <v>251608685.96671501</v>
      </c>
    </row>
    <row r="18" spans="1:10" s="160" customFormat="1" ht="60" x14ac:dyDescent="0.25">
      <c r="A18" s="160" t="s">
        <v>733</v>
      </c>
      <c r="B18" s="160" t="s">
        <v>1303</v>
      </c>
      <c r="C18" s="160" t="s">
        <v>713</v>
      </c>
      <c r="D18" s="160" t="s">
        <v>1302</v>
      </c>
      <c r="E18" s="225" t="s">
        <v>1151</v>
      </c>
      <c r="F18" s="225" t="s">
        <v>1152</v>
      </c>
      <c r="G18" s="160" t="s">
        <v>1298</v>
      </c>
      <c r="H18" s="160" t="s">
        <v>1299</v>
      </c>
      <c r="I18" s="160" t="s">
        <v>1300</v>
      </c>
      <c r="J18" s="290" t="str">
        <f>Table1[[#Headers],[NO. OF BEDROOMS]]</f>
        <v>NO. OF BEDROOMS</v>
      </c>
    </row>
    <row r="19" spans="1:10" x14ac:dyDescent="0.25">
      <c r="A19" s="121" t="s">
        <v>739</v>
      </c>
      <c r="B19" s="191">
        <v>60753</v>
      </c>
      <c r="C19" s="191">
        <v>112</v>
      </c>
      <c r="D19" s="191"/>
      <c r="E19" s="122">
        <v>0</v>
      </c>
      <c r="F19" s="122">
        <v>578368.56000000006</v>
      </c>
      <c r="G19" s="122">
        <v>7068336</v>
      </c>
      <c r="H19" s="122">
        <v>7572336</v>
      </c>
      <c r="I19" s="122">
        <v>7908336</v>
      </c>
      <c r="J19" s="79" t="str">
        <f>VLOOKUP(A19,Table1[[Unit Number]:[NO. OF BEDROOMS]],2,FALSE)</f>
        <v>2 BEDROOM</v>
      </c>
    </row>
    <row r="20" spans="1:10" x14ac:dyDescent="0.25">
      <c r="A20" s="121" t="s">
        <v>748</v>
      </c>
      <c r="B20" s="191">
        <v>60753</v>
      </c>
      <c r="C20" s="191">
        <v>112</v>
      </c>
      <c r="D20" s="191"/>
      <c r="E20" s="122">
        <v>0</v>
      </c>
      <c r="F20" s="122">
        <v>578368.56000000006</v>
      </c>
      <c r="G20" s="122">
        <v>7068336</v>
      </c>
      <c r="H20" s="122">
        <v>7572336</v>
      </c>
      <c r="I20" s="122">
        <v>7908336</v>
      </c>
      <c r="J20" s="79" t="str">
        <f>VLOOKUP(A20,Table1[[Unit Number]:[NO. OF BEDROOMS]],2,FALSE)</f>
        <v>2 BEDROOM</v>
      </c>
    </row>
    <row r="21" spans="1:10" x14ac:dyDescent="0.25">
      <c r="A21" s="121" t="s">
        <v>749</v>
      </c>
      <c r="B21" s="191">
        <v>60753</v>
      </c>
      <c r="C21" s="191">
        <v>122</v>
      </c>
      <c r="D21" s="191"/>
      <c r="E21" s="122">
        <v>0</v>
      </c>
      <c r="F21" s="122">
        <v>630008.6100000001</v>
      </c>
      <c r="G21" s="122">
        <v>7675866</v>
      </c>
      <c r="H21" s="122">
        <v>8224866</v>
      </c>
      <c r="I21" s="122">
        <v>8590866</v>
      </c>
      <c r="J21" s="79" t="str">
        <f>VLOOKUP(A21,Table1[[Unit Number]:[NO. OF BEDROOMS]],2,FALSE)</f>
        <v>2 BEDROOM</v>
      </c>
    </row>
    <row r="22" spans="1:10" x14ac:dyDescent="0.25">
      <c r="A22" s="121" t="s">
        <v>269</v>
      </c>
      <c r="B22" s="191">
        <v>59169</v>
      </c>
      <c r="C22" s="191">
        <v>110</v>
      </c>
      <c r="D22" s="191"/>
      <c r="E22" s="122">
        <v>0</v>
      </c>
      <c r="F22" s="122">
        <v>553230.15</v>
      </c>
      <c r="G22" s="122">
        <v>6772590</v>
      </c>
      <c r="H22" s="122">
        <v>7267590</v>
      </c>
      <c r="I22" s="122">
        <v>7597590</v>
      </c>
      <c r="J22" s="79" t="str">
        <f>VLOOKUP(A22,Table1[[Unit Number]:[NO. OF BEDROOMS]],2,FALSE)</f>
        <v>2 BEDROOM</v>
      </c>
    </row>
    <row r="23" spans="1:10" x14ac:dyDescent="0.25">
      <c r="A23" s="121" t="s">
        <v>277</v>
      </c>
      <c r="B23" s="191">
        <v>59103</v>
      </c>
      <c r="C23" s="191">
        <v>111</v>
      </c>
      <c r="D23" s="191"/>
      <c r="E23" s="122">
        <v>0</v>
      </c>
      <c r="F23" s="122">
        <v>557636.80500000005</v>
      </c>
      <c r="G23" s="122">
        <v>6824433</v>
      </c>
      <c r="H23" s="122">
        <v>7323933</v>
      </c>
      <c r="I23" s="122">
        <v>7656933</v>
      </c>
      <c r="J23" s="79" t="str">
        <f>VLOOKUP(A23,Table1[[Unit Number]:[NO. OF BEDROOMS]],2,FALSE)</f>
        <v>2 BEDROOM</v>
      </c>
    </row>
    <row r="24" spans="1:10" x14ac:dyDescent="0.25">
      <c r="A24" s="121" t="s">
        <v>359</v>
      </c>
      <c r="B24" s="191">
        <v>59103</v>
      </c>
      <c r="C24" s="191">
        <v>136</v>
      </c>
      <c r="D24" s="191"/>
      <c r="E24" s="122">
        <v>0</v>
      </c>
      <c r="F24" s="122">
        <v>683230.68</v>
      </c>
      <c r="G24" s="122">
        <v>8302008</v>
      </c>
      <c r="H24" s="122">
        <v>8914008</v>
      </c>
      <c r="I24" s="122">
        <v>9322008</v>
      </c>
      <c r="J24" s="79" t="str">
        <f>VLOOKUP(A24,Table1[[Unit Number]:[NO. OF BEDROOMS]],2,FALSE)</f>
        <v>2 BEDROOM</v>
      </c>
    </row>
    <row r="25" spans="1:10" x14ac:dyDescent="0.25">
      <c r="A25" s="121" t="s">
        <v>801</v>
      </c>
      <c r="B25" s="191">
        <v>60753</v>
      </c>
      <c r="C25" s="191">
        <v>176</v>
      </c>
      <c r="D25" s="191">
        <v>50.369199999999999</v>
      </c>
      <c r="E25" s="122">
        <v>1009826.402508</v>
      </c>
      <c r="F25" s="122">
        <v>994700.12421318004</v>
      </c>
      <c r="G25" s="122">
        <v>11966354.402508</v>
      </c>
      <c r="H25" s="122">
        <v>12758354.402508</v>
      </c>
      <c r="I25" s="122">
        <v>13286354.402508</v>
      </c>
      <c r="J25" s="79" t="str">
        <f>VLOOKUP(A25,Table1[[Unit Number]:[NO. OF BEDROOMS]],2,FALSE)</f>
        <v>3 BEDROOM</v>
      </c>
    </row>
    <row r="26" spans="1:10" x14ac:dyDescent="0.25">
      <c r="A26" s="121" t="s">
        <v>802</v>
      </c>
      <c r="B26" s="191">
        <v>60753</v>
      </c>
      <c r="C26" s="191">
        <v>224</v>
      </c>
      <c r="D26" s="191">
        <v>61.522199999999998</v>
      </c>
      <c r="E26" s="122">
        <v>1233427.211478</v>
      </c>
      <c r="F26" s="122">
        <v>1261578.43297563</v>
      </c>
      <c r="G26" s="122">
        <v>15106099.211478001</v>
      </c>
      <c r="H26" s="122">
        <v>16114099.211478001</v>
      </c>
      <c r="I26" s="122">
        <v>16786099.211477999</v>
      </c>
      <c r="J26" s="79" t="str">
        <f>VLOOKUP(A26,Table1[[Unit Number]:[NO. OF BEDROOMS]],2,FALSE)</f>
        <v>3 BEDROOM + LIVING</v>
      </c>
    </row>
    <row r="27" spans="1:10" x14ac:dyDescent="0.25">
      <c r="A27" s="121" t="s">
        <v>811</v>
      </c>
      <c r="B27" s="191">
        <v>61941</v>
      </c>
      <c r="C27" s="191">
        <v>224</v>
      </c>
      <c r="D27" s="191"/>
      <c r="E27" s="122">
        <v>0</v>
      </c>
      <c r="F27" s="122">
        <v>1179356.6400000001</v>
      </c>
      <c r="G27" s="122">
        <v>14138784</v>
      </c>
      <c r="H27" s="122">
        <v>15146784</v>
      </c>
      <c r="I27" s="122">
        <v>15818784</v>
      </c>
      <c r="J27" s="79" t="str">
        <f>VLOOKUP(A27,Table1[[Unit Number]:[NO. OF BEDROOMS]],2,FALSE)</f>
        <v>3 BEDROOM + LIVING</v>
      </c>
    </row>
    <row r="28" spans="1:10" x14ac:dyDescent="0.25">
      <c r="A28" s="121" t="s">
        <v>391</v>
      </c>
      <c r="B28" s="191">
        <v>59169</v>
      </c>
      <c r="C28" s="191">
        <v>176</v>
      </c>
      <c r="D28" s="191"/>
      <c r="E28" s="122">
        <v>0</v>
      </c>
      <c r="F28" s="122">
        <v>885168.24000000011</v>
      </c>
      <c r="G28" s="122">
        <v>10677744</v>
      </c>
      <c r="H28" s="122">
        <v>11469744</v>
      </c>
      <c r="I28" s="122">
        <v>11997744</v>
      </c>
      <c r="J28" s="79" t="str">
        <f>VLOOKUP(A28,Table1[[Unit Number]:[NO. OF BEDROOMS]],2,FALSE)</f>
        <v>3 BEDROOM</v>
      </c>
    </row>
    <row r="29" spans="1:10" x14ac:dyDescent="0.25">
      <c r="A29" s="121" t="s">
        <v>867</v>
      </c>
      <c r="B29" s="191">
        <v>61908</v>
      </c>
      <c r="C29" s="191">
        <v>160</v>
      </c>
      <c r="D29" s="191"/>
      <c r="E29" s="122">
        <v>0</v>
      </c>
      <c r="F29" s="122">
        <v>841948.8</v>
      </c>
      <c r="G29" s="122">
        <v>10169280</v>
      </c>
      <c r="H29" s="122">
        <v>10889280</v>
      </c>
      <c r="I29" s="122">
        <v>11369280</v>
      </c>
      <c r="J29" s="79" t="str">
        <f>VLOOKUP(A29,Table1[[Unit Number]:[NO. OF BEDROOMS]],2,FALSE)</f>
        <v>3 BEDROOM</v>
      </c>
    </row>
    <row r="30" spans="1:10" x14ac:dyDescent="0.25">
      <c r="A30" s="121" t="s">
        <v>868</v>
      </c>
      <c r="B30" s="191">
        <v>61974</v>
      </c>
      <c r="C30" s="191">
        <v>155</v>
      </c>
      <c r="D30" s="191"/>
      <c r="E30" s="122">
        <v>0</v>
      </c>
      <c r="F30" s="122">
        <v>816507.45000000007</v>
      </c>
      <c r="G30" s="122">
        <v>9869970</v>
      </c>
      <c r="H30" s="122">
        <v>10567470</v>
      </c>
      <c r="I30" s="122">
        <v>11032470</v>
      </c>
      <c r="J30" s="79" t="str">
        <f>VLOOKUP(A30,Table1[[Unit Number]:[NO. OF BEDROOMS]],2,FALSE)</f>
        <v>3 BEDROOM</v>
      </c>
    </row>
    <row r="31" spans="1:10" x14ac:dyDescent="0.25">
      <c r="A31" s="121" t="s">
        <v>448</v>
      </c>
      <c r="B31" s="191">
        <v>59169</v>
      </c>
      <c r="C31" s="191">
        <v>160</v>
      </c>
      <c r="D31" s="191"/>
      <c r="E31" s="122">
        <v>0</v>
      </c>
      <c r="F31" s="122">
        <v>804698.4</v>
      </c>
      <c r="G31" s="122">
        <v>9731040</v>
      </c>
      <c r="H31" s="122">
        <v>10451040</v>
      </c>
      <c r="I31" s="122">
        <v>10931040</v>
      </c>
      <c r="J31" s="79" t="str">
        <f>VLOOKUP(A31,Table1[[Unit Number]:[NO. OF BEDROOMS]],2,FALSE)</f>
        <v>3 BEDROOM</v>
      </c>
    </row>
    <row r="32" spans="1:10" x14ac:dyDescent="0.25">
      <c r="A32" s="121" t="s">
        <v>906</v>
      </c>
      <c r="B32" s="191">
        <v>61941</v>
      </c>
      <c r="C32" s="191">
        <v>224</v>
      </c>
      <c r="D32" s="191"/>
      <c r="E32" s="122">
        <v>0</v>
      </c>
      <c r="F32" s="122">
        <v>1179356.6400000001</v>
      </c>
      <c r="G32" s="122">
        <v>14138784</v>
      </c>
      <c r="H32" s="122">
        <v>15146784</v>
      </c>
      <c r="I32" s="122">
        <v>15818784</v>
      </c>
      <c r="J32" s="79" t="str">
        <f>VLOOKUP(A32,Table1[[Unit Number]:[NO. OF BEDROOMS]],2,FALSE)</f>
        <v>3 BEDROOM + LIVING</v>
      </c>
    </row>
    <row r="33" spans="1:10" x14ac:dyDescent="0.25">
      <c r="A33" s="121" t="s">
        <v>912</v>
      </c>
      <c r="B33" s="191">
        <v>61875</v>
      </c>
      <c r="C33" s="191">
        <v>223</v>
      </c>
      <c r="D33" s="191"/>
      <c r="E33" s="122">
        <v>0</v>
      </c>
      <c r="F33" s="122">
        <v>1172840.625</v>
      </c>
      <c r="G33" s="122">
        <v>14062125</v>
      </c>
      <c r="H33" s="122">
        <v>15065625</v>
      </c>
      <c r="I33" s="122">
        <v>15734625</v>
      </c>
      <c r="J33" s="79" t="str">
        <f>VLOOKUP(A33,Table1[[Unit Number]:[NO. OF BEDROOMS]],2,FALSE)</f>
        <v>3 BEDROOM + LIVING</v>
      </c>
    </row>
    <row r="34" spans="1:10" x14ac:dyDescent="0.25">
      <c r="A34" s="121" t="s">
        <v>917</v>
      </c>
      <c r="B34" s="191">
        <v>61875</v>
      </c>
      <c r="C34" s="191">
        <v>160</v>
      </c>
      <c r="D34" s="191"/>
      <c r="E34" s="122">
        <v>0</v>
      </c>
      <c r="F34" s="122">
        <v>841500.00000000012</v>
      </c>
      <c r="G34" s="122">
        <v>10164000</v>
      </c>
      <c r="H34" s="122">
        <v>10884000</v>
      </c>
      <c r="I34" s="122">
        <v>11364000</v>
      </c>
      <c r="J34" s="79" t="str">
        <f>VLOOKUP(A34,Table1[[Unit Number]:[NO. OF BEDROOMS]],2,FALSE)</f>
        <v>3 BEDROOM</v>
      </c>
    </row>
    <row r="35" spans="1:10" x14ac:dyDescent="0.25">
      <c r="A35" s="121" t="s">
        <v>507</v>
      </c>
      <c r="B35" s="191">
        <v>59070</v>
      </c>
      <c r="C35" s="191">
        <v>155</v>
      </c>
      <c r="D35" s="191"/>
      <c r="E35" s="122">
        <v>0</v>
      </c>
      <c r="F35" s="122">
        <v>778247.25</v>
      </c>
      <c r="G35" s="122">
        <v>9419850</v>
      </c>
      <c r="H35" s="122">
        <v>10117350</v>
      </c>
      <c r="I35" s="122">
        <v>10582350</v>
      </c>
      <c r="J35" s="79" t="str">
        <f>VLOOKUP(A35,Table1[[Unit Number]:[NO. OF BEDROOMS]],2,FALSE)</f>
        <v>3 BEDROOM</v>
      </c>
    </row>
    <row r="36" spans="1:10" x14ac:dyDescent="0.25">
      <c r="A36" s="121" t="s">
        <v>972</v>
      </c>
      <c r="B36" s="191">
        <v>60753</v>
      </c>
      <c r="C36" s="191">
        <v>224</v>
      </c>
      <c r="D36" s="191">
        <v>61.527700000000003</v>
      </c>
      <c r="E36" s="122">
        <v>1233537.4781730003</v>
      </c>
      <c r="F36" s="122">
        <v>1261587.8056447052</v>
      </c>
      <c r="G36" s="122">
        <v>15106209.478173001</v>
      </c>
      <c r="H36" s="122">
        <v>16114209.478173001</v>
      </c>
      <c r="I36" s="122">
        <v>16786209.478172999</v>
      </c>
      <c r="J36" s="79" t="str">
        <f>VLOOKUP(A36,Table1[[Unit Number]:[NO. OF BEDROOMS]],2,FALSE)</f>
        <v>3 BEDROOM + LIVING</v>
      </c>
    </row>
    <row r="37" spans="1:10" x14ac:dyDescent="0.25">
      <c r="A37" s="121" t="s">
        <v>973</v>
      </c>
      <c r="B37" s="191">
        <v>60753</v>
      </c>
      <c r="C37" s="191">
        <v>180</v>
      </c>
      <c r="D37" s="191">
        <v>51.884399999999999</v>
      </c>
      <c r="E37" s="122">
        <v>1040203.8745560001</v>
      </c>
      <c r="F37" s="122">
        <v>1017938.22933726</v>
      </c>
      <c r="G37" s="122">
        <v>12239743.874555999</v>
      </c>
      <c r="H37" s="122">
        <v>13049743.874555999</v>
      </c>
      <c r="I37" s="122">
        <v>13589743.874555999</v>
      </c>
      <c r="J37" s="79" t="str">
        <f>VLOOKUP(A37,Table1[[Unit Number]:[NO. OF BEDROOMS]],2,FALSE)</f>
        <v>3 BEDROOM</v>
      </c>
    </row>
    <row r="38" spans="1:10" x14ac:dyDescent="0.25">
      <c r="A38" s="121" t="s">
        <v>991</v>
      </c>
      <c r="B38" s="191">
        <v>60753</v>
      </c>
      <c r="C38" s="191">
        <v>173</v>
      </c>
      <c r="D38" s="191"/>
      <c r="E38" s="122">
        <v>0</v>
      </c>
      <c r="F38" s="122">
        <v>893372.86500000011</v>
      </c>
      <c r="G38" s="122">
        <v>10774269</v>
      </c>
      <c r="H38" s="122">
        <v>11552769</v>
      </c>
      <c r="I38" s="122">
        <v>12071769</v>
      </c>
      <c r="J38" s="79" t="str">
        <f>VLOOKUP(A38,Table1[[Unit Number]:[NO. OF BEDROOMS]],2,FALSE)</f>
        <v>3 BEDROOM</v>
      </c>
    </row>
    <row r="39" spans="1:10" x14ac:dyDescent="0.25">
      <c r="A39" s="121" t="s">
        <v>578</v>
      </c>
      <c r="B39" s="191">
        <v>59136</v>
      </c>
      <c r="C39" s="191">
        <v>172</v>
      </c>
      <c r="D39" s="191"/>
      <c r="E39" s="122">
        <v>0</v>
      </c>
      <c r="F39" s="122">
        <v>864568.32000000007</v>
      </c>
      <c r="G39" s="122">
        <v>10435392</v>
      </c>
      <c r="H39" s="122">
        <v>11209392</v>
      </c>
      <c r="I39" s="122">
        <v>11725392</v>
      </c>
      <c r="J39" s="79" t="str">
        <f>VLOOKUP(A39,Table1[[Unit Number]:[NO. OF BEDROOMS]],2,FALSE)</f>
        <v>3 BEDROOM</v>
      </c>
    </row>
    <row r="40" spans="1:10" x14ac:dyDescent="0.25">
      <c r="A40" s="121" t="s">
        <v>597</v>
      </c>
      <c r="B40" s="191">
        <v>59136</v>
      </c>
      <c r="C40" s="191">
        <v>172</v>
      </c>
      <c r="D40" s="191"/>
      <c r="E40" s="122">
        <v>0</v>
      </c>
      <c r="F40" s="122">
        <v>864568.32000000007</v>
      </c>
      <c r="G40" s="122">
        <v>10435392</v>
      </c>
      <c r="H40" s="122">
        <v>11209392</v>
      </c>
      <c r="I40" s="122">
        <v>11725392</v>
      </c>
      <c r="J40" s="79" t="str">
        <f>VLOOKUP(A40,Table1[[Unit Number]:[NO. OF BEDROOMS]],2,FALSE)</f>
        <v>3 BEDROOM</v>
      </c>
    </row>
    <row r="41" spans="1:10" x14ac:dyDescent="0.25">
      <c r="A41" s="121" t="s">
        <v>679</v>
      </c>
      <c r="B41" s="191">
        <v>59169</v>
      </c>
      <c r="C41" s="191">
        <v>160</v>
      </c>
      <c r="D41" s="191"/>
      <c r="E41" s="122">
        <v>0</v>
      </c>
      <c r="F41" s="122">
        <v>804698.4</v>
      </c>
      <c r="G41" s="122">
        <v>9731040</v>
      </c>
      <c r="H41" s="122">
        <v>10451040</v>
      </c>
      <c r="I41" s="122">
        <v>10931040</v>
      </c>
      <c r="J41" s="79" t="str">
        <f>VLOOKUP(A41,Table1[[Unit Number]:[NO. OF BEDROOMS]],2,FALSE)</f>
        <v>3 BEDROOM</v>
      </c>
    </row>
    <row r="42" spans="1:10" x14ac:dyDescent="0.25">
      <c r="A42" s="121" t="s">
        <v>703</v>
      </c>
      <c r="B42" s="191">
        <v>59169</v>
      </c>
      <c r="C42" s="191">
        <v>160</v>
      </c>
      <c r="D42" s="191"/>
      <c r="E42" s="122">
        <v>0</v>
      </c>
      <c r="F42" s="122">
        <v>804698.4</v>
      </c>
      <c r="G42" s="122">
        <v>9731040</v>
      </c>
      <c r="H42" s="122">
        <v>10451040</v>
      </c>
      <c r="I42" s="122">
        <v>10931040</v>
      </c>
      <c r="J42" s="79" t="str">
        <f>VLOOKUP(A42,Table1[[Unit Number]:[NO. OF BEDROOMS]],2,FALSE)</f>
        <v>3 BEDROOM</v>
      </c>
    </row>
    <row r="43" spans="1:10" x14ac:dyDescent="0.25">
      <c r="A43" s="121" t="s">
        <v>709</v>
      </c>
      <c r="B43" s="122">
        <v>1448931</v>
      </c>
      <c r="C43" s="122">
        <v>3981</v>
      </c>
      <c r="D43" s="122">
        <v>225.30350000000001</v>
      </c>
      <c r="E43" s="122">
        <v>4516994.9667150006</v>
      </c>
      <c r="F43" s="122">
        <v>20848178.307170775</v>
      </c>
      <c r="G43" s="122">
        <v>251608685.96671501</v>
      </c>
      <c r="H43" s="122">
        <v>269523185.96671498</v>
      </c>
      <c r="I43" s="122">
        <v>281466185.96671498</v>
      </c>
    </row>
    <row r="44" spans="1:10" x14ac:dyDescent="0.25">
      <c r="A44"/>
      <c r="B44"/>
      <c r="C44"/>
      <c r="D44"/>
      <c r="E44"/>
      <c r="F44"/>
      <c r="G44"/>
      <c r="H44"/>
      <c r="I44"/>
      <c r="J44" s="79" t="e">
        <f>VLOOKUP(A44,Table1[[Unit Number]:[NO. OF BEDROOMS]],2,FALSE)</f>
        <v>#N/A</v>
      </c>
    </row>
    <row r="45" spans="1:10" x14ac:dyDescent="0.25">
      <c r="A45"/>
      <c r="B45"/>
      <c r="C45"/>
      <c r="D45"/>
      <c r="E45"/>
      <c r="F45"/>
      <c r="G45"/>
      <c r="H45"/>
      <c r="I45"/>
      <c r="J45" s="79" t="e">
        <f>VLOOKUP(A45,Table1[[Unit Number]:[NO. OF BEDROOMS]],2,FALSE)</f>
        <v>#N/A</v>
      </c>
    </row>
    <row r="46" spans="1:10" x14ac:dyDescent="0.25">
      <c r="A46"/>
      <c r="B46"/>
      <c r="C46"/>
      <c r="D46"/>
      <c r="E46"/>
      <c r="F46"/>
      <c r="G46"/>
      <c r="H46"/>
      <c r="I46"/>
      <c r="J46" s="79" t="e">
        <f>VLOOKUP(A46,Table1[[Unit Number]:[NO. OF BEDROOMS]],2,FALSE)</f>
        <v>#N/A</v>
      </c>
    </row>
    <row r="47" spans="1:10" x14ac:dyDescent="0.25">
      <c r="A47"/>
      <c r="B47"/>
      <c r="C47"/>
      <c r="D47"/>
      <c r="E47"/>
      <c r="F47"/>
      <c r="G47"/>
      <c r="H47"/>
      <c r="I47"/>
      <c r="J47" s="79" t="e">
        <f>VLOOKUP(A47,Table1[[Unit Number]:[NO. OF BEDROOMS]],2,FALSE)</f>
        <v>#N/A</v>
      </c>
    </row>
    <row r="48" spans="1:10" x14ac:dyDescent="0.25">
      <c r="A48"/>
      <c r="B48"/>
      <c r="C48"/>
      <c r="D48"/>
      <c r="E48"/>
      <c r="F48"/>
      <c r="G48"/>
      <c r="H48"/>
      <c r="I48"/>
      <c r="J48" s="79" t="e">
        <f>VLOOKUP(A48,Table1[[Unit Number]:[NO. OF BEDROOMS]],2,FALSE)</f>
        <v>#N/A</v>
      </c>
    </row>
    <row r="49" spans="1:10" x14ac:dyDescent="0.25">
      <c r="A49"/>
      <c r="B49"/>
      <c r="C49"/>
      <c r="D49"/>
      <c r="E49"/>
      <c r="F49"/>
      <c r="G49"/>
      <c r="H49"/>
      <c r="I49"/>
      <c r="J49" s="79" t="e">
        <f>VLOOKUP(A49,Table1[[Unit Number]:[NO. OF BEDROOMS]],2,FALSE)</f>
        <v>#N/A</v>
      </c>
    </row>
    <row r="50" spans="1:10" x14ac:dyDescent="0.25">
      <c r="A50"/>
      <c r="B50"/>
      <c r="C50"/>
      <c r="D50"/>
      <c r="E50"/>
      <c r="F50"/>
      <c r="G50"/>
      <c r="H50"/>
      <c r="I50"/>
      <c r="J50" s="79" t="e">
        <f>VLOOKUP(A50,Table1[[Unit Number]:[NO. OF BEDROOMS]],2,FALSE)</f>
        <v>#N/A</v>
      </c>
    </row>
    <row r="51" spans="1:10" x14ac:dyDescent="0.25">
      <c r="A51"/>
      <c r="B51"/>
      <c r="C51"/>
      <c r="D51"/>
      <c r="E51"/>
      <c r="F51"/>
      <c r="G51"/>
      <c r="H51"/>
      <c r="I51"/>
      <c r="J51" s="79" t="e">
        <f>VLOOKUP(A51,Table1[[Unit Number]:[NO. OF BEDROOMS]],2,FALSE)</f>
        <v>#N/A</v>
      </c>
    </row>
    <row r="52" spans="1:10" x14ac:dyDescent="0.25">
      <c r="A52"/>
      <c r="B52"/>
      <c r="C52"/>
      <c r="D52"/>
      <c r="E52"/>
      <c r="F52"/>
      <c r="G52"/>
      <c r="H52"/>
      <c r="I52"/>
      <c r="J52" s="79" t="e">
        <f>VLOOKUP(A52,Table1[[Unit Number]:[NO. OF BEDROOMS]],2,FALSE)</f>
        <v>#N/A</v>
      </c>
    </row>
    <row r="53" spans="1:10" x14ac:dyDescent="0.25">
      <c r="A53"/>
      <c r="B53"/>
      <c r="C53"/>
      <c r="D53"/>
      <c r="E53"/>
      <c r="F53"/>
      <c r="G53"/>
      <c r="H53"/>
      <c r="I53"/>
      <c r="J53" s="79" t="e">
        <f>VLOOKUP(A53,Table1[[Unit Number]:[NO. OF BEDROOMS]],2,FALSE)</f>
        <v>#N/A</v>
      </c>
    </row>
    <row r="54" spans="1:10" x14ac:dyDescent="0.25">
      <c r="A54"/>
      <c r="B54"/>
      <c r="C54"/>
      <c r="D54"/>
      <c r="E54"/>
      <c r="F54"/>
      <c r="G54"/>
      <c r="H54"/>
      <c r="I54"/>
      <c r="J54" s="79" t="e">
        <f>VLOOKUP(A54,Table1[[Unit Number]:[NO. OF BEDROOMS]],2,FALSE)</f>
        <v>#N/A</v>
      </c>
    </row>
    <row r="55" spans="1:10" x14ac:dyDescent="0.25">
      <c r="A55"/>
      <c r="B55"/>
      <c r="C55"/>
      <c r="D55"/>
      <c r="E55"/>
      <c r="F55"/>
      <c r="G55"/>
      <c r="H55"/>
      <c r="I55"/>
      <c r="J55" s="79" t="e">
        <f>VLOOKUP(A55,Table1[[Unit Number]:[NO. OF BEDROOMS]],2,FALSE)</f>
        <v>#N/A</v>
      </c>
    </row>
    <row r="56" spans="1:10" x14ac:dyDescent="0.25">
      <c r="A56"/>
      <c r="B56"/>
      <c r="C56"/>
      <c r="D56"/>
      <c r="E56"/>
      <c r="F56"/>
      <c r="G56"/>
      <c r="H56"/>
      <c r="I56"/>
      <c r="J56" s="79" t="e">
        <f>VLOOKUP(A56,Table1[[Unit Number]:[NO. OF BEDROOMS]],2,FALSE)</f>
        <v>#N/A</v>
      </c>
    </row>
    <row r="57" spans="1:10" x14ac:dyDescent="0.25">
      <c r="A57"/>
      <c r="B57"/>
      <c r="C57"/>
      <c r="D57"/>
      <c r="E57"/>
      <c r="F57"/>
      <c r="G57"/>
      <c r="H57"/>
      <c r="I57"/>
      <c r="J57" s="79" t="e">
        <f>VLOOKUP(A57,Table1[[Unit Number]:[NO. OF BEDROOMS]],2,FALSE)</f>
        <v>#N/A</v>
      </c>
    </row>
    <row r="58" spans="1:10" x14ac:dyDescent="0.25">
      <c r="A58"/>
      <c r="B58"/>
      <c r="C58"/>
      <c r="D58"/>
      <c r="E58"/>
      <c r="F58"/>
      <c r="G58"/>
      <c r="H58"/>
      <c r="I58"/>
      <c r="J58" s="79" t="e">
        <f>VLOOKUP(A58,Table1[[Unit Number]:[NO. OF BEDROOMS]],2,FALSE)</f>
        <v>#N/A</v>
      </c>
    </row>
    <row r="59" spans="1:10" x14ac:dyDescent="0.25">
      <c r="A59"/>
      <c r="B59"/>
      <c r="C59"/>
      <c r="D59"/>
      <c r="E59"/>
      <c r="F59"/>
      <c r="G59"/>
      <c r="H59"/>
      <c r="I59"/>
      <c r="J59" s="79" t="e">
        <f>VLOOKUP(A59,Table1[[Unit Number]:[NO. OF BEDROOMS]],2,FALSE)</f>
        <v>#N/A</v>
      </c>
    </row>
    <row r="60" spans="1:10" x14ac:dyDescent="0.25">
      <c r="A60"/>
      <c r="B60"/>
      <c r="C60"/>
      <c r="D60"/>
      <c r="E60"/>
      <c r="F60"/>
      <c r="G60"/>
      <c r="H60"/>
      <c r="I60"/>
      <c r="J60" s="79" t="e">
        <f>VLOOKUP(A60,Table1[[Unit Number]:[NO. OF BEDROOMS]],2,FALSE)</f>
        <v>#N/A</v>
      </c>
    </row>
    <row r="61" spans="1:10" x14ac:dyDescent="0.25">
      <c r="A61"/>
      <c r="B61"/>
      <c r="C61"/>
      <c r="D61"/>
      <c r="E61"/>
      <c r="F61"/>
      <c r="G61"/>
      <c r="H61"/>
      <c r="I61"/>
      <c r="J61" s="79" t="e">
        <f>VLOOKUP(A61,Table1[[Unit Number]:[NO. OF BEDROOMS]],2,FALSE)</f>
        <v>#N/A</v>
      </c>
    </row>
    <row r="62" spans="1:10" x14ac:dyDescent="0.25">
      <c r="A62"/>
      <c r="B62"/>
      <c r="C62"/>
      <c r="D62"/>
      <c r="E62"/>
      <c r="F62"/>
      <c r="G62"/>
      <c r="H62"/>
      <c r="I62"/>
      <c r="J62" s="79" t="e">
        <f>VLOOKUP(A62,Table1[[Unit Number]:[NO. OF BEDROOMS]],2,FALSE)</f>
        <v>#N/A</v>
      </c>
    </row>
    <row r="63" spans="1:10" x14ac:dyDescent="0.25">
      <c r="A63"/>
      <c r="B63"/>
      <c r="C63"/>
      <c r="D63"/>
      <c r="E63"/>
      <c r="F63"/>
      <c r="G63"/>
      <c r="H63"/>
      <c r="I63"/>
      <c r="J63" s="79" t="e">
        <f>VLOOKUP(A63,Table1[[Unit Number]:[NO. OF BEDROOMS]],2,FALSE)</f>
        <v>#N/A</v>
      </c>
    </row>
    <row r="64" spans="1:10" x14ac:dyDescent="0.25">
      <c r="A64"/>
      <c r="B64"/>
      <c r="C64"/>
      <c r="D64"/>
      <c r="E64"/>
      <c r="F64"/>
      <c r="G64"/>
      <c r="H64"/>
      <c r="I64"/>
      <c r="J64" s="79" t="e">
        <f>VLOOKUP(A64,Table1[[Unit Number]:[NO. OF BEDROOMS]],2,FALSE)</f>
        <v>#N/A</v>
      </c>
    </row>
    <row r="65" spans="1:10" x14ac:dyDescent="0.25">
      <c r="A65"/>
      <c r="B65"/>
      <c r="C65"/>
      <c r="D65"/>
      <c r="E65"/>
      <c r="F65"/>
      <c r="G65"/>
      <c r="H65"/>
      <c r="I65"/>
      <c r="J65" s="79" t="e">
        <f>VLOOKUP(A65,Table1[[Unit Number]:[NO. OF BEDROOMS]],2,FALSE)</f>
        <v>#N/A</v>
      </c>
    </row>
    <row r="66" spans="1:10" x14ac:dyDescent="0.25">
      <c r="A66"/>
      <c r="B66"/>
      <c r="C66"/>
      <c r="D66"/>
      <c r="E66"/>
      <c r="F66"/>
      <c r="G66"/>
      <c r="H66"/>
      <c r="I66"/>
      <c r="J66" s="79" t="e">
        <f>VLOOKUP(A66,Table1[[Unit Number]:[NO. OF BEDROOMS]],2,FALSE)</f>
        <v>#N/A</v>
      </c>
    </row>
    <row r="67" spans="1:10" x14ac:dyDescent="0.25">
      <c r="A67"/>
      <c r="B67"/>
      <c r="C67"/>
      <c r="D67"/>
      <c r="E67"/>
      <c r="F67"/>
      <c r="G67"/>
      <c r="H67"/>
      <c r="I67"/>
      <c r="J67" s="79" t="e">
        <f>VLOOKUP(A67,Table1[[Unit Number]:[NO. OF BEDROOMS]],2,FALSE)</f>
        <v>#N/A</v>
      </c>
    </row>
    <row r="68" spans="1:10" x14ac:dyDescent="0.25">
      <c r="A68"/>
      <c r="B68"/>
      <c r="C68"/>
      <c r="D68"/>
      <c r="E68"/>
      <c r="F68"/>
      <c r="G68"/>
      <c r="H68"/>
      <c r="I68"/>
      <c r="J68" s="79" t="e">
        <f>VLOOKUP(A68,Table1[[Unit Number]:[NO. OF BEDROOMS]],2,FALSE)</f>
        <v>#N/A</v>
      </c>
    </row>
    <row r="69" spans="1:10" x14ac:dyDescent="0.25">
      <c r="A69"/>
      <c r="B69"/>
      <c r="C69"/>
      <c r="D69"/>
      <c r="E69"/>
      <c r="F69"/>
      <c r="G69"/>
      <c r="H69"/>
      <c r="I69"/>
      <c r="J69" s="79" t="e">
        <f>VLOOKUP(A69,Table1[[Unit Number]:[NO. OF BEDROOMS]],2,FALSE)</f>
        <v>#N/A</v>
      </c>
    </row>
    <row r="70" spans="1:10" x14ac:dyDescent="0.25">
      <c r="A70"/>
      <c r="B70"/>
      <c r="C70"/>
      <c r="D70"/>
      <c r="E70"/>
      <c r="F70"/>
      <c r="G70"/>
      <c r="H70"/>
      <c r="I70"/>
      <c r="J70" s="79" t="e">
        <f>VLOOKUP(A70,Table1[[Unit Number]:[NO. OF BEDROOMS]],2,FALSE)</f>
        <v>#N/A</v>
      </c>
    </row>
    <row r="71" spans="1:10" x14ac:dyDescent="0.25">
      <c r="A71"/>
      <c r="B71"/>
      <c r="C71"/>
      <c r="D71"/>
      <c r="E71"/>
      <c r="F71"/>
      <c r="G71"/>
      <c r="H71"/>
      <c r="I71"/>
      <c r="J71" s="79" t="e">
        <f>VLOOKUP(A71,Table1[[Unit Number]:[NO. OF BEDROOMS]],2,FALSE)</f>
        <v>#N/A</v>
      </c>
    </row>
    <row r="72" spans="1:10" x14ac:dyDescent="0.25">
      <c r="A72"/>
      <c r="B72"/>
      <c r="C72"/>
      <c r="D72"/>
      <c r="E72"/>
      <c r="F72"/>
      <c r="G72"/>
      <c r="H72"/>
      <c r="I72"/>
      <c r="J72" s="79" t="e">
        <f>VLOOKUP(A72,Table1[[Unit Number]:[NO. OF BEDROOMS]],2,FALSE)</f>
        <v>#N/A</v>
      </c>
    </row>
    <row r="73" spans="1:10" x14ac:dyDescent="0.25">
      <c r="A73"/>
      <c r="B73"/>
      <c r="C73"/>
      <c r="D73"/>
      <c r="E73"/>
      <c r="F73"/>
      <c r="G73"/>
      <c r="H73"/>
      <c r="I73"/>
      <c r="J73" s="79" t="e">
        <f>VLOOKUP(A73,Table1[[Unit Number]:[NO. OF BEDROOMS]],2,FALSE)</f>
        <v>#N/A</v>
      </c>
    </row>
    <row r="74" spans="1:10" x14ac:dyDescent="0.25">
      <c r="A74"/>
      <c r="B74"/>
      <c r="C74"/>
      <c r="D74"/>
      <c r="E74"/>
      <c r="F74"/>
      <c r="G74"/>
      <c r="H74"/>
      <c r="I74"/>
      <c r="J74" s="79" t="e">
        <f>VLOOKUP(A74,Table1[[Unit Number]:[NO. OF BEDROOMS]],2,FALSE)</f>
        <v>#N/A</v>
      </c>
    </row>
    <row r="75" spans="1:10" x14ac:dyDescent="0.25">
      <c r="A75"/>
      <c r="B75"/>
      <c r="C75"/>
      <c r="D75"/>
      <c r="E75"/>
      <c r="F75"/>
      <c r="G75"/>
      <c r="H75"/>
      <c r="I75"/>
      <c r="J75" s="79" t="e">
        <f>VLOOKUP(A75,Table1[[Unit Number]:[NO. OF BEDROOMS]],2,FALSE)</f>
        <v>#N/A</v>
      </c>
    </row>
    <row r="76" spans="1:10" x14ac:dyDescent="0.25">
      <c r="A76"/>
      <c r="B76"/>
      <c r="C76"/>
      <c r="D76"/>
      <c r="E76"/>
      <c r="F76"/>
      <c r="G76"/>
      <c r="H76"/>
      <c r="I76"/>
      <c r="J76" s="79" t="e">
        <f>VLOOKUP(A76,Table1[[Unit Number]:[NO. OF BEDROOMS]],2,FALSE)</f>
        <v>#N/A</v>
      </c>
    </row>
    <row r="77" spans="1:10" x14ac:dyDescent="0.25">
      <c r="A77"/>
      <c r="B77"/>
      <c r="C77"/>
      <c r="D77"/>
      <c r="E77"/>
      <c r="F77"/>
      <c r="G77"/>
      <c r="H77"/>
      <c r="I77"/>
      <c r="J77" s="79" t="e">
        <f>VLOOKUP(A77,Table1[[Unit Number]:[NO. OF BEDROOMS]],2,FALSE)</f>
        <v>#N/A</v>
      </c>
    </row>
    <row r="78" spans="1:10" x14ac:dyDescent="0.25">
      <c r="A78"/>
      <c r="B78"/>
      <c r="C78"/>
      <c r="D78"/>
      <c r="E78"/>
      <c r="F78"/>
      <c r="G78"/>
      <c r="H78"/>
      <c r="I78"/>
      <c r="J78" s="79" t="e">
        <f>VLOOKUP(A78,Table1[[Unit Number]:[NO. OF BEDROOMS]],2,FALSE)</f>
        <v>#N/A</v>
      </c>
    </row>
    <row r="79" spans="1:10" x14ac:dyDescent="0.25">
      <c r="A79"/>
      <c r="B79"/>
      <c r="C79"/>
      <c r="D79"/>
      <c r="E79"/>
      <c r="F79"/>
      <c r="G79"/>
      <c r="H79"/>
      <c r="I79"/>
      <c r="J79" s="79" t="e">
        <f>VLOOKUP(A79,Table1[[Unit Number]:[NO. OF BEDROOMS]],2,FALSE)</f>
        <v>#N/A</v>
      </c>
    </row>
    <row r="80" spans="1:10" x14ac:dyDescent="0.25">
      <c r="A80"/>
      <c r="B80"/>
      <c r="C80"/>
      <c r="D80"/>
      <c r="E80"/>
      <c r="F80"/>
      <c r="G80"/>
      <c r="H80"/>
      <c r="I80"/>
      <c r="J80" s="79" t="e">
        <f>VLOOKUP(A80,Table1[[Unit Number]:[NO. OF BEDROOMS]],2,FALSE)</f>
        <v>#N/A</v>
      </c>
    </row>
    <row r="81" spans="1:10" x14ac:dyDescent="0.25">
      <c r="A81"/>
      <c r="B81"/>
      <c r="C81"/>
      <c r="D81"/>
      <c r="E81"/>
      <c r="F81"/>
      <c r="G81"/>
      <c r="H81"/>
      <c r="I81"/>
      <c r="J81" s="79" t="e">
        <f>VLOOKUP(A81,Table1[[Unit Number]:[NO. OF BEDROOMS]],2,FALSE)</f>
        <v>#N/A</v>
      </c>
    </row>
    <row r="82" spans="1:10" x14ac:dyDescent="0.25">
      <c r="A82"/>
      <c r="B82"/>
      <c r="C82"/>
      <c r="D82"/>
      <c r="E82"/>
      <c r="F82"/>
      <c r="G82"/>
      <c r="H82"/>
      <c r="I82"/>
      <c r="J82" s="79" t="e">
        <f>VLOOKUP(A82,Table1[[Unit Number]:[NO. OF BEDROOMS]],2,FALSE)</f>
        <v>#N/A</v>
      </c>
    </row>
    <row r="83" spans="1:10" x14ac:dyDescent="0.25">
      <c r="A83"/>
      <c r="B83"/>
      <c r="C83"/>
      <c r="D83"/>
      <c r="E83"/>
      <c r="F83"/>
      <c r="G83"/>
      <c r="H83"/>
      <c r="I83"/>
      <c r="J83" s="79" t="e">
        <f>VLOOKUP(A83,Table1[[Unit Number]:[NO. OF BEDROOMS]],2,FALSE)</f>
        <v>#N/A</v>
      </c>
    </row>
    <row r="84" spans="1:10" x14ac:dyDescent="0.25">
      <c r="A84"/>
      <c r="B84"/>
      <c r="C84"/>
      <c r="D84"/>
      <c r="E84"/>
      <c r="F84"/>
      <c r="G84"/>
      <c r="H84"/>
      <c r="I84"/>
      <c r="J84" s="79" t="e">
        <f>VLOOKUP(A84,Table1[[Unit Number]:[NO. OF BEDROOMS]],2,FALSE)</f>
        <v>#N/A</v>
      </c>
    </row>
    <row r="85" spans="1:10" x14ac:dyDescent="0.25">
      <c r="A85"/>
      <c r="B85"/>
      <c r="C85"/>
      <c r="D85"/>
      <c r="E85"/>
      <c r="F85"/>
      <c r="G85"/>
      <c r="H85"/>
      <c r="I85"/>
      <c r="J85" s="79" t="e">
        <f>VLOOKUP(A85,Table1[[Unit Number]:[NO. OF BEDROOMS]],2,FALSE)</f>
        <v>#N/A</v>
      </c>
    </row>
    <row r="86" spans="1:10" x14ac:dyDescent="0.25">
      <c r="A86"/>
      <c r="B86"/>
      <c r="C86"/>
      <c r="D86"/>
      <c r="E86"/>
      <c r="F86"/>
      <c r="G86"/>
      <c r="H86"/>
      <c r="I86"/>
      <c r="J86" s="79" t="e">
        <f>VLOOKUP(A86,Table1[[Unit Number]:[NO. OF BEDROOMS]],2,FALSE)</f>
        <v>#N/A</v>
      </c>
    </row>
    <row r="87" spans="1:10" x14ac:dyDescent="0.25">
      <c r="A87"/>
      <c r="B87"/>
      <c r="C87"/>
      <c r="D87"/>
      <c r="E87"/>
      <c r="F87"/>
      <c r="G87"/>
      <c r="H87"/>
      <c r="I87"/>
      <c r="J87" s="79" t="e">
        <f>VLOOKUP(A87,Table1[[Unit Number]:[NO. OF BEDROOMS]],2,FALSE)</f>
        <v>#N/A</v>
      </c>
    </row>
    <row r="88" spans="1:10" x14ac:dyDescent="0.25">
      <c r="A88"/>
      <c r="B88"/>
      <c r="C88"/>
      <c r="D88"/>
      <c r="E88"/>
      <c r="F88"/>
      <c r="G88"/>
      <c r="H88"/>
      <c r="I88"/>
      <c r="J88" s="79" t="e">
        <f>VLOOKUP(A88,Table1[[Unit Number]:[NO. OF BEDROOMS]],2,FALSE)</f>
        <v>#N/A</v>
      </c>
    </row>
    <row r="89" spans="1:10" x14ac:dyDescent="0.25">
      <c r="A89"/>
      <c r="B89"/>
      <c r="C89"/>
      <c r="D89"/>
      <c r="E89"/>
      <c r="F89"/>
      <c r="G89"/>
      <c r="H89"/>
      <c r="I89"/>
      <c r="J89" s="79" t="e">
        <f>VLOOKUP(A89,Table1[[Unit Number]:[NO. OF BEDROOMS]],2,FALSE)</f>
        <v>#N/A</v>
      </c>
    </row>
    <row r="90" spans="1:10" x14ac:dyDescent="0.25">
      <c r="A90"/>
      <c r="B90"/>
      <c r="C90"/>
      <c r="D90"/>
      <c r="E90"/>
      <c r="F90"/>
      <c r="G90"/>
      <c r="H90"/>
      <c r="I90"/>
      <c r="J90" s="79" t="e">
        <f>VLOOKUP(A90,Table1[[Unit Number]:[NO. OF BEDROOMS]],2,FALSE)</f>
        <v>#N/A</v>
      </c>
    </row>
    <row r="91" spans="1:10" x14ac:dyDescent="0.25">
      <c r="A91"/>
      <c r="B91"/>
      <c r="C91"/>
      <c r="D91"/>
      <c r="E91"/>
      <c r="F91"/>
      <c r="G91"/>
      <c r="H91"/>
      <c r="I91"/>
      <c r="J91" s="79" t="e">
        <f>VLOOKUP(A91,Table1[[Unit Number]:[NO. OF BEDROOMS]],2,FALSE)</f>
        <v>#N/A</v>
      </c>
    </row>
    <row r="92" spans="1:10" x14ac:dyDescent="0.25">
      <c r="A92"/>
      <c r="B92"/>
      <c r="C92"/>
      <c r="D92"/>
      <c r="E92"/>
      <c r="F92"/>
      <c r="G92"/>
      <c r="H92"/>
      <c r="I92"/>
      <c r="J92" s="79" t="e">
        <f>VLOOKUP(A92,Table1[[Unit Number]:[NO. OF BEDROOMS]],2,FALSE)</f>
        <v>#N/A</v>
      </c>
    </row>
    <row r="93" spans="1:10" x14ac:dyDescent="0.25">
      <c r="A93"/>
      <c r="B93"/>
      <c r="C93"/>
      <c r="D93"/>
      <c r="E93"/>
      <c r="F93"/>
      <c r="G93"/>
      <c r="H93"/>
      <c r="I93"/>
      <c r="J93" s="79" t="e">
        <f>VLOOKUP(A93,Table1[[Unit Number]:[NO. OF BEDROOMS]],2,FALSE)</f>
        <v>#N/A</v>
      </c>
    </row>
    <row r="94" spans="1:10" x14ac:dyDescent="0.25">
      <c r="A94"/>
      <c r="B94"/>
      <c r="C94"/>
      <c r="D94"/>
      <c r="E94"/>
      <c r="F94"/>
      <c r="G94"/>
      <c r="H94"/>
      <c r="I94"/>
      <c r="J94" s="79" t="e">
        <f>VLOOKUP(A94,Table1[[Unit Number]:[NO. OF BEDROOMS]],2,FALSE)</f>
        <v>#N/A</v>
      </c>
    </row>
    <row r="95" spans="1:10" x14ac:dyDescent="0.25">
      <c r="A95"/>
      <c r="B95"/>
      <c r="C95"/>
      <c r="D95"/>
      <c r="E95"/>
      <c r="F95"/>
      <c r="G95"/>
      <c r="H95"/>
      <c r="I95"/>
      <c r="J95" s="79" t="e">
        <f>VLOOKUP(A95,Table1[[Unit Number]:[NO. OF BEDROOMS]],2,FALSE)</f>
        <v>#N/A</v>
      </c>
    </row>
    <row r="96" spans="1:10" x14ac:dyDescent="0.25">
      <c r="A96"/>
      <c r="B96"/>
      <c r="C96"/>
      <c r="D96"/>
      <c r="E96"/>
      <c r="F96"/>
      <c r="G96"/>
      <c r="H96"/>
      <c r="I96"/>
      <c r="J96" s="79" t="e">
        <f>VLOOKUP(A96,Table1[[Unit Number]:[NO. OF BEDROOMS]],2,FALSE)</f>
        <v>#N/A</v>
      </c>
    </row>
    <row r="97" spans="1:10" x14ac:dyDescent="0.25">
      <c r="A97"/>
      <c r="B97"/>
      <c r="C97"/>
      <c r="D97"/>
      <c r="E97"/>
      <c r="F97"/>
      <c r="G97"/>
      <c r="H97"/>
      <c r="I97"/>
      <c r="J97" s="79" t="e">
        <f>VLOOKUP(A97,Table1[[Unit Number]:[NO. OF BEDROOMS]],2,FALSE)</f>
        <v>#N/A</v>
      </c>
    </row>
    <row r="98" spans="1:10" x14ac:dyDescent="0.25">
      <c r="A98"/>
      <c r="B98"/>
      <c r="C98"/>
      <c r="D98"/>
      <c r="E98"/>
      <c r="F98"/>
      <c r="G98"/>
      <c r="H98"/>
      <c r="I98"/>
      <c r="J98" s="79" t="e">
        <f>VLOOKUP(A98,Table1[[Unit Number]:[NO. OF BEDROOMS]],2,FALSE)</f>
        <v>#N/A</v>
      </c>
    </row>
    <row r="99" spans="1:10" x14ac:dyDescent="0.25">
      <c r="A99"/>
      <c r="B99"/>
      <c r="C99"/>
      <c r="D99"/>
      <c r="E99"/>
      <c r="F99"/>
      <c r="G99"/>
      <c r="H99"/>
      <c r="I99"/>
      <c r="J99" s="79" t="e">
        <f>VLOOKUP(A99,Table1[[Unit Number]:[NO. OF BEDROOMS]],2,FALSE)</f>
        <v>#N/A</v>
      </c>
    </row>
    <row r="100" spans="1:10" x14ac:dyDescent="0.25">
      <c r="A100"/>
      <c r="B100"/>
      <c r="C100"/>
      <c r="D100"/>
      <c r="E100"/>
      <c r="F100"/>
      <c r="G100"/>
      <c r="H100"/>
      <c r="I100"/>
      <c r="J100" s="79" t="e">
        <f>VLOOKUP(A100,Table1[[Unit Number]:[NO. OF BEDROOMS]],2,FALSE)</f>
        <v>#N/A</v>
      </c>
    </row>
    <row r="101" spans="1:10" x14ac:dyDescent="0.25">
      <c r="A101"/>
      <c r="B101"/>
      <c r="C101"/>
      <c r="D101"/>
      <c r="E101"/>
      <c r="F101"/>
      <c r="G101"/>
      <c r="H101"/>
      <c r="I101"/>
      <c r="J101" s="79" t="e">
        <f>VLOOKUP(A101,Table1[[Unit Number]:[NO. OF BEDROOMS]],2,FALSE)</f>
        <v>#N/A</v>
      </c>
    </row>
    <row r="102" spans="1:10" x14ac:dyDescent="0.25">
      <c r="A102"/>
      <c r="B102"/>
      <c r="C102"/>
      <c r="D102"/>
      <c r="E102"/>
      <c r="F102"/>
      <c r="G102"/>
      <c r="H102"/>
      <c r="I102"/>
      <c r="J102" s="79" t="e">
        <f>VLOOKUP(A102,Table1[[Unit Number]:[NO. OF BEDROOMS]],2,FALSE)</f>
        <v>#N/A</v>
      </c>
    </row>
    <row r="103" spans="1:10" x14ac:dyDescent="0.25">
      <c r="A103"/>
      <c r="B103"/>
      <c r="C103"/>
      <c r="D103"/>
      <c r="E103"/>
      <c r="F103"/>
      <c r="G103"/>
      <c r="H103"/>
      <c r="I103"/>
      <c r="J103" s="79" t="e">
        <f>VLOOKUP(A103,Table1[[Unit Number]:[NO. OF BEDROOMS]],2,FALSE)</f>
        <v>#N/A</v>
      </c>
    </row>
    <row r="104" spans="1:10" x14ac:dyDescent="0.25">
      <c r="A104"/>
      <c r="B104"/>
      <c r="C104"/>
      <c r="D104"/>
      <c r="E104"/>
      <c r="F104"/>
      <c r="G104"/>
      <c r="H104"/>
      <c r="I104"/>
      <c r="J104" s="79" t="e">
        <f>VLOOKUP(A104,Table1[[Unit Number]:[NO. OF BEDROOMS]],2,FALSE)</f>
        <v>#N/A</v>
      </c>
    </row>
    <row r="105" spans="1:10" x14ac:dyDescent="0.25">
      <c r="A105"/>
      <c r="B105"/>
      <c r="C105"/>
      <c r="D105"/>
      <c r="E105"/>
      <c r="F105"/>
      <c r="G105"/>
      <c r="H105"/>
      <c r="I105"/>
      <c r="J105" s="79" t="e">
        <f>VLOOKUP(A105,Table1[[Unit Number]:[NO. OF BEDROOMS]],2,FALSE)</f>
        <v>#N/A</v>
      </c>
    </row>
    <row r="106" spans="1:10" x14ac:dyDescent="0.25">
      <c r="A106"/>
      <c r="B106"/>
      <c r="C106"/>
      <c r="D106"/>
      <c r="E106"/>
      <c r="F106"/>
      <c r="G106"/>
      <c r="H106"/>
      <c r="I106"/>
      <c r="J106" s="79" t="e">
        <f>VLOOKUP(A106,Table1[[Unit Number]:[NO. OF BEDROOMS]],2,FALSE)</f>
        <v>#N/A</v>
      </c>
    </row>
    <row r="107" spans="1:10" x14ac:dyDescent="0.25">
      <c r="A107"/>
      <c r="B107"/>
      <c r="C107"/>
      <c r="D107"/>
      <c r="E107"/>
      <c r="F107"/>
      <c r="G107"/>
      <c r="H107"/>
      <c r="I107"/>
      <c r="J107" s="79" t="e">
        <f>VLOOKUP(A107,Table1[[Unit Number]:[NO. OF BEDROOMS]],2,FALSE)</f>
        <v>#N/A</v>
      </c>
    </row>
    <row r="108" spans="1:10" x14ac:dyDescent="0.25">
      <c r="A108"/>
      <c r="B108"/>
      <c r="C108"/>
      <c r="D108"/>
      <c r="E108"/>
      <c r="F108"/>
      <c r="G108"/>
      <c r="H108"/>
      <c r="I108"/>
      <c r="J108" s="79" t="e">
        <f>VLOOKUP(A108,Table1[[Unit Number]:[NO. OF BEDROOMS]],2,FALSE)</f>
        <v>#N/A</v>
      </c>
    </row>
    <row r="109" spans="1:10" x14ac:dyDescent="0.25">
      <c r="A109"/>
      <c r="B109"/>
      <c r="C109"/>
      <c r="D109"/>
      <c r="E109"/>
      <c r="F109"/>
      <c r="G109"/>
      <c r="H109"/>
      <c r="I109"/>
      <c r="J109" s="79" t="e">
        <f>VLOOKUP(A109,Table1[[Unit Number]:[NO. OF BEDROOMS]],2,FALSE)</f>
        <v>#N/A</v>
      </c>
    </row>
    <row r="110" spans="1:10" x14ac:dyDescent="0.25">
      <c r="A110"/>
      <c r="B110"/>
      <c r="C110"/>
      <c r="D110"/>
      <c r="E110"/>
      <c r="F110"/>
      <c r="G110"/>
      <c r="H110"/>
      <c r="I110"/>
      <c r="J110" s="79" t="e">
        <f>VLOOKUP(A110,Table1[[Unit Number]:[NO. OF BEDROOMS]],2,FALSE)</f>
        <v>#N/A</v>
      </c>
    </row>
    <row r="111" spans="1:10" x14ac:dyDescent="0.25">
      <c r="A111"/>
      <c r="B111"/>
      <c r="C111"/>
      <c r="D111"/>
      <c r="E111"/>
      <c r="F111"/>
      <c r="G111"/>
      <c r="H111"/>
      <c r="I111"/>
      <c r="J111" s="79" t="e">
        <f>VLOOKUP(A111,Table1[[Unit Number]:[NO. OF BEDROOMS]],2,FALSE)</f>
        <v>#N/A</v>
      </c>
    </row>
    <row r="112" spans="1:10" x14ac:dyDescent="0.25">
      <c r="A112"/>
      <c r="B112"/>
      <c r="C112"/>
      <c r="D112"/>
      <c r="E112"/>
      <c r="F112"/>
      <c r="G112"/>
      <c r="H112"/>
      <c r="I112"/>
      <c r="J112" s="79" t="e">
        <f>VLOOKUP(A112,Table1[[Unit Number]:[NO. OF BEDROOMS]],2,FALSE)</f>
        <v>#N/A</v>
      </c>
    </row>
    <row r="113" spans="1:10" x14ac:dyDescent="0.25">
      <c r="A113"/>
      <c r="B113"/>
      <c r="C113"/>
      <c r="D113"/>
      <c r="E113"/>
      <c r="F113"/>
      <c r="G113"/>
      <c r="H113"/>
      <c r="I113"/>
      <c r="J113" s="79" t="e">
        <f>VLOOKUP(A113,Table1[[Unit Number]:[NO. OF BEDROOMS]],2,FALSE)</f>
        <v>#N/A</v>
      </c>
    </row>
    <row r="114" spans="1:10" x14ac:dyDescent="0.25">
      <c r="A114"/>
      <c r="B114"/>
      <c r="C114"/>
      <c r="D114"/>
      <c r="E114"/>
      <c r="F114"/>
      <c r="G114"/>
      <c r="H114"/>
      <c r="I114"/>
      <c r="J114" s="79" t="e">
        <f>VLOOKUP(A114,Table1[[Unit Number]:[NO. OF BEDROOMS]],2,FALSE)</f>
        <v>#N/A</v>
      </c>
    </row>
    <row r="115" spans="1:10" x14ac:dyDescent="0.25">
      <c r="A115"/>
      <c r="B115"/>
      <c r="C115"/>
      <c r="D115"/>
      <c r="E115"/>
      <c r="F115"/>
      <c r="G115"/>
      <c r="H115"/>
      <c r="I115"/>
      <c r="J115" s="79" t="e">
        <f>VLOOKUP(A115,Table1[[Unit Number]:[NO. OF BEDROOMS]],2,FALSE)</f>
        <v>#N/A</v>
      </c>
    </row>
    <row r="116" spans="1:10" x14ac:dyDescent="0.25">
      <c r="A116"/>
      <c r="B116"/>
      <c r="C116"/>
      <c r="D116"/>
      <c r="E116"/>
      <c r="F116"/>
      <c r="G116"/>
      <c r="H116"/>
      <c r="I116"/>
      <c r="J116" s="79" t="e">
        <f>VLOOKUP(A116,Table1[[Unit Number]:[NO. OF BEDROOMS]],2,FALSE)</f>
        <v>#N/A</v>
      </c>
    </row>
    <row r="117" spans="1:10" x14ac:dyDescent="0.25">
      <c r="A117"/>
      <c r="B117"/>
      <c r="C117"/>
      <c r="D117"/>
      <c r="E117"/>
      <c r="F117"/>
      <c r="G117"/>
      <c r="H117"/>
      <c r="I117"/>
      <c r="J117" s="79" t="e">
        <f>VLOOKUP(A117,Table1[[Unit Number]:[NO. OF BEDROOMS]],2,FALSE)</f>
        <v>#N/A</v>
      </c>
    </row>
    <row r="118" spans="1:10" x14ac:dyDescent="0.25">
      <c r="A118"/>
      <c r="B118"/>
      <c r="C118"/>
      <c r="D118"/>
      <c r="E118"/>
      <c r="F118"/>
      <c r="G118"/>
      <c r="H118"/>
      <c r="I118"/>
      <c r="J118" s="79" t="e">
        <f>VLOOKUP(A118,Table1[[Unit Number]:[NO. OF BEDROOMS]],2,FALSE)</f>
        <v>#N/A</v>
      </c>
    </row>
    <row r="119" spans="1:10" x14ac:dyDescent="0.25">
      <c r="A119"/>
      <c r="B119"/>
      <c r="C119"/>
      <c r="D119"/>
      <c r="E119"/>
      <c r="F119"/>
      <c r="G119"/>
      <c r="H119"/>
      <c r="I119"/>
      <c r="J119" s="79" t="e">
        <f>VLOOKUP(A119,Table1[[Unit Number]:[NO. OF BEDROOMS]],2,FALSE)</f>
        <v>#N/A</v>
      </c>
    </row>
    <row r="120" spans="1:10" x14ac:dyDescent="0.25">
      <c r="A120"/>
      <c r="B120"/>
      <c r="C120"/>
      <c r="D120"/>
      <c r="E120"/>
      <c r="F120"/>
      <c r="G120"/>
      <c r="H120"/>
      <c r="I120"/>
      <c r="J120" s="79" t="e">
        <f>VLOOKUP(A120,Table1[[Unit Number]:[NO. OF BEDROOMS]],2,FALSE)</f>
        <v>#N/A</v>
      </c>
    </row>
    <row r="121" spans="1:10" x14ac:dyDescent="0.25">
      <c r="A121"/>
      <c r="B121"/>
      <c r="C121"/>
      <c r="D121"/>
      <c r="E121"/>
      <c r="F121"/>
      <c r="G121"/>
      <c r="H121"/>
      <c r="I121"/>
      <c r="J121" s="79" t="e">
        <f>VLOOKUP(A121,Table1[[Unit Number]:[NO. OF BEDROOMS]],2,FALSE)</f>
        <v>#N/A</v>
      </c>
    </row>
    <row r="122" spans="1:10" x14ac:dyDescent="0.25">
      <c r="A122"/>
      <c r="B122"/>
      <c r="C122"/>
      <c r="D122"/>
      <c r="E122"/>
      <c r="F122"/>
      <c r="G122"/>
      <c r="H122"/>
      <c r="I122"/>
      <c r="J122" s="79" t="e">
        <f>VLOOKUP(A122,Table1[[Unit Number]:[NO. OF BEDROOMS]],2,FALSE)</f>
        <v>#N/A</v>
      </c>
    </row>
    <row r="123" spans="1:10" x14ac:dyDescent="0.25">
      <c r="A123"/>
      <c r="B123"/>
      <c r="C123"/>
      <c r="D123"/>
      <c r="E123"/>
      <c r="F123"/>
      <c r="G123"/>
      <c r="H123"/>
      <c r="I123"/>
      <c r="J123" s="79" t="e">
        <f>VLOOKUP(A123,Table1[[Unit Number]:[NO. OF BEDROOMS]],2,FALSE)</f>
        <v>#N/A</v>
      </c>
    </row>
    <row r="124" spans="1:10" x14ac:dyDescent="0.25">
      <c r="A124"/>
      <c r="B124"/>
      <c r="C124"/>
      <c r="D124"/>
      <c r="E124"/>
      <c r="F124"/>
      <c r="G124"/>
      <c r="H124"/>
      <c r="I124"/>
      <c r="J124" s="79" t="e">
        <f>VLOOKUP(A124,Table1[[Unit Number]:[NO. OF BEDROOMS]],2,FALSE)</f>
        <v>#N/A</v>
      </c>
    </row>
    <row r="125" spans="1:10" x14ac:dyDescent="0.25">
      <c r="A125"/>
      <c r="B125"/>
      <c r="C125"/>
      <c r="D125"/>
      <c r="E125"/>
      <c r="F125"/>
      <c r="G125"/>
      <c r="H125"/>
      <c r="I125"/>
      <c r="J125" s="79" t="e">
        <f>VLOOKUP(A125,Table1[[Unit Number]:[NO. OF BEDROOMS]],2,FALSE)</f>
        <v>#N/A</v>
      </c>
    </row>
    <row r="126" spans="1:10" x14ac:dyDescent="0.25">
      <c r="A126"/>
      <c r="B126"/>
      <c r="C126"/>
      <c r="D126"/>
      <c r="E126"/>
      <c r="F126"/>
      <c r="G126"/>
      <c r="H126"/>
      <c r="I126"/>
      <c r="J126" s="79" t="e">
        <f>VLOOKUP(A126,Table1[[Unit Number]:[NO. OF BEDROOMS]],2,FALSE)</f>
        <v>#N/A</v>
      </c>
    </row>
    <row r="127" spans="1:10" x14ac:dyDescent="0.25">
      <c r="A127"/>
      <c r="B127"/>
      <c r="C127"/>
      <c r="D127"/>
      <c r="E127"/>
      <c r="F127"/>
      <c r="G127"/>
      <c r="H127"/>
      <c r="I127"/>
      <c r="J127" s="79" t="e">
        <f>VLOOKUP(A127,Table1[[Unit Number]:[NO. OF BEDROOMS]],2,FALSE)</f>
        <v>#N/A</v>
      </c>
    </row>
    <row r="128" spans="1:10" x14ac:dyDescent="0.25">
      <c r="A128"/>
      <c r="B128"/>
      <c r="C128"/>
      <c r="D128"/>
      <c r="E128"/>
      <c r="F128"/>
      <c r="G128"/>
      <c r="H128"/>
      <c r="I128"/>
      <c r="J128" s="79" t="e">
        <f>VLOOKUP(A128,Table1[[Unit Number]:[NO. OF BEDROOMS]],2,FALSE)</f>
        <v>#N/A</v>
      </c>
    </row>
    <row r="129" spans="1:10" x14ac:dyDescent="0.25">
      <c r="A129"/>
      <c r="B129"/>
      <c r="C129"/>
      <c r="D129"/>
      <c r="E129"/>
      <c r="F129"/>
      <c r="G129"/>
      <c r="H129"/>
      <c r="I129"/>
      <c r="J129" s="79" t="e">
        <f>VLOOKUP(A129,Table1[[Unit Number]:[NO. OF BEDROOMS]],2,FALSE)</f>
        <v>#N/A</v>
      </c>
    </row>
    <row r="130" spans="1:10" x14ac:dyDescent="0.25">
      <c r="A130"/>
      <c r="B130"/>
      <c r="C130"/>
      <c r="D130"/>
      <c r="E130"/>
      <c r="F130"/>
      <c r="G130"/>
      <c r="H130"/>
      <c r="I130"/>
      <c r="J130" s="79" t="e">
        <f>VLOOKUP(A130,Table1[[Unit Number]:[NO. OF BEDROOMS]],2,FALSE)</f>
        <v>#N/A</v>
      </c>
    </row>
    <row r="131" spans="1:10" x14ac:dyDescent="0.25">
      <c r="A131"/>
      <c r="B131"/>
      <c r="C131"/>
      <c r="D131"/>
      <c r="E131"/>
      <c r="F131"/>
      <c r="G131"/>
      <c r="H131"/>
      <c r="I131"/>
      <c r="J131" s="79" t="e">
        <f>VLOOKUP(A131,Table1[[Unit Number]:[NO. OF BEDROOMS]],2,FALSE)</f>
        <v>#N/A</v>
      </c>
    </row>
    <row r="132" spans="1:10" x14ac:dyDescent="0.25">
      <c r="A132"/>
      <c r="B132"/>
      <c r="C132"/>
      <c r="D132"/>
      <c r="E132"/>
      <c r="F132"/>
      <c r="G132"/>
      <c r="H132"/>
      <c r="I132"/>
      <c r="J132" s="79" t="e">
        <f>VLOOKUP(A132,Table1[[Unit Number]:[NO. OF BEDROOMS]],2,FALSE)</f>
        <v>#N/A</v>
      </c>
    </row>
    <row r="133" spans="1:10" x14ac:dyDescent="0.25">
      <c r="A133"/>
      <c r="B133"/>
      <c r="C133"/>
      <c r="D133"/>
      <c r="E133"/>
      <c r="F133"/>
      <c r="G133"/>
      <c r="H133"/>
      <c r="I133"/>
      <c r="J133" s="79" t="e">
        <f>VLOOKUP(A133,Table1[[Unit Number]:[NO. OF BEDROOMS]],2,FALSE)</f>
        <v>#N/A</v>
      </c>
    </row>
    <row r="134" spans="1:10" x14ac:dyDescent="0.25">
      <c r="A134"/>
      <c r="B134"/>
      <c r="C134"/>
      <c r="D134"/>
      <c r="E134"/>
      <c r="F134"/>
      <c r="G134"/>
      <c r="H134"/>
      <c r="I134"/>
      <c r="J134" s="79" t="e">
        <f>VLOOKUP(A134,Table1[[Unit Number]:[NO. OF BEDROOMS]],2,FALSE)</f>
        <v>#N/A</v>
      </c>
    </row>
    <row r="135" spans="1:10" x14ac:dyDescent="0.25">
      <c r="A135"/>
      <c r="B135"/>
      <c r="C135"/>
      <c r="D135"/>
      <c r="E135"/>
      <c r="F135"/>
      <c r="G135"/>
      <c r="H135"/>
      <c r="I135"/>
      <c r="J135" s="79" t="e">
        <f>VLOOKUP(A135,Table1[[Unit Number]:[NO. OF BEDROOMS]],2,FALSE)</f>
        <v>#N/A</v>
      </c>
    </row>
    <row r="136" spans="1:10" x14ac:dyDescent="0.25">
      <c r="A136"/>
      <c r="B136"/>
      <c r="C136"/>
      <c r="D136"/>
      <c r="E136"/>
      <c r="F136"/>
      <c r="G136"/>
      <c r="H136"/>
      <c r="I136"/>
      <c r="J136" s="79" t="e">
        <f>VLOOKUP(A136,Table1[[Unit Number]:[NO. OF BEDROOMS]],2,FALSE)</f>
        <v>#N/A</v>
      </c>
    </row>
    <row r="137" spans="1:10" x14ac:dyDescent="0.25">
      <c r="A137"/>
      <c r="B137"/>
      <c r="C137"/>
      <c r="D137"/>
      <c r="E137"/>
      <c r="F137"/>
      <c r="G137"/>
      <c r="H137"/>
      <c r="I137"/>
      <c r="J137" s="79" t="e">
        <f>VLOOKUP(A137,Table1[[Unit Number]:[NO. OF BEDROOMS]],2,FALSE)</f>
        <v>#N/A</v>
      </c>
    </row>
    <row r="138" spans="1:10" x14ac:dyDescent="0.25">
      <c r="A138"/>
      <c r="B138"/>
      <c r="C138"/>
      <c r="D138"/>
      <c r="E138"/>
      <c r="F138"/>
      <c r="G138"/>
      <c r="H138"/>
      <c r="I138"/>
      <c r="J138" s="79" t="e">
        <f>VLOOKUP(A138,Table1[[Unit Number]:[NO. OF BEDROOMS]],2,FALSE)</f>
        <v>#N/A</v>
      </c>
    </row>
    <row r="139" spans="1:10" x14ac:dyDescent="0.25">
      <c r="A139"/>
      <c r="B139"/>
      <c r="C139"/>
      <c r="D139"/>
      <c r="E139"/>
      <c r="F139"/>
      <c r="G139"/>
      <c r="H139"/>
      <c r="I139"/>
      <c r="J139" s="79" t="e">
        <f>VLOOKUP(A139,Table1[[Unit Number]:[NO. OF BEDROOMS]],2,FALSE)</f>
        <v>#N/A</v>
      </c>
    </row>
    <row r="140" spans="1:10" x14ac:dyDescent="0.25">
      <c r="A140"/>
      <c r="B140"/>
      <c r="C140"/>
      <c r="D140"/>
      <c r="E140"/>
      <c r="F140"/>
      <c r="G140"/>
      <c r="H140"/>
      <c r="I140"/>
      <c r="J140" s="79" t="e">
        <f>VLOOKUP(A140,Table1[[Unit Number]:[NO. OF BEDROOMS]],2,FALSE)</f>
        <v>#N/A</v>
      </c>
    </row>
    <row r="141" spans="1:10" x14ac:dyDescent="0.25">
      <c r="A141"/>
      <c r="B141"/>
      <c r="C141"/>
      <c r="D141"/>
      <c r="E141"/>
      <c r="F141"/>
      <c r="G141"/>
      <c r="H141"/>
      <c r="I141"/>
      <c r="J141" s="79" t="e">
        <f>VLOOKUP(A141,Table1[[Unit Number]:[NO. OF BEDROOMS]],2,FALSE)</f>
        <v>#N/A</v>
      </c>
    </row>
    <row r="142" spans="1:10" x14ac:dyDescent="0.25">
      <c r="A142"/>
      <c r="B142"/>
      <c r="C142"/>
      <c r="D142"/>
      <c r="E142"/>
      <c r="F142"/>
      <c r="G142"/>
      <c r="H142"/>
      <c r="I142"/>
      <c r="J142" s="79" t="e">
        <f>VLOOKUP(A142,Table1[[Unit Number]:[NO. OF BEDROOMS]],2,FALSE)</f>
        <v>#N/A</v>
      </c>
    </row>
    <row r="143" spans="1:10" x14ac:dyDescent="0.25">
      <c r="A143"/>
      <c r="B143"/>
      <c r="C143"/>
      <c r="D143"/>
      <c r="E143"/>
      <c r="F143"/>
      <c r="G143"/>
      <c r="H143"/>
      <c r="I143"/>
      <c r="J143" s="79" t="e">
        <f>VLOOKUP(A143,Table1[[Unit Number]:[NO. OF BEDROOMS]],2,FALSE)</f>
        <v>#N/A</v>
      </c>
    </row>
    <row r="144" spans="1:10" x14ac:dyDescent="0.25">
      <c r="A144"/>
      <c r="B144"/>
      <c r="C144"/>
      <c r="D144"/>
      <c r="E144"/>
      <c r="F144"/>
      <c r="G144"/>
      <c r="H144"/>
      <c r="I144"/>
      <c r="J144" s="79" t="e">
        <f>VLOOKUP(A144,Table1[[Unit Number]:[NO. OF BEDROOMS]],2,FALSE)</f>
        <v>#N/A</v>
      </c>
    </row>
    <row r="145" spans="1:10" x14ac:dyDescent="0.25">
      <c r="A145"/>
      <c r="B145"/>
      <c r="C145"/>
      <c r="D145"/>
      <c r="E145"/>
      <c r="F145"/>
      <c r="G145"/>
      <c r="H145"/>
      <c r="I145"/>
      <c r="J145" s="79" t="e">
        <f>VLOOKUP(A145,Table1[[Unit Number]:[NO. OF BEDROOMS]],2,FALSE)</f>
        <v>#N/A</v>
      </c>
    </row>
    <row r="146" spans="1:10" x14ac:dyDescent="0.25">
      <c r="A146"/>
      <c r="B146"/>
      <c r="C146"/>
      <c r="D146"/>
      <c r="E146"/>
      <c r="F146"/>
      <c r="G146"/>
      <c r="H146"/>
      <c r="I146"/>
      <c r="J146" s="79" t="e">
        <f>VLOOKUP(A146,Table1[[Unit Number]:[NO. OF BEDROOMS]],2,FALSE)</f>
        <v>#N/A</v>
      </c>
    </row>
    <row r="147" spans="1:10" x14ac:dyDescent="0.25">
      <c r="A147"/>
      <c r="B147"/>
      <c r="C147"/>
      <c r="D147"/>
      <c r="E147"/>
      <c r="F147"/>
      <c r="G147"/>
      <c r="H147"/>
      <c r="I147"/>
      <c r="J147" s="79" t="e">
        <f>VLOOKUP(A147,Table1[[Unit Number]:[NO. OF BEDROOMS]],2,FALSE)</f>
        <v>#N/A</v>
      </c>
    </row>
    <row r="148" spans="1:10" x14ac:dyDescent="0.25">
      <c r="A148"/>
      <c r="B148"/>
      <c r="C148"/>
      <c r="D148"/>
      <c r="E148"/>
      <c r="F148"/>
      <c r="G148"/>
      <c r="H148"/>
      <c r="I148"/>
      <c r="J148" s="79" t="e">
        <f>VLOOKUP(A148,Table1[[Unit Number]:[NO. OF BEDROOMS]],2,FALSE)</f>
        <v>#N/A</v>
      </c>
    </row>
    <row r="149" spans="1:10" x14ac:dyDescent="0.25">
      <c r="A149"/>
      <c r="B149"/>
      <c r="C149"/>
      <c r="D149"/>
      <c r="E149"/>
      <c r="F149"/>
      <c r="G149"/>
      <c r="H149"/>
      <c r="I149"/>
      <c r="J149" s="79" t="e">
        <f>VLOOKUP(A149,Table1[[Unit Number]:[NO. OF BEDROOMS]],2,FALSE)</f>
        <v>#N/A</v>
      </c>
    </row>
    <row r="150" spans="1:10" x14ac:dyDescent="0.25">
      <c r="A150"/>
      <c r="B150"/>
      <c r="C150"/>
      <c r="D150"/>
      <c r="E150"/>
      <c r="F150"/>
      <c r="G150"/>
      <c r="H150"/>
      <c r="I150"/>
      <c r="J150" s="79" t="e">
        <f>VLOOKUP(A150,Table1[[Unit Number]:[NO. OF BEDROOMS]],2,FALSE)</f>
        <v>#N/A</v>
      </c>
    </row>
    <row r="151" spans="1:10" x14ac:dyDescent="0.25">
      <c r="A151"/>
      <c r="B151"/>
      <c r="C151"/>
      <c r="D151"/>
      <c r="E151"/>
      <c r="F151"/>
      <c r="G151"/>
      <c r="H151"/>
      <c r="I151"/>
      <c r="J151" s="79" t="e">
        <f>VLOOKUP(A151,Table1[[Unit Number]:[NO. OF BEDROOMS]],2,FALSE)</f>
        <v>#N/A</v>
      </c>
    </row>
    <row r="152" spans="1:10" x14ac:dyDescent="0.25">
      <c r="A152"/>
      <c r="B152"/>
      <c r="C152"/>
      <c r="D152"/>
      <c r="E152"/>
      <c r="F152"/>
      <c r="G152"/>
      <c r="H152"/>
      <c r="I152"/>
      <c r="J152" s="79" t="e">
        <f>VLOOKUP(A152,Table1[[Unit Number]:[NO. OF BEDROOMS]],2,FALSE)</f>
        <v>#N/A</v>
      </c>
    </row>
    <row r="153" spans="1:10" x14ac:dyDescent="0.25">
      <c r="A153"/>
      <c r="B153"/>
      <c r="C153"/>
      <c r="D153"/>
      <c r="E153"/>
      <c r="F153"/>
      <c r="G153"/>
      <c r="H153"/>
      <c r="I153"/>
      <c r="J153" s="79" t="e">
        <f>VLOOKUP(A153,Table1[[Unit Number]:[NO. OF BEDROOMS]],2,FALSE)</f>
        <v>#N/A</v>
      </c>
    </row>
    <row r="154" spans="1:10" x14ac:dyDescent="0.25">
      <c r="A154"/>
      <c r="B154"/>
      <c r="C154"/>
      <c r="D154"/>
      <c r="E154"/>
      <c r="F154"/>
      <c r="G154"/>
      <c r="H154"/>
      <c r="I154"/>
      <c r="J154" s="79" t="e">
        <f>VLOOKUP(A154,Table1[[Unit Number]:[NO. OF BEDROOMS]],2,FALSE)</f>
        <v>#N/A</v>
      </c>
    </row>
    <row r="155" spans="1:10" x14ac:dyDescent="0.25">
      <c r="A155"/>
      <c r="B155"/>
      <c r="C155"/>
      <c r="D155"/>
      <c r="E155"/>
      <c r="F155"/>
      <c r="G155"/>
      <c r="H155"/>
      <c r="I155"/>
      <c r="J155" s="79" t="e">
        <f>VLOOKUP(A155,Table1[[Unit Number]:[NO. OF BEDROOMS]],2,FALSE)</f>
        <v>#N/A</v>
      </c>
    </row>
    <row r="156" spans="1:10" x14ac:dyDescent="0.25">
      <c r="A156"/>
      <c r="B156"/>
      <c r="C156"/>
      <c r="D156"/>
      <c r="E156"/>
      <c r="F156"/>
      <c r="G156"/>
      <c r="H156"/>
      <c r="I156"/>
      <c r="J156" s="79" t="e">
        <f>VLOOKUP(A156,Table1[[Unit Number]:[NO. OF BEDROOMS]],2,FALSE)</f>
        <v>#N/A</v>
      </c>
    </row>
    <row r="157" spans="1:10" x14ac:dyDescent="0.25">
      <c r="A157"/>
      <c r="B157"/>
      <c r="C157"/>
      <c r="D157"/>
      <c r="E157"/>
      <c r="F157"/>
      <c r="G157"/>
      <c r="H157"/>
      <c r="I157"/>
      <c r="J157" s="79" t="e">
        <f>VLOOKUP(A157,Table1[[Unit Number]:[NO. OF BEDROOMS]],2,FALSE)</f>
        <v>#N/A</v>
      </c>
    </row>
    <row r="158" spans="1:10" x14ac:dyDescent="0.25">
      <c r="A158"/>
      <c r="B158"/>
      <c r="C158"/>
      <c r="D158"/>
      <c r="E158"/>
      <c r="F158"/>
      <c r="G158"/>
      <c r="H158"/>
      <c r="I158"/>
      <c r="J158" s="79" t="e">
        <f>VLOOKUP(A158,Table1[[Unit Number]:[NO. OF BEDROOMS]],2,FALSE)</f>
        <v>#N/A</v>
      </c>
    </row>
    <row r="159" spans="1:10" x14ac:dyDescent="0.25">
      <c r="A159"/>
      <c r="B159"/>
      <c r="C159"/>
      <c r="D159"/>
      <c r="E159"/>
      <c r="F159"/>
      <c r="G159"/>
      <c r="H159"/>
      <c r="I159"/>
      <c r="J159" s="79" t="e">
        <f>VLOOKUP(A159,Table1[[Unit Number]:[NO. OF BEDROOMS]],2,FALSE)</f>
        <v>#N/A</v>
      </c>
    </row>
    <row r="160" spans="1:10" x14ac:dyDescent="0.25">
      <c r="A160"/>
      <c r="B160"/>
      <c r="C160"/>
      <c r="D160"/>
      <c r="E160"/>
      <c r="F160"/>
      <c r="G160"/>
      <c r="H160"/>
      <c r="I160"/>
      <c r="J160" s="79" t="e">
        <f>VLOOKUP(A160,Table1[[Unit Number]:[NO. OF BEDROOMS]],2,FALSE)</f>
        <v>#N/A</v>
      </c>
    </row>
    <row r="161" spans="1:10" x14ac:dyDescent="0.25">
      <c r="A161"/>
      <c r="B161"/>
      <c r="C161"/>
      <c r="D161"/>
      <c r="E161"/>
      <c r="F161"/>
      <c r="G161"/>
      <c r="H161"/>
      <c r="I161"/>
      <c r="J161" s="79" t="e">
        <f>VLOOKUP(A161,Table1[[Unit Number]:[NO. OF BEDROOMS]],2,FALSE)</f>
        <v>#N/A</v>
      </c>
    </row>
    <row r="162" spans="1:10" x14ac:dyDescent="0.25">
      <c r="A162"/>
      <c r="B162"/>
      <c r="C162"/>
      <c r="D162"/>
      <c r="E162"/>
      <c r="F162"/>
      <c r="G162"/>
      <c r="H162"/>
      <c r="I162"/>
      <c r="J162" s="79" t="e">
        <f>VLOOKUP(A162,Table1[[Unit Number]:[NO. OF BEDROOMS]],2,FALSE)</f>
        <v>#N/A</v>
      </c>
    </row>
    <row r="163" spans="1:10" x14ac:dyDescent="0.25">
      <c r="A163"/>
      <c r="B163"/>
      <c r="C163"/>
      <c r="D163"/>
      <c r="E163"/>
      <c r="F163"/>
      <c r="G163"/>
      <c r="H163"/>
      <c r="I163"/>
    </row>
    <row r="164" spans="1:10" x14ac:dyDescent="0.25">
      <c r="A164"/>
      <c r="B164"/>
      <c r="C164"/>
      <c r="D164"/>
      <c r="E164"/>
      <c r="F164"/>
      <c r="G164"/>
      <c r="H164"/>
      <c r="I164"/>
    </row>
    <row r="165" spans="1:10" x14ac:dyDescent="0.25">
      <c r="A165"/>
      <c r="B165"/>
      <c r="C165"/>
      <c r="D165"/>
      <c r="E165"/>
      <c r="F165"/>
      <c r="G165"/>
      <c r="H165"/>
      <c r="I165"/>
    </row>
    <row r="166" spans="1:10" x14ac:dyDescent="0.25">
      <c r="A166"/>
      <c r="B166"/>
      <c r="C166"/>
      <c r="D166"/>
      <c r="E166"/>
      <c r="F166"/>
      <c r="G166"/>
      <c r="H166"/>
      <c r="I166"/>
    </row>
    <row r="167" spans="1:10" x14ac:dyDescent="0.25">
      <c r="A167"/>
      <c r="B167"/>
      <c r="C167"/>
      <c r="D167"/>
      <c r="E167"/>
      <c r="F167"/>
      <c r="G167"/>
      <c r="H167"/>
      <c r="I167"/>
    </row>
    <row r="168" spans="1:10" x14ac:dyDescent="0.25">
      <c r="A168"/>
      <c r="B168"/>
      <c r="C168"/>
      <c r="D168"/>
      <c r="E168"/>
      <c r="F168"/>
      <c r="G168"/>
      <c r="H168"/>
      <c r="I168"/>
    </row>
    <row r="169" spans="1:10" x14ac:dyDescent="0.25">
      <c r="A169"/>
      <c r="B169"/>
      <c r="C169"/>
      <c r="D169"/>
      <c r="E169"/>
      <c r="F169"/>
      <c r="G169"/>
      <c r="H169"/>
      <c r="I169"/>
    </row>
    <row r="170" spans="1:10" x14ac:dyDescent="0.25">
      <c r="A170"/>
      <c r="B170"/>
      <c r="C170"/>
      <c r="D170"/>
      <c r="E170"/>
      <c r="F170"/>
      <c r="G170"/>
      <c r="H170"/>
      <c r="I170"/>
    </row>
    <row r="171" spans="1:10" x14ac:dyDescent="0.25">
      <c r="A171"/>
      <c r="B171"/>
      <c r="C171"/>
      <c r="D171"/>
      <c r="E171"/>
      <c r="F171"/>
      <c r="G171"/>
      <c r="H171"/>
      <c r="I171"/>
    </row>
    <row r="172" spans="1:10" x14ac:dyDescent="0.25">
      <c r="A172"/>
      <c r="B172"/>
      <c r="C172"/>
      <c r="D172"/>
      <c r="E172"/>
      <c r="F172"/>
      <c r="G172"/>
      <c r="H172"/>
      <c r="I172"/>
    </row>
    <row r="173" spans="1:10" x14ac:dyDescent="0.25">
      <c r="A173"/>
      <c r="B173"/>
      <c r="C173"/>
      <c r="D173"/>
      <c r="E173"/>
      <c r="F173"/>
      <c r="G173"/>
      <c r="H173"/>
      <c r="I173"/>
    </row>
    <row r="174" spans="1:10" x14ac:dyDescent="0.25">
      <c r="A174"/>
      <c r="B174"/>
      <c r="C174"/>
      <c r="D174"/>
      <c r="E174"/>
      <c r="F174"/>
      <c r="G174"/>
      <c r="H174"/>
      <c r="I174"/>
    </row>
    <row r="175" spans="1:10" x14ac:dyDescent="0.25">
      <c r="A175"/>
      <c r="B175"/>
      <c r="C175"/>
      <c r="D175"/>
      <c r="E175"/>
      <c r="F175"/>
      <c r="G175"/>
      <c r="H175"/>
      <c r="I175"/>
    </row>
    <row r="176" spans="1:10" x14ac:dyDescent="0.25">
      <c r="A176"/>
      <c r="B176"/>
      <c r="C176"/>
      <c r="D176"/>
      <c r="E176"/>
      <c r="F176"/>
      <c r="G176"/>
      <c r="H176"/>
      <c r="I176"/>
    </row>
    <row r="177" spans="1:9" x14ac:dyDescent="0.25">
      <c r="A177"/>
      <c r="B177"/>
      <c r="C177"/>
      <c r="D177"/>
      <c r="E177"/>
      <c r="F177"/>
      <c r="G177"/>
      <c r="H177"/>
      <c r="I177"/>
    </row>
    <row r="178" spans="1:9" x14ac:dyDescent="0.25">
      <c r="A178"/>
      <c r="B178"/>
      <c r="C178"/>
      <c r="D178"/>
      <c r="E178"/>
      <c r="F178"/>
      <c r="G178"/>
      <c r="H178"/>
      <c r="I178"/>
    </row>
    <row r="179" spans="1:9" x14ac:dyDescent="0.25">
      <c r="A179"/>
      <c r="B179"/>
      <c r="C179"/>
      <c r="D179"/>
      <c r="E179"/>
      <c r="F179"/>
      <c r="G179"/>
      <c r="H179"/>
      <c r="I179"/>
    </row>
    <row r="180" spans="1:9" x14ac:dyDescent="0.25">
      <c r="A180"/>
      <c r="B180"/>
      <c r="C180"/>
      <c r="D180"/>
      <c r="E180"/>
      <c r="F180"/>
      <c r="G180"/>
      <c r="H180"/>
      <c r="I180"/>
    </row>
    <row r="181" spans="1:9" x14ac:dyDescent="0.25">
      <c r="A181"/>
      <c r="B181"/>
      <c r="C181"/>
      <c r="D181"/>
      <c r="E181"/>
      <c r="F181"/>
      <c r="G181"/>
      <c r="H181"/>
      <c r="I181"/>
    </row>
    <row r="182" spans="1:9" x14ac:dyDescent="0.25">
      <c r="A182"/>
      <c r="B182"/>
      <c r="C182"/>
      <c r="D182"/>
      <c r="E182"/>
      <c r="F182"/>
      <c r="G182"/>
      <c r="H182"/>
      <c r="I182"/>
    </row>
    <row r="183" spans="1:9" x14ac:dyDescent="0.25">
      <c r="A183"/>
      <c r="B183"/>
      <c r="C183"/>
      <c r="D183"/>
      <c r="E183"/>
      <c r="F183"/>
      <c r="G183"/>
      <c r="H183"/>
      <c r="I183"/>
    </row>
    <row r="184" spans="1:9" x14ac:dyDescent="0.25">
      <c r="A184"/>
      <c r="B184"/>
      <c r="C184"/>
      <c r="D184"/>
      <c r="E184"/>
      <c r="F184"/>
      <c r="G184"/>
      <c r="H184"/>
      <c r="I184"/>
    </row>
    <row r="185" spans="1:9" x14ac:dyDescent="0.25">
      <c r="A185"/>
      <c r="B185"/>
      <c r="C185"/>
      <c r="D185"/>
      <c r="E185"/>
      <c r="F185"/>
      <c r="G185"/>
      <c r="H185"/>
      <c r="I185"/>
    </row>
    <row r="186" spans="1:9" x14ac:dyDescent="0.25">
      <c r="A186"/>
      <c r="B186"/>
      <c r="C186"/>
      <c r="D186"/>
      <c r="E186"/>
      <c r="F186"/>
      <c r="G186"/>
      <c r="H186"/>
      <c r="I186"/>
    </row>
    <row r="187" spans="1:9" x14ac:dyDescent="0.25">
      <c r="A187"/>
      <c r="B187"/>
      <c r="C187"/>
      <c r="D187"/>
      <c r="E187"/>
      <c r="F187"/>
      <c r="G187"/>
      <c r="H187"/>
      <c r="I187"/>
    </row>
    <row r="188" spans="1:9" x14ac:dyDescent="0.25">
      <c r="A188"/>
      <c r="B188"/>
      <c r="C188"/>
      <c r="D188"/>
      <c r="E188"/>
      <c r="F188"/>
      <c r="G188"/>
      <c r="H188"/>
      <c r="I188"/>
    </row>
    <row r="189" spans="1:9" x14ac:dyDescent="0.25">
      <c r="A189"/>
      <c r="B189"/>
      <c r="C189"/>
      <c r="D189"/>
      <c r="E189"/>
      <c r="F189"/>
      <c r="G189"/>
      <c r="H189"/>
      <c r="I189"/>
    </row>
    <row r="190" spans="1:9" x14ac:dyDescent="0.25">
      <c r="A190"/>
      <c r="B190"/>
      <c r="C190"/>
      <c r="D190"/>
      <c r="E190"/>
      <c r="F190"/>
      <c r="G190"/>
      <c r="H190"/>
      <c r="I190"/>
    </row>
    <row r="191" spans="1:9" x14ac:dyDescent="0.25">
      <c r="A191"/>
      <c r="B191"/>
      <c r="C191"/>
      <c r="D191"/>
      <c r="E191"/>
      <c r="F191"/>
      <c r="G191"/>
      <c r="H191"/>
      <c r="I191"/>
    </row>
    <row r="192" spans="1:9" x14ac:dyDescent="0.25">
      <c r="A192"/>
      <c r="B192"/>
      <c r="C192"/>
      <c r="D192"/>
      <c r="E192"/>
      <c r="F192"/>
      <c r="G192"/>
      <c r="H192"/>
      <c r="I192"/>
    </row>
    <row r="193" spans="1:9" x14ac:dyDescent="0.25">
      <c r="A193"/>
      <c r="B193"/>
      <c r="C193"/>
      <c r="D193"/>
      <c r="E193"/>
      <c r="F193"/>
      <c r="G193"/>
      <c r="H193"/>
      <c r="I193"/>
    </row>
    <row r="194" spans="1:9" x14ac:dyDescent="0.25">
      <c r="A194"/>
      <c r="B194"/>
      <c r="C194"/>
      <c r="D194"/>
      <c r="E194"/>
      <c r="F194"/>
      <c r="G194"/>
      <c r="H194"/>
      <c r="I194"/>
    </row>
    <row r="195" spans="1:9" x14ac:dyDescent="0.25">
      <c r="A195"/>
      <c r="B195"/>
      <c r="C195"/>
      <c r="D195"/>
      <c r="E195"/>
      <c r="F195"/>
      <c r="G195"/>
      <c r="H195"/>
      <c r="I195"/>
    </row>
    <row r="196" spans="1:9" x14ac:dyDescent="0.25">
      <c r="A196"/>
      <c r="B196"/>
      <c r="C196"/>
      <c r="D196"/>
      <c r="E196"/>
      <c r="F196"/>
      <c r="G196"/>
      <c r="H196"/>
      <c r="I196"/>
    </row>
    <row r="197" spans="1:9" x14ac:dyDescent="0.25">
      <c r="A197"/>
      <c r="B197"/>
      <c r="C197"/>
      <c r="D197"/>
      <c r="E197"/>
      <c r="F197"/>
      <c r="G197"/>
      <c r="H197"/>
      <c r="I197"/>
    </row>
    <row r="198" spans="1:9" x14ac:dyDescent="0.25">
      <c r="A198"/>
      <c r="B198"/>
      <c r="C198"/>
      <c r="D198"/>
      <c r="E198"/>
      <c r="F198"/>
      <c r="G198"/>
      <c r="H198"/>
      <c r="I198"/>
    </row>
    <row r="199" spans="1:9" x14ac:dyDescent="0.25">
      <c r="A199"/>
      <c r="B199"/>
      <c r="C199"/>
      <c r="D199"/>
      <c r="E199"/>
      <c r="F199"/>
      <c r="G199"/>
      <c r="H199"/>
      <c r="I199"/>
    </row>
    <row r="200" spans="1:9" x14ac:dyDescent="0.25">
      <c r="A200"/>
      <c r="B200"/>
      <c r="C200"/>
      <c r="D200"/>
      <c r="E200"/>
      <c r="F200"/>
      <c r="G200"/>
      <c r="H200"/>
      <c r="I200"/>
    </row>
    <row r="201" spans="1:9" x14ac:dyDescent="0.25">
      <c r="A201"/>
      <c r="B201"/>
      <c r="C201"/>
      <c r="D201"/>
      <c r="E201"/>
      <c r="F201"/>
      <c r="G201"/>
      <c r="H201"/>
      <c r="I201"/>
    </row>
    <row r="202" spans="1:9" x14ac:dyDescent="0.25">
      <c r="A202"/>
      <c r="B202"/>
      <c r="C202"/>
      <c r="D202"/>
      <c r="E202"/>
      <c r="F202"/>
      <c r="G202"/>
      <c r="H202"/>
      <c r="I202"/>
    </row>
    <row r="203" spans="1:9" x14ac:dyDescent="0.25">
      <c r="A203"/>
      <c r="B203"/>
      <c r="C203"/>
      <c r="D203"/>
      <c r="E203"/>
      <c r="F203"/>
      <c r="G203"/>
      <c r="H203"/>
      <c r="I203"/>
    </row>
    <row r="204" spans="1:9" x14ac:dyDescent="0.25">
      <c r="A204"/>
      <c r="B204"/>
      <c r="C204"/>
      <c r="D204"/>
      <c r="E204"/>
      <c r="F204"/>
      <c r="G204"/>
      <c r="H204"/>
      <c r="I204"/>
    </row>
    <row r="205" spans="1:9" x14ac:dyDescent="0.25">
      <c r="A205"/>
      <c r="B205"/>
      <c r="C205"/>
      <c r="D205"/>
      <c r="E205"/>
      <c r="F205"/>
      <c r="G205"/>
      <c r="H205"/>
      <c r="I205"/>
    </row>
    <row r="206" spans="1:9" x14ac:dyDescent="0.25">
      <c r="A206"/>
      <c r="B206"/>
      <c r="C206"/>
      <c r="D206"/>
      <c r="E206"/>
      <c r="F206"/>
      <c r="G206"/>
      <c r="H206"/>
      <c r="I206"/>
    </row>
    <row r="207" spans="1:9" x14ac:dyDescent="0.25">
      <c r="A207"/>
      <c r="B207"/>
      <c r="C207"/>
      <c r="D207"/>
      <c r="E207"/>
      <c r="F207"/>
      <c r="G207"/>
      <c r="H207"/>
      <c r="I207"/>
    </row>
    <row r="208" spans="1:9" x14ac:dyDescent="0.25">
      <c r="A208"/>
      <c r="B208"/>
      <c r="C208"/>
      <c r="D208"/>
      <c r="E208"/>
      <c r="F208"/>
      <c r="G208"/>
      <c r="H208"/>
      <c r="I208"/>
    </row>
    <row r="209" spans="1:9" x14ac:dyDescent="0.25">
      <c r="A209"/>
      <c r="B209"/>
      <c r="C209"/>
      <c r="D209"/>
      <c r="E209"/>
      <c r="F209"/>
      <c r="G209"/>
      <c r="H209"/>
      <c r="I209"/>
    </row>
    <row r="210" spans="1:9" x14ac:dyDescent="0.25">
      <c r="A210"/>
      <c r="B210"/>
      <c r="C210"/>
      <c r="D210"/>
      <c r="E210"/>
      <c r="F210"/>
      <c r="G210"/>
      <c r="H210"/>
      <c r="I210"/>
    </row>
    <row r="211" spans="1:9" x14ac:dyDescent="0.25">
      <c r="A211"/>
      <c r="B211"/>
      <c r="C211"/>
      <c r="D211"/>
      <c r="E211"/>
      <c r="F211"/>
      <c r="G211"/>
      <c r="H211"/>
      <c r="I211"/>
    </row>
    <row r="212" spans="1:9" x14ac:dyDescent="0.25">
      <c r="A212"/>
      <c r="B212"/>
      <c r="C212"/>
      <c r="D212"/>
      <c r="E212"/>
      <c r="F212"/>
      <c r="G212"/>
      <c r="H212"/>
      <c r="I212"/>
    </row>
    <row r="213" spans="1:9" x14ac:dyDescent="0.25">
      <c r="A213"/>
      <c r="B213"/>
      <c r="C213"/>
      <c r="D213"/>
      <c r="E213"/>
      <c r="F213"/>
      <c r="G213"/>
      <c r="H213"/>
      <c r="I213"/>
    </row>
    <row r="214" spans="1:9" x14ac:dyDescent="0.25">
      <c r="A214"/>
      <c r="B214"/>
      <c r="C214"/>
      <c r="D214"/>
      <c r="E214"/>
      <c r="F214"/>
      <c r="G214"/>
      <c r="H214"/>
      <c r="I214"/>
    </row>
    <row r="215" spans="1:9" x14ac:dyDescent="0.25">
      <c r="A215"/>
      <c r="B215"/>
      <c r="C215"/>
      <c r="D215"/>
      <c r="E215"/>
      <c r="F215"/>
      <c r="G215"/>
      <c r="H215"/>
      <c r="I215"/>
    </row>
    <row r="216" spans="1:9" x14ac:dyDescent="0.25">
      <c r="A216"/>
      <c r="B216"/>
      <c r="C216"/>
      <c r="D216"/>
      <c r="E216"/>
      <c r="F216"/>
      <c r="G216"/>
      <c r="H216"/>
      <c r="I216"/>
    </row>
    <row r="217" spans="1:9" x14ac:dyDescent="0.25">
      <c r="A217"/>
      <c r="B217"/>
      <c r="C217"/>
      <c r="D217"/>
      <c r="E217"/>
      <c r="F217"/>
      <c r="G217"/>
      <c r="H217"/>
      <c r="I217"/>
    </row>
    <row r="218" spans="1:9" x14ac:dyDescent="0.25">
      <c r="A218"/>
      <c r="B218"/>
      <c r="C218"/>
      <c r="D218"/>
      <c r="E218"/>
      <c r="F218"/>
      <c r="G218"/>
      <c r="H218"/>
      <c r="I218"/>
    </row>
    <row r="219" spans="1:9" x14ac:dyDescent="0.25">
      <c r="A219"/>
      <c r="B219"/>
      <c r="C219"/>
      <c r="D219"/>
      <c r="E219"/>
      <c r="F219"/>
      <c r="G219"/>
      <c r="H219"/>
      <c r="I219"/>
    </row>
    <row r="220" spans="1:9" x14ac:dyDescent="0.25">
      <c r="A220"/>
      <c r="B220"/>
      <c r="C220"/>
      <c r="D220"/>
      <c r="E220"/>
      <c r="F220"/>
      <c r="G220"/>
      <c r="H220"/>
      <c r="I220"/>
    </row>
    <row r="221" spans="1:9" x14ac:dyDescent="0.25">
      <c r="A221"/>
      <c r="B221"/>
      <c r="C221"/>
      <c r="D221"/>
      <c r="E221"/>
      <c r="F221"/>
      <c r="G221"/>
      <c r="H221"/>
      <c r="I221"/>
    </row>
    <row r="222" spans="1:9" x14ac:dyDescent="0.25">
      <c r="A222"/>
      <c r="B222"/>
      <c r="C222"/>
      <c r="D222"/>
      <c r="E222"/>
      <c r="F222"/>
      <c r="G222"/>
      <c r="H222"/>
      <c r="I222"/>
    </row>
    <row r="223" spans="1:9" x14ac:dyDescent="0.25">
      <c r="A223"/>
      <c r="B223"/>
      <c r="C223"/>
      <c r="D223"/>
      <c r="E223"/>
      <c r="F223"/>
      <c r="G223"/>
      <c r="H223"/>
      <c r="I223"/>
    </row>
    <row r="224" spans="1:9" x14ac:dyDescent="0.25">
      <c r="A224"/>
      <c r="B224"/>
      <c r="C224"/>
      <c r="D224"/>
      <c r="E224"/>
      <c r="F224"/>
      <c r="G224"/>
      <c r="H224"/>
      <c r="I224"/>
    </row>
    <row r="225" spans="1:9" x14ac:dyDescent="0.25">
      <c r="A225"/>
      <c r="B225"/>
      <c r="C225"/>
      <c r="D225"/>
      <c r="E225"/>
      <c r="F225"/>
      <c r="G225"/>
      <c r="H225"/>
      <c r="I225"/>
    </row>
    <row r="226" spans="1:9" x14ac:dyDescent="0.25">
      <c r="A226"/>
      <c r="B226"/>
      <c r="C226"/>
      <c r="D226"/>
      <c r="E226"/>
      <c r="F226"/>
      <c r="G226"/>
      <c r="H226"/>
      <c r="I226"/>
    </row>
    <row r="227" spans="1:9" x14ac:dyDescent="0.25">
      <c r="A227"/>
      <c r="B227"/>
      <c r="C227"/>
      <c r="D227"/>
      <c r="E227"/>
      <c r="F227"/>
      <c r="G227"/>
      <c r="H227"/>
      <c r="I227"/>
    </row>
    <row r="228" spans="1:9" x14ac:dyDescent="0.25">
      <c r="A228"/>
      <c r="B228"/>
      <c r="C228"/>
      <c r="D228"/>
      <c r="E228"/>
      <c r="F228"/>
      <c r="G228"/>
      <c r="H228"/>
      <c r="I228"/>
    </row>
    <row r="229" spans="1:9" x14ac:dyDescent="0.25">
      <c r="A229"/>
      <c r="B229"/>
      <c r="C229"/>
      <c r="D229"/>
      <c r="E229"/>
      <c r="F229"/>
      <c r="G229"/>
      <c r="H229"/>
      <c r="I229"/>
    </row>
    <row r="230" spans="1:9" x14ac:dyDescent="0.25">
      <c r="A230"/>
      <c r="B230"/>
      <c r="C230"/>
      <c r="D230"/>
      <c r="E230"/>
      <c r="F230"/>
      <c r="G230"/>
      <c r="H230"/>
      <c r="I230"/>
    </row>
    <row r="231" spans="1:9" x14ac:dyDescent="0.25">
      <c r="A231"/>
      <c r="B231"/>
      <c r="C231"/>
      <c r="D231"/>
      <c r="E231"/>
      <c r="F231"/>
      <c r="G231"/>
      <c r="H231"/>
      <c r="I231"/>
    </row>
    <row r="232" spans="1:9" x14ac:dyDescent="0.25">
      <c r="A232"/>
      <c r="B232"/>
      <c r="C232"/>
      <c r="D232"/>
      <c r="E232"/>
      <c r="F232"/>
      <c r="G232"/>
      <c r="H232"/>
      <c r="I232"/>
    </row>
    <row r="233" spans="1:9" x14ac:dyDescent="0.25">
      <c r="A233"/>
      <c r="B233"/>
      <c r="C233"/>
      <c r="D233"/>
      <c r="E233"/>
      <c r="F233"/>
      <c r="G233"/>
      <c r="H233"/>
      <c r="I233"/>
    </row>
    <row r="234" spans="1:9" x14ac:dyDescent="0.25">
      <c r="A234"/>
      <c r="B234"/>
      <c r="C234"/>
      <c r="D234"/>
      <c r="E234"/>
      <c r="F234"/>
      <c r="G234"/>
      <c r="H234"/>
      <c r="I234"/>
    </row>
    <row r="235" spans="1:9" x14ac:dyDescent="0.25">
      <c r="A235"/>
      <c r="B235"/>
      <c r="C235"/>
      <c r="D235"/>
      <c r="E235"/>
      <c r="F235"/>
      <c r="G235"/>
      <c r="H235"/>
      <c r="I235"/>
    </row>
    <row r="236" spans="1:9" x14ac:dyDescent="0.25">
      <c r="A236"/>
      <c r="B236"/>
      <c r="C236"/>
      <c r="D236"/>
      <c r="E236"/>
      <c r="F236"/>
      <c r="G236"/>
      <c r="H236"/>
      <c r="I236"/>
    </row>
    <row r="237" spans="1:9" x14ac:dyDescent="0.25">
      <c r="A237"/>
      <c r="B237"/>
      <c r="C237"/>
      <c r="D237"/>
      <c r="E237"/>
      <c r="F237"/>
      <c r="G237"/>
      <c r="H237"/>
      <c r="I237"/>
    </row>
    <row r="238" spans="1:9" x14ac:dyDescent="0.25">
      <c r="A238"/>
      <c r="B238"/>
      <c r="C238"/>
      <c r="D238"/>
      <c r="E238"/>
      <c r="F238"/>
      <c r="G238"/>
      <c r="H238"/>
      <c r="I238"/>
    </row>
    <row r="239" spans="1:9" x14ac:dyDescent="0.25">
      <c r="A239"/>
      <c r="B239"/>
      <c r="C239"/>
      <c r="D239"/>
      <c r="E239"/>
      <c r="F239"/>
      <c r="G239"/>
      <c r="H239"/>
      <c r="I239"/>
    </row>
    <row r="240" spans="1:9" x14ac:dyDescent="0.25">
      <c r="A240"/>
      <c r="B240"/>
      <c r="C240"/>
      <c r="D240"/>
      <c r="E240"/>
      <c r="F240"/>
      <c r="G240"/>
      <c r="H240"/>
      <c r="I240"/>
    </row>
    <row r="241" spans="1:9" x14ac:dyDescent="0.25">
      <c r="A241"/>
      <c r="B241"/>
      <c r="C241"/>
      <c r="D241"/>
      <c r="E241"/>
      <c r="F241"/>
      <c r="G241"/>
      <c r="H241"/>
      <c r="I241"/>
    </row>
    <row r="242" spans="1:9" x14ac:dyDescent="0.25">
      <c r="A242"/>
      <c r="B242"/>
      <c r="C242"/>
      <c r="D242"/>
      <c r="E242"/>
      <c r="F242"/>
      <c r="G242"/>
      <c r="H242"/>
      <c r="I242"/>
    </row>
    <row r="243" spans="1:9" x14ac:dyDescent="0.25">
      <c r="A243"/>
      <c r="B243"/>
      <c r="C243"/>
      <c r="D243"/>
      <c r="E243"/>
      <c r="F243"/>
      <c r="G243"/>
      <c r="H243"/>
      <c r="I243"/>
    </row>
    <row r="244" spans="1:9" x14ac:dyDescent="0.25">
      <c r="A244"/>
      <c r="B244"/>
      <c r="C244"/>
      <c r="D244"/>
      <c r="E244"/>
      <c r="F244"/>
      <c r="G244"/>
      <c r="H244"/>
      <c r="I244"/>
    </row>
    <row r="245" spans="1:9" x14ac:dyDescent="0.25">
      <c r="A245"/>
      <c r="B245"/>
      <c r="C245"/>
      <c r="D245"/>
      <c r="E245"/>
      <c r="F245"/>
      <c r="G245"/>
      <c r="H245"/>
      <c r="I245"/>
    </row>
    <row r="246" spans="1:9" x14ac:dyDescent="0.25">
      <c r="A246"/>
      <c r="B246"/>
      <c r="C246"/>
      <c r="D246"/>
      <c r="E246"/>
      <c r="F246"/>
      <c r="G246"/>
      <c r="H246"/>
      <c r="I246"/>
    </row>
    <row r="247" spans="1:9" x14ac:dyDescent="0.25">
      <c r="A247"/>
      <c r="B247"/>
      <c r="C247"/>
      <c r="D247"/>
      <c r="E247"/>
      <c r="F247"/>
      <c r="G247"/>
      <c r="H247"/>
      <c r="I247"/>
    </row>
    <row r="248" spans="1:9" x14ac:dyDescent="0.25">
      <c r="A248"/>
      <c r="B248"/>
      <c r="C248"/>
      <c r="D248"/>
      <c r="E248"/>
      <c r="F248"/>
      <c r="G248"/>
      <c r="H248"/>
      <c r="I248"/>
    </row>
    <row r="249" spans="1:9" x14ac:dyDescent="0.25">
      <c r="A249"/>
      <c r="B249"/>
      <c r="C249"/>
      <c r="D249"/>
      <c r="E249"/>
      <c r="F249"/>
      <c r="G249"/>
      <c r="H249"/>
      <c r="I249"/>
    </row>
    <row r="250" spans="1:9" x14ac:dyDescent="0.25">
      <c r="A250"/>
      <c r="B250"/>
      <c r="C250"/>
      <c r="D250"/>
      <c r="E250"/>
      <c r="F250"/>
      <c r="G250"/>
      <c r="H250"/>
      <c r="I250"/>
    </row>
    <row r="251" spans="1:9" x14ac:dyDescent="0.25">
      <c r="A251"/>
      <c r="B251"/>
      <c r="C251"/>
      <c r="D251"/>
      <c r="E251"/>
      <c r="F251"/>
      <c r="G251"/>
      <c r="H251"/>
      <c r="I251"/>
    </row>
    <row r="252" spans="1:9" x14ac:dyDescent="0.25">
      <c r="A252"/>
      <c r="B252"/>
      <c r="C252"/>
      <c r="D252"/>
      <c r="E252"/>
      <c r="F252"/>
      <c r="G252"/>
      <c r="H252"/>
      <c r="I252"/>
    </row>
    <row r="253" spans="1:9" x14ac:dyDescent="0.25">
      <c r="A253"/>
      <c r="B253"/>
      <c r="C253"/>
      <c r="D253"/>
      <c r="E253"/>
      <c r="F253"/>
      <c r="G253"/>
      <c r="H253"/>
      <c r="I253"/>
    </row>
    <row r="254" spans="1:9" x14ac:dyDescent="0.25">
      <c r="A254"/>
      <c r="B254"/>
      <c r="C254"/>
      <c r="D254"/>
      <c r="E254"/>
      <c r="F254"/>
      <c r="G254"/>
      <c r="H254"/>
      <c r="I254"/>
    </row>
    <row r="255" spans="1:9" x14ac:dyDescent="0.25">
      <c r="A255"/>
      <c r="B255"/>
      <c r="C255"/>
      <c r="D255"/>
      <c r="E255"/>
      <c r="F255"/>
      <c r="G255"/>
      <c r="H255"/>
      <c r="I255"/>
    </row>
    <row r="256" spans="1:9" x14ac:dyDescent="0.25">
      <c r="A256"/>
      <c r="B256"/>
      <c r="C256"/>
      <c r="D256"/>
      <c r="E256"/>
      <c r="F256"/>
      <c r="G256"/>
      <c r="H256"/>
      <c r="I256"/>
    </row>
    <row r="257" spans="1:9" x14ac:dyDescent="0.25">
      <c r="A257"/>
      <c r="B257"/>
      <c r="C257"/>
      <c r="D257"/>
      <c r="E257"/>
      <c r="F257"/>
      <c r="G257"/>
      <c r="H257"/>
      <c r="I257"/>
    </row>
    <row r="258" spans="1:9" x14ac:dyDescent="0.25">
      <c r="A258"/>
      <c r="B258"/>
      <c r="C258"/>
      <c r="D258"/>
      <c r="E258"/>
      <c r="F258"/>
      <c r="G258"/>
      <c r="H258"/>
      <c r="I258"/>
    </row>
    <row r="259" spans="1:9" x14ac:dyDescent="0.25">
      <c r="A259"/>
      <c r="B259"/>
      <c r="C259"/>
      <c r="D259"/>
      <c r="E259"/>
      <c r="F259"/>
      <c r="G259"/>
      <c r="H259"/>
      <c r="I259"/>
    </row>
    <row r="260" spans="1:9" x14ac:dyDescent="0.25">
      <c r="A260"/>
      <c r="B260"/>
      <c r="C260"/>
      <c r="D260"/>
      <c r="E260"/>
      <c r="F260"/>
      <c r="G260"/>
      <c r="H260"/>
      <c r="I260"/>
    </row>
    <row r="261" spans="1:9" x14ac:dyDescent="0.25">
      <c r="A261"/>
      <c r="B261"/>
      <c r="C261"/>
      <c r="D261"/>
      <c r="E261"/>
      <c r="F261"/>
      <c r="G261"/>
      <c r="H261"/>
      <c r="I261"/>
    </row>
    <row r="262" spans="1:9" x14ac:dyDescent="0.25">
      <c r="A262"/>
      <c r="B262"/>
      <c r="C262"/>
      <c r="D262"/>
      <c r="E262"/>
      <c r="F262"/>
      <c r="G262"/>
      <c r="H262"/>
      <c r="I262"/>
    </row>
    <row r="263" spans="1:9" x14ac:dyDescent="0.25">
      <c r="A263"/>
      <c r="B263"/>
      <c r="C263"/>
      <c r="D263"/>
      <c r="E263"/>
      <c r="F263"/>
      <c r="G263"/>
      <c r="H263"/>
      <c r="I263"/>
    </row>
    <row r="264" spans="1:9" x14ac:dyDescent="0.25">
      <c r="A264"/>
      <c r="B264"/>
      <c r="C264"/>
      <c r="D264"/>
      <c r="E264"/>
      <c r="F264"/>
      <c r="G264"/>
      <c r="H264"/>
      <c r="I264"/>
    </row>
    <row r="265" spans="1:9" x14ac:dyDescent="0.25">
      <c r="A265"/>
      <c r="B265"/>
      <c r="C265"/>
      <c r="D265"/>
      <c r="E265"/>
      <c r="F265"/>
      <c r="G265"/>
      <c r="H265"/>
      <c r="I265"/>
    </row>
    <row r="266" spans="1:9" x14ac:dyDescent="0.25">
      <c r="A266"/>
      <c r="B266"/>
      <c r="C266"/>
      <c r="D266"/>
      <c r="E266"/>
      <c r="F266"/>
      <c r="G266"/>
      <c r="H266"/>
      <c r="I266"/>
    </row>
    <row r="267" spans="1:9" x14ac:dyDescent="0.25">
      <c r="A267"/>
      <c r="B267"/>
      <c r="C267"/>
      <c r="D267"/>
      <c r="E267"/>
      <c r="F267"/>
      <c r="G267"/>
      <c r="H267"/>
      <c r="I267"/>
    </row>
    <row r="268" spans="1:9" x14ac:dyDescent="0.25">
      <c r="A268"/>
      <c r="B268"/>
      <c r="C268"/>
      <c r="D268"/>
      <c r="E268"/>
      <c r="F268"/>
      <c r="G268"/>
      <c r="H268"/>
      <c r="I268"/>
    </row>
    <row r="269" spans="1:9" x14ac:dyDescent="0.25">
      <c r="A269"/>
      <c r="B269"/>
      <c r="C269"/>
      <c r="D269"/>
      <c r="E269"/>
      <c r="F269"/>
      <c r="G269"/>
      <c r="H269"/>
      <c r="I269"/>
    </row>
    <row r="270" spans="1:9" x14ac:dyDescent="0.25">
      <c r="A270"/>
      <c r="B270"/>
      <c r="C270"/>
      <c r="D270"/>
      <c r="E270"/>
      <c r="F270"/>
      <c r="G270"/>
      <c r="H270"/>
      <c r="I270"/>
    </row>
    <row r="271" spans="1:9" x14ac:dyDescent="0.25">
      <c r="A271"/>
      <c r="B271"/>
      <c r="C271"/>
      <c r="D271"/>
      <c r="E271"/>
      <c r="F271"/>
      <c r="G271"/>
      <c r="H271"/>
      <c r="I271"/>
    </row>
    <row r="272" spans="1:9" x14ac:dyDescent="0.25">
      <c r="A272"/>
      <c r="B272"/>
      <c r="C272"/>
      <c r="D272"/>
      <c r="E272"/>
      <c r="F272"/>
      <c r="G272"/>
      <c r="H272"/>
      <c r="I272"/>
    </row>
    <row r="273" spans="1:9" x14ac:dyDescent="0.25">
      <c r="A273"/>
      <c r="B273"/>
      <c r="C273"/>
      <c r="D273"/>
      <c r="E273"/>
      <c r="F273"/>
      <c r="G273"/>
      <c r="H273"/>
      <c r="I273"/>
    </row>
    <row r="274" spans="1:9" x14ac:dyDescent="0.25">
      <c r="A274"/>
      <c r="B274"/>
      <c r="C274"/>
      <c r="D274"/>
      <c r="E274"/>
      <c r="F274"/>
      <c r="G274"/>
      <c r="H274"/>
      <c r="I274"/>
    </row>
    <row r="275" spans="1:9" x14ac:dyDescent="0.25">
      <c r="A275"/>
      <c r="B275"/>
      <c r="C275"/>
      <c r="D275"/>
      <c r="E275"/>
      <c r="F275"/>
      <c r="G275"/>
      <c r="H275"/>
      <c r="I275"/>
    </row>
    <row r="276" spans="1:9" x14ac:dyDescent="0.25">
      <c r="A276"/>
      <c r="B276"/>
      <c r="C276"/>
      <c r="D276"/>
      <c r="E276"/>
      <c r="F276"/>
      <c r="G276"/>
      <c r="H276"/>
      <c r="I276"/>
    </row>
    <row r="277" spans="1:9" x14ac:dyDescent="0.25">
      <c r="A277"/>
      <c r="B277"/>
      <c r="C277"/>
      <c r="D277"/>
      <c r="E277"/>
      <c r="F277"/>
      <c r="G277"/>
      <c r="H277"/>
      <c r="I277"/>
    </row>
    <row r="278" spans="1:9" x14ac:dyDescent="0.25">
      <c r="A278"/>
      <c r="B278"/>
      <c r="C278"/>
      <c r="D278"/>
      <c r="E278"/>
      <c r="F278"/>
      <c r="G278"/>
      <c r="H278"/>
      <c r="I278"/>
    </row>
    <row r="279" spans="1:9" x14ac:dyDescent="0.25">
      <c r="A279"/>
      <c r="B279"/>
      <c r="C279"/>
      <c r="D279"/>
      <c r="E279"/>
      <c r="F279"/>
      <c r="G279"/>
      <c r="H279"/>
      <c r="I279"/>
    </row>
    <row r="280" spans="1:9" x14ac:dyDescent="0.25">
      <c r="A280"/>
      <c r="B280"/>
      <c r="C280"/>
      <c r="D280"/>
      <c r="E280"/>
      <c r="F280"/>
      <c r="G280"/>
      <c r="H280"/>
      <c r="I280"/>
    </row>
    <row r="281" spans="1:9" x14ac:dyDescent="0.25">
      <c r="A281"/>
      <c r="B281"/>
      <c r="C281"/>
      <c r="D281"/>
      <c r="E281"/>
      <c r="F281"/>
      <c r="G281"/>
      <c r="H281"/>
      <c r="I281"/>
    </row>
    <row r="282" spans="1:9" x14ac:dyDescent="0.25">
      <c r="A282"/>
      <c r="B282"/>
      <c r="C282"/>
      <c r="D282"/>
      <c r="E282"/>
      <c r="F282"/>
      <c r="G282"/>
      <c r="H282"/>
      <c r="I282"/>
    </row>
    <row r="283" spans="1:9" x14ac:dyDescent="0.25">
      <c r="A283"/>
      <c r="B283"/>
      <c r="C283"/>
      <c r="D283"/>
      <c r="E283"/>
      <c r="F283"/>
      <c r="G283"/>
      <c r="H283"/>
      <c r="I283"/>
    </row>
    <row r="284" spans="1:9" x14ac:dyDescent="0.25">
      <c r="A284"/>
      <c r="B284"/>
      <c r="C284"/>
      <c r="D284"/>
      <c r="E284"/>
      <c r="F284"/>
      <c r="G284"/>
      <c r="H284"/>
      <c r="I284"/>
    </row>
    <row r="285" spans="1:9" x14ac:dyDescent="0.25">
      <c r="A285"/>
      <c r="B285"/>
      <c r="C285"/>
      <c r="D285"/>
      <c r="E285"/>
      <c r="F285"/>
      <c r="G285"/>
      <c r="H285"/>
      <c r="I285"/>
    </row>
    <row r="286" spans="1:9" x14ac:dyDescent="0.25">
      <c r="A286"/>
      <c r="B286"/>
      <c r="C286"/>
      <c r="D286"/>
      <c r="E286"/>
      <c r="F286"/>
      <c r="G286"/>
      <c r="H286"/>
      <c r="I286"/>
    </row>
    <row r="287" spans="1:9" x14ac:dyDescent="0.25">
      <c r="A287"/>
      <c r="B287"/>
      <c r="C287"/>
      <c r="D287"/>
      <c r="E287"/>
      <c r="F287"/>
      <c r="G287"/>
      <c r="H287"/>
      <c r="I287"/>
    </row>
    <row r="288" spans="1:9" x14ac:dyDescent="0.25">
      <c r="A288"/>
      <c r="B288"/>
      <c r="C288"/>
      <c r="D288"/>
      <c r="E288"/>
      <c r="F288"/>
      <c r="G288"/>
      <c r="H288"/>
      <c r="I288"/>
    </row>
    <row r="289" spans="1:9" x14ac:dyDescent="0.25">
      <c r="A289"/>
      <c r="B289"/>
      <c r="C289"/>
      <c r="D289"/>
      <c r="E289"/>
      <c r="F289"/>
      <c r="G289"/>
      <c r="H289"/>
      <c r="I289"/>
    </row>
    <row r="290" spans="1:9" x14ac:dyDescent="0.25">
      <c r="A290"/>
      <c r="B290"/>
      <c r="C290"/>
      <c r="D290"/>
      <c r="E290"/>
      <c r="F290"/>
      <c r="G290"/>
      <c r="H290"/>
      <c r="I290"/>
    </row>
    <row r="291" spans="1:9" x14ac:dyDescent="0.25">
      <c r="A291"/>
      <c r="B291"/>
      <c r="C291"/>
      <c r="D291"/>
      <c r="E291"/>
      <c r="F291"/>
      <c r="G291"/>
      <c r="H291"/>
      <c r="I291"/>
    </row>
    <row r="292" spans="1:9" x14ac:dyDescent="0.25">
      <c r="A292"/>
      <c r="B292"/>
      <c r="C292"/>
      <c r="D292"/>
      <c r="E292"/>
      <c r="F292"/>
      <c r="G292"/>
      <c r="H292"/>
      <c r="I292"/>
    </row>
    <row r="293" spans="1:9" x14ac:dyDescent="0.25">
      <c r="A293"/>
      <c r="B293"/>
      <c r="C293"/>
      <c r="D293"/>
      <c r="E293"/>
      <c r="F293"/>
      <c r="G293"/>
      <c r="H293"/>
      <c r="I293"/>
    </row>
    <row r="294" spans="1:9" x14ac:dyDescent="0.25">
      <c r="A294"/>
      <c r="B294"/>
      <c r="C294"/>
      <c r="D294"/>
      <c r="E294"/>
      <c r="F294"/>
      <c r="G294"/>
      <c r="H294"/>
      <c r="I294"/>
    </row>
    <row r="295" spans="1:9" x14ac:dyDescent="0.25">
      <c r="A295"/>
      <c r="B295"/>
      <c r="C295"/>
      <c r="D295"/>
      <c r="E295"/>
      <c r="F295"/>
      <c r="G295"/>
      <c r="H295"/>
      <c r="I295"/>
    </row>
    <row r="296" spans="1:9" x14ac:dyDescent="0.25">
      <c r="A296"/>
      <c r="B296"/>
      <c r="C296"/>
      <c r="D296"/>
      <c r="E296"/>
      <c r="F296"/>
      <c r="G296"/>
      <c r="H296"/>
      <c r="I296"/>
    </row>
    <row r="297" spans="1:9" x14ac:dyDescent="0.25">
      <c r="A297"/>
      <c r="B297"/>
      <c r="C297"/>
      <c r="D297"/>
      <c r="E297"/>
      <c r="F297"/>
      <c r="G297"/>
      <c r="H297"/>
      <c r="I297"/>
    </row>
    <row r="298" spans="1:9" x14ac:dyDescent="0.25">
      <c r="A298"/>
      <c r="B298"/>
      <c r="C298"/>
      <c r="D298"/>
      <c r="E298"/>
      <c r="F298"/>
      <c r="G298"/>
      <c r="H298"/>
      <c r="I298"/>
    </row>
    <row r="299" spans="1:9" x14ac:dyDescent="0.25">
      <c r="A299"/>
      <c r="B299"/>
      <c r="C299"/>
      <c r="D299"/>
      <c r="E299"/>
      <c r="F299"/>
      <c r="G299"/>
      <c r="H299"/>
      <c r="I299"/>
    </row>
    <row r="300" spans="1:9" x14ac:dyDescent="0.25">
      <c r="A300"/>
      <c r="B300"/>
      <c r="C300"/>
      <c r="D300"/>
      <c r="E300"/>
      <c r="F300"/>
      <c r="G300"/>
      <c r="H300"/>
      <c r="I300"/>
    </row>
    <row r="301" spans="1:9" x14ac:dyDescent="0.25">
      <c r="A301"/>
      <c r="B301"/>
      <c r="C301"/>
      <c r="D301"/>
      <c r="E301"/>
      <c r="F301"/>
      <c r="G301"/>
      <c r="H301"/>
      <c r="I301"/>
    </row>
    <row r="302" spans="1:9" x14ac:dyDescent="0.25">
      <c r="A302"/>
      <c r="B302"/>
      <c r="C302"/>
      <c r="D302"/>
      <c r="E302"/>
      <c r="F302"/>
      <c r="G302"/>
      <c r="H302"/>
      <c r="I302"/>
    </row>
    <row r="303" spans="1:9" x14ac:dyDescent="0.25">
      <c r="A303"/>
      <c r="B303"/>
      <c r="C303"/>
      <c r="D303"/>
      <c r="E303"/>
      <c r="F303"/>
      <c r="G303"/>
      <c r="H303"/>
      <c r="I303"/>
    </row>
    <row r="304" spans="1:9" x14ac:dyDescent="0.25">
      <c r="A304"/>
      <c r="B304"/>
      <c r="C304"/>
      <c r="D304"/>
      <c r="E304"/>
      <c r="F304"/>
      <c r="G304"/>
      <c r="H304"/>
      <c r="I304"/>
    </row>
    <row r="305" spans="1:9" x14ac:dyDescent="0.25">
      <c r="A305"/>
      <c r="B305"/>
      <c r="C305"/>
      <c r="D305"/>
      <c r="E305"/>
      <c r="F305"/>
      <c r="G305"/>
      <c r="H305"/>
      <c r="I305"/>
    </row>
    <row r="306" spans="1:9" x14ac:dyDescent="0.25">
      <c r="A306"/>
      <c r="B306"/>
      <c r="C306"/>
      <c r="D306"/>
      <c r="E306"/>
      <c r="F306"/>
      <c r="G306"/>
      <c r="H306"/>
      <c r="I306"/>
    </row>
    <row r="307" spans="1:9" x14ac:dyDescent="0.25">
      <c r="A307"/>
      <c r="B307"/>
      <c r="C307"/>
      <c r="D307"/>
      <c r="E307"/>
      <c r="F307"/>
      <c r="G307"/>
      <c r="H307"/>
      <c r="I307"/>
    </row>
    <row r="308" spans="1:9" x14ac:dyDescent="0.25">
      <c r="A308"/>
      <c r="B308"/>
      <c r="C308"/>
      <c r="D308"/>
      <c r="E308"/>
      <c r="F308"/>
      <c r="G308"/>
      <c r="H308"/>
      <c r="I308"/>
    </row>
    <row r="309" spans="1:9" x14ac:dyDescent="0.25">
      <c r="A309"/>
      <c r="B309"/>
      <c r="C309"/>
      <c r="D309"/>
      <c r="E309"/>
      <c r="F309"/>
      <c r="G309"/>
      <c r="H309"/>
      <c r="I309"/>
    </row>
    <row r="310" spans="1:9" x14ac:dyDescent="0.25">
      <c r="A310"/>
      <c r="B310"/>
      <c r="C310"/>
      <c r="D310"/>
      <c r="E310"/>
      <c r="F310"/>
      <c r="G310"/>
      <c r="H310"/>
      <c r="I310"/>
    </row>
    <row r="311" spans="1:9" x14ac:dyDescent="0.25">
      <c r="A311"/>
      <c r="B311"/>
      <c r="C311"/>
      <c r="D311"/>
      <c r="E311"/>
      <c r="F311"/>
      <c r="G311"/>
      <c r="H311"/>
      <c r="I311"/>
    </row>
    <row r="312" spans="1:9" x14ac:dyDescent="0.25">
      <c r="A312"/>
      <c r="B312"/>
      <c r="C312"/>
      <c r="D312"/>
      <c r="E312"/>
      <c r="F312"/>
      <c r="G312"/>
      <c r="H312"/>
      <c r="I312"/>
    </row>
    <row r="313" spans="1:9" x14ac:dyDescent="0.25">
      <c r="A313"/>
      <c r="B313"/>
      <c r="C313"/>
      <c r="D313"/>
      <c r="E313"/>
      <c r="F313"/>
      <c r="G313"/>
      <c r="H313"/>
      <c r="I313"/>
    </row>
    <row r="314" spans="1:9" x14ac:dyDescent="0.25">
      <c r="A314"/>
      <c r="B314"/>
      <c r="C314"/>
      <c r="D314"/>
      <c r="E314"/>
      <c r="F314"/>
      <c r="G314"/>
      <c r="H314"/>
      <c r="I314"/>
    </row>
    <row r="315" spans="1:9" x14ac:dyDescent="0.25">
      <c r="A315"/>
      <c r="B315"/>
      <c r="C315"/>
      <c r="D315"/>
      <c r="E315"/>
      <c r="F315"/>
      <c r="G315"/>
      <c r="H315"/>
      <c r="I315"/>
    </row>
    <row r="316" spans="1:9" x14ac:dyDescent="0.25">
      <c r="A316"/>
      <c r="B316"/>
      <c r="C316"/>
      <c r="D316"/>
      <c r="E316"/>
      <c r="F316"/>
      <c r="G316"/>
      <c r="H316"/>
      <c r="I316"/>
    </row>
    <row r="317" spans="1:9" x14ac:dyDescent="0.25">
      <c r="A317"/>
      <c r="B317"/>
      <c r="C317"/>
      <c r="D317"/>
      <c r="E317"/>
      <c r="F317"/>
      <c r="G317"/>
      <c r="H317"/>
      <c r="I317"/>
    </row>
    <row r="318" spans="1:9" x14ac:dyDescent="0.25">
      <c r="A318"/>
      <c r="B318"/>
      <c r="C318"/>
      <c r="D318"/>
      <c r="E318"/>
      <c r="F318"/>
      <c r="G318"/>
      <c r="H318"/>
      <c r="I318"/>
    </row>
    <row r="319" spans="1:9" x14ac:dyDescent="0.25">
      <c r="A319"/>
      <c r="B319"/>
      <c r="C319"/>
      <c r="D319"/>
      <c r="E319"/>
      <c r="F319"/>
      <c r="G319"/>
      <c r="H319"/>
      <c r="I319"/>
    </row>
    <row r="320" spans="1:9" x14ac:dyDescent="0.25">
      <c r="A320"/>
      <c r="B320"/>
      <c r="C320"/>
      <c r="D320"/>
      <c r="E320"/>
      <c r="F320"/>
      <c r="G320"/>
      <c r="H320"/>
      <c r="I320"/>
    </row>
    <row r="321" spans="1:9" x14ac:dyDescent="0.25">
      <c r="A321"/>
      <c r="B321"/>
      <c r="C321"/>
      <c r="D321"/>
      <c r="E321"/>
      <c r="F321"/>
      <c r="G321"/>
      <c r="H321"/>
      <c r="I321"/>
    </row>
    <row r="322" spans="1:9" x14ac:dyDescent="0.25">
      <c r="A322"/>
      <c r="B322"/>
      <c r="C322"/>
      <c r="D322"/>
      <c r="E322"/>
      <c r="F322"/>
      <c r="G322"/>
      <c r="H322"/>
      <c r="I322"/>
    </row>
    <row r="323" spans="1:9" x14ac:dyDescent="0.25">
      <c r="A323"/>
      <c r="B323"/>
      <c r="C323"/>
      <c r="D323"/>
      <c r="E323"/>
      <c r="F323"/>
      <c r="G323"/>
      <c r="H323"/>
      <c r="I323"/>
    </row>
    <row r="324" spans="1:9" x14ac:dyDescent="0.25">
      <c r="A324"/>
      <c r="B324"/>
      <c r="C324"/>
      <c r="D324"/>
      <c r="E324"/>
      <c r="F324"/>
      <c r="G324"/>
      <c r="H324"/>
      <c r="I324"/>
    </row>
    <row r="325" spans="1:9" x14ac:dyDescent="0.25">
      <c r="A325"/>
      <c r="B325"/>
      <c r="C325"/>
      <c r="D325"/>
      <c r="E325"/>
      <c r="F325"/>
      <c r="G325"/>
      <c r="H325"/>
      <c r="I325"/>
    </row>
    <row r="326" spans="1:9" x14ac:dyDescent="0.25">
      <c r="A326"/>
      <c r="B326"/>
      <c r="C326"/>
      <c r="D326"/>
      <c r="E326"/>
      <c r="F326"/>
      <c r="G326"/>
      <c r="H326"/>
      <c r="I326"/>
    </row>
    <row r="327" spans="1:9" x14ac:dyDescent="0.25">
      <c r="A327"/>
      <c r="B327"/>
      <c r="C327"/>
      <c r="D327"/>
      <c r="E327"/>
      <c r="F327"/>
      <c r="G327"/>
      <c r="H327"/>
      <c r="I327"/>
    </row>
    <row r="328" spans="1:9" x14ac:dyDescent="0.25">
      <c r="A328"/>
      <c r="B328"/>
      <c r="C328"/>
      <c r="D328"/>
      <c r="E328"/>
      <c r="F328"/>
      <c r="G328"/>
      <c r="H328"/>
      <c r="I328"/>
    </row>
    <row r="329" spans="1:9" x14ac:dyDescent="0.25">
      <c r="A329"/>
      <c r="B329"/>
      <c r="C329"/>
      <c r="D329"/>
      <c r="E329"/>
      <c r="F329"/>
      <c r="G329"/>
      <c r="H329"/>
      <c r="I329"/>
    </row>
    <row r="330" spans="1:9" x14ac:dyDescent="0.25">
      <c r="A330"/>
      <c r="B330"/>
      <c r="C330"/>
      <c r="D330"/>
      <c r="E330"/>
      <c r="F330"/>
      <c r="G330"/>
      <c r="H330"/>
      <c r="I330"/>
    </row>
    <row r="331" spans="1:9" x14ac:dyDescent="0.25">
      <c r="A331"/>
      <c r="B331"/>
      <c r="C331"/>
      <c r="D331"/>
      <c r="E331"/>
      <c r="F331"/>
      <c r="G331"/>
      <c r="H331"/>
      <c r="I331"/>
    </row>
    <row r="332" spans="1:9" x14ac:dyDescent="0.25">
      <c r="A332"/>
      <c r="B332"/>
      <c r="C332"/>
      <c r="D332"/>
      <c r="E332"/>
      <c r="F332"/>
      <c r="G332"/>
      <c r="H332"/>
      <c r="I332"/>
    </row>
    <row r="333" spans="1:9" x14ac:dyDescent="0.25">
      <c r="A333"/>
      <c r="B333"/>
      <c r="C333"/>
      <c r="D333"/>
      <c r="E333"/>
      <c r="F333"/>
      <c r="G333"/>
      <c r="H333"/>
      <c r="I333"/>
    </row>
    <row r="334" spans="1:9" x14ac:dyDescent="0.25">
      <c r="A334"/>
      <c r="B334"/>
      <c r="C334"/>
      <c r="D334"/>
      <c r="E334"/>
      <c r="F334"/>
      <c r="G334"/>
      <c r="H334"/>
      <c r="I334"/>
    </row>
    <row r="335" spans="1:9" x14ac:dyDescent="0.25">
      <c r="A335"/>
      <c r="B335"/>
      <c r="C335"/>
      <c r="D335"/>
      <c r="E335"/>
      <c r="F335"/>
      <c r="G335"/>
      <c r="H335"/>
      <c r="I335"/>
    </row>
    <row r="336" spans="1:9" x14ac:dyDescent="0.25">
      <c r="A336"/>
      <c r="B336"/>
      <c r="C336"/>
      <c r="D336"/>
      <c r="E336"/>
      <c r="F336"/>
      <c r="G336"/>
      <c r="H336"/>
      <c r="I336"/>
    </row>
    <row r="337" spans="1:9" x14ac:dyDescent="0.25">
      <c r="A337"/>
      <c r="B337"/>
      <c r="C337"/>
      <c r="D337"/>
      <c r="E337"/>
      <c r="F337"/>
      <c r="G337"/>
      <c r="H337"/>
      <c r="I337"/>
    </row>
    <row r="338" spans="1:9" x14ac:dyDescent="0.25">
      <c r="A338"/>
      <c r="B338"/>
      <c r="C338"/>
      <c r="D338"/>
      <c r="E338"/>
      <c r="F338"/>
      <c r="G338"/>
      <c r="H338"/>
      <c r="I338"/>
    </row>
    <row r="339" spans="1:9" x14ac:dyDescent="0.25">
      <c r="A339"/>
      <c r="B339"/>
      <c r="C339"/>
      <c r="D339"/>
      <c r="E339"/>
      <c r="F339"/>
      <c r="G339"/>
      <c r="H339"/>
      <c r="I339"/>
    </row>
    <row r="340" spans="1:9" x14ac:dyDescent="0.25">
      <c r="A340"/>
      <c r="B340"/>
      <c r="C340"/>
      <c r="D340"/>
      <c r="E340"/>
      <c r="F340"/>
      <c r="G340"/>
      <c r="H340"/>
      <c r="I340"/>
    </row>
    <row r="341" spans="1:9" x14ac:dyDescent="0.25">
      <c r="A341"/>
      <c r="B341"/>
      <c r="C341"/>
      <c r="D341"/>
      <c r="E341"/>
      <c r="F341"/>
      <c r="G341"/>
      <c r="H341"/>
      <c r="I341"/>
    </row>
    <row r="342" spans="1:9" x14ac:dyDescent="0.25">
      <c r="A342"/>
      <c r="B342"/>
      <c r="C342"/>
      <c r="D342"/>
      <c r="E342"/>
      <c r="F342"/>
      <c r="G342"/>
      <c r="H342"/>
      <c r="I342"/>
    </row>
    <row r="343" spans="1:9" x14ac:dyDescent="0.25">
      <c r="A343"/>
      <c r="B343"/>
      <c r="C343"/>
      <c r="D343"/>
      <c r="E343"/>
      <c r="F343"/>
      <c r="G343"/>
      <c r="H343"/>
      <c r="I343"/>
    </row>
    <row r="344" spans="1:9" x14ac:dyDescent="0.25">
      <c r="A344"/>
      <c r="B344"/>
      <c r="C344"/>
      <c r="D344"/>
      <c r="E344"/>
      <c r="F344"/>
      <c r="G344"/>
      <c r="H344"/>
      <c r="I344"/>
    </row>
    <row r="345" spans="1:9" x14ac:dyDescent="0.25">
      <c r="A345"/>
      <c r="B345"/>
      <c r="C345"/>
      <c r="D345"/>
      <c r="E345"/>
      <c r="F345"/>
      <c r="G345"/>
      <c r="H345"/>
      <c r="I345"/>
    </row>
    <row r="346" spans="1:9" x14ac:dyDescent="0.25">
      <c r="A346"/>
      <c r="B346"/>
      <c r="C346"/>
      <c r="D346"/>
      <c r="E346"/>
      <c r="F346"/>
      <c r="G346"/>
      <c r="H346"/>
      <c r="I346"/>
    </row>
    <row r="347" spans="1:9" x14ac:dyDescent="0.25">
      <c r="A347"/>
      <c r="B347"/>
      <c r="C347"/>
      <c r="D347"/>
      <c r="E347"/>
      <c r="F347"/>
      <c r="G347"/>
      <c r="H347"/>
      <c r="I347"/>
    </row>
    <row r="348" spans="1:9" x14ac:dyDescent="0.25">
      <c r="A348"/>
      <c r="B348"/>
      <c r="C348"/>
      <c r="D348"/>
      <c r="E348"/>
      <c r="F348"/>
      <c r="G348"/>
      <c r="H348"/>
      <c r="I348"/>
    </row>
    <row r="349" spans="1:9" x14ac:dyDescent="0.25">
      <c r="A349"/>
      <c r="B349"/>
      <c r="C349"/>
      <c r="D349"/>
      <c r="E349"/>
      <c r="F349"/>
      <c r="G349"/>
      <c r="H349"/>
      <c r="I349"/>
    </row>
    <row r="350" spans="1:9" x14ac:dyDescent="0.25">
      <c r="A350"/>
      <c r="B350"/>
      <c r="C350"/>
      <c r="D350"/>
      <c r="E350"/>
      <c r="F350"/>
      <c r="G350"/>
      <c r="H350"/>
      <c r="I350"/>
    </row>
    <row r="351" spans="1:9" x14ac:dyDescent="0.25">
      <c r="A351"/>
      <c r="B351"/>
      <c r="C351"/>
      <c r="D351"/>
      <c r="E351"/>
      <c r="F351"/>
      <c r="G351"/>
      <c r="H351"/>
      <c r="I351"/>
    </row>
    <row r="352" spans="1:9" x14ac:dyDescent="0.25">
      <c r="A352"/>
      <c r="B352"/>
      <c r="C352"/>
      <c r="D352"/>
      <c r="E352"/>
      <c r="F352"/>
      <c r="G352"/>
      <c r="H352"/>
      <c r="I352"/>
    </row>
    <row r="353" spans="1:9" x14ac:dyDescent="0.25">
      <c r="A353"/>
      <c r="B353"/>
      <c r="C353"/>
      <c r="D353"/>
      <c r="E353"/>
      <c r="F353"/>
      <c r="G353"/>
      <c r="H353"/>
      <c r="I353"/>
    </row>
    <row r="354" spans="1:9" x14ac:dyDescent="0.25">
      <c r="A354"/>
      <c r="B354"/>
      <c r="C354"/>
      <c r="D354"/>
      <c r="E354"/>
      <c r="F354"/>
      <c r="G354"/>
      <c r="H354"/>
      <c r="I354"/>
    </row>
    <row r="355" spans="1:9" x14ac:dyDescent="0.25">
      <c r="A355"/>
      <c r="B355"/>
      <c r="C355"/>
      <c r="D355"/>
      <c r="E355"/>
      <c r="F355"/>
      <c r="G355"/>
      <c r="H355"/>
      <c r="I355"/>
    </row>
    <row r="356" spans="1:9" x14ac:dyDescent="0.25">
      <c r="A356"/>
      <c r="B356"/>
      <c r="C356"/>
      <c r="D356"/>
      <c r="E356"/>
      <c r="F356"/>
      <c r="G356"/>
      <c r="H356"/>
      <c r="I356"/>
    </row>
    <row r="357" spans="1:9" x14ac:dyDescent="0.25">
      <c r="A357"/>
      <c r="B357"/>
      <c r="C357"/>
      <c r="D357"/>
      <c r="E357"/>
      <c r="F357"/>
      <c r="G357"/>
      <c r="H357"/>
      <c r="I357"/>
    </row>
    <row r="358" spans="1:9" x14ac:dyDescent="0.25">
      <c r="A358"/>
      <c r="B358"/>
      <c r="C358"/>
      <c r="D358"/>
      <c r="E358"/>
      <c r="F358"/>
      <c r="G358"/>
      <c r="H358"/>
      <c r="I358"/>
    </row>
    <row r="359" spans="1:9" x14ac:dyDescent="0.25">
      <c r="A359"/>
      <c r="B359"/>
      <c r="C359"/>
      <c r="D359"/>
      <c r="E359"/>
      <c r="F359"/>
      <c r="G359"/>
      <c r="H359"/>
      <c r="I359"/>
    </row>
    <row r="360" spans="1:9" x14ac:dyDescent="0.25">
      <c r="A360"/>
      <c r="B360"/>
      <c r="C360"/>
      <c r="D360"/>
      <c r="E360"/>
      <c r="F360"/>
      <c r="G360"/>
      <c r="H360"/>
      <c r="I360"/>
    </row>
    <row r="361" spans="1:9" x14ac:dyDescent="0.25">
      <c r="A361"/>
      <c r="B361"/>
      <c r="C361"/>
      <c r="D361"/>
      <c r="E361"/>
      <c r="F361"/>
      <c r="G361"/>
      <c r="H361"/>
      <c r="I361"/>
    </row>
    <row r="362" spans="1:9" x14ac:dyDescent="0.25">
      <c r="A362"/>
      <c r="B362"/>
      <c r="C362"/>
      <c r="D362"/>
      <c r="E362"/>
      <c r="F362"/>
      <c r="G362"/>
      <c r="H362"/>
      <c r="I362"/>
    </row>
    <row r="363" spans="1:9" x14ac:dyDescent="0.25">
      <c r="A363"/>
      <c r="B363"/>
      <c r="C363"/>
      <c r="D363"/>
      <c r="E363"/>
      <c r="F363"/>
      <c r="G363"/>
      <c r="H363"/>
      <c r="I363"/>
    </row>
    <row r="364" spans="1:9" x14ac:dyDescent="0.25">
      <c r="A364"/>
      <c r="B364"/>
      <c r="C364"/>
      <c r="D364"/>
      <c r="E364"/>
      <c r="F364"/>
      <c r="G364"/>
      <c r="H364"/>
      <c r="I364"/>
    </row>
    <row r="365" spans="1:9" x14ac:dyDescent="0.25">
      <c r="A365"/>
      <c r="B365"/>
      <c r="C365"/>
      <c r="D365"/>
      <c r="E365"/>
      <c r="F365"/>
      <c r="G365"/>
      <c r="H365"/>
      <c r="I365"/>
    </row>
    <row r="366" spans="1:9" x14ac:dyDescent="0.25">
      <c r="A366"/>
      <c r="B366"/>
      <c r="C366"/>
      <c r="D366"/>
      <c r="E366"/>
      <c r="F366"/>
      <c r="G366"/>
      <c r="H366"/>
      <c r="I366"/>
    </row>
    <row r="367" spans="1:9" x14ac:dyDescent="0.25">
      <c r="A367"/>
      <c r="B367"/>
      <c r="C367"/>
      <c r="D367"/>
      <c r="E367"/>
      <c r="F367"/>
      <c r="G367"/>
      <c r="H367"/>
      <c r="I367"/>
    </row>
    <row r="368" spans="1:9" x14ac:dyDescent="0.25">
      <c r="A368"/>
      <c r="B368"/>
      <c r="C368"/>
      <c r="D368"/>
      <c r="E368"/>
      <c r="F368"/>
      <c r="G368"/>
      <c r="H368"/>
      <c r="I368"/>
    </row>
    <row r="369" spans="1:9" x14ac:dyDescent="0.25">
      <c r="A369"/>
      <c r="B369"/>
      <c r="C369"/>
      <c r="D369"/>
      <c r="E369"/>
      <c r="F369"/>
      <c r="G369"/>
      <c r="H369"/>
      <c r="I369"/>
    </row>
    <row r="370" spans="1:9" x14ac:dyDescent="0.25">
      <c r="A370"/>
      <c r="B370"/>
      <c r="C370"/>
      <c r="D370"/>
      <c r="E370"/>
      <c r="F370"/>
      <c r="G370"/>
      <c r="H370"/>
      <c r="I370"/>
    </row>
    <row r="371" spans="1:9" x14ac:dyDescent="0.25">
      <c r="A371"/>
      <c r="B371"/>
      <c r="C371"/>
      <c r="D371"/>
      <c r="E371"/>
      <c r="F371"/>
      <c r="G371"/>
      <c r="H371"/>
      <c r="I371"/>
    </row>
    <row r="372" spans="1:9" x14ac:dyDescent="0.25">
      <c r="A372"/>
      <c r="B372"/>
      <c r="C372"/>
      <c r="D372"/>
      <c r="E372"/>
      <c r="F372"/>
      <c r="G372"/>
      <c r="H372"/>
      <c r="I372"/>
    </row>
    <row r="373" spans="1:9" x14ac:dyDescent="0.25">
      <c r="A373"/>
      <c r="B373"/>
      <c r="C373"/>
      <c r="D373"/>
      <c r="E373"/>
      <c r="F373"/>
      <c r="G373"/>
      <c r="H373"/>
      <c r="I373"/>
    </row>
    <row r="374" spans="1:9" x14ac:dyDescent="0.25">
      <c r="A374"/>
      <c r="B374"/>
      <c r="C374"/>
      <c r="D374"/>
      <c r="E374"/>
      <c r="F374"/>
      <c r="G374"/>
      <c r="H374"/>
      <c r="I374"/>
    </row>
    <row r="375" spans="1:9" x14ac:dyDescent="0.25">
      <c r="A375"/>
      <c r="B375"/>
      <c r="C375"/>
      <c r="D375"/>
      <c r="E375"/>
      <c r="F375"/>
      <c r="G375"/>
      <c r="H375"/>
      <c r="I375"/>
    </row>
    <row r="376" spans="1:9" x14ac:dyDescent="0.25">
      <c r="A376"/>
      <c r="B376"/>
      <c r="C376"/>
      <c r="D376"/>
      <c r="E376"/>
      <c r="F376"/>
      <c r="G376"/>
      <c r="H376"/>
      <c r="I376"/>
    </row>
    <row r="377" spans="1:9" x14ac:dyDescent="0.25">
      <c r="A377"/>
      <c r="B377"/>
      <c r="C377"/>
      <c r="D377"/>
      <c r="E377"/>
      <c r="F377"/>
      <c r="G377"/>
      <c r="H377"/>
      <c r="I377"/>
    </row>
    <row r="378" spans="1:9" x14ac:dyDescent="0.25">
      <c r="A378"/>
      <c r="B378"/>
      <c r="C378"/>
      <c r="D378"/>
      <c r="E378"/>
      <c r="F378"/>
      <c r="G378"/>
      <c r="H378"/>
      <c r="I378"/>
    </row>
    <row r="379" spans="1:9" x14ac:dyDescent="0.25">
      <c r="A379"/>
      <c r="B379"/>
      <c r="C379"/>
      <c r="D379"/>
      <c r="E379"/>
      <c r="F379"/>
      <c r="G379"/>
      <c r="H379"/>
      <c r="I379"/>
    </row>
    <row r="380" spans="1:9" x14ac:dyDescent="0.25">
      <c r="A380"/>
      <c r="B380"/>
      <c r="C380"/>
      <c r="D380"/>
      <c r="E380"/>
      <c r="F380"/>
      <c r="G380"/>
      <c r="H380"/>
      <c r="I380"/>
    </row>
    <row r="381" spans="1:9" x14ac:dyDescent="0.25">
      <c r="A381"/>
      <c r="B381"/>
      <c r="C381"/>
      <c r="D381"/>
      <c r="E381"/>
      <c r="F381"/>
      <c r="G381"/>
      <c r="H381"/>
      <c r="I381"/>
    </row>
    <row r="382" spans="1:9" x14ac:dyDescent="0.25">
      <c r="A382"/>
      <c r="B382"/>
      <c r="C382"/>
      <c r="D382"/>
      <c r="E382"/>
      <c r="F382"/>
      <c r="G382"/>
      <c r="H382"/>
      <c r="I382"/>
    </row>
    <row r="383" spans="1:9" x14ac:dyDescent="0.25">
      <c r="A383"/>
      <c r="B383"/>
      <c r="C383"/>
      <c r="D383"/>
      <c r="E383"/>
      <c r="F383"/>
      <c r="G383"/>
      <c r="H383"/>
      <c r="I383"/>
    </row>
    <row r="384" spans="1:9" x14ac:dyDescent="0.25">
      <c r="A384"/>
      <c r="B384"/>
      <c r="C384"/>
      <c r="D384"/>
      <c r="E384"/>
      <c r="F384"/>
      <c r="G384"/>
      <c r="H384"/>
      <c r="I384"/>
    </row>
    <row r="385" spans="1:9" x14ac:dyDescent="0.25">
      <c r="A385"/>
      <c r="B385"/>
      <c r="C385"/>
      <c r="D385"/>
      <c r="E385"/>
      <c r="F385"/>
      <c r="G385"/>
      <c r="H385"/>
      <c r="I385"/>
    </row>
    <row r="386" spans="1:9" x14ac:dyDescent="0.25">
      <c r="A386"/>
      <c r="B386"/>
      <c r="C386"/>
      <c r="D386"/>
      <c r="E386"/>
      <c r="F386"/>
      <c r="G386"/>
      <c r="H386"/>
      <c r="I386"/>
    </row>
    <row r="387" spans="1:9" x14ac:dyDescent="0.25">
      <c r="A387"/>
      <c r="B387"/>
      <c r="C387"/>
      <c r="D387"/>
      <c r="E387"/>
      <c r="F387"/>
      <c r="G387"/>
      <c r="H387"/>
      <c r="I387"/>
    </row>
    <row r="388" spans="1:9" x14ac:dyDescent="0.25">
      <c r="A388"/>
      <c r="B388"/>
      <c r="C388"/>
      <c r="D388"/>
      <c r="E388"/>
      <c r="F388"/>
      <c r="G388"/>
      <c r="H388"/>
      <c r="I388"/>
    </row>
    <row r="389" spans="1:9" x14ac:dyDescent="0.25">
      <c r="A389"/>
      <c r="B389"/>
      <c r="C389"/>
      <c r="D389"/>
      <c r="E389"/>
      <c r="F389"/>
      <c r="G389"/>
      <c r="H389"/>
      <c r="I389"/>
    </row>
    <row r="390" spans="1:9" x14ac:dyDescent="0.25">
      <c r="A390"/>
      <c r="B390"/>
      <c r="C390"/>
      <c r="D390"/>
      <c r="E390"/>
      <c r="F390"/>
      <c r="G390"/>
      <c r="H390"/>
      <c r="I390"/>
    </row>
    <row r="391" spans="1:9" x14ac:dyDescent="0.25">
      <c r="A391"/>
      <c r="B391"/>
      <c r="C391"/>
      <c r="D391"/>
      <c r="E391"/>
      <c r="F391"/>
      <c r="G391"/>
      <c r="H391"/>
      <c r="I391"/>
    </row>
    <row r="392" spans="1:9" x14ac:dyDescent="0.25">
      <c r="A392"/>
      <c r="B392"/>
      <c r="C392"/>
      <c r="D392"/>
      <c r="E392"/>
      <c r="F392"/>
      <c r="G392"/>
      <c r="H392"/>
      <c r="I392"/>
    </row>
    <row r="393" spans="1:9" x14ac:dyDescent="0.25">
      <c r="A393"/>
      <c r="B393"/>
      <c r="C393"/>
      <c r="D393"/>
      <c r="E393"/>
      <c r="F393"/>
      <c r="G393"/>
      <c r="H393"/>
      <c r="I393"/>
    </row>
    <row r="394" spans="1:9" x14ac:dyDescent="0.25">
      <c r="A394"/>
      <c r="B394"/>
      <c r="C394"/>
      <c r="D394"/>
      <c r="E394"/>
      <c r="F394"/>
      <c r="G394"/>
      <c r="H394"/>
      <c r="I394"/>
    </row>
    <row r="395" spans="1:9" x14ac:dyDescent="0.25">
      <c r="A395"/>
      <c r="B395"/>
      <c r="C395"/>
      <c r="D395"/>
      <c r="E395"/>
      <c r="F395"/>
      <c r="G395"/>
      <c r="H395"/>
      <c r="I395"/>
    </row>
    <row r="396" spans="1:9" x14ac:dyDescent="0.25">
      <c r="A396"/>
      <c r="B396"/>
      <c r="C396"/>
      <c r="D396"/>
      <c r="E396"/>
      <c r="F396"/>
      <c r="G396"/>
      <c r="H396"/>
      <c r="I396"/>
    </row>
    <row r="397" spans="1:9" x14ac:dyDescent="0.25">
      <c r="A397"/>
      <c r="B397"/>
      <c r="C397"/>
      <c r="D397"/>
      <c r="E397"/>
      <c r="F397"/>
      <c r="G397"/>
      <c r="H397"/>
      <c r="I397"/>
    </row>
    <row r="398" spans="1:9" x14ac:dyDescent="0.25">
      <c r="A398"/>
      <c r="B398"/>
      <c r="C398"/>
      <c r="D398"/>
      <c r="E398"/>
      <c r="F398"/>
      <c r="G398"/>
      <c r="H398"/>
      <c r="I398"/>
    </row>
    <row r="399" spans="1:9" x14ac:dyDescent="0.25">
      <c r="A399"/>
      <c r="B399"/>
      <c r="C399"/>
      <c r="D399"/>
      <c r="E399"/>
      <c r="F399"/>
      <c r="G399"/>
      <c r="H399"/>
      <c r="I399"/>
    </row>
    <row r="400" spans="1:9" x14ac:dyDescent="0.25">
      <c r="A400"/>
      <c r="B400"/>
      <c r="C400"/>
      <c r="D400"/>
      <c r="E400"/>
      <c r="F400"/>
      <c r="G400"/>
      <c r="H400"/>
      <c r="I400"/>
    </row>
    <row r="401" spans="1:9" x14ac:dyDescent="0.25">
      <c r="A401"/>
      <c r="B401"/>
      <c r="C401"/>
      <c r="D401"/>
      <c r="E401"/>
      <c r="F401"/>
      <c r="G401"/>
      <c r="H401"/>
      <c r="I401"/>
    </row>
    <row r="402" spans="1:9" x14ac:dyDescent="0.25">
      <c r="A402"/>
      <c r="B402"/>
      <c r="C402"/>
      <c r="D402"/>
      <c r="E402"/>
      <c r="F402"/>
      <c r="G402"/>
      <c r="H402"/>
      <c r="I402"/>
    </row>
    <row r="403" spans="1:9" x14ac:dyDescent="0.25">
      <c r="A403"/>
      <c r="B403"/>
      <c r="C403"/>
      <c r="D403"/>
      <c r="E403"/>
      <c r="F403"/>
      <c r="G403"/>
      <c r="H403"/>
      <c r="I403"/>
    </row>
    <row r="404" spans="1:9" x14ac:dyDescent="0.25">
      <c r="A404"/>
      <c r="B404"/>
      <c r="C404"/>
      <c r="D404"/>
      <c r="E404"/>
      <c r="F404"/>
      <c r="G404"/>
      <c r="H404"/>
      <c r="I404"/>
    </row>
    <row r="405" spans="1:9" x14ac:dyDescent="0.25">
      <c r="A405"/>
      <c r="B405"/>
      <c r="C405"/>
      <c r="D405"/>
      <c r="E405"/>
      <c r="F405"/>
      <c r="G405"/>
      <c r="H405"/>
      <c r="I405"/>
    </row>
    <row r="406" spans="1:9" x14ac:dyDescent="0.25">
      <c r="A406"/>
      <c r="B406"/>
      <c r="C406"/>
      <c r="D406"/>
      <c r="E406"/>
      <c r="F406"/>
      <c r="G406"/>
      <c r="H406"/>
      <c r="I406"/>
    </row>
    <row r="407" spans="1:9" x14ac:dyDescent="0.25">
      <c r="A407"/>
      <c r="B407"/>
      <c r="C407"/>
      <c r="D407"/>
      <c r="E407"/>
      <c r="F407"/>
      <c r="G407"/>
      <c r="H407"/>
      <c r="I407"/>
    </row>
    <row r="408" spans="1:9" x14ac:dyDescent="0.25">
      <c r="A408"/>
      <c r="B408"/>
      <c r="C408"/>
      <c r="D408"/>
      <c r="E408"/>
      <c r="F408"/>
      <c r="G408"/>
      <c r="H408"/>
      <c r="I408"/>
    </row>
    <row r="409" spans="1:9" x14ac:dyDescent="0.25">
      <c r="A409"/>
      <c r="B409"/>
      <c r="C409"/>
      <c r="D409"/>
      <c r="E409"/>
      <c r="F409"/>
      <c r="G409"/>
      <c r="H409"/>
      <c r="I409"/>
    </row>
    <row r="410" spans="1:9" x14ac:dyDescent="0.25">
      <c r="A410"/>
      <c r="B410"/>
      <c r="C410"/>
      <c r="D410"/>
      <c r="E410"/>
      <c r="F410"/>
      <c r="G410"/>
      <c r="H410"/>
      <c r="I410"/>
    </row>
    <row r="411" spans="1:9" x14ac:dyDescent="0.25">
      <c r="A411"/>
      <c r="B411"/>
      <c r="C411"/>
      <c r="D411"/>
      <c r="E411"/>
      <c r="F411"/>
      <c r="G411"/>
      <c r="H411"/>
      <c r="I411"/>
    </row>
    <row r="412" spans="1:9" x14ac:dyDescent="0.25">
      <c r="A412"/>
      <c r="B412"/>
      <c r="C412"/>
      <c r="D412"/>
      <c r="E412"/>
      <c r="F412"/>
      <c r="G412"/>
      <c r="H412"/>
      <c r="I412"/>
    </row>
    <row r="413" spans="1:9" x14ac:dyDescent="0.25">
      <c r="A413"/>
      <c r="B413"/>
      <c r="C413"/>
      <c r="D413"/>
      <c r="E413"/>
      <c r="F413"/>
      <c r="G413"/>
      <c r="H413"/>
      <c r="I413"/>
    </row>
    <row r="414" spans="1:9" x14ac:dyDescent="0.25">
      <c r="A414"/>
      <c r="B414"/>
      <c r="C414"/>
      <c r="D414"/>
      <c r="E414"/>
      <c r="F414"/>
      <c r="G414"/>
      <c r="H414"/>
      <c r="I414"/>
    </row>
    <row r="415" spans="1:9" x14ac:dyDescent="0.25">
      <c r="A415"/>
      <c r="B415"/>
      <c r="C415"/>
      <c r="D415"/>
      <c r="E415"/>
      <c r="F415"/>
      <c r="G415"/>
      <c r="H415"/>
      <c r="I415"/>
    </row>
    <row r="416" spans="1:9" x14ac:dyDescent="0.25">
      <c r="A416"/>
      <c r="B416"/>
      <c r="C416"/>
      <c r="D416"/>
      <c r="E416"/>
      <c r="F416"/>
      <c r="G416"/>
      <c r="H416"/>
      <c r="I416"/>
    </row>
    <row r="417" spans="1:9" x14ac:dyDescent="0.25">
      <c r="A417"/>
      <c r="B417"/>
      <c r="C417"/>
      <c r="D417"/>
      <c r="E417"/>
      <c r="F417"/>
      <c r="G417"/>
      <c r="H417"/>
      <c r="I417"/>
    </row>
    <row r="418" spans="1:9" x14ac:dyDescent="0.25">
      <c r="A418"/>
      <c r="B418"/>
      <c r="C418"/>
      <c r="D418"/>
      <c r="E418"/>
      <c r="F418"/>
      <c r="G418"/>
      <c r="H418"/>
      <c r="I418"/>
    </row>
    <row r="419" spans="1:9" x14ac:dyDescent="0.25">
      <c r="A419"/>
      <c r="B419"/>
      <c r="C419"/>
      <c r="D419"/>
      <c r="E419"/>
      <c r="F419"/>
      <c r="G419"/>
      <c r="H419"/>
      <c r="I419"/>
    </row>
    <row r="420" spans="1:9" x14ac:dyDescent="0.25">
      <c r="A420"/>
      <c r="B420"/>
      <c r="C420"/>
      <c r="D420"/>
      <c r="E420"/>
      <c r="F420"/>
      <c r="G420"/>
      <c r="H420"/>
      <c r="I420"/>
    </row>
    <row r="421" spans="1:9" x14ac:dyDescent="0.25">
      <c r="A421"/>
      <c r="B421"/>
      <c r="C421"/>
      <c r="D421"/>
      <c r="E421"/>
      <c r="F421"/>
      <c r="G421"/>
      <c r="H421"/>
      <c r="I421"/>
    </row>
    <row r="422" spans="1:9" x14ac:dyDescent="0.25">
      <c r="A422"/>
      <c r="B422"/>
      <c r="C422"/>
      <c r="D422"/>
      <c r="E422"/>
      <c r="F422"/>
      <c r="G422"/>
      <c r="H422"/>
      <c r="I422"/>
    </row>
    <row r="423" spans="1:9" x14ac:dyDescent="0.25">
      <c r="A423"/>
      <c r="B423"/>
      <c r="C423"/>
      <c r="D423"/>
      <c r="E423"/>
      <c r="F423"/>
      <c r="G423"/>
      <c r="H423"/>
      <c r="I423"/>
    </row>
    <row r="424" spans="1:9" x14ac:dyDescent="0.25">
      <c r="A424"/>
      <c r="B424"/>
      <c r="C424"/>
      <c r="D424"/>
      <c r="E424"/>
      <c r="F424"/>
      <c r="G424"/>
      <c r="H424"/>
      <c r="I424"/>
    </row>
    <row r="425" spans="1:9" x14ac:dyDescent="0.25">
      <c r="A425"/>
      <c r="B425"/>
      <c r="C425"/>
      <c r="D425"/>
      <c r="E425"/>
      <c r="F425"/>
      <c r="G425"/>
      <c r="H425"/>
      <c r="I425"/>
    </row>
    <row r="426" spans="1:9" x14ac:dyDescent="0.25">
      <c r="A426"/>
      <c r="B426"/>
      <c r="C426"/>
      <c r="D426"/>
      <c r="E426"/>
      <c r="F426"/>
      <c r="G426"/>
      <c r="H426"/>
      <c r="I426"/>
    </row>
    <row r="427" spans="1:9" x14ac:dyDescent="0.25">
      <c r="A427"/>
      <c r="B427"/>
      <c r="C427"/>
      <c r="D427"/>
      <c r="E427"/>
      <c r="F427"/>
      <c r="G427"/>
      <c r="H427"/>
      <c r="I427"/>
    </row>
    <row r="428" spans="1:9" x14ac:dyDescent="0.25">
      <c r="A428"/>
      <c r="B428"/>
      <c r="C428"/>
      <c r="D428"/>
      <c r="E428"/>
      <c r="F428"/>
      <c r="G428"/>
      <c r="H428"/>
      <c r="I428"/>
    </row>
    <row r="429" spans="1:9" x14ac:dyDescent="0.25">
      <c r="A429"/>
      <c r="B429"/>
      <c r="C429"/>
      <c r="D429"/>
      <c r="E429"/>
      <c r="F429"/>
      <c r="G429"/>
      <c r="H429"/>
      <c r="I429"/>
    </row>
    <row r="430" spans="1:9" x14ac:dyDescent="0.25">
      <c r="A430"/>
      <c r="B430"/>
      <c r="C430"/>
      <c r="D430"/>
      <c r="E430"/>
      <c r="F430"/>
      <c r="G430"/>
      <c r="H430"/>
      <c r="I430"/>
    </row>
    <row r="431" spans="1:9" x14ac:dyDescent="0.25">
      <c r="A431"/>
      <c r="B431"/>
      <c r="C431"/>
      <c r="D431"/>
      <c r="E431"/>
      <c r="F431"/>
      <c r="G431"/>
      <c r="H431"/>
      <c r="I431"/>
    </row>
    <row r="432" spans="1:9" x14ac:dyDescent="0.25">
      <c r="A432"/>
      <c r="B432"/>
      <c r="C432"/>
      <c r="D432"/>
      <c r="E432"/>
      <c r="F432"/>
      <c r="G432"/>
      <c r="H432"/>
      <c r="I432"/>
    </row>
    <row r="433" spans="1:9" x14ac:dyDescent="0.25">
      <c r="A433"/>
      <c r="B433"/>
      <c r="C433"/>
      <c r="D433"/>
      <c r="E433"/>
      <c r="F433"/>
      <c r="G433"/>
      <c r="H433"/>
      <c r="I433"/>
    </row>
    <row r="434" spans="1:9" x14ac:dyDescent="0.25">
      <c r="A434"/>
      <c r="B434"/>
      <c r="C434"/>
      <c r="D434"/>
      <c r="E434"/>
      <c r="F434"/>
      <c r="G434"/>
      <c r="H434"/>
      <c r="I434"/>
    </row>
    <row r="435" spans="1:9" x14ac:dyDescent="0.25">
      <c r="A435"/>
      <c r="B435"/>
      <c r="C435"/>
      <c r="D435"/>
      <c r="E435"/>
      <c r="F435"/>
      <c r="G435"/>
      <c r="H435"/>
      <c r="I435"/>
    </row>
    <row r="436" spans="1:9" x14ac:dyDescent="0.25">
      <c r="A436"/>
      <c r="B436"/>
      <c r="C436"/>
      <c r="D436"/>
      <c r="E436"/>
      <c r="F436"/>
      <c r="G436"/>
      <c r="H436"/>
      <c r="I436"/>
    </row>
    <row r="437" spans="1:9" x14ac:dyDescent="0.25">
      <c r="A437"/>
      <c r="B437"/>
      <c r="C437"/>
      <c r="D437"/>
      <c r="E437"/>
      <c r="F437"/>
      <c r="G437"/>
      <c r="H437"/>
      <c r="I437"/>
    </row>
    <row r="438" spans="1:9" x14ac:dyDescent="0.25">
      <c r="A438"/>
      <c r="B438"/>
      <c r="C438"/>
      <c r="D438"/>
      <c r="E438"/>
      <c r="F438"/>
      <c r="G438"/>
      <c r="H438"/>
      <c r="I438"/>
    </row>
    <row r="439" spans="1:9" x14ac:dyDescent="0.25">
      <c r="A439"/>
      <c r="B439"/>
      <c r="C439"/>
      <c r="D439"/>
      <c r="E439"/>
      <c r="F439"/>
      <c r="G439"/>
      <c r="H439"/>
      <c r="I439"/>
    </row>
    <row r="440" spans="1:9" x14ac:dyDescent="0.25">
      <c r="A440"/>
      <c r="B440"/>
      <c r="C440"/>
      <c r="D440"/>
      <c r="E440"/>
      <c r="F440"/>
      <c r="G440"/>
      <c r="H440"/>
      <c r="I440"/>
    </row>
    <row r="441" spans="1:9" x14ac:dyDescent="0.25">
      <c r="A441"/>
      <c r="B441"/>
      <c r="C441"/>
      <c r="D441"/>
      <c r="E441"/>
      <c r="F441"/>
      <c r="G441"/>
      <c r="H441"/>
      <c r="I441"/>
    </row>
    <row r="442" spans="1:9" x14ac:dyDescent="0.25">
      <c r="A442"/>
      <c r="B442"/>
      <c r="C442"/>
      <c r="D442"/>
      <c r="E442"/>
      <c r="F442"/>
      <c r="G442"/>
      <c r="H442"/>
      <c r="I442"/>
    </row>
    <row r="443" spans="1:9" x14ac:dyDescent="0.25">
      <c r="A443"/>
      <c r="B443"/>
      <c r="C443"/>
      <c r="D443"/>
      <c r="E443"/>
      <c r="F443"/>
      <c r="G443"/>
      <c r="H443"/>
      <c r="I443"/>
    </row>
    <row r="444" spans="1:9" x14ac:dyDescent="0.25">
      <c r="A444"/>
      <c r="B444"/>
      <c r="C444"/>
      <c r="D444"/>
      <c r="E444"/>
      <c r="F444"/>
      <c r="G444"/>
      <c r="H444"/>
      <c r="I444"/>
    </row>
    <row r="445" spans="1:9" x14ac:dyDescent="0.25">
      <c r="A445"/>
      <c r="B445"/>
      <c r="C445"/>
      <c r="D445"/>
      <c r="E445"/>
      <c r="F445"/>
      <c r="G445"/>
      <c r="H445"/>
      <c r="I445"/>
    </row>
    <row r="446" spans="1:9" x14ac:dyDescent="0.25">
      <c r="A446"/>
      <c r="B446"/>
      <c r="C446"/>
      <c r="D446"/>
      <c r="E446"/>
      <c r="F446"/>
      <c r="G446"/>
      <c r="H446"/>
      <c r="I446"/>
    </row>
    <row r="447" spans="1:9" x14ac:dyDescent="0.25">
      <c r="A447"/>
      <c r="B447"/>
      <c r="C447"/>
      <c r="D447"/>
      <c r="E447"/>
      <c r="F447"/>
      <c r="G447"/>
      <c r="H447"/>
      <c r="I447"/>
    </row>
    <row r="448" spans="1:9" x14ac:dyDescent="0.25">
      <c r="A448"/>
      <c r="B448"/>
      <c r="C448"/>
      <c r="D448"/>
      <c r="E448"/>
      <c r="F448"/>
      <c r="G448"/>
      <c r="H448"/>
      <c r="I448"/>
    </row>
    <row r="449" spans="1:9" x14ac:dyDescent="0.25">
      <c r="A449"/>
      <c r="B449"/>
      <c r="C449"/>
      <c r="D449"/>
      <c r="E449"/>
      <c r="F449"/>
      <c r="G449"/>
      <c r="H449"/>
      <c r="I449"/>
    </row>
    <row r="450" spans="1:9" x14ac:dyDescent="0.25">
      <c r="A450"/>
      <c r="B450"/>
      <c r="C450"/>
      <c r="D450"/>
      <c r="E450"/>
      <c r="F450"/>
      <c r="G450"/>
      <c r="H450"/>
      <c r="I450"/>
    </row>
    <row r="451" spans="1:9" x14ac:dyDescent="0.25">
      <c r="A451"/>
      <c r="B451"/>
      <c r="C451"/>
      <c r="D451"/>
      <c r="E451"/>
      <c r="F451"/>
      <c r="G451"/>
      <c r="H451"/>
      <c r="I451"/>
    </row>
    <row r="452" spans="1:9" x14ac:dyDescent="0.25">
      <c r="A452"/>
      <c r="B452"/>
      <c r="C452"/>
      <c r="D452"/>
      <c r="E452"/>
      <c r="F452"/>
      <c r="G452"/>
      <c r="H452"/>
      <c r="I452"/>
    </row>
    <row r="453" spans="1:9" x14ac:dyDescent="0.25">
      <c r="A453"/>
      <c r="B453"/>
      <c r="C453"/>
      <c r="D453"/>
      <c r="E453"/>
      <c r="F453"/>
      <c r="G453"/>
      <c r="H453"/>
      <c r="I453"/>
    </row>
    <row r="454" spans="1:9" x14ac:dyDescent="0.25">
      <c r="A454"/>
      <c r="B454"/>
      <c r="C454"/>
      <c r="D454"/>
      <c r="E454"/>
      <c r="F454"/>
      <c r="G454"/>
      <c r="H454"/>
      <c r="I454"/>
    </row>
    <row r="455" spans="1:9" x14ac:dyDescent="0.25">
      <c r="A455"/>
      <c r="B455"/>
      <c r="C455"/>
      <c r="D455"/>
      <c r="E455"/>
      <c r="F455"/>
      <c r="G455"/>
      <c r="H455"/>
      <c r="I455"/>
    </row>
    <row r="456" spans="1:9" x14ac:dyDescent="0.25">
      <c r="A456"/>
      <c r="B456"/>
      <c r="C456"/>
      <c r="D456"/>
      <c r="E456"/>
      <c r="F456"/>
      <c r="G456"/>
      <c r="H456"/>
      <c r="I456"/>
    </row>
    <row r="457" spans="1:9" x14ac:dyDescent="0.25">
      <c r="A457"/>
      <c r="B457"/>
      <c r="C457"/>
      <c r="D457"/>
      <c r="E457"/>
      <c r="F457"/>
      <c r="G457"/>
      <c r="H457"/>
      <c r="I457"/>
    </row>
    <row r="458" spans="1:9" x14ac:dyDescent="0.25">
      <c r="A458"/>
      <c r="B458"/>
      <c r="C458"/>
      <c r="D458"/>
      <c r="E458"/>
      <c r="F458"/>
      <c r="G458"/>
      <c r="H458"/>
      <c r="I458"/>
    </row>
    <row r="459" spans="1:9" x14ac:dyDescent="0.25">
      <c r="A459"/>
      <c r="B459"/>
      <c r="C459"/>
      <c r="D459"/>
      <c r="E459"/>
      <c r="F459"/>
      <c r="G459"/>
      <c r="H459"/>
      <c r="I459"/>
    </row>
    <row r="460" spans="1:9" x14ac:dyDescent="0.25">
      <c r="A460"/>
      <c r="B460"/>
      <c r="C460"/>
      <c r="D460"/>
      <c r="E460"/>
      <c r="F460"/>
      <c r="G460"/>
      <c r="H460"/>
      <c r="I460"/>
    </row>
    <row r="461" spans="1:9" x14ac:dyDescent="0.25">
      <c r="A461"/>
      <c r="B461"/>
      <c r="C461"/>
      <c r="D461"/>
      <c r="E461"/>
      <c r="F461"/>
      <c r="G461"/>
      <c r="H461"/>
      <c r="I461"/>
    </row>
    <row r="462" spans="1:9" x14ac:dyDescent="0.25">
      <c r="A462"/>
      <c r="B462"/>
      <c r="C462"/>
      <c r="D462"/>
      <c r="E462"/>
      <c r="F462"/>
      <c r="G462"/>
      <c r="H462"/>
      <c r="I462"/>
    </row>
    <row r="463" spans="1:9" x14ac:dyDescent="0.25">
      <c r="A463"/>
      <c r="B463"/>
      <c r="C463"/>
      <c r="D463"/>
      <c r="E463"/>
      <c r="F463"/>
      <c r="G463"/>
      <c r="H463"/>
      <c r="I463"/>
    </row>
    <row r="464" spans="1:9" x14ac:dyDescent="0.25">
      <c r="A464"/>
      <c r="B464"/>
      <c r="C464"/>
      <c r="D464"/>
      <c r="E464"/>
      <c r="F464"/>
      <c r="G464"/>
      <c r="H464"/>
      <c r="I464"/>
    </row>
    <row r="465" spans="1:9" x14ac:dyDescent="0.25">
      <c r="A465"/>
      <c r="B465"/>
      <c r="C465"/>
      <c r="D465"/>
      <c r="E465"/>
      <c r="F465"/>
      <c r="G465"/>
      <c r="H465"/>
      <c r="I465"/>
    </row>
    <row r="466" spans="1:9" x14ac:dyDescent="0.25">
      <c r="A466"/>
      <c r="B466"/>
      <c r="C466"/>
      <c r="D466"/>
      <c r="E466"/>
      <c r="F466"/>
      <c r="G466"/>
      <c r="H466"/>
      <c r="I466"/>
    </row>
    <row r="467" spans="1:9" x14ac:dyDescent="0.25">
      <c r="A467"/>
      <c r="B467"/>
      <c r="C467"/>
      <c r="D467"/>
      <c r="E467"/>
      <c r="F467"/>
      <c r="G467"/>
      <c r="H467"/>
      <c r="I467"/>
    </row>
    <row r="468" spans="1:9" x14ac:dyDescent="0.25">
      <c r="A468"/>
      <c r="B468"/>
      <c r="C468"/>
      <c r="D468"/>
      <c r="E468"/>
      <c r="F468"/>
      <c r="G468"/>
      <c r="H468"/>
      <c r="I468"/>
    </row>
    <row r="469" spans="1:9" x14ac:dyDescent="0.25">
      <c r="A469"/>
      <c r="B469"/>
      <c r="C469"/>
      <c r="D469"/>
      <c r="E469"/>
      <c r="F469"/>
      <c r="G469"/>
      <c r="H469"/>
      <c r="I469"/>
    </row>
    <row r="470" spans="1:9" x14ac:dyDescent="0.25">
      <c r="A470"/>
      <c r="B470"/>
      <c r="C470"/>
      <c r="D470"/>
      <c r="E470"/>
      <c r="F470"/>
      <c r="G470"/>
      <c r="H470"/>
      <c r="I470"/>
    </row>
    <row r="471" spans="1:9" x14ac:dyDescent="0.25">
      <c r="A471"/>
      <c r="B471"/>
      <c r="C471"/>
      <c r="D471"/>
      <c r="E471"/>
      <c r="F471"/>
      <c r="G471"/>
      <c r="H471"/>
      <c r="I471"/>
    </row>
    <row r="472" spans="1:9" x14ac:dyDescent="0.25">
      <c r="A472"/>
      <c r="B472"/>
      <c r="C472"/>
      <c r="D472"/>
      <c r="E472"/>
      <c r="F472"/>
      <c r="G472"/>
      <c r="H472"/>
      <c r="I472"/>
    </row>
    <row r="473" spans="1:9" x14ac:dyDescent="0.25">
      <c r="A473"/>
      <c r="B473"/>
      <c r="C473"/>
      <c r="D473"/>
      <c r="E473"/>
      <c r="F473"/>
      <c r="G473"/>
      <c r="H473"/>
      <c r="I473"/>
    </row>
    <row r="474" spans="1:9" x14ac:dyDescent="0.25">
      <c r="A474"/>
      <c r="B474"/>
      <c r="C474"/>
      <c r="D474"/>
      <c r="E474"/>
      <c r="F474"/>
      <c r="G474"/>
      <c r="H474"/>
      <c r="I474"/>
    </row>
    <row r="475" spans="1:9" x14ac:dyDescent="0.25">
      <c r="A475"/>
      <c r="B475"/>
      <c r="C475"/>
      <c r="D475"/>
      <c r="E475"/>
      <c r="F475"/>
      <c r="G475"/>
      <c r="H475"/>
      <c r="I475"/>
    </row>
    <row r="476" spans="1:9" x14ac:dyDescent="0.25">
      <c r="A476"/>
      <c r="B476"/>
      <c r="C476"/>
      <c r="D476"/>
      <c r="E476"/>
      <c r="F476"/>
      <c r="G476"/>
      <c r="H476"/>
      <c r="I476"/>
    </row>
    <row r="477" spans="1:9" x14ac:dyDescent="0.25">
      <c r="A477"/>
      <c r="B477"/>
      <c r="C477"/>
      <c r="D477"/>
      <c r="E477"/>
      <c r="F477"/>
      <c r="G477"/>
      <c r="H477"/>
      <c r="I477"/>
    </row>
    <row r="478" spans="1:9" x14ac:dyDescent="0.25">
      <c r="A478"/>
      <c r="B478"/>
      <c r="C478"/>
      <c r="D478"/>
      <c r="E478"/>
      <c r="F478"/>
      <c r="G478"/>
      <c r="H478"/>
      <c r="I478"/>
    </row>
    <row r="479" spans="1:9" x14ac:dyDescent="0.25">
      <c r="A479"/>
      <c r="B479"/>
      <c r="C479"/>
      <c r="D479"/>
      <c r="E479"/>
      <c r="F479"/>
      <c r="G479"/>
      <c r="H479"/>
      <c r="I479"/>
    </row>
    <row r="480" spans="1:9" x14ac:dyDescent="0.25">
      <c r="A480"/>
      <c r="B480"/>
      <c r="C480"/>
      <c r="D480"/>
      <c r="E480"/>
      <c r="F480"/>
      <c r="G480"/>
      <c r="H480"/>
      <c r="I480"/>
    </row>
    <row r="481" spans="1:9" x14ac:dyDescent="0.25">
      <c r="A481"/>
      <c r="B481"/>
      <c r="C481"/>
      <c r="D481"/>
      <c r="E481"/>
      <c r="F481"/>
      <c r="G481"/>
      <c r="H481"/>
      <c r="I481"/>
    </row>
    <row r="482" spans="1:9" x14ac:dyDescent="0.25">
      <c r="A482"/>
      <c r="B482"/>
      <c r="C482"/>
      <c r="D482"/>
      <c r="E482"/>
      <c r="F482"/>
      <c r="G482"/>
      <c r="H482"/>
      <c r="I482"/>
    </row>
    <row r="483" spans="1:9" x14ac:dyDescent="0.25">
      <c r="A483"/>
      <c r="B483"/>
      <c r="C483"/>
      <c r="D483"/>
      <c r="E483"/>
      <c r="F483"/>
      <c r="G483"/>
      <c r="H483"/>
      <c r="I483"/>
    </row>
    <row r="484" spans="1:9" x14ac:dyDescent="0.25">
      <c r="A484"/>
      <c r="B484"/>
      <c r="C484"/>
      <c r="D484"/>
      <c r="E484"/>
      <c r="F484"/>
      <c r="G484"/>
      <c r="H484"/>
      <c r="I484"/>
    </row>
    <row r="485" spans="1:9" x14ac:dyDescent="0.25">
      <c r="A485"/>
      <c r="B485"/>
      <c r="C485"/>
      <c r="D485"/>
      <c r="E485"/>
      <c r="F485"/>
      <c r="G485"/>
      <c r="H485"/>
      <c r="I485"/>
    </row>
    <row r="486" spans="1:9" x14ac:dyDescent="0.25">
      <c r="A486"/>
      <c r="B486"/>
      <c r="C486"/>
      <c r="D486"/>
      <c r="E486"/>
      <c r="F486"/>
      <c r="G486"/>
      <c r="H486"/>
      <c r="I486"/>
    </row>
    <row r="487" spans="1:9" x14ac:dyDescent="0.25">
      <c r="A487"/>
      <c r="B487"/>
      <c r="C487"/>
      <c r="D487"/>
      <c r="E487"/>
      <c r="F487"/>
      <c r="G487"/>
      <c r="H487"/>
      <c r="I487"/>
    </row>
    <row r="488" spans="1:9" x14ac:dyDescent="0.25">
      <c r="A488"/>
      <c r="B488"/>
      <c r="C488"/>
      <c r="D488"/>
      <c r="E488"/>
      <c r="F488"/>
      <c r="G488"/>
      <c r="H488"/>
      <c r="I488"/>
    </row>
    <row r="489" spans="1:9" x14ac:dyDescent="0.25">
      <c r="A489"/>
      <c r="B489"/>
      <c r="C489"/>
      <c r="D489"/>
      <c r="E489"/>
      <c r="F489"/>
      <c r="G489"/>
      <c r="H489"/>
      <c r="I489"/>
    </row>
    <row r="490" spans="1:9" x14ac:dyDescent="0.25">
      <c r="A490"/>
      <c r="B490"/>
      <c r="C490"/>
      <c r="D490"/>
      <c r="E490"/>
      <c r="F490"/>
      <c r="G490"/>
      <c r="H490"/>
      <c r="I490"/>
    </row>
    <row r="491" spans="1:9" x14ac:dyDescent="0.25">
      <c r="A491"/>
      <c r="B491"/>
      <c r="C491"/>
      <c r="D491"/>
      <c r="E491"/>
      <c r="F491"/>
      <c r="G491"/>
      <c r="H491"/>
      <c r="I491"/>
    </row>
    <row r="492" spans="1:9" x14ac:dyDescent="0.25">
      <c r="A492"/>
      <c r="B492"/>
      <c r="C492"/>
      <c r="D492"/>
      <c r="E492"/>
      <c r="F492"/>
      <c r="G492"/>
      <c r="H492"/>
      <c r="I492"/>
    </row>
    <row r="493" spans="1:9" x14ac:dyDescent="0.25">
      <c r="A493"/>
      <c r="B493"/>
      <c r="C493"/>
      <c r="D493"/>
      <c r="E493"/>
      <c r="F493"/>
      <c r="G493"/>
      <c r="H493"/>
      <c r="I493"/>
    </row>
    <row r="494" spans="1:9" x14ac:dyDescent="0.25">
      <c r="A494"/>
      <c r="B494"/>
      <c r="C494"/>
      <c r="D494"/>
      <c r="E494"/>
      <c r="F494"/>
      <c r="G494"/>
      <c r="H494"/>
      <c r="I494"/>
    </row>
    <row r="495" spans="1:9" x14ac:dyDescent="0.25">
      <c r="A495"/>
      <c r="B495"/>
      <c r="C495"/>
      <c r="D495"/>
      <c r="E495"/>
      <c r="F495"/>
      <c r="G495"/>
      <c r="H495"/>
      <c r="I495"/>
    </row>
    <row r="496" spans="1:9" x14ac:dyDescent="0.25">
      <c r="A496"/>
      <c r="B496"/>
      <c r="C496"/>
      <c r="D496"/>
      <c r="E496"/>
      <c r="F496"/>
      <c r="G496"/>
      <c r="H496"/>
      <c r="I496"/>
    </row>
    <row r="497" spans="1:9" x14ac:dyDescent="0.25">
      <c r="A497"/>
      <c r="B497"/>
      <c r="C497"/>
      <c r="D497"/>
      <c r="E497"/>
      <c r="F497"/>
      <c r="G497"/>
      <c r="H497"/>
      <c r="I497"/>
    </row>
    <row r="498" spans="1:9" x14ac:dyDescent="0.25">
      <c r="A498"/>
      <c r="B498"/>
      <c r="C498"/>
      <c r="D498"/>
      <c r="E498"/>
      <c r="F498"/>
      <c r="G498"/>
      <c r="H498"/>
      <c r="I498"/>
    </row>
    <row r="499" spans="1:9" x14ac:dyDescent="0.25">
      <c r="A499"/>
      <c r="B499"/>
      <c r="C499"/>
      <c r="D499"/>
      <c r="E499"/>
      <c r="F499"/>
      <c r="G499"/>
      <c r="H499"/>
      <c r="I499"/>
    </row>
    <row r="500" spans="1:9" x14ac:dyDescent="0.25">
      <c r="A500"/>
      <c r="B500"/>
      <c r="C500"/>
      <c r="D500"/>
      <c r="E500"/>
      <c r="F500"/>
      <c r="G500"/>
      <c r="H500"/>
      <c r="I500"/>
    </row>
    <row r="501" spans="1:9" x14ac:dyDescent="0.25">
      <c r="A501"/>
      <c r="B501"/>
      <c r="C501"/>
      <c r="D501"/>
      <c r="E501"/>
      <c r="F501"/>
      <c r="G501"/>
      <c r="H501"/>
      <c r="I501"/>
    </row>
    <row r="502" spans="1:9" x14ac:dyDescent="0.25">
      <c r="A502"/>
      <c r="B502"/>
      <c r="C502"/>
      <c r="D502"/>
      <c r="E502"/>
      <c r="F502"/>
      <c r="G502"/>
      <c r="H502"/>
      <c r="I502"/>
    </row>
    <row r="503" spans="1:9" x14ac:dyDescent="0.25">
      <c r="A503"/>
      <c r="B503"/>
      <c r="C503"/>
      <c r="D503"/>
      <c r="E503"/>
      <c r="F503"/>
      <c r="G503"/>
      <c r="H503"/>
      <c r="I503"/>
    </row>
    <row r="504" spans="1:9" x14ac:dyDescent="0.25">
      <c r="A504"/>
      <c r="B504"/>
      <c r="C504"/>
      <c r="D504"/>
      <c r="E504"/>
      <c r="F504"/>
      <c r="G504"/>
      <c r="H504"/>
      <c r="I504"/>
    </row>
    <row r="505" spans="1:9" x14ac:dyDescent="0.25">
      <c r="A505"/>
      <c r="B505"/>
      <c r="C505"/>
      <c r="D505"/>
      <c r="E505"/>
      <c r="F505"/>
      <c r="G505"/>
      <c r="H505"/>
      <c r="I505"/>
    </row>
    <row r="506" spans="1:9" x14ac:dyDescent="0.25">
      <c r="A506"/>
      <c r="B506"/>
      <c r="C506"/>
      <c r="D506"/>
      <c r="E506"/>
      <c r="F506"/>
      <c r="G506"/>
      <c r="H506"/>
      <c r="I506"/>
    </row>
    <row r="507" spans="1:9" x14ac:dyDescent="0.25">
      <c r="A507"/>
      <c r="B507"/>
      <c r="C507"/>
      <c r="D507"/>
      <c r="E507"/>
      <c r="F507"/>
      <c r="G507"/>
      <c r="H507"/>
      <c r="I507"/>
    </row>
    <row r="508" spans="1:9" x14ac:dyDescent="0.25">
      <c r="A508"/>
      <c r="B508"/>
      <c r="C508"/>
      <c r="D508"/>
      <c r="E508"/>
      <c r="F508"/>
      <c r="G508"/>
      <c r="H508"/>
      <c r="I508"/>
    </row>
    <row r="509" spans="1:9" x14ac:dyDescent="0.25">
      <c r="A509"/>
      <c r="B509"/>
      <c r="C509"/>
      <c r="D509"/>
      <c r="E509"/>
      <c r="F509"/>
      <c r="G509"/>
      <c r="H509"/>
      <c r="I509"/>
    </row>
    <row r="510" spans="1:9" x14ac:dyDescent="0.25">
      <c r="A510"/>
      <c r="B510"/>
      <c r="C510"/>
      <c r="D510"/>
      <c r="E510"/>
      <c r="F510"/>
      <c r="G510"/>
      <c r="H510"/>
      <c r="I510"/>
    </row>
    <row r="511" spans="1:9" x14ac:dyDescent="0.25">
      <c r="A511"/>
      <c r="B511"/>
      <c r="C511"/>
      <c r="D511"/>
      <c r="E511"/>
      <c r="F511"/>
      <c r="G511"/>
      <c r="H511"/>
      <c r="I511"/>
    </row>
    <row r="512" spans="1:9" x14ac:dyDescent="0.25">
      <c r="A512"/>
      <c r="B512"/>
      <c r="C512"/>
      <c r="D512"/>
      <c r="E512"/>
      <c r="F512"/>
      <c r="G512"/>
      <c r="H512"/>
      <c r="I512"/>
    </row>
    <row r="513" spans="1:9" x14ac:dyDescent="0.25">
      <c r="A513"/>
      <c r="B513"/>
      <c r="C513"/>
      <c r="D513"/>
      <c r="E513"/>
      <c r="F513"/>
      <c r="G513"/>
      <c r="H513"/>
      <c r="I513"/>
    </row>
    <row r="514" spans="1:9" x14ac:dyDescent="0.25">
      <c r="A514"/>
      <c r="B514"/>
      <c r="C514"/>
      <c r="D514"/>
      <c r="E514"/>
      <c r="F514"/>
      <c r="G514"/>
      <c r="H514"/>
      <c r="I514"/>
    </row>
    <row r="515" spans="1:9" x14ac:dyDescent="0.25">
      <c r="A515"/>
      <c r="B515"/>
      <c r="C515"/>
      <c r="D515"/>
      <c r="E515"/>
      <c r="F515"/>
      <c r="G515"/>
      <c r="H515"/>
      <c r="I515"/>
    </row>
    <row r="516" spans="1:9" x14ac:dyDescent="0.25">
      <c r="A516"/>
      <c r="B516"/>
      <c r="C516"/>
      <c r="D516"/>
      <c r="E516"/>
      <c r="F516"/>
      <c r="G516"/>
      <c r="H516"/>
      <c r="I516"/>
    </row>
    <row r="517" spans="1:9" x14ac:dyDescent="0.25">
      <c r="A517"/>
      <c r="B517"/>
      <c r="C517"/>
      <c r="D517"/>
      <c r="E517"/>
      <c r="F517"/>
      <c r="G517"/>
      <c r="H517"/>
      <c r="I517"/>
    </row>
    <row r="518" spans="1:9" x14ac:dyDescent="0.25">
      <c r="A518"/>
      <c r="B518"/>
      <c r="C518"/>
      <c r="D518"/>
      <c r="E518"/>
      <c r="F518"/>
      <c r="G518"/>
      <c r="H518"/>
      <c r="I518"/>
    </row>
    <row r="519" spans="1:9" x14ac:dyDescent="0.25">
      <c r="A519"/>
      <c r="B519"/>
      <c r="C519"/>
      <c r="D519"/>
      <c r="E519"/>
      <c r="F519"/>
      <c r="G519"/>
      <c r="H519"/>
      <c r="I519"/>
    </row>
    <row r="520" spans="1:9" x14ac:dyDescent="0.25">
      <c r="A520"/>
      <c r="B520"/>
      <c r="C520"/>
      <c r="D520"/>
      <c r="E520"/>
      <c r="F520"/>
      <c r="G520"/>
      <c r="H520"/>
      <c r="I520"/>
    </row>
    <row r="521" spans="1:9" x14ac:dyDescent="0.25">
      <c r="A521"/>
      <c r="B521"/>
      <c r="C521"/>
      <c r="D521"/>
      <c r="E521"/>
      <c r="F521"/>
      <c r="G521"/>
      <c r="H521"/>
      <c r="I521"/>
    </row>
    <row r="522" spans="1:9" x14ac:dyDescent="0.25">
      <c r="A522"/>
      <c r="B522"/>
      <c r="C522"/>
      <c r="D522"/>
      <c r="E522"/>
      <c r="F522"/>
      <c r="G522"/>
      <c r="H522"/>
      <c r="I522"/>
    </row>
    <row r="523" spans="1:9" x14ac:dyDescent="0.25">
      <c r="A523"/>
      <c r="B523"/>
      <c r="C523"/>
      <c r="D523"/>
      <c r="E523"/>
      <c r="F523"/>
      <c r="G523"/>
      <c r="H523"/>
      <c r="I523"/>
    </row>
    <row r="524" spans="1:9" x14ac:dyDescent="0.25">
      <c r="A524"/>
      <c r="B524"/>
      <c r="C524"/>
      <c r="D524"/>
      <c r="E524"/>
      <c r="F524"/>
      <c r="G524"/>
      <c r="H524"/>
      <c r="I524"/>
    </row>
    <row r="525" spans="1:9" x14ac:dyDescent="0.25">
      <c r="A525"/>
      <c r="B525"/>
      <c r="C525"/>
      <c r="D525"/>
      <c r="E525"/>
      <c r="F525"/>
      <c r="G525"/>
      <c r="H525"/>
      <c r="I525"/>
    </row>
    <row r="526" spans="1:9" x14ac:dyDescent="0.25">
      <c r="A526"/>
      <c r="B526"/>
      <c r="C526"/>
      <c r="D526"/>
      <c r="E526"/>
      <c r="F526"/>
      <c r="G526"/>
      <c r="H526"/>
      <c r="I526"/>
    </row>
    <row r="527" spans="1:9" x14ac:dyDescent="0.25">
      <c r="A527"/>
      <c r="B527"/>
      <c r="C527"/>
      <c r="D527"/>
      <c r="E527"/>
      <c r="F527"/>
      <c r="G527"/>
      <c r="H527"/>
      <c r="I527"/>
    </row>
    <row r="528" spans="1:9" x14ac:dyDescent="0.25">
      <c r="A528"/>
      <c r="B528"/>
      <c r="C528"/>
      <c r="D528"/>
      <c r="E528"/>
      <c r="F528"/>
      <c r="G528"/>
      <c r="H528"/>
      <c r="I528"/>
    </row>
    <row r="529" spans="1:9" x14ac:dyDescent="0.25">
      <c r="A529"/>
      <c r="B529"/>
      <c r="C529"/>
      <c r="D529"/>
      <c r="E529"/>
      <c r="F529"/>
      <c r="G529"/>
      <c r="H529"/>
      <c r="I529"/>
    </row>
    <row r="530" spans="1:9" x14ac:dyDescent="0.25">
      <c r="A530"/>
      <c r="B530"/>
      <c r="C530"/>
      <c r="D530"/>
      <c r="E530"/>
      <c r="F530"/>
      <c r="G530"/>
      <c r="H530"/>
      <c r="I530"/>
    </row>
    <row r="531" spans="1:9" x14ac:dyDescent="0.25">
      <c r="A531"/>
      <c r="B531"/>
      <c r="C531"/>
      <c r="D531"/>
      <c r="E531"/>
      <c r="F531"/>
      <c r="G531"/>
      <c r="H531"/>
      <c r="I531"/>
    </row>
    <row r="532" spans="1:9" x14ac:dyDescent="0.25">
      <c r="A532"/>
      <c r="B532"/>
      <c r="C532"/>
      <c r="D532"/>
      <c r="E532"/>
      <c r="F532"/>
      <c r="G532"/>
      <c r="H532"/>
      <c r="I532"/>
    </row>
    <row r="533" spans="1:9" x14ac:dyDescent="0.25">
      <c r="A533"/>
      <c r="B533"/>
      <c r="C533"/>
      <c r="D533"/>
      <c r="E533"/>
      <c r="F533"/>
      <c r="G533"/>
      <c r="H533"/>
      <c r="I533"/>
    </row>
    <row r="534" spans="1:9" x14ac:dyDescent="0.25">
      <c r="A534"/>
      <c r="B534"/>
      <c r="C534"/>
      <c r="D534"/>
      <c r="E534"/>
      <c r="F534"/>
      <c r="G534"/>
      <c r="H534"/>
      <c r="I534"/>
    </row>
    <row r="535" spans="1:9" x14ac:dyDescent="0.25">
      <c r="A535"/>
      <c r="B535"/>
      <c r="C535"/>
      <c r="D535"/>
      <c r="E535"/>
      <c r="F535"/>
      <c r="G535"/>
      <c r="H535"/>
      <c r="I535"/>
    </row>
    <row r="536" spans="1:9" x14ac:dyDescent="0.25">
      <c r="A536"/>
      <c r="B536"/>
      <c r="C536"/>
      <c r="D536"/>
      <c r="E536"/>
      <c r="F536"/>
      <c r="G536"/>
      <c r="H536"/>
      <c r="I536"/>
    </row>
    <row r="537" spans="1:9" x14ac:dyDescent="0.25">
      <c r="A537"/>
      <c r="B537"/>
      <c r="C537"/>
      <c r="D537"/>
      <c r="E537"/>
      <c r="F537"/>
      <c r="G537"/>
      <c r="H537"/>
      <c r="I537"/>
    </row>
    <row r="538" spans="1:9" x14ac:dyDescent="0.25">
      <c r="A538"/>
      <c r="B538"/>
      <c r="C538"/>
      <c r="D538"/>
      <c r="E538"/>
      <c r="F538"/>
      <c r="G538"/>
      <c r="H538"/>
      <c r="I538"/>
    </row>
    <row r="539" spans="1:9" x14ac:dyDescent="0.25">
      <c r="A539"/>
      <c r="B539"/>
      <c r="C539"/>
      <c r="D539"/>
      <c r="E539"/>
      <c r="F539"/>
      <c r="G539"/>
      <c r="H539"/>
      <c r="I539"/>
    </row>
    <row r="540" spans="1:9" x14ac:dyDescent="0.25">
      <c r="A540"/>
      <c r="B540"/>
      <c r="C540"/>
      <c r="D540"/>
      <c r="E540"/>
      <c r="F540"/>
      <c r="G540"/>
      <c r="H540"/>
      <c r="I540"/>
    </row>
    <row r="541" spans="1:9" x14ac:dyDescent="0.25">
      <c r="A541"/>
      <c r="B541"/>
      <c r="C541"/>
      <c r="D541"/>
      <c r="E541"/>
      <c r="F541"/>
      <c r="G541"/>
      <c r="H541"/>
      <c r="I541"/>
    </row>
    <row r="542" spans="1:9" x14ac:dyDescent="0.25">
      <c r="A542"/>
      <c r="B542"/>
      <c r="C542"/>
      <c r="D542"/>
      <c r="E542"/>
      <c r="F542"/>
      <c r="G542"/>
      <c r="H542"/>
      <c r="I542"/>
    </row>
    <row r="543" spans="1:9" x14ac:dyDescent="0.25">
      <c r="A543"/>
      <c r="B543"/>
      <c r="C543"/>
      <c r="D543"/>
      <c r="E543"/>
      <c r="F543"/>
      <c r="G543"/>
      <c r="H543"/>
      <c r="I543"/>
    </row>
    <row r="544" spans="1:9" x14ac:dyDescent="0.25">
      <c r="A544"/>
      <c r="B544"/>
      <c r="C544"/>
      <c r="D544"/>
      <c r="E544"/>
      <c r="F544"/>
      <c r="G544"/>
      <c r="H544"/>
      <c r="I544"/>
    </row>
    <row r="545" spans="1:9" x14ac:dyDescent="0.25">
      <c r="A545"/>
      <c r="B545"/>
      <c r="C545"/>
      <c r="D545"/>
      <c r="E545"/>
      <c r="F545"/>
      <c r="G545"/>
      <c r="H545"/>
      <c r="I545"/>
    </row>
    <row r="546" spans="1:9" x14ac:dyDescent="0.25">
      <c r="A546"/>
      <c r="B546"/>
      <c r="C546"/>
      <c r="D546"/>
      <c r="E546"/>
      <c r="F546"/>
      <c r="G546"/>
      <c r="H546"/>
      <c r="I546"/>
    </row>
    <row r="547" spans="1:9" x14ac:dyDescent="0.25">
      <c r="A547"/>
      <c r="B547"/>
      <c r="C547"/>
      <c r="D547"/>
      <c r="E547"/>
      <c r="F547"/>
      <c r="G547"/>
      <c r="H547"/>
      <c r="I547"/>
    </row>
    <row r="548" spans="1:9" x14ac:dyDescent="0.25">
      <c r="A548"/>
      <c r="B548"/>
      <c r="C548"/>
      <c r="D548"/>
      <c r="E548"/>
      <c r="F548"/>
      <c r="G548"/>
      <c r="H548"/>
      <c r="I548"/>
    </row>
    <row r="549" spans="1:9" x14ac:dyDescent="0.25">
      <c r="A549"/>
      <c r="B549"/>
      <c r="C549"/>
      <c r="D549"/>
      <c r="E549"/>
      <c r="F549"/>
      <c r="G549"/>
      <c r="H549"/>
      <c r="I549"/>
    </row>
    <row r="550" spans="1:9" x14ac:dyDescent="0.25">
      <c r="A550"/>
      <c r="B550"/>
      <c r="C550"/>
      <c r="D550"/>
      <c r="E550"/>
      <c r="F550"/>
      <c r="G550"/>
      <c r="H550"/>
      <c r="I550"/>
    </row>
    <row r="551" spans="1:9" x14ac:dyDescent="0.25">
      <c r="A551"/>
      <c r="B551"/>
      <c r="C551"/>
      <c r="D551"/>
      <c r="E551"/>
      <c r="F551"/>
      <c r="G551"/>
      <c r="H551"/>
      <c r="I551"/>
    </row>
    <row r="552" spans="1:9" x14ac:dyDescent="0.25">
      <c r="A552"/>
      <c r="B552"/>
      <c r="C552"/>
      <c r="D552"/>
      <c r="E552"/>
      <c r="F552"/>
      <c r="G552"/>
      <c r="H552"/>
      <c r="I552"/>
    </row>
    <row r="553" spans="1:9" x14ac:dyDescent="0.25">
      <c r="A553"/>
      <c r="B553"/>
      <c r="C553"/>
      <c r="D553"/>
      <c r="E553"/>
      <c r="F553"/>
      <c r="G553"/>
      <c r="H553"/>
      <c r="I553"/>
    </row>
    <row r="554" spans="1:9" x14ac:dyDescent="0.25">
      <c r="A554"/>
      <c r="B554"/>
      <c r="C554"/>
      <c r="D554"/>
      <c r="E554"/>
      <c r="F554"/>
      <c r="G554"/>
      <c r="H554"/>
      <c r="I554"/>
    </row>
    <row r="555" spans="1:9" x14ac:dyDescent="0.25">
      <c r="A555"/>
      <c r="B555"/>
      <c r="C555"/>
      <c r="D555"/>
      <c r="E555"/>
      <c r="F555"/>
      <c r="G555"/>
      <c r="H555"/>
      <c r="I555"/>
    </row>
    <row r="556" spans="1:9" x14ac:dyDescent="0.25">
      <c r="A556"/>
      <c r="B556"/>
      <c r="C556"/>
      <c r="D556"/>
      <c r="E556"/>
      <c r="F556"/>
      <c r="G556"/>
      <c r="H556"/>
      <c r="I556"/>
    </row>
    <row r="557" spans="1:9" x14ac:dyDescent="0.25">
      <c r="A557"/>
      <c r="B557"/>
      <c r="C557"/>
      <c r="D557"/>
      <c r="E557"/>
      <c r="F557"/>
      <c r="G557"/>
      <c r="H557"/>
      <c r="I557"/>
    </row>
    <row r="558" spans="1:9" x14ac:dyDescent="0.25">
      <c r="A558"/>
      <c r="B558"/>
      <c r="C558"/>
      <c r="D558"/>
      <c r="E558"/>
      <c r="F558"/>
      <c r="G558"/>
      <c r="H558"/>
      <c r="I558"/>
    </row>
    <row r="559" spans="1:9" x14ac:dyDescent="0.25">
      <c r="A559"/>
      <c r="B559"/>
      <c r="C559"/>
      <c r="D559"/>
      <c r="E559"/>
      <c r="F559"/>
      <c r="G559"/>
      <c r="H559"/>
      <c r="I559"/>
    </row>
    <row r="560" spans="1:9" x14ac:dyDescent="0.25">
      <c r="A560"/>
      <c r="B560"/>
      <c r="C560"/>
      <c r="D560"/>
      <c r="E560"/>
      <c r="F560"/>
      <c r="G560"/>
      <c r="H560"/>
      <c r="I560"/>
    </row>
    <row r="561" spans="1:9" x14ac:dyDescent="0.25">
      <c r="A561"/>
      <c r="B561"/>
      <c r="C561"/>
      <c r="D561"/>
      <c r="E561"/>
      <c r="F561"/>
      <c r="G561"/>
      <c r="H561"/>
      <c r="I561"/>
    </row>
    <row r="562" spans="1:9" x14ac:dyDescent="0.25">
      <c r="A562"/>
      <c r="B562"/>
      <c r="C562"/>
      <c r="D562"/>
      <c r="E562"/>
      <c r="F562"/>
      <c r="G562"/>
      <c r="H562"/>
      <c r="I562"/>
    </row>
    <row r="563" spans="1:9" x14ac:dyDescent="0.25">
      <c r="A563"/>
      <c r="B563"/>
      <c r="C563"/>
      <c r="D563"/>
      <c r="E563"/>
      <c r="F563"/>
      <c r="G563"/>
      <c r="H563"/>
      <c r="I563"/>
    </row>
    <row r="564" spans="1:9" x14ac:dyDescent="0.25">
      <c r="A564"/>
      <c r="B564"/>
      <c r="C564"/>
      <c r="D564"/>
      <c r="E564"/>
      <c r="F564"/>
      <c r="G564"/>
      <c r="H564"/>
      <c r="I564"/>
    </row>
    <row r="565" spans="1:9" x14ac:dyDescent="0.25">
      <c r="A565"/>
      <c r="B565"/>
      <c r="C565"/>
      <c r="D565"/>
      <c r="E565"/>
      <c r="F565"/>
      <c r="G565"/>
      <c r="H565"/>
      <c r="I565"/>
    </row>
    <row r="566" spans="1:9" x14ac:dyDescent="0.25">
      <c r="A566"/>
      <c r="B566"/>
      <c r="C566"/>
      <c r="D566"/>
      <c r="E566"/>
      <c r="F566"/>
      <c r="G566"/>
      <c r="H566"/>
      <c r="I566"/>
    </row>
    <row r="567" spans="1:9" x14ac:dyDescent="0.25">
      <c r="A567"/>
      <c r="B567"/>
      <c r="C567"/>
      <c r="D567"/>
      <c r="E567"/>
      <c r="F567"/>
      <c r="G567"/>
      <c r="H567"/>
      <c r="I567"/>
    </row>
    <row r="568" spans="1:9" x14ac:dyDescent="0.25">
      <c r="A568"/>
      <c r="B568"/>
      <c r="C568"/>
      <c r="D568"/>
      <c r="E568"/>
      <c r="F568"/>
      <c r="G568"/>
      <c r="H568"/>
      <c r="I568"/>
    </row>
    <row r="569" spans="1:9" x14ac:dyDescent="0.25">
      <c r="A569"/>
      <c r="B569"/>
      <c r="C569"/>
      <c r="D569"/>
      <c r="E569"/>
      <c r="F569"/>
      <c r="G569"/>
      <c r="H569"/>
      <c r="I569"/>
    </row>
    <row r="570" spans="1:9" x14ac:dyDescent="0.25">
      <c r="A570"/>
      <c r="B570"/>
      <c r="C570"/>
      <c r="D570"/>
      <c r="E570"/>
      <c r="F570"/>
      <c r="G570"/>
      <c r="H570"/>
      <c r="I570"/>
    </row>
    <row r="571" spans="1:9" x14ac:dyDescent="0.25">
      <c r="A571"/>
      <c r="B571"/>
      <c r="C571"/>
      <c r="D571"/>
      <c r="E571"/>
      <c r="F571"/>
      <c r="G571"/>
      <c r="H571"/>
      <c r="I571"/>
    </row>
    <row r="572" spans="1:9" x14ac:dyDescent="0.25">
      <c r="A572"/>
      <c r="B572"/>
      <c r="C572"/>
      <c r="D572"/>
      <c r="E572"/>
      <c r="F572"/>
      <c r="G572"/>
      <c r="H572"/>
      <c r="I572"/>
    </row>
    <row r="573" spans="1:9" x14ac:dyDescent="0.25">
      <c r="A573"/>
      <c r="B573"/>
      <c r="C573"/>
      <c r="D573"/>
      <c r="E573"/>
      <c r="F573"/>
      <c r="G573"/>
      <c r="H573"/>
      <c r="I573"/>
    </row>
    <row r="574" spans="1:9" x14ac:dyDescent="0.25">
      <c r="A574"/>
      <c r="B574"/>
      <c r="C574"/>
      <c r="D574"/>
      <c r="E574"/>
      <c r="F574"/>
      <c r="G574"/>
      <c r="H574"/>
      <c r="I574"/>
    </row>
    <row r="575" spans="1:9" x14ac:dyDescent="0.25">
      <c r="A575"/>
      <c r="B575"/>
      <c r="C575"/>
      <c r="D575"/>
      <c r="E575"/>
      <c r="F575"/>
      <c r="G575"/>
      <c r="H575"/>
      <c r="I575"/>
    </row>
    <row r="576" spans="1:9" x14ac:dyDescent="0.25">
      <c r="A576"/>
      <c r="B576"/>
      <c r="C576"/>
      <c r="D576"/>
      <c r="E576"/>
      <c r="F576"/>
      <c r="G576"/>
      <c r="H576"/>
      <c r="I576"/>
    </row>
    <row r="577" spans="1:9" x14ac:dyDescent="0.25">
      <c r="A577"/>
      <c r="B577"/>
      <c r="C577"/>
      <c r="D577"/>
      <c r="E577"/>
      <c r="F577"/>
      <c r="G577"/>
      <c r="H577"/>
      <c r="I577"/>
    </row>
    <row r="578" spans="1:9" x14ac:dyDescent="0.25">
      <c r="A578"/>
      <c r="B578"/>
      <c r="C578"/>
      <c r="D578"/>
      <c r="E578"/>
      <c r="F578"/>
      <c r="G578"/>
      <c r="H578"/>
      <c r="I578"/>
    </row>
    <row r="579" spans="1:9" x14ac:dyDescent="0.25">
      <c r="A579"/>
      <c r="B579"/>
      <c r="C579"/>
      <c r="D579"/>
      <c r="E579"/>
      <c r="F579"/>
      <c r="G579"/>
      <c r="H579"/>
      <c r="I579"/>
    </row>
    <row r="580" spans="1:9" x14ac:dyDescent="0.25">
      <c r="A580"/>
      <c r="B580"/>
      <c r="C580"/>
      <c r="D580"/>
      <c r="E580"/>
      <c r="F580"/>
      <c r="G580"/>
      <c r="H580"/>
      <c r="I580"/>
    </row>
    <row r="581" spans="1:9" x14ac:dyDescent="0.25">
      <c r="A581"/>
      <c r="B581"/>
      <c r="C581"/>
      <c r="D581"/>
      <c r="E581"/>
      <c r="F581"/>
      <c r="G581"/>
      <c r="H581"/>
      <c r="I581"/>
    </row>
    <row r="582" spans="1:9" x14ac:dyDescent="0.25">
      <c r="A582"/>
      <c r="B582"/>
      <c r="C582"/>
      <c r="D582"/>
      <c r="E582"/>
      <c r="F582"/>
      <c r="G582"/>
      <c r="H582"/>
      <c r="I582"/>
    </row>
    <row r="583" spans="1:9" x14ac:dyDescent="0.25">
      <c r="A583"/>
      <c r="B583"/>
      <c r="C583"/>
      <c r="D583"/>
      <c r="E583"/>
      <c r="F583"/>
      <c r="G583"/>
      <c r="H583"/>
      <c r="I583"/>
    </row>
    <row r="584" spans="1:9" x14ac:dyDescent="0.25">
      <c r="A584"/>
      <c r="B584"/>
      <c r="C584"/>
      <c r="D584"/>
      <c r="E584"/>
      <c r="F584"/>
      <c r="G584"/>
      <c r="H584"/>
      <c r="I584"/>
    </row>
    <row r="585" spans="1:9" x14ac:dyDescent="0.25">
      <c r="A585"/>
      <c r="B585"/>
      <c r="C585"/>
      <c r="D585"/>
      <c r="E585"/>
      <c r="F585"/>
      <c r="G585"/>
      <c r="H585"/>
      <c r="I585"/>
    </row>
    <row r="586" spans="1:9" x14ac:dyDescent="0.25">
      <c r="A586"/>
      <c r="B586"/>
      <c r="C586"/>
      <c r="D586"/>
      <c r="E586"/>
      <c r="F586"/>
      <c r="G586"/>
      <c r="H586"/>
      <c r="I586"/>
    </row>
    <row r="587" spans="1:9" x14ac:dyDescent="0.25">
      <c r="A587"/>
      <c r="B587"/>
      <c r="C587"/>
      <c r="D587"/>
      <c r="E587"/>
      <c r="F587"/>
      <c r="G587"/>
      <c r="H587"/>
      <c r="I587"/>
    </row>
    <row r="588" spans="1:9" x14ac:dyDescent="0.25">
      <c r="A588"/>
      <c r="B588"/>
      <c r="C588"/>
      <c r="D588"/>
      <c r="E588"/>
      <c r="F588"/>
      <c r="G588"/>
      <c r="H588"/>
      <c r="I588"/>
    </row>
    <row r="589" spans="1:9" x14ac:dyDescent="0.25">
      <c r="A589"/>
      <c r="B589"/>
      <c r="C589"/>
      <c r="D589"/>
      <c r="E589"/>
      <c r="F589"/>
      <c r="G589"/>
      <c r="H589"/>
      <c r="I589"/>
    </row>
    <row r="590" spans="1:9" x14ac:dyDescent="0.25">
      <c r="A590"/>
      <c r="B590"/>
      <c r="C590"/>
      <c r="D590"/>
      <c r="E590"/>
      <c r="F590"/>
      <c r="G590"/>
      <c r="H590"/>
      <c r="I590"/>
    </row>
    <row r="591" spans="1:9" x14ac:dyDescent="0.25">
      <c r="A591"/>
      <c r="B591"/>
      <c r="C591"/>
      <c r="D591"/>
      <c r="E591"/>
      <c r="F591"/>
      <c r="G591"/>
      <c r="H591"/>
      <c r="I591"/>
    </row>
    <row r="592" spans="1:9" x14ac:dyDescent="0.25">
      <c r="A592"/>
      <c r="B592"/>
      <c r="C592"/>
      <c r="D592"/>
      <c r="E592"/>
      <c r="F592"/>
      <c r="G592"/>
      <c r="H592"/>
      <c r="I592"/>
    </row>
    <row r="593" spans="1:9" x14ac:dyDescent="0.25">
      <c r="A593"/>
      <c r="B593"/>
      <c r="C593"/>
      <c r="D593"/>
      <c r="E593"/>
      <c r="F593"/>
      <c r="G593"/>
      <c r="H593"/>
      <c r="I593"/>
    </row>
    <row r="594" spans="1:9" x14ac:dyDescent="0.25">
      <c r="A594"/>
      <c r="B594"/>
      <c r="C594"/>
      <c r="D594"/>
      <c r="E594"/>
      <c r="F594"/>
      <c r="G594"/>
      <c r="H594"/>
      <c r="I594"/>
    </row>
    <row r="595" spans="1:9" x14ac:dyDescent="0.25">
      <c r="A595"/>
      <c r="B595"/>
      <c r="C595"/>
      <c r="D595"/>
      <c r="E595"/>
      <c r="F595"/>
      <c r="G595"/>
      <c r="H595"/>
      <c r="I595"/>
    </row>
    <row r="596" spans="1:9" x14ac:dyDescent="0.25">
      <c r="A596"/>
      <c r="B596"/>
      <c r="C596"/>
      <c r="D596"/>
      <c r="E596"/>
      <c r="F596"/>
      <c r="G596"/>
      <c r="H596"/>
      <c r="I596"/>
    </row>
    <row r="597" spans="1:9" x14ac:dyDescent="0.25">
      <c r="A597"/>
      <c r="B597"/>
      <c r="C597"/>
      <c r="D597"/>
      <c r="E597"/>
      <c r="F597"/>
      <c r="G597"/>
      <c r="H597"/>
      <c r="I597"/>
    </row>
    <row r="598" spans="1:9" x14ac:dyDescent="0.25">
      <c r="A598"/>
      <c r="B598"/>
      <c r="C598"/>
      <c r="D598"/>
      <c r="E598"/>
      <c r="F598"/>
      <c r="G598"/>
      <c r="H598"/>
      <c r="I598"/>
    </row>
    <row r="599" spans="1:9" x14ac:dyDescent="0.25">
      <c r="A599"/>
      <c r="B599"/>
      <c r="C599"/>
      <c r="D599"/>
      <c r="E599"/>
      <c r="F599"/>
      <c r="G599"/>
      <c r="H599"/>
      <c r="I599"/>
    </row>
    <row r="600" spans="1:9" x14ac:dyDescent="0.25">
      <c r="A600"/>
      <c r="B600"/>
      <c r="C600"/>
      <c r="D600"/>
      <c r="E600"/>
      <c r="F600"/>
      <c r="G600"/>
      <c r="H600"/>
      <c r="I600"/>
    </row>
    <row r="601" spans="1:9" x14ac:dyDescent="0.25">
      <c r="A601"/>
      <c r="B601"/>
      <c r="C601"/>
      <c r="D601"/>
      <c r="E601"/>
      <c r="F601"/>
      <c r="G601"/>
      <c r="H601"/>
      <c r="I601"/>
    </row>
    <row r="602" spans="1:9" x14ac:dyDescent="0.25">
      <c r="A602"/>
      <c r="B602"/>
      <c r="C602"/>
      <c r="D602"/>
      <c r="E602"/>
      <c r="F602"/>
      <c r="G602"/>
      <c r="H602"/>
      <c r="I602"/>
    </row>
    <row r="603" spans="1:9" x14ac:dyDescent="0.25">
      <c r="A603"/>
      <c r="B603"/>
      <c r="C603"/>
      <c r="D603"/>
      <c r="E603"/>
      <c r="F603"/>
      <c r="G603"/>
      <c r="H603"/>
      <c r="I603"/>
    </row>
    <row r="604" spans="1:9" x14ac:dyDescent="0.25">
      <c r="A604"/>
      <c r="B604"/>
      <c r="C604"/>
      <c r="D604"/>
      <c r="E604"/>
      <c r="F604"/>
      <c r="G604"/>
      <c r="H604"/>
      <c r="I604"/>
    </row>
    <row r="605" spans="1:9" x14ac:dyDescent="0.25">
      <c r="A605"/>
      <c r="B605"/>
      <c r="C605"/>
      <c r="D605"/>
      <c r="E605"/>
      <c r="F605"/>
      <c r="G605"/>
      <c r="H605"/>
      <c r="I605"/>
    </row>
    <row r="606" spans="1:9" x14ac:dyDescent="0.25">
      <c r="A606"/>
      <c r="B606"/>
      <c r="C606"/>
      <c r="D606"/>
      <c r="E606"/>
      <c r="F606"/>
      <c r="G606"/>
      <c r="H606"/>
      <c r="I606"/>
    </row>
    <row r="607" spans="1:9" x14ac:dyDescent="0.25">
      <c r="A607"/>
      <c r="B607"/>
      <c r="C607"/>
      <c r="D607"/>
      <c r="E607"/>
      <c r="F607"/>
      <c r="G607"/>
      <c r="H607"/>
      <c r="I607"/>
    </row>
    <row r="608" spans="1:9" x14ac:dyDescent="0.25">
      <c r="A608"/>
      <c r="B608"/>
      <c r="C608"/>
      <c r="D608"/>
      <c r="E608"/>
      <c r="F608"/>
      <c r="G608"/>
      <c r="H608"/>
      <c r="I608"/>
    </row>
    <row r="609" spans="1:9" x14ac:dyDescent="0.25">
      <c r="A609"/>
      <c r="B609"/>
      <c r="C609"/>
      <c r="D609"/>
      <c r="E609"/>
      <c r="F609"/>
      <c r="G609"/>
      <c r="H609"/>
      <c r="I609"/>
    </row>
    <row r="610" spans="1:9" x14ac:dyDescent="0.25">
      <c r="A610"/>
      <c r="B610"/>
      <c r="C610"/>
      <c r="D610"/>
      <c r="E610"/>
      <c r="F610"/>
      <c r="G610"/>
      <c r="H610"/>
      <c r="I610"/>
    </row>
    <row r="611" spans="1:9" x14ac:dyDescent="0.25">
      <c r="A611"/>
      <c r="B611"/>
      <c r="C611"/>
      <c r="D611"/>
      <c r="E611"/>
      <c r="F611"/>
      <c r="G611"/>
      <c r="H611"/>
      <c r="I611"/>
    </row>
    <row r="612" spans="1:9" x14ac:dyDescent="0.25">
      <c r="A612"/>
      <c r="B612"/>
      <c r="C612"/>
      <c r="D612"/>
      <c r="E612"/>
      <c r="F612"/>
      <c r="G612"/>
      <c r="H612"/>
      <c r="I612"/>
    </row>
    <row r="613" spans="1:9" x14ac:dyDescent="0.25">
      <c r="A613"/>
      <c r="B613"/>
      <c r="C613"/>
      <c r="D613"/>
      <c r="E613"/>
      <c r="F613"/>
      <c r="G613"/>
      <c r="H613"/>
      <c r="I613"/>
    </row>
    <row r="614" spans="1:9" x14ac:dyDescent="0.25">
      <c r="A614"/>
      <c r="B614"/>
      <c r="C614"/>
      <c r="D614"/>
      <c r="E614"/>
      <c r="F614"/>
      <c r="G614"/>
      <c r="H614"/>
      <c r="I614"/>
    </row>
    <row r="615" spans="1:9" x14ac:dyDescent="0.25">
      <c r="A615"/>
      <c r="B615"/>
      <c r="C615"/>
      <c r="D615"/>
      <c r="E615"/>
      <c r="F615"/>
      <c r="G615"/>
      <c r="H615"/>
      <c r="I615"/>
    </row>
    <row r="616" spans="1:9" x14ac:dyDescent="0.25">
      <c r="A616"/>
      <c r="B616"/>
      <c r="C616"/>
      <c r="D616"/>
      <c r="E616"/>
      <c r="F616"/>
      <c r="G616"/>
      <c r="H616"/>
      <c r="I616"/>
    </row>
    <row r="617" spans="1:9" x14ac:dyDescent="0.25">
      <c r="A617"/>
      <c r="B617"/>
      <c r="C617"/>
      <c r="D617"/>
      <c r="E617"/>
      <c r="F617"/>
      <c r="G617"/>
      <c r="H617"/>
      <c r="I617"/>
    </row>
    <row r="618" spans="1:9" x14ac:dyDescent="0.25">
      <c r="A618"/>
      <c r="B618"/>
      <c r="C618"/>
      <c r="D618"/>
      <c r="E618"/>
      <c r="F618"/>
      <c r="G618"/>
      <c r="H618"/>
      <c r="I618"/>
    </row>
    <row r="619" spans="1:9" x14ac:dyDescent="0.25">
      <c r="A619"/>
      <c r="B619"/>
      <c r="C619"/>
      <c r="D619"/>
      <c r="E619"/>
      <c r="F619"/>
      <c r="G619"/>
      <c r="H619"/>
      <c r="I619"/>
    </row>
    <row r="620" spans="1:9" x14ac:dyDescent="0.25">
      <c r="A620"/>
      <c r="B620"/>
      <c r="C620"/>
      <c r="D620"/>
      <c r="E620"/>
      <c r="F620"/>
      <c r="G620"/>
      <c r="H620"/>
      <c r="I620"/>
    </row>
    <row r="621" spans="1:9" x14ac:dyDescent="0.25">
      <c r="A621"/>
      <c r="B621"/>
      <c r="C621"/>
      <c r="D621"/>
      <c r="E621"/>
      <c r="F621"/>
      <c r="G621"/>
      <c r="H621"/>
      <c r="I621"/>
    </row>
    <row r="622" spans="1:9" x14ac:dyDescent="0.25">
      <c r="A622"/>
      <c r="B622"/>
      <c r="C622"/>
      <c r="D622"/>
      <c r="E622"/>
      <c r="F622"/>
      <c r="G622"/>
      <c r="H622"/>
      <c r="I622"/>
    </row>
    <row r="623" spans="1:9" x14ac:dyDescent="0.25">
      <c r="A623"/>
      <c r="B623"/>
      <c r="C623"/>
      <c r="D623"/>
      <c r="E623"/>
      <c r="F623"/>
      <c r="G623"/>
      <c r="H623"/>
      <c r="I623"/>
    </row>
    <row r="624" spans="1:9" x14ac:dyDescent="0.25">
      <c r="A624"/>
      <c r="B624"/>
      <c r="C624"/>
      <c r="D624"/>
      <c r="E624"/>
      <c r="F624"/>
      <c r="G624"/>
      <c r="H624"/>
      <c r="I624"/>
    </row>
    <row r="625" spans="1:9" x14ac:dyDescent="0.25">
      <c r="A625"/>
      <c r="B625"/>
      <c r="C625"/>
      <c r="D625"/>
      <c r="E625"/>
      <c r="F625"/>
      <c r="G625"/>
      <c r="H625"/>
      <c r="I625"/>
    </row>
    <row r="626" spans="1:9" x14ac:dyDescent="0.25">
      <c r="A626"/>
      <c r="B626"/>
      <c r="C626"/>
      <c r="D626"/>
      <c r="E626"/>
      <c r="F626"/>
      <c r="G626"/>
      <c r="H626"/>
      <c r="I626"/>
    </row>
    <row r="627" spans="1:9" x14ac:dyDescent="0.25">
      <c r="A627"/>
      <c r="B627"/>
      <c r="C627"/>
      <c r="D627"/>
      <c r="E627"/>
      <c r="F627"/>
      <c r="G627"/>
      <c r="H627"/>
      <c r="I627"/>
    </row>
    <row r="628" spans="1:9" x14ac:dyDescent="0.25">
      <c r="A628"/>
      <c r="B628"/>
      <c r="C628"/>
      <c r="D628"/>
      <c r="E628"/>
      <c r="F628"/>
      <c r="G628"/>
      <c r="H628"/>
      <c r="I628"/>
    </row>
    <row r="629" spans="1:9" x14ac:dyDescent="0.25">
      <c r="A629"/>
      <c r="B629"/>
      <c r="C629"/>
      <c r="D629"/>
      <c r="E629"/>
      <c r="F629"/>
      <c r="G629"/>
      <c r="H629"/>
      <c r="I629"/>
    </row>
    <row r="630" spans="1:9" x14ac:dyDescent="0.25">
      <c r="A630"/>
      <c r="B630"/>
      <c r="C630"/>
      <c r="D630"/>
      <c r="E630"/>
      <c r="F630"/>
      <c r="G630"/>
      <c r="H630"/>
      <c r="I630"/>
    </row>
    <row r="631" spans="1:9" x14ac:dyDescent="0.25">
      <c r="A631"/>
      <c r="B631"/>
      <c r="C631"/>
      <c r="D631"/>
      <c r="E631"/>
      <c r="F631"/>
      <c r="G631"/>
      <c r="H631"/>
      <c r="I631"/>
    </row>
    <row r="632" spans="1:9" x14ac:dyDescent="0.25">
      <c r="A632"/>
      <c r="B632"/>
      <c r="C632"/>
      <c r="D632"/>
      <c r="E632"/>
      <c r="F632"/>
      <c r="G632"/>
      <c r="H632"/>
      <c r="I632"/>
    </row>
    <row r="633" spans="1:9" x14ac:dyDescent="0.25">
      <c r="A633"/>
      <c r="B633"/>
      <c r="C633"/>
      <c r="D633"/>
      <c r="E633"/>
      <c r="F633"/>
      <c r="G633"/>
      <c r="H633"/>
      <c r="I633"/>
    </row>
    <row r="634" spans="1:9" x14ac:dyDescent="0.25">
      <c r="A634"/>
      <c r="B634"/>
      <c r="C634"/>
      <c r="D634"/>
      <c r="E634"/>
      <c r="F634"/>
      <c r="G634"/>
      <c r="H634"/>
      <c r="I634"/>
    </row>
    <row r="635" spans="1:9" x14ac:dyDescent="0.25">
      <c r="A635"/>
      <c r="B635"/>
      <c r="C635"/>
      <c r="D635"/>
      <c r="E635"/>
      <c r="F635"/>
      <c r="G635"/>
      <c r="H635"/>
      <c r="I635"/>
    </row>
    <row r="636" spans="1:9" x14ac:dyDescent="0.25">
      <c r="A636"/>
      <c r="B636"/>
      <c r="C636"/>
      <c r="D636"/>
      <c r="E636"/>
      <c r="F636"/>
      <c r="G636"/>
      <c r="H636"/>
      <c r="I636"/>
    </row>
    <row r="637" spans="1:9" x14ac:dyDescent="0.25">
      <c r="A637"/>
      <c r="B637"/>
      <c r="C637"/>
      <c r="D637"/>
      <c r="E637"/>
      <c r="F637"/>
      <c r="G637"/>
      <c r="H637"/>
      <c r="I637"/>
    </row>
    <row r="638" spans="1:9" x14ac:dyDescent="0.25">
      <c r="A638"/>
      <c r="B638"/>
      <c r="C638"/>
      <c r="D638"/>
      <c r="E638"/>
      <c r="F638"/>
      <c r="G638"/>
      <c r="H638"/>
      <c r="I638"/>
    </row>
    <row r="639" spans="1:9" x14ac:dyDescent="0.25">
      <c r="A639"/>
      <c r="B639"/>
      <c r="C639"/>
      <c r="D639"/>
      <c r="E639"/>
      <c r="F639"/>
      <c r="G639"/>
      <c r="H639"/>
      <c r="I639"/>
    </row>
    <row r="640" spans="1:9" x14ac:dyDescent="0.25">
      <c r="A640"/>
      <c r="B640"/>
      <c r="C640"/>
      <c r="D640"/>
      <c r="E640"/>
      <c r="F640"/>
      <c r="G640"/>
      <c r="H640"/>
      <c r="I640"/>
    </row>
    <row r="641" spans="1:9" x14ac:dyDescent="0.25">
      <c r="A641"/>
      <c r="B641"/>
      <c r="C641"/>
      <c r="D641"/>
      <c r="E641"/>
      <c r="F641"/>
      <c r="G641"/>
      <c r="H641"/>
      <c r="I641"/>
    </row>
    <row r="642" spans="1:9" x14ac:dyDescent="0.25">
      <c r="A642"/>
      <c r="B642"/>
      <c r="C642"/>
      <c r="D642"/>
      <c r="E642"/>
      <c r="F642"/>
      <c r="G642"/>
      <c r="H642"/>
      <c r="I642"/>
    </row>
    <row r="643" spans="1:9" x14ac:dyDescent="0.25">
      <c r="A643"/>
      <c r="B643"/>
      <c r="C643"/>
      <c r="D643"/>
      <c r="E643"/>
      <c r="F643"/>
      <c r="G643"/>
      <c r="H643"/>
      <c r="I643"/>
    </row>
    <row r="644" spans="1:9" x14ac:dyDescent="0.25">
      <c r="A644"/>
      <c r="B644"/>
      <c r="C644"/>
      <c r="D644"/>
      <c r="E644"/>
      <c r="F644"/>
      <c r="G644"/>
      <c r="H644"/>
      <c r="I644"/>
    </row>
    <row r="645" spans="1:9" x14ac:dyDescent="0.25">
      <c r="A645"/>
      <c r="B645"/>
      <c r="C645"/>
      <c r="D645"/>
      <c r="E645"/>
      <c r="F645"/>
      <c r="G645"/>
      <c r="H645"/>
      <c r="I645"/>
    </row>
    <row r="646" spans="1:9" x14ac:dyDescent="0.25">
      <c r="A646"/>
      <c r="B646"/>
      <c r="C646"/>
      <c r="D646"/>
      <c r="E646"/>
      <c r="F646"/>
      <c r="G646"/>
      <c r="H646"/>
      <c r="I646"/>
    </row>
    <row r="647" spans="1:9" x14ac:dyDescent="0.25">
      <c r="A647"/>
      <c r="B647"/>
      <c r="C647"/>
      <c r="D647"/>
      <c r="E647"/>
      <c r="F647"/>
      <c r="G647"/>
      <c r="H647"/>
      <c r="I647"/>
    </row>
    <row r="648" spans="1:9" x14ac:dyDescent="0.25">
      <c r="A648"/>
      <c r="B648"/>
      <c r="C648"/>
      <c r="D648"/>
      <c r="E648"/>
      <c r="F648"/>
      <c r="G648"/>
      <c r="H648"/>
      <c r="I648"/>
    </row>
    <row r="649" spans="1:9" x14ac:dyDescent="0.25">
      <c r="A649"/>
      <c r="B649"/>
      <c r="C649"/>
      <c r="D649"/>
      <c r="E649"/>
      <c r="F649"/>
      <c r="G649"/>
      <c r="H649"/>
      <c r="I649"/>
    </row>
    <row r="650" spans="1:9" x14ac:dyDescent="0.25">
      <c r="A650"/>
      <c r="B650"/>
      <c r="C650"/>
      <c r="D650"/>
      <c r="E650"/>
      <c r="F650"/>
      <c r="G650"/>
      <c r="H650"/>
      <c r="I650"/>
    </row>
    <row r="651" spans="1:9" x14ac:dyDescent="0.25">
      <c r="A651"/>
      <c r="B651"/>
      <c r="C651"/>
      <c r="D651"/>
      <c r="E651"/>
      <c r="F651"/>
      <c r="G651"/>
      <c r="H651"/>
      <c r="I651"/>
    </row>
    <row r="652" spans="1:9" x14ac:dyDescent="0.25">
      <c r="A652"/>
      <c r="B652"/>
      <c r="C652"/>
      <c r="D652"/>
      <c r="E652"/>
      <c r="F652"/>
      <c r="G652"/>
      <c r="H652"/>
      <c r="I652"/>
    </row>
    <row r="653" spans="1:9" x14ac:dyDescent="0.25">
      <c r="A653"/>
      <c r="B653"/>
      <c r="C653"/>
      <c r="D653"/>
      <c r="E653"/>
      <c r="F653"/>
      <c r="G653"/>
      <c r="H653"/>
      <c r="I653"/>
    </row>
    <row r="654" spans="1:9" x14ac:dyDescent="0.25">
      <c r="A654"/>
      <c r="B654"/>
      <c r="C654"/>
      <c r="D654"/>
      <c r="E654"/>
      <c r="F654"/>
      <c r="G654"/>
      <c r="H654"/>
      <c r="I654"/>
    </row>
    <row r="655" spans="1:9" x14ac:dyDescent="0.25">
      <c r="A655"/>
      <c r="B655"/>
      <c r="C655"/>
      <c r="D655"/>
      <c r="E655"/>
      <c r="F655"/>
      <c r="G655"/>
      <c r="H655"/>
      <c r="I655"/>
    </row>
    <row r="656" spans="1:9" x14ac:dyDescent="0.25">
      <c r="A656"/>
      <c r="B656"/>
      <c r="C656"/>
      <c r="D656"/>
      <c r="E656"/>
      <c r="F656"/>
      <c r="G656"/>
      <c r="H656"/>
      <c r="I656"/>
    </row>
    <row r="657" spans="1:9" x14ac:dyDescent="0.25">
      <c r="A657"/>
      <c r="B657"/>
      <c r="C657"/>
      <c r="D657"/>
      <c r="E657"/>
      <c r="F657"/>
      <c r="G657"/>
      <c r="H657"/>
      <c r="I657"/>
    </row>
    <row r="658" spans="1:9" x14ac:dyDescent="0.25">
      <c r="A658"/>
      <c r="B658"/>
      <c r="C658"/>
      <c r="D658"/>
      <c r="E658"/>
      <c r="F658"/>
      <c r="G658"/>
      <c r="H658"/>
      <c r="I658"/>
    </row>
    <row r="659" spans="1:9" x14ac:dyDescent="0.25">
      <c r="A659"/>
      <c r="B659"/>
      <c r="C659"/>
      <c r="D659"/>
      <c r="E659"/>
      <c r="F659"/>
      <c r="G659"/>
      <c r="H659"/>
      <c r="I659"/>
    </row>
    <row r="660" spans="1:9" x14ac:dyDescent="0.25">
      <c r="A660"/>
      <c r="B660"/>
      <c r="C660"/>
      <c r="D660"/>
      <c r="E660"/>
      <c r="F660"/>
      <c r="G660"/>
      <c r="H660"/>
      <c r="I660"/>
    </row>
    <row r="661" spans="1:9" x14ac:dyDescent="0.25">
      <c r="A661"/>
      <c r="B661"/>
      <c r="C661"/>
      <c r="D661"/>
      <c r="E661"/>
      <c r="F661"/>
      <c r="G661"/>
      <c r="H661"/>
      <c r="I661"/>
    </row>
    <row r="662" spans="1:9" x14ac:dyDescent="0.25">
      <c r="A662"/>
      <c r="B662"/>
      <c r="C662"/>
      <c r="D662"/>
      <c r="E662"/>
      <c r="F662"/>
      <c r="G662"/>
      <c r="H662"/>
      <c r="I662"/>
    </row>
    <row r="663" spans="1:9" x14ac:dyDescent="0.25">
      <c r="A663"/>
      <c r="B663"/>
      <c r="C663"/>
      <c r="D663"/>
      <c r="E663"/>
      <c r="F663"/>
      <c r="G663"/>
      <c r="H663"/>
      <c r="I663"/>
    </row>
    <row r="664" spans="1:9" x14ac:dyDescent="0.25">
      <c r="A664"/>
      <c r="B664"/>
      <c r="C664"/>
      <c r="D664"/>
      <c r="E664"/>
      <c r="F664"/>
      <c r="G664"/>
      <c r="H664"/>
      <c r="I664"/>
    </row>
    <row r="665" spans="1:9" x14ac:dyDescent="0.25">
      <c r="A665"/>
      <c r="B665"/>
      <c r="C665"/>
      <c r="D665"/>
      <c r="E665"/>
      <c r="F665"/>
      <c r="G665"/>
      <c r="H665"/>
      <c r="I665"/>
    </row>
    <row r="666" spans="1:9" x14ac:dyDescent="0.25">
      <c r="A666"/>
      <c r="B666"/>
      <c r="C666"/>
      <c r="D666"/>
      <c r="E666"/>
      <c r="F666"/>
      <c r="G666"/>
      <c r="H666"/>
      <c r="I666"/>
    </row>
    <row r="667" spans="1:9" x14ac:dyDescent="0.25">
      <c r="A667"/>
      <c r="B667"/>
      <c r="C667"/>
      <c r="D667"/>
      <c r="E667"/>
      <c r="F667"/>
      <c r="G667"/>
      <c r="H667"/>
      <c r="I667"/>
    </row>
    <row r="668" spans="1:9" x14ac:dyDescent="0.25">
      <c r="A668"/>
      <c r="B668"/>
      <c r="C668"/>
      <c r="D668"/>
      <c r="E668"/>
      <c r="F668"/>
      <c r="G668"/>
      <c r="H668"/>
      <c r="I668"/>
    </row>
    <row r="669" spans="1:9" x14ac:dyDescent="0.25">
      <c r="A669"/>
      <c r="B669"/>
      <c r="C669"/>
      <c r="D669"/>
      <c r="E669"/>
      <c r="F669"/>
      <c r="G669"/>
      <c r="H669"/>
      <c r="I669"/>
    </row>
    <row r="670" spans="1:9" x14ac:dyDescent="0.25">
      <c r="A670"/>
      <c r="B670"/>
      <c r="C670"/>
      <c r="D670"/>
      <c r="E670"/>
      <c r="F670"/>
      <c r="G670"/>
      <c r="H670"/>
      <c r="I670"/>
    </row>
    <row r="671" spans="1:9" x14ac:dyDescent="0.25">
      <c r="A671"/>
      <c r="B671"/>
      <c r="C671"/>
      <c r="D671"/>
      <c r="E671"/>
      <c r="F671"/>
      <c r="G671"/>
      <c r="H671"/>
      <c r="I671"/>
    </row>
    <row r="672" spans="1:9" x14ac:dyDescent="0.25">
      <c r="A672"/>
      <c r="B672"/>
      <c r="C672"/>
      <c r="D672"/>
      <c r="E672"/>
      <c r="F672"/>
      <c r="G672"/>
      <c r="H672"/>
      <c r="I672"/>
    </row>
    <row r="673" spans="1:9" x14ac:dyDescent="0.25">
      <c r="A673"/>
      <c r="B673"/>
      <c r="C673"/>
      <c r="D673"/>
      <c r="E673"/>
      <c r="F673"/>
      <c r="G673"/>
      <c r="H673"/>
      <c r="I673"/>
    </row>
    <row r="674" spans="1:9" x14ac:dyDescent="0.25">
      <c r="A674"/>
      <c r="B674"/>
      <c r="C674"/>
      <c r="D674"/>
      <c r="E674"/>
      <c r="F674"/>
      <c r="G674"/>
      <c r="H674"/>
      <c r="I674"/>
    </row>
    <row r="675" spans="1:9" x14ac:dyDescent="0.25">
      <c r="A675"/>
      <c r="B675"/>
      <c r="C675"/>
      <c r="D675"/>
      <c r="E675"/>
      <c r="F675"/>
      <c r="G675"/>
      <c r="H675"/>
      <c r="I675"/>
    </row>
    <row r="676" spans="1:9" x14ac:dyDescent="0.25">
      <c r="A676"/>
      <c r="B676"/>
      <c r="C676"/>
      <c r="D676"/>
      <c r="E676"/>
      <c r="F676"/>
      <c r="G676"/>
      <c r="H676"/>
      <c r="I676"/>
    </row>
    <row r="677" spans="1:9" x14ac:dyDescent="0.25">
      <c r="A677"/>
      <c r="B677"/>
      <c r="C677"/>
      <c r="D677"/>
      <c r="E677"/>
      <c r="F677"/>
      <c r="G677"/>
      <c r="H677"/>
      <c r="I677"/>
    </row>
    <row r="678" spans="1:9" x14ac:dyDescent="0.25">
      <c r="A678"/>
      <c r="B678"/>
      <c r="C678"/>
      <c r="D678"/>
      <c r="E678"/>
      <c r="F678"/>
      <c r="G678"/>
      <c r="H678"/>
      <c r="I678"/>
    </row>
    <row r="679" spans="1:9" x14ac:dyDescent="0.25">
      <c r="A679"/>
      <c r="B679"/>
      <c r="C679"/>
      <c r="D679"/>
      <c r="E679"/>
      <c r="F679"/>
      <c r="G679"/>
      <c r="H679"/>
      <c r="I679"/>
    </row>
    <row r="680" spans="1:9" x14ac:dyDescent="0.25">
      <c r="A680"/>
      <c r="B680"/>
      <c r="C680"/>
      <c r="D680"/>
      <c r="E680"/>
      <c r="F680"/>
      <c r="G680"/>
      <c r="H680"/>
      <c r="I680"/>
    </row>
    <row r="681" spans="1:9" x14ac:dyDescent="0.25">
      <c r="A681"/>
      <c r="B681"/>
      <c r="C681"/>
      <c r="D681"/>
      <c r="E681"/>
      <c r="F681"/>
      <c r="G681"/>
      <c r="H681"/>
      <c r="I681"/>
    </row>
    <row r="682" spans="1:9" x14ac:dyDescent="0.25">
      <c r="A682"/>
      <c r="B682"/>
      <c r="C682"/>
      <c r="D682"/>
      <c r="E682"/>
      <c r="F682"/>
      <c r="G682"/>
      <c r="H682"/>
      <c r="I682"/>
    </row>
    <row r="683" spans="1:9" x14ac:dyDescent="0.25">
      <c r="A683"/>
      <c r="B683"/>
      <c r="C683"/>
      <c r="D683"/>
      <c r="E683"/>
      <c r="F683"/>
      <c r="G683"/>
      <c r="H683"/>
      <c r="I683"/>
    </row>
    <row r="684" spans="1:9" x14ac:dyDescent="0.25">
      <c r="A684"/>
      <c r="B684"/>
      <c r="C684"/>
      <c r="D684"/>
      <c r="E684"/>
      <c r="F684"/>
      <c r="G684"/>
      <c r="H684"/>
      <c r="I684"/>
    </row>
    <row r="685" spans="1:9" x14ac:dyDescent="0.25">
      <c r="A685"/>
      <c r="B685"/>
      <c r="C685"/>
      <c r="D685"/>
      <c r="E685"/>
      <c r="F685"/>
      <c r="G685"/>
      <c r="H685"/>
      <c r="I685"/>
    </row>
    <row r="686" spans="1:9" x14ac:dyDescent="0.25">
      <c r="A686"/>
      <c r="B686"/>
      <c r="C686"/>
      <c r="D686"/>
      <c r="E686"/>
      <c r="F686"/>
      <c r="G686"/>
      <c r="H686"/>
      <c r="I686"/>
    </row>
    <row r="687" spans="1:9" x14ac:dyDescent="0.25">
      <c r="A687"/>
      <c r="B687"/>
      <c r="C687"/>
      <c r="D687"/>
      <c r="E687"/>
      <c r="F687"/>
      <c r="G687"/>
      <c r="H687"/>
      <c r="I687"/>
    </row>
    <row r="688" spans="1:9" x14ac:dyDescent="0.25">
      <c r="A688"/>
      <c r="B688"/>
      <c r="C688"/>
      <c r="D688"/>
      <c r="E688"/>
      <c r="F688"/>
      <c r="G688"/>
      <c r="H688"/>
      <c r="I688"/>
    </row>
    <row r="689" spans="1:9" x14ac:dyDescent="0.25">
      <c r="A689"/>
      <c r="B689"/>
      <c r="C689"/>
      <c r="D689"/>
      <c r="E689"/>
      <c r="F689"/>
      <c r="G689"/>
      <c r="H689"/>
      <c r="I689"/>
    </row>
    <row r="690" spans="1:9" x14ac:dyDescent="0.25">
      <c r="A690"/>
      <c r="B690"/>
      <c r="C690"/>
      <c r="D690"/>
      <c r="E690"/>
      <c r="F690"/>
      <c r="G690"/>
      <c r="H690"/>
      <c r="I690"/>
    </row>
    <row r="691" spans="1:9" x14ac:dyDescent="0.25">
      <c r="A691"/>
      <c r="B691"/>
      <c r="C691"/>
      <c r="D691"/>
      <c r="E691"/>
      <c r="F691"/>
      <c r="G691"/>
      <c r="H691"/>
      <c r="I691"/>
    </row>
    <row r="692" spans="1:9" x14ac:dyDescent="0.25">
      <c r="A692"/>
      <c r="B692"/>
      <c r="C692"/>
      <c r="D692"/>
      <c r="E692"/>
      <c r="F692"/>
      <c r="G692"/>
      <c r="H692"/>
      <c r="I692"/>
    </row>
    <row r="693" spans="1:9" x14ac:dyDescent="0.25">
      <c r="A693"/>
      <c r="B693"/>
      <c r="C693"/>
      <c r="D693"/>
      <c r="E693"/>
      <c r="F693"/>
      <c r="G693"/>
      <c r="H693"/>
      <c r="I693"/>
    </row>
    <row r="694" spans="1:9" x14ac:dyDescent="0.25">
      <c r="A694"/>
      <c r="B694"/>
      <c r="C694"/>
      <c r="D694"/>
      <c r="E694"/>
      <c r="F694"/>
      <c r="G694"/>
      <c r="H694"/>
      <c r="I694"/>
    </row>
    <row r="695" spans="1:9" x14ac:dyDescent="0.25">
      <c r="A695"/>
      <c r="B695"/>
      <c r="C695"/>
      <c r="D695"/>
      <c r="E695"/>
      <c r="F695"/>
      <c r="G695"/>
      <c r="H695"/>
      <c r="I695"/>
    </row>
    <row r="696" spans="1:9" x14ac:dyDescent="0.25">
      <c r="A696"/>
      <c r="B696"/>
      <c r="C696"/>
      <c r="D696"/>
      <c r="E696"/>
      <c r="F696"/>
      <c r="G696"/>
      <c r="H696"/>
      <c r="I696"/>
    </row>
    <row r="697" spans="1:9" x14ac:dyDescent="0.25">
      <c r="A697"/>
      <c r="B697"/>
      <c r="C697"/>
      <c r="D697"/>
      <c r="E697"/>
      <c r="F697"/>
      <c r="G697"/>
      <c r="H697"/>
      <c r="I697"/>
    </row>
    <row r="698" spans="1:9" x14ac:dyDescent="0.25">
      <c r="A698"/>
      <c r="B698"/>
      <c r="C698"/>
      <c r="D698"/>
      <c r="E698"/>
      <c r="F698"/>
      <c r="G698"/>
      <c r="H698"/>
      <c r="I698"/>
    </row>
    <row r="699" spans="1:9" x14ac:dyDescent="0.25">
      <c r="A699"/>
      <c r="B699"/>
      <c r="C699"/>
      <c r="D699"/>
      <c r="E699"/>
      <c r="F699"/>
      <c r="G699"/>
      <c r="H699"/>
      <c r="I699"/>
    </row>
    <row r="700" spans="1:9" x14ac:dyDescent="0.25">
      <c r="A700"/>
      <c r="B700"/>
      <c r="C700"/>
      <c r="D700"/>
      <c r="E700"/>
      <c r="F700"/>
      <c r="G700"/>
      <c r="H700"/>
      <c r="I700"/>
    </row>
    <row r="701" spans="1:9" x14ac:dyDescent="0.25">
      <c r="A701"/>
      <c r="B701"/>
      <c r="C701"/>
      <c r="D701"/>
      <c r="E701"/>
      <c r="F701"/>
      <c r="G701"/>
      <c r="H701"/>
      <c r="I701"/>
    </row>
    <row r="702" spans="1:9" x14ac:dyDescent="0.25">
      <c r="A702"/>
      <c r="B702"/>
      <c r="C702"/>
      <c r="D702"/>
      <c r="E702"/>
      <c r="F702"/>
      <c r="G702"/>
      <c r="H702"/>
      <c r="I702"/>
    </row>
    <row r="703" spans="1:9" x14ac:dyDescent="0.25">
      <c r="A703"/>
      <c r="B703"/>
      <c r="C703"/>
      <c r="D703"/>
      <c r="E703"/>
      <c r="F703"/>
      <c r="G703"/>
      <c r="H703"/>
      <c r="I703"/>
    </row>
    <row r="704" spans="1:9" x14ac:dyDescent="0.25">
      <c r="A704"/>
      <c r="B704"/>
      <c r="C704"/>
      <c r="D704"/>
      <c r="E704"/>
      <c r="F704"/>
      <c r="G704"/>
      <c r="H704"/>
      <c r="I704"/>
    </row>
    <row r="705" spans="1:9" x14ac:dyDescent="0.25">
      <c r="A705"/>
      <c r="B705"/>
      <c r="C705"/>
      <c r="D705"/>
      <c r="E705"/>
      <c r="F705"/>
      <c r="G705"/>
      <c r="H705"/>
      <c r="I705"/>
    </row>
    <row r="706" spans="1:9" x14ac:dyDescent="0.25">
      <c r="A706"/>
      <c r="B706"/>
      <c r="C706"/>
      <c r="D706"/>
      <c r="E706"/>
      <c r="F706"/>
      <c r="G706"/>
      <c r="H706"/>
      <c r="I706"/>
    </row>
    <row r="707" spans="1:9" x14ac:dyDescent="0.25">
      <c r="A707"/>
      <c r="B707"/>
      <c r="C707"/>
      <c r="D707"/>
      <c r="E707"/>
      <c r="F707"/>
      <c r="G707"/>
      <c r="H707"/>
      <c r="I707"/>
    </row>
    <row r="708" spans="1:9" x14ac:dyDescent="0.25">
      <c r="A708"/>
      <c r="B708"/>
      <c r="C708"/>
      <c r="D708"/>
      <c r="E708"/>
      <c r="F708"/>
      <c r="G708"/>
      <c r="H708"/>
      <c r="I708"/>
    </row>
    <row r="709" spans="1:9" x14ac:dyDescent="0.25">
      <c r="A709"/>
      <c r="B709"/>
      <c r="C709"/>
      <c r="D709"/>
      <c r="E709"/>
      <c r="F709"/>
      <c r="G709"/>
      <c r="H709"/>
      <c r="I709"/>
    </row>
    <row r="710" spans="1:9" x14ac:dyDescent="0.25">
      <c r="A710"/>
      <c r="B710"/>
      <c r="C710"/>
      <c r="D710"/>
      <c r="E710"/>
      <c r="F710"/>
      <c r="G710"/>
      <c r="H710"/>
      <c r="I710"/>
    </row>
    <row r="711" spans="1:9" x14ac:dyDescent="0.25">
      <c r="A711"/>
      <c r="B711"/>
      <c r="C711"/>
      <c r="D711"/>
      <c r="E711"/>
      <c r="F711"/>
      <c r="G711"/>
      <c r="H711"/>
      <c r="I711"/>
    </row>
    <row r="712" spans="1:9" x14ac:dyDescent="0.25">
      <c r="A712"/>
      <c r="B712"/>
      <c r="C712"/>
      <c r="D712"/>
      <c r="E712"/>
      <c r="F712"/>
      <c r="G712"/>
      <c r="H712"/>
      <c r="I712"/>
    </row>
    <row r="713" spans="1:9" x14ac:dyDescent="0.25">
      <c r="A713"/>
      <c r="B713"/>
      <c r="C713"/>
      <c r="D713"/>
      <c r="E713"/>
      <c r="F713"/>
      <c r="G713"/>
      <c r="H713"/>
      <c r="I713"/>
    </row>
    <row r="714" spans="1:9" x14ac:dyDescent="0.25">
      <c r="A714"/>
      <c r="B714"/>
      <c r="C714"/>
      <c r="D714"/>
      <c r="E714"/>
      <c r="F714"/>
      <c r="G714"/>
      <c r="H714"/>
      <c r="I714"/>
    </row>
    <row r="715" spans="1:9" x14ac:dyDescent="0.25">
      <c r="A715"/>
      <c r="B715"/>
      <c r="C715"/>
      <c r="D715"/>
      <c r="E715"/>
      <c r="F715"/>
      <c r="G715"/>
      <c r="H715"/>
      <c r="I715"/>
    </row>
    <row r="716" spans="1:9" x14ac:dyDescent="0.25">
      <c r="A716"/>
      <c r="B716"/>
      <c r="C716"/>
      <c r="D716"/>
      <c r="E716"/>
      <c r="F716"/>
      <c r="G716"/>
      <c r="H716"/>
      <c r="I716"/>
    </row>
    <row r="717" spans="1:9" x14ac:dyDescent="0.25">
      <c r="A717"/>
      <c r="B717"/>
      <c r="C717"/>
      <c r="D717"/>
      <c r="E717"/>
      <c r="F717"/>
      <c r="G717"/>
      <c r="H717"/>
      <c r="I717"/>
    </row>
    <row r="718" spans="1:9" x14ac:dyDescent="0.25">
      <c r="A718"/>
      <c r="B718"/>
      <c r="C718"/>
      <c r="D718"/>
      <c r="E718"/>
      <c r="F718"/>
      <c r="G718"/>
      <c r="H718"/>
      <c r="I718"/>
    </row>
    <row r="719" spans="1:9" x14ac:dyDescent="0.25">
      <c r="A719"/>
      <c r="B719"/>
      <c r="C719"/>
      <c r="D719"/>
      <c r="E719"/>
      <c r="F719"/>
      <c r="G719"/>
      <c r="H719"/>
      <c r="I719"/>
    </row>
    <row r="720" spans="1:9" x14ac:dyDescent="0.25">
      <c r="A720"/>
      <c r="B720"/>
      <c r="C720"/>
      <c r="D720"/>
      <c r="E720"/>
      <c r="F720"/>
      <c r="G720"/>
      <c r="H720"/>
      <c r="I720"/>
    </row>
    <row r="721" spans="1:9" x14ac:dyDescent="0.25">
      <c r="A721"/>
      <c r="B721"/>
      <c r="C721"/>
      <c r="D721"/>
      <c r="E721"/>
      <c r="F721"/>
      <c r="G721"/>
      <c r="H721"/>
      <c r="I721"/>
    </row>
    <row r="722" spans="1:9" x14ac:dyDescent="0.25">
      <c r="A722"/>
      <c r="B722"/>
      <c r="C722"/>
      <c r="D722"/>
      <c r="E722"/>
      <c r="F722"/>
      <c r="G722"/>
      <c r="H722"/>
      <c r="I722"/>
    </row>
    <row r="723" spans="1:9" x14ac:dyDescent="0.25">
      <c r="A723"/>
      <c r="B723"/>
      <c r="C723"/>
      <c r="D723"/>
      <c r="E723"/>
      <c r="F723"/>
      <c r="G723"/>
      <c r="H723"/>
      <c r="I723"/>
    </row>
    <row r="724" spans="1:9" x14ac:dyDescent="0.25">
      <c r="A724"/>
      <c r="B724"/>
      <c r="C724"/>
      <c r="D724"/>
      <c r="E724"/>
      <c r="F724"/>
      <c r="G724"/>
      <c r="H724"/>
      <c r="I724"/>
    </row>
    <row r="725" spans="1:9" x14ac:dyDescent="0.25">
      <c r="A725"/>
      <c r="B725"/>
      <c r="C725"/>
      <c r="D725"/>
      <c r="E725"/>
      <c r="F725"/>
      <c r="G725"/>
      <c r="H725"/>
      <c r="I725"/>
    </row>
    <row r="726" spans="1:9" x14ac:dyDescent="0.25">
      <c r="A726"/>
      <c r="B726"/>
      <c r="C726"/>
      <c r="D726"/>
      <c r="E726"/>
      <c r="F726"/>
      <c r="G726"/>
      <c r="H726"/>
      <c r="I726"/>
    </row>
    <row r="727" spans="1:9" x14ac:dyDescent="0.25">
      <c r="A727"/>
      <c r="B727"/>
      <c r="C727"/>
      <c r="D727"/>
      <c r="E727"/>
      <c r="F727"/>
      <c r="G727"/>
      <c r="H727"/>
      <c r="I727"/>
    </row>
    <row r="728" spans="1:9" x14ac:dyDescent="0.25">
      <c r="A728"/>
      <c r="B728"/>
      <c r="C728"/>
      <c r="D728"/>
      <c r="E728"/>
      <c r="F728"/>
      <c r="G728"/>
      <c r="H728"/>
      <c r="I728"/>
    </row>
    <row r="729" spans="1:9" x14ac:dyDescent="0.25">
      <c r="A729"/>
      <c r="B729"/>
      <c r="C729"/>
      <c r="D729"/>
      <c r="E729"/>
      <c r="F729"/>
      <c r="G729"/>
      <c r="H729"/>
      <c r="I729"/>
    </row>
    <row r="730" spans="1:9" x14ac:dyDescent="0.25">
      <c r="A730"/>
      <c r="B730"/>
      <c r="C730"/>
      <c r="D730"/>
      <c r="E730"/>
      <c r="F730"/>
      <c r="G730"/>
      <c r="H730"/>
      <c r="I730"/>
    </row>
    <row r="731" spans="1:9" x14ac:dyDescent="0.25">
      <c r="A731"/>
      <c r="B731"/>
      <c r="C731"/>
      <c r="D731"/>
      <c r="E731"/>
      <c r="F731"/>
      <c r="G731"/>
      <c r="H731"/>
      <c r="I731"/>
    </row>
    <row r="732" spans="1:9" x14ac:dyDescent="0.25">
      <c r="A732"/>
      <c r="B732"/>
      <c r="C732"/>
      <c r="D732"/>
      <c r="E732"/>
      <c r="F732"/>
      <c r="G732"/>
      <c r="H732"/>
      <c r="I732"/>
    </row>
    <row r="733" spans="1:9" x14ac:dyDescent="0.25">
      <c r="A733"/>
      <c r="B733"/>
      <c r="C733"/>
      <c r="D733"/>
      <c r="E733"/>
      <c r="F733"/>
      <c r="G733"/>
      <c r="H733"/>
      <c r="I733"/>
    </row>
    <row r="734" spans="1:9" x14ac:dyDescent="0.25">
      <c r="A734"/>
      <c r="B734"/>
      <c r="C734"/>
      <c r="D734"/>
      <c r="E734"/>
      <c r="F734"/>
      <c r="G734"/>
      <c r="H734"/>
      <c r="I734"/>
    </row>
    <row r="735" spans="1:9" x14ac:dyDescent="0.25">
      <c r="A735"/>
      <c r="B735"/>
      <c r="C735"/>
      <c r="D735"/>
      <c r="E735"/>
      <c r="F735"/>
      <c r="G735"/>
      <c r="H735"/>
      <c r="I735"/>
    </row>
    <row r="736" spans="1:9" x14ac:dyDescent="0.25">
      <c r="A736"/>
      <c r="B736"/>
      <c r="C736"/>
      <c r="D736"/>
      <c r="E736"/>
      <c r="F736"/>
      <c r="G736"/>
      <c r="H736"/>
      <c r="I736"/>
    </row>
    <row r="737" spans="1:9" x14ac:dyDescent="0.25">
      <c r="A737"/>
      <c r="B737"/>
      <c r="C737"/>
      <c r="D737"/>
      <c r="E737"/>
      <c r="F737"/>
      <c r="G737"/>
      <c r="H737"/>
      <c r="I737"/>
    </row>
    <row r="738" spans="1:9" x14ac:dyDescent="0.25">
      <c r="A738"/>
      <c r="B738"/>
      <c r="C738"/>
      <c r="D738"/>
      <c r="E738"/>
      <c r="F738"/>
      <c r="G738"/>
      <c r="H738"/>
      <c r="I738"/>
    </row>
    <row r="739" spans="1:9" x14ac:dyDescent="0.25">
      <c r="A739"/>
      <c r="B739"/>
      <c r="C739"/>
      <c r="D739"/>
      <c r="E739"/>
      <c r="F739"/>
      <c r="G739"/>
      <c r="H739"/>
      <c r="I739"/>
    </row>
    <row r="740" spans="1:9" x14ac:dyDescent="0.25">
      <c r="A740"/>
      <c r="B740"/>
      <c r="C740"/>
      <c r="D740"/>
      <c r="E740"/>
      <c r="F740"/>
      <c r="G740"/>
      <c r="H740"/>
      <c r="I740"/>
    </row>
    <row r="741" spans="1:9" x14ac:dyDescent="0.25">
      <c r="A741"/>
      <c r="B741"/>
      <c r="C741"/>
      <c r="D741"/>
      <c r="E741"/>
      <c r="F741"/>
      <c r="G741"/>
      <c r="H741"/>
      <c r="I741"/>
    </row>
    <row r="742" spans="1:9" x14ac:dyDescent="0.25">
      <c r="A742"/>
      <c r="B742"/>
      <c r="C742"/>
      <c r="D742"/>
      <c r="E742"/>
      <c r="F742"/>
      <c r="G742"/>
      <c r="H742"/>
      <c r="I742"/>
    </row>
    <row r="743" spans="1:9" x14ac:dyDescent="0.25">
      <c r="A743"/>
      <c r="B743"/>
      <c r="C743"/>
      <c r="D743"/>
      <c r="E743"/>
      <c r="F743"/>
      <c r="G743"/>
      <c r="H743"/>
      <c r="I743"/>
    </row>
    <row r="744" spans="1:9" x14ac:dyDescent="0.25">
      <c r="A744"/>
      <c r="B744"/>
      <c r="C744"/>
      <c r="D744"/>
      <c r="E744"/>
      <c r="F744"/>
      <c r="G744"/>
      <c r="H744"/>
      <c r="I744"/>
    </row>
    <row r="745" spans="1:9" x14ac:dyDescent="0.25">
      <c r="A745"/>
      <c r="B745"/>
      <c r="C745"/>
      <c r="D745"/>
      <c r="E745"/>
      <c r="F745"/>
      <c r="G745"/>
      <c r="H745"/>
      <c r="I745"/>
    </row>
    <row r="746" spans="1:9" x14ac:dyDescent="0.25">
      <c r="A746"/>
      <c r="B746"/>
      <c r="C746"/>
      <c r="D746"/>
      <c r="E746"/>
      <c r="F746"/>
      <c r="G746"/>
      <c r="H746"/>
      <c r="I746"/>
    </row>
    <row r="747" spans="1:9" x14ac:dyDescent="0.25">
      <c r="A747"/>
      <c r="B747"/>
      <c r="C747"/>
      <c r="D747"/>
      <c r="E747"/>
      <c r="F747"/>
      <c r="G747"/>
      <c r="H747"/>
      <c r="I747"/>
    </row>
    <row r="748" spans="1:9" x14ac:dyDescent="0.25">
      <c r="A748"/>
      <c r="B748"/>
      <c r="C748"/>
      <c r="D748"/>
      <c r="E748"/>
      <c r="F748"/>
      <c r="G748"/>
      <c r="H748"/>
      <c r="I748"/>
    </row>
    <row r="749" spans="1:9" x14ac:dyDescent="0.25">
      <c r="A749"/>
      <c r="B749"/>
      <c r="C749"/>
      <c r="D749"/>
      <c r="E749"/>
      <c r="F749"/>
      <c r="G749"/>
      <c r="H749"/>
      <c r="I749"/>
    </row>
    <row r="750" spans="1:9" x14ac:dyDescent="0.25">
      <c r="A750"/>
      <c r="B750"/>
      <c r="C750"/>
      <c r="D750"/>
      <c r="E750"/>
      <c r="F750"/>
      <c r="G750"/>
      <c r="H750"/>
      <c r="I750"/>
    </row>
    <row r="751" spans="1:9" x14ac:dyDescent="0.25">
      <c r="A751"/>
      <c r="B751"/>
      <c r="C751"/>
      <c r="D751"/>
      <c r="E751"/>
      <c r="F751"/>
      <c r="G751"/>
      <c r="H751"/>
      <c r="I751"/>
    </row>
    <row r="752" spans="1:9" x14ac:dyDescent="0.25">
      <c r="A752"/>
      <c r="B752"/>
      <c r="C752"/>
      <c r="D752"/>
      <c r="E752"/>
      <c r="F752"/>
      <c r="G752"/>
      <c r="H752"/>
      <c r="I752"/>
    </row>
    <row r="753" spans="1:9" x14ac:dyDescent="0.25">
      <c r="A753"/>
      <c r="B753"/>
      <c r="C753"/>
      <c r="D753"/>
      <c r="E753"/>
      <c r="F753"/>
      <c r="G753"/>
      <c r="H753"/>
      <c r="I753"/>
    </row>
    <row r="754" spans="1:9" x14ac:dyDescent="0.25">
      <c r="A754"/>
      <c r="B754"/>
      <c r="C754"/>
      <c r="D754"/>
      <c r="E754"/>
      <c r="F754"/>
      <c r="G754"/>
      <c r="H754"/>
      <c r="I754"/>
    </row>
    <row r="755" spans="1:9" x14ac:dyDescent="0.25">
      <c r="A755"/>
      <c r="B755"/>
      <c r="C755"/>
      <c r="D755"/>
      <c r="E755"/>
      <c r="F755"/>
      <c r="G755"/>
      <c r="H755"/>
      <c r="I755"/>
    </row>
    <row r="756" spans="1:9" x14ac:dyDescent="0.25">
      <c r="A756"/>
      <c r="B756"/>
      <c r="C756"/>
      <c r="D756"/>
      <c r="E756"/>
      <c r="F756"/>
      <c r="G756"/>
      <c r="H756"/>
      <c r="I756"/>
    </row>
    <row r="757" spans="1:9" x14ac:dyDescent="0.25">
      <c r="A757"/>
      <c r="B757"/>
      <c r="C757"/>
      <c r="D757"/>
      <c r="E757"/>
      <c r="F757"/>
      <c r="G757"/>
      <c r="H757"/>
      <c r="I757"/>
    </row>
    <row r="758" spans="1:9" x14ac:dyDescent="0.25">
      <c r="A758"/>
      <c r="B758"/>
      <c r="C758"/>
      <c r="D758"/>
      <c r="E758"/>
      <c r="F758"/>
      <c r="G758"/>
      <c r="H758"/>
      <c r="I758"/>
    </row>
    <row r="759" spans="1:9" x14ac:dyDescent="0.25">
      <c r="A759"/>
      <c r="B759"/>
      <c r="C759"/>
      <c r="D759"/>
      <c r="E759"/>
      <c r="F759"/>
      <c r="G759"/>
      <c r="H759"/>
      <c r="I759"/>
    </row>
    <row r="760" spans="1:9" x14ac:dyDescent="0.25">
      <c r="A760"/>
      <c r="B760"/>
      <c r="C760"/>
      <c r="D760"/>
      <c r="E760"/>
      <c r="F760"/>
      <c r="G760"/>
      <c r="H760"/>
      <c r="I760"/>
    </row>
    <row r="761" spans="1:9" x14ac:dyDescent="0.25">
      <c r="A761"/>
      <c r="B761"/>
      <c r="C761"/>
      <c r="D761"/>
      <c r="E761"/>
      <c r="F761"/>
      <c r="G761"/>
      <c r="H761"/>
      <c r="I761"/>
    </row>
    <row r="762" spans="1:9" x14ac:dyDescent="0.25">
      <c r="A762"/>
      <c r="B762"/>
      <c r="C762"/>
      <c r="D762"/>
      <c r="E762"/>
      <c r="F762"/>
      <c r="G762"/>
      <c r="H762"/>
      <c r="I762"/>
    </row>
    <row r="763" spans="1:9" x14ac:dyDescent="0.25">
      <c r="A763"/>
      <c r="B763"/>
      <c r="C763"/>
      <c r="D763"/>
      <c r="E763"/>
      <c r="F763"/>
      <c r="G763"/>
      <c r="H763"/>
      <c r="I763"/>
    </row>
    <row r="764" spans="1:9" x14ac:dyDescent="0.25">
      <c r="A764"/>
      <c r="B764"/>
      <c r="C764"/>
      <c r="D764"/>
      <c r="E764"/>
      <c r="F764"/>
      <c r="G764"/>
      <c r="H764"/>
      <c r="I764"/>
    </row>
    <row r="765" spans="1:9" x14ac:dyDescent="0.25">
      <c r="A765"/>
      <c r="B765"/>
      <c r="C765"/>
      <c r="D765"/>
      <c r="E765"/>
      <c r="F765"/>
      <c r="G765"/>
      <c r="H765"/>
      <c r="I765"/>
    </row>
    <row r="766" spans="1:9" x14ac:dyDescent="0.25">
      <c r="A766"/>
      <c r="B766"/>
      <c r="C766"/>
      <c r="D766"/>
      <c r="E766"/>
      <c r="F766"/>
      <c r="G766"/>
      <c r="H766"/>
      <c r="I766"/>
    </row>
    <row r="767" spans="1:9" x14ac:dyDescent="0.25">
      <c r="A767"/>
      <c r="B767"/>
      <c r="C767"/>
      <c r="D767"/>
      <c r="E767"/>
      <c r="F767"/>
      <c r="G767"/>
      <c r="H767"/>
      <c r="I767"/>
    </row>
    <row r="768" spans="1:9" x14ac:dyDescent="0.25">
      <c r="A768"/>
      <c r="B768"/>
      <c r="C768"/>
      <c r="D768"/>
      <c r="E768"/>
      <c r="F768"/>
      <c r="G768"/>
      <c r="H768"/>
      <c r="I768"/>
    </row>
    <row r="769" spans="1:9" x14ac:dyDescent="0.25">
      <c r="A769"/>
      <c r="B769"/>
      <c r="C769"/>
      <c r="D769"/>
      <c r="E769"/>
      <c r="F769"/>
      <c r="G769"/>
      <c r="H769"/>
      <c r="I769"/>
    </row>
    <row r="770" spans="1:9" x14ac:dyDescent="0.25">
      <c r="A770"/>
      <c r="B770"/>
      <c r="C770"/>
      <c r="D770"/>
      <c r="E770"/>
      <c r="F770"/>
      <c r="G770"/>
      <c r="H770"/>
      <c r="I770"/>
    </row>
    <row r="771" spans="1:9" x14ac:dyDescent="0.25">
      <c r="A771"/>
      <c r="B771"/>
      <c r="C771"/>
      <c r="D771"/>
      <c r="E771"/>
      <c r="F771"/>
      <c r="G771"/>
      <c r="H771"/>
      <c r="I771"/>
    </row>
    <row r="772" spans="1:9" x14ac:dyDescent="0.25">
      <c r="A772"/>
      <c r="B772"/>
      <c r="C772"/>
      <c r="D772"/>
      <c r="E772"/>
      <c r="F772"/>
      <c r="G772"/>
      <c r="H772"/>
      <c r="I772"/>
    </row>
    <row r="773" spans="1:9" x14ac:dyDescent="0.25">
      <c r="A773"/>
      <c r="B773"/>
      <c r="C773"/>
      <c r="D773"/>
      <c r="E773"/>
      <c r="F773"/>
      <c r="G773"/>
      <c r="H773"/>
      <c r="I773"/>
    </row>
    <row r="774" spans="1:9" x14ac:dyDescent="0.25">
      <c r="A774"/>
      <c r="B774"/>
      <c r="C774"/>
      <c r="D774"/>
      <c r="E774"/>
      <c r="F774"/>
      <c r="G774"/>
      <c r="H774"/>
      <c r="I774"/>
    </row>
    <row r="775" spans="1:9" x14ac:dyDescent="0.25">
      <c r="A775"/>
      <c r="B775"/>
      <c r="C775"/>
      <c r="D775"/>
      <c r="E775"/>
      <c r="F775"/>
      <c r="G775"/>
      <c r="H775"/>
      <c r="I775"/>
    </row>
    <row r="776" spans="1:9" x14ac:dyDescent="0.25">
      <c r="A776"/>
      <c r="B776"/>
      <c r="C776"/>
      <c r="D776"/>
      <c r="E776"/>
      <c r="F776"/>
      <c r="G776"/>
      <c r="H776"/>
      <c r="I776"/>
    </row>
    <row r="777" spans="1:9" x14ac:dyDescent="0.25">
      <c r="A777"/>
      <c r="B777"/>
      <c r="C777"/>
      <c r="D777"/>
      <c r="E777"/>
      <c r="F777"/>
      <c r="G777"/>
      <c r="H777"/>
      <c r="I777"/>
    </row>
    <row r="778" spans="1:9" x14ac:dyDescent="0.25">
      <c r="A778"/>
      <c r="B778"/>
      <c r="C778"/>
      <c r="D778"/>
      <c r="E778"/>
      <c r="F778"/>
      <c r="G778"/>
      <c r="H778"/>
      <c r="I778"/>
    </row>
    <row r="779" spans="1:9" x14ac:dyDescent="0.25">
      <c r="A779"/>
      <c r="B779"/>
      <c r="C779"/>
      <c r="D779"/>
      <c r="E779"/>
      <c r="F779"/>
      <c r="G779"/>
      <c r="H779"/>
      <c r="I779"/>
    </row>
    <row r="780" spans="1:9" x14ac:dyDescent="0.25">
      <c r="A780"/>
      <c r="B780"/>
      <c r="C780"/>
      <c r="D780"/>
      <c r="E780"/>
      <c r="F780"/>
      <c r="G780"/>
      <c r="H780"/>
      <c r="I780"/>
    </row>
    <row r="781" spans="1:9" x14ac:dyDescent="0.25">
      <c r="A781"/>
      <c r="B781"/>
      <c r="C781"/>
      <c r="D781"/>
      <c r="E781"/>
      <c r="F781"/>
      <c r="G781"/>
      <c r="H781"/>
      <c r="I781"/>
    </row>
    <row r="782" spans="1:9" x14ac:dyDescent="0.25">
      <c r="A782"/>
      <c r="B782"/>
      <c r="C782"/>
      <c r="D782"/>
      <c r="E782"/>
      <c r="F782"/>
      <c r="G782"/>
      <c r="H782"/>
      <c r="I782"/>
    </row>
    <row r="783" spans="1:9" x14ac:dyDescent="0.25">
      <c r="A783"/>
      <c r="B783"/>
      <c r="C783"/>
      <c r="D783"/>
      <c r="E783"/>
      <c r="F783"/>
      <c r="G783"/>
      <c r="H783"/>
      <c r="I783"/>
    </row>
    <row r="784" spans="1:9" x14ac:dyDescent="0.25">
      <c r="A784"/>
      <c r="B784"/>
      <c r="C784"/>
      <c r="D784"/>
      <c r="E784"/>
      <c r="F784"/>
      <c r="G784"/>
      <c r="H784"/>
      <c r="I784"/>
    </row>
    <row r="785" spans="1:9" x14ac:dyDescent="0.25">
      <c r="A785"/>
      <c r="B785"/>
      <c r="C785"/>
      <c r="D785"/>
      <c r="E785"/>
      <c r="F785"/>
      <c r="G785"/>
      <c r="H785"/>
      <c r="I785"/>
    </row>
    <row r="786" spans="1:9" x14ac:dyDescent="0.25">
      <c r="A786"/>
      <c r="B786"/>
      <c r="C786"/>
      <c r="D786"/>
      <c r="E786"/>
      <c r="F786"/>
      <c r="G786"/>
      <c r="H786"/>
      <c r="I786"/>
    </row>
    <row r="787" spans="1:9" x14ac:dyDescent="0.25">
      <c r="A787"/>
      <c r="B787"/>
      <c r="C787"/>
      <c r="D787"/>
      <c r="E787"/>
      <c r="F787"/>
      <c r="G787"/>
      <c r="H787"/>
      <c r="I787"/>
    </row>
    <row r="788" spans="1:9" x14ac:dyDescent="0.25">
      <c r="A788"/>
      <c r="B788"/>
      <c r="C788"/>
      <c r="D788"/>
      <c r="E788"/>
      <c r="F788"/>
      <c r="G788"/>
      <c r="H788"/>
      <c r="I788"/>
    </row>
    <row r="789" spans="1:9" x14ac:dyDescent="0.25">
      <c r="A789"/>
      <c r="B789"/>
      <c r="C789"/>
      <c r="D789"/>
      <c r="E789"/>
      <c r="F789"/>
      <c r="G789"/>
      <c r="H789"/>
      <c r="I789"/>
    </row>
    <row r="790" spans="1:9" x14ac:dyDescent="0.25">
      <c r="A790"/>
      <c r="B790"/>
      <c r="C790"/>
      <c r="D790"/>
      <c r="E790"/>
      <c r="F790"/>
      <c r="G790"/>
      <c r="H790"/>
      <c r="I790"/>
    </row>
    <row r="791" spans="1:9" x14ac:dyDescent="0.25">
      <c r="A791"/>
      <c r="B791"/>
      <c r="C791"/>
      <c r="D791"/>
      <c r="E791"/>
      <c r="F791"/>
      <c r="G791"/>
      <c r="H791"/>
      <c r="I791"/>
    </row>
    <row r="792" spans="1:9" x14ac:dyDescent="0.25">
      <c r="A792"/>
      <c r="B792"/>
      <c r="C792"/>
      <c r="D792"/>
      <c r="E792"/>
      <c r="F792"/>
      <c r="G792"/>
      <c r="H792"/>
      <c r="I792"/>
    </row>
    <row r="793" spans="1:9" x14ac:dyDescent="0.25">
      <c r="A793"/>
      <c r="B793"/>
      <c r="C793"/>
      <c r="D793"/>
      <c r="E793"/>
      <c r="F793"/>
      <c r="G793"/>
      <c r="H793"/>
      <c r="I793"/>
    </row>
    <row r="794" spans="1:9" x14ac:dyDescent="0.25">
      <c r="A794"/>
      <c r="B794"/>
      <c r="C794"/>
      <c r="D794"/>
      <c r="E794"/>
      <c r="F794"/>
      <c r="G794"/>
      <c r="H794"/>
      <c r="I794"/>
    </row>
    <row r="795" spans="1:9" x14ac:dyDescent="0.25">
      <c r="A795"/>
      <c r="B795"/>
      <c r="C795"/>
      <c r="D795"/>
      <c r="E795"/>
      <c r="F795"/>
      <c r="G795"/>
      <c r="H795"/>
      <c r="I795"/>
    </row>
    <row r="796" spans="1:9" x14ac:dyDescent="0.25">
      <c r="A796"/>
      <c r="B796"/>
      <c r="C796"/>
      <c r="D796"/>
      <c r="E796"/>
      <c r="F796"/>
      <c r="G796"/>
      <c r="H796"/>
      <c r="I796"/>
    </row>
    <row r="797" spans="1:9" x14ac:dyDescent="0.25">
      <c r="A797"/>
      <c r="B797"/>
      <c r="C797"/>
      <c r="D797"/>
      <c r="E797"/>
      <c r="F797"/>
      <c r="G797"/>
      <c r="H797"/>
      <c r="I797"/>
    </row>
    <row r="798" spans="1:9" x14ac:dyDescent="0.25">
      <c r="A798"/>
      <c r="B798"/>
      <c r="C798"/>
      <c r="D798"/>
      <c r="E798"/>
      <c r="F798"/>
      <c r="G798"/>
      <c r="H798"/>
      <c r="I798"/>
    </row>
    <row r="799" spans="1:9" x14ac:dyDescent="0.25">
      <c r="A799"/>
      <c r="B799"/>
      <c r="C799"/>
      <c r="D799"/>
      <c r="E799"/>
      <c r="F799"/>
      <c r="G799"/>
      <c r="H799"/>
      <c r="I799"/>
    </row>
    <row r="800" spans="1:9" x14ac:dyDescent="0.25">
      <c r="A800"/>
      <c r="B800"/>
      <c r="C800"/>
      <c r="D800"/>
      <c r="E800"/>
      <c r="F800"/>
      <c r="G800"/>
      <c r="H800"/>
      <c r="I800"/>
    </row>
    <row r="801" spans="1:9" x14ac:dyDescent="0.25">
      <c r="A801"/>
      <c r="B801"/>
      <c r="C801"/>
      <c r="D801"/>
      <c r="E801"/>
      <c r="F801"/>
      <c r="G801"/>
      <c r="H801"/>
      <c r="I801"/>
    </row>
    <row r="802" spans="1:9" x14ac:dyDescent="0.25">
      <c r="A802"/>
      <c r="B802"/>
      <c r="C802"/>
      <c r="D802"/>
      <c r="E802"/>
      <c r="F802"/>
      <c r="G802"/>
      <c r="H802"/>
      <c r="I802"/>
    </row>
    <row r="803" spans="1:9" x14ac:dyDescent="0.25">
      <c r="A803"/>
      <c r="B803"/>
      <c r="C803"/>
      <c r="D803"/>
      <c r="E803"/>
      <c r="F803"/>
      <c r="G803"/>
      <c r="H803"/>
      <c r="I803"/>
    </row>
    <row r="804" spans="1:9" x14ac:dyDescent="0.25">
      <c r="A804"/>
      <c r="B804"/>
      <c r="C804"/>
      <c r="D804"/>
      <c r="E804"/>
      <c r="F804"/>
      <c r="G804"/>
      <c r="H804"/>
      <c r="I804"/>
    </row>
    <row r="805" spans="1:9" x14ac:dyDescent="0.25">
      <c r="A805"/>
      <c r="B805"/>
      <c r="C805"/>
      <c r="D805"/>
      <c r="E805"/>
      <c r="F805"/>
      <c r="G805"/>
      <c r="H805"/>
      <c r="I805"/>
    </row>
    <row r="806" spans="1:9" x14ac:dyDescent="0.25">
      <c r="A806"/>
      <c r="B806"/>
      <c r="C806"/>
      <c r="D806"/>
      <c r="E806"/>
      <c r="F806"/>
      <c r="G806"/>
      <c r="H806"/>
      <c r="I806"/>
    </row>
    <row r="807" spans="1:9" x14ac:dyDescent="0.25">
      <c r="A807"/>
      <c r="B807"/>
      <c r="C807"/>
      <c r="D807"/>
      <c r="E807"/>
      <c r="F807"/>
      <c r="G807"/>
      <c r="H807"/>
      <c r="I807"/>
    </row>
    <row r="808" spans="1:9" x14ac:dyDescent="0.25">
      <c r="A808"/>
      <c r="B808"/>
      <c r="C808"/>
      <c r="D808"/>
      <c r="E808"/>
      <c r="F808"/>
      <c r="G808"/>
      <c r="H808"/>
      <c r="I808"/>
    </row>
    <row r="809" spans="1:9" x14ac:dyDescent="0.25">
      <c r="A809"/>
      <c r="B809"/>
      <c r="C809"/>
      <c r="D809"/>
      <c r="E809"/>
      <c r="F809"/>
      <c r="G809"/>
      <c r="H809"/>
      <c r="I809"/>
    </row>
    <row r="810" spans="1:9" x14ac:dyDescent="0.25">
      <c r="A810"/>
      <c r="B810"/>
      <c r="C810"/>
      <c r="D810"/>
      <c r="E810"/>
      <c r="F810"/>
      <c r="G810"/>
      <c r="H810"/>
      <c r="I810"/>
    </row>
    <row r="811" spans="1:9" x14ac:dyDescent="0.25">
      <c r="A811"/>
      <c r="B811"/>
      <c r="C811"/>
      <c r="D811"/>
      <c r="E811"/>
      <c r="F811"/>
      <c r="G811"/>
      <c r="H811"/>
      <c r="I811"/>
    </row>
    <row r="812" spans="1:9" x14ac:dyDescent="0.25">
      <c r="A812"/>
      <c r="B812"/>
      <c r="C812"/>
      <c r="D812"/>
      <c r="E812"/>
      <c r="F812"/>
      <c r="G812"/>
      <c r="H812"/>
      <c r="I812"/>
    </row>
    <row r="813" spans="1:9" x14ac:dyDescent="0.25">
      <c r="A813"/>
      <c r="B813"/>
      <c r="C813"/>
      <c r="D813"/>
      <c r="E813"/>
      <c r="F813"/>
      <c r="G813"/>
      <c r="H813"/>
      <c r="I813"/>
    </row>
    <row r="814" spans="1:9" x14ac:dyDescent="0.25">
      <c r="A814"/>
      <c r="B814"/>
      <c r="C814"/>
      <c r="D814"/>
      <c r="E814"/>
      <c r="F814"/>
      <c r="G814"/>
      <c r="H814"/>
      <c r="I814"/>
    </row>
    <row r="815" spans="1:9" x14ac:dyDescent="0.25">
      <c r="A815"/>
      <c r="B815"/>
      <c r="C815"/>
      <c r="D815"/>
      <c r="E815"/>
      <c r="F815"/>
      <c r="G815"/>
      <c r="H815"/>
      <c r="I815"/>
    </row>
    <row r="816" spans="1:9" x14ac:dyDescent="0.25">
      <c r="A816"/>
      <c r="B816"/>
      <c r="C816"/>
      <c r="D816"/>
      <c r="E816"/>
      <c r="F816"/>
      <c r="G816"/>
      <c r="H816"/>
      <c r="I816"/>
    </row>
    <row r="817" spans="1:9" x14ac:dyDescent="0.25">
      <c r="A817"/>
      <c r="B817"/>
      <c r="C817"/>
      <c r="D817"/>
      <c r="E817"/>
      <c r="F817"/>
      <c r="G817"/>
      <c r="H817"/>
      <c r="I817"/>
    </row>
    <row r="818" spans="1:9" x14ac:dyDescent="0.25">
      <c r="A818"/>
      <c r="B818"/>
      <c r="C818"/>
      <c r="D818"/>
      <c r="E818"/>
      <c r="F818"/>
      <c r="G818"/>
      <c r="H818"/>
      <c r="I818"/>
    </row>
    <row r="819" spans="1:9" x14ac:dyDescent="0.25">
      <c r="A819"/>
      <c r="B819"/>
      <c r="C819"/>
      <c r="D819"/>
      <c r="E819"/>
      <c r="F819"/>
      <c r="G819"/>
      <c r="H819"/>
      <c r="I819"/>
    </row>
    <row r="820" spans="1:9" x14ac:dyDescent="0.25">
      <c r="A820"/>
      <c r="B820"/>
      <c r="C820"/>
      <c r="D820"/>
      <c r="E820"/>
      <c r="F820"/>
      <c r="G820"/>
      <c r="H820"/>
      <c r="I820"/>
    </row>
    <row r="821" spans="1:9" x14ac:dyDescent="0.25">
      <c r="A821"/>
      <c r="B821"/>
      <c r="C821"/>
      <c r="D821"/>
      <c r="E821"/>
      <c r="F821"/>
      <c r="G821"/>
      <c r="H821"/>
      <c r="I821"/>
    </row>
    <row r="822" spans="1:9" x14ac:dyDescent="0.25">
      <c r="A822"/>
      <c r="B822"/>
      <c r="C822"/>
      <c r="D822"/>
      <c r="E822"/>
      <c r="F822"/>
      <c r="G822"/>
      <c r="H822"/>
      <c r="I822"/>
    </row>
    <row r="823" spans="1:9" x14ac:dyDescent="0.25">
      <c r="A823"/>
      <c r="B823"/>
      <c r="C823"/>
      <c r="D823"/>
      <c r="E823"/>
      <c r="F823"/>
      <c r="G823"/>
      <c r="H823"/>
      <c r="I823"/>
    </row>
    <row r="824" spans="1:9" x14ac:dyDescent="0.25">
      <c r="A824"/>
      <c r="B824"/>
      <c r="C824"/>
      <c r="D824"/>
      <c r="E824"/>
      <c r="F824"/>
      <c r="G824"/>
      <c r="H824"/>
      <c r="I824"/>
    </row>
    <row r="825" spans="1:9" x14ac:dyDescent="0.25">
      <c r="A825"/>
      <c r="B825"/>
      <c r="C825"/>
      <c r="D825"/>
      <c r="E825"/>
      <c r="F825"/>
      <c r="G825"/>
      <c r="H825"/>
      <c r="I825"/>
    </row>
    <row r="826" spans="1:9" x14ac:dyDescent="0.25">
      <c r="A826"/>
      <c r="B826"/>
      <c r="C826"/>
      <c r="D826"/>
      <c r="E826"/>
      <c r="F826"/>
      <c r="G826"/>
      <c r="H826"/>
      <c r="I826"/>
    </row>
    <row r="827" spans="1:9" x14ac:dyDescent="0.25">
      <c r="A827"/>
      <c r="B827"/>
      <c r="C827"/>
      <c r="D827"/>
      <c r="E827"/>
      <c r="F827"/>
      <c r="G827"/>
      <c r="H827"/>
      <c r="I827"/>
    </row>
    <row r="828" spans="1:9" x14ac:dyDescent="0.25">
      <c r="A828"/>
      <c r="B828"/>
      <c r="C828"/>
      <c r="D828"/>
      <c r="E828"/>
      <c r="F828"/>
      <c r="G828"/>
      <c r="H828"/>
      <c r="I828"/>
    </row>
    <row r="829" spans="1:9" x14ac:dyDescent="0.25">
      <c r="A829"/>
      <c r="B829"/>
      <c r="C829"/>
      <c r="D829"/>
      <c r="E829"/>
      <c r="F829"/>
      <c r="G829"/>
      <c r="H829"/>
      <c r="I829"/>
    </row>
    <row r="830" spans="1:9" x14ac:dyDescent="0.25">
      <c r="A830"/>
      <c r="B830"/>
      <c r="C830"/>
      <c r="D830"/>
      <c r="E830"/>
      <c r="F830"/>
      <c r="G830"/>
      <c r="H830"/>
      <c r="I830"/>
    </row>
    <row r="831" spans="1:9" x14ac:dyDescent="0.25">
      <c r="A831"/>
      <c r="B831"/>
      <c r="C831"/>
      <c r="D831"/>
      <c r="E831"/>
      <c r="F831"/>
      <c r="G831"/>
      <c r="H831"/>
      <c r="I831"/>
    </row>
    <row r="832" spans="1:9" x14ac:dyDescent="0.25">
      <c r="A832"/>
      <c r="B832"/>
      <c r="C832"/>
      <c r="D832"/>
      <c r="E832"/>
      <c r="F832"/>
      <c r="G832"/>
      <c r="H832"/>
      <c r="I832"/>
    </row>
    <row r="833" spans="1:9" x14ac:dyDescent="0.25">
      <c r="A833"/>
      <c r="B833"/>
      <c r="C833"/>
      <c r="D833"/>
      <c r="E833"/>
      <c r="F833"/>
      <c r="G833"/>
      <c r="H833"/>
      <c r="I833"/>
    </row>
    <row r="834" spans="1:9" x14ac:dyDescent="0.25">
      <c r="A834"/>
      <c r="B834"/>
      <c r="C834"/>
      <c r="D834"/>
      <c r="E834"/>
      <c r="F834"/>
      <c r="G834"/>
      <c r="H834"/>
      <c r="I834"/>
    </row>
    <row r="835" spans="1:9" x14ac:dyDescent="0.25">
      <c r="A835"/>
      <c r="B835"/>
      <c r="C835"/>
      <c r="D835"/>
      <c r="E835"/>
      <c r="F835"/>
      <c r="G835"/>
      <c r="H835"/>
      <c r="I835"/>
    </row>
    <row r="836" spans="1:9" x14ac:dyDescent="0.25">
      <c r="A836"/>
      <c r="B836"/>
      <c r="C836"/>
      <c r="D836"/>
      <c r="E836"/>
      <c r="F836"/>
      <c r="G836"/>
      <c r="H836"/>
      <c r="I836"/>
    </row>
    <row r="837" spans="1:9" x14ac:dyDescent="0.25">
      <c r="A837"/>
      <c r="B837"/>
      <c r="C837"/>
      <c r="D837"/>
      <c r="E837"/>
      <c r="F837"/>
      <c r="G837"/>
      <c r="H837"/>
      <c r="I837"/>
    </row>
    <row r="838" spans="1:9" x14ac:dyDescent="0.25">
      <c r="A838"/>
      <c r="B838"/>
      <c r="C838"/>
      <c r="D838"/>
      <c r="E838"/>
      <c r="F838"/>
      <c r="G838"/>
      <c r="H838"/>
      <c r="I838"/>
    </row>
    <row r="839" spans="1:9" x14ac:dyDescent="0.25">
      <c r="A839"/>
      <c r="B839"/>
      <c r="C839"/>
      <c r="D839"/>
      <c r="E839"/>
      <c r="F839"/>
      <c r="G839"/>
      <c r="H839"/>
      <c r="I839"/>
    </row>
    <row r="840" spans="1:9" x14ac:dyDescent="0.25">
      <c r="A840"/>
      <c r="B840"/>
      <c r="C840"/>
      <c r="D840"/>
      <c r="E840"/>
      <c r="F840"/>
      <c r="G840"/>
      <c r="H840"/>
      <c r="I840"/>
    </row>
    <row r="841" spans="1:9" x14ac:dyDescent="0.25">
      <c r="A841"/>
      <c r="B841"/>
      <c r="C841"/>
      <c r="D841"/>
      <c r="E841"/>
      <c r="F841"/>
      <c r="G841"/>
      <c r="H841"/>
      <c r="I841"/>
    </row>
    <row r="842" spans="1:9" x14ac:dyDescent="0.25">
      <c r="A842"/>
      <c r="B842"/>
      <c r="C842"/>
      <c r="D842"/>
      <c r="E842"/>
      <c r="F842"/>
      <c r="G842"/>
      <c r="H842"/>
      <c r="I842"/>
    </row>
    <row r="843" spans="1:9" x14ac:dyDescent="0.25">
      <c r="A843"/>
      <c r="B843"/>
      <c r="C843"/>
      <c r="D843"/>
      <c r="E843"/>
      <c r="F843"/>
      <c r="G843"/>
      <c r="H843"/>
      <c r="I843"/>
    </row>
    <row r="844" spans="1:9" x14ac:dyDescent="0.25">
      <c r="A844"/>
      <c r="B844"/>
      <c r="C844"/>
      <c r="D844"/>
      <c r="E844"/>
      <c r="F844"/>
      <c r="G844"/>
      <c r="H844"/>
      <c r="I844"/>
    </row>
    <row r="845" spans="1:9" x14ac:dyDescent="0.25">
      <c r="A845"/>
      <c r="B845"/>
      <c r="C845"/>
      <c r="D845"/>
      <c r="E845"/>
      <c r="F845"/>
      <c r="G845"/>
      <c r="H845"/>
      <c r="I845"/>
    </row>
    <row r="846" spans="1:9" x14ac:dyDescent="0.25">
      <c r="A846"/>
      <c r="B846"/>
      <c r="C846"/>
      <c r="D846"/>
      <c r="E846"/>
      <c r="F846"/>
      <c r="G846"/>
      <c r="H846"/>
      <c r="I846"/>
    </row>
    <row r="847" spans="1:9" x14ac:dyDescent="0.25">
      <c r="A847"/>
      <c r="B847"/>
      <c r="C847"/>
      <c r="D847"/>
      <c r="E847"/>
      <c r="F847"/>
      <c r="G847"/>
      <c r="H847"/>
      <c r="I847"/>
    </row>
    <row r="848" spans="1:9" x14ac:dyDescent="0.25">
      <c r="A848"/>
      <c r="B848"/>
      <c r="C848"/>
      <c r="D848"/>
      <c r="E848"/>
      <c r="F848"/>
      <c r="G848"/>
      <c r="H848"/>
      <c r="I848"/>
    </row>
    <row r="849" spans="1:9" x14ac:dyDescent="0.25">
      <c r="A849"/>
      <c r="B849"/>
      <c r="C849"/>
      <c r="D849"/>
      <c r="E849"/>
      <c r="F849"/>
      <c r="G849"/>
      <c r="H849"/>
      <c r="I849"/>
    </row>
    <row r="850" spans="1:9" x14ac:dyDescent="0.25">
      <c r="A850"/>
      <c r="B850"/>
      <c r="C850"/>
      <c r="D850"/>
      <c r="E850"/>
      <c r="F850"/>
      <c r="G850"/>
      <c r="H850"/>
      <c r="I850"/>
    </row>
    <row r="851" spans="1:9" x14ac:dyDescent="0.25">
      <c r="A851"/>
      <c r="B851"/>
      <c r="C851"/>
      <c r="D851"/>
      <c r="E851"/>
      <c r="F851"/>
      <c r="G851"/>
      <c r="H851"/>
      <c r="I851"/>
    </row>
    <row r="852" spans="1:9" x14ac:dyDescent="0.25">
      <c r="A852"/>
      <c r="B852"/>
      <c r="C852"/>
      <c r="D852"/>
      <c r="E852"/>
      <c r="F852"/>
      <c r="G852"/>
      <c r="H852"/>
      <c r="I852"/>
    </row>
    <row r="853" spans="1:9" x14ac:dyDescent="0.25">
      <c r="A853"/>
      <c r="B853"/>
      <c r="C853"/>
      <c r="D853"/>
      <c r="E853"/>
      <c r="F853"/>
      <c r="G853"/>
      <c r="H853"/>
      <c r="I853"/>
    </row>
    <row r="854" spans="1:9" x14ac:dyDescent="0.25">
      <c r="A854"/>
      <c r="B854"/>
      <c r="C854"/>
      <c r="D854"/>
      <c r="E854"/>
      <c r="F854"/>
      <c r="G854"/>
      <c r="H854"/>
      <c r="I854"/>
    </row>
    <row r="855" spans="1:9" x14ac:dyDescent="0.25">
      <c r="A855"/>
      <c r="B855"/>
      <c r="C855"/>
      <c r="D855"/>
      <c r="E855"/>
      <c r="F855"/>
      <c r="G855"/>
      <c r="H855"/>
      <c r="I855"/>
    </row>
    <row r="856" spans="1:9" x14ac:dyDescent="0.25">
      <c r="A856"/>
      <c r="B856"/>
      <c r="C856"/>
      <c r="D856"/>
      <c r="E856"/>
      <c r="F856"/>
      <c r="G856"/>
      <c r="H856"/>
      <c r="I856"/>
    </row>
    <row r="857" spans="1:9" x14ac:dyDescent="0.25">
      <c r="A857"/>
      <c r="B857"/>
      <c r="C857"/>
      <c r="D857"/>
      <c r="E857"/>
      <c r="F857"/>
      <c r="G857"/>
      <c r="H857"/>
      <c r="I857"/>
    </row>
    <row r="858" spans="1:9" x14ac:dyDescent="0.25">
      <c r="A858"/>
      <c r="B858"/>
      <c r="C858"/>
      <c r="D858"/>
      <c r="E858"/>
      <c r="F858"/>
      <c r="G858"/>
      <c r="H858"/>
      <c r="I858"/>
    </row>
    <row r="859" spans="1:9" x14ac:dyDescent="0.25">
      <c r="A859"/>
      <c r="B859"/>
      <c r="C859"/>
      <c r="D859"/>
      <c r="E859"/>
      <c r="F859"/>
      <c r="G859"/>
      <c r="H859"/>
      <c r="I859"/>
    </row>
    <row r="860" spans="1:9" x14ac:dyDescent="0.25">
      <c r="A860"/>
      <c r="B860"/>
      <c r="C860"/>
      <c r="D860"/>
      <c r="E860"/>
      <c r="F860"/>
      <c r="G860"/>
      <c r="H860"/>
      <c r="I860"/>
    </row>
    <row r="861" spans="1:9" x14ac:dyDescent="0.25">
      <c r="A861"/>
      <c r="B861"/>
      <c r="C861"/>
      <c r="D861"/>
      <c r="E861"/>
      <c r="F861"/>
      <c r="G861"/>
      <c r="H861"/>
      <c r="I861"/>
    </row>
    <row r="862" spans="1:9" x14ac:dyDescent="0.25">
      <c r="A862"/>
      <c r="B862"/>
      <c r="C862"/>
      <c r="D862"/>
      <c r="E862"/>
      <c r="F862"/>
      <c r="G862"/>
      <c r="H862"/>
      <c r="I862"/>
    </row>
    <row r="863" spans="1:9" x14ac:dyDescent="0.25">
      <c r="A863"/>
      <c r="B863"/>
      <c r="C863"/>
      <c r="D863"/>
      <c r="E863"/>
      <c r="F863"/>
      <c r="G863"/>
      <c r="H863"/>
      <c r="I863"/>
    </row>
    <row r="864" spans="1:9" x14ac:dyDescent="0.25">
      <c r="A864"/>
      <c r="B864"/>
      <c r="C864"/>
      <c r="D864"/>
      <c r="E864"/>
      <c r="F864"/>
      <c r="G864"/>
      <c r="H864"/>
      <c r="I864"/>
    </row>
    <row r="865" spans="1:9" x14ac:dyDescent="0.25">
      <c r="A865"/>
      <c r="B865"/>
      <c r="C865"/>
      <c r="D865"/>
      <c r="E865"/>
      <c r="F865"/>
      <c r="G865"/>
      <c r="H865"/>
      <c r="I865"/>
    </row>
    <row r="866" spans="1:9" x14ac:dyDescent="0.25">
      <c r="A866"/>
      <c r="B866"/>
      <c r="C866"/>
      <c r="D866"/>
      <c r="E866"/>
      <c r="F866"/>
      <c r="G866"/>
      <c r="H866"/>
      <c r="I866"/>
    </row>
    <row r="867" spans="1:9" x14ac:dyDescent="0.25">
      <c r="A867"/>
      <c r="B867"/>
      <c r="C867"/>
      <c r="D867"/>
      <c r="E867"/>
      <c r="F867"/>
      <c r="G867"/>
      <c r="H867"/>
      <c r="I867"/>
    </row>
    <row r="868" spans="1:9" x14ac:dyDescent="0.25">
      <c r="A868"/>
      <c r="B868"/>
      <c r="C868"/>
      <c r="D868"/>
      <c r="E868"/>
      <c r="F868"/>
      <c r="G868"/>
      <c r="H868"/>
      <c r="I868"/>
    </row>
    <row r="869" spans="1:9" x14ac:dyDescent="0.25">
      <c r="A869"/>
      <c r="B869"/>
      <c r="C869"/>
      <c r="D869"/>
      <c r="E869"/>
      <c r="F869"/>
      <c r="G869"/>
      <c r="H869"/>
      <c r="I869"/>
    </row>
    <row r="870" spans="1:9" x14ac:dyDescent="0.25">
      <c r="A870"/>
      <c r="B870"/>
      <c r="C870"/>
      <c r="D870"/>
      <c r="E870"/>
      <c r="F870"/>
      <c r="G870"/>
      <c r="H870"/>
      <c r="I870"/>
    </row>
    <row r="871" spans="1:9" x14ac:dyDescent="0.25">
      <c r="A871"/>
      <c r="B871"/>
      <c r="C871"/>
      <c r="D871"/>
      <c r="E871"/>
      <c r="F871"/>
      <c r="G871"/>
      <c r="H871"/>
      <c r="I871"/>
    </row>
    <row r="872" spans="1:9" x14ac:dyDescent="0.25">
      <c r="A872"/>
      <c r="B872"/>
      <c r="C872"/>
      <c r="D872"/>
      <c r="E872"/>
      <c r="F872"/>
      <c r="G872"/>
      <c r="H872"/>
      <c r="I872"/>
    </row>
    <row r="873" spans="1:9" x14ac:dyDescent="0.25">
      <c r="A873"/>
      <c r="B873"/>
      <c r="C873"/>
      <c r="D873"/>
      <c r="E873"/>
      <c r="F873"/>
      <c r="G873"/>
      <c r="H873"/>
      <c r="I873"/>
    </row>
    <row r="874" spans="1:9" x14ac:dyDescent="0.25">
      <c r="A874"/>
      <c r="B874"/>
      <c r="C874"/>
      <c r="D874"/>
      <c r="E874"/>
      <c r="F874"/>
      <c r="G874"/>
      <c r="H874"/>
      <c r="I874"/>
    </row>
    <row r="875" spans="1:9" x14ac:dyDescent="0.25">
      <c r="A875"/>
      <c r="B875"/>
      <c r="C875"/>
      <c r="D875"/>
      <c r="E875"/>
      <c r="F875"/>
      <c r="G875"/>
      <c r="H875"/>
      <c r="I875"/>
    </row>
    <row r="876" spans="1:9" x14ac:dyDescent="0.25">
      <c r="A876"/>
      <c r="B876"/>
      <c r="C876"/>
      <c r="D876"/>
      <c r="E876"/>
      <c r="F876"/>
      <c r="G876"/>
      <c r="H876"/>
      <c r="I876"/>
    </row>
    <row r="877" spans="1:9" x14ac:dyDescent="0.25">
      <c r="A877"/>
      <c r="B877"/>
      <c r="C877"/>
      <c r="D877"/>
      <c r="E877"/>
      <c r="F877"/>
      <c r="G877"/>
      <c r="H877"/>
      <c r="I877"/>
    </row>
  </sheetData>
  <printOptions horizontalCentered="1"/>
  <pageMargins left="0.25" right="0.25" top="0.75" bottom="0.75" header="0.3" footer="0.3"/>
  <pageSetup paperSize="9" scale="64" fitToHeight="3" orientation="portrait" r:id="rId2"/>
  <drawing r:id="rId3"/>
  <extLst>
    <ext xmlns:x14="http://schemas.microsoft.com/office/spreadsheetml/2009/9/main" uri="{A8765BA9-456A-4dab-B4F3-ACF838C121DE}">
      <x14:slicerList>
        <x14:slicer r:id="rId4"/>
      </x14:slicerList>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97177-4B6A-4BB5-A8B1-C6E4A185DD7C}">
  <sheetPr>
    <pageSetUpPr fitToPage="1"/>
  </sheetPr>
  <dimension ref="A9:N877"/>
  <sheetViews>
    <sheetView showGridLines="0" view="pageBreakPreview" topLeftCell="A19" zoomScale="85" zoomScaleNormal="100" zoomScaleSheetLayoutView="85" workbookViewId="0">
      <selection activeCell="J40" sqref="J40"/>
    </sheetView>
  </sheetViews>
  <sheetFormatPr defaultRowHeight="15" x14ac:dyDescent="0.25"/>
  <cols>
    <col min="1" max="1" width="13.28515625" style="79" bestFit="1" customWidth="1"/>
    <col min="2" max="2" width="16.140625" style="191" bestFit="1" customWidth="1"/>
    <col min="3" max="4" width="11.5703125" style="192" bestFit="1" customWidth="1"/>
    <col min="5" max="5" width="10" style="192" bestFit="1" customWidth="1"/>
    <col min="6" max="6" width="13.5703125" style="79" bestFit="1" customWidth="1"/>
    <col min="7" max="7" width="18.28515625" style="192" bestFit="1" customWidth="1"/>
    <col min="8" max="8" width="13.28515625" style="192" bestFit="1" customWidth="1"/>
    <col min="9" max="9" width="16.42578125" style="79" bestFit="1" customWidth="1"/>
    <col min="10" max="10" width="28.85546875" style="79" bestFit="1" customWidth="1"/>
    <col min="11" max="13" width="9.140625" style="79"/>
    <col min="14" max="14" width="24.7109375" style="79" bestFit="1" customWidth="1"/>
    <col min="15" max="16384" width="9.140625" style="79"/>
  </cols>
  <sheetData>
    <row r="9" spans="14:14" x14ac:dyDescent="0.25">
      <c r="N9" s="79" t="s">
        <v>1177</v>
      </c>
    </row>
    <row r="10" spans="14:14" x14ac:dyDescent="0.25">
      <c r="N10" s="79" t="s">
        <v>1168</v>
      </c>
    </row>
    <row r="11" spans="14:14" x14ac:dyDescent="0.25">
      <c r="N11" s="79">
        <f>COUNT(B18:B162)</f>
        <v>22</v>
      </c>
    </row>
    <row r="12" spans="14:14" x14ac:dyDescent="0.25">
      <c r="N12" s="79" t="s">
        <v>1164</v>
      </c>
    </row>
    <row r="13" spans="14:14" x14ac:dyDescent="0.25">
      <c r="N13" s="79" t="s">
        <v>1301</v>
      </c>
    </row>
    <row r="14" spans="14:14" x14ac:dyDescent="0.25">
      <c r="N14" s="226">
        <f>GETPIVOTDATA("Sum of TOTAL UNIT VALUE (SEMI FINISHED)",'PROJECT SUMMARY DASH'!$A$1,"SELLING PHASE NAME","R 11")</f>
        <v>249234555</v>
      </c>
    </row>
    <row r="18" spans="1:10" s="160" customFormat="1" ht="60" x14ac:dyDescent="0.25">
      <c r="A18" s="160" t="s">
        <v>733</v>
      </c>
      <c r="B18" s="160" t="s">
        <v>1303</v>
      </c>
      <c r="C18" s="160" t="s">
        <v>713</v>
      </c>
      <c r="D18" s="160" t="s">
        <v>1302</v>
      </c>
      <c r="E18" s="225" t="s">
        <v>1151</v>
      </c>
      <c r="F18" s="225" t="s">
        <v>1152</v>
      </c>
      <c r="G18" s="160" t="s">
        <v>1298</v>
      </c>
      <c r="H18" s="160" t="s">
        <v>1299</v>
      </c>
      <c r="I18" s="160" t="s">
        <v>1300</v>
      </c>
      <c r="J18" s="290" t="str">
        <f>Table1[[#Headers],[NO. OF BEDROOMS]]</f>
        <v>NO. OF BEDROOMS</v>
      </c>
    </row>
    <row r="19" spans="1:10" x14ac:dyDescent="0.25">
      <c r="A19" s="121" t="s">
        <v>250</v>
      </c>
      <c r="B19" s="191">
        <v>61858.5</v>
      </c>
      <c r="C19" s="191">
        <v>135</v>
      </c>
      <c r="D19" s="191"/>
      <c r="E19" s="122">
        <v>0</v>
      </c>
      <c r="F19" s="122">
        <v>709826.28750000009</v>
      </c>
      <c r="G19" s="122">
        <v>8626897.5</v>
      </c>
      <c r="H19" s="122">
        <v>9234397.5</v>
      </c>
      <c r="I19" s="122">
        <v>9639397.5</v>
      </c>
      <c r="J19" s="79" t="str">
        <f>VLOOKUP(A19,Table1[[Unit Number]:[NO. OF BEDROOMS]],2,FALSE)</f>
        <v>2 BEDROOM</v>
      </c>
    </row>
    <row r="20" spans="1:10" x14ac:dyDescent="0.25">
      <c r="A20" s="121" t="s">
        <v>815</v>
      </c>
      <c r="B20" s="191">
        <v>63583.5</v>
      </c>
      <c r="C20" s="191">
        <v>173</v>
      </c>
      <c r="D20" s="191"/>
      <c r="E20" s="122">
        <v>0</v>
      </c>
      <c r="F20" s="122">
        <v>934995.36750000005</v>
      </c>
      <c r="G20" s="122">
        <v>11275945.5</v>
      </c>
      <c r="H20" s="122">
        <v>12054445.5</v>
      </c>
      <c r="I20" s="122">
        <v>12573445.5</v>
      </c>
      <c r="J20" s="79" t="str">
        <f>VLOOKUP(A20,Table1[[Unit Number]:[NO. OF BEDROOMS]],2,FALSE)</f>
        <v>3 BEDROOM</v>
      </c>
    </row>
    <row r="21" spans="1:10" x14ac:dyDescent="0.25">
      <c r="A21" s="121" t="s">
        <v>816</v>
      </c>
      <c r="B21" s="191">
        <v>63583.5</v>
      </c>
      <c r="C21" s="191">
        <v>222</v>
      </c>
      <c r="D21" s="191"/>
      <c r="E21" s="122">
        <v>0</v>
      </c>
      <c r="F21" s="122">
        <v>1199820.645</v>
      </c>
      <c r="G21" s="122">
        <v>14391537</v>
      </c>
      <c r="H21" s="122">
        <v>15390537</v>
      </c>
      <c r="I21" s="122">
        <v>16056537</v>
      </c>
      <c r="J21" s="79" t="str">
        <f>VLOOKUP(A21,Table1[[Unit Number]:[NO. OF BEDROOMS]],2,FALSE)</f>
        <v>3 BEDROOM + LIVING</v>
      </c>
    </row>
    <row r="22" spans="1:10" x14ac:dyDescent="0.25">
      <c r="A22" s="121" t="s">
        <v>822</v>
      </c>
      <c r="B22" s="191">
        <v>64860</v>
      </c>
      <c r="C22" s="191">
        <v>205</v>
      </c>
      <c r="D22" s="191"/>
      <c r="E22" s="122">
        <v>0</v>
      </c>
      <c r="F22" s="122">
        <v>1130185.5</v>
      </c>
      <c r="G22" s="122">
        <v>13572300</v>
      </c>
      <c r="H22" s="122">
        <v>14494800</v>
      </c>
      <c r="I22" s="122">
        <v>15109800</v>
      </c>
      <c r="J22" s="79" t="str">
        <f>VLOOKUP(A22,Table1[[Unit Number]:[NO. OF BEDROOMS]],2,FALSE)</f>
        <v>3 BEDROOM</v>
      </c>
    </row>
    <row r="23" spans="1:10" x14ac:dyDescent="0.25">
      <c r="A23" s="121" t="s">
        <v>828</v>
      </c>
      <c r="B23" s="191">
        <v>63549</v>
      </c>
      <c r="C23" s="191">
        <v>198</v>
      </c>
      <c r="D23" s="191"/>
      <c r="E23" s="122">
        <v>0</v>
      </c>
      <c r="F23" s="122">
        <v>1069529.6700000002</v>
      </c>
      <c r="G23" s="122">
        <v>12858702</v>
      </c>
      <c r="H23" s="122">
        <v>13749702</v>
      </c>
      <c r="I23" s="122">
        <v>14343702</v>
      </c>
      <c r="J23" s="79" t="str">
        <f>VLOOKUP(A23,Table1[[Unit Number]:[NO. OF BEDROOMS]],2,FALSE)</f>
        <v>3 BEDROOM</v>
      </c>
    </row>
    <row r="24" spans="1:10" x14ac:dyDescent="0.25">
      <c r="A24" s="121" t="s">
        <v>414</v>
      </c>
      <c r="B24" s="191">
        <v>61858.499999999993</v>
      </c>
      <c r="C24" s="191">
        <v>176</v>
      </c>
      <c r="D24" s="191"/>
      <c r="E24" s="122">
        <v>0</v>
      </c>
      <c r="F24" s="122">
        <v>925403.15999999992</v>
      </c>
      <c r="G24" s="122">
        <v>11163095.999999998</v>
      </c>
      <c r="H24" s="122">
        <v>11955096</v>
      </c>
      <c r="I24" s="122">
        <v>12483096</v>
      </c>
      <c r="J24" s="79" t="str">
        <f>VLOOKUP(A24,Table1[[Unit Number]:[NO. OF BEDROOMS]],2,FALSE)</f>
        <v>3 BEDROOM</v>
      </c>
    </row>
    <row r="25" spans="1:10" x14ac:dyDescent="0.25">
      <c r="A25" s="121" t="s">
        <v>852</v>
      </c>
      <c r="B25" s="191">
        <v>63549</v>
      </c>
      <c r="C25" s="191">
        <v>198</v>
      </c>
      <c r="D25" s="191"/>
      <c r="E25" s="122">
        <v>0</v>
      </c>
      <c r="F25" s="122">
        <v>1069529.6700000002</v>
      </c>
      <c r="G25" s="122">
        <v>12858702</v>
      </c>
      <c r="H25" s="122">
        <v>13749702</v>
      </c>
      <c r="I25" s="122">
        <v>14343702</v>
      </c>
      <c r="J25" s="79" t="str">
        <f>VLOOKUP(A25,Table1[[Unit Number]:[NO. OF BEDROOMS]],2,FALSE)</f>
        <v>3 BEDROOM</v>
      </c>
    </row>
    <row r="26" spans="1:10" x14ac:dyDescent="0.25">
      <c r="A26" s="121" t="s">
        <v>427</v>
      </c>
      <c r="B26" s="191">
        <v>61858.499999999993</v>
      </c>
      <c r="C26" s="191">
        <v>160</v>
      </c>
      <c r="D26" s="191"/>
      <c r="E26" s="122">
        <v>0</v>
      </c>
      <c r="F26" s="122">
        <v>841275.59999999986</v>
      </c>
      <c r="G26" s="122">
        <v>10173359.999999998</v>
      </c>
      <c r="H26" s="122">
        <v>10893360</v>
      </c>
      <c r="I26" s="122">
        <v>11373360</v>
      </c>
      <c r="J26" s="79" t="str">
        <f>VLOOKUP(A26,Table1[[Unit Number]:[NO. OF BEDROOMS]],2,FALSE)</f>
        <v>3 BEDROOM</v>
      </c>
    </row>
    <row r="27" spans="1:10" x14ac:dyDescent="0.25">
      <c r="A27" s="121" t="s">
        <v>858</v>
      </c>
      <c r="B27" s="191">
        <v>64791</v>
      </c>
      <c r="C27" s="191">
        <v>155</v>
      </c>
      <c r="D27" s="191"/>
      <c r="E27" s="122">
        <v>0</v>
      </c>
      <c r="F27" s="122">
        <v>853621.42500000005</v>
      </c>
      <c r="G27" s="122">
        <v>10318605</v>
      </c>
      <c r="H27" s="122">
        <v>11016105</v>
      </c>
      <c r="I27" s="122">
        <v>11481105</v>
      </c>
      <c r="J27" s="79" t="str">
        <f>VLOOKUP(A27,Table1[[Unit Number]:[NO. OF BEDROOMS]],2,FALSE)</f>
        <v>3 BEDROOM</v>
      </c>
    </row>
    <row r="28" spans="1:10" x14ac:dyDescent="0.25">
      <c r="A28" s="121" t="s">
        <v>878</v>
      </c>
      <c r="B28" s="191">
        <v>64791</v>
      </c>
      <c r="C28" s="191">
        <v>155</v>
      </c>
      <c r="D28" s="191"/>
      <c r="E28" s="122">
        <v>0</v>
      </c>
      <c r="F28" s="122">
        <v>853621.42500000005</v>
      </c>
      <c r="G28" s="122">
        <v>10318605</v>
      </c>
      <c r="H28" s="122">
        <v>11016105</v>
      </c>
      <c r="I28" s="122">
        <v>11481105</v>
      </c>
      <c r="J28" s="79" t="str">
        <f>VLOOKUP(A28,Table1[[Unit Number]:[NO. OF BEDROOMS]],2,FALSE)</f>
        <v>3 BEDROOM</v>
      </c>
    </row>
    <row r="29" spans="1:10" x14ac:dyDescent="0.25">
      <c r="A29" s="121" t="s">
        <v>459</v>
      </c>
      <c r="B29" s="191">
        <v>61858.499999999993</v>
      </c>
      <c r="C29" s="191">
        <v>176</v>
      </c>
      <c r="D29" s="191"/>
      <c r="E29" s="122">
        <v>0</v>
      </c>
      <c r="F29" s="122">
        <v>925403.15999999992</v>
      </c>
      <c r="G29" s="122">
        <v>11163095.999999998</v>
      </c>
      <c r="H29" s="122">
        <v>11955096</v>
      </c>
      <c r="I29" s="122">
        <v>12483096</v>
      </c>
      <c r="J29" s="79" t="str">
        <f>VLOOKUP(A29,Table1[[Unit Number]:[NO. OF BEDROOMS]],2,FALSE)</f>
        <v>3 BEDROOM</v>
      </c>
    </row>
    <row r="30" spans="1:10" x14ac:dyDescent="0.25">
      <c r="A30" s="121" t="s">
        <v>887</v>
      </c>
      <c r="B30" s="191">
        <v>64825.5</v>
      </c>
      <c r="C30" s="191">
        <v>229</v>
      </c>
      <c r="D30" s="191"/>
      <c r="E30" s="122">
        <v>0</v>
      </c>
      <c r="F30" s="122">
        <v>1261828.3575000002</v>
      </c>
      <c r="G30" s="122">
        <v>15121039.5</v>
      </c>
      <c r="H30" s="122">
        <v>16151539.5</v>
      </c>
      <c r="I30" s="122">
        <v>16838539.5</v>
      </c>
      <c r="J30" s="79" t="str">
        <f>VLOOKUP(A30,Table1[[Unit Number]:[NO. OF BEDROOMS]],2,FALSE)</f>
        <v>3 BEDROOM + LIVING</v>
      </c>
    </row>
    <row r="31" spans="1:10" x14ac:dyDescent="0.25">
      <c r="A31" s="121" t="s">
        <v>900</v>
      </c>
      <c r="B31" s="191">
        <v>64825.5</v>
      </c>
      <c r="C31" s="191">
        <v>229</v>
      </c>
      <c r="D31" s="191"/>
      <c r="E31" s="122">
        <v>0</v>
      </c>
      <c r="F31" s="122">
        <v>1261828.3575000002</v>
      </c>
      <c r="G31" s="122">
        <v>15121039.5</v>
      </c>
      <c r="H31" s="122">
        <v>16151539.5</v>
      </c>
      <c r="I31" s="122">
        <v>16838539.5</v>
      </c>
      <c r="J31" s="79" t="str">
        <f>VLOOKUP(A31,Table1[[Unit Number]:[NO. OF BEDROOMS]],2,FALSE)</f>
        <v>3 BEDROOM + LIVING</v>
      </c>
    </row>
    <row r="32" spans="1:10" x14ac:dyDescent="0.25">
      <c r="A32" s="121" t="s">
        <v>909</v>
      </c>
      <c r="B32" s="191">
        <v>64860</v>
      </c>
      <c r="C32" s="191">
        <v>205</v>
      </c>
      <c r="D32" s="191"/>
      <c r="E32" s="122">
        <v>0</v>
      </c>
      <c r="F32" s="122">
        <v>1130185.5</v>
      </c>
      <c r="G32" s="122">
        <v>13572300</v>
      </c>
      <c r="H32" s="122">
        <v>14494800</v>
      </c>
      <c r="I32" s="122">
        <v>15109800</v>
      </c>
      <c r="J32" s="79" t="str">
        <f>VLOOKUP(A32,Table1[[Unit Number]:[NO. OF BEDROOMS]],2,FALSE)</f>
        <v>3 BEDROOM</v>
      </c>
    </row>
    <row r="33" spans="1:10" x14ac:dyDescent="0.25">
      <c r="A33" s="121" t="s">
        <v>487</v>
      </c>
      <c r="B33" s="191">
        <v>61858.5</v>
      </c>
      <c r="C33" s="191">
        <v>161</v>
      </c>
      <c r="D33" s="191"/>
      <c r="E33" s="122">
        <v>0</v>
      </c>
      <c r="F33" s="122">
        <v>846533.57250000001</v>
      </c>
      <c r="G33" s="122">
        <v>10235218.5</v>
      </c>
      <c r="H33" s="122">
        <v>10959718.5</v>
      </c>
      <c r="I33" s="122">
        <v>11442718.5</v>
      </c>
      <c r="J33" s="79" t="str">
        <f>VLOOKUP(A33,Table1[[Unit Number]:[NO. OF BEDROOMS]],2,FALSE)</f>
        <v>3 BEDROOM</v>
      </c>
    </row>
    <row r="34" spans="1:10" x14ac:dyDescent="0.25">
      <c r="A34" s="121" t="s">
        <v>517</v>
      </c>
      <c r="B34" s="191">
        <v>61858.5</v>
      </c>
      <c r="C34" s="191">
        <v>176</v>
      </c>
      <c r="D34" s="191"/>
      <c r="E34" s="122">
        <v>0</v>
      </c>
      <c r="F34" s="122">
        <v>925403.16</v>
      </c>
      <c r="G34" s="122">
        <v>11163096</v>
      </c>
      <c r="H34" s="122">
        <v>11955096</v>
      </c>
      <c r="I34" s="122">
        <v>12483096</v>
      </c>
      <c r="J34" s="79" t="str">
        <f>VLOOKUP(A34,Table1[[Unit Number]:[NO. OF BEDROOMS]],2,FALSE)</f>
        <v>3 BEDROOM</v>
      </c>
    </row>
    <row r="35" spans="1:10" x14ac:dyDescent="0.25">
      <c r="A35" s="121" t="s">
        <v>538</v>
      </c>
      <c r="B35" s="191">
        <v>61858.5</v>
      </c>
      <c r="C35" s="191">
        <v>176</v>
      </c>
      <c r="D35" s="191"/>
      <c r="E35" s="122">
        <v>0</v>
      </c>
      <c r="F35" s="122">
        <v>925403.16</v>
      </c>
      <c r="G35" s="122">
        <v>11163096</v>
      </c>
      <c r="H35" s="122">
        <v>11955096</v>
      </c>
      <c r="I35" s="122">
        <v>12483096</v>
      </c>
      <c r="J35" s="79" t="str">
        <f>VLOOKUP(A35,Table1[[Unit Number]:[NO. OF BEDROOMS]],2,FALSE)</f>
        <v>3 BEDROOM</v>
      </c>
    </row>
    <row r="36" spans="1:10" x14ac:dyDescent="0.25">
      <c r="A36" s="121" t="s">
        <v>984</v>
      </c>
      <c r="B36" s="191">
        <v>63583.5</v>
      </c>
      <c r="C36" s="191">
        <v>222</v>
      </c>
      <c r="D36" s="191"/>
      <c r="E36" s="122">
        <v>0</v>
      </c>
      <c r="F36" s="122">
        <v>1199820.645</v>
      </c>
      <c r="G36" s="122">
        <v>14391537</v>
      </c>
      <c r="H36" s="122">
        <v>15390537</v>
      </c>
      <c r="I36" s="122">
        <v>16056537</v>
      </c>
      <c r="J36" s="79" t="str">
        <f>VLOOKUP(A36,Table1[[Unit Number]:[NO. OF BEDROOMS]],2,FALSE)</f>
        <v>3 BEDROOM + LIVING</v>
      </c>
    </row>
    <row r="37" spans="1:10" x14ac:dyDescent="0.25">
      <c r="A37" s="121" t="s">
        <v>985</v>
      </c>
      <c r="B37" s="191">
        <v>63583.5</v>
      </c>
      <c r="C37" s="191">
        <v>173</v>
      </c>
      <c r="D37" s="191"/>
      <c r="E37" s="122">
        <v>0</v>
      </c>
      <c r="F37" s="122">
        <v>934995.36750000005</v>
      </c>
      <c r="G37" s="122">
        <v>11275945.5</v>
      </c>
      <c r="H37" s="122">
        <v>12054445.5</v>
      </c>
      <c r="I37" s="122">
        <v>12573445.5</v>
      </c>
      <c r="J37" s="79" t="str">
        <f>VLOOKUP(A37,Table1[[Unit Number]:[NO. OF BEDROOMS]],2,FALSE)</f>
        <v>3 BEDROOM</v>
      </c>
    </row>
    <row r="38" spans="1:10" x14ac:dyDescent="0.25">
      <c r="A38" s="121" t="s">
        <v>608</v>
      </c>
      <c r="B38" s="191">
        <v>61858.5</v>
      </c>
      <c r="C38" s="191">
        <v>161</v>
      </c>
      <c r="D38" s="191"/>
      <c r="E38" s="122">
        <v>0</v>
      </c>
      <c r="F38" s="122">
        <v>846533.57250000001</v>
      </c>
      <c r="G38" s="122">
        <v>10235218.5</v>
      </c>
      <c r="H38" s="122">
        <v>10959718.5</v>
      </c>
      <c r="I38" s="122">
        <v>11442718.5</v>
      </c>
      <c r="J38" s="79" t="str">
        <f>VLOOKUP(A38,Table1[[Unit Number]:[NO. OF BEDROOMS]],2,FALSE)</f>
        <v>3 BEDROOM</v>
      </c>
    </row>
    <row r="39" spans="1:10" x14ac:dyDescent="0.25">
      <c r="A39" s="121" t="s">
        <v>627</v>
      </c>
      <c r="B39" s="191">
        <v>61858.5</v>
      </c>
      <c r="C39" s="191">
        <v>161</v>
      </c>
      <c r="D39" s="191"/>
      <c r="E39" s="122">
        <v>0</v>
      </c>
      <c r="F39" s="122">
        <v>846533.57250000001</v>
      </c>
      <c r="G39" s="122">
        <v>10235218.5</v>
      </c>
      <c r="H39" s="122">
        <v>10959718.5</v>
      </c>
      <c r="I39" s="122">
        <v>11442718.5</v>
      </c>
      <c r="J39" s="79" t="str">
        <f>VLOOKUP(A39,Table1[[Unit Number]:[NO. OF BEDROOMS]],2,FALSE)</f>
        <v>3 BEDROOM</v>
      </c>
    </row>
    <row r="40" spans="1:10" x14ac:dyDescent="0.25">
      <c r="A40" s="121" t="s">
        <v>709</v>
      </c>
      <c r="B40" s="122">
        <v>1327111.5</v>
      </c>
      <c r="C40" s="122">
        <v>3846</v>
      </c>
      <c r="D40" s="122"/>
      <c r="E40" s="122">
        <v>0</v>
      </c>
      <c r="F40" s="122">
        <v>20692277.175000004</v>
      </c>
      <c r="G40" s="122">
        <v>249234555</v>
      </c>
      <c r="H40" s="122">
        <v>266541555</v>
      </c>
      <c r="I40" s="122">
        <v>278079555</v>
      </c>
    </row>
    <row r="41" spans="1:10" x14ac:dyDescent="0.25">
      <c r="A41"/>
      <c r="B41"/>
      <c r="C41"/>
      <c r="D41"/>
      <c r="E41"/>
      <c r="F41"/>
      <c r="G41"/>
      <c r="H41"/>
      <c r="I41"/>
      <c r="J41" s="79" t="e">
        <f>VLOOKUP(A41,Table1[[Unit Number]:[NO. OF BEDROOMS]],2,FALSE)</f>
        <v>#N/A</v>
      </c>
    </row>
    <row r="42" spans="1:10" x14ac:dyDescent="0.25">
      <c r="A42"/>
      <c r="B42"/>
      <c r="C42"/>
      <c r="D42"/>
      <c r="E42"/>
      <c r="F42"/>
      <c r="G42"/>
      <c r="H42"/>
      <c r="I42"/>
      <c r="J42" s="79" t="e">
        <f>VLOOKUP(A42,Table1[[Unit Number]:[NO. OF BEDROOMS]],2,FALSE)</f>
        <v>#N/A</v>
      </c>
    </row>
    <row r="43" spans="1:10" x14ac:dyDescent="0.25">
      <c r="A43"/>
      <c r="B43"/>
      <c r="C43"/>
      <c r="D43"/>
      <c r="E43"/>
      <c r="F43"/>
      <c r="G43"/>
      <c r="H43"/>
      <c r="I43"/>
      <c r="J43" s="79" t="e">
        <f>VLOOKUP(A43,Table1[[Unit Number]:[NO. OF BEDROOMS]],2,FALSE)</f>
        <v>#N/A</v>
      </c>
    </row>
    <row r="44" spans="1:10" x14ac:dyDescent="0.25">
      <c r="A44"/>
      <c r="B44"/>
      <c r="C44"/>
      <c r="D44"/>
      <c r="E44"/>
      <c r="F44"/>
      <c r="G44"/>
      <c r="H44"/>
      <c r="I44"/>
      <c r="J44" s="79" t="e">
        <f>VLOOKUP(A44,Table1[[Unit Number]:[NO. OF BEDROOMS]],2,FALSE)</f>
        <v>#N/A</v>
      </c>
    </row>
    <row r="45" spans="1:10" x14ac:dyDescent="0.25">
      <c r="A45"/>
      <c r="B45"/>
      <c r="C45"/>
      <c r="D45"/>
      <c r="E45"/>
      <c r="F45"/>
      <c r="G45"/>
      <c r="H45"/>
      <c r="I45"/>
      <c r="J45" s="79" t="e">
        <f>VLOOKUP(A45,Table1[[Unit Number]:[NO. OF BEDROOMS]],2,FALSE)</f>
        <v>#N/A</v>
      </c>
    </row>
    <row r="46" spans="1:10" x14ac:dyDescent="0.25">
      <c r="A46"/>
      <c r="B46"/>
      <c r="C46"/>
      <c r="D46"/>
      <c r="E46"/>
      <c r="F46"/>
      <c r="G46"/>
      <c r="H46"/>
      <c r="I46"/>
      <c r="J46" s="79" t="e">
        <f>VLOOKUP(A46,Table1[[Unit Number]:[NO. OF BEDROOMS]],2,FALSE)</f>
        <v>#N/A</v>
      </c>
    </row>
    <row r="47" spans="1:10" x14ac:dyDescent="0.25">
      <c r="A47"/>
      <c r="B47"/>
      <c r="C47"/>
      <c r="D47"/>
      <c r="E47"/>
      <c r="F47"/>
      <c r="G47"/>
      <c r="H47"/>
      <c r="I47"/>
      <c r="J47" s="79" t="e">
        <f>VLOOKUP(A47,Table1[[Unit Number]:[NO. OF BEDROOMS]],2,FALSE)</f>
        <v>#N/A</v>
      </c>
    </row>
    <row r="48" spans="1:10" x14ac:dyDescent="0.25">
      <c r="A48"/>
      <c r="B48"/>
      <c r="C48"/>
      <c r="D48"/>
      <c r="E48"/>
      <c r="F48"/>
      <c r="G48"/>
      <c r="H48"/>
      <c r="I48"/>
      <c r="J48" s="79" t="e">
        <f>VLOOKUP(A48,Table1[[Unit Number]:[NO. OF BEDROOMS]],2,FALSE)</f>
        <v>#N/A</v>
      </c>
    </row>
    <row r="49" spans="1:10" x14ac:dyDescent="0.25">
      <c r="A49"/>
      <c r="B49"/>
      <c r="C49"/>
      <c r="D49"/>
      <c r="E49"/>
      <c r="F49"/>
      <c r="G49"/>
      <c r="H49"/>
      <c r="I49"/>
      <c r="J49" s="79" t="e">
        <f>VLOOKUP(A49,Table1[[Unit Number]:[NO. OF BEDROOMS]],2,FALSE)</f>
        <v>#N/A</v>
      </c>
    </row>
    <row r="50" spans="1:10" x14ac:dyDescent="0.25">
      <c r="A50"/>
      <c r="B50"/>
      <c r="C50"/>
      <c r="D50"/>
      <c r="E50"/>
      <c r="F50"/>
      <c r="G50"/>
      <c r="H50"/>
      <c r="I50"/>
      <c r="J50" s="79" t="e">
        <f>VLOOKUP(A50,Table1[[Unit Number]:[NO. OF BEDROOMS]],2,FALSE)</f>
        <v>#N/A</v>
      </c>
    </row>
    <row r="51" spans="1:10" x14ac:dyDescent="0.25">
      <c r="A51"/>
      <c r="B51"/>
      <c r="C51"/>
      <c r="D51"/>
      <c r="E51"/>
      <c r="F51"/>
      <c r="G51"/>
      <c r="H51"/>
      <c r="I51"/>
      <c r="J51" s="79" t="e">
        <f>VLOOKUP(A51,Table1[[Unit Number]:[NO. OF BEDROOMS]],2,FALSE)</f>
        <v>#N/A</v>
      </c>
    </row>
    <row r="52" spans="1:10" x14ac:dyDescent="0.25">
      <c r="A52"/>
      <c r="B52"/>
      <c r="C52"/>
      <c r="D52"/>
      <c r="E52"/>
      <c r="F52"/>
      <c r="G52"/>
      <c r="H52"/>
      <c r="I52"/>
      <c r="J52" s="79" t="e">
        <f>VLOOKUP(A52,Table1[[Unit Number]:[NO. OF BEDROOMS]],2,FALSE)</f>
        <v>#N/A</v>
      </c>
    </row>
    <row r="53" spans="1:10" x14ac:dyDescent="0.25">
      <c r="A53"/>
      <c r="B53"/>
      <c r="C53"/>
      <c r="D53"/>
      <c r="E53"/>
      <c r="F53"/>
      <c r="G53"/>
      <c r="H53"/>
      <c r="I53"/>
      <c r="J53" s="79" t="e">
        <f>VLOOKUP(A53,Table1[[Unit Number]:[NO. OF BEDROOMS]],2,FALSE)</f>
        <v>#N/A</v>
      </c>
    </row>
    <row r="54" spans="1:10" x14ac:dyDescent="0.25">
      <c r="A54"/>
      <c r="B54"/>
      <c r="C54"/>
      <c r="D54"/>
      <c r="E54"/>
      <c r="F54"/>
      <c r="G54"/>
      <c r="H54"/>
      <c r="I54"/>
      <c r="J54" s="79" t="e">
        <f>VLOOKUP(A54,Table1[[Unit Number]:[NO. OF BEDROOMS]],2,FALSE)</f>
        <v>#N/A</v>
      </c>
    </row>
    <row r="55" spans="1:10" x14ac:dyDescent="0.25">
      <c r="A55"/>
      <c r="B55"/>
      <c r="C55"/>
      <c r="D55"/>
      <c r="E55"/>
      <c r="F55"/>
      <c r="G55"/>
      <c r="H55"/>
      <c r="I55"/>
      <c r="J55" s="79" t="e">
        <f>VLOOKUP(A55,Table1[[Unit Number]:[NO. OF BEDROOMS]],2,FALSE)</f>
        <v>#N/A</v>
      </c>
    </row>
    <row r="56" spans="1:10" x14ac:dyDescent="0.25">
      <c r="A56"/>
      <c r="B56"/>
      <c r="C56"/>
      <c r="D56"/>
      <c r="E56"/>
      <c r="F56"/>
      <c r="G56"/>
      <c r="H56"/>
      <c r="I56"/>
      <c r="J56" s="79" t="e">
        <f>VLOOKUP(A56,Table1[[Unit Number]:[NO. OF BEDROOMS]],2,FALSE)</f>
        <v>#N/A</v>
      </c>
    </row>
    <row r="57" spans="1:10" x14ac:dyDescent="0.25">
      <c r="A57"/>
      <c r="B57"/>
      <c r="C57"/>
      <c r="D57"/>
      <c r="E57"/>
      <c r="F57"/>
      <c r="G57"/>
      <c r="H57"/>
      <c r="I57"/>
      <c r="J57" s="79" t="e">
        <f>VLOOKUP(A57,Table1[[Unit Number]:[NO. OF BEDROOMS]],2,FALSE)</f>
        <v>#N/A</v>
      </c>
    </row>
    <row r="58" spans="1:10" x14ac:dyDescent="0.25">
      <c r="A58"/>
      <c r="B58"/>
      <c r="C58"/>
      <c r="D58"/>
      <c r="E58"/>
      <c r="F58"/>
      <c r="G58"/>
      <c r="H58"/>
      <c r="I58"/>
      <c r="J58" s="79" t="e">
        <f>VLOOKUP(A58,Table1[[Unit Number]:[NO. OF BEDROOMS]],2,FALSE)</f>
        <v>#N/A</v>
      </c>
    </row>
    <row r="59" spans="1:10" x14ac:dyDescent="0.25">
      <c r="A59"/>
      <c r="B59"/>
      <c r="C59"/>
      <c r="D59"/>
      <c r="E59"/>
      <c r="F59"/>
      <c r="G59"/>
      <c r="H59"/>
      <c r="I59"/>
      <c r="J59" s="79" t="e">
        <f>VLOOKUP(A59,Table1[[Unit Number]:[NO. OF BEDROOMS]],2,FALSE)</f>
        <v>#N/A</v>
      </c>
    </row>
    <row r="60" spans="1:10" x14ac:dyDescent="0.25">
      <c r="A60"/>
      <c r="B60"/>
      <c r="C60"/>
      <c r="D60"/>
      <c r="E60"/>
      <c r="F60"/>
      <c r="G60"/>
      <c r="H60"/>
      <c r="I60"/>
      <c r="J60" s="79" t="e">
        <f>VLOOKUP(A60,Table1[[Unit Number]:[NO. OF BEDROOMS]],2,FALSE)</f>
        <v>#N/A</v>
      </c>
    </row>
    <row r="61" spans="1:10" x14ac:dyDescent="0.25">
      <c r="A61"/>
      <c r="B61"/>
      <c r="C61"/>
      <c r="D61"/>
      <c r="E61"/>
      <c r="F61"/>
      <c r="G61"/>
      <c r="H61"/>
      <c r="I61"/>
      <c r="J61" s="79" t="e">
        <f>VLOOKUP(A61,Table1[[Unit Number]:[NO. OF BEDROOMS]],2,FALSE)</f>
        <v>#N/A</v>
      </c>
    </row>
    <row r="62" spans="1:10" x14ac:dyDescent="0.25">
      <c r="A62"/>
      <c r="B62"/>
      <c r="C62"/>
      <c r="D62"/>
      <c r="E62"/>
      <c r="F62"/>
      <c r="G62"/>
      <c r="H62"/>
      <c r="I62"/>
      <c r="J62" s="79" t="e">
        <f>VLOOKUP(A62,Table1[[Unit Number]:[NO. OF BEDROOMS]],2,FALSE)</f>
        <v>#N/A</v>
      </c>
    </row>
    <row r="63" spans="1:10" x14ac:dyDescent="0.25">
      <c r="A63"/>
      <c r="B63"/>
      <c r="C63"/>
      <c r="D63"/>
      <c r="E63"/>
      <c r="F63"/>
      <c r="G63"/>
      <c r="H63"/>
      <c r="I63"/>
      <c r="J63" s="79" t="e">
        <f>VLOOKUP(A63,Table1[[Unit Number]:[NO. OF BEDROOMS]],2,FALSE)</f>
        <v>#N/A</v>
      </c>
    </row>
    <row r="64" spans="1:10" x14ac:dyDescent="0.25">
      <c r="A64"/>
      <c r="B64"/>
      <c r="C64"/>
      <c r="D64"/>
      <c r="E64"/>
      <c r="F64"/>
      <c r="G64"/>
      <c r="H64"/>
      <c r="I64"/>
      <c r="J64" s="79" t="e">
        <f>VLOOKUP(A64,Table1[[Unit Number]:[NO. OF BEDROOMS]],2,FALSE)</f>
        <v>#N/A</v>
      </c>
    </row>
    <row r="65" spans="1:10" x14ac:dyDescent="0.25">
      <c r="A65"/>
      <c r="B65"/>
      <c r="C65"/>
      <c r="D65"/>
      <c r="E65"/>
      <c r="F65"/>
      <c r="G65"/>
      <c r="H65"/>
      <c r="I65"/>
      <c r="J65" s="79" t="e">
        <f>VLOOKUP(A65,Table1[[Unit Number]:[NO. OF BEDROOMS]],2,FALSE)</f>
        <v>#N/A</v>
      </c>
    </row>
    <row r="66" spans="1:10" x14ac:dyDescent="0.25">
      <c r="A66"/>
      <c r="B66"/>
      <c r="C66"/>
      <c r="D66"/>
      <c r="E66"/>
      <c r="F66"/>
      <c r="G66"/>
      <c r="H66"/>
      <c r="I66"/>
      <c r="J66" s="79" t="e">
        <f>VLOOKUP(A66,Table1[[Unit Number]:[NO. OF BEDROOMS]],2,FALSE)</f>
        <v>#N/A</v>
      </c>
    </row>
    <row r="67" spans="1:10" x14ac:dyDescent="0.25">
      <c r="A67"/>
      <c r="B67"/>
      <c r="C67"/>
      <c r="D67"/>
      <c r="E67"/>
      <c r="F67"/>
      <c r="G67"/>
      <c r="H67"/>
      <c r="I67"/>
      <c r="J67" s="79" t="e">
        <f>VLOOKUP(A67,Table1[[Unit Number]:[NO. OF BEDROOMS]],2,FALSE)</f>
        <v>#N/A</v>
      </c>
    </row>
    <row r="68" spans="1:10" x14ac:dyDescent="0.25">
      <c r="A68"/>
      <c r="B68"/>
      <c r="C68"/>
      <c r="D68"/>
      <c r="E68"/>
      <c r="F68"/>
      <c r="G68"/>
      <c r="H68"/>
      <c r="I68"/>
      <c r="J68" s="79" t="e">
        <f>VLOOKUP(A68,Table1[[Unit Number]:[NO. OF BEDROOMS]],2,FALSE)</f>
        <v>#N/A</v>
      </c>
    </row>
    <row r="69" spans="1:10" x14ac:dyDescent="0.25">
      <c r="A69"/>
      <c r="B69"/>
      <c r="C69"/>
      <c r="D69"/>
      <c r="E69"/>
      <c r="F69"/>
      <c r="G69"/>
      <c r="H69"/>
      <c r="I69"/>
      <c r="J69" s="79" t="e">
        <f>VLOOKUP(A69,Table1[[Unit Number]:[NO. OF BEDROOMS]],2,FALSE)</f>
        <v>#N/A</v>
      </c>
    </row>
    <row r="70" spans="1:10" x14ac:dyDescent="0.25">
      <c r="A70"/>
      <c r="B70"/>
      <c r="C70"/>
      <c r="D70"/>
      <c r="E70"/>
      <c r="F70"/>
      <c r="G70"/>
      <c r="H70"/>
      <c r="I70"/>
      <c r="J70" s="79" t="e">
        <f>VLOOKUP(A70,Table1[[Unit Number]:[NO. OF BEDROOMS]],2,FALSE)</f>
        <v>#N/A</v>
      </c>
    </row>
    <row r="71" spans="1:10" x14ac:dyDescent="0.25">
      <c r="A71"/>
      <c r="B71"/>
      <c r="C71"/>
      <c r="D71"/>
      <c r="E71"/>
      <c r="F71"/>
      <c r="G71"/>
      <c r="H71"/>
      <c r="I71"/>
      <c r="J71" s="79" t="e">
        <f>VLOOKUP(A71,Table1[[Unit Number]:[NO. OF BEDROOMS]],2,FALSE)</f>
        <v>#N/A</v>
      </c>
    </row>
    <row r="72" spans="1:10" x14ac:dyDescent="0.25">
      <c r="A72"/>
      <c r="B72"/>
      <c r="C72"/>
      <c r="D72"/>
      <c r="E72"/>
      <c r="F72"/>
      <c r="G72"/>
      <c r="H72"/>
      <c r="I72"/>
      <c r="J72" s="79" t="e">
        <f>VLOOKUP(A72,Table1[[Unit Number]:[NO. OF BEDROOMS]],2,FALSE)</f>
        <v>#N/A</v>
      </c>
    </row>
    <row r="73" spans="1:10" x14ac:dyDescent="0.25">
      <c r="A73"/>
      <c r="B73"/>
      <c r="C73"/>
      <c r="D73"/>
      <c r="E73"/>
      <c r="F73"/>
      <c r="G73"/>
      <c r="H73"/>
      <c r="I73"/>
      <c r="J73" s="79" t="e">
        <f>VLOOKUP(A73,Table1[[Unit Number]:[NO. OF BEDROOMS]],2,FALSE)</f>
        <v>#N/A</v>
      </c>
    </row>
    <row r="74" spans="1:10" x14ac:dyDescent="0.25">
      <c r="A74"/>
      <c r="B74"/>
      <c r="C74"/>
      <c r="D74"/>
      <c r="E74"/>
      <c r="F74"/>
      <c r="G74"/>
      <c r="H74"/>
      <c r="I74"/>
      <c r="J74" s="79" t="e">
        <f>VLOOKUP(A74,Table1[[Unit Number]:[NO. OF BEDROOMS]],2,FALSE)</f>
        <v>#N/A</v>
      </c>
    </row>
    <row r="75" spans="1:10" x14ac:dyDescent="0.25">
      <c r="A75"/>
      <c r="B75"/>
      <c r="C75"/>
      <c r="D75"/>
      <c r="E75"/>
      <c r="F75"/>
      <c r="G75"/>
      <c r="H75"/>
      <c r="I75"/>
      <c r="J75" s="79" t="e">
        <f>VLOOKUP(A75,Table1[[Unit Number]:[NO. OF BEDROOMS]],2,FALSE)</f>
        <v>#N/A</v>
      </c>
    </row>
    <row r="76" spans="1:10" x14ac:dyDescent="0.25">
      <c r="A76"/>
      <c r="B76"/>
      <c r="C76"/>
      <c r="D76"/>
      <c r="E76"/>
      <c r="F76"/>
      <c r="G76"/>
      <c r="H76"/>
      <c r="I76"/>
      <c r="J76" s="79" t="e">
        <f>VLOOKUP(A76,Table1[[Unit Number]:[NO. OF BEDROOMS]],2,FALSE)</f>
        <v>#N/A</v>
      </c>
    </row>
    <row r="77" spans="1:10" x14ac:dyDescent="0.25">
      <c r="A77"/>
      <c r="B77"/>
      <c r="C77"/>
      <c r="D77"/>
      <c r="E77"/>
      <c r="F77"/>
      <c r="G77"/>
      <c r="H77"/>
      <c r="I77"/>
      <c r="J77" s="79" t="e">
        <f>VLOOKUP(A77,Table1[[Unit Number]:[NO. OF BEDROOMS]],2,FALSE)</f>
        <v>#N/A</v>
      </c>
    </row>
    <row r="78" spans="1:10" x14ac:dyDescent="0.25">
      <c r="A78"/>
      <c r="B78"/>
      <c r="C78"/>
      <c r="D78"/>
      <c r="E78"/>
      <c r="F78"/>
      <c r="G78"/>
      <c r="H78"/>
      <c r="I78"/>
      <c r="J78" s="79" t="e">
        <f>VLOOKUP(A78,Table1[[Unit Number]:[NO. OF BEDROOMS]],2,FALSE)</f>
        <v>#N/A</v>
      </c>
    </row>
    <row r="79" spans="1:10" x14ac:dyDescent="0.25">
      <c r="A79"/>
      <c r="B79"/>
      <c r="C79"/>
      <c r="D79"/>
      <c r="E79"/>
      <c r="F79"/>
      <c r="G79"/>
      <c r="H79"/>
      <c r="I79"/>
      <c r="J79" s="79" t="e">
        <f>VLOOKUP(A79,Table1[[Unit Number]:[NO. OF BEDROOMS]],2,FALSE)</f>
        <v>#N/A</v>
      </c>
    </row>
    <row r="80" spans="1:10" x14ac:dyDescent="0.25">
      <c r="A80"/>
      <c r="B80"/>
      <c r="C80"/>
      <c r="D80"/>
      <c r="E80"/>
      <c r="F80"/>
      <c r="G80"/>
      <c r="H80"/>
      <c r="I80"/>
      <c r="J80" s="79" t="e">
        <f>VLOOKUP(A80,Table1[[Unit Number]:[NO. OF BEDROOMS]],2,FALSE)</f>
        <v>#N/A</v>
      </c>
    </row>
    <row r="81" spans="1:10" x14ac:dyDescent="0.25">
      <c r="A81"/>
      <c r="B81"/>
      <c r="C81"/>
      <c r="D81"/>
      <c r="E81"/>
      <c r="F81"/>
      <c r="G81"/>
      <c r="H81"/>
      <c r="I81"/>
      <c r="J81" s="79" t="e">
        <f>VLOOKUP(A81,Table1[[Unit Number]:[NO. OF BEDROOMS]],2,FALSE)</f>
        <v>#N/A</v>
      </c>
    </row>
    <row r="82" spans="1:10" x14ac:dyDescent="0.25">
      <c r="A82"/>
      <c r="B82"/>
      <c r="C82"/>
      <c r="D82"/>
      <c r="E82"/>
      <c r="F82"/>
      <c r="G82"/>
      <c r="H82"/>
      <c r="I82"/>
      <c r="J82" s="79" t="e">
        <f>VLOOKUP(A82,Table1[[Unit Number]:[NO. OF BEDROOMS]],2,FALSE)</f>
        <v>#N/A</v>
      </c>
    </row>
    <row r="83" spans="1:10" x14ac:dyDescent="0.25">
      <c r="A83"/>
      <c r="B83"/>
      <c r="C83"/>
      <c r="D83"/>
      <c r="E83"/>
      <c r="F83"/>
      <c r="G83"/>
      <c r="H83"/>
      <c r="I83"/>
      <c r="J83" s="79" t="e">
        <f>VLOOKUP(A83,Table1[[Unit Number]:[NO. OF BEDROOMS]],2,FALSE)</f>
        <v>#N/A</v>
      </c>
    </row>
    <row r="84" spans="1:10" x14ac:dyDescent="0.25">
      <c r="A84"/>
      <c r="B84"/>
      <c r="C84"/>
      <c r="D84"/>
      <c r="E84"/>
      <c r="F84"/>
      <c r="G84"/>
      <c r="H84"/>
      <c r="I84"/>
      <c r="J84" s="79" t="e">
        <f>VLOOKUP(A84,Table1[[Unit Number]:[NO. OF BEDROOMS]],2,FALSE)</f>
        <v>#N/A</v>
      </c>
    </row>
    <row r="85" spans="1:10" x14ac:dyDescent="0.25">
      <c r="A85"/>
      <c r="B85"/>
      <c r="C85"/>
      <c r="D85"/>
      <c r="E85"/>
      <c r="F85"/>
      <c r="G85"/>
      <c r="H85"/>
      <c r="I85"/>
      <c r="J85" s="79" t="e">
        <f>VLOOKUP(A85,Table1[[Unit Number]:[NO. OF BEDROOMS]],2,FALSE)</f>
        <v>#N/A</v>
      </c>
    </row>
    <row r="86" spans="1:10" x14ac:dyDescent="0.25">
      <c r="A86"/>
      <c r="B86"/>
      <c r="C86"/>
      <c r="D86"/>
      <c r="E86"/>
      <c r="F86"/>
      <c r="G86"/>
      <c r="H86"/>
      <c r="I86"/>
      <c r="J86" s="79" t="e">
        <f>VLOOKUP(A86,Table1[[Unit Number]:[NO. OF BEDROOMS]],2,FALSE)</f>
        <v>#N/A</v>
      </c>
    </row>
    <row r="87" spans="1:10" x14ac:dyDescent="0.25">
      <c r="A87"/>
      <c r="B87"/>
      <c r="C87"/>
      <c r="D87"/>
      <c r="E87"/>
      <c r="F87"/>
      <c r="G87"/>
      <c r="H87"/>
      <c r="I87"/>
      <c r="J87" s="79" t="e">
        <f>VLOOKUP(A87,Table1[[Unit Number]:[NO. OF BEDROOMS]],2,FALSE)</f>
        <v>#N/A</v>
      </c>
    </row>
    <row r="88" spans="1:10" x14ac:dyDescent="0.25">
      <c r="A88"/>
      <c r="B88"/>
      <c r="C88"/>
      <c r="D88"/>
      <c r="E88"/>
      <c r="F88"/>
      <c r="G88"/>
      <c r="H88"/>
      <c r="I88"/>
      <c r="J88" s="79" t="e">
        <f>VLOOKUP(A88,Table1[[Unit Number]:[NO. OF BEDROOMS]],2,FALSE)</f>
        <v>#N/A</v>
      </c>
    </row>
    <row r="89" spans="1:10" x14ac:dyDescent="0.25">
      <c r="A89"/>
      <c r="B89"/>
      <c r="C89"/>
      <c r="D89"/>
      <c r="E89"/>
      <c r="F89"/>
      <c r="G89"/>
      <c r="H89"/>
      <c r="I89"/>
      <c r="J89" s="79" t="e">
        <f>VLOOKUP(A89,Table1[[Unit Number]:[NO. OF BEDROOMS]],2,FALSE)</f>
        <v>#N/A</v>
      </c>
    </row>
    <row r="90" spans="1:10" x14ac:dyDescent="0.25">
      <c r="A90"/>
      <c r="B90"/>
      <c r="C90"/>
      <c r="D90"/>
      <c r="E90"/>
      <c r="F90"/>
      <c r="G90"/>
      <c r="H90"/>
      <c r="I90"/>
      <c r="J90" s="79" t="e">
        <f>VLOOKUP(A90,Table1[[Unit Number]:[NO. OF BEDROOMS]],2,FALSE)</f>
        <v>#N/A</v>
      </c>
    </row>
    <row r="91" spans="1:10" x14ac:dyDescent="0.25">
      <c r="A91"/>
      <c r="B91"/>
      <c r="C91"/>
      <c r="D91"/>
      <c r="E91"/>
      <c r="F91"/>
      <c r="G91"/>
      <c r="H91"/>
      <c r="I91"/>
      <c r="J91" s="79" t="e">
        <f>VLOOKUP(A91,Table1[[Unit Number]:[NO. OF BEDROOMS]],2,FALSE)</f>
        <v>#N/A</v>
      </c>
    </row>
    <row r="92" spans="1:10" x14ac:dyDescent="0.25">
      <c r="A92"/>
      <c r="B92"/>
      <c r="C92"/>
      <c r="D92"/>
      <c r="E92"/>
      <c r="F92"/>
      <c r="G92"/>
      <c r="H92"/>
      <c r="I92"/>
      <c r="J92" s="79" t="e">
        <f>VLOOKUP(A92,Table1[[Unit Number]:[NO. OF BEDROOMS]],2,FALSE)</f>
        <v>#N/A</v>
      </c>
    </row>
    <row r="93" spans="1:10" x14ac:dyDescent="0.25">
      <c r="A93"/>
      <c r="B93"/>
      <c r="C93"/>
      <c r="D93"/>
      <c r="E93"/>
      <c r="F93"/>
      <c r="G93"/>
      <c r="H93"/>
      <c r="I93"/>
      <c r="J93" s="79" t="e">
        <f>VLOOKUP(A93,Table1[[Unit Number]:[NO. OF BEDROOMS]],2,FALSE)</f>
        <v>#N/A</v>
      </c>
    </row>
    <row r="94" spans="1:10" x14ac:dyDescent="0.25">
      <c r="A94"/>
      <c r="B94"/>
      <c r="C94"/>
      <c r="D94"/>
      <c r="E94"/>
      <c r="F94"/>
      <c r="G94"/>
      <c r="H94"/>
      <c r="I94"/>
      <c r="J94" s="79" t="e">
        <f>VLOOKUP(A94,Table1[[Unit Number]:[NO. OF BEDROOMS]],2,FALSE)</f>
        <v>#N/A</v>
      </c>
    </row>
    <row r="95" spans="1:10" x14ac:dyDescent="0.25">
      <c r="A95"/>
      <c r="B95"/>
      <c r="C95"/>
      <c r="D95"/>
      <c r="E95"/>
      <c r="F95"/>
      <c r="G95"/>
      <c r="H95"/>
      <c r="I95"/>
      <c r="J95" s="79" t="e">
        <f>VLOOKUP(A95,Table1[[Unit Number]:[NO. OF BEDROOMS]],2,FALSE)</f>
        <v>#N/A</v>
      </c>
    </row>
    <row r="96" spans="1:10" x14ac:dyDescent="0.25">
      <c r="A96"/>
      <c r="B96"/>
      <c r="C96"/>
      <c r="D96"/>
      <c r="E96"/>
      <c r="F96"/>
      <c r="G96"/>
      <c r="H96"/>
      <c r="I96"/>
      <c r="J96" s="79" t="e">
        <f>VLOOKUP(A96,Table1[[Unit Number]:[NO. OF BEDROOMS]],2,FALSE)</f>
        <v>#N/A</v>
      </c>
    </row>
    <row r="97" spans="1:10" x14ac:dyDescent="0.25">
      <c r="A97"/>
      <c r="B97"/>
      <c r="C97"/>
      <c r="D97"/>
      <c r="E97"/>
      <c r="F97"/>
      <c r="G97"/>
      <c r="H97"/>
      <c r="I97"/>
      <c r="J97" s="79" t="e">
        <f>VLOOKUP(A97,Table1[[Unit Number]:[NO. OF BEDROOMS]],2,FALSE)</f>
        <v>#N/A</v>
      </c>
    </row>
    <row r="98" spans="1:10" x14ac:dyDescent="0.25">
      <c r="A98"/>
      <c r="B98"/>
      <c r="C98"/>
      <c r="D98"/>
      <c r="E98"/>
      <c r="F98"/>
      <c r="G98"/>
      <c r="H98"/>
      <c r="I98"/>
      <c r="J98" s="79" t="e">
        <f>VLOOKUP(A98,Table1[[Unit Number]:[NO. OF BEDROOMS]],2,FALSE)</f>
        <v>#N/A</v>
      </c>
    </row>
    <row r="99" spans="1:10" x14ac:dyDescent="0.25">
      <c r="A99"/>
      <c r="B99"/>
      <c r="C99"/>
      <c r="D99"/>
      <c r="E99"/>
      <c r="F99"/>
      <c r="G99"/>
      <c r="H99"/>
      <c r="I99"/>
      <c r="J99" s="79" t="e">
        <f>VLOOKUP(A99,Table1[[Unit Number]:[NO. OF BEDROOMS]],2,FALSE)</f>
        <v>#N/A</v>
      </c>
    </row>
    <row r="100" spans="1:10" x14ac:dyDescent="0.25">
      <c r="A100"/>
      <c r="B100"/>
      <c r="C100"/>
      <c r="D100"/>
      <c r="E100"/>
      <c r="F100"/>
      <c r="G100"/>
      <c r="H100"/>
      <c r="I100"/>
      <c r="J100" s="79" t="e">
        <f>VLOOKUP(A100,Table1[[Unit Number]:[NO. OF BEDROOMS]],2,FALSE)</f>
        <v>#N/A</v>
      </c>
    </row>
    <row r="101" spans="1:10" x14ac:dyDescent="0.25">
      <c r="A101"/>
      <c r="B101"/>
      <c r="C101"/>
      <c r="D101"/>
      <c r="E101"/>
      <c r="F101"/>
      <c r="G101"/>
      <c r="H101"/>
      <c r="I101"/>
      <c r="J101" s="79" t="e">
        <f>VLOOKUP(A101,Table1[[Unit Number]:[NO. OF BEDROOMS]],2,FALSE)</f>
        <v>#N/A</v>
      </c>
    </row>
    <row r="102" spans="1:10" x14ac:dyDescent="0.25">
      <c r="A102"/>
      <c r="B102"/>
      <c r="C102"/>
      <c r="D102"/>
      <c r="E102"/>
      <c r="F102"/>
      <c r="G102"/>
      <c r="H102"/>
      <c r="I102"/>
      <c r="J102" s="79" t="e">
        <f>VLOOKUP(A102,Table1[[Unit Number]:[NO. OF BEDROOMS]],2,FALSE)</f>
        <v>#N/A</v>
      </c>
    </row>
    <row r="103" spans="1:10" x14ac:dyDescent="0.25">
      <c r="A103"/>
      <c r="B103"/>
      <c r="C103"/>
      <c r="D103"/>
      <c r="E103"/>
      <c r="F103"/>
      <c r="G103"/>
      <c r="H103"/>
      <c r="I103"/>
      <c r="J103" s="79" t="e">
        <f>VLOOKUP(A103,Table1[[Unit Number]:[NO. OF BEDROOMS]],2,FALSE)</f>
        <v>#N/A</v>
      </c>
    </row>
    <row r="104" spans="1:10" x14ac:dyDescent="0.25">
      <c r="A104"/>
      <c r="B104"/>
      <c r="C104"/>
      <c r="D104"/>
      <c r="E104"/>
      <c r="F104"/>
      <c r="G104"/>
      <c r="H104"/>
      <c r="I104"/>
      <c r="J104" s="79" t="e">
        <f>VLOOKUP(A104,Table1[[Unit Number]:[NO. OF BEDROOMS]],2,FALSE)</f>
        <v>#N/A</v>
      </c>
    </row>
    <row r="105" spans="1:10" x14ac:dyDescent="0.25">
      <c r="A105"/>
      <c r="B105"/>
      <c r="C105"/>
      <c r="D105"/>
      <c r="E105"/>
      <c r="F105"/>
      <c r="G105"/>
      <c r="H105"/>
      <c r="I105"/>
      <c r="J105" s="79" t="e">
        <f>VLOOKUP(A105,Table1[[Unit Number]:[NO. OF BEDROOMS]],2,FALSE)</f>
        <v>#N/A</v>
      </c>
    </row>
    <row r="106" spans="1:10" x14ac:dyDescent="0.25">
      <c r="A106"/>
      <c r="B106"/>
      <c r="C106"/>
      <c r="D106"/>
      <c r="E106"/>
      <c r="F106"/>
      <c r="G106"/>
      <c r="H106"/>
      <c r="I106"/>
      <c r="J106" s="79" t="e">
        <f>VLOOKUP(A106,Table1[[Unit Number]:[NO. OF BEDROOMS]],2,FALSE)</f>
        <v>#N/A</v>
      </c>
    </row>
    <row r="107" spans="1:10" x14ac:dyDescent="0.25">
      <c r="A107"/>
      <c r="B107"/>
      <c r="C107"/>
      <c r="D107"/>
      <c r="E107"/>
      <c r="F107"/>
      <c r="G107"/>
      <c r="H107"/>
      <c r="I107"/>
      <c r="J107" s="79" t="e">
        <f>VLOOKUP(A107,Table1[[Unit Number]:[NO. OF BEDROOMS]],2,FALSE)</f>
        <v>#N/A</v>
      </c>
    </row>
    <row r="108" spans="1:10" x14ac:dyDescent="0.25">
      <c r="A108"/>
      <c r="B108"/>
      <c r="C108"/>
      <c r="D108"/>
      <c r="E108"/>
      <c r="F108"/>
      <c r="G108"/>
      <c r="H108"/>
      <c r="I108"/>
      <c r="J108" s="79" t="e">
        <f>VLOOKUP(A108,Table1[[Unit Number]:[NO. OF BEDROOMS]],2,FALSE)</f>
        <v>#N/A</v>
      </c>
    </row>
    <row r="109" spans="1:10" x14ac:dyDescent="0.25">
      <c r="A109"/>
      <c r="B109"/>
      <c r="C109"/>
      <c r="D109"/>
      <c r="E109"/>
      <c r="F109"/>
      <c r="G109"/>
      <c r="H109"/>
      <c r="I109"/>
      <c r="J109" s="79" t="e">
        <f>VLOOKUP(A109,Table1[[Unit Number]:[NO. OF BEDROOMS]],2,FALSE)</f>
        <v>#N/A</v>
      </c>
    </row>
    <row r="110" spans="1:10" x14ac:dyDescent="0.25">
      <c r="A110"/>
      <c r="B110"/>
      <c r="C110"/>
      <c r="D110"/>
      <c r="E110"/>
      <c r="F110"/>
      <c r="G110"/>
      <c r="H110"/>
      <c r="I110"/>
      <c r="J110" s="79" t="e">
        <f>VLOOKUP(A110,Table1[[Unit Number]:[NO. OF BEDROOMS]],2,FALSE)</f>
        <v>#N/A</v>
      </c>
    </row>
    <row r="111" spans="1:10" x14ac:dyDescent="0.25">
      <c r="A111"/>
      <c r="B111"/>
      <c r="C111"/>
      <c r="D111"/>
      <c r="E111"/>
      <c r="F111"/>
      <c r="G111"/>
      <c r="H111"/>
      <c r="I111"/>
      <c r="J111" s="79" t="e">
        <f>VLOOKUP(A111,Table1[[Unit Number]:[NO. OF BEDROOMS]],2,FALSE)</f>
        <v>#N/A</v>
      </c>
    </row>
    <row r="112" spans="1:10" x14ac:dyDescent="0.25">
      <c r="A112"/>
      <c r="B112"/>
      <c r="C112"/>
      <c r="D112"/>
      <c r="E112"/>
      <c r="F112"/>
      <c r="G112"/>
      <c r="H112"/>
      <c r="I112"/>
      <c r="J112" s="79" t="e">
        <f>VLOOKUP(A112,Table1[[Unit Number]:[NO. OF BEDROOMS]],2,FALSE)</f>
        <v>#N/A</v>
      </c>
    </row>
    <row r="113" spans="1:10" x14ac:dyDescent="0.25">
      <c r="A113"/>
      <c r="B113"/>
      <c r="C113"/>
      <c r="D113"/>
      <c r="E113"/>
      <c r="F113"/>
      <c r="G113"/>
      <c r="H113"/>
      <c r="I113"/>
      <c r="J113" s="79" t="e">
        <f>VLOOKUP(A113,Table1[[Unit Number]:[NO. OF BEDROOMS]],2,FALSE)</f>
        <v>#N/A</v>
      </c>
    </row>
    <row r="114" spans="1:10" x14ac:dyDescent="0.25">
      <c r="A114"/>
      <c r="B114"/>
      <c r="C114"/>
      <c r="D114"/>
      <c r="E114"/>
      <c r="F114"/>
      <c r="G114"/>
      <c r="H114"/>
      <c r="I114"/>
      <c r="J114" s="79" t="e">
        <f>VLOOKUP(A114,Table1[[Unit Number]:[NO. OF BEDROOMS]],2,FALSE)</f>
        <v>#N/A</v>
      </c>
    </row>
    <row r="115" spans="1:10" x14ac:dyDescent="0.25">
      <c r="A115"/>
      <c r="B115"/>
      <c r="C115"/>
      <c r="D115"/>
      <c r="E115"/>
      <c r="F115"/>
      <c r="G115"/>
      <c r="H115"/>
      <c r="I115"/>
      <c r="J115" s="79" t="e">
        <f>VLOOKUP(A115,Table1[[Unit Number]:[NO. OF BEDROOMS]],2,FALSE)</f>
        <v>#N/A</v>
      </c>
    </row>
    <row r="116" spans="1:10" x14ac:dyDescent="0.25">
      <c r="A116"/>
      <c r="B116"/>
      <c r="C116"/>
      <c r="D116"/>
      <c r="E116"/>
      <c r="F116"/>
      <c r="G116"/>
      <c r="H116"/>
      <c r="I116"/>
      <c r="J116" s="79" t="e">
        <f>VLOOKUP(A116,Table1[[Unit Number]:[NO. OF BEDROOMS]],2,FALSE)</f>
        <v>#N/A</v>
      </c>
    </row>
    <row r="117" spans="1:10" x14ac:dyDescent="0.25">
      <c r="A117"/>
      <c r="B117"/>
      <c r="C117"/>
      <c r="D117"/>
      <c r="E117"/>
      <c r="F117"/>
      <c r="G117"/>
      <c r="H117"/>
      <c r="I117"/>
      <c r="J117" s="79" t="e">
        <f>VLOOKUP(A117,Table1[[Unit Number]:[NO. OF BEDROOMS]],2,FALSE)</f>
        <v>#N/A</v>
      </c>
    </row>
    <row r="118" spans="1:10" x14ac:dyDescent="0.25">
      <c r="A118"/>
      <c r="B118"/>
      <c r="C118"/>
      <c r="D118"/>
      <c r="E118"/>
      <c r="F118"/>
      <c r="G118"/>
      <c r="H118"/>
      <c r="I118"/>
      <c r="J118" s="79" t="e">
        <f>VLOOKUP(A118,Table1[[Unit Number]:[NO. OF BEDROOMS]],2,FALSE)</f>
        <v>#N/A</v>
      </c>
    </row>
    <row r="119" spans="1:10" x14ac:dyDescent="0.25">
      <c r="A119"/>
      <c r="B119"/>
      <c r="C119"/>
      <c r="D119"/>
      <c r="E119"/>
      <c r="F119"/>
      <c r="G119"/>
      <c r="H119"/>
      <c r="I119"/>
      <c r="J119" s="79" t="e">
        <f>VLOOKUP(A119,Table1[[Unit Number]:[NO. OF BEDROOMS]],2,FALSE)</f>
        <v>#N/A</v>
      </c>
    </row>
    <row r="120" spans="1:10" x14ac:dyDescent="0.25">
      <c r="A120"/>
      <c r="B120"/>
      <c r="C120"/>
      <c r="D120"/>
      <c r="E120"/>
      <c r="F120"/>
      <c r="G120"/>
      <c r="H120"/>
      <c r="I120"/>
      <c r="J120" s="79" t="e">
        <f>VLOOKUP(A120,Table1[[Unit Number]:[NO. OF BEDROOMS]],2,FALSE)</f>
        <v>#N/A</v>
      </c>
    </row>
    <row r="121" spans="1:10" x14ac:dyDescent="0.25">
      <c r="A121"/>
      <c r="B121"/>
      <c r="C121"/>
      <c r="D121"/>
      <c r="E121"/>
      <c r="F121"/>
      <c r="G121"/>
      <c r="H121"/>
      <c r="I121"/>
      <c r="J121" s="79" t="e">
        <f>VLOOKUP(A121,Table1[[Unit Number]:[NO. OF BEDROOMS]],2,FALSE)</f>
        <v>#N/A</v>
      </c>
    </row>
    <row r="122" spans="1:10" x14ac:dyDescent="0.25">
      <c r="A122"/>
      <c r="B122"/>
      <c r="C122"/>
      <c r="D122"/>
      <c r="E122"/>
      <c r="F122"/>
      <c r="G122"/>
      <c r="H122"/>
      <c r="I122"/>
      <c r="J122" s="79" t="e">
        <f>VLOOKUP(A122,Table1[[Unit Number]:[NO. OF BEDROOMS]],2,FALSE)</f>
        <v>#N/A</v>
      </c>
    </row>
    <row r="123" spans="1:10" x14ac:dyDescent="0.25">
      <c r="A123"/>
      <c r="B123"/>
      <c r="C123"/>
      <c r="D123"/>
      <c r="E123"/>
      <c r="F123"/>
      <c r="G123"/>
      <c r="H123"/>
      <c r="I123"/>
      <c r="J123" s="79" t="e">
        <f>VLOOKUP(A123,Table1[[Unit Number]:[NO. OF BEDROOMS]],2,FALSE)</f>
        <v>#N/A</v>
      </c>
    </row>
    <row r="124" spans="1:10" x14ac:dyDescent="0.25">
      <c r="A124"/>
      <c r="B124"/>
      <c r="C124"/>
      <c r="D124"/>
      <c r="E124"/>
      <c r="F124"/>
      <c r="G124"/>
      <c r="H124"/>
      <c r="I124"/>
      <c r="J124" s="79" t="e">
        <f>VLOOKUP(A124,Table1[[Unit Number]:[NO. OF BEDROOMS]],2,FALSE)</f>
        <v>#N/A</v>
      </c>
    </row>
    <row r="125" spans="1:10" x14ac:dyDescent="0.25">
      <c r="A125"/>
      <c r="B125"/>
      <c r="C125"/>
      <c r="D125"/>
      <c r="E125"/>
      <c r="F125"/>
      <c r="G125"/>
      <c r="H125"/>
      <c r="I125"/>
      <c r="J125" s="79" t="e">
        <f>VLOOKUP(A125,Table1[[Unit Number]:[NO. OF BEDROOMS]],2,FALSE)</f>
        <v>#N/A</v>
      </c>
    </row>
    <row r="126" spans="1:10" x14ac:dyDescent="0.25">
      <c r="A126"/>
      <c r="B126"/>
      <c r="C126"/>
      <c r="D126"/>
      <c r="E126"/>
      <c r="F126"/>
      <c r="G126"/>
      <c r="H126"/>
      <c r="I126"/>
      <c r="J126" s="79" t="e">
        <f>VLOOKUP(A126,Table1[[Unit Number]:[NO. OF BEDROOMS]],2,FALSE)</f>
        <v>#N/A</v>
      </c>
    </row>
    <row r="127" spans="1:10" x14ac:dyDescent="0.25">
      <c r="A127"/>
      <c r="B127"/>
      <c r="C127"/>
      <c r="D127"/>
      <c r="E127"/>
      <c r="F127"/>
      <c r="G127"/>
      <c r="H127"/>
      <c r="I127"/>
      <c r="J127" s="79" t="e">
        <f>VLOOKUP(A127,Table1[[Unit Number]:[NO. OF BEDROOMS]],2,FALSE)</f>
        <v>#N/A</v>
      </c>
    </row>
    <row r="128" spans="1:10" x14ac:dyDescent="0.25">
      <c r="A128"/>
      <c r="B128"/>
      <c r="C128"/>
      <c r="D128"/>
      <c r="E128"/>
      <c r="F128"/>
      <c r="G128"/>
      <c r="H128"/>
      <c r="I128"/>
      <c r="J128" s="79" t="e">
        <f>VLOOKUP(A128,Table1[[Unit Number]:[NO. OF BEDROOMS]],2,FALSE)</f>
        <v>#N/A</v>
      </c>
    </row>
    <row r="129" spans="1:10" x14ac:dyDescent="0.25">
      <c r="A129"/>
      <c r="B129"/>
      <c r="C129"/>
      <c r="D129"/>
      <c r="E129"/>
      <c r="F129"/>
      <c r="G129"/>
      <c r="H129"/>
      <c r="I129"/>
      <c r="J129" s="79" t="e">
        <f>VLOOKUP(A129,Table1[[Unit Number]:[NO. OF BEDROOMS]],2,FALSE)</f>
        <v>#N/A</v>
      </c>
    </row>
    <row r="130" spans="1:10" x14ac:dyDescent="0.25">
      <c r="A130"/>
      <c r="B130"/>
      <c r="C130"/>
      <c r="D130"/>
      <c r="E130"/>
      <c r="F130"/>
      <c r="G130"/>
      <c r="H130"/>
      <c r="I130"/>
      <c r="J130" s="79" t="e">
        <f>VLOOKUP(A130,Table1[[Unit Number]:[NO. OF BEDROOMS]],2,FALSE)</f>
        <v>#N/A</v>
      </c>
    </row>
    <row r="131" spans="1:10" x14ac:dyDescent="0.25">
      <c r="A131"/>
      <c r="B131"/>
      <c r="C131"/>
      <c r="D131"/>
      <c r="E131"/>
      <c r="F131"/>
      <c r="G131"/>
      <c r="H131"/>
      <c r="I131"/>
      <c r="J131" s="79" t="e">
        <f>VLOOKUP(A131,Table1[[Unit Number]:[NO. OF BEDROOMS]],2,FALSE)</f>
        <v>#N/A</v>
      </c>
    </row>
    <row r="132" spans="1:10" x14ac:dyDescent="0.25">
      <c r="A132"/>
      <c r="B132"/>
      <c r="C132"/>
      <c r="D132"/>
      <c r="E132"/>
      <c r="F132"/>
      <c r="G132"/>
      <c r="H132"/>
      <c r="I132"/>
      <c r="J132" s="79" t="e">
        <f>VLOOKUP(A132,Table1[[Unit Number]:[NO. OF BEDROOMS]],2,FALSE)</f>
        <v>#N/A</v>
      </c>
    </row>
    <row r="133" spans="1:10" x14ac:dyDescent="0.25">
      <c r="A133"/>
      <c r="B133"/>
      <c r="C133"/>
      <c r="D133"/>
      <c r="E133"/>
      <c r="F133"/>
      <c r="G133"/>
      <c r="H133"/>
      <c r="I133"/>
      <c r="J133" s="79" t="e">
        <f>VLOOKUP(A133,Table1[[Unit Number]:[NO. OF BEDROOMS]],2,FALSE)</f>
        <v>#N/A</v>
      </c>
    </row>
    <row r="134" spans="1:10" x14ac:dyDescent="0.25">
      <c r="A134"/>
      <c r="B134"/>
      <c r="C134"/>
      <c r="D134"/>
      <c r="E134"/>
      <c r="F134"/>
      <c r="G134"/>
      <c r="H134"/>
      <c r="I134"/>
      <c r="J134" s="79" t="e">
        <f>VLOOKUP(A134,Table1[[Unit Number]:[NO. OF BEDROOMS]],2,FALSE)</f>
        <v>#N/A</v>
      </c>
    </row>
    <row r="135" spans="1:10" x14ac:dyDescent="0.25">
      <c r="A135"/>
      <c r="B135"/>
      <c r="C135"/>
      <c r="D135"/>
      <c r="E135"/>
      <c r="F135"/>
      <c r="G135"/>
      <c r="H135"/>
      <c r="I135"/>
      <c r="J135" s="79" t="e">
        <f>VLOOKUP(A135,Table1[[Unit Number]:[NO. OF BEDROOMS]],2,FALSE)</f>
        <v>#N/A</v>
      </c>
    </row>
    <row r="136" spans="1:10" x14ac:dyDescent="0.25">
      <c r="A136"/>
      <c r="B136"/>
      <c r="C136"/>
      <c r="D136"/>
      <c r="E136"/>
      <c r="F136"/>
      <c r="G136"/>
      <c r="H136"/>
      <c r="I136"/>
      <c r="J136" s="79" t="e">
        <f>VLOOKUP(A136,Table1[[Unit Number]:[NO. OF BEDROOMS]],2,FALSE)</f>
        <v>#N/A</v>
      </c>
    </row>
    <row r="137" spans="1:10" x14ac:dyDescent="0.25">
      <c r="A137"/>
      <c r="B137"/>
      <c r="C137"/>
      <c r="D137"/>
      <c r="E137"/>
      <c r="F137"/>
      <c r="G137"/>
      <c r="H137"/>
      <c r="I137"/>
      <c r="J137" s="79" t="e">
        <f>VLOOKUP(A137,Table1[[Unit Number]:[NO. OF BEDROOMS]],2,FALSE)</f>
        <v>#N/A</v>
      </c>
    </row>
    <row r="138" spans="1:10" x14ac:dyDescent="0.25">
      <c r="A138"/>
      <c r="B138"/>
      <c r="C138"/>
      <c r="D138"/>
      <c r="E138"/>
      <c r="F138"/>
      <c r="G138"/>
      <c r="H138"/>
      <c r="I138"/>
      <c r="J138" s="79" t="e">
        <f>VLOOKUP(A138,Table1[[Unit Number]:[NO. OF BEDROOMS]],2,FALSE)</f>
        <v>#N/A</v>
      </c>
    </row>
    <row r="139" spans="1:10" x14ac:dyDescent="0.25">
      <c r="A139"/>
      <c r="B139"/>
      <c r="C139"/>
      <c r="D139"/>
      <c r="E139"/>
      <c r="F139"/>
      <c r="G139"/>
      <c r="H139"/>
      <c r="I139"/>
      <c r="J139" s="79" t="e">
        <f>VLOOKUP(A139,Table1[[Unit Number]:[NO. OF BEDROOMS]],2,FALSE)</f>
        <v>#N/A</v>
      </c>
    </row>
    <row r="140" spans="1:10" x14ac:dyDescent="0.25">
      <c r="A140"/>
      <c r="B140"/>
      <c r="C140"/>
      <c r="D140"/>
      <c r="E140"/>
      <c r="F140"/>
      <c r="G140"/>
      <c r="H140"/>
      <c r="I140"/>
      <c r="J140" s="79" t="e">
        <f>VLOOKUP(A140,Table1[[Unit Number]:[NO. OF BEDROOMS]],2,FALSE)</f>
        <v>#N/A</v>
      </c>
    </row>
    <row r="141" spans="1:10" x14ac:dyDescent="0.25">
      <c r="A141"/>
      <c r="B141"/>
      <c r="C141"/>
      <c r="D141"/>
      <c r="E141"/>
      <c r="F141"/>
      <c r="G141"/>
      <c r="H141"/>
      <c r="I141"/>
      <c r="J141" s="79" t="e">
        <f>VLOOKUP(A141,Table1[[Unit Number]:[NO. OF BEDROOMS]],2,FALSE)</f>
        <v>#N/A</v>
      </c>
    </row>
    <row r="142" spans="1:10" x14ac:dyDescent="0.25">
      <c r="A142"/>
      <c r="B142"/>
      <c r="C142"/>
      <c r="D142"/>
      <c r="E142"/>
      <c r="F142"/>
      <c r="G142"/>
      <c r="H142"/>
      <c r="I142"/>
      <c r="J142" s="79" t="e">
        <f>VLOOKUP(A142,Table1[[Unit Number]:[NO. OF BEDROOMS]],2,FALSE)</f>
        <v>#N/A</v>
      </c>
    </row>
    <row r="143" spans="1:10" x14ac:dyDescent="0.25">
      <c r="A143"/>
      <c r="B143"/>
      <c r="C143"/>
      <c r="D143"/>
      <c r="E143"/>
      <c r="F143"/>
      <c r="G143"/>
      <c r="H143"/>
      <c r="I143"/>
      <c r="J143" s="79" t="e">
        <f>VLOOKUP(A143,Table1[[Unit Number]:[NO. OF BEDROOMS]],2,FALSE)</f>
        <v>#N/A</v>
      </c>
    </row>
    <row r="144" spans="1:10" x14ac:dyDescent="0.25">
      <c r="A144"/>
      <c r="B144"/>
      <c r="C144"/>
      <c r="D144"/>
      <c r="E144"/>
      <c r="F144"/>
      <c r="G144"/>
      <c r="H144"/>
      <c r="I144"/>
      <c r="J144" s="79" t="e">
        <f>VLOOKUP(A144,Table1[[Unit Number]:[NO. OF BEDROOMS]],2,FALSE)</f>
        <v>#N/A</v>
      </c>
    </row>
    <row r="145" spans="1:10" x14ac:dyDescent="0.25">
      <c r="A145"/>
      <c r="B145"/>
      <c r="C145"/>
      <c r="D145"/>
      <c r="E145"/>
      <c r="F145"/>
      <c r="G145"/>
      <c r="H145"/>
      <c r="I145"/>
      <c r="J145" s="79" t="e">
        <f>VLOOKUP(A145,Table1[[Unit Number]:[NO. OF BEDROOMS]],2,FALSE)</f>
        <v>#N/A</v>
      </c>
    </row>
    <row r="146" spans="1:10" x14ac:dyDescent="0.25">
      <c r="A146"/>
      <c r="B146"/>
      <c r="C146"/>
      <c r="D146"/>
      <c r="E146"/>
      <c r="F146"/>
      <c r="G146"/>
      <c r="H146"/>
      <c r="I146"/>
      <c r="J146" s="79" t="e">
        <f>VLOOKUP(A146,Table1[[Unit Number]:[NO. OF BEDROOMS]],2,FALSE)</f>
        <v>#N/A</v>
      </c>
    </row>
    <row r="147" spans="1:10" x14ac:dyDescent="0.25">
      <c r="A147"/>
      <c r="B147"/>
      <c r="C147"/>
      <c r="D147"/>
      <c r="E147"/>
      <c r="F147"/>
      <c r="G147"/>
      <c r="H147"/>
      <c r="I147"/>
      <c r="J147" s="79" t="e">
        <f>VLOOKUP(A147,Table1[[Unit Number]:[NO. OF BEDROOMS]],2,FALSE)</f>
        <v>#N/A</v>
      </c>
    </row>
    <row r="148" spans="1:10" x14ac:dyDescent="0.25">
      <c r="A148"/>
      <c r="B148"/>
      <c r="C148"/>
      <c r="D148"/>
      <c r="E148"/>
      <c r="F148"/>
      <c r="G148"/>
      <c r="H148"/>
      <c r="I148"/>
      <c r="J148" s="79" t="e">
        <f>VLOOKUP(A148,Table1[[Unit Number]:[NO. OF BEDROOMS]],2,FALSE)</f>
        <v>#N/A</v>
      </c>
    </row>
    <row r="149" spans="1:10" x14ac:dyDescent="0.25">
      <c r="A149"/>
      <c r="B149"/>
      <c r="C149"/>
      <c r="D149"/>
      <c r="E149"/>
      <c r="F149"/>
      <c r="G149"/>
      <c r="H149"/>
      <c r="I149"/>
      <c r="J149" s="79" t="e">
        <f>VLOOKUP(A149,Table1[[Unit Number]:[NO. OF BEDROOMS]],2,FALSE)</f>
        <v>#N/A</v>
      </c>
    </row>
    <row r="150" spans="1:10" x14ac:dyDescent="0.25">
      <c r="A150"/>
      <c r="B150"/>
      <c r="C150"/>
      <c r="D150"/>
      <c r="E150"/>
      <c r="F150"/>
      <c r="G150"/>
      <c r="H150"/>
      <c r="I150"/>
      <c r="J150" s="79" t="e">
        <f>VLOOKUP(A150,Table1[[Unit Number]:[NO. OF BEDROOMS]],2,FALSE)</f>
        <v>#N/A</v>
      </c>
    </row>
    <row r="151" spans="1:10" x14ac:dyDescent="0.25">
      <c r="A151"/>
      <c r="B151"/>
      <c r="C151"/>
      <c r="D151"/>
      <c r="E151"/>
      <c r="F151"/>
      <c r="G151"/>
      <c r="H151"/>
      <c r="I151"/>
      <c r="J151" s="79" t="e">
        <f>VLOOKUP(A151,Table1[[Unit Number]:[NO. OF BEDROOMS]],2,FALSE)</f>
        <v>#N/A</v>
      </c>
    </row>
    <row r="152" spans="1:10" x14ac:dyDescent="0.25">
      <c r="A152"/>
      <c r="B152"/>
      <c r="C152"/>
      <c r="D152"/>
      <c r="E152"/>
      <c r="F152"/>
      <c r="G152"/>
      <c r="H152"/>
      <c r="I152"/>
      <c r="J152" s="79" t="e">
        <f>VLOOKUP(A152,Table1[[Unit Number]:[NO. OF BEDROOMS]],2,FALSE)</f>
        <v>#N/A</v>
      </c>
    </row>
    <row r="153" spans="1:10" x14ac:dyDescent="0.25">
      <c r="A153"/>
      <c r="B153"/>
      <c r="C153"/>
      <c r="D153"/>
      <c r="E153"/>
      <c r="F153"/>
      <c r="G153"/>
      <c r="H153"/>
      <c r="I153"/>
      <c r="J153" s="79" t="e">
        <f>VLOOKUP(A153,Table1[[Unit Number]:[NO. OF BEDROOMS]],2,FALSE)</f>
        <v>#N/A</v>
      </c>
    </row>
    <row r="154" spans="1:10" x14ac:dyDescent="0.25">
      <c r="A154"/>
      <c r="B154"/>
      <c r="C154"/>
      <c r="D154"/>
      <c r="E154"/>
      <c r="F154"/>
      <c r="G154"/>
      <c r="H154"/>
      <c r="I154"/>
      <c r="J154" s="79" t="e">
        <f>VLOOKUP(A154,Table1[[Unit Number]:[NO. OF BEDROOMS]],2,FALSE)</f>
        <v>#N/A</v>
      </c>
    </row>
    <row r="155" spans="1:10" x14ac:dyDescent="0.25">
      <c r="A155"/>
      <c r="B155"/>
      <c r="C155"/>
      <c r="D155"/>
      <c r="E155"/>
      <c r="F155"/>
      <c r="G155"/>
      <c r="H155"/>
      <c r="I155"/>
      <c r="J155" s="79" t="e">
        <f>VLOOKUP(A155,Table1[[Unit Number]:[NO. OF BEDROOMS]],2,FALSE)</f>
        <v>#N/A</v>
      </c>
    </row>
    <row r="156" spans="1:10" x14ac:dyDescent="0.25">
      <c r="A156"/>
      <c r="B156"/>
      <c r="C156"/>
      <c r="D156"/>
      <c r="E156"/>
      <c r="F156"/>
      <c r="G156"/>
      <c r="H156"/>
      <c r="I156"/>
      <c r="J156" s="79" t="e">
        <f>VLOOKUP(A156,Table1[[Unit Number]:[NO. OF BEDROOMS]],2,FALSE)</f>
        <v>#N/A</v>
      </c>
    </row>
    <row r="157" spans="1:10" x14ac:dyDescent="0.25">
      <c r="A157"/>
      <c r="B157"/>
      <c r="C157"/>
      <c r="D157"/>
      <c r="E157"/>
      <c r="F157"/>
      <c r="G157"/>
      <c r="H157"/>
      <c r="I157"/>
      <c r="J157" s="79" t="e">
        <f>VLOOKUP(A157,Table1[[Unit Number]:[NO. OF BEDROOMS]],2,FALSE)</f>
        <v>#N/A</v>
      </c>
    </row>
    <row r="158" spans="1:10" x14ac:dyDescent="0.25">
      <c r="A158"/>
      <c r="B158"/>
      <c r="C158"/>
      <c r="D158"/>
      <c r="E158"/>
      <c r="F158"/>
      <c r="G158"/>
      <c r="H158"/>
      <c r="I158"/>
      <c r="J158" s="79" t="e">
        <f>VLOOKUP(A158,Table1[[Unit Number]:[NO. OF BEDROOMS]],2,FALSE)</f>
        <v>#N/A</v>
      </c>
    </row>
    <row r="159" spans="1:10" x14ac:dyDescent="0.25">
      <c r="A159"/>
      <c r="B159"/>
      <c r="C159"/>
      <c r="D159"/>
      <c r="E159"/>
      <c r="F159"/>
      <c r="G159"/>
      <c r="H159"/>
      <c r="I159"/>
      <c r="J159" s="79" t="e">
        <f>VLOOKUP(A159,Table1[[Unit Number]:[NO. OF BEDROOMS]],2,FALSE)</f>
        <v>#N/A</v>
      </c>
    </row>
    <row r="160" spans="1:10" x14ac:dyDescent="0.25">
      <c r="A160"/>
      <c r="B160"/>
      <c r="C160"/>
      <c r="D160"/>
      <c r="E160"/>
      <c r="F160"/>
      <c r="G160"/>
      <c r="H160"/>
      <c r="I160"/>
      <c r="J160" s="79" t="e">
        <f>VLOOKUP(A160,Table1[[Unit Number]:[NO. OF BEDROOMS]],2,FALSE)</f>
        <v>#N/A</v>
      </c>
    </row>
    <row r="161" spans="1:10" x14ac:dyDescent="0.25">
      <c r="A161"/>
      <c r="B161"/>
      <c r="C161"/>
      <c r="D161"/>
      <c r="E161"/>
      <c r="F161"/>
      <c r="G161"/>
      <c r="H161"/>
      <c r="I161"/>
      <c r="J161" s="79" t="e">
        <f>VLOOKUP(A161,Table1[[Unit Number]:[NO. OF BEDROOMS]],2,FALSE)</f>
        <v>#N/A</v>
      </c>
    </row>
    <row r="162" spans="1:10" x14ac:dyDescent="0.25">
      <c r="A162"/>
      <c r="B162"/>
      <c r="C162"/>
      <c r="D162"/>
      <c r="E162"/>
      <c r="F162"/>
      <c r="G162"/>
      <c r="H162"/>
      <c r="I162"/>
      <c r="J162" s="79" t="e">
        <f>VLOOKUP(A162,Table1[[Unit Number]:[NO. OF BEDROOMS]],2,FALSE)</f>
        <v>#N/A</v>
      </c>
    </row>
    <row r="163" spans="1:10" x14ac:dyDescent="0.25">
      <c r="A163"/>
      <c r="B163"/>
      <c r="C163"/>
      <c r="D163"/>
      <c r="E163"/>
      <c r="F163"/>
      <c r="G163"/>
      <c r="H163"/>
      <c r="I163"/>
    </row>
    <row r="164" spans="1:10" x14ac:dyDescent="0.25">
      <c r="A164"/>
      <c r="B164"/>
      <c r="C164"/>
      <c r="D164"/>
      <c r="E164"/>
      <c r="F164"/>
      <c r="G164"/>
      <c r="H164"/>
      <c r="I164"/>
    </row>
    <row r="165" spans="1:10" x14ac:dyDescent="0.25">
      <c r="A165"/>
      <c r="B165"/>
      <c r="C165"/>
      <c r="D165"/>
      <c r="E165"/>
      <c r="F165"/>
      <c r="G165"/>
      <c r="H165"/>
      <c r="I165"/>
    </row>
    <row r="166" spans="1:10" x14ac:dyDescent="0.25">
      <c r="A166"/>
      <c r="B166"/>
      <c r="C166"/>
      <c r="D166"/>
      <c r="E166"/>
      <c r="F166"/>
      <c r="G166"/>
      <c r="H166"/>
      <c r="I166"/>
    </row>
    <row r="167" spans="1:10" x14ac:dyDescent="0.25">
      <c r="A167"/>
      <c r="B167"/>
      <c r="C167"/>
      <c r="D167"/>
      <c r="E167"/>
      <c r="F167"/>
      <c r="G167"/>
      <c r="H167"/>
      <c r="I167"/>
    </row>
    <row r="168" spans="1:10" x14ac:dyDescent="0.25">
      <c r="A168"/>
      <c r="B168"/>
      <c r="C168"/>
      <c r="D168"/>
      <c r="E168"/>
      <c r="F168"/>
      <c r="G168"/>
      <c r="H168"/>
      <c r="I168"/>
    </row>
    <row r="169" spans="1:10" x14ac:dyDescent="0.25">
      <c r="A169"/>
      <c r="B169"/>
      <c r="C169"/>
      <c r="D169"/>
      <c r="E169"/>
      <c r="F169"/>
      <c r="G169"/>
      <c r="H169"/>
      <c r="I169"/>
    </row>
    <row r="170" spans="1:10" x14ac:dyDescent="0.25">
      <c r="A170"/>
      <c r="B170"/>
      <c r="C170"/>
      <c r="D170"/>
      <c r="E170"/>
      <c r="F170"/>
      <c r="G170"/>
      <c r="H170"/>
      <c r="I170"/>
    </row>
    <row r="171" spans="1:10" x14ac:dyDescent="0.25">
      <c r="A171"/>
      <c r="B171"/>
      <c r="C171"/>
      <c r="D171"/>
      <c r="E171"/>
      <c r="F171"/>
      <c r="G171"/>
      <c r="H171"/>
      <c r="I171"/>
    </row>
    <row r="172" spans="1:10" x14ac:dyDescent="0.25">
      <c r="A172"/>
      <c r="B172"/>
      <c r="C172"/>
      <c r="D172"/>
      <c r="E172"/>
      <c r="F172"/>
      <c r="G172"/>
      <c r="H172"/>
      <c r="I172"/>
    </row>
    <row r="173" spans="1:10" x14ac:dyDescent="0.25">
      <c r="A173"/>
      <c r="B173"/>
      <c r="C173"/>
      <c r="D173"/>
      <c r="E173"/>
      <c r="F173"/>
      <c r="G173"/>
      <c r="H173"/>
      <c r="I173"/>
    </row>
    <row r="174" spans="1:10" x14ac:dyDescent="0.25">
      <c r="A174"/>
      <c r="B174"/>
      <c r="C174"/>
      <c r="D174"/>
      <c r="E174"/>
      <c r="F174"/>
      <c r="G174"/>
      <c r="H174"/>
      <c r="I174"/>
    </row>
    <row r="175" spans="1:10" x14ac:dyDescent="0.25">
      <c r="A175"/>
      <c r="B175"/>
      <c r="C175"/>
      <c r="D175"/>
      <c r="E175"/>
      <c r="F175"/>
      <c r="G175"/>
      <c r="H175"/>
      <c r="I175"/>
    </row>
    <row r="176" spans="1:10" x14ac:dyDescent="0.25">
      <c r="A176"/>
      <c r="B176"/>
      <c r="C176"/>
      <c r="D176"/>
      <c r="E176"/>
      <c r="F176"/>
      <c r="G176"/>
      <c r="H176"/>
      <c r="I176"/>
    </row>
    <row r="177" spans="1:9" x14ac:dyDescent="0.25">
      <c r="A177"/>
      <c r="B177"/>
      <c r="C177"/>
      <c r="D177"/>
      <c r="E177"/>
      <c r="F177"/>
      <c r="G177"/>
      <c r="H177"/>
      <c r="I177"/>
    </row>
    <row r="178" spans="1:9" x14ac:dyDescent="0.25">
      <c r="A178"/>
      <c r="B178"/>
      <c r="C178"/>
      <c r="D178"/>
      <c r="E178"/>
      <c r="F178"/>
      <c r="G178"/>
      <c r="H178"/>
      <c r="I178"/>
    </row>
    <row r="179" spans="1:9" x14ac:dyDescent="0.25">
      <c r="A179"/>
      <c r="B179"/>
      <c r="C179"/>
      <c r="D179"/>
      <c r="E179"/>
      <c r="F179"/>
      <c r="G179"/>
      <c r="H179"/>
      <c r="I179"/>
    </row>
    <row r="180" spans="1:9" x14ac:dyDescent="0.25">
      <c r="A180"/>
      <c r="B180"/>
      <c r="C180"/>
      <c r="D180"/>
      <c r="E180"/>
      <c r="F180"/>
      <c r="G180"/>
      <c r="H180"/>
      <c r="I180"/>
    </row>
    <row r="181" spans="1:9" x14ac:dyDescent="0.25">
      <c r="A181"/>
      <c r="B181"/>
      <c r="C181"/>
      <c r="D181"/>
      <c r="E181"/>
      <c r="F181"/>
      <c r="G181"/>
      <c r="H181"/>
      <c r="I181"/>
    </row>
    <row r="182" spans="1:9" x14ac:dyDescent="0.25">
      <c r="A182"/>
      <c r="B182"/>
      <c r="C182"/>
      <c r="D182"/>
      <c r="E182"/>
      <c r="F182"/>
      <c r="G182"/>
      <c r="H182"/>
      <c r="I182"/>
    </row>
    <row r="183" spans="1:9" x14ac:dyDescent="0.25">
      <c r="A183"/>
      <c r="B183"/>
      <c r="C183"/>
      <c r="D183"/>
      <c r="E183"/>
      <c r="F183"/>
      <c r="G183"/>
      <c r="H183"/>
      <c r="I183"/>
    </row>
    <row r="184" spans="1:9" x14ac:dyDescent="0.25">
      <c r="A184"/>
      <c r="B184"/>
      <c r="C184"/>
      <c r="D184"/>
      <c r="E184"/>
      <c r="F184"/>
      <c r="G184"/>
      <c r="H184"/>
      <c r="I184"/>
    </row>
    <row r="185" spans="1:9" x14ac:dyDescent="0.25">
      <c r="A185"/>
      <c r="B185"/>
      <c r="C185"/>
      <c r="D185"/>
      <c r="E185"/>
      <c r="F185"/>
      <c r="G185"/>
      <c r="H185"/>
      <c r="I185"/>
    </row>
    <row r="186" spans="1:9" x14ac:dyDescent="0.25">
      <c r="A186"/>
      <c r="B186"/>
      <c r="C186"/>
      <c r="D186"/>
      <c r="E186"/>
      <c r="F186"/>
      <c r="G186"/>
      <c r="H186"/>
      <c r="I186"/>
    </row>
    <row r="187" spans="1:9" x14ac:dyDescent="0.25">
      <c r="A187"/>
      <c r="B187"/>
      <c r="C187"/>
      <c r="D187"/>
      <c r="E187"/>
      <c r="F187"/>
      <c r="G187"/>
      <c r="H187"/>
      <c r="I187"/>
    </row>
    <row r="188" spans="1:9" x14ac:dyDescent="0.25">
      <c r="A188"/>
      <c r="B188"/>
      <c r="C188"/>
      <c r="D188"/>
      <c r="E188"/>
      <c r="F188"/>
      <c r="G188"/>
      <c r="H188"/>
      <c r="I188"/>
    </row>
    <row r="189" spans="1:9" x14ac:dyDescent="0.25">
      <c r="A189"/>
      <c r="B189"/>
      <c r="C189"/>
      <c r="D189"/>
      <c r="E189"/>
      <c r="F189"/>
      <c r="G189"/>
      <c r="H189"/>
      <c r="I189"/>
    </row>
    <row r="190" spans="1:9" x14ac:dyDescent="0.25">
      <c r="A190"/>
      <c r="B190"/>
      <c r="C190"/>
      <c r="D190"/>
      <c r="E190"/>
      <c r="F190"/>
      <c r="G190"/>
      <c r="H190"/>
      <c r="I190"/>
    </row>
    <row r="191" spans="1:9" x14ac:dyDescent="0.25">
      <c r="A191"/>
      <c r="B191"/>
      <c r="C191"/>
      <c r="D191"/>
      <c r="E191"/>
      <c r="F191"/>
      <c r="G191"/>
      <c r="H191"/>
      <c r="I191"/>
    </row>
    <row r="192" spans="1:9" x14ac:dyDescent="0.25">
      <c r="A192"/>
      <c r="B192"/>
      <c r="C192"/>
      <c r="D192"/>
      <c r="E192"/>
      <c r="F192"/>
      <c r="G192"/>
      <c r="H192"/>
      <c r="I192"/>
    </row>
    <row r="193" spans="1:9" x14ac:dyDescent="0.25">
      <c r="A193"/>
      <c r="B193"/>
      <c r="C193"/>
      <c r="D193"/>
      <c r="E193"/>
      <c r="F193"/>
      <c r="G193"/>
      <c r="H193"/>
      <c r="I193"/>
    </row>
    <row r="194" spans="1:9" x14ac:dyDescent="0.25">
      <c r="A194"/>
      <c r="B194"/>
      <c r="C194"/>
      <c r="D194"/>
      <c r="E194"/>
      <c r="F194"/>
      <c r="G194"/>
      <c r="H194"/>
      <c r="I194"/>
    </row>
    <row r="195" spans="1:9" x14ac:dyDescent="0.25">
      <c r="A195"/>
      <c r="B195"/>
      <c r="C195"/>
      <c r="D195"/>
      <c r="E195"/>
      <c r="F195"/>
      <c r="G195"/>
      <c r="H195"/>
      <c r="I195"/>
    </row>
    <row r="196" spans="1:9" x14ac:dyDescent="0.25">
      <c r="A196"/>
      <c r="B196"/>
      <c r="C196"/>
      <c r="D196"/>
      <c r="E196"/>
      <c r="F196"/>
      <c r="G196"/>
      <c r="H196"/>
      <c r="I196"/>
    </row>
    <row r="197" spans="1:9" x14ac:dyDescent="0.25">
      <c r="A197"/>
      <c r="B197"/>
      <c r="C197"/>
      <c r="D197"/>
      <c r="E197"/>
      <c r="F197"/>
      <c r="G197"/>
      <c r="H197"/>
      <c r="I197"/>
    </row>
    <row r="198" spans="1:9" x14ac:dyDescent="0.25">
      <c r="A198"/>
      <c r="B198"/>
      <c r="C198"/>
      <c r="D198"/>
      <c r="E198"/>
      <c r="F198"/>
      <c r="G198"/>
      <c r="H198"/>
      <c r="I198"/>
    </row>
    <row r="199" spans="1:9" x14ac:dyDescent="0.25">
      <c r="A199"/>
      <c r="B199"/>
      <c r="C199"/>
      <c r="D199"/>
      <c r="E199"/>
      <c r="F199"/>
      <c r="G199"/>
      <c r="H199"/>
      <c r="I199"/>
    </row>
    <row r="200" spans="1:9" x14ac:dyDescent="0.25">
      <c r="A200"/>
      <c r="B200"/>
      <c r="C200"/>
      <c r="D200"/>
      <c r="E200"/>
      <c r="F200"/>
      <c r="G200"/>
      <c r="H200"/>
      <c r="I200"/>
    </row>
    <row r="201" spans="1:9" x14ac:dyDescent="0.25">
      <c r="A201"/>
      <c r="B201"/>
      <c r="C201"/>
      <c r="D201"/>
      <c r="E201"/>
      <c r="F201"/>
      <c r="G201"/>
      <c r="H201"/>
      <c r="I201"/>
    </row>
    <row r="202" spans="1:9" x14ac:dyDescent="0.25">
      <c r="A202"/>
      <c r="B202"/>
      <c r="C202"/>
      <c r="D202"/>
      <c r="E202"/>
      <c r="F202"/>
      <c r="G202"/>
      <c r="H202"/>
      <c r="I202"/>
    </row>
    <row r="203" spans="1:9" x14ac:dyDescent="0.25">
      <c r="A203"/>
      <c r="B203"/>
      <c r="C203"/>
      <c r="D203"/>
      <c r="E203"/>
      <c r="F203"/>
      <c r="G203"/>
      <c r="H203"/>
      <c r="I203"/>
    </row>
    <row r="204" spans="1:9" x14ac:dyDescent="0.25">
      <c r="A204"/>
      <c r="B204"/>
      <c r="C204"/>
      <c r="D204"/>
      <c r="E204"/>
      <c r="F204"/>
      <c r="G204"/>
      <c r="H204"/>
      <c r="I204"/>
    </row>
    <row r="205" spans="1:9" x14ac:dyDescent="0.25">
      <c r="A205"/>
      <c r="B205"/>
      <c r="C205"/>
      <c r="D205"/>
      <c r="E205"/>
      <c r="F205"/>
      <c r="G205"/>
      <c r="H205"/>
      <c r="I205"/>
    </row>
    <row r="206" spans="1:9" x14ac:dyDescent="0.25">
      <c r="A206"/>
      <c r="B206"/>
      <c r="C206"/>
      <c r="D206"/>
      <c r="E206"/>
      <c r="F206"/>
      <c r="G206"/>
      <c r="H206"/>
      <c r="I206"/>
    </row>
    <row r="207" spans="1:9" x14ac:dyDescent="0.25">
      <c r="A207"/>
      <c r="B207"/>
      <c r="C207"/>
      <c r="D207"/>
      <c r="E207"/>
      <c r="F207"/>
      <c r="G207"/>
      <c r="H207"/>
      <c r="I207"/>
    </row>
    <row r="208" spans="1:9" x14ac:dyDescent="0.25">
      <c r="A208"/>
      <c r="B208"/>
      <c r="C208"/>
      <c r="D208"/>
      <c r="E208"/>
      <c r="F208"/>
      <c r="G208"/>
      <c r="H208"/>
      <c r="I208"/>
    </row>
    <row r="209" spans="1:9" x14ac:dyDescent="0.25">
      <c r="A209"/>
      <c r="B209"/>
      <c r="C209"/>
      <c r="D209"/>
      <c r="E209"/>
      <c r="F209"/>
      <c r="G209"/>
      <c r="H209"/>
      <c r="I209"/>
    </row>
    <row r="210" spans="1:9" x14ac:dyDescent="0.25">
      <c r="A210"/>
      <c r="B210"/>
      <c r="C210"/>
      <c r="D210"/>
      <c r="E210"/>
      <c r="F210"/>
      <c r="G210"/>
      <c r="H210"/>
      <c r="I210"/>
    </row>
    <row r="211" spans="1:9" x14ac:dyDescent="0.25">
      <c r="A211"/>
      <c r="B211"/>
      <c r="C211"/>
      <c r="D211"/>
      <c r="E211"/>
      <c r="F211"/>
      <c r="G211"/>
      <c r="H211"/>
      <c r="I211"/>
    </row>
    <row r="212" spans="1:9" x14ac:dyDescent="0.25">
      <c r="A212"/>
      <c r="B212"/>
      <c r="C212"/>
      <c r="D212"/>
      <c r="E212"/>
      <c r="F212"/>
      <c r="G212"/>
      <c r="H212"/>
      <c r="I212"/>
    </row>
    <row r="213" spans="1:9" x14ac:dyDescent="0.25">
      <c r="A213"/>
      <c r="B213"/>
      <c r="C213"/>
      <c r="D213"/>
      <c r="E213"/>
      <c r="F213"/>
      <c r="G213"/>
      <c r="H213"/>
      <c r="I213"/>
    </row>
    <row r="214" spans="1:9" x14ac:dyDescent="0.25">
      <c r="A214"/>
      <c r="B214"/>
      <c r="C214"/>
      <c r="D214"/>
      <c r="E214"/>
      <c r="F214"/>
      <c r="G214"/>
      <c r="H214"/>
      <c r="I214"/>
    </row>
    <row r="215" spans="1:9" x14ac:dyDescent="0.25">
      <c r="A215"/>
      <c r="B215"/>
      <c r="C215"/>
      <c r="D215"/>
      <c r="E215"/>
      <c r="F215"/>
      <c r="G215"/>
      <c r="H215"/>
      <c r="I215"/>
    </row>
    <row r="216" spans="1:9" x14ac:dyDescent="0.25">
      <c r="A216"/>
      <c r="B216"/>
      <c r="C216"/>
      <c r="D216"/>
      <c r="E216"/>
      <c r="F216"/>
      <c r="G216"/>
      <c r="H216"/>
      <c r="I216"/>
    </row>
    <row r="217" spans="1:9" x14ac:dyDescent="0.25">
      <c r="A217"/>
      <c r="B217"/>
      <c r="C217"/>
      <c r="D217"/>
      <c r="E217"/>
      <c r="F217"/>
      <c r="G217"/>
      <c r="H217"/>
      <c r="I217"/>
    </row>
    <row r="218" spans="1:9" x14ac:dyDescent="0.25">
      <c r="A218"/>
      <c r="B218"/>
      <c r="C218"/>
      <c r="D218"/>
      <c r="E218"/>
      <c r="F218"/>
      <c r="G218"/>
      <c r="H218"/>
      <c r="I218"/>
    </row>
    <row r="219" spans="1:9" x14ac:dyDescent="0.25">
      <c r="A219"/>
      <c r="B219"/>
      <c r="C219"/>
      <c r="D219"/>
      <c r="E219"/>
      <c r="F219"/>
      <c r="G219"/>
      <c r="H219"/>
      <c r="I219"/>
    </row>
    <row r="220" spans="1:9" x14ac:dyDescent="0.25">
      <c r="A220"/>
      <c r="B220"/>
      <c r="C220"/>
      <c r="D220"/>
      <c r="E220"/>
      <c r="F220"/>
      <c r="G220"/>
      <c r="H220"/>
      <c r="I220"/>
    </row>
    <row r="221" spans="1:9" x14ac:dyDescent="0.25">
      <c r="A221"/>
      <c r="B221"/>
      <c r="C221"/>
      <c r="D221"/>
      <c r="E221"/>
      <c r="F221"/>
      <c r="G221"/>
      <c r="H221"/>
      <c r="I221"/>
    </row>
    <row r="222" spans="1:9" x14ac:dyDescent="0.25">
      <c r="A222"/>
      <c r="B222"/>
      <c r="C222"/>
      <c r="D222"/>
      <c r="E222"/>
      <c r="F222"/>
      <c r="G222"/>
      <c r="H222"/>
      <c r="I222"/>
    </row>
    <row r="223" spans="1:9" x14ac:dyDescent="0.25">
      <c r="A223"/>
      <c r="B223"/>
      <c r="C223"/>
      <c r="D223"/>
      <c r="E223"/>
      <c r="F223"/>
      <c r="G223"/>
      <c r="H223"/>
      <c r="I223"/>
    </row>
    <row r="224" spans="1:9" x14ac:dyDescent="0.25">
      <c r="A224"/>
      <c r="B224"/>
      <c r="C224"/>
      <c r="D224"/>
      <c r="E224"/>
      <c r="F224"/>
      <c r="G224"/>
      <c r="H224"/>
      <c r="I224"/>
    </row>
    <row r="225" spans="1:9" x14ac:dyDescent="0.25">
      <c r="A225"/>
      <c r="B225"/>
      <c r="C225"/>
      <c r="D225"/>
      <c r="E225"/>
      <c r="F225"/>
      <c r="G225"/>
      <c r="H225"/>
      <c r="I225"/>
    </row>
    <row r="226" spans="1:9" x14ac:dyDescent="0.25">
      <c r="A226"/>
      <c r="B226"/>
      <c r="C226"/>
      <c r="D226"/>
      <c r="E226"/>
      <c r="F226"/>
      <c r="G226"/>
      <c r="H226"/>
      <c r="I226"/>
    </row>
    <row r="227" spans="1:9" x14ac:dyDescent="0.25">
      <c r="A227"/>
      <c r="B227"/>
      <c r="C227"/>
      <c r="D227"/>
      <c r="E227"/>
      <c r="F227"/>
      <c r="G227"/>
      <c r="H227"/>
      <c r="I227"/>
    </row>
    <row r="228" spans="1:9" x14ac:dyDescent="0.25">
      <c r="A228"/>
      <c r="B228"/>
      <c r="C228"/>
      <c r="D228"/>
      <c r="E228"/>
      <c r="F228"/>
      <c r="G228"/>
      <c r="H228"/>
      <c r="I228"/>
    </row>
    <row r="229" spans="1:9" x14ac:dyDescent="0.25">
      <c r="A229"/>
      <c r="B229"/>
      <c r="C229"/>
      <c r="D229"/>
      <c r="E229"/>
      <c r="F229"/>
      <c r="G229"/>
      <c r="H229"/>
      <c r="I229"/>
    </row>
    <row r="230" spans="1:9" x14ac:dyDescent="0.25">
      <c r="A230"/>
      <c r="B230"/>
      <c r="C230"/>
      <c r="D230"/>
      <c r="E230"/>
      <c r="F230"/>
      <c r="G230"/>
      <c r="H230"/>
      <c r="I230"/>
    </row>
    <row r="231" spans="1:9" x14ac:dyDescent="0.25">
      <c r="A231"/>
      <c r="B231"/>
      <c r="C231"/>
      <c r="D231"/>
      <c r="E231"/>
      <c r="F231"/>
      <c r="G231"/>
      <c r="H231"/>
      <c r="I231"/>
    </row>
    <row r="232" spans="1:9" x14ac:dyDescent="0.25">
      <c r="A232"/>
      <c r="B232"/>
      <c r="C232"/>
      <c r="D232"/>
      <c r="E232"/>
      <c r="F232"/>
      <c r="G232"/>
      <c r="H232"/>
      <c r="I232"/>
    </row>
    <row r="233" spans="1:9" x14ac:dyDescent="0.25">
      <c r="A233"/>
      <c r="B233"/>
      <c r="C233"/>
      <c r="D233"/>
      <c r="E233"/>
      <c r="F233"/>
      <c r="G233"/>
      <c r="H233"/>
      <c r="I233"/>
    </row>
    <row r="234" spans="1:9" x14ac:dyDescent="0.25">
      <c r="A234"/>
      <c r="B234"/>
      <c r="C234"/>
      <c r="D234"/>
      <c r="E234"/>
      <c r="F234"/>
      <c r="G234"/>
      <c r="H234"/>
      <c r="I234"/>
    </row>
    <row r="235" spans="1:9" x14ac:dyDescent="0.25">
      <c r="A235"/>
      <c r="B235"/>
      <c r="C235"/>
      <c r="D235"/>
      <c r="E235"/>
      <c r="F235"/>
      <c r="G235"/>
      <c r="H235"/>
      <c r="I235"/>
    </row>
    <row r="236" spans="1:9" x14ac:dyDescent="0.25">
      <c r="A236"/>
      <c r="B236"/>
      <c r="C236"/>
      <c r="D236"/>
      <c r="E236"/>
      <c r="F236"/>
      <c r="G236"/>
      <c r="H236"/>
      <c r="I236"/>
    </row>
    <row r="237" spans="1:9" x14ac:dyDescent="0.25">
      <c r="A237"/>
      <c r="B237"/>
      <c r="C237"/>
      <c r="D237"/>
      <c r="E237"/>
      <c r="F237"/>
      <c r="G237"/>
      <c r="H237"/>
      <c r="I237"/>
    </row>
    <row r="238" spans="1:9" x14ac:dyDescent="0.25">
      <c r="A238"/>
      <c r="B238"/>
      <c r="C238"/>
      <c r="D238"/>
      <c r="E238"/>
      <c r="F238"/>
      <c r="G238"/>
      <c r="H238"/>
      <c r="I238"/>
    </row>
    <row r="239" spans="1:9" x14ac:dyDescent="0.25">
      <c r="A239"/>
      <c r="B239"/>
      <c r="C239"/>
      <c r="D239"/>
      <c r="E239"/>
      <c r="F239"/>
      <c r="G239"/>
      <c r="H239"/>
      <c r="I239"/>
    </row>
    <row r="240" spans="1:9" x14ac:dyDescent="0.25">
      <c r="A240"/>
      <c r="B240"/>
      <c r="C240"/>
      <c r="D240"/>
      <c r="E240"/>
      <c r="F240"/>
      <c r="G240"/>
      <c r="H240"/>
      <c r="I240"/>
    </row>
    <row r="241" spans="1:9" x14ac:dyDescent="0.25">
      <c r="A241"/>
      <c r="B241"/>
      <c r="C241"/>
      <c r="D241"/>
      <c r="E241"/>
      <c r="F241"/>
      <c r="G241"/>
      <c r="H241"/>
      <c r="I241"/>
    </row>
    <row r="242" spans="1:9" x14ac:dyDescent="0.25">
      <c r="A242"/>
      <c r="B242"/>
      <c r="C242"/>
      <c r="D242"/>
      <c r="E242"/>
      <c r="F242"/>
      <c r="G242"/>
      <c r="H242"/>
      <c r="I242"/>
    </row>
    <row r="243" spans="1:9" x14ac:dyDescent="0.25">
      <c r="A243"/>
      <c r="B243"/>
      <c r="C243"/>
      <c r="D243"/>
      <c r="E243"/>
      <c r="F243"/>
      <c r="G243"/>
      <c r="H243"/>
      <c r="I243"/>
    </row>
    <row r="244" spans="1:9" x14ac:dyDescent="0.25">
      <c r="A244"/>
      <c r="B244"/>
      <c r="C244"/>
      <c r="D244"/>
      <c r="E244"/>
      <c r="F244"/>
      <c r="G244"/>
      <c r="H244"/>
      <c r="I244"/>
    </row>
    <row r="245" spans="1:9" x14ac:dyDescent="0.25">
      <c r="A245"/>
      <c r="B245"/>
      <c r="C245"/>
      <c r="D245"/>
      <c r="E245"/>
      <c r="F245"/>
      <c r="G245"/>
      <c r="H245"/>
      <c r="I245"/>
    </row>
    <row r="246" spans="1:9" x14ac:dyDescent="0.25">
      <c r="A246"/>
      <c r="B246"/>
      <c r="C246"/>
      <c r="D246"/>
      <c r="E246"/>
      <c r="F246"/>
      <c r="G246"/>
      <c r="H246"/>
      <c r="I246"/>
    </row>
    <row r="247" spans="1:9" x14ac:dyDescent="0.25">
      <c r="A247"/>
      <c r="B247"/>
      <c r="C247"/>
      <c r="D247"/>
      <c r="E247"/>
      <c r="F247"/>
      <c r="G247"/>
      <c r="H247"/>
      <c r="I247"/>
    </row>
    <row r="248" spans="1:9" x14ac:dyDescent="0.25">
      <c r="A248"/>
      <c r="B248"/>
      <c r="C248"/>
      <c r="D248"/>
      <c r="E248"/>
      <c r="F248"/>
      <c r="G248"/>
      <c r="H248"/>
      <c r="I248"/>
    </row>
    <row r="249" spans="1:9" x14ac:dyDescent="0.25">
      <c r="A249"/>
      <c r="B249"/>
      <c r="C249"/>
      <c r="D249"/>
      <c r="E249"/>
      <c r="F249"/>
      <c r="G249"/>
      <c r="H249"/>
      <c r="I249"/>
    </row>
    <row r="250" spans="1:9" x14ac:dyDescent="0.25">
      <c r="A250"/>
      <c r="B250"/>
      <c r="C250"/>
      <c r="D250"/>
      <c r="E250"/>
      <c r="F250"/>
      <c r="G250"/>
      <c r="H250"/>
      <c r="I250"/>
    </row>
    <row r="251" spans="1:9" x14ac:dyDescent="0.25">
      <c r="A251"/>
      <c r="B251"/>
      <c r="C251"/>
      <c r="D251"/>
      <c r="E251"/>
      <c r="F251"/>
      <c r="G251"/>
      <c r="H251"/>
      <c r="I251"/>
    </row>
    <row r="252" spans="1:9" x14ac:dyDescent="0.25">
      <c r="A252"/>
      <c r="B252"/>
      <c r="C252"/>
      <c r="D252"/>
      <c r="E252"/>
      <c r="F252"/>
      <c r="G252"/>
      <c r="H252"/>
      <c r="I252"/>
    </row>
    <row r="253" spans="1:9" x14ac:dyDescent="0.25">
      <c r="A253"/>
      <c r="B253"/>
      <c r="C253"/>
      <c r="D253"/>
      <c r="E253"/>
      <c r="F253"/>
      <c r="G253"/>
      <c r="H253"/>
      <c r="I253"/>
    </row>
    <row r="254" spans="1:9" x14ac:dyDescent="0.25">
      <c r="A254"/>
      <c r="B254"/>
      <c r="C254"/>
      <c r="D254"/>
      <c r="E254"/>
      <c r="F254"/>
      <c r="G254"/>
      <c r="H254"/>
      <c r="I254"/>
    </row>
    <row r="255" spans="1:9" x14ac:dyDescent="0.25">
      <c r="A255"/>
      <c r="B255"/>
      <c r="C255"/>
      <c r="D255"/>
      <c r="E255"/>
      <c r="F255"/>
      <c r="G255"/>
      <c r="H255"/>
      <c r="I255"/>
    </row>
    <row r="256" spans="1:9" x14ac:dyDescent="0.25">
      <c r="A256"/>
      <c r="B256"/>
      <c r="C256"/>
      <c r="D256"/>
      <c r="E256"/>
      <c r="F256"/>
      <c r="G256"/>
      <c r="H256"/>
      <c r="I256"/>
    </row>
    <row r="257" spans="1:9" x14ac:dyDescent="0.25">
      <c r="A257"/>
      <c r="B257"/>
      <c r="C257"/>
      <c r="D257"/>
      <c r="E257"/>
      <c r="F257"/>
      <c r="G257"/>
      <c r="H257"/>
      <c r="I257"/>
    </row>
    <row r="258" spans="1:9" x14ac:dyDescent="0.25">
      <c r="A258"/>
      <c r="B258"/>
      <c r="C258"/>
      <c r="D258"/>
      <c r="E258"/>
      <c r="F258"/>
      <c r="G258"/>
      <c r="H258"/>
      <c r="I258"/>
    </row>
    <row r="259" spans="1:9" x14ac:dyDescent="0.25">
      <c r="A259"/>
      <c r="B259"/>
      <c r="C259"/>
      <c r="D259"/>
      <c r="E259"/>
      <c r="F259"/>
      <c r="G259"/>
      <c r="H259"/>
      <c r="I259"/>
    </row>
    <row r="260" spans="1:9" x14ac:dyDescent="0.25">
      <c r="A260"/>
      <c r="B260"/>
      <c r="C260"/>
      <c r="D260"/>
      <c r="E260"/>
      <c r="F260"/>
      <c r="G260"/>
      <c r="H260"/>
      <c r="I260"/>
    </row>
    <row r="261" spans="1:9" x14ac:dyDescent="0.25">
      <c r="A261"/>
      <c r="B261"/>
      <c r="C261"/>
      <c r="D261"/>
      <c r="E261"/>
      <c r="F261"/>
      <c r="G261"/>
      <c r="H261"/>
      <c r="I261"/>
    </row>
    <row r="262" spans="1:9" x14ac:dyDescent="0.25">
      <c r="A262"/>
      <c r="B262"/>
      <c r="C262"/>
      <c r="D262"/>
      <c r="E262"/>
      <c r="F262"/>
      <c r="G262"/>
      <c r="H262"/>
      <c r="I262"/>
    </row>
    <row r="263" spans="1:9" x14ac:dyDescent="0.25">
      <c r="A263"/>
      <c r="B263"/>
      <c r="C263"/>
      <c r="D263"/>
      <c r="E263"/>
      <c r="F263"/>
      <c r="G263"/>
      <c r="H263"/>
      <c r="I263"/>
    </row>
    <row r="264" spans="1:9" x14ac:dyDescent="0.25">
      <c r="A264"/>
      <c r="B264"/>
      <c r="C264"/>
      <c r="D264"/>
      <c r="E264"/>
      <c r="F264"/>
      <c r="G264"/>
      <c r="H264"/>
      <c r="I264"/>
    </row>
    <row r="265" spans="1:9" x14ac:dyDescent="0.25">
      <c r="A265"/>
      <c r="B265"/>
      <c r="C265"/>
      <c r="D265"/>
      <c r="E265"/>
      <c r="F265"/>
      <c r="G265"/>
      <c r="H265"/>
      <c r="I265"/>
    </row>
    <row r="266" spans="1:9" x14ac:dyDescent="0.25">
      <c r="A266"/>
      <c r="B266"/>
      <c r="C266"/>
      <c r="D266"/>
      <c r="E266"/>
      <c r="F266"/>
      <c r="G266"/>
      <c r="H266"/>
      <c r="I266"/>
    </row>
    <row r="267" spans="1:9" x14ac:dyDescent="0.25">
      <c r="A267"/>
      <c r="B267"/>
      <c r="C267"/>
      <c r="D267"/>
      <c r="E267"/>
      <c r="F267"/>
      <c r="G267"/>
      <c r="H267"/>
      <c r="I267"/>
    </row>
    <row r="268" spans="1:9" x14ac:dyDescent="0.25">
      <c r="A268"/>
      <c r="B268"/>
      <c r="C268"/>
      <c r="D268"/>
      <c r="E268"/>
      <c r="F268"/>
      <c r="G268"/>
      <c r="H268"/>
      <c r="I268"/>
    </row>
    <row r="269" spans="1:9" x14ac:dyDescent="0.25">
      <c r="A269"/>
      <c r="B269"/>
      <c r="C269"/>
      <c r="D269"/>
      <c r="E269"/>
      <c r="F269"/>
      <c r="G269"/>
      <c r="H269"/>
      <c r="I269"/>
    </row>
    <row r="270" spans="1:9" x14ac:dyDescent="0.25">
      <c r="A270"/>
      <c r="B270"/>
      <c r="C270"/>
      <c r="D270"/>
      <c r="E270"/>
      <c r="F270"/>
      <c r="G270"/>
      <c r="H270"/>
      <c r="I270"/>
    </row>
    <row r="271" spans="1:9" x14ac:dyDescent="0.25">
      <c r="A271"/>
      <c r="B271"/>
      <c r="C271"/>
      <c r="D271"/>
      <c r="E271"/>
      <c r="F271"/>
      <c r="G271"/>
      <c r="H271"/>
      <c r="I271"/>
    </row>
    <row r="272" spans="1:9" x14ac:dyDescent="0.25">
      <c r="A272"/>
      <c r="B272"/>
      <c r="C272"/>
      <c r="D272"/>
      <c r="E272"/>
      <c r="F272"/>
      <c r="G272"/>
      <c r="H272"/>
      <c r="I272"/>
    </row>
    <row r="273" spans="1:9" x14ac:dyDescent="0.25">
      <c r="A273"/>
      <c r="B273"/>
      <c r="C273"/>
      <c r="D273"/>
      <c r="E273"/>
      <c r="F273"/>
      <c r="G273"/>
      <c r="H273"/>
      <c r="I273"/>
    </row>
    <row r="274" spans="1:9" x14ac:dyDescent="0.25">
      <c r="A274"/>
      <c r="B274"/>
      <c r="C274"/>
      <c r="D274"/>
      <c r="E274"/>
      <c r="F274"/>
      <c r="G274"/>
      <c r="H274"/>
      <c r="I274"/>
    </row>
    <row r="275" spans="1:9" x14ac:dyDescent="0.25">
      <c r="A275"/>
      <c r="B275"/>
      <c r="C275"/>
      <c r="D275"/>
      <c r="E275"/>
      <c r="F275"/>
      <c r="G275"/>
      <c r="H275"/>
      <c r="I275"/>
    </row>
    <row r="276" spans="1:9" x14ac:dyDescent="0.25">
      <c r="A276"/>
      <c r="B276"/>
      <c r="C276"/>
      <c r="D276"/>
      <c r="E276"/>
      <c r="F276"/>
      <c r="G276"/>
      <c r="H276"/>
      <c r="I276"/>
    </row>
    <row r="277" spans="1:9" x14ac:dyDescent="0.25">
      <c r="A277"/>
      <c r="B277"/>
      <c r="C277"/>
      <c r="D277"/>
      <c r="E277"/>
      <c r="F277"/>
      <c r="G277"/>
      <c r="H277"/>
      <c r="I277"/>
    </row>
    <row r="278" spans="1:9" x14ac:dyDescent="0.25">
      <c r="A278"/>
      <c r="B278"/>
      <c r="C278"/>
      <c r="D278"/>
      <c r="E278"/>
      <c r="F278"/>
      <c r="G278"/>
      <c r="H278"/>
      <c r="I278"/>
    </row>
    <row r="279" spans="1:9" x14ac:dyDescent="0.25">
      <c r="A279"/>
      <c r="B279"/>
      <c r="C279"/>
      <c r="D279"/>
      <c r="E279"/>
      <c r="F279"/>
      <c r="G279"/>
      <c r="H279"/>
      <c r="I279"/>
    </row>
    <row r="280" spans="1:9" x14ac:dyDescent="0.25">
      <c r="A280"/>
      <c r="B280"/>
      <c r="C280"/>
      <c r="D280"/>
      <c r="E280"/>
      <c r="F280"/>
      <c r="G280"/>
      <c r="H280"/>
      <c r="I280"/>
    </row>
    <row r="281" spans="1:9" x14ac:dyDescent="0.25">
      <c r="A281"/>
      <c r="B281"/>
      <c r="C281"/>
      <c r="D281"/>
      <c r="E281"/>
      <c r="F281"/>
      <c r="G281"/>
      <c r="H281"/>
      <c r="I281"/>
    </row>
    <row r="282" spans="1:9" x14ac:dyDescent="0.25">
      <c r="A282"/>
      <c r="B282"/>
      <c r="C282"/>
      <c r="D282"/>
      <c r="E282"/>
      <c r="F282"/>
      <c r="G282"/>
      <c r="H282"/>
      <c r="I282"/>
    </row>
    <row r="283" spans="1:9" x14ac:dyDescent="0.25">
      <c r="A283"/>
      <c r="B283"/>
      <c r="C283"/>
      <c r="D283"/>
      <c r="E283"/>
      <c r="F283"/>
      <c r="G283"/>
      <c r="H283"/>
      <c r="I283"/>
    </row>
    <row r="284" spans="1:9" x14ac:dyDescent="0.25">
      <c r="A284"/>
      <c r="B284"/>
      <c r="C284"/>
      <c r="D284"/>
      <c r="E284"/>
      <c r="F284"/>
      <c r="G284"/>
      <c r="H284"/>
      <c r="I284"/>
    </row>
    <row r="285" spans="1:9" x14ac:dyDescent="0.25">
      <c r="A285"/>
      <c r="B285"/>
      <c r="C285"/>
      <c r="D285"/>
      <c r="E285"/>
      <c r="F285"/>
      <c r="G285"/>
      <c r="H285"/>
      <c r="I285"/>
    </row>
    <row r="286" spans="1:9" x14ac:dyDescent="0.25">
      <c r="A286"/>
      <c r="B286"/>
      <c r="C286"/>
      <c r="D286"/>
      <c r="E286"/>
      <c r="F286"/>
      <c r="G286"/>
      <c r="H286"/>
      <c r="I286"/>
    </row>
    <row r="287" spans="1:9" x14ac:dyDescent="0.25">
      <c r="A287"/>
      <c r="B287"/>
      <c r="C287"/>
      <c r="D287"/>
      <c r="E287"/>
      <c r="F287"/>
      <c r="G287"/>
      <c r="H287"/>
      <c r="I287"/>
    </row>
    <row r="288" spans="1:9" x14ac:dyDescent="0.25">
      <c r="A288"/>
      <c r="B288"/>
      <c r="C288"/>
      <c r="D288"/>
      <c r="E288"/>
      <c r="F288"/>
      <c r="G288"/>
      <c r="H288"/>
      <c r="I288"/>
    </row>
    <row r="289" spans="1:9" x14ac:dyDescent="0.25">
      <c r="A289"/>
      <c r="B289"/>
      <c r="C289"/>
      <c r="D289"/>
      <c r="E289"/>
      <c r="F289"/>
      <c r="G289"/>
      <c r="H289"/>
      <c r="I289"/>
    </row>
    <row r="290" spans="1:9" x14ac:dyDescent="0.25">
      <c r="A290"/>
      <c r="B290"/>
      <c r="C290"/>
      <c r="D290"/>
      <c r="E290"/>
      <c r="F290"/>
      <c r="G290"/>
      <c r="H290"/>
      <c r="I290"/>
    </row>
    <row r="291" spans="1:9" x14ac:dyDescent="0.25">
      <c r="A291"/>
      <c r="B291"/>
      <c r="C291"/>
      <c r="D291"/>
      <c r="E291"/>
      <c r="F291"/>
      <c r="G291"/>
      <c r="H291"/>
      <c r="I291"/>
    </row>
    <row r="292" spans="1:9" x14ac:dyDescent="0.25">
      <c r="A292"/>
      <c r="B292"/>
      <c r="C292"/>
      <c r="D292"/>
      <c r="E292"/>
      <c r="F292"/>
      <c r="G292"/>
      <c r="H292"/>
      <c r="I292"/>
    </row>
    <row r="293" spans="1:9" x14ac:dyDescent="0.25">
      <c r="A293"/>
      <c r="B293"/>
      <c r="C293"/>
      <c r="D293"/>
      <c r="E293"/>
      <c r="F293"/>
      <c r="G293"/>
      <c r="H293"/>
      <c r="I293"/>
    </row>
    <row r="294" spans="1:9" x14ac:dyDescent="0.25">
      <c r="A294"/>
      <c r="B294"/>
      <c r="C294"/>
      <c r="D294"/>
      <c r="E294"/>
      <c r="F294"/>
      <c r="G294"/>
      <c r="H294"/>
      <c r="I294"/>
    </row>
    <row r="295" spans="1:9" x14ac:dyDescent="0.25">
      <c r="A295"/>
      <c r="B295"/>
      <c r="C295"/>
      <c r="D295"/>
      <c r="E295"/>
      <c r="F295"/>
      <c r="G295"/>
      <c r="H295"/>
      <c r="I295"/>
    </row>
    <row r="296" spans="1:9" x14ac:dyDescent="0.25">
      <c r="A296"/>
      <c r="B296"/>
      <c r="C296"/>
      <c r="D296"/>
      <c r="E296"/>
      <c r="F296"/>
      <c r="G296"/>
      <c r="H296"/>
      <c r="I296"/>
    </row>
    <row r="297" spans="1:9" x14ac:dyDescent="0.25">
      <c r="A297"/>
      <c r="B297"/>
      <c r="C297"/>
      <c r="D297"/>
      <c r="E297"/>
      <c r="F297"/>
      <c r="G297"/>
      <c r="H297"/>
      <c r="I297"/>
    </row>
    <row r="298" spans="1:9" x14ac:dyDescent="0.25">
      <c r="A298"/>
      <c r="B298"/>
      <c r="C298"/>
      <c r="D298"/>
      <c r="E298"/>
      <c r="F298"/>
      <c r="G298"/>
      <c r="H298"/>
      <c r="I298"/>
    </row>
    <row r="299" spans="1:9" x14ac:dyDescent="0.25">
      <c r="A299"/>
      <c r="B299"/>
      <c r="C299"/>
      <c r="D299"/>
      <c r="E299"/>
      <c r="F299"/>
      <c r="G299"/>
      <c r="H299"/>
      <c r="I299"/>
    </row>
    <row r="300" spans="1:9" x14ac:dyDescent="0.25">
      <c r="A300"/>
      <c r="B300"/>
      <c r="C300"/>
      <c r="D300"/>
      <c r="E300"/>
      <c r="F300"/>
      <c r="G300"/>
      <c r="H300"/>
      <c r="I300"/>
    </row>
    <row r="301" spans="1:9" x14ac:dyDescent="0.25">
      <c r="A301"/>
      <c r="B301"/>
      <c r="C301"/>
      <c r="D301"/>
      <c r="E301"/>
      <c r="F301"/>
      <c r="G301"/>
      <c r="H301"/>
      <c r="I301"/>
    </row>
    <row r="302" spans="1:9" x14ac:dyDescent="0.25">
      <c r="A302"/>
      <c r="B302"/>
      <c r="C302"/>
      <c r="D302"/>
      <c r="E302"/>
      <c r="F302"/>
      <c r="G302"/>
      <c r="H302"/>
      <c r="I302"/>
    </row>
    <row r="303" spans="1:9" x14ac:dyDescent="0.25">
      <c r="A303"/>
      <c r="B303"/>
      <c r="C303"/>
      <c r="D303"/>
      <c r="E303"/>
      <c r="F303"/>
      <c r="G303"/>
      <c r="H303"/>
      <c r="I303"/>
    </row>
    <row r="304" spans="1:9" x14ac:dyDescent="0.25">
      <c r="A304"/>
      <c r="B304"/>
      <c r="C304"/>
      <c r="D304"/>
      <c r="E304"/>
      <c r="F304"/>
      <c r="G304"/>
      <c r="H304"/>
      <c r="I304"/>
    </row>
    <row r="305" spans="1:9" x14ac:dyDescent="0.25">
      <c r="A305"/>
      <c r="B305"/>
      <c r="C305"/>
      <c r="D305"/>
      <c r="E305"/>
      <c r="F305"/>
      <c r="G305"/>
      <c r="H305"/>
      <c r="I305"/>
    </row>
    <row r="306" spans="1:9" x14ac:dyDescent="0.25">
      <c r="A306"/>
      <c r="B306"/>
      <c r="C306"/>
      <c r="D306"/>
      <c r="E306"/>
      <c r="F306"/>
      <c r="G306"/>
      <c r="H306"/>
      <c r="I306"/>
    </row>
    <row r="307" spans="1:9" x14ac:dyDescent="0.25">
      <c r="A307"/>
      <c r="B307"/>
      <c r="C307"/>
      <c r="D307"/>
      <c r="E307"/>
      <c r="F307"/>
      <c r="G307"/>
      <c r="H307"/>
      <c r="I307"/>
    </row>
    <row r="308" spans="1:9" x14ac:dyDescent="0.25">
      <c r="A308"/>
      <c r="B308"/>
      <c r="C308"/>
      <c r="D308"/>
      <c r="E308"/>
      <c r="F308"/>
      <c r="G308"/>
      <c r="H308"/>
      <c r="I308"/>
    </row>
    <row r="309" spans="1:9" x14ac:dyDescent="0.25">
      <c r="A309"/>
      <c r="B309"/>
      <c r="C309"/>
      <c r="D309"/>
      <c r="E309"/>
      <c r="F309"/>
      <c r="G309"/>
      <c r="H309"/>
      <c r="I309"/>
    </row>
    <row r="310" spans="1:9" x14ac:dyDescent="0.25">
      <c r="A310"/>
      <c r="B310"/>
      <c r="C310"/>
      <c r="D310"/>
      <c r="E310"/>
      <c r="F310"/>
      <c r="G310"/>
      <c r="H310"/>
      <c r="I310"/>
    </row>
    <row r="311" spans="1:9" x14ac:dyDescent="0.25">
      <c r="A311"/>
      <c r="B311"/>
      <c r="C311"/>
      <c r="D311"/>
      <c r="E311"/>
      <c r="F311"/>
      <c r="G311"/>
      <c r="H311"/>
      <c r="I311"/>
    </row>
    <row r="312" spans="1:9" x14ac:dyDescent="0.25">
      <c r="A312"/>
      <c r="B312"/>
      <c r="C312"/>
      <c r="D312"/>
      <c r="E312"/>
      <c r="F312"/>
      <c r="G312"/>
      <c r="H312"/>
      <c r="I312"/>
    </row>
    <row r="313" spans="1:9" x14ac:dyDescent="0.25">
      <c r="A313"/>
      <c r="B313"/>
      <c r="C313"/>
      <c r="D313"/>
      <c r="E313"/>
      <c r="F313"/>
      <c r="G313"/>
      <c r="H313"/>
      <c r="I313"/>
    </row>
    <row r="314" spans="1:9" x14ac:dyDescent="0.25">
      <c r="A314"/>
      <c r="B314"/>
      <c r="C314"/>
      <c r="D314"/>
      <c r="E314"/>
      <c r="F314"/>
      <c r="G314"/>
      <c r="H314"/>
      <c r="I314"/>
    </row>
    <row r="315" spans="1:9" x14ac:dyDescent="0.25">
      <c r="A315"/>
      <c r="B315"/>
      <c r="C315"/>
      <c r="D315"/>
      <c r="E315"/>
      <c r="F315"/>
      <c r="G315"/>
      <c r="H315"/>
      <c r="I315"/>
    </row>
    <row r="316" spans="1:9" x14ac:dyDescent="0.25">
      <c r="A316"/>
      <c r="B316"/>
      <c r="C316"/>
      <c r="D316"/>
      <c r="E316"/>
      <c r="F316"/>
      <c r="G316"/>
      <c r="H316"/>
      <c r="I316"/>
    </row>
    <row r="317" spans="1:9" x14ac:dyDescent="0.25">
      <c r="A317"/>
      <c r="B317"/>
      <c r="C317"/>
      <c r="D317"/>
      <c r="E317"/>
      <c r="F317"/>
      <c r="G317"/>
      <c r="H317"/>
      <c r="I317"/>
    </row>
    <row r="318" spans="1:9" x14ac:dyDescent="0.25">
      <c r="A318"/>
      <c r="B318"/>
      <c r="C318"/>
      <c r="D318"/>
      <c r="E318"/>
      <c r="F318"/>
      <c r="G318"/>
      <c r="H318"/>
      <c r="I318"/>
    </row>
    <row r="319" spans="1:9" x14ac:dyDescent="0.25">
      <c r="A319"/>
      <c r="B319"/>
      <c r="C319"/>
      <c r="D319"/>
      <c r="E319"/>
      <c r="F319"/>
      <c r="G319"/>
      <c r="H319"/>
      <c r="I319"/>
    </row>
    <row r="320" spans="1:9" x14ac:dyDescent="0.25">
      <c r="A320"/>
      <c r="B320"/>
      <c r="C320"/>
      <c r="D320"/>
      <c r="E320"/>
      <c r="F320"/>
      <c r="G320"/>
      <c r="H320"/>
      <c r="I320"/>
    </row>
    <row r="321" spans="1:9" x14ac:dyDescent="0.25">
      <c r="A321"/>
      <c r="B321"/>
      <c r="C321"/>
      <c r="D321"/>
      <c r="E321"/>
      <c r="F321"/>
      <c r="G321"/>
      <c r="H321"/>
      <c r="I321"/>
    </row>
    <row r="322" spans="1:9" x14ac:dyDescent="0.25">
      <c r="A322"/>
      <c r="B322"/>
      <c r="C322"/>
      <c r="D322"/>
      <c r="E322"/>
      <c r="F322"/>
      <c r="G322"/>
      <c r="H322"/>
      <c r="I322"/>
    </row>
    <row r="323" spans="1:9" x14ac:dyDescent="0.25">
      <c r="A323"/>
      <c r="B323"/>
      <c r="C323"/>
      <c r="D323"/>
      <c r="E323"/>
      <c r="F323"/>
      <c r="G323"/>
      <c r="H323"/>
      <c r="I323"/>
    </row>
    <row r="324" spans="1:9" x14ac:dyDescent="0.25">
      <c r="A324"/>
      <c r="B324"/>
      <c r="C324"/>
      <c r="D324"/>
      <c r="E324"/>
      <c r="F324"/>
      <c r="G324"/>
      <c r="H324"/>
      <c r="I324"/>
    </row>
    <row r="325" spans="1:9" x14ac:dyDescent="0.25">
      <c r="A325"/>
      <c r="B325"/>
      <c r="C325"/>
      <c r="D325"/>
      <c r="E325"/>
      <c r="F325"/>
      <c r="G325"/>
      <c r="H325"/>
      <c r="I325"/>
    </row>
    <row r="326" spans="1:9" x14ac:dyDescent="0.25">
      <c r="A326"/>
      <c r="B326"/>
      <c r="C326"/>
      <c r="D326"/>
      <c r="E326"/>
      <c r="F326"/>
      <c r="G326"/>
      <c r="H326"/>
      <c r="I326"/>
    </row>
    <row r="327" spans="1:9" x14ac:dyDescent="0.25">
      <c r="A327"/>
      <c r="B327"/>
      <c r="C327"/>
      <c r="D327"/>
      <c r="E327"/>
      <c r="F327"/>
      <c r="G327"/>
      <c r="H327"/>
      <c r="I327"/>
    </row>
    <row r="328" spans="1:9" x14ac:dyDescent="0.25">
      <c r="A328"/>
      <c r="B328"/>
      <c r="C328"/>
      <c r="D328"/>
      <c r="E328"/>
      <c r="F328"/>
      <c r="G328"/>
      <c r="H328"/>
      <c r="I328"/>
    </row>
    <row r="329" spans="1:9" x14ac:dyDescent="0.25">
      <c r="A329"/>
      <c r="B329"/>
      <c r="C329"/>
      <c r="D329"/>
      <c r="E329"/>
      <c r="F329"/>
      <c r="G329"/>
      <c r="H329"/>
      <c r="I329"/>
    </row>
    <row r="330" spans="1:9" x14ac:dyDescent="0.25">
      <c r="A330"/>
      <c r="B330"/>
      <c r="C330"/>
      <c r="D330"/>
      <c r="E330"/>
      <c r="F330"/>
      <c r="G330"/>
      <c r="H330"/>
      <c r="I330"/>
    </row>
    <row r="331" spans="1:9" x14ac:dyDescent="0.25">
      <c r="A331"/>
      <c r="B331"/>
      <c r="C331"/>
      <c r="D331"/>
      <c r="E331"/>
      <c r="F331"/>
      <c r="G331"/>
      <c r="H331"/>
      <c r="I331"/>
    </row>
    <row r="332" spans="1:9" x14ac:dyDescent="0.25">
      <c r="A332"/>
      <c r="B332"/>
      <c r="C332"/>
      <c r="D332"/>
      <c r="E332"/>
      <c r="F332"/>
      <c r="G332"/>
      <c r="H332"/>
      <c r="I332"/>
    </row>
    <row r="333" spans="1:9" x14ac:dyDescent="0.25">
      <c r="A333"/>
      <c r="B333"/>
      <c r="C333"/>
      <c r="D333"/>
      <c r="E333"/>
      <c r="F333"/>
      <c r="G333"/>
      <c r="H333"/>
      <c r="I333"/>
    </row>
    <row r="334" spans="1:9" x14ac:dyDescent="0.25">
      <c r="A334"/>
      <c r="B334"/>
      <c r="C334"/>
      <c r="D334"/>
      <c r="E334"/>
      <c r="F334"/>
      <c r="G334"/>
      <c r="H334"/>
      <c r="I334"/>
    </row>
    <row r="335" spans="1:9" x14ac:dyDescent="0.25">
      <c r="A335"/>
      <c r="B335"/>
      <c r="C335"/>
      <c r="D335"/>
      <c r="E335"/>
      <c r="F335"/>
      <c r="G335"/>
      <c r="H335"/>
      <c r="I335"/>
    </row>
    <row r="336" spans="1:9" x14ac:dyDescent="0.25">
      <c r="A336"/>
      <c r="B336"/>
      <c r="C336"/>
      <c r="D336"/>
      <c r="E336"/>
      <c r="F336"/>
      <c r="G336"/>
      <c r="H336"/>
      <c r="I336"/>
    </row>
    <row r="337" spans="1:9" x14ac:dyDescent="0.25">
      <c r="A337"/>
      <c r="B337"/>
      <c r="C337"/>
      <c r="D337"/>
      <c r="E337"/>
      <c r="F337"/>
      <c r="G337"/>
      <c r="H337"/>
      <c r="I337"/>
    </row>
    <row r="338" spans="1:9" x14ac:dyDescent="0.25">
      <c r="A338"/>
      <c r="B338"/>
      <c r="C338"/>
      <c r="D338"/>
      <c r="E338"/>
      <c r="F338"/>
      <c r="G338"/>
      <c r="H338"/>
      <c r="I338"/>
    </row>
    <row r="339" spans="1:9" x14ac:dyDescent="0.25">
      <c r="A339"/>
      <c r="B339"/>
      <c r="C339"/>
      <c r="D339"/>
      <c r="E339"/>
      <c r="F339"/>
      <c r="G339"/>
      <c r="H339"/>
      <c r="I339"/>
    </row>
    <row r="340" spans="1:9" x14ac:dyDescent="0.25">
      <c r="A340"/>
      <c r="B340"/>
      <c r="C340"/>
      <c r="D340"/>
      <c r="E340"/>
      <c r="F340"/>
      <c r="G340"/>
      <c r="H340"/>
      <c r="I340"/>
    </row>
    <row r="341" spans="1:9" x14ac:dyDescent="0.25">
      <c r="A341"/>
      <c r="B341"/>
      <c r="C341"/>
      <c r="D341"/>
      <c r="E341"/>
      <c r="F341"/>
      <c r="G341"/>
      <c r="H341"/>
      <c r="I341"/>
    </row>
    <row r="342" spans="1:9" x14ac:dyDescent="0.25">
      <c r="A342"/>
      <c r="B342"/>
      <c r="C342"/>
      <c r="D342"/>
      <c r="E342"/>
      <c r="F342"/>
      <c r="G342"/>
      <c r="H342"/>
      <c r="I342"/>
    </row>
    <row r="343" spans="1:9" x14ac:dyDescent="0.25">
      <c r="A343"/>
      <c r="B343"/>
      <c r="C343"/>
      <c r="D343"/>
      <c r="E343"/>
      <c r="F343"/>
      <c r="G343"/>
      <c r="H343"/>
      <c r="I343"/>
    </row>
    <row r="344" spans="1:9" x14ac:dyDescent="0.25">
      <c r="A344"/>
      <c r="B344"/>
      <c r="C344"/>
      <c r="D344"/>
      <c r="E344"/>
      <c r="F344"/>
      <c r="G344"/>
      <c r="H344"/>
      <c r="I344"/>
    </row>
    <row r="345" spans="1:9" x14ac:dyDescent="0.25">
      <c r="A345"/>
      <c r="B345"/>
      <c r="C345"/>
      <c r="D345"/>
      <c r="E345"/>
      <c r="F345"/>
      <c r="G345"/>
      <c r="H345"/>
      <c r="I345"/>
    </row>
    <row r="346" spans="1:9" x14ac:dyDescent="0.25">
      <c r="A346"/>
      <c r="B346"/>
      <c r="C346"/>
      <c r="D346"/>
      <c r="E346"/>
      <c r="F346"/>
      <c r="G346"/>
      <c r="H346"/>
      <c r="I346"/>
    </row>
    <row r="347" spans="1:9" x14ac:dyDescent="0.25">
      <c r="A347"/>
      <c r="B347"/>
      <c r="C347"/>
      <c r="D347"/>
      <c r="E347"/>
      <c r="F347"/>
      <c r="G347"/>
      <c r="H347"/>
      <c r="I347"/>
    </row>
    <row r="348" spans="1:9" x14ac:dyDescent="0.25">
      <c r="A348"/>
      <c r="B348"/>
      <c r="C348"/>
      <c r="D348"/>
      <c r="E348"/>
      <c r="F348"/>
      <c r="G348"/>
      <c r="H348"/>
      <c r="I348"/>
    </row>
    <row r="349" spans="1:9" x14ac:dyDescent="0.25">
      <c r="A349"/>
      <c r="B349"/>
      <c r="C349"/>
      <c r="D349"/>
      <c r="E349"/>
      <c r="F349"/>
      <c r="G349"/>
      <c r="H349"/>
      <c r="I349"/>
    </row>
    <row r="350" spans="1:9" x14ac:dyDescent="0.25">
      <c r="A350"/>
      <c r="B350"/>
      <c r="C350"/>
      <c r="D350"/>
      <c r="E350"/>
      <c r="F350"/>
      <c r="G350"/>
      <c r="H350"/>
      <c r="I350"/>
    </row>
    <row r="351" spans="1:9" x14ac:dyDescent="0.25">
      <c r="A351"/>
      <c r="B351"/>
      <c r="C351"/>
      <c r="D351"/>
      <c r="E351"/>
      <c r="F351"/>
      <c r="G351"/>
      <c r="H351"/>
      <c r="I351"/>
    </row>
    <row r="352" spans="1:9" x14ac:dyDescent="0.25">
      <c r="A352"/>
      <c r="B352"/>
      <c r="C352"/>
      <c r="D352"/>
      <c r="E352"/>
      <c r="F352"/>
      <c r="G352"/>
      <c r="H352"/>
      <c r="I352"/>
    </row>
    <row r="353" spans="1:9" x14ac:dyDescent="0.25">
      <c r="A353"/>
      <c r="B353"/>
      <c r="C353"/>
      <c r="D353"/>
      <c r="E353"/>
      <c r="F353"/>
      <c r="G353"/>
      <c r="H353"/>
      <c r="I353"/>
    </row>
    <row r="354" spans="1:9" x14ac:dyDescent="0.25">
      <c r="A354"/>
      <c r="B354"/>
      <c r="C354"/>
      <c r="D354"/>
      <c r="E354"/>
      <c r="F354"/>
      <c r="G354"/>
      <c r="H354"/>
      <c r="I354"/>
    </row>
    <row r="355" spans="1:9" x14ac:dyDescent="0.25">
      <c r="A355"/>
      <c r="B355"/>
      <c r="C355"/>
      <c r="D355"/>
      <c r="E355"/>
      <c r="F355"/>
      <c r="G355"/>
      <c r="H355"/>
      <c r="I355"/>
    </row>
    <row r="356" spans="1:9" x14ac:dyDescent="0.25">
      <c r="A356"/>
      <c r="B356"/>
      <c r="C356"/>
      <c r="D356"/>
      <c r="E356"/>
      <c r="F356"/>
      <c r="G356"/>
      <c r="H356"/>
      <c r="I356"/>
    </row>
    <row r="357" spans="1:9" x14ac:dyDescent="0.25">
      <c r="A357"/>
      <c r="B357"/>
      <c r="C357"/>
      <c r="D357"/>
      <c r="E357"/>
      <c r="F357"/>
      <c r="G357"/>
      <c r="H357"/>
      <c r="I357"/>
    </row>
    <row r="358" spans="1:9" x14ac:dyDescent="0.25">
      <c r="A358"/>
      <c r="B358"/>
      <c r="C358"/>
      <c r="D358"/>
      <c r="E358"/>
      <c r="F358"/>
      <c r="G358"/>
      <c r="H358"/>
      <c r="I358"/>
    </row>
    <row r="359" spans="1:9" x14ac:dyDescent="0.25">
      <c r="A359"/>
      <c r="B359"/>
      <c r="C359"/>
      <c r="D359"/>
      <c r="E359"/>
      <c r="F359"/>
      <c r="G359"/>
      <c r="H359"/>
      <c r="I359"/>
    </row>
    <row r="360" spans="1:9" x14ac:dyDescent="0.25">
      <c r="A360"/>
      <c r="B360"/>
      <c r="C360"/>
      <c r="D360"/>
      <c r="E360"/>
      <c r="F360"/>
      <c r="G360"/>
      <c r="H360"/>
      <c r="I360"/>
    </row>
    <row r="361" spans="1:9" x14ac:dyDescent="0.25">
      <c r="A361"/>
      <c r="B361"/>
      <c r="C361"/>
      <c r="D361"/>
      <c r="E361"/>
      <c r="F361"/>
      <c r="G361"/>
      <c r="H361"/>
      <c r="I361"/>
    </row>
    <row r="362" spans="1:9" x14ac:dyDescent="0.25">
      <c r="A362"/>
      <c r="B362"/>
      <c r="C362"/>
      <c r="D362"/>
      <c r="E362"/>
      <c r="F362"/>
      <c r="G362"/>
      <c r="H362"/>
      <c r="I362"/>
    </row>
    <row r="363" spans="1:9" x14ac:dyDescent="0.25">
      <c r="A363"/>
      <c r="B363"/>
      <c r="C363"/>
      <c r="D363"/>
      <c r="E363"/>
      <c r="F363"/>
      <c r="G363"/>
      <c r="H363"/>
      <c r="I363"/>
    </row>
    <row r="364" spans="1:9" x14ac:dyDescent="0.25">
      <c r="A364"/>
      <c r="B364"/>
      <c r="C364"/>
      <c r="D364"/>
      <c r="E364"/>
      <c r="F364"/>
      <c r="G364"/>
      <c r="H364"/>
      <c r="I364"/>
    </row>
    <row r="365" spans="1:9" x14ac:dyDescent="0.25">
      <c r="A365"/>
      <c r="B365"/>
      <c r="C365"/>
      <c r="D365"/>
      <c r="E365"/>
      <c r="F365"/>
      <c r="G365"/>
      <c r="H365"/>
      <c r="I365"/>
    </row>
    <row r="366" spans="1:9" x14ac:dyDescent="0.25">
      <c r="A366"/>
      <c r="B366"/>
      <c r="C366"/>
      <c r="D366"/>
      <c r="E366"/>
      <c r="F366"/>
      <c r="G366"/>
      <c r="H366"/>
      <c r="I366"/>
    </row>
    <row r="367" spans="1:9" x14ac:dyDescent="0.25">
      <c r="A367"/>
      <c r="B367"/>
      <c r="C367"/>
      <c r="D367"/>
      <c r="E367"/>
      <c r="F367"/>
      <c r="G367"/>
      <c r="H367"/>
      <c r="I367"/>
    </row>
    <row r="368" spans="1:9" x14ac:dyDescent="0.25">
      <c r="A368"/>
      <c r="B368"/>
      <c r="C368"/>
      <c r="D368"/>
      <c r="E368"/>
      <c r="F368"/>
      <c r="G368"/>
      <c r="H368"/>
      <c r="I368"/>
    </row>
    <row r="369" spans="1:9" x14ac:dyDescent="0.25">
      <c r="A369"/>
      <c r="B369"/>
      <c r="C369"/>
      <c r="D369"/>
      <c r="E369"/>
      <c r="F369"/>
      <c r="G369"/>
      <c r="H369"/>
      <c r="I369"/>
    </row>
    <row r="370" spans="1:9" x14ac:dyDescent="0.25">
      <c r="A370"/>
      <c r="B370"/>
      <c r="C370"/>
      <c r="D370"/>
      <c r="E370"/>
      <c r="F370"/>
      <c r="G370"/>
      <c r="H370"/>
      <c r="I370"/>
    </row>
    <row r="371" spans="1:9" x14ac:dyDescent="0.25">
      <c r="A371"/>
      <c r="B371"/>
      <c r="C371"/>
      <c r="D371"/>
      <c r="E371"/>
      <c r="F371"/>
      <c r="G371"/>
      <c r="H371"/>
      <c r="I371"/>
    </row>
    <row r="372" spans="1:9" x14ac:dyDescent="0.25">
      <c r="A372"/>
      <c r="B372"/>
      <c r="C372"/>
      <c r="D372"/>
      <c r="E372"/>
      <c r="F372"/>
      <c r="G372"/>
      <c r="H372"/>
      <c r="I372"/>
    </row>
    <row r="373" spans="1:9" x14ac:dyDescent="0.25">
      <c r="A373"/>
      <c r="B373"/>
      <c r="C373"/>
      <c r="D373"/>
      <c r="E373"/>
      <c r="F373"/>
      <c r="G373"/>
      <c r="H373"/>
      <c r="I373"/>
    </row>
    <row r="374" spans="1:9" x14ac:dyDescent="0.25">
      <c r="A374"/>
      <c r="B374"/>
      <c r="C374"/>
      <c r="D374"/>
      <c r="E374"/>
      <c r="F374"/>
      <c r="G374"/>
      <c r="H374"/>
      <c r="I374"/>
    </row>
    <row r="375" spans="1:9" x14ac:dyDescent="0.25">
      <c r="A375"/>
      <c r="B375"/>
      <c r="C375"/>
      <c r="D375"/>
      <c r="E375"/>
      <c r="F375"/>
      <c r="G375"/>
      <c r="H375"/>
      <c r="I375"/>
    </row>
    <row r="376" spans="1:9" x14ac:dyDescent="0.25">
      <c r="A376"/>
      <c r="B376"/>
      <c r="C376"/>
      <c r="D376"/>
      <c r="E376"/>
      <c r="F376"/>
      <c r="G376"/>
      <c r="H376"/>
      <c r="I376"/>
    </row>
    <row r="377" spans="1:9" x14ac:dyDescent="0.25">
      <c r="A377"/>
      <c r="B377"/>
      <c r="C377"/>
      <c r="D377"/>
      <c r="E377"/>
      <c r="F377"/>
      <c r="G377"/>
      <c r="H377"/>
      <c r="I377"/>
    </row>
    <row r="378" spans="1:9" x14ac:dyDescent="0.25">
      <c r="A378"/>
      <c r="B378"/>
      <c r="C378"/>
      <c r="D378"/>
      <c r="E378"/>
      <c r="F378"/>
      <c r="G378"/>
      <c r="H378"/>
      <c r="I378"/>
    </row>
    <row r="379" spans="1:9" x14ac:dyDescent="0.25">
      <c r="A379"/>
      <c r="B379"/>
      <c r="C379"/>
      <c r="D379"/>
      <c r="E379"/>
      <c r="F379"/>
      <c r="G379"/>
      <c r="H379"/>
      <c r="I379"/>
    </row>
    <row r="380" spans="1:9" x14ac:dyDescent="0.25">
      <c r="A380"/>
      <c r="B380"/>
      <c r="C380"/>
      <c r="D380"/>
      <c r="E380"/>
      <c r="F380"/>
      <c r="G380"/>
      <c r="H380"/>
      <c r="I380"/>
    </row>
    <row r="381" spans="1:9" x14ac:dyDescent="0.25">
      <c r="A381"/>
      <c r="B381"/>
      <c r="C381"/>
      <c r="D381"/>
      <c r="E381"/>
      <c r="F381"/>
      <c r="G381"/>
      <c r="H381"/>
      <c r="I381"/>
    </row>
    <row r="382" spans="1:9" x14ac:dyDescent="0.25">
      <c r="A382"/>
      <c r="B382"/>
      <c r="C382"/>
      <c r="D382"/>
      <c r="E382"/>
      <c r="F382"/>
      <c r="G382"/>
      <c r="H382"/>
      <c r="I382"/>
    </row>
    <row r="383" spans="1:9" x14ac:dyDescent="0.25">
      <c r="A383"/>
      <c r="B383"/>
      <c r="C383"/>
      <c r="D383"/>
      <c r="E383"/>
      <c r="F383"/>
      <c r="G383"/>
      <c r="H383"/>
      <c r="I383"/>
    </row>
    <row r="384" spans="1:9" x14ac:dyDescent="0.25">
      <c r="A384"/>
      <c r="B384"/>
      <c r="C384"/>
      <c r="D384"/>
      <c r="E384"/>
      <c r="F384"/>
      <c r="G384"/>
      <c r="H384"/>
      <c r="I384"/>
    </row>
    <row r="385" spans="1:9" x14ac:dyDescent="0.25">
      <c r="A385"/>
      <c r="B385"/>
      <c r="C385"/>
      <c r="D385"/>
      <c r="E385"/>
      <c r="F385"/>
      <c r="G385"/>
      <c r="H385"/>
      <c r="I385"/>
    </row>
    <row r="386" spans="1:9" x14ac:dyDescent="0.25">
      <c r="A386"/>
      <c r="B386"/>
      <c r="C386"/>
      <c r="D386"/>
      <c r="E386"/>
      <c r="F386"/>
      <c r="G386"/>
      <c r="H386"/>
      <c r="I386"/>
    </row>
    <row r="387" spans="1:9" x14ac:dyDescent="0.25">
      <c r="A387"/>
      <c r="B387"/>
      <c r="C387"/>
      <c r="D387"/>
      <c r="E387"/>
      <c r="F387"/>
      <c r="G387"/>
      <c r="H387"/>
      <c r="I387"/>
    </row>
    <row r="388" spans="1:9" x14ac:dyDescent="0.25">
      <c r="A388"/>
      <c r="B388"/>
      <c r="C388"/>
      <c r="D388"/>
      <c r="E388"/>
      <c r="F388"/>
      <c r="G388"/>
      <c r="H388"/>
      <c r="I388"/>
    </row>
    <row r="389" spans="1:9" x14ac:dyDescent="0.25">
      <c r="A389"/>
      <c r="B389"/>
      <c r="C389"/>
      <c r="D389"/>
      <c r="E389"/>
      <c r="F389"/>
      <c r="G389"/>
      <c r="H389"/>
      <c r="I389"/>
    </row>
    <row r="390" spans="1:9" x14ac:dyDescent="0.25">
      <c r="A390"/>
      <c r="B390"/>
      <c r="C390"/>
      <c r="D390"/>
      <c r="E390"/>
      <c r="F390"/>
      <c r="G390"/>
      <c r="H390"/>
      <c r="I390"/>
    </row>
    <row r="391" spans="1:9" x14ac:dyDescent="0.25">
      <c r="A391"/>
      <c r="B391"/>
      <c r="C391"/>
      <c r="D391"/>
      <c r="E391"/>
      <c r="F391"/>
      <c r="G391"/>
      <c r="H391"/>
      <c r="I391"/>
    </row>
    <row r="392" spans="1:9" x14ac:dyDescent="0.25">
      <c r="A392"/>
      <c r="B392"/>
      <c r="C392"/>
      <c r="D392"/>
      <c r="E392"/>
      <c r="F392"/>
      <c r="G392"/>
      <c r="H392"/>
      <c r="I392"/>
    </row>
    <row r="393" spans="1:9" x14ac:dyDescent="0.25">
      <c r="A393"/>
      <c r="B393"/>
      <c r="C393"/>
      <c r="D393"/>
      <c r="E393"/>
      <c r="F393"/>
      <c r="G393"/>
      <c r="H393"/>
      <c r="I393"/>
    </row>
    <row r="394" spans="1:9" x14ac:dyDescent="0.25">
      <c r="A394"/>
      <c r="B394"/>
      <c r="C394"/>
      <c r="D394"/>
      <c r="E394"/>
      <c r="F394"/>
      <c r="G394"/>
      <c r="H394"/>
      <c r="I394"/>
    </row>
    <row r="395" spans="1:9" x14ac:dyDescent="0.25">
      <c r="A395"/>
      <c r="B395"/>
      <c r="C395"/>
      <c r="D395"/>
      <c r="E395"/>
      <c r="F395"/>
      <c r="G395"/>
      <c r="H395"/>
      <c r="I395"/>
    </row>
    <row r="396" spans="1:9" x14ac:dyDescent="0.25">
      <c r="A396"/>
      <c r="B396"/>
      <c r="C396"/>
      <c r="D396"/>
      <c r="E396"/>
      <c r="F396"/>
      <c r="G396"/>
      <c r="H396"/>
      <c r="I396"/>
    </row>
    <row r="397" spans="1:9" x14ac:dyDescent="0.25">
      <c r="A397"/>
      <c r="B397"/>
      <c r="C397"/>
      <c r="D397"/>
      <c r="E397"/>
      <c r="F397"/>
      <c r="G397"/>
      <c r="H397"/>
      <c r="I397"/>
    </row>
    <row r="398" spans="1:9" x14ac:dyDescent="0.25">
      <c r="A398"/>
      <c r="B398"/>
      <c r="C398"/>
      <c r="D398"/>
      <c r="E398"/>
      <c r="F398"/>
      <c r="G398"/>
      <c r="H398"/>
      <c r="I398"/>
    </row>
    <row r="399" spans="1:9" x14ac:dyDescent="0.25">
      <c r="A399"/>
      <c r="B399"/>
      <c r="C399"/>
      <c r="D399"/>
      <c r="E399"/>
      <c r="F399"/>
      <c r="G399"/>
      <c r="H399"/>
      <c r="I399"/>
    </row>
    <row r="400" spans="1:9" x14ac:dyDescent="0.25">
      <c r="A400"/>
      <c r="B400"/>
      <c r="C400"/>
      <c r="D400"/>
      <c r="E400"/>
      <c r="F400"/>
      <c r="G400"/>
      <c r="H400"/>
      <c r="I400"/>
    </row>
    <row r="401" spans="1:9" x14ac:dyDescent="0.25">
      <c r="A401"/>
      <c r="B401"/>
      <c r="C401"/>
      <c r="D401"/>
      <c r="E401"/>
      <c r="F401"/>
      <c r="G401"/>
      <c r="H401"/>
      <c r="I401"/>
    </row>
    <row r="402" spans="1:9" x14ac:dyDescent="0.25">
      <c r="A402"/>
      <c r="B402"/>
      <c r="C402"/>
      <c r="D402"/>
      <c r="E402"/>
      <c r="F402"/>
      <c r="G402"/>
      <c r="H402"/>
      <c r="I402"/>
    </row>
    <row r="403" spans="1:9" x14ac:dyDescent="0.25">
      <c r="A403"/>
      <c r="B403"/>
      <c r="C403"/>
      <c r="D403"/>
      <c r="E403"/>
      <c r="F403"/>
      <c r="G403"/>
      <c r="H403"/>
      <c r="I403"/>
    </row>
    <row r="404" spans="1:9" x14ac:dyDescent="0.25">
      <c r="A404"/>
      <c r="B404"/>
      <c r="C404"/>
      <c r="D404"/>
      <c r="E404"/>
      <c r="F404"/>
      <c r="G404"/>
      <c r="H404"/>
      <c r="I404"/>
    </row>
    <row r="405" spans="1:9" x14ac:dyDescent="0.25">
      <c r="A405"/>
      <c r="B405"/>
      <c r="C405"/>
      <c r="D405"/>
      <c r="E405"/>
      <c r="F405"/>
      <c r="G405"/>
      <c r="H405"/>
      <c r="I405"/>
    </row>
    <row r="406" spans="1:9" x14ac:dyDescent="0.25">
      <c r="A406"/>
      <c r="B406"/>
      <c r="C406"/>
      <c r="D406"/>
      <c r="E406"/>
      <c r="F406"/>
      <c r="G406"/>
      <c r="H406"/>
      <c r="I406"/>
    </row>
    <row r="407" spans="1:9" x14ac:dyDescent="0.25">
      <c r="A407"/>
      <c r="B407"/>
      <c r="C407"/>
      <c r="D407"/>
      <c r="E407"/>
      <c r="F407"/>
      <c r="G407"/>
      <c r="H407"/>
      <c r="I407"/>
    </row>
    <row r="408" spans="1:9" x14ac:dyDescent="0.25">
      <c r="A408"/>
      <c r="B408"/>
      <c r="C408"/>
      <c r="D408"/>
      <c r="E408"/>
      <c r="F408"/>
      <c r="G408"/>
      <c r="H408"/>
      <c r="I408"/>
    </row>
    <row r="409" spans="1:9" x14ac:dyDescent="0.25">
      <c r="A409"/>
      <c r="B409"/>
      <c r="C409"/>
      <c r="D409"/>
      <c r="E409"/>
      <c r="F409"/>
      <c r="G409"/>
      <c r="H409"/>
      <c r="I409"/>
    </row>
    <row r="410" spans="1:9" x14ac:dyDescent="0.25">
      <c r="A410"/>
      <c r="B410"/>
      <c r="C410"/>
      <c r="D410"/>
      <c r="E410"/>
      <c r="F410"/>
      <c r="G410"/>
      <c r="H410"/>
      <c r="I410"/>
    </row>
    <row r="411" spans="1:9" x14ac:dyDescent="0.25">
      <c r="A411"/>
      <c r="B411"/>
      <c r="C411"/>
      <c r="D411"/>
      <c r="E411"/>
      <c r="F411"/>
      <c r="G411"/>
      <c r="H411"/>
      <c r="I411"/>
    </row>
    <row r="412" spans="1:9" x14ac:dyDescent="0.25">
      <c r="A412"/>
      <c r="B412"/>
      <c r="C412"/>
      <c r="D412"/>
      <c r="E412"/>
      <c r="F412"/>
      <c r="G412"/>
      <c r="H412"/>
      <c r="I412"/>
    </row>
    <row r="413" spans="1:9" x14ac:dyDescent="0.25">
      <c r="A413"/>
      <c r="B413"/>
      <c r="C413"/>
      <c r="D413"/>
      <c r="E413"/>
      <c r="F413"/>
      <c r="G413"/>
      <c r="H413"/>
      <c r="I413"/>
    </row>
    <row r="414" spans="1:9" x14ac:dyDescent="0.25">
      <c r="A414"/>
      <c r="B414"/>
      <c r="C414"/>
      <c r="D414"/>
      <c r="E414"/>
      <c r="F414"/>
      <c r="G414"/>
      <c r="H414"/>
      <c r="I414"/>
    </row>
    <row r="415" spans="1:9" x14ac:dyDescent="0.25">
      <c r="A415"/>
      <c r="B415"/>
      <c r="C415"/>
      <c r="D415"/>
      <c r="E415"/>
      <c r="F415"/>
      <c r="G415"/>
      <c r="H415"/>
      <c r="I415"/>
    </row>
    <row r="416" spans="1:9" x14ac:dyDescent="0.25">
      <c r="A416"/>
      <c r="B416"/>
      <c r="C416"/>
      <c r="D416"/>
      <c r="E416"/>
      <c r="F416"/>
      <c r="G416"/>
      <c r="H416"/>
      <c r="I416"/>
    </row>
    <row r="417" spans="1:9" x14ac:dyDescent="0.25">
      <c r="A417"/>
      <c r="B417"/>
      <c r="C417"/>
      <c r="D417"/>
      <c r="E417"/>
      <c r="F417"/>
      <c r="G417"/>
      <c r="H417"/>
      <c r="I417"/>
    </row>
    <row r="418" spans="1:9" x14ac:dyDescent="0.25">
      <c r="A418"/>
      <c r="B418"/>
      <c r="C418"/>
      <c r="D418"/>
      <c r="E418"/>
      <c r="F418"/>
      <c r="G418"/>
      <c r="H418"/>
      <c r="I418"/>
    </row>
    <row r="419" spans="1:9" x14ac:dyDescent="0.25">
      <c r="A419"/>
      <c r="B419"/>
      <c r="C419"/>
      <c r="D419"/>
      <c r="E419"/>
      <c r="F419"/>
      <c r="G419"/>
      <c r="H419"/>
      <c r="I419"/>
    </row>
    <row r="420" spans="1:9" x14ac:dyDescent="0.25">
      <c r="A420"/>
      <c r="B420"/>
      <c r="C420"/>
      <c r="D420"/>
      <c r="E420"/>
      <c r="F420"/>
      <c r="G420"/>
      <c r="H420"/>
      <c r="I420"/>
    </row>
    <row r="421" spans="1:9" x14ac:dyDescent="0.25">
      <c r="A421"/>
      <c r="B421"/>
      <c r="C421"/>
      <c r="D421"/>
      <c r="E421"/>
      <c r="F421"/>
      <c r="G421"/>
      <c r="H421"/>
      <c r="I421"/>
    </row>
    <row r="422" spans="1:9" x14ac:dyDescent="0.25">
      <c r="A422"/>
      <c r="B422"/>
      <c r="C422"/>
      <c r="D422"/>
      <c r="E422"/>
      <c r="F422"/>
      <c r="G422"/>
      <c r="H422"/>
      <c r="I422"/>
    </row>
    <row r="423" spans="1:9" x14ac:dyDescent="0.25">
      <c r="A423"/>
      <c r="B423"/>
      <c r="C423"/>
      <c r="D423"/>
      <c r="E423"/>
      <c r="F423"/>
      <c r="G423"/>
      <c r="H423"/>
      <c r="I423"/>
    </row>
    <row r="424" spans="1:9" x14ac:dyDescent="0.25">
      <c r="A424"/>
      <c r="B424"/>
      <c r="C424"/>
      <c r="D424"/>
      <c r="E424"/>
      <c r="F424"/>
      <c r="G424"/>
      <c r="H424"/>
      <c r="I424"/>
    </row>
    <row r="425" spans="1:9" x14ac:dyDescent="0.25">
      <c r="A425"/>
      <c r="B425"/>
      <c r="C425"/>
      <c r="D425"/>
      <c r="E425"/>
      <c r="F425"/>
      <c r="G425"/>
      <c r="H425"/>
      <c r="I425"/>
    </row>
    <row r="426" spans="1:9" x14ac:dyDescent="0.25">
      <c r="A426"/>
      <c r="B426"/>
      <c r="C426"/>
      <c r="D426"/>
      <c r="E426"/>
      <c r="F426"/>
      <c r="G426"/>
      <c r="H426"/>
      <c r="I426"/>
    </row>
    <row r="427" spans="1:9" x14ac:dyDescent="0.25">
      <c r="A427"/>
      <c r="B427"/>
      <c r="C427"/>
      <c r="D427"/>
      <c r="E427"/>
      <c r="F427"/>
      <c r="G427"/>
      <c r="H427"/>
      <c r="I427"/>
    </row>
    <row r="428" spans="1:9" x14ac:dyDescent="0.25">
      <c r="A428"/>
      <c r="B428"/>
      <c r="C428"/>
      <c r="D428"/>
      <c r="E428"/>
      <c r="F428"/>
      <c r="G428"/>
      <c r="H428"/>
      <c r="I428"/>
    </row>
    <row r="429" spans="1:9" x14ac:dyDescent="0.25">
      <c r="A429"/>
      <c r="B429"/>
      <c r="C429"/>
      <c r="D429"/>
      <c r="E429"/>
      <c r="F429"/>
      <c r="G429"/>
      <c r="H429"/>
      <c r="I429"/>
    </row>
    <row r="430" spans="1:9" x14ac:dyDescent="0.25">
      <c r="A430"/>
      <c r="B430"/>
      <c r="C430"/>
      <c r="D430"/>
      <c r="E430"/>
      <c r="F430"/>
      <c r="G430"/>
      <c r="H430"/>
      <c r="I430"/>
    </row>
    <row r="431" spans="1:9" x14ac:dyDescent="0.25">
      <c r="A431"/>
      <c r="B431"/>
      <c r="C431"/>
      <c r="D431"/>
      <c r="E431"/>
      <c r="F431"/>
      <c r="G431"/>
      <c r="H431"/>
      <c r="I431"/>
    </row>
    <row r="432" spans="1:9" x14ac:dyDescent="0.25">
      <c r="A432"/>
      <c r="B432"/>
      <c r="C432"/>
      <c r="D432"/>
      <c r="E432"/>
      <c r="F432"/>
      <c r="G432"/>
      <c r="H432"/>
      <c r="I432"/>
    </row>
    <row r="433" spans="1:9" x14ac:dyDescent="0.25">
      <c r="A433"/>
      <c r="B433"/>
      <c r="C433"/>
      <c r="D433"/>
      <c r="E433"/>
      <c r="F433"/>
      <c r="G433"/>
      <c r="H433"/>
      <c r="I433"/>
    </row>
    <row r="434" spans="1:9" x14ac:dyDescent="0.25">
      <c r="A434"/>
      <c r="B434"/>
      <c r="C434"/>
      <c r="D434"/>
      <c r="E434"/>
      <c r="F434"/>
      <c r="G434"/>
      <c r="H434"/>
      <c r="I434"/>
    </row>
    <row r="435" spans="1:9" x14ac:dyDescent="0.25">
      <c r="A435"/>
      <c r="B435"/>
      <c r="C435"/>
      <c r="D435"/>
      <c r="E435"/>
      <c r="F435"/>
      <c r="G435"/>
      <c r="H435"/>
      <c r="I435"/>
    </row>
    <row r="436" spans="1:9" x14ac:dyDescent="0.25">
      <c r="A436"/>
      <c r="B436"/>
      <c r="C436"/>
      <c r="D436"/>
      <c r="E436"/>
      <c r="F436"/>
      <c r="G436"/>
      <c r="H436"/>
      <c r="I436"/>
    </row>
    <row r="437" spans="1:9" x14ac:dyDescent="0.25">
      <c r="A437"/>
      <c r="B437"/>
      <c r="C437"/>
      <c r="D437"/>
      <c r="E437"/>
      <c r="F437"/>
      <c r="G437"/>
      <c r="H437"/>
      <c r="I437"/>
    </row>
    <row r="438" spans="1:9" x14ac:dyDescent="0.25">
      <c r="A438"/>
      <c r="B438"/>
      <c r="C438"/>
      <c r="D438"/>
      <c r="E438"/>
      <c r="F438"/>
      <c r="G438"/>
      <c r="H438"/>
      <c r="I438"/>
    </row>
    <row r="439" spans="1:9" x14ac:dyDescent="0.25">
      <c r="A439"/>
      <c r="B439"/>
      <c r="C439"/>
      <c r="D439"/>
      <c r="E439"/>
      <c r="F439"/>
      <c r="G439"/>
      <c r="H439"/>
      <c r="I439"/>
    </row>
    <row r="440" spans="1:9" x14ac:dyDescent="0.25">
      <c r="A440"/>
      <c r="B440"/>
      <c r="C440"/>
      <c r="D440"/>
      <c r="E440"/>
      <c r="F440"/>
      <c r="G440"/>
      <c r="H440"/>
      <c r="I440"/>
    </row>
    <row r="441" spans="1:9" x14ac:dyDescent="0.25">
      <c r="A441"/>
      <c r="B441"/>
      <c r="C441"/>
      <c r="D441"/>
      <c r="E441"/>
      <c r="F441"/>
      <c r="G441"/>
      <c r="H441"/>
      <c r="I441"/>
    </row>
    <row r="442" spans="1:9" x14ac:dyDescent="0.25">
      <c r="A442"/>
      <c r="B442"/>
      <c r="C442"/>
      <c r="D442"/>
      <c r="E442"/>
      <c r="F442"/>
      <c r="G442"/>
      <c r="H442"/>
      <c r="I442"/>
    </row>
    <row r="443" spans="1:9" x14ac:dyDescent="0.25">
      <c r="A443"/>
      <c r="B443"/>
      <c r="C443"/>
      <c r="D443"/>
      <c r="E443"/>
      <c r="F443"/>
      <c r="G443"/>
      <c r="H443"/>
      <c r="I443"/>
    </row>
    <row r="444" spans="1:9" x14ac:dyDescent="0.25">
      <c r="A444"/>
      <c r="B444"/>
      <c r="C444"/>
      <c r="D444"/>
      <c r="E444"/>
      <c r="F444"/>
      <c r="G444"/>
      <c r="H444"/>
      <c r="I444"/>
    </row>
    <row r="445" spans="1:9" x14ac:dyDescent="0.25">
      <c r="A445"/>
      <c r="B445"/>
      <c r="C445"/>
      <c r="D445"/>
      <c r="E445"/>
      <c r="F445"/>
      <c r="G445"/>
      <c r="H445"/>
      <c r="I445"/>
    </row>
    <row r="446" spans="1:9" x14ac:dyDescent="0.25">
      <c r="A446"/>
      <c r="B446"/>
      <c r="C446"/>
      <c r="D446"/>
      <c r="E446"/>
      <c r="F446"/>
      <c r="G446"/>
      <c r="H446"/>
      <c r="I446"/>
    </row>
    <row r="447" spans="1:9" x14ac:dyDescent="0.25">
      <c r="A447"/>
      <c r="B447"/>
      <c r="C447"/>
      <c r="D447"/>
      <c r="E447"/>
      <c r="F447"/>
      <c r="G447"/>
      <c r="H447"/>
      <c r="I447"/>
    </row>
    <row r="448" spans="1:9" x14ac:dyDescent="0.25">
      <c r="A448"/>
      <c r="B448"/>
      <c r="C448"/>
      <c r="D448"/>
      <c r="E448"/>
      <c r="F448"/>
      <c r="G448"/>
      <c r="H448"/>
      <c r="I448"/>
    </row>
    <row r="449" spans="1:9" x14ac:dyDescent="0.25">
      <c r="A449"/>
      <c r="B449"/>
      <c r="C449"/>
      <c r="D449"/>
      <c r="E449"/>
      <c r="F449"/>
      <c r="G449"/>
      <c r="H449"/>
      <c r="I449"/>
    </row>
    <row r="450" spans="1:9" x14ac:dyDescent="0.25">
      <c r="A450"/>
      <c r="B450"/>
      <c r="C450"/>
      <c r="D450"/>
      <c r="E450"/>
      <c r="F450"/>
      <c r="G450"/>
      <c r="H450"/>
      <c r="I450"/>
    </row>
    <row r="451" spans="1:9" x14ac:dyDescent="0.25">
      <c r="A451"/>
      <c r="B451"/>
      <c r="C451"/>
      <c r="D451"/>
      <c r="E451"/>
      <c r="F451"/>
      <c r="G451"/>
      <c r="H451"/>
      <c r="I451"/>
    </row>
    <row r="452" spans="1:9" x14ac:dyDescent="0.25">
      <c r="A452"/>
      <c r="B452"/>
      <c r="C452"/>
      <c r="D452"/>
      <c r="E452"/>
      <c r="F452"/>
      <c r="G452"/>
      <c r="H452"/>
      <c r="I452"/>
    </row>
    <row r="453" spans="1:9" x14ac:dyDescent="0.25">
      <c r="A453"/>
      <c r="B453"/>
      <c r="C453"/>
      <c r="D453"/>
      <c r="E453"/>
      <c r="F453"/>
      <c r="G453"/>
      <c r="H453"/>
      <c r="I453"/>
    </row>
    <row r="454" spans="1:9" x14ac:dyDescent="0.25">
      <c r="A454"/>
      <c r="B454"/>
      <c r="C454"/>
      <c r="D454"/>
      <c r="E454"/>
      <c r="F454"/>
      <c r="G454"/>
      <c r="H454"/>
      <c r="I454"/>
    </row>
    <row r="455" spans="1:9" x14ac:dyDescent="0.25">
      <c r="A455"/>
      <c r="B455"/>
      <c r="C455"/>
      <c r="D455"/>
      <c r="E455"/>
      <c r="F455"/>
      <c r="G455"/>
      <c r="H455"/>
      <c r="I455"/>
    </row>
    <row r="456" spans="1:9" x14ac:dyDescent="0.25">
      <c r="A456"/>
      <c r="B456"/>
      <c r="C456"/>
      <c r="D456"/>
      <c r="E456"/>
      <c r="F456"/>
      <c r="G456"/>
      <c r="H456"/>
      <c r="I456"/>
    </row>
    <row r="457" spans="1:9" x14ac:dyDescent="0.25">
      <c r="A457"/>
      <c r="B457"/>
      <c r="C457"/>
      <c r="D457"/>
      <c r="E457"/>
      <c r="F457"/>
      <c r="G457"/>
      <c r="H457"/>
      <c r="I457"/>
    </row>
    <row r="458" spans="1:9" x14ac:dyDescent="0.25">
      <c r="A458"/>
      <c r="B458"/>
      <c r="C458"/>
      <c r="D458"/>
      <c r="E458"/>
      <c r="F458"/>
      <c r="G458"/>
      <c r="H458"/>
      <c r="I458"/>
    </row>
    <row r="459" spans="1:9" x14ac:dyDescent="0.25">
      <c r="A459"/>
      <c r="B459"/>
      <c r="C459"/>
      <c r="D459"/>
      <c r="E459"/>
      <c r="F459"/>
      <c r="G459"/>
      <c r="H459"/>
      <c r="I459"/>
    </row>
    <row r="460" spans="1:9" x14ac:dyDescent="0.25">
      <c r="A460"/>
      <c r="B460"/>
      <c r="C460"/>
      <c r="D460"/>
      <c r="E460"/>
      <c r="F460"/>
      <c r="G460"/>
      <c r="H460"/>
      <c r="I460"/>
    </row>
    <row r="461" spans="1:9" x14ac:dyDescent="0.25">
      <c r="A461"/>
      <c r="B461"/>
      <c r="C461"/>
      <c r="D461"/>
      <c r="E461"/>
      <c r="F461"/>
      <c r="G461"/>
      <c r="H461"/>
      <c r="I461"/>
    </row>
    <row r="462" spans="1:9" x14ac:dyDescent="0.25">
      <c r="A462"/>
      <c r="B462"/>
      <c r="C462"/>
      <c r="D462"/>
      <c r="E462"/>
      <c r="F462"/>
      <c r="G462"/>
      <c r="H462"/>
      <c r="I462"/>
    </row>
    <row r="463" spans="1:9" x14ac:dyDescent="0.25">
      <c r="A463"/>
      <c r="B463"/>
      <c r="C463"/>
      <c r="D463"/>
      <c r="E463"/>
      <c r="F463"/>
      <c r="G463"/>
      <c r="H463"/>
      <c r="I463"/>
    </row>
    <row r="464" spans="1:9" x14ac:dyDescent="0.25">
      <c r="A464"/>
      <c r="B464"/>
      <c r="C464"/>
      <c r="D464"/>
      <c r="E464"/>
      <c r="F464"/>
      <c r="G464"/>
      <c r="H464"/>
      <c r="I464"/>
    </row>
    <row r="465" spans="1:9" x14ac:dyDescent="0.25">
      <c r="A465"/>
      <c r="B465"/>
      <c r="C465"/>
      <c r="D465"/>
      <c r="E465"/>
      <c r="F465"/>
      <c r="G465"/>
      <c r="H465"/>
      <c r="I465"/>
    </row>
    <row r="466" spans="1:9" x14ac:dyDescent="0.25">
      <c r="A466"/>
      <c r="B466"/>
      <c r="C466"/>
      <c r="D466"/>
      <c r="E466"/>
      <c r="F466"/>
      <c r="G466"/>
      <c r="H466"/>
      <c r="I466"/>
    </row>
    <row r="467" spans="1:9" x14ac:dyDescent="0.25">
      <c r="A467"/>
      <c r="B467"/>
      <c r="C467"/>
      <c r="D467"/>
      <c r="E467"/>
      <c r="F467"/>
      <c r="G467"/>
      <c r="H467"/>
      <c r="I467"/>
    </row>
    <row r="468" spans="1:9" x14ac:dyDescent="0.25">
      <c r="A468"/>
      <c r="B468"/>
      <c r="C468"/>
      <c r="D468"/>
      <c r="E468"/>
      <c r="F468"/>
      <c r="G468"/>
      <c r="H468"/>
      <c r="I468"/>
    </row>
    <row r="469" spans="1:9" x14ac:dyDescent="0.25">
      <c r="A469"/>
      <c r="B469"/>
      <c r="C469"/>
      <c r="D469"/>
      <c r="E469"/>
      <c r="F469"/>
      <c r="G469"/>
      <c r="H469"/>
      <c r="I469"/>
    </row>
    <row r="470" spans="1:9" x14ac:dyDescent="0.25">
      <c r="A470"/>
      <c r="B470"/>
      <c r="C470"/>
      <c r="D470"/>
      <c r="E470"/>
      <c r="F470"/>
      <c r="G470"/>
      <c r="H470"/>
      <c r="I470"/>
    </row>
    <row r="471" spans="1:9" x14ac:dyDescent="0.25">
      <c r="A471"/>
      <c r="B471"/>
      <c r="C471"/>
      <c r="D471"/>
      <c r="E471"/>
      <c r="F471"/>
      <c r="G471"/>
      <c r="H471"/>
      <c r="I471"/>
    </row>
    <row r="472" spans="1:9" x14ac:dyDescent="0.25">
      <c r="A472"/>
      <c r="B472"/>
      <c r="C472"/>
      <c r="D472"/>
      <c r="E472"/>
      <c r="F472"/>
      <c r="G472"/>
      <c r="H472"/>
      <c r="I472"/>
    </row>
    <row r="473" spans="1:9" x14ac:dyDescent="0.25">
      <c r="A473"/>
      <c r="B473"/>
      <c r="C473"/>
      <c r="D473"/>
      <c r="E473"/>
      <c r="F473"/>
      <c r="G473"/>
      <c r="H473"/>
      <c r="I473"/>
    </row>
    <row r="474" spans="1:9" x14ac:dyDescent="0.25">
      <c r="A474"/>
      <c r="B474"/>
      <c r="C474"/>
      <c r="D474"/>
      <c r="E474"/>
      <c r="F474"/>
      <c r="G474"/>
      <c r="H474"/>
      <c r="I474"/>
    </row>
    <row r="475" spans="1:9" x14ac:dyDescent="0.25">
      <c r="A475"/>
      <c r="B475"/>
      <c r="C475"/>
      <c r="D475"/>
      <c r="E475"/>
      <c r="F475"/>
      <c r="G475"/>
      <c r="H475"/>
      <c r="I475"/>
    </row>
    <row r="476" spans="1:9" x14ac:dyDescent="0.25">
      <c r="A476"/>
      <c r="B476"/>
      <c r="C476"/>
      <c r="D476"/>
      <c r="E476"/>
      <c r="F476"/>
      <c r="G476"/>
      <c r="H476"/>
      <c r="I476"/>
    </row>
    <row r="477" spans="1:9" x14ac:dyDescent="0.25">
      <c r="A477"/>
      <c r="B477"/>
      <c r="C477"/>
      <c r="D477"/>
      <c r="E477"/>
      <c r="F477"/>
      <c r="G477"/>
      <c r="H477"/>
      <c r="I477"/>
    </row>
    <row r="478" spans="1:9" x14ac:dyDescent="0.25">
      <c r="A478"/>
      <c r="B478"/>
      <c r="C478"/>
      <c r="D478"/>
      <c r="E478"/>
      <c r="F478"/>
      <c r="G478"/>
      <c r="H478"/>
      <c r="I478"/>
    </row>
    <row r="479" spans="1:9" x14ac:dyDescent="0.25">
      <c r="A479"/>
      <c r="B479"/>
      <c r="C479"/>
      <c r="D479"/>
      <c r="E479"/>
      <c r="F479"/>
      <c r="G479"/>
      <c r="H479"/>
      <c r="I479"/>
    </row>
    <row r="480" spans="1:9" x14ac:dyDescent="0.25">
      <c r="A480"/>
      <c r="B480"/>
      <c r="C480"/>
      <c r="D480"/>
      <c r="E480"/>
      <c r="F480"/>
      <c r="G480"/>
      <c r="H480"/>
      <c r="I480"/>
    </row>
    <row r="481" spans="1:9" x14ac:dyDescent="0.25">
      <c r="A481"/>
      <c r="B481"/>
      <c r="C481"/>
      <c r="D481"/>
      <c r="E481"/>
      <c r="F481"/>
      <c r="G481"/>
      <c r="H481"/>
      <c r="I481"/>
    </row>
    <row r="482" spans="1:9" x14ac:dyDescent="0.25">
      <c r="A482"/>
      <c r="B482"/>
      <c r="C482"/>
      <c r="D482"/>
      <c r="E482"/>
      <c r="F482"/>
      <c r="G482"/>
      <c r="H482"/>
      <c r="I482"/>
    </row>
    <row r="483" spans="1:9" x14ac:dyDescent="0.25">
      <c r="A483"/>
      <c r="B483"/>
      <c r="C483"/>
      <c r="D483"/>
      <c r="E483"/>
      <c r="F483"/>
      <c r="G483"/>
      <c r="H483"/>
      <c r="I483"/>
    </row>
    <row r="484" spans="1:9" x14ac:dyDescent="0.25">
      <c r="A484"/>
      <c r="B484"/>
      <c r="C484"/>
      <c r="D484"/>
      <c r="E484"/>
      <c r="F484"/>
      <c r="G484"/>
      <c r="H484"/>
      <c r="I484"/>
    </row>
    <row r="485" spans="1:9" x14ac:dyDescent="0.25">
      <c r="A485"/>
      <c r="B485"/>
      <c r="C485"/>
      <c r="D485"/>
      <c r="E485"/>
      <c r="F485"/>
      <c r="G485"/>
      <c r="H485"/>
      <c r="I485"/>
    </row>
    <row r="486" spans="1:9" x14ac:dyDescent="0.25">
      <c r="A486"/>
      <c r="B486"/>
      <c r="C486"/>
      <c r="D486"/>
      <c r="E486"/>
      <c r="F486"/>
      <c r="G486"/>
      <c r="H486"/>
      <c r="I486"/>
    </row>
    <row r="487" spans="1:9" x14ac:dyDescent="0.25">
      <c r="A487"/>
      <c r="B487"/>
      <c r="C487"/>
      <c r="D487"/>
      <c r="E487"/>
      <c r="F487"/>
      <c r="G487"/>
      <c r="H487"/>
      <c r="I487"/>
    </row>
    <row r="488" spans="1:9" x14ac:dyDescent="0.25">
      <c r="A488"/>
      <c r="B488"/>
      <c r="C488"/>
      <c r="D488"/>
      <c r="E488"/>
      <c r="F488"/>
      <c r="G488"/>
      <c r="H488"/>
      <c r="I488"/>
    </row>
    <row r="489" spans="1:9" x14ac:dyDescent="0.25">
      <c r="A489"/>
      <c r="B489"/>
      <c r="C489"/>
      <c r="D489"/>
      <c r="E489"/>
      <c r="F489"/>
      <c r="G489"/>
      <c r="H489"/>
      <c r="I489"/>
    </row>
    <row r="490" spans="1:9" x14ac:dyDescent="0.25">
      <c r="A490"/>
      <c r="B490"/>
      <c r="C490"/>
      <c r="D490"/>
      <c r="E490"/>
      <c r="F490"/>
      <c r="G490"/>
      <c r="H490"/>
      <c r="I490"/>
    </row>
    <row r="491" spans="1:9" x14ac:dyDescent="0.25">
      <c r="A491"/>
      <c r="B491"/>
      <c r="C491"/>
      <c r="D491"/>
      <c r="E491"/>
      <c r="F491"/>
      <c r="G491"/>
      <c r="H491"/>
      <c r="I491"/>
    </row>
    <row r="492" spans="1:9" x14ac:dyDescent="0.25">
      <c r="A492"/>
      <c r="B492"/>
      <c r="C492"/>
      <c r="D492"/>
      <c r="E492"/>
      <c r="F492"/>
      <c r="G492"/>
      <c r="H492"/>
      <c r="I492"/>
    </row>
    <row r="493" spans="1:9" x14ac:dyDescent="0.25">
      <c r="A493"/>
      <c r="B493"/>
      <c r="C493"/>
      <c r="D493"/>
      <c r="E493"/>
      <c r="F493"/>
      <c r="G493"/>
      <c r="H493"/>
      <c r="I493"/>
    </row>
    <row r="494" spans="1:9" x14ac:dyDescent="0.25">
      <c r="A494"/>
      <c r="B494"/>
      <c r="C494"/>
      <c r="D494"/>
      <c r="E494"/>
      <c r="F494"/>
      <c r="G494"/>
      <c r="H494"/>
      <c r="I494"/>
    </row>
    <row r="495" spans="1:9" x14ac:dyDescent="0.25">
      <c r="A495"/>
      <c r="B495"/>
      <c r="C495"/>
      <c r="D495"/>
      <c r="E495"/>
      <c r="F495"/>
      <c r="G495"/>
      <c r="H495"/>
      <c r="I495"/>
    </row>
    <row r="496" spans="1:9" x14ac:dyDescent="0.25">
      <c r="A496"/>
      <c r="B496"/>
      <c r="C496"/>
      <c r="D496"/>
      <c r="E496"/>
      <c r="F496"/>
      <c r="G496"/>
      <c r="H496"/>
      <c r="I496"/>
    </row>
    <row r="497" spans="1:9" x14ac:dyDescent="0.25">
      <c r="A497"/>
      <c r="B497"/>
      <c r="C497"/>
      <c r="D497"/>
      <c r="E497"/>
      <c r="F497"/>
      <c r="G497"/>
      <c r="H497"/>
      <c r="I497"/>
    </row>
    <row r="498" spans="1:9" x14ac:dyDescent="0.25">
      <c r="A498"/>
      <c r="B498"/>
      <c r="C498"/>
      <c r="D498"/>
      <c r="E498"/>
      <c r="F498"/>
      <c r="G498"/>
      <c r="H498"/>
      <c r="I498"/>
    </row>
    <row r="499" spans="1:9" x14ac:dyDescent="0.25">
      <c r="A499"/>
      <c r="B499"/>
      <c r="C499"/>
      <c r="D499"/>
      <c r="E499"/>
      <c r="F499"/>
      <c r="G499"/>
      <c r="H499"/>
      <c r="I499"/>
    </row>
    <row r="500" spans="1:9" x14ac:dyDescent="0.25">
      <c r="A500"/>
      <c r="B500"/>
      <c r="C500"/>
      <c r="D500"/>
      <c r="E500"/>
      <c r="F500"/>
      <c r="G500"/>
      <c r="H500"/>
      <c r="I500"/>
    </row>
    <row r="501" spans="1:9" x14ac:dyDescent="0.25">
      <c r="A501"/>
      <c r="B501"/>
      <c r="C501"/>
      <c r="D501"/>
      <c r="E501"/>
      <c r="F501"/>
      <c r="G501"/>
      <c r="H501"/>
      <c r="I501"/>
    </row>
    <row r="502" spans="1:9" x14ac:dyDescent="0.25">
      <c r="A502"/>
      <c r="B502"/>
      <c r="C502"/>
      <c r="D502"/>
      <c r="E502"/>
      <c r="F502"/>
      <c r="G502"/>
      <c r="H502"/>
      <c r="I502"/>
    </row>
    <row r="503" spans="1:9" x14ac:dyDescent="0.25">
      <c r="A503"/>
      <c r="B503"/>
      <c r="C503"/>
      <c r="D503"/>
      <c r="E503"/>
      <c r="F503"/>
      <c r="G503"/>
      <c r="H503"/>
      <c r="I503"/>
    </row>
    <row r="504" spans="1:9" x14ac:dyDescent="0.25">
      <c r="A504"/>
      <c r="B504"/>
      <c r="C504"/>
      <c r="D504"/>
      <c r="E504"/>
      <c r="F504"/>
      <c r="G504"/>
      <c r="H504"/>
      <c r="I504"/>
    </row>
    <row r="505" spans="1:9" x14ac:dyDescent="0.25">
      <c r="A505"/>
      <c r="B505"/>
      <c r="C505"/>
      <c r="D505"/>
      <c r="E505"/>
      <c r="F505"/>
      <c r="G505"/>
      <c r="H505"/>
      <c r="I505"/>
    </row>
    <row r="506" spans="1:9" x14ac:dyDescent="0.25">
      <c r="A506"/>
      <c r="B506"/>
      <c r="C506"/>
      <c r="D506"/>
      <c r="E506"/>
      <c r="F506"/>
      <c r="G506"/>
      <c r="H506"/>
      <c r="I506"/>
    </row>
    <row r="507" spans="1:9" x14ac:dyDescent="0.25">
      <c r="A507"/>
      <c r="B507"/>
      <c r="C507"/>
      <c r="D507"/>
      <c r="E507"/>
      <c r="F507"/>
      <c r="G507"/>
      <c r="H507"/>
      <c r="I507"/>
    </row>
    <row r="508" spans="1:9" x14ac:dyDescent="0.25">
      <c r="A508"/>
      <c r="B508"/>
      <c r="C508"/>
      <c r="D508"/>
      <c r="E508"/>
      <c r="F508"/>
      <c r="G508"/>
      <c r="H508"/>
      <c r="I508"/>
    </row>
    <row r="509" spans="1:9" x14ac:dyDescent="0.25">
      <c r="A509"/>
      <c r="B509"/>
      <c r="C509"/>
      <c r="D509"/>
      <c r="E509"/>
      <c r="F509"/>
      <c r="G509"/>
      <c r="H509"/>
      <c r="I509"/>
    </row>
    <row r="510" spans="1:9" x14ac:dyDescent="0.25">
      <c r="A510"/>
      <c r="B510"/>
      <c r="C510"/>
      <c r="D510"/>
      <c r="E510"/>
      <c r="F510"/>
      <c r="G510"/>
      <c r="H510"/>
      <c r="I510"/>
    </row>
    <row r="511" spans="1:9" x14ac:dyDescent="0.25">
      <c r="A511"/>
      <c r="B511"/>
      <c r="C511"/>
      <c r="D511"/>
      <c r="E511"/>
      <c r="F511"/>
      <c r="G511"/>
      <c r="H511"/>
      <c r="I511"/>
    </row>
    <row r="512" spans="1:9" x14ac:dyDescent="0.25">
      <c r="A512"/>
      <c r="B512"/>
      <c r="C512"/>
      <c r="D512"/>
      <c r="E512"/>
      <c r="F512"/>
      <c r="G512"/>
      <c r="H512"/>
      <c r="I512"/>
    </row>
    <row r="513" spans="1:9" x14ac:dyDescent="0.25">
      <c r="A513"/>
      <c r="B513"/>
      <c r="C513"/>
      <c r="D513"/>
      <c r="E513"/>
      <c r="F513"/>
      <c r="G513"/>
      <c r="H513"/>
      <c r="I513"/>
    </row>
    <row r="514" spans="1:9" x14ac:dyDescent="0.25">
      <c r="A514"/>
      <c r="B514"/>
      <c r="C514"/>
      <c r="D514"/>
      <c r="E514"/>
      <c r="F514"/>
      <c r="G514"/>
      <c r="H514"/>
      <c r="I514"/>
    </row>
    <row r="515" spans="1:9" x14ac:dyDescent="0.25">
      <c r="A515"/>
      <c r="B515"/>
      <c r="C515"/>
      <c r="D515"/>
      <c r="E515"/>
      <c r="F515"/>
      <c r="G515"/>
      <c r="H515"/>
      <c r="I515"/>
    </row>
    <row r="516" spans="1:9" x14ac:dyDescent="0.25">
      <c r="A516"/>
      <c r="B516"/>
      <c r="C516"/>
      <c r="D516"/>
      <c r="E516"/>
      <c r="F516"/>
      <c r="G516"/>
      <c r="H516"/>
      <c r="I516"/>
    </row>
    <row r="517" spans="1:9" x14ac:dyDescent="0.25">
      <c r="A517"/>
      <c r="B517"/>
      <c r="C517"/>
      <c r="D517"/>
      <c r="E517"/>
      <c r="F517"/>
      <c r="G517"/>
      <c r="H517"/>
      <c r="I517"/>
    </row>
    <row r="518" spans="1:9" x14ac:dyDescent="0.25">
      <c r="A518"/>
      <c r="B518"/>
      <c r="C518"/>
      <c r="D518"/>
      <c r="E518"/>
      <c r="F518"/>
      <c r="G518"/>
      <c r="H518"/>
      <c r="I518"/>
    </row>
    <row r="519" spans="1:9" x14ac:dyDescent="0.25">
      <c r="A519"/>
      <c r="B519"/>
      <c r="C519"/>
      <c r="D519"/>
      <c r="E519"/>
      <c r="F519"/>
      <c r="G519"/>
      <c r="H519"/>
      <c r="I519"/>
    </row>
    <row r="520" spans="1:9" x14ac:dyDescent="0.25">
      <c r="A520"/>
      <c r="B520"/>
      <c r="C520"/>
      <c r="D520"/>
      <c r="E520"/>
      <c r="F520"/>
      <c r="G520"/>
      <c r="H520"/>
      <c r="I520"/>
    </row>
    <row r="521" spans="1:9" x14ac:dyDescent="0.25">
      <c r="A521"/>
      <c r="B521"/>
      <c r="C521"/>
      <c r="D521"/>
      <c r="E521"/>
      <c r="F521"/>
      <c r="G521"/>
      <c r="H521"/>
      <c r="I521"/>
    </row>
    <row r="522" spans="1:9" x14ac:dyDescent="0.25">
      <c r="A522"/>
      <c r="B522"/>
      <c r="C522"/>
      <c r="D522"/>
      <c r="E522"/>
      <c r="F522"/>
      <c r="G522"/>
      <c r="H522"/>
      <c r="I522"/>
    </row>
    <row r="523" spans="1:9" x14ac:dyDescent="0.25">
      <c r="A523"/>
      <c r="B523"/>
      <c r="C523"/>
      <c r="D523"/>
      <c r="E523"/>
      <c r="F523"/>
      <c r="G523"/>
      <c r="H523"/>
      <c r="I523"/>
    </row>
    <row r="524" spans="1:9" x14ac:dyDescent="0.25">
      <c r="A524"/>
      <c r="B524"/>
      <c r="C524"/>
      <c r="D524"/>
      <c r="E524"/>
      <c r="F524"/>
      <c r="G524"/>
      <c r="H524"/>
      <c r="I524"/>
    </row>
    <row r="525" spans="1:9" x14ac:dyDescent="0.25">
      <c r="A525"/>
      <c r="B525"/>
      <c r="C525"/>
      <c r="D525"/>
      <c r="E525"/>
      <c r="F525"/>
      <c r="G525"/>
      <c r="H525"/>
      <c r="I525"/>
    </row>
    <row r="526" spans="1:9" x14ac:dyDescent="0.25">
      <c r="A526"/>
      <c r="B526"/>
      <c r="C526"/>
      <c r="D526"/>
      <c r="E526"/>
      <c r="F526"/>
      <c r="G526"/>
      <c r="H526"/>
      <c r="I526"/>
    </row>
    <row r="527" spans="1:9" x14ac:dyDescent="0.25">
      <c r="A527"/>
      <c r="B527"/>
      <c r="C527"/>
      <c r="D527"/>
      <c r="E527"/>
      <c r="F527"/>
      <c r="G527"/>
      <c r="H527"/>
      <c r="I527"/>
    </row>
    <row r="528" spans="1:9" x14ac:dyDescent="0.25">
      <c r="A528"/>
      <c r="B528"/>
      <c r="C528"/>
      <c r="D528"/>
      <c r="E528"/>
      <c r="F528"/>
      <c r="G528"/>
      <c r="H528"/>
      <c r="I528"/>
    </row>
    <row r="529" spans="1:9" x14ac:dyDescent="0.25">
      <c r="A529"/>
      <c r="B529"/>
      <c r="C529"/>
      <c r="D529"/>
      <c r="E529"/>
      <c r="F529"/>
      <c r="G529"/>
      <c r="H529"/>
      <c r="I529"/>
    </row>
    <row r="530" spans="1:9" x14ac:dyDescent="0.25">
      <c r="A530"/>
      <c r="B530"/>
      <c r="C530"/>
      <c r="D530"/>
      <c r="E530"/>
      <c r="F530"/>
      <c r="G530"/>
      <c r="H530"/>
      <c r="I530"/>
    </row>
    <row r="531" spans="1:9" x14ac:dyDescent="0.25">
      <c r="A531"/>
      <c r="B531"/>
      <c r="C531"/>
      <c r="D531"/>
      <c r="E531"/>
      <c r="F531"/>
      <c r="G531"/>
      <c r="H531"/>
      <c r="I531"/>
    </row>
    <row r="532" spans="1:9" x14ac:dyDescent="0.25">
      <c r="A532"/>
      <c r="B532"/>
      <c r="C532"/>
      <c r="D532"/>
      <c r="E532"/>
      <c r="F532"/>
      <c r="G532"/>
      <c r="H532"/>
      <c r="I532"/>
    </row>
    <row r="533" spans="1:9" x14ac:dyDescent="0.25">
      <c r="A533"/>
      <c r="B533"/>
      <c r="C533"/>
      <c r="D533"/>
      <c r="E533"/>
      <c r="F533"/>
      <c r="G533"/>
      <c r="H533"/>
      <c r="I533"/>
    </row>
    <row r="534" spans="1:9" x14ac:dyDescent="0.25">
      <c r="A534"/>
      <c r="B534"/>
      <c r="C534"/>
      <c r="D534"/>
      <c r="E534"/>
      <c r="F534"/>
      <c r="G534"/>
      <c r="H534"/>
      <c r="I534"/>
    </row>
    <row r="535" spans="1:9" x14ac:dyDescent="0.25">
      <c r="A535"/>
      <c r="B535"/>
      <c r="C535"/>
      <c r="D535"/>
      <c r="E535"/>
      <c r="F535"/>
      <c r="G535"/>
      <c r="H535"/>
      <c r="I535"/>
    </row>
    <row r="536" spans="1:9" x14ac:dyDescent="0.25">
      <c r="A536"/>
      <c r="B536"/>
      <c r="C536"/>
      <c r="D536"/>
      <c r="E536"/>
      <c r="F536"/>
      <c r="G536"/>
      <c r="H536"/>
      <c r="I536"/>
    </row>
    <row r="537" spans="1:9" x14ac:dyDescent="0.25">
      <c r="A537"/>
      <c r="B537"/>
      <c r="C537"/>
      <c r="D537"/>
      <c r="E537"/>
      <c r="F537"/>
      <c r="G537"/>
      <c r="H537"/>
      <c r="I537"/>
    </row>
    <row r="538" spans="1:9" x14ac:dyDescent="0.25">
      <c r="A538"/>
      <c r="B538"/>
      <c r="C538"/>
      <c r="D538"/>
      <c r="E538"/>
      <c r="F538"/>
      <c r="G538"/>
      <c r="H538"/>
      <c r="I538"/>
    </row>
    <row r="539" spans="1:9" x14ac:dyDescent="0.25">
      <c r="A539"/>
      <c r="B539"/>
      <c r="C539"/>
      <c r="D539"/>
      <c r="E539"/>
      <c r="F539"/>
      <c r="G539"/>
      <c r="H539"/>
      <c r="I539"/>
    </row>
    <row r="540" spans="1:9" x14ac:dyDescent="0.25">
      <c r="A540"/>
      <c r="B540"/>
      <c r="C540"/>
      <c r="D540"/>
      <c r="E540"/>
      <c r="F540"/>
      <c r="G540"/>
      <c r="H540"/>
      <c r="I540"/>
    </row>
    <row r="541" spans="1:9" x14ac:dyDescent="0.25">
      <c r="A541"/>
      <c r="B541"/>
      <c r="C541"/>
      <c r="D541"/>
      <c r="E541"/>
      <c r="F541"/>
      <c r="G541"/>
      <c r="H541"/>
      <c r="I541"/>
    </row>
    <row r="542" spans="1:9" x14ac:dyDescent="0.25">
      <c r="A542"/>
      <c r="B542"/>
      <c r="C542"/>
      <c r="D542"/>
      <c r="E542"/>
      <c r="F542"/>
      <c r="G542"/>
      <c r="H542"/>
      <c r="I542"/>
    </row>
    <row r="543" spans="1:9" x14ac:dyDescent="0.25">
      <c r="A543"/>
      <c r="B543"/>
      <c r="C543"/>
      <c r="D543"/>
      <c r="E543"/>
      <c r="F543"/>
      <c r="G543"/>
      <c r="H543"/>
      <c r="I543"/>
    </row>
    <row r="544" spans="1:9" x14ac:dyDescent="0.25">
      <c r="A544"/>
      <c r="B544"/>
      <c r="C544"/>
      <c r="D544"/>
      <c r="E544"/>
      <c r="F544"/>
      <c r="G544"/>
      <c r="H544"/>
      <c r="I544"/>
    </row>
    <row r="545" spans="1:9" x14ac:dyDescent="0.25">
      <c r="A545"/>
      <c r="B545"/>
      <c r="C545"/>
      <c r="D545"/>
      <c r="E545"/>
      <c r="F545"/>
      <c r="G545"/>
      <c r="H545"/>
      <c r="I545"/>
    </row>
    <row r="546" spans="1:9" x14ac:dyDescent="0.25">
      <c r="A546"/>
      <c r="B546"/>
      <c r="C546"/>
      <c r="D546"/>
      <c r="E546"/>
      <c r="F546"/>
      <c r="G546"/>
      <c r="H546"/>
      <c r="I546"/>
    </row>
    <row r="547" spans="1:9" x14ac:dyDescent="0.25">
      <c r="A547"/>
      <c r="B547"/>
      <c r="C547"/>
      <c r="D547"/>
      <c r="E547"/>
      <c r="F547"/>
      <c r="G547"/>
      <c r="H547"/>
      <c r="I547"/>
    </row>
    <row r="548" spans="1:9" x14ac:dyDescent="0.25">
      <c r="A548"/>
      <c r="B548"/>
      <c r="C548"/>
      <c r="D548"/>
      <c r="E548"/>
      <c r="F548"/>
      <c r="G548"/>
      <c r="H548"/>
      <c r="I548"/>
    </row>
    <row r="549" spans="1:9" x14ac:dyDescent="0.25">
      <c r="A549"/>
      <c r="B549"/>
      <c r="C549"/>
      <c r="D549"/>
      <c r="E549"/>
      <c r="F549"/>
      <c r="G549"/>
      <c r="H549"/>
      <c r="I549"/>
    </row>
    <row r="550" spans="1:9" x14ac:dyDescent="0.25">
      <c r="A550"/>
      <c r="B550"/>
      <c r="C550"/>
      <c r="D550"/>
      <c r="E550"/>
      <c r="F550"/>
      <c r="G550"/>
      <c r="H550"/>
      <c r="I550"/>
    </row>
    <row r="551" spans="1:9" x14ac:dyDescent="0.25">
      <c r="A551"/>
      <c r="B551"/>
      <c r="C551"/>
      <c r="D551"/>
      <c r="E551"/>
      <c r="F551"/>
      <c r="G551"/>
      <c r="H551"/>
      <c r="I551"/>
    </row>
    <row r="552" spans="1:9" x14ac:dyDescent="0.25">
      <c r="A552"/>
      <c r="B552"/>
      <c r="C552"/>
      <c r="D552"/>
      <c r="E552"/>
      <c r="F552"/>
      <c r="G552"/>
      <c r="H552"/>
      <c r="I552"/>
    </row>
    <row r="553" spans="1:9" x14ac:dyDescent="0.25">
      <c r="A553"/>
      <c r="B553"/>
      <c r="C553"/>
      <c r="D553"/>
      <c r="E553"/>
      <c r="F553"/>
      <c r="G553"/>
      <c r="H553"/>
      <c r="I553"/>
    </row>
    <row r="554" spans="1:9" x14ac:dyDescent="0.25">
      <c r="A554"/>
      <c r="B554"/>
      <c r="C554"/>
      <c r="D554"/>
      <c r="E554"/>
      <c r="F554"/>
      <c r="G554"/>
      <c r="H554"/>
      <c r="I554"/>
    </row>
    <row r="555" spans="1:9" x14ac:dyDescent="0.25">
      <c r="A555"/>
      <c r="B555"/>
      <c r="C555"/>
      <c r="D555"/>
      <c r="E555"/>
      <c r="F555"/>
      <c r="G555"/>
      <c r="H555"/>
      <c r="I555"/>
    </row>
    <row r="556" spans="1:9" x14ac:dyDescent="0.25">
      <c r="A556"/>
      <c r="B556"/>
      <c r="C556"/>
      <c r="D556"/>
      <c r="E556"/>
      <c r="F556"/>
      <c r="G556"/>
      <c r="H556"/>
      <c r="I556"/>
    </row>
    <row r="557" spans="1:9" x14ac:dyDescent="0.25">
      <c r="A557"/>
      <c r="B557"/>
      <c r="C557"/>
      <c r="D557"/>
      <c r="E557"/>
      <c r="F557"/>
      <c r="G557"/>
      <c r="H557"/>
      <c r="I557"/>
    </row>
    <row r="558" spans="1:9" x14ac:dyDescent="0.25">
      <c r="A558"/>
      <c r="B558"/>
      <c r="C558"/>
      <c r="D558"/>
      <c r="E558"/>
      <c r="F558"/>
      <c r="G558"/>
      <c r="H558"/>
      <c r="I558"/>
    </row>
    <row r="559" spans="1:9" x14ac:dyDescent="0.25">
      <c r="A559"/>
      <c r="B559"/>
      <c r="C559"/>
      <c r="D559"/>
      <c r="E559"/>
      <c r="F559"/>
      <c r="G559"/>
      <c r="H559"/>
      <c r="I559"/>
    </row>
    <row r="560" spans="1:9" x14ac:dyDescent="0.25">
      <c r="A560"/>
      <c r="B560"/>
      <c r="C560"/>
      <c r="D560"/>
      <c r="E560"/>
      <c r="F560"/>
      <c r="G560"/>
      <c r="H560"/>
      <c r="I560"/>
    </row>
    <row r="561" spans="1:9" x14ac:dyDescent="0.25">
      <c r="A561"/>
      <c r="B561"/>
      <c r="C561"/>
      <c r="D561"/>
      <c r="E561"/>
      <c r="F561"/>
      <c r="G561"/>
      <c r="H561"/>
      <c r="I561"/>
    </row>
    <row r="562" spans="1:9" x14ac:dyDescent="0.25">
      <c r="A562"/>
      <c r="B562"/>
      <c r="C562"/>
      <c r="D562"/>
      <c r="E562"/>
      <c r="F562"/>
      <c r="G562"/>
      <c r="H562"/>
      <c r="I562"/>
    </row>
    <row r="563" spans="1:9" x14ac:dyDescent="0.25">
      <c r="A563"/>
      <c r="B563"/>
      <c r="C563"/>
      <c r="D563"/>
      <c r="E563"/>
      <c r="F563"/>
      <c r="G563"/>
      <c r="H563"/>
      <c r="I563"/>
    </row>
    <row r="564" spans="1:9" x14ac:dyDescent="0.25">
      <c r="A564"/>
      <c r="B564"/>
      <c r="C564"/>
      <c r="D564"/>
      <c r="E564"/>
      <c r="F564"/>
      <c r="G564"/>
      <c r="H564"/>
      <c r="I564"/>
    </row>
    <row r="565" spans="1:9" x14ac:dyDescent="0.25">
      <c r="A565"/>
      <c r="B565"/>
      <c r="C565"/>
      <c r="D565"/>
      <c r="E565"/>
      <c r="F565"/>
      <c r="G565"/>
      <c r="H565"/>
      <c r="I565"/>
    </row>
    <row r="566" spans="1:9" x14ac:dyDescent="0.25">
      <c r="A566"/>
      <c r="B566"/>
      <c r="C566"/>
      <c r="D566"/>
      <c r="E566"/>
      <c r="F566"/>
      <c r="G566"/>
      <c r="H566"/>
      <c r="I566"/>
    </row>
    <row r="567" spans="1:9" x14ac:dyDescent="0.25">
      <c r="A567"/>
      <c r="B567"/>
      <c r="C567"/>
      <c r="D567"/>
      <c r="E567"/>
      <c r="F567"/>
      <c r="G567"/>
      <c r="H567"/>
      <c r="I567"/>
    </row>
    <row r="568" spans="1:9" x14ac:dyDescent="0.25">
      <c r="A568"/>
      <c r="B568"/>
      <c r="C568"/>
      <c r="D568"/>
      <c r="E568"/>
      <c r="F568"/>
      <c r="G568"/>
      <c r="H568"/>
      <c r="I568"/>
    </row>
    <row r="569" spans="1:9" x14ac:dyDescent="0.25">
      <c r="A569"/>
      <c r="B569"/>
      <c r="C569"/>
      <c r="D569"/>
      <c r="E569"/>
      <c r="F569"/>
      <c r="G569"/>
      <c r="H569"/>
      <c r="I569"/>
    </row>
    <row r="570" spans="1:9" x14ac:dyDescent="0.25">
      <c r="A570"/>
      <c r="B570"/>
      <c r="C570"/>
      <c r="D570"/>
      <c r="E570"/>
      <c r="F570"/>
      <c r="G570"/>
      <c r="H570"/>
      <c r="I570"/>
    </row>
    <row r="571" spans="1:9" x14ac:dyDescent="0.25">
      <c r="A571"/>
      <c r="B571"/>
      <c r="C571"/>
      <c r="D571"/>
      <c r="E571"/>
      <c r="F571"/>
      <c r="G571"/>
      <c r="H571"/>
      <c r="I571"/>
    </row>
    <row r="572" spans="1:9" x14ac:dyDescent="0.25">
      <c r="A572"/>
      <c r="B572"/>
      <c r="C572"/>
      <c r="D572"/>
      <c r="E572"/>
      <c r="F572"/>
      <c r="G572"/>
      <c r="H572"/>
      <c r="I572"/>
    </row>
    <row r="573" spans="1:9" x14ac:dyDescent="0.25">
      <c r="A573"/>
      <c r="B573"/>
      <c r="C573"/>
      <c r="D573"/>
      <c r="E573"/>
      <c r="F573"/>
      <c r="G573"/>
      <c r="H573"/>
      <c r="I573"/>
    </row>
    <row r="574" spans="1:9" x14ac:dyDescent="0.25">
      <c r="A574"/>
      <c r="B574"/>
      <c r="C574"/>
      <c r="D574"/>
      <c r="E574"/>
      <c r="F574"/>
      <c r="G574"/>
      <c r="H574"/>
      <c r="I574"/>
    </row>
    <row r="575" spans="1:9" x14ac:dyDescent="0.25">
      <c r="A575"/>
      <c r="B575"/>
      <c r="C575"/>
      <c r="D575"/>
      <c r="E575"/>
      <c r="F575"/>
      <c r="G575"/>
      <c r="H575"/>
      <c r="I575"/>
    </row>
    <row r="576" spans="1:9" x14ac:dyDescent="0.25">
      <c r="A576"/>
      <c r="B576"/>
      <c r="C576"/>
      <c r="D576"/>
      <c r="E576"/>
      <c r="F576"/>
      <c r="G576"/>
      <c r="H576"/>
      <c r="I576"/>
    </row>
    <row r="577" spans="1:9" x14ac:dyDescent="0.25">
      <c r="A577"/>
      <c r="B577"/>
      <c r="C577"/>
      <c r="D577"/>
      <c r="E577"/>
      <c r="F577"/>
      <c r="G577"/>
      <c r="H577"/>
      <c r="I577"/>
    </row>
    <row r="578" spans="1:9" x14ac:dyDescent="0.25">
      <c r="A578"/>
      <c r="B578"/>
      <c r="C578"/>
      <c r="D578"/>
      <c r="E578"/>
      <c r="F578"/>
      <c r="G578"/>
      <c r="H578"/>
      <c r="I578"/>
    </row>
    <row r="579" spans="1:9" x14ac:dyDescent="0.25">
      <c r="A579"/>
      <c r="B579"/>
      <c r="C579"/>
      <c r="D579"/>
      <c r="E579"/>
      <c r="F579"/>
      <c r="G579"/>
      <c r="H579"/>
      <c r="I579"/>
    </row>
    <row r="580" spans="1:9" x14ac:dyDescent="0.25">
      <c r="A580"/>
      <c r="B580"/>
      <c r="C580"/>
      <c r="D580"/>
      <c r="E580"/>
      <c r="F580"/>
      <c r="G580"/>
      <c r="H580"/>
      <c r="I580"/>
    </row>
    <row r="581" spans="1:9" x14ac:dyDescent="0.25">
      <c r="A581"/>
      <c r="B581"/>
      <c r="C581"/>
      <c r="D581"/>
      <c r="E581"/>
      <c r="F581"/>
      <c r="G581"/>
      <c r="H581"/>
      <c r="I581"/>
    </row>
    <row r="582" spans="1:9" x14ac:dyDescent="0.25">
      <c r="A582"/>
      <c r="B582"/>
      <c r="C582"/>
      <c r="D582"/>
      <c r="E582"/>
      <c r="F582"/>
      <c r="G582"/>
      <c r="H582"/>
      <c r="I582"/>
    </row>
    <row r="583" spans="1:9" x14ac:dyDescent="0.25">
      <c r="A583"/>
      <c r="B583"/>
      <c r="C583"/>
      <c r="D583"/>
      <c r="E583"/>
      <c r="F583"/>
      <c r="G583"/>
      <c r="H583"/>
      <c r="I583"/>
    </row>
    <row r="584" spans="1:9" x14ac:dyDescent="0.25">
      <c r="A584"/>
      <c r="B584"/>
      <c r="C584"/>
      <c r="D584"/>
      <c r="E584"/>
      <c r="F584"/>
      <c r="G584"/>
      <c r="H584"/>
      <c r="I584"/>
    </row>
    <row r="585" spans="1:9" x14ac:dyDescent="0.25">
      <c r="A585"/>
      <c r="B585"/>
      <c r="C585"/>
      <c r="D585"/>
      <c r="E585"/>
      <c r="F585"/>
      <c r="G585"/>
      <c r="H585"/>
      <c r="I585"/>
    </row>
    <row r="586" spans="1:9" x14ac:dyDescent="0.25">
      <c r="A586"/>
      <c r="B586"/>
      <c r="C586"/>
      <c r="D586"/>
      <c r="E586"/>
      <c r="F586"/>
      <c r="G586"/>
      <c r="H586"/>
      <c r="I586"/>
    </row>
    <row r="587" spans="1:9" x14ac:dyDescent="0.25">
      <c r="A587"/>
      <c r="B587"/>
      <c r="C587"/>
      <c r="D587"/>
      <c r="E587"/>
      <c r="F587"/>
      <c r="G587"/>
      <c r="H587"/>
      <c r="I587"/>
    </row>
    <row r="588" spans="1:9" x14ac:dyDescent="0.25">
      <c r="A588"/>
      <c r="B588"/>
      <c r="C588"/>
      <c r="D588"/>
      <c r="E588"/>
      <c r="F588"/>
      <c r="G588"/>
      <c r="H588"/>
      <c r="I588"/>
    </row>
    <row r="589" spans="1:9" x14ac:dyDescent="0.25">
      <c r="A589"/>
      <c r="B589"/>
      <c r="C589"/>
      <c r="D589"/>
      <c r="E589"/>
      <c r="F589"/>
      <c r="G589"/>
      <c r="H589"/>
      <c r="I589"/>
    </row>
    <row r="590" spans="1:9" x14ac:dyDescent="0.25">
      <c r="A590"/>
      <c r="B590"/>
      <c r="C590"/>
      <c r="D590"/>
      <c r="E590"/>
      <c r="F590"/>
      <c r="G590"/>
      <c r="H590"/>
      <c r="I590"/>
    </row>
    <row r="591" spans="1:9" x14ac:dyDescent="0.25">
      <c r="A591"/>
      <c r="B591"/>
      <c r="C591"/>
      <c r="D591"/>
      <c r="E591"/>
      <c r="F591"/>
      <c r="G591"/>
      <c r="H591"/>
      <c r="I591"/>
    </row>
    <row r="592" spans="1:9" x14ac:dyDescent="0.25">
      <c r="A592"/>
      <c r="B592"/>
      <c r="C592"/>
      <c r="D592"/>
      <c r="E592"/>
      <c r="F592"/>
      <c r="G592"/>
      <c r="H592"/>
      <c r="I592"/>
    </row>
    <row r="593" spans="1:9" x14ac:dyDescent="0.25">
      <c r="A593"/>
      <c r="B593"/>
      <c r="C593"/>
      <c r="D593"/>
      <c r="E593"/>
      <c r="F593"/>
      <c r="G593"/>
      <c r="H593"/>
      <c r="I593"/>
    </row>
    <row r="594" spans="1:9" x14ac:dyDescent="0.25">
      <c r="A594"/>
      <c r="B594"/>
      <c r="C594"/>
      <c r="D594"/>
      <c r="E594"/>
      <c r="F594"/>
      <c r="G594"/>
      <c r="H594"/>
      <c r="I594"/>
    </row>
    <row r="595" spans="1:9" x14ac:dyDescent="0.25">
      <c r="A595"/>
      <c r="B595"/>
      <c r="C595"/>
      <c r="D595"/>
      <c r="E595"/>
      <c r="F595"/>
      <c r="G595"/>
      <c r="H595"/>
      <c r="I595"/>
    </row>
    <row r="596" spans="1:9" x14ac:dyDescent="0.25">
      <c r="A596"/>
      <c r="B596"/>
      <c r="C596"/>
      <c r="D596"/>
      <c r="E596"/>
      <c r="F596"/>
      <c r="G596"/>
      <c r="H596"/>
      <c r="I596"/>
    </row>
    <row r="597" spans="1:9" x14ac:dyDescent="0.25">
      <c r="A597"/>
      <c r="B597"/>
      <c r="C597"/>
      <c r="D597"/>
      <c r="E597"/>
      <c r="F597"/>
      <c r="G597"/>
      <c r="H597"/>
      <c r="I597"/>
    </row>
    <row r="598" spans="1:9" x14ac:dyDescent="0.25">
      <c r="A598"/>
      <c r="B598"/>
      <c r="C598"/>
      <c r="D598"/>
      <c r="E598"/>
      <c r="F598"/>
      <c r="G598"/>
      <c r="H598"/>
      <c r="I598"/>
    </row>
    <row r="599" spans="1:9" x14ac:dyDescent="0.25">
      <c r="A599"/>
      <c r="B599"/>
      <c r="C599"/>
      <c r="D599"/>
      <c r="E599"/>
      <c r="F599"/>
      <c r="G599"/>
      <c r="H599"/>
      <c r="I599"/>
    </row>
    <row r="600" spans="1:9" x14ac:dyDescent="0.25">
      <c r="A600"/>
      <c r="B600"/>
      <c r="C600"/>
      <c r="D600"/>
      <c r="E600"/>
      <c r="F600"/>
      <c r="G600"/>
      <c r="H600"/>
      <c r="I600"/>
    </row>
    <row r="601" spans="1:9" x14ac:dyDescent="0.25">
      <c r="A601"/>
      <c r="B601"/>
      <c r="C601"/>
      <c r="D601"/>
      <c r="E601"/>
      <c r="F601"/>
      <c r="G601"/>
      <c r="H601"/>
      <c r="I601"/>
    </row>
    <row r="602" spans="1:9" x14ac:dyDescent="0.25">
      <c r="A602"/>
      <c r="B602"/>
      <c r="C602"/>
      <c r="D602"/>
      <c r="E602"/>
      <c r="F602"/>
      <c r="G602"/>
      <c r="H602"/>
      <c r="I602"/>
    </row>
    <row r="603" spans="1:9" x14ac:dyDescent="0.25">
      <c r="A603"/>
      <c r="B603"/>
      <c r="C603"/>
      <c r="D603"/>
      <c r="E603"/>
      <c r="F603"/>
      <c r="G603"/>
      <c r="H603"/>
      <c r="I603"/>
    </row>
    <row r="604" spans="1:9" x14ac:dyDescent="0.25">
      <c r="A604"/>
      <c r="B604"/>
      <c r="C604"/>
      <c r="D604"/>
      <c r="E604"/>
      <c r="F604"/>
      <c r="G604"/>
      <c r="H604"/>
      <c r="I604"/>
    </row>
    <row r="605" spans="1:9" x14ac:dyDescent="0.25">
      <c r="A605"/>
      <c r="B605"/>
      <c r="C605"/>
      <c r="D605"/>
      <c r="E605"/>
      <c r="F605"/>
      <c r="G605"/>
      <c r="H605"/>
      <c r="I605"/>
    </row>
    <row r="606" spans="1:9" x14ac:dyDescent="0.25">
      <c r="A606"/>
      <c r="B606"/>
      <c r="C606"/>
      <c r="D606"/>
      <c r="E606"/>
      <c r="F606"/>
      <c r="G606"/>
      <c r="H606"/>
      <c r="I606"/>
    </row>
    <row r="607" spans="1:9" x14ac:dyDescent="0.25">
      <c r="A607"/>
      <c r="B607"/>
      <c r="C607"/>
      <c r="D607"/>
      <c r="E607"/>
      <c r="F607"/>
      <c r="G607"/>
      <c r="H607"/>
      <c r="I607"/>
    </row>
    <row r="608" spans="1:9" x14ac:dyDescent="0.25">
      <c r="A608"/>
      <c r="B608"/>
      <c r="C608"/>
      <c r="D608"/>
      <c r="E608"/>
      <c r="F608"/>
      <c r="G608"/>
      <c r="H608"/>
      <c r="I608"/>
    </row>
    <row r="609" spans="1:9" x14ac:dyDescent="0.25">
      <c r="A609"/>
      <c r="B609"/>
      <c r="C609"/>
      <c r="D609"/>
      <c r="E609"/>
      <c r="F609"/>
      <c r="G609"/>
      <c r="H609"/>
      <c r="I609"/>
    </row>
    <row r="610" spans="1:9" x14ac:dyDescent="0.25">
      <c r="A610"/>
      <c r="B610"/>
      <c r="C610"/>
      <c r="D610"/>
      <c r="E610"/>
      <c r="F610"/>
      <c r="G610"/>
      <c r="H610"/>
      <c r="I610"/>
    </row>
    <row r="611" spans="1:9" x14ac:dyDescent="0.25">
      <c r="A611"/>
      <c r="B611"/>
      <c r="C611"/>
      <c r="D611"/>
      <c r="E611"/>
      <c r="F611"/>
      <c r="G611"/>
      <c r="H611"/>
      <c r="I611"/>
    </row>
    <row r="612" spans="1:9" x14ac:dyDescent="0.25">
      <c r="A612"/>
      <c r="B612"/>
      <c r="C612"/>
      <c r="D612"/>
      <c r="E612"/>
      <c r="F612"/>
      <c r="G612"/>
      <c r="H612"/>
      <c r="I612"/>
    </row>
    <row r="613" spans="1:9" x14ac:dyDescent="0.25">
      <c r="A613"/>
      <c r="B613"/>
      <c r="C613"/>
      <c r="D613"/>
      <c r="E613"/>
      <c r="F613"/>
      <c r="G613"/>
      <c r="H613"/>
      <c r="I613"/>
    </row>
    <row r="614" spans="1:9" x14ac:dyDescent="0.25">
      <c r="A614"/>
      <c r="B614"/>
      <c r="C614"/>
      <c r="D614"/>
      <c r="E614"/>
      <c r="F614"/>
      <c r="G614"/>
      <c r="H614"/>
      <c r="I614"/>
    </row>
    <row r="615" spans="1:9" x14ac:dyDescent="0.25">
      <c r="A615"/>
      <c r="B615"/>
      <c r="C615"/>
      <c r="D615"/>
      <c r="E615"/>
      <c r="F615"/>
      <c r="G615"/>
      <c r="H615"/>
      <c r="I615"/>
    </row>
    <row r="616" spans="1:9" x14ac:dyDescent="0.25">
      <c r="A616"/>
      <c r="B616"/>
      <c r="C616"/>
      <c r="D616"/>
      <c r="E616"/>
      <c r="F616"/>
      <c r="G616"/>
      <c r="H616"/>
      <c r="I616"/>
    </row>
    <row r="617" spans="1:9" x14ac:dyDescent="0.25">
      <c r="A617"/>
      <c r="B617"/>
      <c r="C617"/>
      <c r="D617"/>
      <c r="E617"/>
      <c r="F617"/>
      <c r="G617"/>
      <c r="H617"/>
      <c r="I617"/>
    </row>
    <row r="618" spans="1:9" x14ac:dyDescent="0.25">
      <c r="A618"/>
      <c r="B618"/>
      <c r="C618"/>
      <c r="D618"/>
      <c r="E618"/>
      <c r="F618"/>
      <c r="G618"/>
      <c r="H618"/>
      <c r="I618"/>
    </row>
    <row r="619" spans="1:9" x14ac:dyDescent="0.25">
      <c r="A619"/>
      <c r="B619"/>
      <c r="C619"/>
      <c r="D619"/>
      <c r="E619"/>
      <c r="F619"/>
      <c r="G619"/>
      <c r="H619"/>
      <c r="I619"/>
    </row>
    <row r="620" spans="1:9" x14ac:dyDescent="0.25">
      <c r="A620"/>
      <c r="B620"/>
      <c r="C620"/>
      <c r="D620"/>
      <c r="E620"/>
      <c r="F620"/>
      <c r="G620"/>
      <c r="H620"/>
      <c r="I620"/>
    </row>
    <row r="621" spans="1:9" x14ac:dyDescent="0.25">
      <c r="A621"/>
      <c r="B621"/>
      <c r="C621"/>
      <c r="D621"/>
      <c r="E621"/>
      <c r="F621"/>
      <c r="G621"/>
      <c r="H621"/>
      <c r="I621"/>
    </row>
    <row r="622" spans="1:9" x14ac:dyDescent="0.25">
      <c r="A622"/>
      <c r="B622"/>
      <c r="C622"/>
      <c r="D622"/>
      <c r="E622"/>
      <c r="F622"/>
      <c r="G622"/>
      <c r="H622"/>
      <c r="I622"/>
    </row>
    <row r="623" spans="1:9" x14ac:dyDescent="0.25">
      <c r="A623"/>
      <c r="B623"/>
      <c r="C623"/>
      <c r="D623"/>
      <c r="E623"/>
      <c r="F623"/>
      <c r="G623"/>
      <c r="H623"/>
      <c r="I623"/>
    </row>
    <row r="624" spans="1:9" x14ac:dyDescent="0.25">
      <c r="A624"/>
      <c r="B624"/>
      <c r="C624"/>
      <c r="D624"/>
      <c r="E624"/>
      <c r="F624"/>
      <c r="G624"/>
      <c r="H624"/>
      <c r="I624"/>
    </row>
    <row r="625" spans="1:9" x14ac:dyDescent="0.25">
      <c r="A625"/>
      <c r="B625"/>
      <c r="C625"/>
      <c r="D625"/>
      <c r="E625"/>
      <c r="F625"/>
      <c r="G625"/>
      <c r="H625"/>
      <c r="I625"/>
    </row>
    <row r="626" spans="1:9" x14ac:dyDescent="0.25">
      <c r="A626"/>
      <c r="B626"/>
      <c r="C626"/>
      <c r="D626"/>
      <c r="E626"/>
      <c r="F626"/>
      <c r="G626"/>
      <c r="H626"/>
      <c r="I626"/>
    </row>
    <row r="627" spans="1:9" x14ac:dyDescent="0.25">
      <c r="A627"/>
      <c r="B627"/>
      <c r="C627"/>
      <c r="D627"/>
      <c r="E627"/>
      <c r="F627"/>
      <c r="G627"/>
      <c r="H627"/>
      <c r="I627"/>
    </row>
    <row r="628" spans="1:9" x14ac:dyDescent="0.25">
      <c r="A628"/>
      <c r="B628"/>
      <c r="C628"/>
      <c r="D628"/>
      <c r="E628"/>
      <c r="F628"/>
      <c r="G628"/>
      <c r="H628"/>
      <c r="I628"/>
    </row>
    <row r="629" spans="1:9" x14ac:dyDescent="0.25">
      <c r="A629"/>
      <c r="B629"/>
      <c r="C629"/>
      <c r="D629"/>
      <c r="E629"/>
      <c r="F629"/>
      <c r="G629"/>
      <c r="H629"/>
      <c r="I629"/>
    </row>
    <row r="630" spans="1:9" x14ac:dyDescent="0.25">
      <c r="A630"/>
      <c r="B630"/>
      <c r="C630"/>
      <c r="D630"/>
      <c r="E630"/>
      <c r="F630"/>
      <c r="G630"/>
      <c r="H630"/>
      <c r="I630"/>
    </row>
    <row r="631" spans="1:9" x14ac:dyDescent="0.25">
      <c r="A631"/>
      <c r="B631"/>
      <c r="C631"/>
      <c r="D631"/>
      <c r="E631"/>
      <c r="F631"/>
      <c r="G631"/>
      <c r="H631"/>
      <c r="I631"/>
    </row>
    <row r="632" spans="1:9" x14ac:dyDescent="0.25">
      <c r="A632"/>
      <c r="B632"/>
      <c r="C632"/>
      <c r="D632"/>
      <c r="E632"/>
      <c r="F632"/>
      <c r="G632"/>
      <c r="H632"/>
      <c r="I632"/>
    </row>
    <row r="633" spans="1:9" x14ac:dyDescent="0.25">
      <c r="A633"/>
      <c r="B633"/>
      <c r="C633"/>
      <c r="D633"/>
      <c r="E633"/>
      <c r="F633"/>
      <c r="G633"/>
      <c r="H633"/>
      <c r="I633"/>
    </row>
    <row r="634" spans="1:9" x14ac:dyDescent="0.25">
      <c r="A634"/>
      <c r="B634"/>
      <c r="C634"/>
      <c r="D634"/>
      <c r="E634"/>
      <c r="F634"/>
      <c r="G634"/>
      <c r="H634"/>
      <c r="I634"/>
    </row>
    <row r="635" spans="1:9" x14ac:dyDescent="0.25">
      <c r="A635"/>
      <c r="B635"/>
      <c r="C635"/>
      <c r="D635"/>
      <c r="E635"/>
      <c r="F635"/>
      <c r="G635"/>
      <c r="H635"/>
      <c r="I635"/>
    </row>
    <row r="636" spans="1:9" x14ac:dyDescent="0.25">
      <c r="A636"/>
      <c r="B636"/>
      <c r="C636"/>
      <c r="D636"/>
      <c r="E636"/>
      <c r="F636"/>
      <c r="G636"/>
      <c r="H636"/>
      <c r="I636"/>
    </row>
    <row r="637" spans="1:9" x14ac:dyDescent="0.25">
      <c r="A637"/>
      <c r="B637"/>
      <c r="C637"/>
      <c r="D637"/>
      <c r="E637"/>
      <c r="F637"/>
      <c r="G637"/>
      <c r="H637"/>
      <c r="I637"/>
    </row>
    <row r="638" spans="1:9" x14ac:dyDescent="0.25">
      <c r="A638"/>
      <c r="B638"/>
      <c r="C638"/>
      <c r="D638"/>
      <c r="E638"/>
      <c r="F638"/>
      <c r="G638"/>
      <c r="H638"/>
      <c r="I638"/>
    </row>
    <row r="639" spans="1:9" x14ac:dyDescent="0.25">
      <c r="A639"/>
      <c r="B639"/>
      <c r="C639"/>
      <c r="D639"/>
      <c r="E639"/>
      <c r="F639"/>
      <c r="G639"/>
      <c r="H639"/>
      <c r="I639"/>
    </row>
    <row r="640" spans="1:9" x14ac:dyDescent="0.25">
      <c r="A640"/>
      <c r="B640"/>
      <c r="C640"/>
      <c r="D640"/>
      <c r="E640"/>
      <c r="F640"/>
      <c r="G640"/>
      <c r="H640"/>
      <c r="I640"/>
    </row>
    <row r="641" spans="1:9" x14ac:dyDescent="0.25">
      <c r="A641"/>
      <c r="B641"/>
      <c r="C641"/>
      <c r="D641"/>
      <c r="E641"/>
      <c r="F641"/>
      <c r="G641"/>
      <c r="H641"/>
      <c r="I641"/>
    </row>
    <row r="642" spans="1:9" x14ac:dyDescent="0.25">
      <c r="A642"/>
      <c r="B642"/>
      <c r="C642"/>
      <c r="D642"/>
      <c r="E642"/>
      <c r="F642"/>
      <c r="G642"/>
      <c r="H642"/>
      <c r="I642"/>
    </row>
    <row r="643" spans="1:9" x14ac:dyDescent="0.25">
      <c r="A643"/>
      <c r="B643"/>
      <c r="C643"/>
      <c r="D643"/>
      <c r="E643"/>
      <c r="F643"/>
      <c r="G643"/>
      <c r="H643"/>
      <c r="I643"/>
    </row>
    <row r="644" spans="1:9" x14ac:dyDescent="0.25">
      <c r="A644"/>
      <c r="B644"/>
      <c r="C644"/>
      <c r="D644"/>
      <c r="E644"/>
      <c r="F644"/>
      <c r="G644"/>
      <c r="H644"/>
      <c r="I644"/>
    </row>
    <row r="645" spans="1:9" x14ac:dyDescent="0.25">
      <c r="A645"/>
      <c r="B645"/>
      <c r="C645"/>
      <c r="D645"/>
      <c r="E645"/>
      <c r="F645"/>
      <c r="G645"/>
      <c r="H645"/>
      <c r="I645"/>
    </row>
    <row r="646" spans="1:9" x14ac:dyDescent="0.25">
      <c r="A646"/>
      <c r="B646"/>
      <c r="C646"/>
      <c r="D646"/>
      <c r="E646"/>
      <c r="F646"/>
      <c r="G646"/>
      <c r="H646"/>
      <c r="I646"/>
    </row>
    <row r="647" spans="1:9" x14ac:dyDescent="0.25">
      <c r="A647"/>
      <c r="B647"/>
      <c r="C647"/>
      <c r="D647"/>
      <c r="E647"/>
      <c r="F647"/>
      <c r="G647"/>
      <c r="H647"/>
      <c r="I647"/>
    </row>
    <row r="648" spans="1:9" x14ac:dyDescent="0.25">
      <c r="A648"/>
      <c r="B648"/>
      <c r="C648"/>
      <c r="D648"/>
      <c r="E648"/>
      <c r="F648"/>
      <c r="G648"/>
      <c r="H648"/>
      <c r="I648"/>
    </row>
    <row r="649" spans="1:9" x14ac:dyDescent="0.25">
      <c r="A649"/>
      <c r="B649"/>
      <c r="C649"/>
      <c r="D649"/>
      <c r="E649"/>
      <c r="F649"/>
      <c r="G649"/>
      <c r="H649"/>
      <c r="I649"/>
    </row>
    <row r="650" spans="1:9" x14ac:dyDescent="0.25">
      <c r="A650"/>
      <c r="B650"/>
      <c r="C650"/>
      <c r="D650"/>
      <c r="E650"/>
      <c r="F650"/>
      <c r="G650"/>
      <c r="H650"/>
      <c r="I650"/>
    </row>
    <row r="651" spans="1:9" x14ac:dyDescent="0.25">
      <c r="A651"/>
      <c r="B651"/>
      <c r="C651"/>
      <c r="D651"/>
      <c r="E651"/>
      <c r="F651"/>
      <c r="G651"/>
      <c r="H651"/>
      <c r="I651"/>
    </row>
    <row r="652" spans="1:9" x14ac:dyDescent="0.25">
      <c r="A652"/>
      <c r="B652"/>
      <c r="C652"/>
      <c r="D652"/>
      <c r="E652"/>
      <c r="F652"/>
      <c r="G652"/>
      <c r="H652"/>
      <c r="I652"/>
    </row>
    <row r="653" spans="1:9" x14ac:dyDescent="0.25">
      <c r="A653"/>
      <c r="B653"/>
      <c r="C653"/>
      <c r="D653"/>
      <c r="E653"/>
      <c r="F653"/>
      <c r="G653"/>
      <c r="H653"/>
      <c r="I653"/>
    </row>
    <row r="654" spans="1:9" x14ac:dyDescent="0.25">
      <c r="A654"/>
      <c r="B654"/>
      <c r="C654"/>
      <c r="D654"/>
      <c r="E654"/>
      <c r="F654"/>
      <c r="G654"/>
      <c r="H654"/>
      <c r="I654"/>
    </row>
    <row r="655" spans="1:9" x14ac:dyDescent="0.25">
      <c r="A655"/>
      <c r="B655"/>
      <c r="C655"/>
      <c r="D655"/>
      <c r="E655"/>
      <c r="F655"/>
      <c r="G655"/>
      <c r="H655"/>
      <c r="I655"/>
    </row>
    <row r="656" spans="1:9" x14ac:dyDescent="0.25">
      <c r="A656"/>
      <c r="B656"/>
      <c r="C656"/>
      <c r="D656"/>
      <c r="E656"/>
      <c r="F656"/>
      <c r="G656"/>
      <c r="H656"/>
      <c r="I656"/>
    </row>
    <row r="657" spans="1:9" x14ac:dyDescent="0.25">
      <c r="A657"/>
      <c r="B657"/>
      <c r="C657"/>
      <c r="D657"/>
      <c r="E657"/>
      <c r="F657"/>
      <c r="G657"/>
      <c r="H657"/>
      <c r="I657"/>
    </row>
    <row r="658" spans="1:9" x14ac:dyDescent="0.25">
      <c r="A658"/>
      <c r="B658"/>
      <c r="C658"/>
      <c r="D658"/>
      <c r="E658"/>
      <c r="F658"/>
      <c r="G658"/>
      <c r="H658"/>
      <c r="I658"/>
    </row>
    <row r="659" spans="1:9" x14ac:dyDescent="0.25">
      <c r="A659"/>
      <c r="B659"/>
      <c r="C659"/>
      <c r="D659"/>
      <c r="E659"/>
      <c r="F659"/>
      <c r="G659"/>
      <c r="H659"/>
      <c r="I659"/>
    </row>
    <row r="660" spans="1:9" x14ac:dyDescent="0.25">
      <c r="A660"/>
      <c r="B660"/>
      <c r="C660"/>
      <c r="D660"/>
      <c r="E660"/>
      <c r="F660"/>
      <c r="G660"/>
      <c r="H660"/>
      <c r="I660"/>
    </row>
    <row r="661" spans="1:9" x14ac:dyDescent="0.25">
      <c r="A661"/>
      <c r="B661"/>
      <c r="C661"/>
      <c r="D661"/>
      <c r="E661"/>
      <c r="F661"/>
      <c r="G661"/>
      <c r="H661"/>
      <c r="I661"/>
    </row>
    <row r="662" spans="1:9" x14ac:dyDescent="0.25">
      <c r="A662"/>
      <c r="B662"/>
      <c r="C662"/>
      <c r="D662"/>
      <c r="E662"/>
      <c r="F662"/>
      <c r="G662"/>
      <c r="H662"/>
      <c r="I662"/>
    </row>
    <row r="663" spans="1:9" x14ac:dyDescent="0.25">
      <c r="A663"/>
      <c r="B663"/>
      <c r="C663"/>
      <c r="D663"/>
      <c r="E663"/>
      <c r="F663"/>
      <c r="G663"/>
      <c r="H663"/>
      <c r="I663"/>
    </row>
    <row r="664" spans="1:9" x14ac:dyDescent="0.25">
      <c r="A664"/>
      <c r="B664"/>
      <c r="C664"/>
      <c r="D664"/>
      <c r="E664"/>
      <c r="F664"/>
      <c r="G664"/>
      <c r="H664"/>
      <c r="I664"/>
    </row>
    <row r="665" spans="1:9" x14ac:dyDescent="0.25">
      <c r="A665"/>
      <c r="B665"/>
      <c r="C665"/>
      <c r="D665"/>
      <c r="E665"/>
      <c r="F665"/>
      <c r="G665"/>
      <c r="H665"/>
      <c r="I665"/>
    </row>
    <row r="666" spans="1:9" x14ac:dyDescent="0.25">
      <c r="A666"/>
      <c r="B666"/>
      <c r="C666"/>
      <c r="D666"/>
      <c r="E666"/>
      <c r="F666"/>
      <c r="G666"/>
      <c r="H666"/>
      <c r="I666"/>
    </row>
    <row r="667" spans="1:9" x14ac:dyDescent="0.25">
      <c r="A667"/>
      <c r="B667"/>
      <c r="C667"/>
      <c r="D667"/>
      <c r="E667"/>
      <c r="F667"/>
      <c r="G667"/>
      <c r="H667"/>
      <c r="I667"/>
    </row>
    <row r="668" spans="1:9" x14ac:dyDescent="0.25">
      <c r="A668"/>
      <c r="B668"/>
      <c r="C668"/>
      <c r="D668"/>
      <c r="E668"/>
      <c r="F668"/>
      <c r="G668"/>
      <c r="H668"/>
      <c r="I668"/>
    </row>
    <row r="669" spans="1:9" x14ac:dyDescent="0.25">
      <c r="A669"/>
      <c r="B669"/>
      <c r="C669"/>
      <c r="D669"/>
      <c r="E669"/>
      <c r="F669"/>
      <c r="G669"/>
      <c r="H669"/>
      <c r="I669"/>
    </row>
    <row r="670" spans="1:9" x14ac:dyDescent="0.25">
      <c r="A670"/>
      <c r="B670"/>
      <c r="C670"/>
      <c r="D670"/>
      <c r="E670"/>
      <c r="F670"/>
      <c r="G670"/>
      <c r="H670"/>
      <c r="I670"/>
    </row>
    <row r="671" spans="1:9" x14ac:dyDescent="0.25">
      <c r="A671"/>
      <c r="B671"/>
      <c r="C671"/>
      <c r="D671"/>
      <c r="E671"/>
      <c r="F671"/>
      <c r="G671"/>
      <c r="H671"/>
      <c r="I671"/>
    </row>
    <row r="672" spans="1:9" x14ac:dyDescent="0.25">
      <c r="A672"/>
      <c r="B672"/>
      <c r="C672"/>
      <c r="D672"/>
      <c r="E672"/>
      <c r="F672"/>
      <c r="G672"/>
      <c r="H672"/>
      <c r="I672"/>
    </row>
    <row r="673" spans="1:9" x14ac:dyDescent="0.25">
      <c r="A673"/>
      <c r="B673"/>
      <c r="C673"/>
      <c r="D673"/>
      <c r="E673"/>
      <c r="F673"/>
      <c r="G673"/>
      <c r="H673"/>
      <c r="I673"/>
    </row>
    <row r="674" spans="1:9" x14ac:dyDescent="0.25">
      <c r="A674"/>
      <c r="B674"/>
      <c r="C674"/>
      <c r="D674"/>
      <c r="E674"/>
      <c r="F674"/>
      <c r="G674"/>
      <c r="H674"/>
      <c r="I674"/>
    </row>
    <row r="675" spans="1:9" x14ac:dyDescent="0.25">
      <c r="A675"/>
      <c r="B675"/>
      <c r="C675"/>
      <c r="D675"/>
      <c r="E675"/>
      <c r="F675"/>
      <c r="G675"/>
      <c r="H675"/>
      <c r="I675"/>
    </row>
    <row r="676" spans="1:9" x14ac:dyDescent="0.25">
      <c r="A676"/>
      <c r="B676"/>
      <c r="C676"/>
      <c r="D676"/>
      <c r="E676"/>
      <c r="F676"/>
      <c r="G676"/>
      <c r="H676"/>
      <c r="I676"/>
    </row>
    <row r="677" spans="1:9" x14ac:dyDescent="0.25">
      <c r="A677"/>
      <c r="B677"/>
      <c r="C677"/>
      <c r="D677"/>
      <c r="E677"/>
      <c r="F677"/>
      <c r="G677"/>
      <c r="H677"/>
      <c r="I677"/>
    </row>
    <row r="678" spans="1:9" x14ac:dyDescent="0.25">
      <c r="A678"/>
      <c r="B678"/>
      <c r="C678"/>
      <c r="D678"/>
      <c r="E678"/>
      <c r="F678"/>
      <c r="G678"/>
      <c r="H678"/>
      <c r="I678"/>
    </row>
    <row r="679" spans="1:9" x14ac:dyDescent="0.25">
      <c r="A679"/>
      <c r="B679"/>
      <c r="C679"/>
      <c r="D679"/>
      <c r="E679"/>
      <c r="F679"/>
      <c r="G679"/>
      <c r="H679"/>
      <c r="I679"/>
    </row>
    <row r="680" spans="1:9" x14ac:dyDescent="0.25">
      <c r="A680"/>
      <c r="B680"/>
      <c r="C680"/>
      <c r="D680"/>
      <c r="E680"/>
      <c r="F680"/>
      <c r="G680"/>
      <c r="H680"/>
      <c r="I680"/>
    </row>
    <row r="681" spans="1:9" x14ac:dyDescent="0.25">
      <c r="A681"/>
      <c r="B681"/>
      <c r="C681"/>
      <c r="D681"/>
      <c r="E681"/>
      <c r="F681"/>
      <c r="G681"/>
      <c r="H681"/>
      <c r="I681"/>
    </row>
    <row r="682" spans="1:9" x14ac:dyDescent="0.25">
      <c r="A682"/>
      <c r="B682"/>
      <c r="C682"/>
      <c r="D682"/>
      <c r="E682"/>
      <c r="F682"/>
      <c r="G682"/>
      <c r="H682"/>
      <c r="I682"/>
    </row>
    <row r="683" spans="1:9" x14ac:dyDescent="0.25">
      <c r="A683"/>
      <c r="B683"/>
      <c r="C683"/>
      <c r="D683"/>
      <c r="E683"/>
      <c r="F683"/>
      <c r="G683"/>
      <c r="H683"/>
      <c r="I683"/>
    </row>
    <row r="684" spans="1:9" x14ac:dyDescent="0.25">
      <c r="A684"/>
      <c r="B684"/>
      <c r="C684"/>
      <c r="D684"/>
      <c r="E684"/>
      <c r="F684"/>
      <c r="G684"/>
      <c r="H684"/>
      <c r="I684"/>
    </row>
    <row r="685" spans="1:9" x14ac:dyDescent="0.25">
      <c r="A685"/>
      <c r="B685"/>
      <c r="C685"/>
      <c r="D685"/>
      <c r="E685"/>
      <c r="F685"/>
      <c r="G685"/>
      <c r="H685"/>
      <c r="I685"/>
    </row>
    <row r="686" spans="1:9" x14ac:dyDescent="0.25">
      <c r="A686"/>
      <c r="B686"/>
      <c r="C686"/>
      <c r="D686"/>
      <c r="E686"/>
      <c r="F686"/>
      <c r="G686"/>
      <c r="H686"/>
      <c r="I686"/>
    </row>
    <row r="687" spans="1:9" x14ac:dyDescent="0.25">
      <c r="A687"/>
      <c r="B687"/>
      <c r="C687"/>
      <c r="D687"/>
      <c r="E687"/>
      <c r="F687"/>
      <c r="G687"/>
      <c r="H687"/>
      <c r="I687"/>
    </row>
    <row r="688" spans="1:9" x14ac:dyDescent="0.25">
      <c r="A688"/>
      <c r="B688"/>
      <c r="C688"/>
      <c r="D688"/>
      <c r="E688"/>
      <c r="F688"/>
      <c r="G688"/>
      <c r="H688"/>
      <c r="I688"/>
    </row>
    <row r="689" spans="1:9" x14ac:dyDescent="0.25">
      <c r="A689"/>
      <c r="B689"/>
      <c r="C689"/>
      <c r="D689"/>
      <c r="E689"/>
      <c r="F689"/>
      <c r="G689"/>
      <c r="H689"/>
      <c r="I689"/>
    </row>
    <row r="690" spans="1:9" x14ac:dyDescent="0.25">
      <c r="A690"/>
      <c r="B690"/>
      <c r="C690"/>
      <c r="D690"/>
      <c r="E690"/>
      <c r="F690"/>
      <c r="G690"/>
      <c r="H690"/>
      <c r="I690"/>
    </row>
    <row r="691" spans="1:9" x14ac:dyDescent="0.25">
      <c r="A691"/>
      <c r="B691"/>
      <c r="C691"/>
      <c r="D691"/>
      <c r="E691"/>
      <c r="F691"/>
      <c r="G691"/>
      <c r="H691"/>
      <c r="I691"/>
    </row>
    <row r="692" spans="1:9" x14ac:dyDescent="0.25">
      <c r="A692"/>
      <c r="B692"/>
      <c r="C692"/>
      <c r="D692"/>
      <c r="E692"/>
      <c r="F692"/>
      <c r="G692"/>
      <c r="H692"/>
      <c r="I692"/>
    </row>
    <row r="693" spans="1:9" x14ac:dyDescent="0.25">
      <c r="A693"/>
      <c r="B693"/>
      <c r="C693"/>
      <c r="D693"/>
      <c r="E693"/>
      <c r="F693"/>
      <c r="G693"/>
      <c r="H693"/>
      <c r="I693"/>
    </row>
    <row r="694" spans="1:9" x14ac:dyDescent="0.25">
      <c r="A694"/>
      <c r="B694"/>
      <c r="C694"/>
      <c r="D694"/>
      <c r="E694"/>
      <c r="F694"/>
      <c r="G694"/>
      <c r="H694"/>
      <c r="I694"/>
    </row>
    <row r="695" spans="1:9" x14ac:dyDescent="0.25">
      <c r="A695"/>
      <c r="B695"/>
      <c r="C695"/>
      <c r="D695"/>
      <c r="E695"/>
      <c r="F695"/>
      <c r="G695"/>
      <c r="H695"/>
      <c r="I695"/>
    </row>
    <row r="696" spans="1:9" x14ac:dyDescent="0.25">
      <c r="A696"/>
      <c r="B696"/>
      <c r="C696"/>
      <c r="D696"/>
      <c r="E696"/>
      <c r="F696"/>
      <c r="G696"/>
      <c r="H696"/>
      <c r="I696"/>
    </row>
    <row r="697" spans="1:9" x14ac:dyDescent="0.25">
      <c r="A697"/>
      <c r="B697"/>
      <c r="C697"/>
      <c r="D697"/>
      <c r="E697"/>
      <c r="F697"/>
      <c r="G697"/>
      <c r="H697"/>
      <c r="I697"/>
    </row>
    <row r="698" spans="1:9" x14ac:dyDescent="0.25">
      <c r="A698"/>
      <c r="B698"/>
      <c r="C698"/>
      <c r="D698"/>
      <c r="E698"/>
      <c r="F698"/>
      <c r="G698"/>
      <c r="H698"/>
      <c r="I698"/>
    </row>
    <row r="699" spans="1:9" x14ac:dyDescent="0.25">
      <c r="A699"/>
      <c r="B699"/>
      <c r="C699"/>
      <c r="D699"/>
      <c r="E699"/>
      <c r="F699"/>
      <c r="G699"/>
      <c r="H699"/>
      <c r="I699"/>
    </row>
    <row r="700" spans="1:9" x14ac:dyDescent="0.25">
      <c r="A700"/>
      <c r="B700"/>
      <c r="C700"/>
      <c r="D700"/>
      <c r="E700"/>
      <c r="F700"/>
      <c r="G700"/>
      <c r="H700"/>
      <c r="I700"/>
    </row>
    <row r="701" spans="1:9" x14ac:dyDescent="0.25">
      <c r="A701"/>
      <c r="B701"/>
      <c r="C701"/>
      <c r="D701"/>
      <c r="E701"/>
      <c r="F701"/>
      <c r="G701"/>
      <c r="H701"/>
      <c r="I701"/>
    </row>
    <row r="702" spans="1:9" x14ac:dyDescent="0.25">
      <c r="A702"/>
      <c r="B702"/>
      <c r="C702"/>
      <c r="D702"/>
      <c r="E702"/>
      <c r="F702"/>
      <c r="G702"/>
      <c r="H702"/>
      <c r="I702"/>
    </row>
    <row r="703" spans="1:9" x14ac:dyDescent="0.25">
      <c r="A703"/>
      <c r="B703"/>
      <c r="C703"/>
      <c r="D703"/>
      <c r="E703"/>
      <c r="F703"/>
      <c r="G703"/>
      <c r="H703"/>
      <c r="I703"/>
    </row>
    <row r="704" spans="1:9" x14ac:dyDescent="0.25">
      <c r="A704"/>
      <c r="B704"/>
      <c r="C704"/>
      <c r="D704"/>
      <c r="E704"/>
      <c r="F704"/>
      <c r="G704"/>
      <c r="H704"/>
      <c r="I704"/>
    </row>
    <row r="705" spans="1:9" x14ac:dyDescent="0.25">
      <c r="A705"/>
      <c r="B705"/>
      <c r="C705"/>
      <c r="D705"/>
      <c r="E705"/>
      <c r="F705"/>
      <c r="G705"/>
      <c r="H705"/>
      <c r="I705"/>
    </row>
    <row r="706" spans="1:9" x14ac:dyDescent="0.25">
      <c r="A706"/>
      <c r="B706"/>
      <c r="C706"/>
      <c r="D706"/>
      <c r="E706"/>
      <c r="F706"/>
      <c r="G706"/>
      <c r="H706"/>
      <c r="I706"/>
    </row>
    <row r="707" spans="1:9" x14ac:dyDescent="0.25">
      <c r="A707"/>
      <c r="B707"/>
      <c r="C707"/>
      <c r="D707"/>
      <c r="E707"/>
      <c r="F707"/>
      <c r="G707"/>
      <c r="H707"/>
      <c r="I707"/>
    </row>
    <row r="708" spans="1:9" x14ac:dyDescent="0.25">
      <c r="A708"/>
      <c r="B708"/>
      <c r="C708"/>
      <c r="D708"/>
      <c r="E708"/>
      <c r="F708"/>
      <c r="G708"/>
      <c r="H708"/>
      <c r="I708"/>
    </row>
    <row r="709" spans="1:9" x14ac:dyDescent="0.25">
      <c r="A709"/>
      <c r="B709"/>
      <c r="C709"/>
      <c r="D709"/>
      <c r="E709"/>
      <c r="F709"/>
      <c r="G709"/>
      <c r="H709"/>
      <c r="I709"/>
    </row>
    <row r="710" spans="1:9" x14ac:dyDescent="0.25">
      <c r="A710"/>
      <c r="B710"/>
      <c r="C710"/>
      <c r="D710"/>
      <c r="E710"/>
      <c r="F710"/>
      <c r="G710"/>
      <c r="H710"/>
      <c r="I710"/>
    </row>
    <row r="711" spans="1:9" x14ac:dyDescent="0.25">
      <c r="A711"/>
      <c r="B711"/>
      <c r="C711"/>
      <c r="D711"/>
      <c r="E711"/>
      <c r="F711"/>
      <c r="G711"/>
      <c r="H711"/>
      <c r="I711"/>
    </row>
    <row r="712" spans="1:9" x14ac:dyDescent="0.25">
      <c r="A712"/>
      <c r="B712"/>
      <c r="C712"/>
      <c r="D712"/>
      <c r="E712"/>
      <c r="F712"/>
      <c r="G712"/>
      <c r="H712"/>
      <c r="I712"/>
    </row>
    <row r="713" spans="1:9" x14ac:dyDescent="0.25">
      <c r="A713"/>
      <c r="B713"/>
      <c r="C713"/>
      <c r="D713"/>
      <c r="E713"/>
      <c r="F713"/>
      <c r="G713"/>
      <c r="H713"/>
      <c r="I713"/>
    </row>
    <row r="714" spans="1:9" x14ac:dyDescent="0.25">
      <c r="A714"/>
      <c r="B714"/>
      <c r="C714"/>
      <c r="D714"/>
      <c r="E714"/>
      <c r="F714"/>
      <c r="G714"/>
      <c r="H714"/>
      <c r="I714"/>
    </row>
    <row r="715" spans="1:9" x14ac:dyDescent="0.25">
      <c r="A715"/>
      <c r="B715"/>
      <c r="C715"/>
      <c r="D715"/>
      <c r="E715"/>
      <c r="F715"/>
      <c r="G715"/>
      <c r="H715"/>
      <c r="I715"/>
    </row>
    <row r="716" spans="1:9" x14ac:dyDescent="0.25">
      <c r="A716"/>
      <c r="B716"/>
      <c r="C716"/>
      <c r="D716"/>
      <c r="E716"/>
      <c r="F716"/>
      <c r="G716"/>
      <c r="H716"/>
      <c r="I716"/>
    </row>
    <row r="717" spans="1:9" x14ac:dyDescent="0.25">
      <c r="A717"/>
      <c r="B717"/>
      <c r="C717"/>
      <c r="D717"/>
      <c r="E717"/>
      <c r="F717"/>
      <c r="G717"/>
      <c r="H717"/>
      <c r="I717"/>
    </row>
    <row r="718" spans="1:9" x14ac:dyDescent="0.25">
      <c r="A718"/>
      <c r="B718"/>
      <c r="C718"/>
      <c r="D718"/>
      <c r="E718"/>
      <c r="F718"/>
      <c r="G718"/>
      <c r="H718"/>
      <c r="I718"/>
    </row>
    <row r="719" spans="1:9" x14ac:dyDescent="0.25">
      <c r="A719"/>
      <c r="B719"/>
      <c r="C719"/>
      <c r="D719"/>
      <c r="E719"/>
      <c r="F719"/>
      <c r="G719"/>
      <c r="H719"/>
      <c r="I719"/>
    </row>
    <row r="720" spans="1:9" x14ac:dyDescent="0.25">
      <c r="A720"/>
      <c r="B720"/>
      <c r="C720"/>
      <c r="D720"/>
      <c r="E720"/>
      <c r="F720"/>
      <c r="G720"/>
      <c r="H720"/>
      <c r="I720"/>
    </row>
    <row r="721" spans="1:9" x14ac:dyDescent="0.25">
      <c r="A721"/>
      <c r="B721"/>
      <c r="C721"/>
      <c r="D721"/>
      <c r="E721"/>
      <c r="F721"/>
      <c r="G721"/>
      <c r="H721"/>
      <c r="I721"/>
    </row>
    <row r="722" spans="1:9" x14ac:dyDescent="0.25">
      <c r="A722"/>
      <c r="B722"/>
      <c r="C722"/>
      <c r="D722"/>
      <c r="E722"/>
      <c r="F722"/>
      <c r="G722"/>
      <c r="H722"/>
      <c r="I722"/>
    </row>
    <row r="723" spans="1:9" x14ac:dyDescent="0.25">
      <c r="A723"/>
      <c r="B723"/>
      <c r="C723"/>
      <c r="D723"/>
      <c r="E723"/>
      <c r="F723"/>
      <c r="G723"/>
      <c r="H723"/>
      <c r="I723"/>
    </row>
    <row r="724" spans="1:9" x14ac:dyDescent="0.25">
      <c r="A724"/>
      <c r="B724"/>
      <c r="C724"/>
      <c r="D724"/>
      <c r="E724"/>
      <c r="F724"/>
      <c r="G724"/>
      <c r="H724"/>
      <c r="I724"/>
    </row>
    <row r="725" spans="1:9" x14ac:dyDescent="0.25">
      <c r="A725"/>
      <c r="B725"/>
      <c r="C725"/>
      <c r="D725"/>
      <c r="E725"/>
      <c r="F725"/>
      <c r="G725"/>
      <c r="H725"/>
      <c r="I725"/>
    </row>
    <row r="726" spans="1:9" x14ac:dyDescent="0.25">
      <c r="A726"/>
      <c r="B726"/>
      <c r="C726"/>
      <c r="D726"/>
      <c r="E726"/>
      <c r="F726"/>
      <c r="G726"/>
      <c r="H726"/>
      <c r="I726"/>
    </row>
    <row r="727" spans="1:9" x14ac:dyDescent="0.25">
      <c r="A727"/>
      <c r="B727"/>
      <c r="C727"/>
      <c r="D727"/>
      <c r="E727"/>
      <c r="F727"/>
      <c r="G727"/>
      <c r="H727"/>
      <c r="I727"/>
    </row>
    <row r="728" spans="1:9" x14ac:dyDescent="0.25">
      <c r="A728"/>
      <c r="B728"/>
      <c r="C728"/>
      <c r="D728"/>
      <c r="E728"/>
      <c r="F728"/>
      <c r="G728"/>
      <c r="H728"/>
      <c r="I728"/>
    </row>
    <row r="729" spans="1:9" x14ac:dyDescent="0.25">
      <c r="A729"/>
      <c r="B729"/>
      <c r="C729"/>
      <c r="D729"/>
      <c r="E729"/>
      <c r="F729"/>
      <c r="G729"/>
      <c r="H729"/>
      <c r="I729"/>
    </row>
    <row r="730" spans="1:9" x14ac:dyDescent="0.25">
      <c r="A730"/>
      <c r="B730"/>
      <c r="C730"/>
      <c r="D730"/>
      <c r="E730"/>
      <c r="F730"/>
      <c r="G730"/>
      <c r="H730"/>
      <c r="I730"/>
    </row>
    <row r="731" spans="1:9" x14ac:dyDescent="0.25">
      <c r="A731"/>
      <c r="B731"/>
      <c r="C731"/>
      <c r="D731"/>
      <c r="E731"/>
      <c r="F731"/>
      <c r="G731"/>
      <c r="H731"/>
      <c r="I731"/>
    </row>
    <row r="732" spans="1:9" x14ac:dyDescent="0.25">
      <c r="A732"/>
      <c r="B732"/>
      <c r="C732"/>
      <c r="D732"/>
      <c r="E732"/>
      <c r="F732"/>
      <c r="G732"/>
      <c r="H732"/>
      <c r="I732"/>
    </row>
    <row r="733" spans="1:9" x14ac:dyDescent="0.25">
      <c r="A733"/>
      <c r="B733"/>
      <c r="C733"/>
      <c r="D733"/>
      <c r="E733"/>
      <c r="F733"/>
      <c r="G733"/>
      <c r="H733"/>
      <c r="I733"/>
    </row>
    <row r="734" spans="1:9" x14ac:dyDescent="0.25">
      <c r="A734"/>
      <c r="B734"/>
      <c r="C734"/>
      <c r="D734"/>
      <c r="E734"/>
      <c r="F734"/>
      <c r="G734"/>
      <c r="H734"/>
      <c r="I734"/>
    </row>
    <row r="735" spans="1:9" x14ac:dyDescent="0.25">
      <c r="A735"/>
      <c r="B735"/>
      <c r="C735"/>
      <c r="D735"/>
      <c r="E735"/>
      <c r="F735"/>
      <c r="G735"/>
      <c r="H735"/>
      <c r="I735"/>
    </row>
    <row r="736" spans="1:9" x14ac:dyDescent="0.25">
      <c r="A736"/>
      <c r="B736"/>
      <c r="C736"/>
      <c r="D736"/>
      <c r="E736"/>
      <c r="F736"/>
      <c r="G736"/>
      <c r="H736"/>
      <c r="I736"/>
    </row>
    <row r="737" spans="1:9" x14ac:dyDescent="0.25">
      <c r="A737"/>
      <c r="B737"/>
      <c r="C737"/>
      <c r="D737"/>
      <c r="E737"/>
      <c r="F737"/>
      <c r="G737"/>
      <c r="H737"/>
      <c r="I737"/>
    </row>
    <row r="738" spans="1:9" x14ac:dyDescent="0.25">
      <c r="A738"/>
      <c r="B738"/>
      <c r="C738"/>
      <c r="D738"/>
      <c r="E738"/>
      <c r="F738"/>
      <c r="G738"/>
      <c r="H738"/>
      <c r="I738"/>
    </row>
    <row r="739" spans="1:9" x14ac:dyDescent="0.25">
      <c r="A739"/>
      <c r="B739"/>
      <c r="C739"/>
      <c r="D739"/>
      <c r="E739"/>
      <c r="F739"/>
      <c r="G739"/>
      <c r="H739"/>
      <c r="I739"/>
    </row>
    <row r="740" spans="1:9" x14ac:dyDescent="0.25">
      <c r="A740"/>
      <c r="B740"/>
      <c r="C740"/>
      <c r="D740"/>
      <c r="E740"/>
      <c r="F740"/>
      <c r="G740"/>
      <c r="H740"/>
      <c r="I740"/>
    </row>
    <row r="741" spans="1:9" x14ac:dyDescent="0.25">
      <c r="A741"/>
      <c r="B741"/>
      <c r="C741"/>
      <c r="D741"/>
      <c r="E741"/>
      <c r="F741"/>
      <c r="G741"/>
      <c r="H741"/>
      <c r="I741"/>
    </row>
    <row r="742" spans="1:9" x14ac:dyDescent="0.25">
      <c r="A742"/>
      <c r="B742"/>
      <c r="C742"/>
      <c r="D742"/>
      <c r="E742"/>
      <c r="F742"/>
      <c r="G742"/>
      <c r="H742"/>
      <c r="I742"/>
    </row>
    <row r="743" spans="1:9" x14ac:dyDescent="0.25">
      <c r="A743"/>
      <c r="B743"/>
      <c r="C743"/>
      <c r="D743"/>
      <c r="E743"/>
      <c r="F743"/>
      <c r="G743"/>
      <c r="H743"/>
      <c r="I743"/>
    </row>
    <row r="744" spans="1:9" x14ac:dyDescent="0.25">
      <c r="A744"/>
      <c r="B744"/>
      <c r="C744"/>
      <c r="D744"/>
      <c r="E744"/>
      <c r="F744"/>
      <c r="G744"/>
      <c r="H744"/>
      <c r="I744"/>
    </row>
    <row r="745" spans="1:9" x14ac:dyDescent="0.25">
      <c r="A745"/>
      <c r="B745"/>
      <c r="C745"/>
      <c r="D745"/>
      <c r="E745"/>
      <c r="F745"/>
      <c r="G745"/>
      <c r="H745"/>
      <c r="I745"/>
    </row>
    <row r="746" spans="1:9" x14ac:dyDescent="0.25">
      <c r="A746"/>
      <c r="B746"/>
      <c r="C746"/>
      <c r="D746"/>
      <c r="E746"/>
      <c r="F746"/>
      <c r="G746"/>
      <c r="H746"/>
      <c r="I746"/>
    </row>
    <row r="747" spans="1:9" x14ac:dyDescent="0.25">
      <c r="A747"/>
      <c r="B747"/>
      <c r="C747"/>
      <c r="D747"/>
      <c r="E747"/>
      <c r="F747"/>
      <c r="G747"/>
      <c r="H747"/>
      <c r="I747"/>
    </row>
    <row r="748" spans="1:9" x14ac:dyDescent="0.25">
      <c r="A748"/>
      <c r="B748"/>
      <c r="C748"/>
      <c r="D748"/>
      <c r="E748"/>
      <c r="F748"/>
      <c r="G748"/>
      <c r="H748"/>
      <c r="I748"/>
    </row>
    <row r="749" spans="1:9" x14ac:dyDescent="0.25">
      <c r="A749"/>
      <c r="B749"/>
      <c r="C749"/>
      <c r="D749"/>
      <c r="E749"/>
      <c r="F749"/>
      <c r="G749"/>
      <c r="H749"/>
      <c r="I749"/>
    </row>
    <row r="750" spans="1:9" x14ac:dyDescent="0.25">
      <c r="A750"/>
      <c r="B750"/>
      <c r="C750"/>
      <c r="D750"/>
      <c r="E750"/>
      <c r="F750"/>
      <c r="G750"/>
      <c r="H750"/>
      <c r="I750"/>
    </row>
    <row r="751" spans="1:9" x14ac:dyDescent="0.25">
      <c r="A751"/>
      <c r="B751"/>
      <c r="C751"/>
      <c r="D751"/>
      <c r="E751"/>
      <c r="F751"/>
      <c r="G751"/>
      <c r="H751"/>
      <c r="I751"/>
    </row>
    <row r="752" spans="1:9" x14ac:dyDescent="0.25">
      <c r="A752"/>
      <c r="B752"/>
      <c r="C752"/>
      <c r="D752"/>
      <c r="E752"/>
      <c r="F752"/>
      <c r="G752"/>
      <c r="H752"/>
      <c r="I752"/>
    </row>
    <row r="753" spans="1:9" x14ac:dyDescent="0.25">
      <c r="A753"/>
      <c r="B753"/>
      <c r="C753"/>
      <c r="D753"/>
      <c r="E753"/>
      <c r="F753"/>
      <c r="G753"/>
      <c r="H753"/>
      <c r="I753"/>
    </row>
    <row r="754" spans="1:9" x14ac:dyDescent="0.25">
      <c r="A754"/>
      <c r="B754"/>
      <c r="C754"/>
      <c r="D754"/>
      <c r="E754"/>
      <c r="F754"/>
      <c r="G754"/>
      <c r="H754"/>
      <c r="I754"/>
    </row>
    <row r="755" spans="1:9" x14ac:dyDescent="0.25">
      <c r="A755"/>
      <c r="B755"/>
      <c r="C755"/>
      <c r="D755"/>
      <c r="E755"/>
      <c r="F755"/>
      <c r="G755"/>
      <c r="H755"/>
      <c r="I755"/>
    </row>
    <row r="756" spans="1:9" x14ac:dyDescent="0.25">
      <c r="A756"/>
      <c r="B756"/>
      <c r="C756"/>
      <c r="D756"/>
      <c r="E756"/>
      <c r="F756"/>
      <c r="G756"/>
      <c r="H756"/>
      <c r="I756"/>
    </row>
    <row r="757" spans="1:9" x14ac:dyDescent="0.25">
      <c r="A757"/>
      <c r="B757"/>
      <c r="C757"/>
      <c r="D757"/>
      <c r="E757"/>
      <c r="F757"/>
      <c r="G757"/>
      <c r="H757"/>
      <c r="I757"/>
    </row>
    <row r="758" spans="1:9" x14ac:dyDescent="0.25">
      <c r="A758"/>
      <c r="B758"/>
      <c r="C758"/>
      <c r="D758"/>
      <c r="E758"/>
      <c r="F758"/>
      <c r="G758"/>
      <c r="H758"/>
      <c r="I758"/>
    </row>
    <row r="759" spans="1:9" x14ac:dyDescent="0.25">
      <c r="A759"/>
      <c r="B759"/>
      <c r="C759"/>
      <c r="D759"/>
      <c r="E759"/>
      <c r="F759"/>
      <c r="G759"/>
      <c r="H759"/>
      <c r="I759"/>
    </row>
    <row r="760" spans="1:9" x14ac:dyDescent="0.25">
      <c r="A760"/>
      <c r="B760"/>
      <c r="C760"/>
      <c r="D760"/>
      <c r="E760"/>
      <c r="F760"/>
      <c r="G760"/>
      <c r="H760"/>
      <c r="I760"/>
    </row>
    <row r="761" spans="1:9" x14ac:dyDescent="0.25">
      <c r="A761"/>
      <c r="B761"/>
      <c r="C761"/>
      <c r="D761"/>
      <c r="E761"/>
      <c r="F761"/>
      <c r="G761"/>
      <c r="H761"/>
      <c r="I761"/>
    </row>
    <row r="762" spans="1:9" x14ac:dyDescent="0.25">
      <c r="A762"/>
      <c r="B762"/>
      <c r="C762"/>
      <c r="D762"/>
      <c r="E762"/>
      <c r="F762"/>
      <c r="G762"/>
      <c r="H762"/>
      <c r="I762"/>
    </row>
    <row r="763" spans="1:9" x14ac:dyDescent="0.25">
      <c r="A763"/>
      <c r="B763"/>
      <c r="C763"/>
      <c r="D763"/>
      <c r="E763"/>
      <c r="F763"/>
      <c r="G763"/>
      <c r="H763"/>
      <c r="I763"/>
    </row>
    <row r="764" spans="1:9" x14ac:dyDescent="0.25">
      <c r="A764"/>
      <c r="B764"/>
      <c r="C764"/>
      <c r="D764"/>
      <c r="E764"/>
      <c r="F764"/>
      <c r="G764"/>
      <c r="H764"/>
      <c r="I764"/>
    </row>
    <row r="765" spans="1:9" x14ac:dyDescent="0.25">
      <c r="A765"/>
      <c r="B765"/>
      <c r="C765"/>
      <c r="D765"/>
      <c r="E765"/>
      <c r="F765"/>
      <c r="G765"/>
      <c r="H765"/>
      <c r="I765"/>
    </row>
    <row r="766" spans="1:9" x14ac:dyDescent="0.25">
      <c r="A766"/>
      <c r="B766"/>
      <c r="C766"/>
      <c r="D766"/>
      <c r="E766"/>
      <c r="F766"/>
      <c r="G766"/>
      <c r="H766"/>
      <c r="I766"/>
    </row>
    <row r="767" spans="1:9" x14ac:dyDescent="0.25">
      <c r="A767"/>
      <c r="B767"/>
      <c r="C767"/>
      <c r="D767"/>
      <c r="E767"/>
      <c r="F767"/>
      <c r="G767"/>
      <c r="H767"/>
      <c r="I767"/>
    </row>
    <row r="768" spans="1:9" x14ac:dyDescent="0.25">
      <c r="A768"/>
      <c r="B768"/>
      <c r="C768"/>
      <c r="D768"/>
      <c r="E768"/>
      <c r="F768"/>
      <c r="G768"/>
      <c r="H768"/>
      <c r="I768"/>
    </row>
    <row r="769" spans="1:9" x14ac:dyDescent="0.25">
      <c r="A769"/>
      <c r="B769"/>
      <c r="C769"/>
      <c r="D769"/>
      <c r="E769"/>
      <c r="F769"/>
      <c r="G769"/>
      <c r="H769"/>
      <c r="I769"/>
    </row>
    <row r="770" spans="1:9" x14ac:dyDescent="0.25">
      <c r="A770"/>
      <c r="B770"/>
      <c r="C770"/>
      <c r="D770"/>
      <c r="E770"/>
      <c r="F770"/>
      <c r="G770"/>
      <c r="H770"/>
      <c r="I770"/>
    </row>
    <row r="771" spans="1:9" x14ac:dyDescent="0.25">
      <c r="A771"/>
      <c r="B771"/>
      <c r="C771"/>
      <c r="D771"/>
      <c r="E771"/>
      <c r="F771"/>
      <c r="G771"/>
      <c r="H771"/>
      <c r="I771"/>
    </row>
    <row r="772" spans="1:9" x14ac:dyDescent="0.25">
      <c r="A772"/>
      <c r="B772"/>
      <c r="C772"/>
      <c r="D772"/>
      <c r="E772"/>
      <c r="F772"/>
      <c r="G772"/>
      <c r="H772"/>
      <c r="I772"/>
    </row>
    <row r="773" spans="1:9" x14ac:dyDescent="0.25">
      <c r="A773"/>
      <c r="B773"/>
      <c r="C773"/>
      <c r="D773"/>
      <c r="E773"/>
      <c r="F773"/>
      <c r="G773"/>
      <c r="H773"/>
      <c r="I773"/>
    </row>
    <row r="774" spans="1:9" x14ac:dyDescent="0.25">
      <c r="A774"/>
      <c r="B774"/>
      <c r="C774"/>
      <c r="D774"/>
      <c r="E774"/>
      <c r="F774"/>
      <c r="G774"/>
      <c r="H774"/>
      <c r="I774"/>
    </row>
    <row r="775" spans="1:9" x14ac:dyDescent="0.25">
      <c r="A775"/>
      <c r="B775"/>
      <c r="C775"/>
      <c r="D775"/>
      <c r="E775"/>
      <c r="F775"/>
      <c r="G775"/>
      <c r="H775"/>
      <c r="I775"/>
    </row>
    <row r="776" spans="1:9" x14ac:dyDescent="0.25">
      <c r="A776"/>
      <c r="B776"/>
      <c r="C776"/>
      <c r="D776"/>
      <c r="E776"/>
      <c r="F776"/>
      <c r="G776"/>
      <c r="H776"/>
      <c r="I776"/>
    </row>
    <row r="777" spans="1:9" x14ac:dyDescent="0.25">
      <c r="A777"/>
      <c r="B777"/>
      <c r="C777"/>
      <c r="D777"/>
      <c r="E777"/>
      <c r="F777"/>
      <c r="G777"/>
      <c r="H777"/>
      <c r="I777"/>
    </row>
    <row r="778" spans="1:9" x14ac:dyDescent="0.25">
      <c r="A778"/>
      <c r="B778"/>
      <c r="C778"/>
      <c r="D778"/>
      <c r="E778"/>
      <c r="F778"/>
      <c r="G778"/>
      <c r="H778"/>
      <c r="I778"/>
    </row>
    <row r="779" spans="1:9" x14ac:dyDescent="0.25">
      <c r="A779"/>
      <c r="B779"/>
      <c r="C779"/>
      <c r="D779"/>
      <c r="E779"/>
      <c r="F779"/>
      <c r="G779"/>
      <c r="H779"/>
      <c r="I779"/>
    </row>
    <row r="780" spans="1:9" x14ac:dyDescent="0.25">
      <c r="A780"/>
      <c r="B780"/>
      <c r="C780"/>
      <c r="D780"/>
      <c r="E780"/>
      <c r="F780"/>
      <c r="G780"/>
      <c r="H780"/>
      <c r="I780"/>
    </row>
    <row r="781" spans="1:9" x14ac:dyDescent="0.25">
      <c r="A781"/>
      <c r="B781"/>
      <c r="C781"/>
      <c r="D781"/>
      <c r="E781"/>
      <c r="F781"/>
      <c r="G781"/>
      <c r="H781"/>
      <c r="I781"/>
    </row>
    <row r="782" spans="1:9" x14ac:dyDescent="0.25">
      <c r="A782"/>
      <c r="B782"/>
      <c r="C782"/>
      <c r="D782"/>
      <c r="E782"/>
      <c r="F782"/>
      <c r="G782"/>
      <c r="H782"/>
      <c r="I782"/>
    </row>
    <row r="783" spans="1:9" x14ac:dyDescent="0.25">
      <c r="A783"/>
      <c r="B783"/>
      <c r="C783"/>
      <c r="D783"/>
      <c r="E783"/>
      <c r="F783"/>
      <c r="G783"/>
      <c r="H783"/>
      <c r="I783"/>
    </row>
    <row r="784" spans="1:9" x14ac:dyDescent="0.25">
      <c r="A784"/>
      <c r="B784"/>
      <c r="C784"/>
      <c r="D784"/>
      <c r="E784"/>
      <c r="F784"/>
      <c r="G784"/>
      <c r="H784"/>
      <c r="I784"/>
    </row>
    <row r="785" spans="1:9" x14ac:dyDescent="0.25">
      <c r="A785"/>
      <c r="B785"/>
      <c r="C785"/>
      <c r="D785"/>
      <c r="E785"/>
      <c r="F785"/>
      <c r="G785"/>
      <c r="H785"/>
      <c r="I785"/>
    </row>
    <row r="786" spans="1:9" x14ac:dyDescent="0.25">
      <c r="A786"/>
      <c r="B786"/>
      <c r="C786"/>
      <c r="D786"/>
      <c r="E786"/>
      <c r="F786"/>
      <c r="G786"/>
      <c r="H786"/>
      <c r="I786"/>
    </row>
    <row r="787" spans="1:9" x14ac:dyDescent="0.25">
      <c r="A787"/>
      <c r="B787"/>
      <c r="C787"/>
      <c r="D787"/>
      <c r="E787"/>
      <c r="F787"/>
      <c r="G787"/>
      <c r="H787"/>
      <c r="I787"/>
    </row>
    <row r="788" spans="1:9" x14ac:dyDescent="0.25">
      <c r="A788"/>
      <c r="B788"/>
      <c r="C788"/>
      <c r="D788"/>
      <c r="E788"/>
      <c r="F788"/>
      <c r="G788"/>
      <c r="H788"/>
      <c r="I788"/>
    </row>
    <row r="789" spans="1:9" x14ac:dyDescent="0.25">
      <c r="A789"/>
      <c r="B789"/>
      <c r="C789"/>
      <c r="D789"/>
      <c r="E789"/>
      <c r="F789"/>
      <c r="G789"/>
      <c r="H789"/>
      <c r="I789"/>
    </row>
    <row r="790" spans="1:9" x14ac:dyDescent="0.25">
      <c r="A790"/>
      <c r="B790"/>
      <c r="C790"/>
      <c r="D790"/>
      <c r="E790"/>
      <c r="F790"/>
      <c r="G790"/>
      <c r="H790"/>
      <c r="I790"/>
    </row>
    <row r="791" spans="1:9" x14ac:dyDescent="0.25">
      <c r="A791"/>
      <c r="B791"/>
      <c r="C791"/>
      <c r="D791"/>
      <c r="E791"/>
      <c r="F791"/>
      <c r="G791"/>
      <c r="H791"/>
      <c r="I791"/>
    </row>
    <row r="792" spans="1:9" x14ac:dyDescent="0.25">
      <c r="A792"/>
      <c r="B792"/>
      <c r="C792"/>
      <c r="D792"/>
      <c r="E792"/>
      <c r="F792"/>
      <c r="G792"/>
      <c r="H792"/>
      <c r="I792"/>
    </row>
    <row r="793" spans="1:9" x14ac:dyDescent="0.25">
      <c r="A793"/>
      <c r="B793"/>
      <c r="C793"/>
      <c r="D793"/>
      <c r="E793"/>
      <c r="F793"/>
      <c r="G793"/>
      <c r="H793"/>
      <c r="I793"/>
    </row>
    <row r="794" spans="1:9" x14ac:dyDescent="0.25">
      <c r="A794"/>
      <c r="B794"/>
      <c r="C794"/>
      <c r="D794"/>
      <c r="E794"/>
      <c r="F794"/>
      <c r="G794"/>
      <c r="H794"/>
      <c r="I794"/>
    </row>
    <row r="795" spans="1:9" x14ac:dyDescent="0.25">
      <c r="A795"/>
      <c r="B795"/>
      <c r="C795"/>
      <c r="D795"/>
      <c r="E795"/>
      <c r="F795"/>
      <c r="G795"/>
      <c r="H795"/>
      <c r="I795"/>
    </row>
    <row r="796" spans="1:9" x14ac:dyDescent="0.25">
      <c r="A796"/>
      <c r="B796"/>
      <c r="C796"/>
      <c r="D796"/>
      <c r="E796"/>
      <c r="F796"/>
      <c r="G796"/>
      <c r="H796"/>
      <c r="I796"/>
    </row>
    <row r="797" spans="1:9" x14ac:dyDescent="0.25">
      <c r="A797"/>
      <c r="B797"/>
      <c r="C797"/>
      <c r="D797"/>
      <c r="E797"/>
      <c r="F797"/>
      <c r="G797"/>
      <c r="H797"/>
      <c r="I797"/>
    </row>
    <row r="798" spans="1:9" x14ac:dyDescent="0.25">
      <c r="A798"/>
      <c r="B798"/>
      <c r="C798"/>
      <c r="D798"/>
      <c r="E798"/>
      <c r="F798"/>
      <c r="G798"/>
      <c r="H798"/>
      <c r="I798"/>
    </row>
    <row r="799" spans="1:9" x14ac:dyDescent="0.25">
      <c r="A799"/>
      <c r="B799"/>
      <c r="C799"/>
      <c r="D799"/>
      <c r="E799"/>
      <c r="F799"/>
      <c r="G799"/>
      <c r="H799"/>
      <c r="I799"/>
    </row>
    <row r="800" spans="1:9" x14ac:dyDescent="0.25">
      <c r="A800"/>
      <c r="B800"/>
      <c r="C800"/>
      <c r="D800"/>
      <c r="E800"/>
      <c r="F800"/>
      <c r="G800"/>
      <c r="H800"/>
      <c r="I800"/>
    </row>
    <row r="801" spans="1:9" x14ac:dyDescent="0.25">
      <c r="A801"/>
      <c r="B801"/>
      <c r="C801"/>
      <c r="D801"/>
      <c r="E801"/>
      <c r="F801"/>
      <c r="G801"/>
      <c r="H801"/>
      <c r="I801"/>
    </row>
    <row r="802" spans="1:9" x14ac:dyDescent="0.25">
      <c r="A802"/>
      <c r="B802"/>
      <c r="C802"/>
      <c r="D802"/>
      <c r="E802"/>
      <c r="F802"/>
      <c r="G802"/>
      <c r="H802"/>
      <c r="I802"/>
    </row>
    <row r="803" spans="1:9" x14ac:dyDescent="0.25">
      <c r="A803"/>
      <c r="B803"/>
      <c r="C803"/>
      <c r="D803"/>
      <c r="E803"/>
      <c r="F803"/>
      <c r="G803"/>
      <c r="H803"/>
      <c r="I803"/>
    </row>
    <row r="804" spans="1:9" x14ac:dyDescent="0.25">
      <c r="A804"/>
      <c r="B804"/>
      <c r="C804"/>
      <c r="D804"/>
      <c r="E804"/>
      <c r="F804"/>
      <c r="G804"/>
      <c r="H804"/>
      <c r="I804"/>
    </row>
    <row r="805" spans="1:9" x14ac:dyDescent="0.25">
      <c r="A805"/>
      <c r="B805"/>
      <c r="C805"/>
      <c r="D805"/>
      <c r="E805"/>
      <c r="F805"/>
      <c r="G805"/>
      <c r="H805"/>
      <c r="I805"/>
    </row>
    <row r="806" spans="1:9" x14ac:dyDescent="0.25">
      <c r="A806"/>
      <c r="B806"/>
      <c r="C806"/>
      <c r="D806"/>
      <c r="E806"/>
      <c r="F806"/>
      <c r="G806"/>
      <c r="H806"/>
      <c r="I806"/>
    </row>
    <row r="807" spans="1:9" x14ac:dyDescent="0.25">
      <c r="A807"/>
      <c r="B807"/>
      <c r="C807"/>
      <c r="D807"/>
      <c r="E807"/>
      <c r="F807"/>
      <c r="G807"/>
      <c r="H807"/>
      <c r="I807"/>
    </row>
    <row r="808" spans="1:9" x14ac:dyDescent="0.25">
      <c r="A808"/>
      <c r="B808"/>
      <c r="C808"/>
      <c r="D808"/>
      <c r="E808"/>
      <c r="F808"/>
      <c r="G808"/>
      <c r="H808"/>
      <c r="I808"/>
    </row>
    <row r="809" spans="1:9" x14ac:dyDescent="0.25">
      <c r="A809"/>
      <c r="B809"/>
      <c r="C809"/>
      <c r="D809"/>
      <c r="E809"/>
      <c r="F809"/>
      <c r="G809"/>
      <c r="H809"/>
      <c r="I809"/>
    </row>
    <row r="810" spans="1:9" x14ac:dyDescent="0.25">
      <c r="A810"/>
      <c r="B810"/>
      <c r="C810"/>
      <c r="D810"/>
      <c r="E810"/>
      <c r="F810"/>
      <c r="G810"/>
      <c r="H810"/>
      <c r="I810"/>
    </row>
    <row r="811" spans="1:9" x14ac:dyDescent="0.25">
      <c r="A811"/>
      <c r="B811"/>
      <c r="C811"/>
      <c r="D811"/>
      <c r="E811"/>
      <c r="F811"/>
      <c r="G811"/>
      <c r="H811"/>
      <c r="I811"/>
    </row>
    <row r="812" spans="1:9" x14ac:dyDescent="0.25">
      <c r="A812"/>
      <c r="B812"/>
      <c r="C812"/>
      <c r="D812"/>
      <c r="E812"/>
      <c r="F812"/>
      <c r="G812"/>
      <c r="H812"/>
      <c r="I812"/>
    </row>
    <row r="813" spans="1:9" x14ac:dyDescent="0.25">
      <c r="A813"/>
      <c r="B813"/>
      <c r="C813"/>
      <c r="D813"/>
      <c r="E813"/>
      <c r="F813"/>
      <c r="G813"/>
      <c r="H813"/>
      <c r="I813"/>
    </row>
    <row r="814" spans="1:9" x14ac:dyDescent="0.25">
      <c r="A814"/>
      <c r="B814"/>
      <c r="C814"/>
      <c r="D814"/>
      <c r="E814"/>
      <c r="F814"/>
      <c r="G814"/>
      <c r="H814"/>
      <c r="I814"/>
    </row>
    <row r="815" spans="1:9" x14ac:dyDescent="0.25">
      <c r="A815"/>
      <c r="B815"/>
      <c r="C815"/>
      <c r="D815"/>
      <c r="E815"/>
      <c r="F815"/>
      <c r="G815"/>
      <c r="H815"/>
      <c r="I815"/>
    </row>
    <row r="816" spans="1:9" x14ac:dyDescent="0.25">
      <c r="A816"/>
      <c r="B816"/>
      <c r="C816"/>
      <c r="D816"/>
      <c r="E816"/>
      <c r="F816"/>
      <c r="G816"/>
      <c r="H816"/>
      <c r="I816"/>
    </row>
    <row r="817" spans="1:9" x14ac:dyDescent="0.25">
      <c r="A817"/>
      <c r="B817"/>
      <c r="C817"/>
      <c r="D817"/>
      <c r="E817"/>
      <c r="F817"/>
      <c r="G817"/>
      <c r="H817"/>
      <c r="I817"/>
    </row>
    <row r="818" spans="1:9" x14ac:dyDescent="0.25">
      <c r="A818"/>
      <c r="B818"/>
      <c r="C818"/>
      <c r="D818"/>
      <c r="E818"/>
      <c r="F818"/>
      <c r="G818"/>
      <c r="H818"/>
      <c r="I818"/>
    </row>
    <row r="819" spans="1:9" x14ac:dyDescent="0.25">
      <c r="A819"/>
      <c r="B819"/>
      <c r="C819"/>
      <c r="D819"/>
      <c r="E819"/>
      <c r="F819"/>
      <c r="G819"/>
      <c r="H819"/>
      <c r="I819"/>
    </row>
    <row r="820" spans="1:9" x14ac:dyDescent="0.25">
      <c r="A820"/>
      <c r="B820"/>
      <c r="C820"/>
      <c r="D820"/>
      <c r="E820"/>
      <c r="F820"/>
      <c r="G820"/>
      <c r="H820"/>
      <c r="I820"/>
    </row>
    <row r="821" spans="1:9" x14ac:dyDescent="0.25">
      <c r="A821"/>
      <c r="B821"/>
      <c r="C821"/>
      <c r="D821"/>
      <c r="E821"/>
      <c r="F821"/>
      <c r="G821"/>
      <c r="H821"/>
      <c r="I821"/>
    </row>
    <row r="822" spans="1:9" x14ac:dyDescent="0.25">
      <c r="A822"/>
      <c r="B822"/>
      <c r="C822"/>
      <c r="D822"/>
      <c r="E822"/>
      <c r="F822"/>
      <c r="G822"/>
      <c r="H822"/>
      <c r="I822"/>
    </row>
    <row r="823" spans="1:9" x14ac:dyDescent="0.25">
      <c r="A823"/>
      <c r="B823"/>
      <c r="C823"/>
      <c r="D823"/>
      <c r="E823"/>
      <c r="F823"/>
      <c r="G823"/>
      <c r="H823"/>
      <c r="I823"/>
    </row>
    <row r="824" spans="1:9" x14ac:dyDescent="0.25">
      <c r="A824"/>
      <c r="B824"/>
      <c r="C824"/>
      <c r="D824"/>
      <c r="E824"/>
      <c r="F824"/>
      <c r="G824"/>
      <c r="H824"/>
      <c r="I824"/>
    </row>
    <row r="825" spans="1:9" x14ac:dyDescent="0.25">
      <c r="A825"/>
      <c r="B825"/>
      <c r="C825"/>
      <c r="D825"/>
      <c r="E825"/>
      <c r="F825"/>
      <c r="G825"/>
      <c r="H825"/>
      <c r="I825"/>
    </row>
    <row r="826" spans="1:9" x14ac:dyDescent="0.25">
      <c r="A826"/>
      <c r="B826"/>
      <c r="C826"/>
      <c r="D826"/>
      <c r="E826"/>
      <c r="F826"/>
      <c r="G826"/>
      <c r="H826"/>
      <c r="I826"/>
    </row>
    <row r="827" spans="1:9" x14ac:dyDescent="0.25">
      <c r="A827"/>
      <c r="B827"/>
      <c r="C827"/>
      <c r="D827"/>
      <c r="E827"/>
      <c r="F827"/>
      <c r="G827"/>
      <c r="H827"/>
      <c r="I827"/>
    </row>
    <row r="828" spans="1:9" x14ac:dyDescent="0.25">
      <c r="A828"/>
      <c r="B828"/>
      <c r="C828"/>
      <c r="D828"/>
      <c r="E828"/>
      <c r="F828"/>
      <c r="G828"/>
      <c r="H828"/>
      <c r="I828"/>
    </row>
    <row r="829" spans="1:9" x14ac:dyDescent="0.25">
      <c r="A829"/>
      <c r="B829"/>
      <c r="C829"/>
      <c r="D829"/>
      <c r="E829"/>
      <c r="F829"/>
      <c r="G829"/>
      <c r="H829"/>
      <c r="I829"/>
    </row>
    <row r="830" spans="1:9" x14ac:dyDescent="0.25">
      <c r="A830"/>
      <c r="B830"/>
      <c r="C830"/>
      <c r="D830"/>
      <c r="E830"/>
      <c r="F830"/>
      <c r="G830"/>
      <c r="H830"/>
      <c r="I830"/>
    </row>
    <row r="831" spans="1:9" x14ac:dyDescent="0.25">
      <c r="A831"/>
      <c r="B831"/>
      <c r="C831"/>
      <c r="D831"/>
      <c r="E831"/>
      <c r="F831"/>
      <c r="G831"/>
      <c r="H831"/>
      <c r="I831"/>
    </row>
    <row r="832" spans="1:9" x14ac:dyDescent="0.25">
      <c r="A832"/>
      <c r="B832"/>
      <c r="C832"/>
      <c r="D832"/>
      <c r="E832"/>
      <c r="F832"/>
      <c r="G832"/>
      <c r="H832"/>
      <c r="I832"/>
    </row>
    <row r="833" spans="1:9" x14ac:dyDescent="0.25">
      <c r="A833"/>
      <c r="B833"/>
      <c r="C833"/>
      <c r="D833"/>
      <c r="E833"/>
      <c r="F833"/>
      <c r="G833"/>
      <c r="H833"/>
      <c r="I833"/>
    </row>
    <row r="834" spans="1:9" x14ac:dyDescent="0.25">
      <c r="A834"/>
      <c r="B834"/>
      <c r="C834"/>
      <c r="D834"/>
      <c r="E834"/>
      <c r="F834"/>
      <c r="G834"/>
      <c r="H834"/>
      <c r="I834"/>
    </row>
    <row r="835" spans="1:9" x14ac:dyDescent="0.25">
      <c r="A835"/>
      <c r="B835"/>
      <c r="C835"/>
      <c r="D835"/>
      <c r="E835"/>
      <c r="F835"/>
      <c r="G835"/>
      <c r="H835"/>
      <c r="I835"/>
    </row>
    <row r="836" spans="1:9" x14ac:dyDescent="0.25">
      <c r="A836"/>
      <c r="B836"/>
      <c r="C836"/>
      <c r="D836"/>
      <c r="E836"/>
      <c r="F836"/>
      <c r="G836"/>
      <c r="H836"/>
      <c r="I836"/>
    </row>
    <row r="837" spans="1:9" x14ac:dyDescent="0.25">
      <c r="A837"/>
      <c r="B837"/>
      <c r="C837"/>
      <c r="D837"/>
      <c r="E837"/>
      <c r="F837"/>
      <c r="G837"/>
      <c r="H837"/>
      <c r="I837"/>
    </row>
    <row r="838" spans="1:9" x14ac:dyDescent="0.25">
      <c r="A838"/>
      <c r="B838"/>
      <c r="C838"/>
      <c r="D838"/>
      <c r="E838"/>
      <c r="F838"/>
      <c r="G838"/>
      <c r="H838"/>
      <c r="I838"/>
    </row>
    <row r="839" spans="1:9" x14ac:dyDescent="0.25">
      <c r="A839"/>
      <c r="B839"/>
      <c r="C839"/>
      <c r="D839"/>
      <c r="E839"/>
      <c r="F839"/>
      <c r="G839"/>
      <c r="H839"/>
      <c r="I839"/>
    </row>
    <row r="840" spans="1:9" x14ac:dyDescent="0.25">
      <c r="A840"/>
      <c r="B840"/>
      <c r="C840"/>
      <c r="D840"/>
      <c r="E840"/>
      <c r="F840"/>
      <c r="G840"/>
      <c r="H840"/>
      <c r="I840"/>
    </row>
    <row r="841" spans="1:9" x14ac:dyDescent="0.25">
      <c r="A841"/>
      <c r="B841"/>
      <c r="C841"/>
      <c r="D841"/>
      <c r="E841"/>
      <c r="F841"/>
      <c r="G841"/>
      <c r="H841"/>
      <c r="I841"/>
    </row>
    <row r="842" spans="1:9" x14ac:dyDescent="0.25">
      <c r="A842"/>
      <c r="B842"/>
      <c r="C842"/>
      <c r="D842"/>
      <c r="E842"/>
      <c r="F842"/>
      <c r="G842"/>
      <c r="H842"/>
      <c r="I842"/>
    </row>
    <row r="843" spans="1:9" x14ac:dyDescent="0.25">
      <c r="A843"/>
      <c r="B843"/>
      <c r="C843"/>
      <c r="D843"/>
      <c r="E843"/>
      <c r="F843"/>
      <c r="G843"/>
      <c r="H843"/>
      <c r="I843"/>
    </row>
    <row r="844" spans="1:9" x14ac:dyDescent="0.25">
      <c r="A844"/>
      <c r="B844"/>
      <c r="C844"/>
      <c r="D844"/>
      <c r="E844"/>
      <c r="F844"/>
      <c r="G844"/>
      <c r="H844"/>
      <c r="I844"/>
    </row>
    <row r="845" spans="1:9" x14ac:dyDescent="0.25">
      <c r="A845"/>
      <c r="B845"/>
      <c r="C845"/>
      <c r="D845"/>
      <c r="E845"/>
      <c r="F845"/>
      <c r="G845"/>
      <c r="H845"/>
      <c r="I845"/>
    </row>
    <row r="846" spans="1:9" x14ac:dyDescent="0.25">
      <c r="A846"/>
      <c r="B846"/>
      <c r="C846"/>
      <c r="D846"/>
      <c r="E846"/>
      <c r="F846"/>
      <c r="G846"/>
      <c r="H846"/>
      <c r="I846"/>
    </row>
    <row r="847" spans="1:9" x14ac:dyDescent="0.25">
      <c r="A847"/>
      <c r="B847"/>
      <c r="C847"/>
      <c r="D847"/>
      <c r="E847"/>
      <c r="F847"/>
      <c r="G847"/>
      <c r="H847"/>
      <c r="I847"/>
    </row>
    <row r="848" spans="1:9" x14ac:dyDescent="0.25">
      <c r="A848"/>
      <c r="B848"/>
      <c r="C848"/>
      <c r="D848"/>
      <c r="E848"/>
      <c r="F848"/>
      <c r="G848"/>
      <c r="H848"/>
      <c r="I848"/>
    </row>
    <row r="849" spans="1:9" x14ac:dyDescent="0.25">
      <c r="A849"/>
      <c r="B849"/>
      <c r="C849"/>
      <c r="D849"/>
      <c r="E849"/>
      <c r="F849"/>
      <c r="G849"/>
      <c r="H849"/>
      <c r="I849"/>
    </row>
    <row r="850" spans="1:9" x14ac:dyDescent="0.25">
      <c r="A850"/>
      <c r="B850"/>
      <c r="C850"/>
      <c r="D850"/>
      <c r="E850"/>
      <c r="F850"/>
      <c r="G850"/>
      <c r="H850"/>
      <c r="I850"/>
    </row>
    <row r="851" spans="1:9" x14ac:dyDescent="0.25">
      <c r="A851"/>
      <c r="B851"/>
      <c r="C851"/>
      <c r="D851"/>
      <c r="E851"/>
      <c r="F851"/>
      <c r="G851"/>
      <c r="H851"/>
      <c r="I851"/>
    </row>
    <row r="852" spans="1:9" x14ac:dyDescent="0.25">
      <c r="A852"/>
      <c r="B852"/>
      <c r="C852"/>
      <c r="D852"/>
      <c r="E852"/>
      <c r="F852"/>
      <c r="G852"/>
      <c r="H852"/>
      <c r="I852"/>
    </row>
    <row r="853" spans="1:9" x14ac:dyDescent="0.25">
      <c r="A853"/>
      <c r="B853"/>
      <c r="C853"/>
      <c r="D853"/>
      <c r="E853"/>
      <c r="F853"/>
      <c r="G853"/>
      <c r="H853"/>
      <c r="I853"/>
    </row>
    <row r="854" spans="1:9" x14ac:dyDescent="0.25">
      <c r="A854"/>
      <c r="B854"/>
      <c r="C854"/>
      <c r="D854"/>
      <c r="E854"/>
      <c r="F854"/>
      <c r="G854"/>
      <c r="H854"/>
      <c r="I854"/>
    </row>
    <row r="855" spans="1:9" x14ac:dyDescent="0.25">
      <c r="A855"/>
      <c r="B855"/>
      <c r="C855"/>
      <c r="D855"/>
      <c r="E855"/>
      <c r="F855"/>
      <c r="G855"/>
      <c r="H855"/>
      <c r="I855"/>
    </row>
    <row r="856" spans="1:9" x14ac:dyDescent="0.25">
      <c r="A856"/>
      <c r="B856"/>
      <c r="C856"/>
      <c r="D856"/>
      <c r="E856"/>
      <c r="F856"/>
      <c r="G856"/>
      <c r="H856"/>
      <c r="I856"/>
    </row>
    <row r="857" spans="1:9" x14ac:dyDescent="0.25">
      <c r="A857"/>
      <c r="B857"/>
      <c r="C857"/>
      <c r="D857"/>
      <c r="E857"/>
      <c r="F857"/>
      <c r="G857"/>
      <c r="H857"/>
      <c r="I857"/>
    </row>
    <row r="858" spans="1:9" x14ac:dyDescent="0.25">
      <c r="A858"/>
      <c r="B858"/>
      <c r="C858"/>
      <c r="D858"/>
      <c r="E858"/>
      <c r="F858"/>
      <c r="G858"/>
      <c r="H858"/>
      <c r="I858"/>
    </row>
    <row r="859" spans="1:9" x14ac:dyDescent="0.25">
      <c r="A859"/>
      <c r="B859"/>
      <c r="C859"/>
      <c r="D859"/>
      <c r="E859"/>
      <c r="F859"/>
      <c r="G859"/>
      <c r="H859"/>
      <c r="I859"/>
    </row>
    <row r="860" spans="1:9" x14ac:dyDescent="0.25">
      <c r="A860"/>
      <c r="B860"/>
      <c r="C860"/>
      <c r="D860"/>
      <c r="E860"/>
      <c r="F860"/>
      <c r="G860"/>
      <c r="H860"/>
      <c r="I860"/>
    </row>
    <row r="861" spans="1:9" x14ac:dyDescent="0.25">
      <c r="A861"/>
      <c r="B861"/>
      <c r="C861"/>
      <c r="D861"/>
      <c r="E861"/>
      <c r="F861"/>
      <c r="G861"/>
      <c r="H861"/>
      <c r="I861"/>
    </row>
    <row r="862" spans="1:9" x14ac:dyDescent="0.25">
      <c r="A862"/>
      <c r="B862"/>
      <c r="C862"/>
      <c r="D862"/>
      <c r="E862"/>
      <c r="F862"/>
      <c r="G862"/>
      <c r="H862"/>
      <c r="I862"/>
    </row>
    <row r="863" spans="1:9" x14ac:dyDescent="0.25">
      <c r="A863"/>
      <c r="B863"/>
      <c r="C863"/>
      <c r="D863"/>
      <c r="E863"/>
      <c r="F863"/>
      <c r="G863"/>
      <c r="H863"/>
      <c r="I863"/>
    </row>
    <row r="864" spans="1:9" x14ac:dyDescent="0.25">
      <c r="A864"/>
      <c r="B864"/>
      <c r="C864"/>
      <c r="D864"/>
      <c r="E864"/>
      <c r="F864"/>
      <c r="G864"/>
      <c r="H864"/>
      <c r="I864"/>
    </row>
    <row r="865" spans="1:9" x14ac:dyDescent="0.25">
      <c r="A865"/>
      <c r="B865"/>
      <c r="C865"/>
      <c r="D865"/>
      <c r="E865"/>
      <c r="F865"/>
      <c r="G865"/>
      <c r="H865"/>
      <c r="I865"/>
    </row>
    <row r="866" spans="1:9" x14ac:dyDescent="0.25">
      <c r="A866"/>
      <c r="B866"/>
      <c r="C866"/>
      <c r="D866"/>
      <c r="E866"/>
      <c r="F866"/>
      <c r="G866"/>
      <c r="H866"/>
      <c r="I866"/>
    </row>
    <row r="867" spans="1:9" x14ac:dyDescent="0.25">
      <c r="A867"/>
      <c r="B867"/>
      <c r="C867"/>
      <c r="D867"/>
      <c r="E867"/>
      <c r="F867"/>
      <c r="G867"/>
      <c r="H867"/>
      <c r="I867"/>
    </row>
    <row r="868" spans="1:9" x14ac:dyDescent="0.25">
      <c r="A868"/>
      <c r="B868"/>
      <c r="C868"/>
      <c r="D868"/>
      <c r="E868"/>
      <c r="F868"/>
      <c r="G868"/>
      <c r="H868"/>
      <c r="I868"/>
    </row>
    <row r="869" spans="1:9" x14ac:dyDescent="0.25">
      <c r="A869"/>
      <c r="B869"/>
      <c r="C869"/>
      <c r="D869"/>
      <c r="E869"/>
      <c r="F869"/>
      <c r="G869"/>
      <c r="H869"/>
      <c r="I869"/>
    </row>
    <row r="870" spans="1:9" x14ac:dyDescent="0.25">
      <c r="A870"/>
      <c r="B870"/>
      <c r="C870"/>
      <c r="D870"/>
      <c r="E870"/>
      <c r="F870"/>
      <c r="G870"/>
      <c r="H870"/>
      <c r="I870"/>
    </row>
    <row r="871" spans="1:9" x14ac:dyDescent="0.25">
      <c r="A871"/>
      <c r="B871"/>
      <c r="C871"/>
      <c r="D871"/>
      <c r="E871"/>
      <c r="F871"/>
      <c r="G871"/>
      <c r="H871"/>
      <c r="I871"/>
    </row>
    <row r="872" spans="1:9" x14ac:dyDescent="0.25">
      <c r="A872"/>
      <c r="B872"/>
      <c r="C872"/>
      <c r="D872"/>
      <c r="E872"/>
      <c r="F872"/>
      <c r="G872"/>
      <c r="H872"/>
      <c r="I872"/>
    </row>
    <row r="873" spans="1:9" x14ac:dyDescent="0.25">
      <c r="A873"/>
      <c r="B873"/>
      <c r="C873"/>
      <c r="D873"/>
      <c r="E873"/>
      <c r="F873"/>
      <c r="G873"/>
      <c r="H873"/>
      <c r="I873"/>
    </row>
    <row r="874" spans="1:9" x14ac:dyDescent="0.25">
      <c r="A874"/>
      <c r="B874"/>
      <c r="C874"/>
      <c r="D874"/>
      <c r="E874"/>
      <c r="F874"/>
      <c r="G874"/>
      <c r="H874"/>
      <c r="I874"/>
    </row>
    <row r="875" spans="1:9" x14ac:dyDescent="0.25">
      <c r="A875"/>
      <c r="B875"/>
      <c r="C875"/>
      <c r="D875"/>
      <c r="E875"/>
      <c r="F875"/>
      <c r="G875"/>
      <c r="H875"/>
      <c r="I875"/>
    </row>
    <row r="876" spans="1:9" x14ac:dyDescent="0.25">
      <c r="A876"/>
      <c r="B876"/>
      <c r="C876"/>
      <c r="D876"/>
      <c r="E876"/>
      <c r="F876"/>
      <c r="G876"/>
      <c r="H876"/>
      <c r="I876"/>
    </row>
    <row r="877" spans="1:9" x14ac:dyDescent="0.25">
      <c r="A877"/>
      <c r="B877"/>
      <c r="C877"/>
      <c r="D877"/>
      <c r="E877"/>
      <c r="F877"/>
      <c r="G877"/>
      <c r="H877"/>
      <c r="I877"/>
    </row>
  </sheetData>
  <printOptions horizontalCentered="1"/>
  <pageMargins left="0.25" right="0.25" top="0.75" bottom="0.75" header="0.3" footer="0.3"/>
  <pageSetup paperSize="9" scale="64" fitToHeight="3" orientation="portrait" r:id="rId2"/>
  <drawing r:id="rId3"/>
  <extLst>
    <ext xmlns:x14="http://schemas.microsoft.com/office/spreadsheetml/2009/9/main" uri="{A8765BA9-456A-4dab-B4F3-ACF838C121DE}">
      <x14:slicerList>
        <x14:slicer r:id="rId4"/>
      </x14:slicerList>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DB23C-55CD-4CB2-92A7-A41AFBF7F290}">
  <sheetPr>
    <pageSetUpPr fitToPage="1"/>
  </sheetPr>
  <dimension ref="A9:N877"/>
  <sheetViews>
    <sheetView showGridLines="0" view="pageBreakPreview" topLeftCell="A64" zoomScale="85" zoomScaleNormal="100" zoomScaleSheetLayoutView="85" workbookViewId="0">
      <selection activeCell="J91" sqref="J91"/>
    </sheetView>
  </sheetViews>
  <sheetFormatPr defaultRowHeight="15" x14ac:dyDescent="0.25"/>
  <cols>
    <col min="1" max="1" width="13.28515625" style="79" bestFit="1" customWidth="1"/>
    <col min="2" max="2" width="16.140625" style="191" bestFit="1" customWidth="1"/>
    <col min="3" max="4" width="11.5703125" style="192" bestFit="1" customWidth="1"/>
    <col min="5" max="5" width="10.5703125" style="192" bestFit="1" customWidth="1"/>
    <col min="6" max="6" width="13.5703125" style="79" bestFit="1" customWidth="1"/>
    <col min="7" max="7" width="18.28515625" style="192" bestFit="1" customWidth="1"/>
    <col min="8" max="8" width="13.28515625" style="192" bestFit="1" customWidth="1"/>
    <col min="9" max="9" width="16.42578125" style="79" bestFit="1" customWidth="1"/>
    <col min="10" max="10" width="28.85546875" style="79" bestFit="1" customWidth="1"/>
    <col min="11" max="13" width="9.140625" style="79"/>
    <col min="14" max="14" width="24.7109375" style="79" bestFit="1" customWidth="1"/>
    <col min="15" max="16384" width="9.140625" style="79"/>
  </cols>
  <sheetData>
    <row r="9" spans="14:14" x14ac:dyDescent="0.25">
      <c r="N9" s="79" t="s">
        <v>1177</v>
      </c>
    </row>
    <row r="10" spans="14:14" x14ac:dyDescent="0.25">
      <c r="N10" s="79" t="s">
        <v>1167</v>
      </c>
    </row>
    <row r="11" spans="14:14" x14ac:dyDescent="0.25">
      <c r="N11" s="79">
        <f>COUNT(B18:B162)</f>
        <v>73</v>
      </c>
    </row>
    <row r="12" spans="14:14" x14ac:dyDescent="0.25">
      <c r="N12" s="79" t="s">
        <v>1164</v>
      </c>
    </row>
    <row r="13" spans="14:14" x14ac:dyDescent="0.25">
      <c r="N13" s="79" t="s">
        <v>1301</v>
      </c>
    </row>
    <row r="14" spans="14:14" x14ac:dyDescent="0.25">
      <c r="N14" s="226">
        <f>GETPIVOTDATA("Sum of TOTAL UNIT VALUE (SEMI FINISHED)",'PROJECT SUMMARY DASH'!$A$1,"SELLING PHASE NAME","R 12")</f>
        <v>833499710.49550617</v>
      </c>
    </row>
    <row r="18" spans="1:10" s="160" customFormat="1" ht="60" x14ac:dyDescent="0.25">
      <c r="A18" s="160" t="s">
        <v>733</v>
      </c>
      <c r="B18" s="160" t="s">
        <v>1303</v>
      </c>
      <c r="C18" s="160" t="s">
        <v>713</v>
      </c>
      <c r="D18" s="160" t="s">
        <v>1302</v>
      </c>
      <c r="E18" s="225" t="s">
        <v>1151</v>
      </c>
      <c r="F18" s="225" t="s">
        <v>1152</v>
      </c>
      <c r="G18" s="160" t="s">
        <v>1298</v>
      </c>
      <c r="H18" s="160" t="s">
        <v>1299</v>
      </c>
      <c r="I18" s="160" t="s">
        <v>1300</v>
      </c>
      <c r="J18" s="290" t="str">
        <f>Table1[[#Headers],[NO. OF BEDROOMS]]</f>
        <v>NO. OF BEDROOMS</v>
      </c>
    </row>
    <row r="19" spans="1:10" x14ac:dyDescent="0.25">
      <c r="A19" s="121" t="s">
        <v>738</v>
      </c>
      <c r="B19" s="191">
        <v>66881.25</v>
      </c>
      <c r="C19" s="191">
        <v>138</v>
      </c>
      <c r="D19" s="191"/>
      <c r="E19" s="122">
        <v>0</v>
      </c>
      <c r="F19" s="122">
        <v>784517.0625</v>
      </c>
      <c r="G19" s="122">
        <v>9519612.5</v>
      </c>
      <c r="H19" s="122">
        <v>10140612.5</v>
      </c>
      <c r="I19" s="122">
        <v>10554612.5</v>
      </c>
      <c r="J19" s="79" t="str">
        <f>VLOOKUP(A19,Table1[[Unit Number]:[NO. OF BEDROOMS]],2,FALSE)</f>
        <v>2 BEDROOM</v>
      </c>
    </row>
    <row r="20" spans="1:10" x14ac:dyDescent="0.25">
      <c r="A20" s="121" t="s">
        <v>265</v>
      </c>
      <c r="B20" s="191">
        <v>65213.75</v>
      </c>
      <c r="C20" s="191">
        <v>121</v>
      </c>
      <c r="D20" s="191">
        <v>50.705300000000001</v>
      </c>
      <c r="E20" s="122">
        <v>1091205.3100987501</v>
      </c>
      <c r="F20" s="122">
        <v>763475.87010839384</v>
      </c>
      <c r="G20" s="122">
        <v>9272069.0600987505</v>
      </c>
      <c r="H20" s="122">
        <v>9816569.0600987505</v>
      </c>
      <c r="I20" s="122">
        <v>10179569.060098751</v>
      </c>
      <c r="J20" s="79" t="str">
        <f>VLOOKUP(A20,Table1[[Unit Number]:[NO. OF BEDROOMS]],2,FALSE)</f>
        <v>2 BEDROOM</v>
      </c>
    </row>
    <row r="21" spans="1:10" x14ac:dyDescent="0.25">
      <c r="A21" s="121" t="s">
        <v>327</v>
      </c>
      <c r="B21" s="191">
        <v>65068.75</v>
      </c>
      <c r="C21" s="191">
        <v>112</v>
      </c>
      <c r="D21" s="191"/>
      <c r="E21" s="122">
        <v>0</v>
      </c>
      <c r="F21" s="122">
        <v>619454.5</v>
      </c>
      <c r="G21" s="122">
        <v>7577700</v>
      </c>
      <c r="H21" s="122">
        <v>8081700</v>
      </c>
      <c r="I21" s="122">
        <v>8417700</v>
      </c>
      <c r="J21" s="79" t="str">
        <f>VLOOKUP(A21,Table1[[Unit Number]:[NO. OF BEDROOMS]],2,FALSE)</f>
        <v>2 BEDROOM</v>
      </c>
    </row>
    <row r="22" spans="1:10" x14ac:dyDescent="0.25">
      <c r="A22" s="121" t="s">
        <v>329</v>
      </c>
      <c r="B22" s="191">
        <v>65141.25</v>
      </c>
      <c r="C22" s="191">
        <v>122</v>
      </c>
      <c r="D22" s="191"/>
      <c r="E22" s="122">
        <v>0</v>
      </c>
      <c r="F22" s="122">
        <v>675514.76250000007</v>
      </c>
      <c r="G22" s="122">
        <v>8237232.5</v>
      </c>
      <c r="H22" s="122">
        <v>8786232.5</v>
      </c>
      <c r="I22" s="122">
        <v>9152232.5</v>
      </c>
      <c r="J22" s="79" t="str">
        <f>VLOOKUP(A22,Table1[[Unit Number]:[NO. OF BEDROOMS]],2,FALSE)</f>
        <v>2 BEDROOM</v>
      </c>
    </row>
    <row r="23" spans="1:10" x14ac:dyDescent="0.25">
      <c r="A23" s="121" t="s">
        <v>330</v>
      </c>
      <c r="B23" s="191">
        <v>65068.75</v>
      </c>
      <c r="C23" s="191">
        <v>122</v>
      </c>
      <c r="D23" s="191"/>
      <c r="E23" s="122">
        <v>0</v>
      </c>
      <c r="F23" s="122">
        <v>674762.9375</v>
      </c>
      <c r="G23" s="122">
        <v>8228387.5</v>
      </c>
      <c r="H23" s="122">
        <v>8777387.5</v>
      </c>
      <c r="I23" s="122">
        <v>9143387.5</v>
      </c>
      <c r="J23" s="79" t="str">
        <f>VLOOKUP(A23,Table1[[Unit Number]:[NO. OF BEDROOMS]],2,FALSE)</f>
        <v>2 BEDROOM</v>
      </c>
    </row>
    <row r="24" spans="1:10" x14ac:dyDescent="0.25">
      <c r="A24" s="121" t="s">
        <v>331</v>
      </c>
      <c r="B24" s="191">
        <v>65068.75</v>
      </c>
      <c r="C24" s="191">
        <v>110</v>
      </c>
      <c r="D24" s="191"/>
      <c r="E24" s="122">
        <v>0</v>
      </c>
      <c r="F24" s="122">
        <v>608392.8125</v>
      </c>
      <c r="G24" s="122">
        <v>7447562.5</v>
      </c>
      <c r="H24" s="122">
        <v>7942562.5</v>
      </c>
      <c r="I24" s="122">
        <v>8272562.5</v>
      </c>
      <c r="J24" s="79" t="str">
        <f>VLOOKUP(A24,Table1[[Unit Number]:[NO. OF BEDROOMS]],2,FALSE)</f>
        <v>2 BEDROOM</v>
      </c>
    </row>
    <row r="25" spans="1:10" x14ac:dyDescent="0.25">
      <c r="A25" s="121" t="s">
        <v>344</v>
      </c>
      <c r="B25" s="191">
        <v>65068.75</v>
      </c>
      <c r="C25" s="191">
        <v>122</v>
      </c>
      <c r="D25" s="191"/>
      <c r="E25" s="122">
        <v>0</v>
      </c>
      <c r="F25" s="122">
        <v>674762.9375</v>
      </c>
      <c r="G25" s="122">
        <v>8228387.5</v>
      </c>
      <c r="H25" s="122">
        <v>8777387.5</v>
      </c>
      <c r="I25" s="122">
        <v>9143387.5</v>
      </c>
      <c r="J25" s="79" t="str">
        <f>VLOOKUP(A25,Table1[[Unit Number]:[NO. OF BEDROOMS]],2,FALSE)</f>
        <v>2 BEDROOM</v>
      </c>
    </row>
    <row r="26" spans="1:10" x14ac:dyDescent="0.25">
      <c r="A26" s="121" t="s">
        <v>347</v>
      </c>
      <c r="B26" s="191">
        <v>65068.75</v>
      </c>
      <c r="C26" s="191">
        <v>112</v>
      </c>
      <c r="D26" s="191"/>
      <c r="E26" s="122">
        <v>0</v>
      </c>
      <c r="F26" s="122">
        <v>619454.5</v>
      </c>
      <c r="G26" s="122">
        <v>7577700</v>
      </c>
      <c r="H26" s="122">
        <v>8081700</v>
      </c>
      <c r="I26" s="122">
        <v>8417700</v>
      </c>
      <c r="J26" s="79" t="str">
        <f>VLOOKUP(A26,Table1[[Unit Number]:[NO. OF BEDROOMS]],2,FALSE)</f>
        <v>2 BEDROOM</v>
      </c>
    </row>
    <row r="27" spans="1:10" x14ac:dyDescent="0.25">
      <c r="A27" s="121" t="s">
        <v>360</v>
      </c>
      <c r="B27" s="191">
        <v>65068.75</v>
      </c>
      <c r="C27" s="191">
        <v>112</v>
      </c>
      <c r="D27" s="191"/>
      <c r="E27" s="122">
        <v>0</v>
      </c>
      <c r="F27" s="122">
        <v>619454.5</v>
      </c>
      <c r="G27" s="122">
        <v>7577700</v>
      </c>
      <c r="H27" s="122">
        <v>8081700</v>
      </c>
      <c r="I27" s="122">
        <v>8417700</v>
      </c>
      <c r="J27" s="79" t="str">
        <f>VLOOKUP(A27,Table1[[Unit Number]:[NO. OF BEDROOMS]],2,FALSE)</f>
        <v>2 BEDROOM</v>
      </c>
    </row>
    <row r="28" spans="1:10" x14ac:dyDescent="0.25">
      <c r="A28" s="121" t="s">
        <v>362</v>
      </c>
      <c r="B28" s="191">
        <v>65213.75</v>
      </c>
      <c r="C28" s="191">
        <v>138</v>
      </c>
      <c r="D28" s="191"/>
      <c r="E28" s="122">
        <v>0</v>
      </c>
      <c r="F28" s="122">
        <v>764957.28750000009</v>
      </c>
      <c r="G28" s="122">
        <v>9289497.5</v>
      </c>
      <c r="H28" s="122">
        <v>9910497.5</v>
      </c>
      <c r="I28" s="122">
        <v>10324497.5</v>
      </c>
      <c r="J28" s="79" t="str">
        <f>VLOOKUP(A28,Table1[[Unit Number]:[NO. OF BEDROOMS]],2,FALSE)</f>
        <v>2 BEDROOM</v>
      </c>
    </row>
    <row r="29" spans="1:10" x14ac:dyDescent="0.25">
      <c r="A29" s="121" t="s">
        <v>804</v>
      </c>
      <c r="B29" s="191">
        <v>66881.25</v>
      </c>
      <c r="C29" s="191">
        <v>173</v>
      </c>
      <c r="D29" s="191"/>
      <c r="E29" s="122">
        <v>0</v>
      </c>
      <c r="F29" s="122">
        <v>983488.78125000012</v>
      </c>
      <c r="G29" s="122">
        <v>11860456.25</v>
      </c>
      <c r="H29" s="122">
        <v>12638956.25</v>
      </c>
      <c r="I29" s="122">
        <v>13157956.25</v>
      </c>
      <c r="J29" s="79" t="str">
        <f>VLOOKUP(A29,Table1[[Unit Number]:[NO. OF BEDROOMS]],2,FALSE)</f>
        <v>3 BEDROOM</v>
      </c>
    </row>
    <row r="30" spans="1:10" x14ac:dyDescent="0.25">
      <c r="A30" s="121" t="s">
        <v>805</v>
      </c>
      <c r="B30" s="191">
        <v>66881.25</v>
      </c>
      <c r="C30" s="191">
        <v>224</v>
      </c>
      <c r="D30" s="191"/>
      <c r="E30" s="122">
        <v>0</v>
      </c>
      <c r="F30" s="122">
        <v>1273419</v>
      </c>
      <c r="G30" s="122">
        <v>15271400</v>
      </c>
      <c r="H30" s="122">
        <v>16279400</v>
      </c>
      <c r="I30" s="122">
        <v>16951400</v>
      </c>
      <c r="J30" s="79" t="str">
        <f>VLOOKUP(A30,Table1[[Unit Number]:[NO. OF BEDROOMS]],2,FALSE)</f>
        <v>3 BEDROOM + LIVING</v>
      </c>
    </row>
    <row r="31" spans="1:10" x14ac:dyDescent="0.25">
      <c r="A31" s="121" t="s">
        <v>819</v>
      </c>
      <c r="B31" s="191">
        <v>66881.25</v>
      </c>
      <c r="C31" s="191">
        <v>224</v>
      </c>
      <c r="D31" s="191">
        <v>61.527700000000003</v>
      </c>
      <c r="E31" s="122">
        <v>1357966.33025625</v>
      </c>
      <c r="F31" s="122">
        <v>1388846.1380717813</v>
      </c>
      <c r="G31" s="122">
        <v>16629366.33025625</v>
      </c>
      <c r="H31" s="122">
        <v>17637366.33025625</v>
      </c>
      <c r="I31" s="122">
        <v>18309366.33025625</v>
      </c>
      <c r="J31" s="79" t="str">
        <f>VLOOKUP(A31,Table1[[Unit Number]:[NO. OF BEDROOMS]],2,FALSE)</f>
        <v>3 BEDROOM + LIVING</v>
      </c>
    </row>
    <row r="32" spans="1:10" x14ac:dyDescent="0.25">
      <c r="A32" s="121" t="s">
        <v>820</v>
      </c>
      <c r="B32" s="191">
        <v>66845</v>
      </c>
      <c r="C32" s="191">
        <v>198</v>
      </c>
      <c r="D32" s="191"/>
      <c r="E32" s="122">
        <v>0</v>
      </c>
      <c r="F32" s="122">
        <v>1125001.3500000001</v>
      </c>
      <c r="G32" s="122">
        <v>13525310</v>
      </c>
      <c r="H32" s="122">
        <v>14416310</v>
      </c>
      <c r="I32" s="122">
        <v>15010310</v>
      </c>
      <c r="J32" s="79" t="str">
        <f>VLOOKUP(A32,Table1[[Unit Number]:[NO. OF BEDROOMS]],2,FALSE)</f>
        <v>3 BEDROOM</v>
      </c>
    </row>
    <row r="33" spans="1:10" x14ac:dyDescent="0.25">
      <c r="A33" s="121" t="s">
        <v>824</v>
      </c>
      <c r="B33" s="191">
        <v>68331.25</v>
      </c>
      <c r="C33" s="191">
        <v>228</v>
      </c>
      <c r="D33" s="191"/>
      <c r="E33" s="122">
        <v>0</v>
      </c>
      <c r="F33" s="122">
        <v>1324259.625</v>
      </c>
      <c r="G33" s="122">
        <v>15869525</v>
      </c>
      <c r="H33" s="122">
        <v>16895525</v>
      </c>
      <c r="I33" s="122">
        <v>17579525</v>
      </c>
      <c r="J33" s="79" t="str">
        <f>VLOOKUP(A33,Table1[[Unit Number]:[NO. OF BEDROOMS]],2,FALSE)</f>
        <v>3 BEDROOM + LIVING</v>
      </c>
    </row>
    <row r="34" spans="1:10" x14ac:dyDescent="0.25">
      <c r="A34" s="121" t="s">
        <v>392</v>
      </c>
      <c r="B34" s="191">
        <v>65105</v>
      </c>
      <c r="C34" s="191">
        <v>172</v>
      </c>
      <c r="D34" s="191"/>
      <c r="E34" s="122">
        <v>0</v>
      </c>
      <c r="F34" s="122">
        <v>951835.10000000009</v>
      </c>
      <c r="G34" s="122">
        <v>11488060</v>
      </c>
      <c r="H34" s="122">
        <v>12262060</v>
      </c>
      <c r="I34" s="122">
        <v>12778060</v>
      </c>
      <c r="J34" s="79" t="str">
        <f>VLOOKUP(A34,Table1[[Unit Number]:[NO. OF BEDROOMS]],2,FALSE)</f>
        <v>3 BEDROOM</v>
      </c>
    </row>
    <row r="35" spans="1:10" x14ac:dyDescent="0.25">
      <c r="A35" s="121" t="s">
        <v>834</v>
      </c>
      <c r="B35" s="191">
        <v>68440</v>
      </c>
      <c r="C35" s="191">
        <v>202</v>
      </c>
      <c r="D35" s="191"/>
      <c r="E35" s="122">
        <v>0</v>
      </c>
      <c r="F35" s="122">
        <v>1175114.8</v>
      </c>
      <c r="G35" s="122">
        <v>14114880</v>
      </c>
      <c r="H35" s="122">
        <v>15023880</v>
      </c>
      <c r="I35" s="122">
        <v>15629880</v>
      </c>
      <c r="J35" s="79" t="str">
        <f>VLOOKUP(A35,Table1[[Unit Number]:[NO. OF BEDROOMS]],2,FALSE)</f>
        <v>3 BEDROOM</v>
      </c>
    </row>
    <row r="36" spans="1:10" x14ac:dyDescent="0.25">
      <c r="A36" s="121" t="s">
        <v>837</v>
      </c>
      <c r="B36" s="191">
        <v>68621.25</v>
      </c>
      <c r="C36" s="191">
        <v>229</v>
      </c>
      <c r="D36" s="191"/>
      <c r="E36" s="122">
        <v>0</v>
      </c>
      <c r="F36" s="122">
        <v>1335712.6312500001</v>
      </c>
      <c r="G36" s="122">
        <v>16004266.25</v>
      </c>
      <c r="H36" s="122">
        <v>17034766.25</v>
      </c>
      <c r="I36" s="122">
        <v>17721766.25</v>
      </c>
      <c r="J36" s="79" t="str">
        <f>VLOOKUP(A36,Table1[[Unit Number]:[NO. OF BEDROOMS]],2,FALSE)</f>
        <v>3 BEDROOM + LIVING</v>
      </c>
    </row>
    <row r="37" spans="1:10" x14ac:dyDescent="0.25">
      <c r="A37" s="121" t="s">
        <v>403</v>
      </c>
      <c r="B37" s="191">
        <v>65105</v>
      </c>
      <c r="C37" s="191">
        <v>173</v>
      </c>
      <c r="D37" s="191"/>
      <c r="E37" s="122">
        <v>0</v>
      </c>
      <c r="F37" s="122">
        <v>957369.02500000002</v>
      </c>
      <c r="G37" s="122">
        <v>11553165</v>
      </c>
      <c r="H37" s="122">
        <v>12331665</v>
      </c>
      <c r="I37" s="122">
        <v>12850665</v>
      </c>
      <c r="J37" s="79" t="str">
        <f>VLOOKUP(A37,Table1[[Unit Number]:[NO. OF BEDROOMS]],2,FALSE)</f>
        <v>3 BEDROOM</v>
      </c>
    </row>
    <row r="38" spans="1:10" x14ac:dyDescent="0.25">
      <c r="A38" s="121" t="s">
        <v>404</v>
      </c>
      <c r="B38" s="191">
        <v>65105</v>
      </c>
      <c r="C38" s="191">
        <v>173</v>
      </c>
      <c r="D38" s="191"/>
      <c r="E38" s="122">
        <v>0</v>
      </c>
      <c r="F38" s="122">
        <v>957369.02500000002</v>
      </c>
      <c r="G38" s="122">
        <v>11553165</v>
      </c>
      <c r="H38" s="122">
        <v>12331665</v>
      </c>
      <c r="I38" s="122">
        <v>12850665</v>
      </c>
      <c r="J38" s="79" t="str">
        <f>VLOOKUP(A38,Table1[[Unit Number]:[NO. OF BEDROOMS]],2,FALSE)</f>
        <v>3 BEDROOM</v>
      </c>
    </row>
    <row r="39" spans="1:10" x14ac:dyDescent="0.25">
      <c r="A39" s="121" t="s">
        <v>840</v>
      </c>
      <c r="B39" s="191">
        <v>66845</v>
      </c>
      <c r="C39" s="191">
        <v>173</v>
      </c>
      <c r="D39" s="191"/>
      <c r="E39" s="122">
        <v>0</v>
      </c>
      <c r="F39" s="122">
        <v>982955.72500000009</v>
      </c>
      <c r="G39" s="122">
        <v>11854185</v>
      </c>
      <c r="H39" s="122">
        <v>12632685</v>
      </c>
      <c r="I39" s="122">
        <v>13151685</v>
      </c>
      <c r="J39" s="79" t="str">
        <f>VLOOKUP(A39,Table1[[Unit Number]:[NO. OF BEDROOMS]],2,FALSE)</f>
        <v>3 BEDROOM</v>
      </c>
    </row>
    <row r="40" spans="1:10" x14ac:dyDescent="0.25">
      <c r="A40" s="121" t="s">
        <v>841</v>
      </c>
      <c r="B40" s="191">
        <v>66845</v>
      </c>
      <c r="C40" s="191">
        <v>173</v>
      </c>
      <c r="D40" s="191"/>
      <c r="E40" s="122">
        <v>0</v>
      </c>
      <c r="F40" s="122">
        <v>982955.72500000009</v>
      </c>
      <c r="G40" s="122">
        <v>11854185</v>
      </c>
      <c r="H40" s="122">
        <v>12632685</v>
      </c>
      <c r="I40" s="122">
        <v>13151685</v>
      </c>
      <c r="J40" s="79" t="str">
        <f>VLOOKUP(A40,Table1[[Unit Number]:[NO. OF BEDROOMS]],2,FALSE)</f>
        <v>3 BEDROOM</v>
      </c>
    </row>
    <row r="41" spans="1:10" x14ac:dyDescent="0.25">
      <c r="A41" s="121" t="s">
        <v>844</v>
      </c>
      <c r="B41" s="191">
        <v>66845</v>
      </c>
      <c r="C41" s="191">
        <v>198</v>
      </c>
      <c r="D41" s="191"/>
      <c r="E41" s="122">
        <v>0</v>
      </c>
      <c r="F41" s="122">
        <v>1125001.3500000001</v>
      </c>
      <c r="G41" s="122">
        <v>13525310</v>
      </c>
      <c r="H41" s="122">
        <v>14416310</v>
      </c>
      <c r="I41" s="122">
        <v>15010310</v>
      </c>
      <c r="J41" s="79" t="str">
        <f>VLOOKUP(A41,Table1[[Unit Number]:[NO. OF BEDROOMS]],2,FALSE)</f>
        <v>3 BEDROOM</v>
      </c>
    </row>
    <row r="42" spans="1:10" x14ac:dyDescent="0.25">
      <c r="A42" s="121" t="s">
        <v>850</v>
      </c>
      <c r="B42" s="191">
        <v>66837.75</v>
      </c>
      <c r="C42" s="191">
        <v>228</v>
      </c>
      <c r="D42" s="191"/>
      <c r="E42" s="122">
        <v>0</v>
      </c>
      <c r="F42" s="122">
        <v>1295315.5950000002</v>
      </c>
      <c r="G42" s="122">
        <v>15529007</v>
      </c>
      <c r="H42" s="122">
        <v>16555007</v>
      </c>
      <c r="I42" s="122">
        <v>17239007</v>
      </c>
      <c r="J42" s="79" t="str">
        <f>VLOOKUP(A42,Table1[[Unit Number]:[NO. OF BEDROOMS]],2,FALSE)</f>
        <v>3 BEDROOM + LIVING</v>
      </c>
    </row>
    <row r="43" spans="1:10" x14ac:dyDescent="0.25">
      <c r="A43" s="121" t="s">
        <v>416</v>
      </c>
      <c r="B43" s="191">
        <v>65105</v>
      </c>
      <c r="C43" s="191">
        <v>172</v>
      </c>
      <c r="D43" s="191"/>
      <c r="E43" s="122">
        <v>0</v>
      </c>
      <c r="F43" s="122">
        <v>951835.10000000009</v>
      </c>
      <c r="G43" s="122">
        <v>11488060</v>
      </c>
      <c r="H43" s="122">
        <v>12262060</v>
      </c>
      <c r="I43" s="122">
        <v>12778060</v>
      </c>
      <c r="J43" s="79" t="str">
        <f>VLOOKUP(A43,Table1[[Unit Number]:[NO. OF BEDROOMS]],2,FALSE)</f>
        <v>3 BEDROOM</v>
      </c>
    </row>
    <row r="44" spans="1:10" x14ac:dyDescent="0.25">
      <c r="A44" s="121" t="s">
        <v>428</v>
      </c>
      <c r="B44" s="191">
        <v>65177.5</v>
      </c>
      <c r="C44" s="191">
        <v>155</v>
      </c>
      <c r="D44" s="191"/>
      <c r="E44" s="122">
        <v>0</v>
      </c>
      <c r="F44" s="122">
        <v>858713.56250000012</v>
      </c>
      <c r="G44" s="122">
        <v>10392512.5</v>
      </c>
      <c r="H44" s="122">
        <v>11090012.5</v>
      </c>
      <c r="I44" s="122">
        <v>11555012.5</v>
      </c>
      <c r="J44" s="79" t="str">
        <f>VLOOKUP(A44,Table1[[Unit Number]:[NO. OF BEDROOMS]],2,FALSE)</f>
        <v>3 BEDROOM</v>
      </c>
    </row>
    <row r="45" spans="1:10" x14ac:dyDescent="0.25">
      <c r="A45" s="121" t="s">
        <v>439</v>
      </c>
      <c r="B45" s="191">
        <v>65105</v>
      </c>
      <c r="C45" s="191">
        <v>161</v>
      </c>
      <c r="D45" s="191"/>
      <c r="E45" s="122">
        <v>0</v>
      </c>
      <c r="F45" s="122">
        <v>890961.92500000005</v>
      </c>
      <c r="G45" s="122">
        <v>10771905</v>
      </c>
      <c r="H45" s="122">
        <v>11496405</v>
      </c>
      <c r="I45" s="122">
        <v>11979405</v>
      </c>
      <c r="J45" s="79" t="str">
        <f>VLOOKUP(A45,Table1[[Unit Number]:[NO. OF BEDROOMS]],2,FALSE)</f>
        <v>3 BEDROOM</v>
      </c>
    </row>
    <row r="46" spans="1:10" x14ac:dyDescent="0.25">
      <c r="A46" s="121" t="s">
        <v>440</v>
      </c>
      <c r="B46" s="191">
        <v>65177.5</v>
      </c>
      <c r="C46" s="191">
        <v>155</v>
      </c>
      <c r="D46" s="191"/>
      <c r="E46" s="122">
        <v>0</v>
      </c>
      <c r="F46" s="122">
        <v>858713.56250000012</v>
      </c>
      <c r="G46" s="122">
        <v>10392512.5</v>
      </c>
      <c r="H46" s="122">
        <v>11090012.5</v>
      </c>
      <c r="I46" s="122">
        <v>11555012.5</v>
      </c>
      <c r="J46" s="79" t="str">
        <f>VLOOKUP(A46,Table1[[Unit Number]:[NO. OF BEDROOMS]],2,FALSE)</f>
        <v>3 BEDROOM</v>
      </c>
    </row>
    <row r="47" spans="1:10" x14ac:dyDescent="0.25">
      <c r="A47" s="121" t="s">
        <v>877</v>
      </c>
      <c r="B47" s="191">
        <v>68186.25</v>
      </c>
      <c r="C47" s="191">
        <v>160</v>
      </c>
      <c r="D47" s="191"/>
      <c r="E47" s="122">
        <v>0</v>
      </c>
      <c r="F47" s="122">
        <v>927333.00000000012</v>
      </c>
      <c r="G47" s="122">
        <v>11199800</v>
      </c>
      <c r="H47" s="122">
        <v>11919800</v>
      </c>
      <c r="I47" s="122">
        <v>12399800</v>
      </c>
      <c r="J47" s="79" t="str">
        <f>VLOOKUP(A47,Table1[[Unit Number]:[NO. OF BEDROOMS]],2,FALSE)</f>
        <v>3 BEDROOM</v>
      </c>
    </row>
    <row r="48" spans="1:10" x14ac:dyDescent="0.25">
      <c r="A48" s="121" t="s">
        <v>450</v>
      </c>
      <c r="B48" s="191">
        <v>65177.5</v>
      </c>
      <c r="C48" s="191">
        <v>155</v>
      </c>
      <c r="D48" s="191"/>
      <c r="E48" s="122">
        <v>0</v>
      </c>
      <c r="F48" s="122">
        <v>858713.56250000012</v>
      </c>
      <c r="G48" s="122">
        <v>10392512.5</v>
      </c>
      <c r="H48" s="122">
        <v>11090012.5</v>
      </c>
      <c r="I48" s="122">
        <v>11555012.5</v>
      </c>
      <c r="J48" s="79" t="str">
        <f>VLOOKUP(A48,Table1[[Unit Number]:[NO. OF BEDROOMS]],2,FALSE)</f>
        <v>3 BEDROOM</v>
      </c>
    </row>
    <row r="49" spans="1:10" x14ac:dyDescent="0.25">
      <c r="A49" s="121" t="s">
        <v>460</v>
      </c>
      <c r="B49" s="191">
        <v>65105</v>
      </c>
      <c r="C49" s="191">
        <v>172</v>
      </c>
      <c r="D49" s="191"/>
      <c r="E49" s="122">
        <v>0</v>
      </c>
      <c r="F49" s="122">
        <v>951835.10000000009</v>
      </c>
      <c r="G49" s="122">
        <v>11488060</v>
      </c>
      <c r="H49" s="122">
        <v>12262060</v>
      </c>
      <c r="I49" s="122">
        <v>12778060</v>
      </c>
      <c r="J49" s="79" t="str">
        <f>VLOOKUP(A49,Table1[[Unit Number]:[NO. OF BEDROOMS]],2,FALSE)</f>
        <v>3 BEDROOM</v>
      </c>
    </row>
    <row r="50" spans="1:10" x14ac:dyDescent="0.25">
      <c r="A50" s="121" t="s">
        <v>464</v>
      </c>
      <c r="B50" s="191">
        <v>65213.75</v>
      </c>
      <c r="C50" s="191">
        <v>116</v>
      </c>
      <c r="D50" s="191">
        <v>62.141199999999998</v>
      </c>
      <c r="E50" s="122">
        <v>1337312.024895</v>
      </c>
      <c r="F50" s="122">
        <v>756679.09711607499</v>
      </c>
      <c r="G50" s="122">
        <v>9192107.0248949993</v>
      </c>
      <c r="H50" s="122">
        <v>9714107.0248949993</v>
      </c>
      <c r="I50" s="122">
        <v>10062107.024894999</v>
      </c>
      <c r="J50" s="79" t="str">
        <f>VLOOKUP(A50,Table1[[Unit Number]:[NO. OF BEDROOMS]],2,FALSE)</f>
        <v>3 BEDROOM</v>
      </c>
    </row>
    <row r="51" spans="1:10" x14ac:dyDescent="0.25">
      <c r="A51" s="121" t="s">
        <v>469</v>
      </c>
      <c r="B51" s="191">
        <v>65177.5</v>
      </c>
      <c r="C51" s="191">
        <v>170</v>
      </c>
      <c r="D51" s="191"/>
      <c r="E51" s="122">
        <v>0</v>
      </c>
      <c r="F51" s="122">
        <v>941814.87500000012</v>
      </c>
      <c r="G51" s="122">
        <v>11370175</v>
      </c>
      <c r="H51" s="122">
        <v>12135175</v>
      </c>
      <c r="I51" s="122">
        <v>12645175</v>
      </c>
      <c r="J51" s="79" t="str">
        <f>VLOOKUP(A51,Table1[[Unit Number]:[NO. OF BEDROOMS]],2,FALSE)</f>
        <v>3 BEDROOM</v>
      </c>
    </row>
    <row r="52" spans="1:10" x14ac:dyDescent="0.25">
      <c r="A52" s="121" t="s">
        <v>908</v>
      </c>
      <c r="B52" s="191">
        <v>68331.25</v>
      </c>
      <c r="C52" s="191">
        <v>228</v>
      </c>
      <c r="D52" s="191"/>
      <c r="E52" s="122">
        <v>0</v>
      </c>
      <c r="F52" s="122">
        <v>1324259.625</v>
      </c>
      <c r="G52" s="122">
        <v>15869525</v>
      </c>
      <c r="H52" s="122">
        <v>16895525</v>
      </c>
      <c r="I52" s="122">
        <v>17579525</v>
      </c>
      <c r="J52" s="79" t="str">
        <f>VLOOKUP(A52,Table1[[Unit Number]:[NO. OF BEDROOMS]],2,FALSE)</f>
        <v>3 BEDROOM + LIVING</v>
      </c>
    </row>
    <row r="53" spans="1:10" x14ac:dyDescent="0.25">
      <c r="A53" s="121" t="s">
        <v>910</v>
      </c>
      <c r="B53" s="191">
        <v>68621.25</v>
      </c>
      <c r="C53" s="191">
        <v>229</v>
      </c>
      <c r="D53" s="191"/>
      <c r="E53" s="122">
        <v>0</v>
      </c>
      <c r="F53" s="122">
        <v>1335712.6312500001</v>
      </c>
      <c r="G53" s="122">
        <v>16004266.25</v>
      </c>
      <c r="H53" s="122">
        <v>17034766.25</v>
      </c>
      <c r="I53" s="122">
        <v>17721766.25</v>
      </c>
      <c r="J53" s="79" t="str">
        <f>VLOOKUP(A53,Table1[[Unit Number]:[NO. OF BEDROOMS]],2,FALSE)</f>
        <v>3 BEDROOM + LIVING</v>
      </c>
    </row>
    <row r="54" spans="1:10" x14ac:dyDescent="0.25">
      <c r="A54" s="121" t="s">
        <v>911</v>
      </c>
      <c r="B54" s="191">
        <v>68440</v>
      </c>
      <c r="C54" s="191">
        <v>202</v>
      </c>
      <c r="D54" s="191"/>
      <c r="E54" s="122">
        <v>0</v>
      </c>
      <c r="F54" s="122">
        <v>1175114.8</v>
      </c>
      <c r="G54" s="122">
        <v>14114880</v>
      </c>
      <c r="H54" s="122">
        <v>15023880</v>
      </c>
      <c r="I54" s="122">
        <v>15629880</v>
      </c>
      <c r="J54" s="79" t="str">
        <f>VLOOKUP(A54,Table1[[Unit Number]:[NO. OF BEDROOMS]],2,FALSE)</f>
        <v>3 BEDROOM</v>
      </c>
    </row>
    <row r="55" spans="1:10" x14ac:dyDescent="0.25">
      <c r="A55" s="121" t="s">
        <v>918</v>
      </c>
      <c r="B55" s="191">
        <v>68150</v>
      </c>
      <c r="C55" s="191">
        <v>155</v>
      </c>
      <c r="D55" s="191"/>
      <c r="E55" s="122">
        <v>0</v>
      </c>
      <c r="F55" s="122">
        <v>897876.25000000012</v>
      </c>
      <c r="G55" s="122">
        <v>10853250</v>
      </c>
      <c r="H55" s="122">
        <v>11550750</v>
      </c>
      <c r="I55" s="122">
        <v>12015750</v>
      </c>
      <c r="J55" s="79" t="str">
        <f>VLOOKUP(A55,Table1[[Unit Number]:[NO. OF BEDROOMS]],2,FALSE)</f>
        <v>3 BEDROOM</v>
      </c>
    </row>
    <row r="56" spans="1:10" x14ac:dyDescent="0.25">
      <c r="A56" s="121" t="s">
        <v>919</v>
      </c>
      <c r="B56" s="191">
        <v>68258.75</v>
      </c>
      <c r="C56" s="191">
        <v>160</v>
      </c>
      <c r="D56" s="191"/>
      <c r="E56" s="122">
        <v>0</v>
      </c>
      <c r="F56" s="122">
        <v>928319.00000000012</v>
      </c>
      <c r="G56" s="122">
        <v>11211400</v>
      </c>
      <c r="H56" s="122">
        <v>11931400</v>
      </c>
      <c r="I56" s="122">
        <v>12411400</v>
      </c>
      <c r="J56" s="79" t="str">
        <f>VLOOKUP(A56,Table1[[Unit Number]:[NO. OF BEDROOMS]],2,FALSE)</f>
        <v>3 BEDROOM</v>
      </c>
    </row>
    <row r="57" spans="1:10" x14ac:dyDescent="0.25">
      <c r="A57" s="121" t="s">
        <v>920</v>
      </c>
      <c r="B57" s="191">
        <v>68440</v>
      </c>
      <c r="C57" s="191">
        <v>155</v>
      </c>
      <c r="D57" s="191"/>
      <c r="E57" s="122">
        <v>0</v>
      </c>
      <c r="F57" s="122">
        <v>901697.00000000012</v>
      </c>
      <c r="G57" s="122">
        <v>10898200</v>
      </c>
      <c r="H57" s="122">
        <v>11595700</v>
      </c>
      <c r="I57" s="122">
        <v>12060700</v>
      </c>
      <c r="J57" s="79" t="str">
        <f>VLOOKUP(A57,Table1[[Unit Number]:[NO. OF BEDROOMS]],2,FALSE)</f>
        <v>3 BEDROOM</v>
      </c>
    </row>
    <row r="58" spans="1:10" x14ac:dyDescent="0.25">
      <c r="A58" s="121" t="s">
        <v>921</v>
      </c>
      <c r="B58" s="191">
        <v>68548.75</v>
      </c>
      <c r="C58" s="191">
        <v>160</v>
      </c>
      <c r="D58" s="191"/>
      <c r="E58" s="122">
        <v>0</v>
      </c>
      <c r="F58" s="122">
        <v>932263.00000000012</v>
      </c>
      <c r="G58" s="122">
        <v>11257800</v>
      </c>
      <c r="H58" s="122">
        <v>11977800</v>
      </c>
      <c r="I58" s="122">
        <v>12457800</v>
      </c>
      <c r="J58" s="79" t="str">
        <f>VLOOKUP(A58,Table1[[Unit Number]:[NO. OF BEDROOMS]],2,FALSE)</f>
        <v>3 BEDROOM</v>
      </c>
    </row>
    <row r="59" spans="1:10" x14ac:dyDescent="0.25">
      <c r="A59" s="121" t="s">
        <v>928</v>
      </c>
      <c r="B59" s="191">
        <v>68077.5</v>
      </c>
      <c r="C59" s="191">
        <v>160</v>
      </c>
      <c r="D59" s="191"/>
      <c r="E59" s="122">
        <v>0</v>
      </c>
      <c r="F59" s="122">
        <v>925854.00000000012</v>
      </c>
      <c r="G59" s="122">
        <v>11182400</v>
      </c>
      <c r="H59" s="122">
        <v>11902400</v>
      </c>
      <c r="I59" s="122">
        <v>12382400</v>
      </c>
      <c r="J59" s="79" t="str">
        <f>VLOOKUP(A59,Table1[[Unit Number]:[NO. OF BEDROOMS]],2,FALSE)</f>
        <v>3 BEDROOM</v>
      </c>
    </row>
    <row r="60" spans="1:10" x14ac:dyDescent="0.25">
      <c r="A60" s="121" t="s">
        <v>929</v>
      </c>
      <c r="B60" s="191">
        <v>68150</v>
      </c>
      <c r="C60" s="191">
        <v>155</v>
      </c>
      <c r="D60" s="191"/>
      <c r="E60" s="122">
        <v>0</v>
      </c>
      <c r="F60" s="122">
        <v>897876.25000000012</v>
      </c>
      <c r="G60" s="122">
        <v>10853250</v>
      </c>
      <c r="H60" s="122">
        <v>11550750</v>
      </c>
      <c r="I60" s="122">
        <v>12015750</v>
      </c>
      <c r="J60" s="79" t="str">
        <f>VLOOKUP(A60,Table1[[Unit Number]:[NO. OF BEDROOMS]],2,FALSE)</f>
        <v>3 BEDROOM</v>
      </c>
    </row>
    <row r="61" spans="1:10" x14ac:dyDescent="0.25">
      <c r="A61" s="121" t="s">
        <v>930</v>
      </c>
      <c r="B61" s="191">
        <v>68367.5</v>
      </c>
      <c r="C61" s="191">
        <v>160</v>
      </c>
      <c r="D61" s="191"/>
      <c r="E61" s="122">
        <v>0</v>
      </c>
      <c r="F61" s="122">
        <v>929798.00000000012</v>
      </c>
      <c r="G61" s="122">
        <v>11228800</v>
      </c>
      <c r="H61" s="122">
        <v>11948800</v>
      </c>
      <c r="I61" s="122">
        <v>12428800</v>
      </c>
      <c r="J61" s="79" t="str">
        <f>VLOOKUP(A61,Table1[[Unit Number]:[NO. OF BEDROOMS]],2,FALSE)</f>
        <v>3 BEDROOM</v>
      </c>
    </row>
    <row r="62" spans="1:10" x14ac:dyDescent="0.25">
      <c r="A62" s="121" t="s">
        <v>931</v>
      </c>
      <c r="B62" s="191">
        <v>68440</v>
      </c>
      <c r="C62" s="191">
        <v>155</v>
      </c>
      <c r="D62" s="191"/>
      <c r="E62" s="122">
        <v>0</v>
      </c>
      <c r="F62" s="122">
        <v>901697.00000000012</v>
      </c>
      <c r="G62" s="122">
        <v>10898200</v>
      </c>
      <c r="H62" s="122">
        <v>11595700</v>
      </c>
      <c r="I62" s="122">
        <v>12060700</v>
      </c>
      <c r="J62" s="79" t="str">
        <f>VLOOKUP(A62,Table1[[Unit Number]:[NO. OF BEDROOMS]],2,FALSE)</f>
        <v>3 BEDROOM</v>
      </c>
    </row>
    <row r="63" spans="1:10" x14ac:dyDescent="0.25">
      <c r="A63" s="121" t="s">
        <v>939</v>
      </c>
      <c r="B63" s="191">
        <v>68150</v>
      </c>
      <c r="C63" s="191">
        <v>155</v>
      </c>
      <c r="D63" s="191"/>
      <c r="E63" s="122">
        <v>0</v>
      </c>
      <c r="F63" s="122">
        <v>897876.25000000012</v>
      </c>
      <c r="G63" s="122">
        <v>10853250</v>
      </c>
      <c r="H63" s="122">
        <v>11550750</v>
      </c>
      <c r="I63" s="122">
        <v>12015750</v>
      </c>
      <c r="J63" s="79" t="str">
        <f>VLOOKUP(A63,Table1[[Unit Number]:[NO. OF BEDROOMS]],2,FALSE)</f>
        <v>3 BEDROOM</v>
      </c>
    </row>
    <row r="64" spans="1:10" x14ac:dyDescent="0.25">
      <c r="A64" s="121" t="s">
        <v>506</v>
      </c>
      <c r="B64" s="191">
        <v>64996.25</v>
      </c>
      <c r="C64" s="191">
        <v>161</v>
      </c>
      <c r="D64" s="191"/>
      <c r="E64" s="122">
        <v>0</v>
      </c>
      <c r="F64" s="122">
        <v>889473.68125000002</v>
      </c>
      <c r="G64" s="122">
        <v>10754396.25</v>
      </c>
      <c r="H64" s="122">
        <v>11478896.25</v>
      </c>
      <c r="I64" s="122">
        <v>11961896.25</v>
      </c>
      <c r="J64" s="79" t="str">
        <f>VLOOKUP(A64,Table1[[Unit Number]:[NO. OF BEDROOMS]],2,FALSE)</f>
        <v>3 BEDROOM</v>
      </c>
    </row>
    <row r="65" spans="1:10" x14ac:dyDescent="0.25">
      <c r="A65" s="121" t="s">
        <v>941</v>
      </c>
      <c r="B65" s="191">
        <v>68440</v>
      </c>
      <c r="C65" s="191">
        <v>155</v>
      </c>
      <c r="D65" s="191"/>
      <c r="E65" s="122">
        <v>0</v>
      </c>
      <c r="F65" s="122">
        <v>901697.00000000012</v>
      </c>
      <c r="G65" s="122">
        <v>10898200</v>
      </c>
      <c r="H65" s="122">
        <v>11595700</v>
      </c>
      <c r="I65" s="122">
        <v>12060700</v>
      </c>
      <c r="J65" s="79" t="str">
        <f>VLOOKUP(A65,Table1[[Unit Number]:[NO. OF BEDROOMS]],2,FALSE)</f>
        <v>3 BEDROOM</v>
      </c>
    </row>
    <row r="66" spans="1:10" x14ac:dyDescent="0.25">
      <c r="A66" s="121" t="s">
        <v>949</v>
      </c>
      <c r="B66" s="191">
        <v>66910.25</v>
      </c>
      <c r="C66" s="191">
        <v>228</v>
      </c>
      <c r="D66" s="191"/>
      <c r="E66" s="122">
        <v>0</v>
      </c>
      <c r="F66" s="122">
        <v>1296720.645</v>
      </c>
      <c r="G66" s="122">
        <v>15545537</v>
      </c>
      <c r="H66" s="122">
        <v>16571537</v>
      </c>
      <c r="I66" s="122">
        <v>17255537</v>
      </c>
      <c r="J66" s="79" t="str">
        <f>VLOOKUP(A66,Table1[[Unit Number]:[NO. OF BEDROOMS]],2,FALSE)</f>
        <v>3 BEDROOM + LIVING</v>
      </c>
    </row>
    <row r="67" spans="1:10" x14ac:dyDescent="0.25">
      <c r="A67" s="121" t="s">
        <v>975</v>
      </c>
      <c r="B67" s="191">
        <v>66881.25</v>
      </c>
      <c r="C67" s="191">
        <v>224</v>
      </c>
      <c r="D67" s="191"/>
      <c r="E67" s="122">
        <v>0</v>
      </c>
      <c r="F67" s="122">
        <v>1273419</v>
      </c>
      <c r="G67" s="122">
        <v>15271400</v>
      </c>
      <c r="H67" s="122">
        <v>16279400</v>
      </c>
      <c r="I67" s="122">
        <v>16951400</v>
      </c>
      <c r="J67" s="79" t="str">
        <f>VLOOKUP(A67,Table1[[Unit Number]:[NO. OF BEDROOMS]],2,FALSE)</f>
        <v>3 BEDROOM + LIVING</v>
      </c>
    </row>
    <row r="68" spans="1:10" x14ac:dyDescent="0.25">
      <c r="A68" s="121" t="s">
        <v>976</v>
      </c>
      <c r="B68" s="191">
        <v>66881.25</v>
      </c>
      <c r="C68" s="191">
        <v>173</v>
      </c>
      <c r="D68" s="191"/>
      <c r="E68" s="122">
        <v>0</v>
      </c>
      <c r="F68" s="122">
        <v>983488.78125000012</v>
      </c>
      <c r="G68" s="122">
        <v>11860456.25</v>
      </c>
      <c r="H68" s="122">
        <v>12638956.25</v>
      </c>
      <c r="I68" s="122">
        <v>13157956.25</v>
      </c>
      <c r="J68" s="79" t="str">
        <f>VLOOKUP(A68,Table1[[Unit Number]:[NO. OF BEDROOMS]],2,FALSE)</f>
        <v>3 BEDROOM</v>
      </c>
    </row>
    <row r="69" spans="1:10" x14ac:dyDescent="0.25">
      <c r="A69" s="121" t="s">
        <v>993</v>
      </c>
      <c r="B69" s="191">
        <v>68186.25</v>
      </c>
      <c r="C69" s="191">
        <v>228</v>
      </c>
      <c r="D69" s="191"/>
      <c r="E69" s="122">
        <v>0</v>
      </c>
      <c r="F69" s="122">
        <v>1321449.5250000001</v>
      </c>
      <c r="G69" s="122">
        <v>15836465</v>
      </c>
      <c r="H69" s="122">
        <v>16862465</v>
      </c>
      <c r="I69" s="122">
        <v>17546465</v>
      </c>
      <c r="J69" s="79" t="str">
        <f>VLOOKUP(A69,Table1[[Unit Number]:[NO. OF BEDROOMS]],2,FALSE)</f>
        <v>3 BEDROOM + LIVING</v>
      </c>
    </row>
    <row r="70" spans="1:10" x14ac:dyDescent="0.25">
      <c r="A70" s="121" t="s">
        <v>995</v>
      </c>
      <c r="B70" s="191">
        <v>68476.25</v>
      </c>
      <c r="C70" s="191">
        <v>228</v>
      </c>
      <c r="D70" s="191"/>
      <c r="E70" s="122">
        <v>0</v>
      </c>
      <c r="F70" s="122">
        <v>1327069.7250000001</v>
      </c>
      <c r="G70" s="122">
        <v>15902585</v>
      </c>
      <c r="H70" s="122">
        <v>16928585</v>
      </c>
      <c r="I70" s="122">
        <v>17612585</v>
      </c>
      <c r="J70" s="79" t="str">
        <f>VLOOKUP(A70,Table1[[Unit Number]:[NO. OF BEDROOMS]],2,FALSE)</f>
        <v>3 BEDROOM + LIVING</v>
      </c>
    </row>
    <row r="71" spans="1:10" x14ac:dyDescent="0.25">
      <c r="A71" s="121" t="s">
        <v>1017</v>
      </c>
      <c r="B71" s="191">
        <v>66910.25</v>
      </c>
      <c r="C71" s="191">
        <v>176</v>
      </c>
      <c r="D71" s="191"/>
      <c r="E71" s="122">
        <v>0</v>
      </c>
      <c r="F71" s="122">
        <v>1000977.3400000001</v>
      </c>
      <c r="G71" s="122">
        <v>12066204</v>
      </c>
      <c r="H71" s="122">
        <v>12858204</v>
      </c>
      <c r="I71" s="122">
        <v>13386204</v>
      </c>
      <c r="J71" s="79" t="str">
        <f>VLOOKUP(A71,Table1[[Unit Number]:[NO. OF BEDROOMS]],2,FALSE)</f>
        <v>3 BEDROOM</v>
      </c>
    </row>
    <row r="72" spans="1:10" x14ac:dyDescent="0.25">
      <c r="A72" s="121" t="s">
        <v>1021</v>
      </c>
      <c r="B72" s="191">
        <v>66881.25</v>
      </c>
      <c r="C72" s="191">
        <v>224</v>
      </c>
      <c r="D72" s="191">
        <v>61.527700000000003</v>
      </c>
      <c r="E72" s="122">
        <v>1357966.33025625</v>
      </c>
      <c r="F72" s="122">
        <v>1388846.1380717813</v>
      </c>
      <c r="G72" s="122">
        <v>16629366.33025625</v>
      </c>
      <c r="H72" s="122">
        <v>17637366.33025625</v>
      </c>
      <c r="I72" s="122">
        <v>18309366.33025625</v>
      </c>
      <c r="J72" s="79" t="str">
        <f>VLOOKUP(A72,Table1[[Unit Number]:[NO. OF BEDROOMS]],2,FALSE)</f>
        <v>3 BEDROOM + LIVING</v>
      </c>
    </row>
    <row r="73" spans="1:10" x14ac:dyDescent="0.25">
      <c r="A73" s="121" t="s">
        <v>586</v>
      </c>
      <c r="B73" s="191">
        <v>65105</v>
      </c>
      <c r="C73" s="191">
        <v>173</v>
      </c>
      <c r="D73" s="191"/>
      <c r="E73" s="122">
        <v>0</v>
      </c>
      <c r="F73" s="122">
        <v>957369.02500000002</v>
      </c>
      <c r="G73" s="122">
        <v>11553165</v>
      </c>
      <c r="H73" s="122">
        <v>12331665</v>
      </c>
      <c r="I73" s="122">
        <v>12850665</v>
      </c>
      <c r="J73" s="79" t="str">
        <f>VLOOKUP(A73,Table1[[Unit Number]:[NO. OF BEDROOMS]],2,FALSE)</f>
        <v>3 BEDROOM</v>
      </c>
    </row>
    <row r="74" spans="1:10" x14ac:dyDescent="0.25">
      <c r="A74" s="121" t="s">
        <v>587</v>
      </c>
      <c r="B74" s="191">
        <v>65105</v>
      </c>
      <c r="C74" s="191">
        <v>173</v>
      </c>
      <c r="D74" s="191"/>
      <c r="E74" s="122">
        <v>0</v>
      </c>
      <c r="F74" s="122">
        <v>957369.02500000002</v>
      </c>
      <c r="G74" s="122">
        <v>11553165</v>
      </c>
      <c r="H74" s="122">
        <v>12331665</v>
      </c>
      <c r="I74" s="122">
        <v>12850665</v>
      </c>
      <c r="J74" s="79" t="str">
        <f>VLOOKUP(A74,Table1[[Unit Number]:[NO. OF BEDROOMS]],2,FALSE)</f>
        <v>3 BEDROOM</v>
      </c>
    </row>
    <row r="75" spans="1:10" x14ac:dyDescent="0.25">
      <c r="A75" s="121" t="s">
        <v>638</v>
      </c>
      <c r="B75" s="191">
        <v>65177.5</v>
      </c>
      <c r="C75" s="191">
        <v>155</v>
      </c>
      <c r="D75" s="191"/>
      <c r="E75" s="122">
        <v>0</v>
      </c>
      <c r="F75" s="122">
        <v>858713.56250000012</v>
      </c>
      <c r="G75" s="122">
        <v>10392512.5</v>
      </c>
      <c r="H75" s="122">
        <v>11090012.5</v>
      </c>
      <c r="I75" s="122">
        <v>11555012.5</v>
      </c>
      <c r="J75" s="79" t="str">
        <f>VLOOKUP(A75,Table1[[Unit Number]:[NO. OF BEDROOMS]],2,FALSE)</f>
        <v>3 BEDROOM</v>
      </c>
    </row>
    <row r="76" spans="1:10" x14ac:dyDescent="0.25">
      <c r="A76" s="121" t="s">
        <v>1088</v>
      </c>
      <c r="B76" s="191">
        <v>66845</v>
      </c>
      <c r="C76" s="191">
        <v>155</v>
      </c>
      <c r="D76" s="191"/>
      <c r="E76" s="122">
        <v>0</v>
      </c>
      <c r="F76" s="122">
        <v>880682.87500000012</v>
      </c>
      <c r="G76" s="122">
        <v>10650975</v>
      </c>
      <c r="H76" s="122">
        <v>11348475</v>
      </c>
      <c r="I76" s="122">
        <v>11813475</v>
      </c>
      <c r="J76" s="79" t="str">
        <f>VLOOKUP(A76,Table1[[Unit Number]:[NO. OF BEDROOMS]],2,FALSE)</f>
        <v>3 BEDROOM</v>
      </c>
    </row>
    <row r="77" spans="1:10" x14ac:dyDescent="0.25">
      <c r="A77" s="121" t="s">
        <v>649</v>
      </c>
      <c r="B77" s="191">
        <v>65141.25</v>
      </c>
      <c r="C77" s="191">
        <v>161</v>
      </c>
      <c r="D77" s="191"/>
      <c r="E77" s="122">
        <v>0</v>
      </c>
      <c r="F77" s="122">
        <v>891458.00625000009</v>
      </c>
      <c r="G77" s="122">
        <v>10777741.25</v>
      </c>
      <c r="H77" s="122">
        <v>11502241.25</v>
      </c>
      <c r="I77" s="122">
        <v>11985241.25</v>
      </c>
      <c r="J77" s="79" t="str">
        <f>VLOOKUP(A77,Table1[[Unit Number]:[NO. OF BEDROOMS]],2,FALSE)</f>
        <v>3 BEDROOM</v>
      </c>
    </row>
    <row r="78" spans="1:10" x14ac:dyDescent="0.25">
      <c r="A78" s="121" t="s">
        <v>1098</v>
      </c>
      <c r="B78" s="191">
        <v>66845</v>
      </c>
      <c r="C78" s="191">
        <v>155</v>
      </c>
      <c r="D78" s="191"/>
      <c r="E78" s="122">
        <v>0</v>
      </c>
      <c r="F78" s="122">
        <v>880682.87500000012</v>
      </c>
      <c r="G78" s="122">
        <v>10650975</v>
      </c>
      <c r="H78" s="122">
        <v>11348475</v>
      </c>
      <c r="I78" s="122">
        <v>11813475</v>
      </c>
      <c r="J78" s="79" t="str">
        <f>VLOOKUP(A78,Table1[[Unit Number]:[NO. OF BEDROOMS]],2,FALSE)</f>
        <v>3 BEDROOM</v>
      </c>
    </row>
    <row r="79" spans="1:10" x14ac:dyDescent="0.25">
      <c r="A79" s="121" t="s">
        <v>650</v>
      </c>
      <c r="B79" s="191">
        <v>65032.5</v>
      </c>
      <c r="C79" s="191">
        <v>155</v>
      </c>
      <c r="D79" s="191"/>
      <c r="E79" s="122">
        <v>0</v>
      </c>
      <c r="F79" s="122">
        <v>856803.18750000012</v>
      </c>
      <c r="G79" s="122">
        <v>10370037.5</v>
      </c>
      <c r="H79" s="122">
        <v>11067537.5</v>
      </c>
      <c r="I79" s="122">
        <v>11532537.5</v>
      </c>
      <c r="J79" s="79" t="str">
        <f>VLOOKUP(A79,Table1[[Unit Number]:[NO. OF BEDROOMS]],2,FALSE)</f>
        <v>3 BEDROOM</v>
      </c>
    </row>
    <row r="80" spans="1:10" x14ac:dyDescent="0.25">
      <c r="A80" s="121" t="s">
        <v>1103</v>
      </c>
      <c r="B80" s="191">
        <v>66736.25</v>
      </c>
      <c r="C80" s="191">
        <v>160</v>
      </c>
      <c r="D80" s="191"/>
      <c r="E80" s="122">
        <v>0</v>
      </c>
      <c r="F80" s="122">
        <v>907613.00000000012</v>
      </c>
      <c r="G80" s="122">
        <v>10967800</v>
      </c>
      <c r="H80" s="122">
        <v>11687800</v>
      </c>
      <c r="I80" s="122">
        <v>12167800</v>
      </c>
      <c r="J80" s="79" t="str">
        <f>VLOOKUP(A80,Table1[[Unit Number]:[NO. OF BEDROOMS]],2,FALSE)</f>
        <v>3 BEDROOM</v>
      </c>
    </row>
    <row r="81" spans="1:10" x14ac:dyDescent="0.25">
      <c r="A81" s="121" t="s">
        <v>670</v>
      </c>
      <c r="B81" s="191">
        <v>67316.25</v>
      </c>
      <c r="C81" s="191">
        <v>161</v>
      </c>
      <c r="D81" s="191"/>
      <c r="E81" s="122">
        <v>0</v>
      </c>
      <c r="F81" s="122">
        <v>921222.88125000009</v>
      </c>
      <c r="G81" s="122">
        <v>11127916.25</v>
      </c>
      <c r="H81" s="122">
        <v>11852416.25</v>
      </c>
      <c r="I81" s="122">
        <v>12335416.25</v>
      </c>
      <c r="J81" s="79" t="str">
        <f>VLOOKUP(A81,Table1[[Unit Number]:[NO. OF BEDROOMS]],2,FALSE)</f>
        <v>3 BEDROOM</v>
      </c>
    </row>
    <row r="82" spans="1:10" x14ac:dyDescent="0.25">
      <c r="A82" s="121" t="s">
        <v>1118</v>
      </c>
      <c r="B82" s="191">
        <v>64670</v>
      </c>
      <c r="C82" s="191">
        <v>155</v>
      </c>
      <c r="D82" s="191"/>
      <c r="E82" s="122">
        <v>0</v>
      </c>
      <c r="F82" s="122">
        <v>852027.25000000012</v>
      </c>
      <c r="G82" s="122">
        <v>10313850</v>
      </c>
      <c r="H82" s="122">
        <v>11011350</v>
      </c>
      <c r="I82" s="122">
        <v>11476350</v>
      </c>
      <c r="J82" s="79" t="str">
        <f>VLOOKUP(A82,Table1[[Unit Number]:[NO. OF BEDROOMS]],2,FALSE)</f>
        <v>3 BEDROOM</v>
      </c>
    </row>
    <row r="83" spans="1:10" x14ac:dyDescent="0.25">
      <c r="A83" s="121" t="s">
        <v>680</v>
      </c>
      <c r="B83" s="191">
        <v>65177.5</v>
      </c>
      <c r="C83" s="191">
        <v>155</v>
      </c>
      <c r="D83" s="191"/>
      <c r="E83" s="122">
        <v>0</v>
      </c>
      <c r="F83" s="122">
        <v>858713.56250000012</v>
      </c>
      <c r="G83" s="122">
        <v>10392512.5</v>
      </c>
      <c r="H83" s="122">
        <v>11090012.5</v>
      </c>
      <c r="I83" s="122">
        <v>11555012.5</v>
      </c>
      <c r="J83" s="79" t="str">
        <f>VLOOKUP(A83,Table1[[Unit Number]:[NO. OF BEDROOMS]],2,FALSE)</f>
        <v>3 BEDROOM</v>
      </c>
    </row>
    <row r="84" spans="1:10" x14ac:dyDescent="0.25">
      <c r="A84" s="121" t="s">
        <v>1126</v>
      </c>
      <c r="B84" s="191">
        <v>66845</v>
      </c>
      <c r="C84" s="191">
        <v>155</v>
      </c>
      <c r="D84" s="191"/>
      <c r="E84" s="122">
        <v>0</v>
      </c>
      <c r="F84" s="122">
        <v>880682.87500000012</v>
      </c>
      <c r="G84" s="122">
        <v>10650975</v>
      </c>
      <c r="H84" s="122">
        <v>11348475</v>
      </c>
      <c r="I84" s="122">
        <v>11813475</v>
      </c>
      <c r="J84" s="79" t="str">
        <f>VLOOKUP(A84,Table1[[Unit Number]:[NO. OF BEDROOMS]],2,FALSE)</f>
        <v>3 BEDROOM</v>
      </c>
    </row>
    <row r="85" spans="1:10" x14ac:dyDescent="0.25">
      <c r="A85" s="121" t="s">
        <v>692</v>
      </c>
      <c r="B85" s="191">
        <v>65105</v>
      </c>
      <c r="C85" s="191">
        <v>161</v>
      </c>
      <c r="D85" s="191"/>
      <c r="E85" s="122">
        <v>0</v>
      </c>
      <c r="F85" s="122">
        <v>890961.92500000005</v>
      </c>
      <c r="G85" s="122">
        <v>10771905</v>
      </c>
      <c r="H85" s="122">
        <v>11496405</v>
      </c>
      <c r="I85" s="122">
        <v>11979405</v>
      </c>
      <c r="J85" s="79" t="str">
        <f>VLOOKUP(A85,Table1[[Unit Number]:[NO. OF BEDROOMS]],2,FALSE)</f>
        <v>3 BEDROOM</v>
      </c>
    </row>
    <row r="86" spans="1:10" x14ac:dyDescent="0.25">
      <c r="A86" s="121" t="s">
        <v>1134</v>
      </c>
      <c r="B86" s="191">
        <v>66772.5</v>
      </c>
      <c r="C86" s="191">
        <v>160</v>
      </c>
      <c r="D86" s="191"/>
      <c r="E86" s="122">
        <v>0</v>
      </c>
      <c r="F86" s="122">
        <v>908106.00000000012</v>
      </c>
      <c r="G86" s="122">
        <v>10973600</v>
      </c>
      <c r="H86" s="122">
        <v>11693600</v>
      </c>
      <c r="I86" s="122">
        <v>12173600</v>
      </c>
      <c r="J86" s="79" t="str">
        <f>VLOOKUP(A86,Table1[[Unit Number]:[NO. OF BEDROOMS]],2,FALSE)</f>
        <v>3 BEDROOM</v>
      </c>
    </row>
    <row r="87" spans="1:10" x14ac:dyDescent="0.25">
      <c r="A87" s="121" t="s">
        <v>1135</v>
      </c>
      <c r="B87" s="191">
        <v>66845</v>
      </c>
      <c r="C87" s="191">
        <v>155</v>
      </c>
      <c r="D87" s="191"/>
      <c r="E87" s="122">
        <v>0</v>
      </c>
      <c r="F87" s="122">
        <v>880682.87500000012</v>
      </c>
      <c r="G87" s="122">
        <v>10650975</v>
      </c>
      <c r="H87" s="122">
        <v>11348475</v>
      </c>
      <c r="I87" s="122">
        <v>11813475</v>
      </c>
      <c r="J87" s="79" t="str">
        <f>VLOOKUP(A87,Table1[[Unit Number]:[NO. OF BEDROOMS]],2,FALSE)</f>
        <v>3 BEDROOM</v>
      </c>
    </row>
    <row r="88" spans="1:10" x14ac:dyDescent="0.25">
      <c r="A88" s="121" t="s">
        <v>693</v>
      </c>
      <c r="B88" s="191">
        <v>65177.5</v>
      </c>
      <c r="C88" s="191">
        <v>155</v>
      </c>
      <c r="D88" s="191"/>
      <c r="E88" s="122">
        <v>0</v>
      </c>
      <c r="F88" s="122">
        <v>858713.56250000012</v>
      </c>
      <c r="G88" s="122">
        <v>10392512.5</v>
      </c>
      <c r="H88" s="122">
        <v>11090012.5</v>
      </c>
      <c r="I88" s="122">
        <v>11555012.5</v>
      </c>
      <c r="J88" s="79" t="str">
        <f>VLOOKUP(A88,Table1[[Unit Number]:[NO. OF BEDROOMS]],2,FALSE)</f>
        <v>3 BEDROOM</v>
      </c>
    </row>
    <row r="89" spans="1:10" x14ac:dyDescent="0.25">
      <c r="A89" s="121" t="s">
        <v>1143</v>
      </c>
      <c r="B89" s="191">
        <v>66845</v>
      </c>
      <c r="C89" s="191">
        <v>155</v>
      </c>
      <c r="D89" s="191"/>
      <c r="E89" s="122">
        <v>0</v>
      </c>
      <c r="F89" s="122">
        <v>880682.87500000012</v>
      </c>
      <c r="G89" s="122">
        <v>10650975</v>
      </c>
      <c r="H89" s="122">
        <v>11348475</v>
      </c>
      <c r="I89" s="122">
        <v>11813475</v>
      </c>
      <c r="J89" s="79" t="str">
        <f>VLOOKUP(A89,Table1[[Unit Number]:[NO. OF BEDROOMS]],2,FALSE)</f>
        <v>3 BEDROOM</v>
      </c>
    </row>
    <row r="90" spans="1:10" x14ac:dyDescent="0.25">
      <c r="A90" s="121" t="s">
        <v>705</v>
      </c>
      <c r="B90" s="191">
        <v>65177.5</v>
      </c>
      <c r="C90" s="191">
        <v>155</v>
      </c>
      <c r="D90" s="191"/>
      <c r="E90" s="122">
        <v>0</v>
      </c>
      <c r="F90" s="122">
        <v>858713.56250000012</v>
      </c>
      <c r="G90" s="122">
        <v>10392512.5</v>
      </c>
      <c r="H90" s="122">
        <v>11090012.5</v>
      </c>
      <c r="I90" s="122">
        <v>11555012.5</v>
      </c>
      <c r="J90" s="79" t="str">
        <f>VLOOKUP(A90,Table1[[Unit Number]:[NO. OF BEDROOMS]],2,FALSE)</f>
        <v>3 BEDROOM</v>
      </c>
    </row>
    <row r="91" spans="1:10" x14ac:dyDescent="0.25">
      <c r="A91" s="121" t="s">
        <v>709</v>
      </c>
      <c r="B91" s="122">
        <v>4788313.25</v>
      </c>
      <c r="C91" s="122">
        <v>12118</v>
      </c>
      <c r="D91" s="122">
        <v>235.90190000000001</v>
      </c>
      <c r="E91" s="122">
        <v>5144449.9955062503</v>
      </c>
      <c r="F91" s="122">
        <v>69072675.392118052</v>
      </c>
      <c r="G91" s="122">
        <v>833499710.49550629</v>
      </c>
      <c r="H91" s="122">
        <v>888030710.49550629</v>
      </c>
      <c r="I91" s="122">
        <v>924384710.49550629</v>
      </c>
    </row>
    <row r="92" spans="1:10" x14ac:dyDescent="0.25">
      <c r="A92"/>
      <c r="B92"/>
      <c r="C92"/>
      <c r="D92"/>
      <c r="E92"/>
      <c r="F92"/>
      <c r="G92"/>
      <c r="H92"/>
      <c r="I92"/>
      <c r="J92" s="79" t="e">
        <f>VLOOKUP(A92,Table1[[Unit Number]:[NO. OF BEDROOMS]],2,FALSE)</f>
        <v>#N/A</v>
      </c>
    </row>
    <row r="93" spans="1:10" x14ac:dyDescent="0.25">
      <c r="A93"/>
      <c r="B93"/>
      <c r="C93"/>
      <c r="D93"/>
      <c r="E93"/>
      <c r="F93"/>
      <c r="G93"/>
      <c r="H93"/>
      <c r="I93"/>
      <c r="J93" s="79" t="e">
        <f>VLOOKUP(A93,Table1[[Unit Number]:[NO. OF BEDROOMS]],2,FALSE)</f>
        <v>#N/A</v>
      </c>
    </row>
    <row r="94" spans="1:10" x14ac:dyDescent="0.25">
      <c r="A94"/>
      <c r="B94"/>
      <c r="C94"/>
      <c r="D94"/>
      <c r="E94"/>
      <c r="F94"/>
      <c r="G94"/>
      <c r="H94"/>
      <c r="I94"/>
      <c r="J94" s="79" t="e">
        <f>VLOOKUP(A94,Table1[[Unit Number]:[NO. OF BEDROOMS]],2,FALSE)</f>
        <v>#N/A</v>
      </c>
    </row>
    <row r="95" spans="1:10" x14ac:dyDescent="0.25">
      <c r="A95"/>
      <c r="B95"/>
      <c r="C95"/>
      <c r="D95"/>
      <c r="E95"/>
      <c r="F95"/>
      <c r="G95"/>
      <c r="H95"/>
      <c r="I95"/>
      <c r="J95" s="79" t="e">
        <f>VLOOKUP(A95,Table1[[Unit Number]:[NO. OF BEDROOMS]],2,FALSE)</f>
        <v>#N/A</v>
      </c>
    </row>
    <row r="96" spans="1:10" x14ac:dyDescent="0.25">
      <c r="A96"/>
      <c r="B96"/>
      <c r="C96"/>
      <c r="D96"/>
      <c r="E96"/>
      <c r="F96"/>
      <c r="G96"/>
      <c r="H96"/>
      <c r="I96"/>
      <c r="J96" s="79" t="e">
        <f>VLOOKUP(A96,Table1[[Unit Number]:[NO. OF BEDROOMS]],2,FALSE)</f>
        <v>#N/A</v>
      </c>
    </row>
    <row r="97" spans="1:10" x14ac:dyDescent="0.25">
      <c r="A97"/>
      <c r="B97"/>
      <c r="C97"/>
      <c r="D97"/>
      <c r="E97"/>
      <c r="F97"/>
      <c r="G97"/>
      <c r="H97"/>
      <c r="I97"/>
      <c r="J97" s="79" t="e">
        <f>VLOOKUP(A97,Table1[[Unit Number]:[NO. OF BEDROOMS]],2,FALSE)</f>
        <v>#N/A</v>
      </c>
    </row>
    <row r="98" spans="1:10" x14ac:dyDescent="0.25">
      <c r="A98"/>
      <c r="B98"/>
      <c r="C98"/>
      <c r="D98"/>
      <c r="E98"/>
      <c r="F98"/>
      <c r="G98"/>
      <c r="H98"/>
      <c r="I98"/>
      <c r="J98" s="79" t="e">
        <f>VLOOKUP(A98,Table1[[Unit Number]:[NO. OF BEDROOMS]],2,FALSE)</f>
        <v>#N/A</v>
      </c>
    </row>
    <row r="99" spans="1:10" x14ac:dyDescent="0.25">
      <c r="A99"/>
      <c r="B99"/>
      <c r="C99"/>
      <c r="D99"/>
      <c r="E99"/>
      <c r="F99"/>
      <c r="G99"/>
      <c r="H99"/>
      <c r="I99"/>
      <c r="J99" s="79" t="e">
        <f>VLOOKUP(A99,Table1[[Unit Number]:[NO. OF BEDROOMS]],2,FALSE)</f>
        <v>#N/A</v>
      </c>
    </row>
    <row r="100" spans="1:10" x14ac:dyDescent="0.25">
      <c r="A100"/>
      <c r="B100"/>
      <c r="C100"/>
      <c r="D100"/>
      <c r="E100"/>
      <c r="F100"/>
      <c r="G100"/>
      <c r="H100"/>
      <c r="I100"/>
      <c r="J100" s="79" t="e">
        <f>VLOOKUP(A100,Table1[[Unit Number]:[NO. OF BEDROOMS]],2,FALSE)</f>
        <v>#N/A</v>
      </c>
    </row>
    <row r="101" spans="1:10" x14ac:dyDescent="0.25">
      <c r="A101"/>
      <c r="B101"/>
      <c r="C101"/>
      <c r="D101"/>
      <c r="E101"/>
      <c r="F101"/>
      <c r="G101"/>
      <c r="H101"/>
      <c r="I101"/>
      <c r="J101" s="79" t="e">
        <f>VLOOKUP(A101,Table1[[Unit Number]:[NO. OF BEDROOMS]],2,FALSE)</f>
        <v>#N/A</v>
      </c>
    </row>
    <row r="102" spans="1:10" x14ac:dyDescent="0.25">
      <c r="A102"/>
      <c r="B102"/>
      <c r="C102"/>
      <c r="D102"/>
      <c r="E102"/>
      <c r="F102"/>
      <c r="G102"/>
      <c r="H102"/>
      <c r="I102"/>
      <c r="J102" s="79" t="e">
        <f>VLOOKUP(A102,Table1[[Unit Number]:[NO. OF BEDROOMS]],2,FALSE)</f>
        <v>#N/A</v>
      </c>
    </row>
    <row r="103" spans="1:10" x14ac:dyDescent="0.25">
      <c r="A103"/>
      <c r="B103"/>
      <c r="C103"/>
      <c r="D103"/>
      <c r="E103"/>
      <c r="F103"/>
      <c r="G103"/>
      <c r="H103"/>
      <c r="I103"/>
      <c r="J103" s="79" t="e">
        <f>VLOOKUP(A103,Table1[[Unit Number]:[NO. OF BEDROOMS]],2,FALSE)</f>
        <v>#N/A</v>
      </c>
    </row>
    <row r="104" spans="1:10" x14ac:dyDescent="0.25">
      <c r="A104"/>
      <c r="B104"/>
      <c r="C104"/>
      <c r="D104"/>
      <c r="E104"/>
      <c r="F104"/>
      <c r="G104"/>
      <c r="H104"/>
      <c r="I104"/>
      <c r="J104" s="79" t="e">
        <f>VLOOKUP(A104,Table1[[Unit Number]:[NO. OF BEDROOMS]],2,FALSE)</f>
        <v>#N/A</v>
      </c>
    </row>
    <row r="105" spans="1:10" x14ac:dyDescent="0.25">
      <c r="A105"/>
      <c r="B105"/>
      <c r="C105"/>
      <c r="D105"/>
      <c r="E105"/>
      <c r="F105"/>
      <c r="G105"/>
      <c r="H105"/>
      <c r="I105"/>
      <c r="J105" s="79" t="e">
        <f>VLOOKUP(A105,Table1[[Unit Number]:[NO. OF BEDROOMS]],2,FALSE)</f>
        <v>#N/A</v>
      </c>
    </row>
    <row r="106" spans="1:10" x14ac:dyDescent="0.25">
      <c r="A106"/>
      <c r="B106"/>
      <c r="C106"/>
      <c r="D106"/>
      <c r="E106"/>
      <c r="F106"/>
      <c r="G106"/>
      <c r="H106"/>
      <c r="I106"/>
      <c r="J106" s="79" t="e">
        <f>VLOOKUP(A106,Table1[[Unit Number]:[NO. OF BEDROOMS]],2,FALSE)</f>
        <v>#N/A</v>
      </c>
    </row>
    <row r="107" spans="1:10" x14ac:dyDescent="0.25">
      <c r="A107"/>
      <c r="B107"/>
      <c r="C107"/>
      <c r="D107"/>
      <c r="E107"/>
      <c r="F107"/>
      <c r="G107"/>
      <c r="H107"/>
      <c r="I107"/>
      <c r="J107" s="79" t="e">
        <f>VLOOKUP(A107,Table1[[Unit Number]:[NO. OF BEDROOMS]],2,FALSE)</f>
        <v>#N/A</v>
      </c>
    </row>
    <row r="108" spans="1:10" x14ac:dyDescent="0.25">
      <c r="A108"/>
      <c r="B108"/>
      <c r="C108"/>
      <c r="D108"/>
      <c r="E108"/>
      <c r="F108"/>
      <c r="G108"/>
      <c r="H108"/>
      <c r="I108"/>
      <c r="J108" s="79" t="e">
        <f>VLOOKUP(A108,Table1[[Unit Number]:[NO. OF BEDROOMS]],2,FALSE)</f>
        <v>#N/A</v>
      </c>
    </row>
    <row r="109" spans="1:10" x14ac:dyDescent="0.25">
      <c r="A109"/>
      <c r="B109"/>
      <c r="C109"/>
      <c r="D109"/>
      <c r="E109"/>
      <c r="F109"/>
      <c r="G109"/>
      <c r="H109"/>
      <c r="I109"/>
      <c r="J109" s="79" t="e">
        <f>VLOOKUP(A109,Table1[[Unit Number]:[NO. OF BEDROOMS]],2,FALSE)</f>
        <v>#N/A</v>
      </c>
    </row>
    <row r="110" spans="1:10" x14ac:dyDescent="0.25">
      <c r="A110"/>
      <c r="B110"/>
      <c r="C110"/>
      <c r="D110"/>
      <c r="E110"/>
      <c r="F110"/>
      <c r="G110"/>
      <c r="H110"/>
      <c r="I110"/>
      <c r="J110" s="79" t="e">
        <f>VLOOKUP(A110,Table1[[Unit Number]:[NO. OF BEDROOMS]],2,FALSE)</f>
        <v>#N/A</v>
      </c>
    </row>
    <row r="111" spans="1:10" x14ac:dyDescent="0.25">
      <c r="A111"/>
      <c r="B111"/>
      <c r="C111"/>
      <c r="D111"/>
      <c r="E111"/>
      <c r="F111"/>
      <c r="G111"/>
      <c r="H111"/>
      <c r="I111"/>
      <c r="J111" s="79" t="e">
        <f>VLOOKUP(A111,Table1[[Unit Number]:[NO. OF BEDROOMS]],2,FALSE)</f>
        <v>#N/A</v>
      </c>
    </row>
    <row r="112" spans="1:10" x14ac:dyDescent="0.25">
      <c r="A112"/>
      <c r="B112"/>
      <c r="C112"/>
      <c r="D112"/>
      <c r="E112"/>
      <c r="F112"/>
      <c r="G112"/>
      <c r="H112"/>
      <c r="I112"/>
      <c r="J112" s="79" t="e">
        <f>VLOOKUP(A112,Table1[[Unit Number]:[NO. OF BEDROOMS]],2,FALSE)</f>
        <v>#N/A</v>
      </c>
    </row>
    <row r="113" spans="1:10" x14ac:dyDescent="0.25">
      <c r="A113"/>
      <c r="B113"/>
      <c r="C113"/>
      <c r="D113"/>
      <c r="E113"/>
      <c r="F113"/>
      <c r="G113"/>
      <c r="H113"/>
      <c r="I113"/>
      <c r="J113" s="79" t="e">
        <f>VLOOKUP(A113,Table1[[Unit Number]:[NO. OF BEDROOMS]],2,FALSE)</f>
        <v>#N/A</v>
      </c>
    </row>
    <row r="114" spans="1:10" x14ac:dyDescent="0.25">
      <c r="A114"/>
      <c r="B114"/>
      <c r="C114"/>
      <c r="D114"/>
      <c r="E114"/>
      <c r="F114"/>
      <c r="G114"/>
      <c r="H114"/>
      <c r="I114"/>
      <c r="J114" s="79" t="e">
        <f>VLOOKUP(A114,Table1[[Unit Number]:[NO. OF BEDROOMS]],2,FALSE)</f>
        <v>#N/A</v>
      </c>
    </row>
    <row r="115" spans="1:10" x14ac:dyDescent="0.25">
      <c r="A115"/>
      <c r="B115"/>
      <c r="C115"/>
      <c r="D115"/>
      <c r="E115"/>
      <c r="F115"/>
      <c r="G115"/>
      <c r="H115"/>
      <c r="I115"/>
      <c r="J115" s="79" t="e">
        <f>VLOOKUP(A115,Table1[[Unit Number]:[NO. OF BEDROOMS]],2,FALSE)</f>
        <v>#N/A</v>
      </c>
    </row>
    <row r="116" spans="1:10" x14ac:dyDescent="0.25">
      <c r="A116"/>
      <c r="B116"/>
      <c r="C116"/>
      <c r="D116"/>
      <c r="E116"/>
      <c r="F116"/>
      <c r="G116"/>
      <c r="H116"/>
      <c r="I116"/>
      <c r="J116" s="79" t="e">
        <f>VLOOKUP(A116,Table1[[Unit Number]:[NO. OF BEDROOMS]],2,FALSE)</f>
        <v>#N/A</v>
      </c>
    </row>
    <row r="117" spans="1:10" x14ac:dyDescent="0.25">
      <c r="A117"/>
      <c r="B117"/>
      <c r="C117"/>
      <c r="D117"/>
      <c r="E117"/>
      <c r="F117"/>
      <c r="G117"/>
      <c r="H117"/>
      <c r="I117"/>
      <c r="J117" s="79" t="e">
        <f>VLOOKUP(A117,Table1[[Unit Number]:[NO. OF BEDROOMS]],2,FALSE)</f>
        <v>#N/A</v>
      </c>
    </row>
    <row r="118" spans="1:10" x14ac:dyDescent="0.25">
      <c r="A118"/>
      <c r="B118"/>
      <c r="C118"/>
      <c r="D118"/>
      <c r="E118"/>
      <c r="F118"/>
      <c r="G118"/>
      <c r="H118"/>
      <c r="I118"/>
      <c r="J118" s="79" t="e">
        <f>VLOOKUP(A118,Table1[[Unit Number]:[NO. OF BEDROOMS]],2,FALSE)</f>
        <v>#N/A</v>
      </c>
    </row>
    <row r="119" spans="1:10" x14ac:dyDescent="0.25">
      <c r="A119"/>
      <c r="B119"/>
      <c r="C119"/>
      <c r="D119"/>
      <c r="E119"/>
      <c r="F119"/>
      <c r="G119"/>
      <c r="H119"/>
      <c r="I119"/>
      <c r="J119" s="79" t="e">
        <f>VLOOKUP(A119,Table1[[Unit Number]:[NO. OF BEDROOMS]],2,FALSE)</f>
        <v>#N/A</v>
      </c>
    </row>
    <row r="120" spans="1:10" x14ac:dyDescent="0.25">
      <c r="A120"/>
      <c r="B120"/>
      <c r="C120"/>
      <c r="D120"/>
      <c r="E120"/>
      <c r="F120"/>
      <c r="G120"/>
      <c r="H120"/>
      <c r="I120"/>
      <c r="J120" s="79" t="e">
        <f>VLOOKUP(A120,Table1[[Unit Number]:[NO. OF BEDROOMS]],2,FALSE)</f>
        <v>#N/A</v>
      </c>
    </row>
    <row r="121" spans="1:10" x14ac:dyDescent="0.25">
      <c r="A121"/>
      <c r="B121"/>
      <c r="C121"/>
      <c r="D121"/>
      <c r="E121"/>
      <c r="F121"/>
      <c r="G121"/>
      <c r="H121"/>
      <c r="I121"/>
      <c r="J121" s="79" t="e">
        <f>VLOOKUP(A121,Table1[[Unit Number]:[NO. OF BEDROOMS]],2,FALSE)</f>
        <v>#N/A</v>
      </c>
    </row>
    <row r="122" spans="1:10" x14ac:dyDescent="0.25">
      <c r="A122"/>
      <c r="B122"/>
      <c r="C122"/>
      <c r="D122"/>
      <c r="E122"/>
      <c r="F122"/>
      <c r="G122"/>
      <c r="H122"/>
      <c r="I122"/>
      <c r="J122" s="79" t="e">
        <f>VLOOKUP(A122,Table1[[Unit Number]:[NO. OF BEDROOMS]],2,FALSE)</f>
        <v>#N/A</v>
      </c>
    </row>
    <row r="123" spans="1:10" x14ac:dyDescent="0.25">
      <c r="A123"/>
      <c r="B123"/>
      <c r="C123"/>
      <c r="D123"/>
      <c r="E123"/>
      <c r="F123"/>
      <c r="G123"/>
      <c r="H123"/>
      <c r="I123"/>
      <c r="J123" s="79" t="e">
        <f>VLOOKUP(A123,Table1[[Unit Number]:[NO. OF BEDROOMS]],2,FALSE)</f>
        <v>#N/A</v>
      </c>
    </row>
    <row r="124" spans="1:10" x14ac:dyDescent="0.25">
      <c r="A124"/>
      <c r="B124"/>
      <c r="C124"/>
      <c r="D124"/>
      <c r="E124"/>
      <c r="F124"/>
      <c r="G124"/>
      <c r="H124"/>
      <c r="I124"/>
      <c r="J124" s="79" t="e">
        <f>VLOOKUP(A124,Table1[[Unit Number]:[NO. OF BEDROOMS]],2,FALSE)</f>
        <v>#N/A</v>
      </c>
    </row>
    <row r="125" spans="1:10" x14ac:dyDescent="0.25">
      <c r="A125"/>
      <c r="B125"/>
      <c r="C125"/>
      <c r="D125"/>
      <c r="E125"/>
      <c r="F125"/>
      <c r="G125"/>
      <c r="H125"/>
      <c r="I125"/>
      <c r="J125" s="79" t="e">
        <f>VLOOKUP(A125,Table1[[Unit Number]:[NO. OF BEDROOMS]],2,FALSE)</f>
        <v>#N/A</v>
      </c>
    </row>
    <row r="126" spans="1:10" x14ac:dyDescent="0.25">
      <c r="A126"/>
      <c r="B126"/>
      <c r="C126"/>
      <c r="D126"/>
      <c r="E126"/>
      <c r="F126"/>
      <c r="G126"/>
      <c r="H126"/>
      <c r="I126"/>
      <c r="J126" s="79" t="e">
        <f>VLOOKUP(A126,Table1[[Unit Number]:[NO. OF BEDROOMS]],2,FALSE)</f>
        <v>#N/A</v>
      </c>
    </row>
    <row r="127" spans="1:10" x14ac:dyDescent="0.25">
      <c r="A127"/>
      <c r="B127"/>
      <c r="C127"/>
      <c r="D127"/>
      <c r="E127"/>
      <c r="F127"/>
      <c r="G127"/>
      <c r="H127"/>
      <c r="I127"/>
      <c r="J127" s="79" t="e">
        <f>VLOOKUP(A127,Table1[[Unit Number]:[NO. OF BEDROOMS]],2,FALSE)</f>
        <v>#N/A</v>
      </c>
    </row>
    <row r="128" spans="1:10" x14ac:dyDescent="0.25">
      <c r="A128"/>
      <c r="B128"/>
      <c r="C128"/>
      <c r="D128"/>
      <c r="E128"/>
      <c r="F128"/>
      <c r="G128"/>
      <c r="H128"/>
      <c r="I128"/>
      <c r="J128" s="79" t="e">
        <f>VLOOKUP(A128,Table1[[Unit Number]:[NO. OF BEDROOMS]],2,FALSE)</f>
        <v>#N/A</v>
      </c>
    </row>
    <row r="129" spans="1:10" x14ac:dyDescent="0.25">
      <c r="A129"/>
      <c r="B129"/>
      <c r="C129"/>
      <c r="D129"/>
      <c r="E129"/>
      <c r="F129"/>
      <c r="G129"/>
      <c r="H129"/>
      <c r="I129"/>
      <c r="J129" s="79" t="e">
        <f>VLOOKUP(A129,Table1[[Unit Number]:[NO. OF BEDROOMS]],2,FALSE)</f>
        <v>#N/A</v>
      </c>
    </row>
    <row r="130" spans="1:10" x14ac:dyDescent="0.25">
      <c r="A130"/>
      <c r="B130"/>
      <c r="C130"/>
      <c r="D130"/>
      <c r="E130"/>
      <c r="F130"/>
      <c r="G130"/>
      <c r="H130"/>
      <c r="I130"/>
      <c r="J130" s="79" t="e">
        <f>VLOOKUP(A130,Table1[[Unit Number]:[NO. OF BEDROOMS]],2,FALSE)</f>
        <v>#N/A</v>
      </c>
    </row>
    <row r="131" spans="1:10" x14ac:dyDescent="0.25">
      <c r="A131"/>
      <c r="B131"/>
      <c r="C131"/>
      <c r="D131"/>
      <c r="E131"/>
      <c r="F131"/>
      <c r="G131"/>
      <c r="H131"/>
      <c r="I131"/>
      <c r="J131" s="79" t="e">
        <f>VLOOKUP(A131,Table1[[Unit Number]:[NO. OF BEDROOMS]],2,FALSE)</f>
        <v>#N/A</v>
      </c>
    </row>
    <row r="132" spans="1:10" x14ac:dyDescent="0.25">
      <c r="A132"/>
      <c r="B132"/>
      <c r="C132"/>
      <c r="D132"/>
      <c r="E132"/>
      <c r="F132"/>
      <c r="G132"/>
      <c r="H132"/>
      <c r="I132"/>
      <c r="J132" s="79" t="e">
        <f>VLOOKUP(A132,Table1[[Unit Number]:[NO. OF BEDROOMS]],2,FALSE)</f>
        <v>#N/A</v>
      </c>
    </row>
    <row r="133" spans="1:10" x14ac:dyDescent="0.25">
      <c r="A133"/>
      <c r="B133"/>
      <c r="C133"/>
      <c r="D133"/>
      <c r="E133"/>
      <c r="F133"/>
      <c r="G133"/>
      <c r="H133"/>
      <c r="I133"/>
      <c r="J133" s="79" t="e">
        <f>VLOOKUP(A133,Table1[[Unit Number]:[NO. OF BEDROOMS]],2,FALSE)</f>
        <v>#N/A</v>
      </c>
    </row>
    <row r="134" spans="1:10" x14ac:dyDescent="0.25">
      <c r="A134"/>
      <c r="B134"/>
      <c r="C134"/>
      <c r="D134"/>
      <c r="E134"/>
      <c r="F134"/>
      <c r="G134"/>
      <c r="H134"/>
      <c r="I134"/>
      <c r="J134" s="79" t="e">
        <f>VLOOKUP(A134,Table1[[Unit Number]:[NO. OF BEDROOMS]],2,FALSE)</f>
        <v>#N/A</v>
      </c>
    </row>
    <row r="135" spans="1:10" x14ac:dyDescent="0.25">
      <c r="A135"/>
      <c r="B135"/>
      <c r="C135"/>
      <c r="D135"/>
      <c r="E135"/>
      <c r="F135"/>
      <c r="G135"/>
      <c r="H135"/>
      <c r="I135"/>
      <c r="J135" s="79" t="e">
        <f>VLOOKUP(A135,Table1[[Unit Number]:[NO. OF BEDROOMS]],2,FALSE)</f>
        <v>#N/A</v>
      </c>
    </row>
    <row r="136" spans="1:10" x14ac:dyDescent="0.25">
      <c r="A136"/>
      <c r="B136"/>
      <c r="C136"/>
      <c r="D136"/>
      <c r="E136"/>
      <c r="F136"/>
      <c r="G136"/>
      <c r="H136"/>
      <c r="I136"/>
      <c r="J136" s="79" t="e">
        <f>VLOOKUP(A136,Table1[[Unit Number]:[NO. OF BEDROOMS]],2,FALSE)</f>
        <v>#N/A</v>
      </c>
    </row>
    <row r="137" spans="1:10" x14ac:dyDescent="0.25">
      <c r="A137"/>
      <c r="B137"/>
      <c r="C137"/>
      <c r="D137"/>
      <c r="E137"/>
      <c r="F137"/>
      <c r="G137"/>
      <c r="H137"/>
      <c r="I137"/>
      <c r="J137" s="79" t="e">
        <f>VLOOKUP(A137,Table1[[Unit Number]:[NO. OF BEDROOMS]],2,FALSE)</f>
        <v>#N/A</v>
      </c>
    </row>
    <row r="138" spans="1:10" x14ac:dyDescent="0.25">
      <c r="A138"/>
      <c r="B138"/>
      <c r="C138"/>
      <c r="D138"/>
      <c r="E138"/>
      <c r="F138"/>
      <c r="G138"/>
      <c r="H138"/>
      <c r="I138"/>
      <c r="J138" s="79" t="e">
        <f>VLOOKUP(A138,Table1[[Unit Number]:[NO. OF BEDROOMS]],2,FALSE)</f>
        <v>#N/A</v>
      </c>
    </row>
    <row r="139" spans="1:10" x14ac:dyDescent="0.25">
      <c r="A139"/>
      <c r="B139"/>
      <c r="C139"/>
      <c r="D139"/>
      <c r="E139"/>
      <c r="F139"/>
      <c r="G139"/>
      <c r="H139"/>
      <c r="I139"/>
      <c r="J139" s="79" t="e">
        <f>VLOOKUP(A139,Table1[[Unit Number]:[NO. OF BEDROOMS]],2,FALSE)</f>
        <v>#N/A</v>
      </c>
    </row>
    <row r="140" spans="1:10" x14ac:dyDescent="0.25">
      <c r="A140"/>
      <c r="B140"/>
      <c r="C140"/>
      <c r="D140"/>
      <c r="E140"/>
      <c r="F140"/>
      <c r="G140"/>
      <c r="H140"/>
      <c r="I140"/>
      <c r="J140" s="79" t="e">
        <f>VLOOKUP(A140,Table1[[Unit Number]:[NO. OF BEDROOMS]],2,FALSE)</f>
        <v>#N/A</v>
      </c>
    </row>
    <row r="141" spans="1:10" x14ac:dyDescent="0.25">
      <c r="A141"/>
      <c r="B141"/>
      <c r="C141"/>
      <c r="D141"/>
      <c r="E141"/>
      <c r="F141"/>
      <c r="G141"/>
      <c r="H141"/>
      <c r="I141"/>
      <c r="J141" s="79" t="e">
        <f>VLOOKUP(A141,Table1[[Unit Number]:[NO. OF BEDROOMS]],2,FALSE)</f>
        <v>#N/A</v>
      </c>
    </row>
    <row r="142" spans="1:10" x14ac:dyDescent="0.25">
      <c r="A142"/>
      <c r="B142"/>
      <c r="C142"/>
      <c r="D142"/>
      <c r="E142"/>
      <c r="F142"/>
      <c r="G142"/>
      <c r="H142"/>
      <c r="I142"/>
      <c r="J142" s="79" t="e">
        <f>VLOOKUP(A142,Table1[[Unit Number]:[NO. OF BEDROOMS]],2,FALSE)</f>
        <v>#N/A</v>
      </c>
    </row>
    <row r="143" spans="1:10" x14ac:dyDescent="0.25">
      <c r="A143"/>
      <c r="B143"/>
      <c r="C143"/>
      <c r="D143"/>
      <c r="E143"/>
      <c r="F143"/>
      <c r="G143"/>
      <c r="H143"/>
      <c r="I143"/>
      <c r="J143" s="79" t="e">
        <f>VLOOKUP(A143,Table1[[Unit Number]:[NO. OF BEDROOMS]],2,FALSE)</f>
        <v>#N/A</v>
      </c>
    </row>
    <row r="144" spans="1:10" x14ac:dyDescent="0.25">
      <c r="A144"/>
      <c r="B144"/>
      <c r="C144"/>
      <c r="D144"/>
      <c r="E144"/>
      <c r="F144"/>
      <c r="G144"/>
      <c r="H144"/>
      <c r="I144"/>
      <c r="J144" s="79" t="e">
        <f>VLOOKUP(A144,Table1[[Unit Number]:[NO. OF BEDROOMS]],2,FALSE)</f>
        <v>#N/A</v>
      </c>
    </row>
    <row r="145" spans="1:10" x14ac:dyDescent="0.25">
      <c r="A145"/>
      <c r="B145"/>
      <c r="C145"/>
      <c r="D145"/>
      <c r="E145"/>
      <c r="F145"/>
      <c r="G145"/>
      <c r="H145"/>
      <c r="I145"/>
      <c r="J145" s="79" t="e">
        <f>VLOOKUP(A145,Table1[[Unit Number]:[NO. OF BEDROOMS]],2,FALSE)</f>
        <v>#N/A</v>
      </c>
    </row>
    <row r="146" spans="1:10" x14ac:dyDescent="0.25">
      <c r="A146"/>
      <c r="B146"/>
      <c r="C146"/>
      <c r="D146"/>
      <c r="E146"/>
      <c r="F146"/>
      <c r="G146"/>
      <c r="H146"/>
      <c r="I146"/>
      <c r="J146" s="79" t="e">
        <f>VLOOKUP(A146,Table1[[Unit Number]:[NO. OF BEDROOMS]],2,FALSE)</f>
        <v>#N/A</v>
      </c>
    </row>
    <row r="147" spans="1:10" x14ac:dyDescent="0.25">
      <c r="A147"/>
      <c r="B147"/>
      <c r="C147"/>
      <c r="D147"/>
      <c r="E147"/>
      <c r="F147"/>
      <c r="G147"/>
      <c r="H147"/>
      <c r="I147"/>
      <c r="J147" s="79" t="e">
        <f>VLOOKUP(A147,Table1[[Unit Number]:[NO. OF BEDROOMS]],2,FALSE)</f>
        <v>#N/A</v>
      </c>
    </row>
    <row r="148" spans="1:10" x14ac:dyDescent="0.25">
      <c r="A148"/>
      <c r="B148"/>
      <c r="C148"/>
      <c r="D148"/>
      <c r="E148"/>
      <c r="F148"/>
      <c r="G148"/>
      <c r="H148"/>
      <c r="I148"/>
      <c r="J148" s="79" t="e">
        <f>VLOOKUP(A148,Table1[[Unit Number]:[NO. OF BEDROOMS]],2,FALSE)</f>
        <v>#N/A</v>
      </c>
    </row>
    <row r="149" spans="1:10" x14ac:dyDescent="0.25">
      <c r="A149"/>
      <c r="B149"/>
      <c r="C149"/>
      <c r="D149"/>
      <c r="E149"/>
      <c r="F149"/>
      <c r="G149"/>
      <c r="H149"/>
      <c r="I149"/>
      <c r="J149" s="79" t="e">
        <f>VLOOKUP(A149,Table1[[Unit Number]:[NO. OF BEDROOMS]],2,FALSE)</f>
        <v>#N/A</v>
      </c>
    </row>
    <row r="150" spans="1:10" x14ac:dyDescent="0.25">
      <c r="A150"/>
      <c r="B150"/>
      <c r="C150"/>
      <c r="D150"/>
      <c r="E150"/>
      <c r="F150"/>
      <c r="G150"/>
      <c r="H150"/>
      <c r="I150"/>
      <c r="J150" s="79" t="e">
        <f>VLOOKUP(A150,Table1[[Unit Number]:[NO. OF BEDROOMS]],2,FALSE)</f>
        <v>#N/A</v>
      </c>
    </row>
    <row r="151" spans="1:10" x14ac:dyDescent="0.25">
      <c r="A151"/>
      <c r="B151"/>
      <c r="C151"/>
      <c r="D151"/>
      <c r="E151"/>
      <c r="F151"/>
      <c r="G151"/>
      <c r="H151"/>
      <c r="I151"/>
      <c r="J151" s="79" t="e">
        <f>VLOOKUP(A151,Table1[[Unit Number]:[NO. OF BEDROOMS]],2,FALSE)</f>
        <v>#N/A</v>
      </c>
    </row>
    <row r="152" spans="1:10" x14ac:dyDescent="0.25">
      <c r="A152"/>
      <c r="B152"/>
      <c r="C152"/>
      <c r="D152"/>
      <c r="E152"/>
      <c r="F152"/>
      <c r="G152"/>
      <c r="H152"/>
      <c r="I152"/>
      <c r="J152" s="79" t="e">
        <f>VLOOKUP(A152,Table1[[Unit Number]:[NO. OF BEDROOMS]],2,FALSE)</f>
        <v>#N/A</v>
      </c>
    </row>
    <row r="153" spans="1:10" x14ac:dyDescent="0.25">
      <c r="A153"/>
      <c r="B153"/>
      <c r="C153"/>
      <c r="D153"/>
      <c r="E153"/>
      <c r="F153"/>
      <c r="G153"/>
      <c r="H153"/>
      <c r="I153"/>
      <c r="J153" s="79" t="e">
        <f>VLOOKUP(A153,Table1[[Unit Number]:[NO. OF BEDROOMS]],2,FALSE)</f>
        <v>#N/A</v>
      </c>
    </row>
    <row r="154" spans="1:10" x14ac:dyDescent="0.25">
      <c r="A154"/>
      <c r="B154"/>
      <c r="C154"/>
      <c r="D154"/>
      <c r="E154"/>
      <c r="F154"/>
      <c r="G154"/>
      <c r="H154"/>
      <c r="I154"/>
      <c r="J154" s="79" t="e">
        <f>VLOOKUP(A154,Table1[[Unit Number]:[NO. OF BEDROOMS]],2,FALSE)</f>
        <v>#N/A</v>
      </c>
    </row>
    <row r="155" spans="1:10" x14ac:dyDescent="0.25">
      <c r="A155"/>
      <c r="B155"/>
      <c r="C155"/>
      <c r="D155"/>
      <c r="E155"/>
      <c r="F155"/>
      <c r="G155"/>
      <c r="H155"/>
      <c r="I155"/>
      <c r="J155" s="79" t="e">
        <f>VLOOKUP(A155,Table1[[Unit Number]:[NO. OF BEDROOMS]],2,FALSE)</f>
        <v>#N/A</v>
      </c>
    </row>
    <row r="156" spans="1:10" x14ac:dyDescent="0.25">
      <c r="A156"/>
      <c r="B156"/>
      <c r="C156"/>
      <c r="D156"/>
      <c r="E156"/>
      <c r="F156"/>
      <c r="G156"/>
      <c r="H156"/>
      <c r="I156"/>
      <c r="J156" s="79" t="e">
        <f>VLOOKUP(A156,Table1[[Unit Number]:[NO. OF BEDROOMS]],2,FALSE)</f>
        <v>#N/A</v>
      </c>
    </row>
    <row r="157" spans="1:10" x14ac:dyDescent="0.25">
      <c r="A157"/>
      <c r="B157"/>
      <c r="C157"/>
      <c r="D157"/>
      <c r="E157"/>
      <c r="F157"/>
      <c r="G157"/>
      <c r="H157"/>
      <c r="I157"/>
      <c r="J157" s="79" t="e">
        <f>VLOOKUP(A157,Table1[[Unit Number]:[NO. OF BEDROOMS]],2,FALSE)</f>
        <v>#N/A</v>
      </c>
    </row>
    <row r="158" spans="1:10" x14ac:dyDescent="0.25">
      <c r="A158"/>
      <c r="B158"/>
      <c r="C158"/>
      <c r="D158"/>
      <c r="E158"/>
      <c r="F158"/>
      <c r="G158"/>
      <c r="H158"/>
      <c r="I158"/>
      <c r="J158" s="79" t="e">
        <f>VLOOKUP(A158,Table1[[Unit Number]:[NO. OF BEDROOMS]],2,FALSE)</f>
        <v>#N/A</v>
      </c>
    </row>
    <row r="159" spans="1:10" x14ac:dyDescent="0.25">
      <c r="A159"/>
      <c r="B159"/>
      <c r="C159"/>
      <c r="D159"/>
      <c r="E159"/>
      <c r="F159"/>
      <c r="G159"/>
      <c r="H159"/>
      <c r="I159"/>
      <c r="J159" s="79" t="e">
        <f>VLOOKUP(A159,Table1[[Unit Number]:[NO. OF BEDROOMS]],2,FALSE)</f>
        <v>#N/A</v>
      </c>
    </row>
    <row r="160" spans="1:10" x14ac:dyDescent="0.25">
      <c r="A160"/>
      <c r="B160"/>
      <c r="C160"/>
      <c r="D160"/>
      <c r="E160"/>
      <c r="F160"/>
      <c r="G160"/>
      <c r="H160"/>
      <c r="I160"/>
      <c r="J160" s="79" t="e">
        <f>VLOOKUP(A160,Table1[[Unit Number]:[NO. OF BEDROOMS]],2,FALSE)</f>
        <v>#N/A</v>
      </c>
    </row>
    <row r="161" spans="1:10" x14ac:dyDescent="0.25">
      <c r="A161"/>
      <c r="B161"/>
      <c r="C161"/>
      <c r="D161"/>
      <c r="E161"/>
      <c r="F161"/>
      <c r="G161"/>
      <c r="H161"/>
      <c r="I161"/>
      <c r="J161" s="79" t="e">
        <f>VLOOKUP(A161,Table1[[Unit Number]:[NO. OF BEDROOMS]],2,FALSE)</f>
        <v>#N/A</v>
      </c>
    </row>
    <row r="162" spans="1:10" x14ac:dyDescent="0.25">
      <c r="A162"/>
      <c r="B162"/>
      <c r="C162"/>
      <c r="D162"/>
      <c r="E162"/>
      <c r="F162"/>
      <c r="G162"/>
      <c r="H162"/>
      <c r="I162"/>
      <c r="J162" s="79" t="e">
        <f>VLOOKUP(A162,Table1[[Unit Number]:[NO. OF BEDROOMS]],2,FALSE)</f>
        <v>#N/A</v>
      </c>
    </row>
    <row r="163" spans="1:10" x14ac:dyDescent="0.25">
      <c r="A163"/>
      <c r="B163"/>
      <c r="C163"/>
      <c r="D163"/>
      <c r="E163"/>
      <c r="F163"/>
      <c r="G163"/>
      <c r="H163"/>
      <c r="I163"/>
    </row>
    <row r="164" spans="1:10" x14ac:dyDescent="0.25">
      <c r="A164"/>
      <c r="B164"/>
      <c r="C164"/>
      <c r="D164"/>
      <c r="E164"/>
      <c r="F164"/>
      <c r="G164"/>
      <c r="H164"/>
      <c r="I164"/>
    </row>
    <row r="165" spans="1:10" x14ac:dyDescent="0.25">
      <c r="A165"/>
      <c r="B165"/>
      <c r="C165"/>
      <c r="D165"/>
      <c r="E165"/>
      <c r="F165"/>
      <c r="G165"/>
      <c r="H165"/>
      <c r="I165"/>
    </row>
    <row r="166" spans="1:10" x14ac:dyDescent="0.25">
      <c r="A166"/>
      <c r="B166"/>
      <c r="C166"/>
      <c r="D166"/>
      <c r="E166"/>
      <c r="F166"/>
      <c r="G166"/>
      <c r="H166"/>
      <c r="I166"/>
    </row>
    <row r="167" spans="1:10" x14ac:dyDescent="0.25">
      <c r="A167"/>
      <c r="B167"/>
      <c r="C167"/>
      <c r="D167"/>
      <c r="E167"/>
      <c r="F167"/>
      <c r="G167"/>
      <c r="H167"/>
      <c r="I167"/>
    </row>
    <row r="168" spans="1:10" x14ac:dyDescent="0.25">
      <c r="A168"/>
      <c r="B168"/>
      <c r="C168"/>
      <c r="D168"/>
      <c r="E168"/>
      <c r="F168"/>
      <c r="G168"/>
      <c r="H168"/>
      <c r="I168"/>
    </row>
    <row r="169" spans="1:10" x14ac:dyDescent="0.25">
      <c r="A169"/>
      <c r="B169"/>
      <c r="C169"/>
      <c r="D169"/>
      <c r="E169"/>
      <c r="F169"/>
      <c r="G169"/>
      <c r="H169"/>
      <c r="I169"/>
    </row>
    <row r="170" spans="1:10" x14ac:dyDescent="0.25">
      <c r="A170"/>
      <c r="B170"/>
      <c r="C170"/>
      <c r="D170"/>
      <c r="E170"/>
      <c r="F170"/>
      <c r="G170"/>
      <c r="H170"/>
      <c r="I170"/>
    </row>
    <row r="171" spans="1:10" x14ac:dyDescent="0.25">
      <c r="A171"/>
      <c r="B171"/>
      <c r="C171"/>
      <c r="D171"/>
      <c r="E171"/>
      <c r="F171"/>
      <c r="G171"/>
      <c r="H171"/>
      <c r="I171"/>
    </row>
    <row r="172" spans="1:10" x14ac:dyDescent="0.25">
      <c r="A172"/>
      <c r="B172"/>
      <c r="C172"/>
      <c r="D172"/>
      <c r="E172"/>
      <c r="F172"/>
      <c r="G172"/>
      <c r="H172"/>
      <c r="I172"/>
    </row>
    <row r="173" spans="1:10" x14ac:dyDescent="0.25">
      <c r="A173"/>
      <c r="B173"/>
      <c r="C173"/>
      <c r="D173"/>
      <c r="E173"/>
      <c r="F173"/>
      <c r="G173"/>
      <c r="H173"/>
      <c r="I173"/>
    </row>
    <row r="174" spans="1:10" x14ac:dyDescent="0.25">
      <c r="A174"/>
      <c r="B174"/>
      <c r="C174"/>
      <c r="D174"/>
      <c r="E174"/>
      <c r="F174"/>
      <c r="G174"/>
      <c r="H174"/>
      <c r="I174"/>
    </row>
    <row r="175" spans="1:10" x14ac:dyDescent="0.25">
      <c r="A175"/>
      <c r="B175"/>
      <c r="C175"/>
      <c r="D175"/>
      <c r="E175"/>
      <c r="F175"/>
      <c r="G175"/>
      <c r="H175"/>
      <c r="I175"/>
    </row>
    <row r="176" spans="1:10" x14ac:dyDescent="0.25">
      <c r="A176"/>
      <c r="B176"/>
      <c r="C176"/>
      <c r="D176"/>
      <c r="E176"/>
      <c r="F176"/>
      <c r="G176"/>
      <c r="H176"/>
      <c r="I176"/>
    </row>
    <row r="177" spans="1:9" x14ac:dyDescent="0.25">
      <c r="A177"/>
      <c r="B177"/>
      <c r="C177"/>
      <c r="D177"/>
      <c r="E177"/>
      <c r="F177"/>
      <c r="G177"/>
      <c r="H177"/>
      <c r="I177"/>
    </row>
    <row r="178" spans="1:9" x14ac:dyDescent="0.25">
      <c r="A178"/>
      <c r="B178"/>
      <c r="C178"/>
      <c r="D178"/>
      <c r="E178"/>
      <c r="F178"/>
      <c r="G178"/>
      <c r="H178"/>
      <c r="I178"/>
    </row>
    <row r="179" spans="1:9" x14ac:dyDescent="0.25">
      <c r="A179"/>
      <c r="B179"/>
      <c r="C179"/>
      <c r="D179"/>
      <c r="E179"/>
      <c r="F179"/>
      <c r="G179"/>
      <c r="H179"/>
      <c r="I179"/>
    </row>
    <row r="180" spans="1:9" x14ac:dyDescent="0.25">
      <c r="A180"/>
      <c r="B180"/>
      <c r="C180"/>
      <c r="D180"/>
      <c r="E180"/>
      <c r="F180"/>
      <c r="G180"/>
      <c r="H180"/>
      <c r="I180"/>
    </row>
    <row r="181" spans="1:9" x14ac:dyDescent="0.25">
      <c r="A181"/>
      <c r="B181"/>
      <c r="C181"/>
      <c r="D181"/>
      <c r="E181"/>
      <c r="F181"/>
      <c r="G181"/>
      <c r="H181"/>
      <c r="I181"/>
    </row>
    <row r="182" spans="1:9" x14ac:dyDescent="0.25">
      <c r="A182"/>
      <c r="B182"/>
      <c r="C182"/>
      <c r="D182"/>
      <c r="E182"/>
      <c r="F182"/>
      <c r="G182"/>
      <c r="H182"/>
      <c r="I182"/>
    </row>
    <row r="183" spans="1:9" x14ac:dyDescent="0.25">
      <c r="A183"/>
      <c r="B183"/>
      <c r="C183"/>
      <c r="D183"/>
      <c r="E183"/>
      <c r="F183"/>
      <c r="G183"/>
      <c r="H183"/>
      <c r="I183"/>
    </row>
    <row r="184" spans="1:9" x14ac:dyDescent="0.25">
      <c r="A184"/>
      <c r="B184"/>
      <c r="C184"/>
      <c r="D184"/>
      <c r="E184"/>
      <c r="F184"/>
      <c r="G184"/>
      <c r="H184"/>
      <c r="I184"/>
    </row>
    <row r="185" spans="1:9" x14ac:dyDescent="0.25">
      <c r="A185"/>
      <c r="B185"/>
      <c r="C185"/>
      <c r="D185"/>
      <c r="E185"/>
      <c r="F185"/>
      <c r="G185"/>
      <c r="H185"/>
      <c r="I185"/>
    </row>
    <row r="186" spans="1:9" x14ac:dyDescent="0.25">
      <c r="A186"/>
      <c r="B186"/>
      <c r="C186"/>
      <c r="D186"/>
      <c r="E186"/>
      <c r="F186"/>
      <c r="G186"/>
      <c r="H186"/>
      <c r="I186"/>
    </row>
    <row r="187" spans="1:9" x14ac:dyDescent="0.25">
      <c r="A187"/>
      <c r="B187"/>
      <c r="C187"/>
      <c r="D187"/>
      <c r="E187"/>
      <c r="F187"/>
      <c r="G187"/>
      <c r="H187"/>
      <c r="I187"/>
    </row>
    <row r="188" spans="1:9" x14ac:dyDescent="0.25">
      <c r="A188"/>
      <c r="B188"/>
      <c r="C188"/>
      <c r="D188"/>
      <c r="E188"/>
      <c r="F188"/>
      <c r="G188"/>
      <c r="H188"/>
      <c r="I188"/>
    </row>
    <row r="189" spans="1:9" x14ac:dyDescent="0.25">
      <c r="A189"/>
      <c r="B189"/>
      <c r="C189"/>
      <c r="D189"/>
      <c r="E189"/>
      <c r="F189"/>
      <c r="G189"/>
      <c r="H189"/>
      <c r="I189"/>
    </row>
    <row r="190" spans="1:9" x14ac:dyDescent="0.25">
      <c r="A190"/>
      <c r="B190"/>
      <c r="C190"/>
      <c r="D190"/>
      <c r="E190"/>
      <c r="F190"/>
      <c r="G190"/>
      <c r="H190"/>
      <c r="I190"/>
    </row>
    <row r="191" spans="1:9" x14ac:dyDescent="0.25">
      <c r="A191"/>
      <c r="B191"/>
      <c r="C191"/>
      <c r="D191"/>
      <c r="E191"/>
      <c r="F191"/>
      <c r="G191"/>
      <c r="H191"/>
      <c r="I191"/>
    </row>
    <row r="192" spans="1:9" x14ac:dyDescent="0.25">
      <c r="A192"/>
      <c r="B192"/>
      <c r="C192"/>
      <c r="D192"/>
      <c r="E192"/>
      <c r="F192"/>
      <c r="G192"/>
      <c r="H192"/>
      <c r="I192"/>
    </row>
    <row r="193" spans="1:9" x14ac:dyDescent="0.25">
      <c r="A193"/>
      <c r="B193"/>
      <c r="C193"/>
      <c r="D193"/>
      <c r="E193"/>
      <c r="F193"/>
      <c r="G193"/>
      <c r="H193"/>
      <c r="I193"/>
    </row>
    <row r="194" spans="1:9" x14ac:dyDescent="0.25">
      <c r="A194"/>
      <c r="B194"/>
      <c r="C194"/>
      <c r="D194"/>
      <c r="E194"/>
      <c r="F194"/>
      <c r="G194"/>
      <c r="H194"/>
      <c r="I194"/>
    </row>
    <row r="195" spans="1:9" x14ac:dyDescent="0.25">
      <c r="A195"/>
      <c r="B195"/>
      <c r="C195"/>
      <c r="D195"/>
      <c r="E195"/>
      <c r="F195"/>
      <c r="G195"/>
      <c r="H195"/>
      <c r="I195"/>
    </row>
    <row r="196" spans="1:9" x14ac:dyDescent="0.25">
      <c r="A196"/>
      <c r="B196"/>
      <c r="C196"/>
      <c r="D196"/>
      <c r="E196"/>
      <c r="F196"/>
      <c r="G196"/>
      <c r="H196"/>
      <c r="I196"/>
    </row>
    <row r="197" spans="1:9" x14ac:dyDescent="0.25">
      <c r="A197"/>
      <c r="B197"/>
      <c r="C197"/>
      <c r="D197"/>
      <c r="E197"/>
      <c r="F197"/>
      <c r="G197"/>
      <c r="H197"/>
      <c r="I197"/>
    </row>
    <row r="198" spans="1:9" x14ac:dyDescent="0.25">
      <c r="A198"/>
      <c r="B198"/>
      <c r="C198"/>
      <c r="D198"/>
      <c r="E198"/>
      <c r="F198"/>
      <c r="G198"/>
      <c r="H198"/>
      <c r="I198"/>
    </row>
    <row r="199" spans="1:9" x14ac:dyDescent="0.25">
      <c r="A199"/>
      <c r="B199"/>
      <c r="C199"/>
      <c r="D199"/>
      <c r="E199"/>
      <c r="F199"/>
      <c r="G199"/>
      <c r="H199"/>
      <c r="I199"/>
    </row>
    <row r="200" spans="1:9" x14ac:dyDescent="0.25">
      <c r="A200"/>
      <c r="B200"/>
      <c r="C200"/>
      <c r="D200"/>
      <c r="E200"/>
      <c r="F200"/>
      <c r="G200"/>
      <c r="H200"/>
      <c r="I200"/>
    </row>
    <row r="201" spans="1:9" x14ac:dyDescent="0.25">
      <c r="A201"/>
      <c r="B201"/>
      <c r="C201"/>
      <c r="D201"/>
      <c r="E201"/>
      <c r="F201"/>
      <c r="G201"/>
      <c r="H201"/>
      <c r="I201"/>
    </row>
    <row r="202" spans="1:9" x14ac:dyDescent="0.25">
      <c r="A202"/>
      <c r="B202"/>
      <c r="C202"/>
      <c r="D202"/>
      <c r="E202"/>
      <c r="F202"/>
      <c r="G202"/>
      <c r="H202"/>
      <c r="I202"/>
    </row>
    <row r="203" spans="1:9" x14ac:dyDescent="0.25">
      <c r="A203"/>
      <c r="B203"/>
      <c r="C203"/>
      <c r="D203"/>
      <c r="E203"/>
      <c r="F203"/>
      <c r="G203"/>
      <c r="H203"/>
      <c r="I203"/>
    </row>
    <row r="204" spans="1:9" x14ac:dyDescent="0.25">
      <c r="A204"/>
      <c r="B204"/>
      <c r="C204"/>
      <c r="D204"/>
      <c r="E204"/>
      <c r="F204"/>
      <c r="G204"/>
      <c r="H204"/>
      <c r="I204"/>
    </row>
    <row r="205" spans="1:9" x14ac:dyDescent="0.25">
      <c r="A205"/>
      <c r="B205"/>
      <c r="C205"/>
      <c r="D205"/>
      <c r="E205"/>
      <c r="F205"/>
      <c r="G205"/>
      <c r="H205"/>
      <c r="I205"/>
    </row>
    <row r="206" spans="1:9" x14ac:dyDescent="0.25">
      <c r="A206"/>
      <c r="B206"/>
      <c r="C206"/>
      <c r="D206"/>
      <c r="E206"/>
      <c r="F206"/>
      <c r="G206"/>
      <c r="H206"/>
      <c r="I206"/>
    </row>
    <row r="207" spans="1:9" x14ac:dyDescent="0.25">
      <c r="A207"/>
      <c r="B207"/>
      <c r="C207"/>
      <c r="D207"/>
      <c r="E207"/>
      <c r="F207"/>
      <c r="G207"/>
      <c r="H207"/>
      <c r="I207"/>
    </row>
    <row r="208" spans="1:9" x14ac:dyDescent="0.25">
      <c r="A208"/>
      <c r="B208"/>
      <c r="C208"/>
      <c r="D208"/>
      <c r="E208"/>
      <c r="F208"/>
      <c r="G208"/>
      <c r="H208"/>
      <c r="I208"/>
    </row>
    <row r="209" spans="1:9" x14ac:dyDescent="0.25">
      <c r="A209"/>
      <c r="B209"/>
      <c r="C209"/>
      <c r="D209"/>
      <c r="E209"/>
      <c r="F209"/>
      <c r="G209"/>
      <c r="H209"/>
      <c r="I209"/>
    </row>
    <row r="210" spans="1:9" x14ac:dyDescent="0.25">
      <c r="A210"/>
      <c r="B210"/>
      <c r="C210"/>
      <c r="D210"/>
      <c r="E210"/>
      <c r="F210"/>
      <c r="G210"/>
      <c r="H210"/>
      <c r="I210"/>
    </row>
    <row r="211" spans="1:9" x14ac:dyDescent="0.25">
      <c r="A211"/>
      <c r="B211"/>
      <c r="C211"/>
      <c r="D211"/>
      <c r="E211"/>
      <c r="F211"/>
      <c r="G211"/>
      <c r="H211"/>
      <c r="I211"/>
    </row>
    <row r="212" spans="1:9" x14ac:dyDescent="0.25">
      <c r="A212"/>
      <c r="B212"/>
      <c r="C212"/>
      <c r="D212"/>
      <c r="E212"/>
      <c r="F212"/>
      <c r="G212"/>
      <c r="H212"/>
      <c r="I212"/>
    </row>
    <row r="213" spans="1:9" x14ac:dyDescent="0.25">
      <c r="A213"/>
      <c r="B213"/>
      <c r="C213"/>
      <c r="D213"/>
      <c r="E213"/>
      <c r="F213"/>
      <c r="G213"/>
      <c r="H213"/>
      <c r="I213"/>
    </row>
    <row r="214" spans="1:9" x14ac:dyDescent="0.25">
      <c r="A214"/>
      <c r="B214"/>
      <c r="C214"/>
      <c r="D214"/>
      <c r="E214"/>
      <c r="F214"/>
      <c r="G214"/>
      <c r="H214"/>
      <c r="I214"/>
    </row>
    <row r="215" spans="1:9" x14ac:dyDescent="0.25">
      <c r="A215"/>
      <c r="B215"/>
      <c r="C215"/>
      <c r="D215"/>
      <c r="E215"/>
      <c r="F215"/>
      <c r="G215"/>
      <c r="H215"/>
      <c r="I215"/>
    </row>
    <row r="216" spans="1:9" x14ac:dyDescent="0.25">
      <c r="A216"/>
      <c r="B216"/>
      <c r="C216"/>
      <c r="D216"/>
      <c r="E216"/>
      <c r="F216"/>
      <c r="G216"/>
      <c r="H216"/>
      <c r="I216"/>
    </row>
    <row r="217" spans="1:9" x14ac:dyDescent="0.25">
      <c r="A217"/>
      <c r="B217"/>
      <c r="C217"/>
      <c r="D217"/>
      <c r="E217"/>
      <c r="F217"/>
      <c r="G217"/>
      <c r="H217"/>
      <c r="I217"/>
    </row>
    <row r="218" spans="1:9" x14ac:dyDescent="0.25">
      <c r="A218"/>
      <c r="B218"/>
      <c r="C218"/>
      <c r="D218"/>
      <c r="E218"/>
      <c r="F218"/>
      <c r="G218"/>
      <c r="H218"/>
      <c r="I218"/>
    </row>
    <row r="219" spans="1:9" x14ac:dyDescent="0.25">
      <c r="A219"/>
      <c r="B219"/>
      <c r="C219"/>
      <c r="D219"/>
      <c r="E219"/>
      <c r="F219"/>
      <c r="G219"/>
      <c r="H219"/>
      <c r="I219"/>
    </row>
    <row r="220" spans="1:9" x14ac:dyDescent="0.25">
      <c r="A220"/>
      <c r="B220"/>
      <c r="C220"/>
      <c r="D220"/>
      <c r="E220"/>
      <c r="F220"/>
      <c r="G220"/>
      <c r="H220"/>
      <c r="I220"/>
    </row>
    <row r="221" spans="1:9" x14ac:dyDescent="0.25">
      <c r="A221"/>
      <c r="B221"/>
      <c r="C221"/>
      <c r="D221"/>
      <c r="E221"/>
      <c r="F221"/>
      <c r="G221"/>
      <c r="H221"/>
      <c r="I221"/>
    </row>
    <row r="222" spans="1:9" x14ac:dyDescent="0.25">
      <c r="A222"/>
      <c r="B222"/>
      <c r="C222"/>
      <c r="D222"/>
      <c r="E222"/>
      <c r="F222"/>
      <c r="G222"/>
      <c r="H222"/>
      <c r="I222"/>
    </row>
    <row r="223" spans="1:9" x14ac:dyDescent="0.25">
      <c r="A223"/>
      <c r="B223"/>
      <c r="C223"/>
      <c r="D223"/>
      <c r="E223"/>
      <c r="F223"/>
      <c r="G223"/>
      <c r="H223"/>
      <c r="I223"/>
    </row>
    <row r="224" spans="1:9" x14ac:dyDescent="0.25">
      <c r="A224"/>
      <c r="B224"/>
      <c r="C224"/>
      <c r="D224"/>
      <c r="E224"/>
      <c r="F224"/>
      <c r="G224"/>
      <c r="H224"/>
      <c r="I224"/>
    </row>
    <row r="225" spans="1:9" x14ac:dyDescent="0.25">
      <c r="A225"/>
      <c r="B225"/>
      <c r="C225"/>
      <c r="D225"/>
      <c r="E225"/>
      <c r="F225"/>
      <c r="G225"/>
      <c r="H225"/>
      <c r="I225"/>
    </row>
    <row r="226" spans="1:9" x14ac:dyDescent="0.25">
      <c r="A226"/>
      <c r="B226"/>
      <c r="C226"/>
      <c r="D226"/>
      <c r="E226"/>
      <c r="F226"/>
      <c r="G226"/>
      <c r="H226"/>
      <c r="I226"/>
    </row>
    <row r="227" spans="1:9" x14ac:dyDescent="0.25">
      <c r="A227"/>
      <c r="B227"/>
      <c r="C227"/>
      <c r="D227"/>
      <c r="E227"/>
      <c r="F227"/>
      <c r="G227"/>
      <c r="H227"/>
      <c r="I227"/>
    </row>
    <row r="228" spans="1:9" x14ac:dyDescent="0.25">
      <c r="A228"/>
      <c r="B228"/>
      <c r="C228"/>
      <c r="D228"/>
      <c r="E228"/>
      <c r="F228"/>
      <c r="G228"/>
      <c r="H228"/>
      <c r="I228"/>
    </row>
    <row r="229" spans="1:9" x14ac:dyDescent="0.25">
      <c r="A229"/>
      <c r="B229"/>
      <c r="C229"/>
      <c r="D229"/>
      <c r="E229"/>
      <c r="F229"/>
      <c r="G229"/>
      <c r="H229"/>
      <c r="I229"/>
    </row>
    <row r="230" spans="1:9" x14ac:dyDescent="0.25">
      <c r="A230"/>
      <c r="B230"/>
      <c r="C230"/>
      <c r="D230"/>
      <c r="E230"/>
      <c r="F230"/>
      <c r="G230"/>
      <c r="H230"/>
      <c r="I230"/>
    </row>
    <row r="231" spans="1:9" x14ac:dyDescent="0.25">
      <c r="A231"/>
      <c r="B231"/>
      <c r="C231"/>
      <c r="D231"/>
      <c r="E231"/>
      <c r="F231"/>
      <c r="G231"/>
      <c r="H231"/>
      <c r="I231"/>
    </row>
    <row r="232" spans="1:9" x14ac:dyDescent="0.25">
      <c r="A232"/>
      <c r="B232"/>
      <c r="C232"/>
      <c r="D232"/>
      <c r="E232"/>
      <c r="F232"/>
      <c r="G232"/>
      <c r="H232"/>
      <c r="I232"/>
    </row>
    <row r="233" spans="1:9" x14ac:dyDescent="0.25">
      <c r="A233"/>
      <c r="B233"/>
      <c r="C233"/>
      <c r="D233"/>
      <c r="E233"/>
      <c r="F233"/>
      <c r="G233"/>
      <c r="H233"/>
      <c r="I233"/>
    </row>
    <row r="234" spans="1:9" x14ac:dyDescent="0.25">
      <c r="A234"/>
      <c r="B234"/>
      <c r="C234"/>
      <c r="D234"/>
      <c r="E234"/>
      <c r="F234"/>
      <c r="G234"/>
      <c r="H234"/>
      <c r="I234"/>
    </row>
    <row r="235" spans="1:9" x14ac:dyDescent="0.25">
      <c r="A235"/>
      <c r="B235"/>
      <c r="C235"/>
      <c r="D235"/>
      <c r="E235"/>
      <c r="F235"/>
      <c r="G235"/>
      <c r="H235"/>
      <c r="I235"/>
    </row>
    <row r="236" spans="1:9" x14ac:dyDescent="0.25">
      <c r="A236"/>
      <c r="B236"/>
      <c r="C236"/>
      <c r="D236"/>
      <c r="E236"/>
      <c r="F236"/>
      <c r="G236"/>
      <c r="H236"/>
      <c r="I236"/>
    </row>
    <row r="237" spans="1:9" x14ac:dyDescent="0.25">
      <c r="A237"/>
      <c r="B237"/>
      <c r="C237"/>
      <c r="D237"/>
      <c r="E237"/>
      <c r="F237"/>
      <c r="G237"/>
      <c r="H237"/>
      <c r="I237"/>
    </row>
    <row r="238" spans="1:9" x14ac:dyDescent="0.25">
      <c r="A238"/>
      <c r="B238"/>
      <c r="C238"/>
      <c r="D238"/>
      <c r="E238"/>
      <c r="F238"/>
      <c r="G238"/>
      <c r="H238"/>
      <c r="I238"/>
    </row>
    <row r="239" spans="1:9" x14ac:dyDescent="0.25">
      <c r="A239"/>
      <c r="B239"/>
      <c r="C239"/>
      <c r="D239"/>
      <c r="E239"/>
      <c r="F239"/>
      <c r="G239"/>
      <c r="H239"/>
      <c r="I239"/>
    </row>
    <row r="240" spans="1:9" x14ac:dyDescent="0.25">
      <c r="A240"/>
      <c r="B240"/>
      <c r="C240"/>
      <c r="D240"/>
      <c r="E240"/>
      <c r="F240"/>
      <c r="G240"/>
      <c r="H240"/>
      <c r="I240"/>
    </row>
    <row r="241" spans="1:9" x14ac:dyDescent="0.25">
      <c r="A241"/>
      <c r="B241"/>
      <c r="C241"/>
      <c r="D241"/>
      <c r="E241"/>
      <c r="F241"/>
      <c r="G241"/>
      <c r="H241"/>
      <c r="I241"/>
    </row>
    <row r="242" spans="1:9" x14ac:dyDescent="0.25">
      <c r="A242"/>
      <c r="B242"/>
      <c r="C242"/>
      <c r="D242"/>
      <c r="E242"/>
      <c r="F242"/>
      <c r="G242"/>
      <c r="H242"/>
      <c r="I242"/>
    </row>
    <row r="243" spans="1:9" x14ac:dyDescent="0.25">
      <c r="A243"/>
      <c r="B243"/>
      <c r="C243"/>
      <c r="D243"/>
      <c r="E243"/>
      <c r="F243"/>
      <c r="G243"/>
      <c r="H243"/>
      <c r="I243"/>
    </row>
    <row r="244" spans="1:9" x14ac:dyDescent="0.25">
      <c r="A244"/>
      <c r="B244"/>
      <c r="C244"/>
      <c r="D244"/>
      <c r="E244"/>
      <c r="F244"/>
      <c r="G244"/>
      <c r="H244"/>
      <c r="I244"/>
    </row>
    <row r="245" spans="1:9" x14ac:dyDescent="0.25">
      <c r="A245"/>
      <c r="B245"/>
      <c r="C245"/>
      <c r="D245"/>
      <c r="E245"/>
      <c r="F245"/>
      <c r="G245"/>
      <c r="H245"/>
      <c r="I245"/>
    </row>
    <row r="246" spans="1:9" x14ac:dyDescent="0.25">
      <c r="A246"/>
      <c r="B246"/>
      <c r="C246"/>
      <c r="D246"/>
      <c r="E246"/>
      <c r="F246"/>
      <c r="G246"/>
      <c r="H246"/>
      <c r="I246"/>
    </row>
    <row r="247" spans="1:9" x14ac:dyDescent="0.25">
      <c r="A247"/>
      <c r="B247"/>
      <c r="C247"/>
      <c r="D247"/>
      <c r="E247"/>
      <c r="F247"/>
      <c r="G247"/>
      <c r="H247"/>
      <c r="I247"/>
    </row>
    <row r="248" spans="1:9" x14ac:dyDescent="0.25">
      <c r="A248"/>
      <c r="B248"/>
      <c r="C248"/>
      <c r="D248"/>
      <c r="E248"/>
      <c r="F248"/>
      <c r="G248"/>
      <c r="H248"/>
      <c r="I248"/>
    </row>
    <row r="249" spans="1:9" x14ac:dyDescent="0.25">
      <c r="A249"/>
      <c r="B249"/>
      <c r="C249"/>
      <c r="D249"/>
      <c r="E249"/>
      <c r="F249"/>
      <c r="G249"/>
      <c r="H249"/>
      <c r="I249"/>
    </row>
    <row r="250" spans="1:9" x14ac:dyDescent="0.25">
      <c r="A250"/>
      <c r="B250"/>
      <c r="C250"/>
      <c r="D250"/>
      <c r="E250"/>
      <c r="F250"/>
      <c r="G250"/>
      <c r="H250"/>
      <c r="I250"/>
    </row>
    <row r="251" spans="1:9" x14ac:dyDescent="0.25">
      <c r="A251"/>
      <c r="B251"/>
      <c r="C251"/>
      <c r="D251"/>
      <c r="E251"/>
      <c r="F251"/>
      <c r="G251"/>
      <c r="H251"/>
      <c r="I251"/>
    </row>
    <row r="252" spans="1:9" x14ac:dyDescent="0.25">
      <c r="A252"/>
      <c r="B252"/>
      <c r="C252"/>
      <c r="D252"/>
      <c r="E252"/>
      <c r="F252"/>
      <c r="G252"/>
      <c r="H252"/>
      <c r="I252"/>
    </row>
    <row r="253" spans="1:9" x14ac:dyDescent="0.25">
      <c r="A253"/>
      <c r="B253"/>
      <c r="C253"/>
      <c r="D253"/>
      <c r="E253"/>
      <c r="F253"/>
      <c r="G253"/>
      <c r="H253"/>
      <c r="I253"/>
    </row>
    <row r="254" spans="1:9" x14ac:dyDescent="0.25">
      <c r="A254"/>
      <c r="B254"/>
      <c r="C254"/>
      <c r="D254"/>
      <c r="E254"/>
      <c r="F254"/>
      <c r="G254"/>
      <c r="H254"/>
      <c r="I254"/>
    </row>
    <row r="255" spans="1:9" x14ac:dyDescent="0.25">
      <c r="A255"/>
      <c r="B255"/>
      <c r="C255"/>
      <c r="D255"/>
      <c r="E255"/>
      <c r="F255"/>
      <c r="G255"/>
      <c r="H255"/>
      <c r="I255"/>
    </row>
    <row r="256" spans="1:9" x14ac:dyDescent="0.25">
      <c r="A256"/>
      <c r="B256"/>
      <c r="C256"/>
      <c r="D256"/>
      <c r="E256"/>
      <c r="F256"/>
      <c r="G256"/>
      <c r="H256"/>
      <c r="I256"/>
    </row>
    <row r="257" spans="1:9" x14ac:dyDescent="0.25">
      <c r="A257"/>
      <c r="B257"/>
      <c r="C257"/>
      <c r="D257"/>
      <c r="E257"/>
      <c r="F257"/>
      <c r="G257"/>
      <c r="H257"/>
      <c r="I257"/>
    </row>
    <row r="258" spans="1:9" x14ac:dyDescent="0.25">
      <c r="A258"/>
      <c r="B258"/>
      <c r="C258"/>
      <c r="D258"/>
      <c r="E258"/>
      <c r="F258"/>
      <c r="G258"/>
      <c r="H258"/>
      <c r="I258"/>
    </row>
    <row r="259" spans="1:9" x14ac:dyDescent="0.25">
      <c r="A259"/>
      <c r="B259"/>
      <c r="C259"/>
      <c r="D259"/>
      <c r="E259"/>
      <c r="F259"/>
      <c r="G259"/>
      <c r="H259"/>
      <c r="I259"/>
    </row>
    <row r="260" spans="1:9" x14ac:dyDescent="0.25">
      <c r="A260"/>
      <c r="B260"/>
      <c r="C260"/>
      <c r="D260"/>
      <c r="E260"/>
      <c r="F260"/>
      <c r="G260"/>
      <c r="H260"/>
      <c r="I260"/>
    </row>
    <row r="261" spans="1:9" x14ac:dyDescent="0.25">
      <c r="A261"/>
      <c r="B261"/>
      <c r="C261"/>
      <c r="D261"/>
      <c r="E261"/>
      <c r="F261"/>
      <c r="G261"/>
      <c r="H261"/>
      <c r="I261"/>
    </row>
    <row r="262" spans="1:9" x14ac:dyDescent="0.25">
      <c r="A262"/>
      <c r="B262"/>
      <c r="C262"/>
      <c r="D262"/>
      <c r="E262"/>
      <c r="F262"/>
      <c r="G262"/>
      <c r="H262"/>
      <c r="I262"/>
    </row>
    <row r="263" spans="1:9" x14ac:dyDescent="0.25">
      <c r="A263"/>
      <c r="B263"/>
      <c r="C263"/>
      <c r="D263"/>
      <c r="E263"/>
      <c r="F263"/>
      <c r="G263"/>
      <c r="H263"/>
      <c r="I263"/>
    </row>
    <row r="264" spans="1:9" x14ac:dyDescent="0.25">
      <c r="A264"/>
      <c r="B264"/>
      <c r="C264"/>
      <c r="D264"/>
      <c r="E264"/>
      <c r="F264"/>
      <c r="G264"/>
      <c r="H264"/>
      <c r="I264"/>
    </row>
    <row r="265" spans="1:9" x14ac:dyDescent="0.25">
      <c r="A265"/>
      <c r="B265"/>
      <c r="C265"/>
      <c r="D265"/>
      <c r="E265"/>
      <c r="F265"/>
      <c r="G265"/>
      <c r="H265"/>
      <c r="I265"/>
    </row>
    <row r="266" spans="1:9" x14ac:dyDescent="0.25">
      <c r="A266"/>
      <c r="B266"/>
      <c r="C266"/>
      <c r="D266"/>
      <c r="E266"/>
      <c r="F266"/>
      <c r="G266"/>
      <c r="H266"/>
      <c r="I266"/>
    </row>
    <row r="267" spans="1:9" x14ac:dyDescent="0.25">
      <c r="A267"/>
      <c r="B267"/>
      <c r="C267"/>
      <c r="D267"/>
      <c r="E267"/>
      <c r="F267"/>
      <c r="G267"/>
      <c r="H267"/>
      <c r="I267"/>
    </row>
    <row r="268" spans="1:9" x14ac:dyDescent="0.25">
      <c r="A268"/>
      <c r="B268"/>
      <c r="C268"/>
      <c r="D268"/>
      <c r="E268"/>
      <c r="F268"/>
      <c r="G268"/>
      <c r="H268"/>
      <c r="I268"/>
    </row>
    <row r="269" spans="1:9" x14ac:dyDescent="0.25">
      <c r="A269"/>
      <c r="B269"/>
      <c r="C269"/>
      <c r="D269"/>
      <c r="E269"/>
      <c r="F269"/>
      <c r="G269"/>
      <c r="H269"/>
      <c r="I269"/>
    </row>
    <row r="270" spans="1:9" x14ac:dyDescent="0.25">
      <c r="A270"/>
      <c r="B270"/>
      <c r="C270"/>
      <c r="D270"/>
      <c r="E270"/>
      <c r="F270"/>
      <c r="G270"/>
      <c r="H270"/>
      <c r="I270"/>
    </row>
    <row r="271" spans="1:9" x14ac:dyDescent="0.25">
      <c r="A271"/>
      <c r="B271"/>
      <c r="C271"/>
      <c r="D271"/>
      <c r="E271"/>
      <c r="F271"/>
      <c r="G271"/>
      <c r="H271"/>
      <c r="I271"/>
    </row>
    <row r="272" spans="1:9" x14ac:dyDescent="0.25">
      <c r="A272"/>
      <c r="B272"/>
      <c r="C272"/>
      <c r="D272"/>
      <c r="E272"/>
      <c r="F272"/>
      <c r="G272"/>
      <c r="H272"/>
      <c r="I272"/>
    </row>
    <row r="273" spans="1:9" x14ac:dyDescent="0.25">
      <c r="A273"/>
      <c r="B273"/>
      <c r="C273"/>
      <c r="D273"/>
      <c r="E273"/>
      <c r="F273"/>
      <c r="G273"/>
      <c r="H273"/>
      <c r="I273"/>
    </row>
    <row r="274" spans="1:9" x14ac:dyDescent="0.25">
      <c r="A274"/>
      <c r="B274"/>
      <c r="C274"/>
      <c r="D274"/>
      <c r="E274"/>
      <c r="F274"/>
      <c r="G274"/>
      <c r="H274"/>
      <c r="I274"/>
    </row>
    <row r="275" spans="1:9" x14ac:dyDescent="0.25">
      <c r="A275"/>
      <c r="B275"/>
      <c r="C275"/>
      <c r="D275"/>
      <c r="E275"/>
      <c r="F275"/>
      <c r="G275"/>
      <c r="H275"/>
      <c r="I275"/>
    </row>
    <row r="276" spans="1:9" x14ac:dyDescent="0.25">
      <c r="A276"/>
      <c r="B276"/>
      <c r="C276"/>
      <c r="D276"/>
      <c r="E276"/>
      <c r="F276"/>
      <c r="G276"/>
      <c r="H276"/>
      <c r="I276"/>
    </row>
    <row r="277" spans="1:9" x14ac:dyDescent="0.25">
      <c r="A277"/>
      <c r="B277"/>
      <c r="C277"/>
      <c r="D277"/>
      <c r="E277"/>
      <c r="F277"/>
      <c r="G277"/>
      <c r="H277"/>
      <c r="I277"/>
    </row>
    <row r="278" spans="1:9" x14ac:dyDescent="0.25">
      <c r="A278"/>
      <c r="B278"/>
      <c r="C278"/>
      <c r="D278"/>
      <c r="E278"/>
      <c r="F278"/>
      <c r="G278"/>
      <c r="H278"/>
      <c r="I278"/>
    </row>
    <row r="279" spans="1:9" x14ac:dyDescent="0.25">
      <c r="A279"/>
      <c r="B279"/>
      <c r="C279"/>
      <c r="D279"/>
      <c r="E279"/>
      <c r="F279"/>
      <c r="G279"/>
      <c r="H279"/>
      <c r="I279"/>
    </row>
    <row r="280" spans="1:9" x14ac:dyDescent="0.25">
      <c r="A280"/>
      <c r="B280"/>
      <c r="C280"/>
      <c r="D280"/>
      <c r="E280"/>
      <c r="F280"/>
      <c r="G280"/>
      <c r="H280"/>
      <c r="I280"/>
    </row>
    <row r="281" spans="1:9" x14ac:dyDescent="0.25">
      <c r="A281"/>
      <c r="B281"/>
      <c r="C281"/>
      <c r="D281"/>
      <c r="E281"/>
      <c r="F281"/>
      <c r="G281"/>
      <c r="H281"/>
      <c r="I281"/>
    </row>
    <row r="282" spans="1:9" x14ac:dyDescent="0.25">
      <c r="A282"/>
      <c r="B282"/>
      <c r="C282"/>
      <c r="D282"/>
      <c r="E282"/>
      <c r="F282"/>
      <c r="G282"/>
      <c r="H282"/>
      <c r="I282"/>
    </row>
    <row r="283" spans="1:9" x14ac:dyDescent="0.25">
      <c r="A283"/>
      <c r="B283"/>
      <c r="C283"/>
      <c r="D283"/>
      <c r="E283"/>
      <c r="F283"/>
      <c r="G283"/>
      <c r="H283"/>
      <c r="I283"/>
    </row>
    <row r="284" spans="1:9" x14ac:dyDescent="0.25">
      <c r="A284"/>
      <c r="B284"/>
      <c r="C284"/>
      <c r="D284"/>
      <c r="E284"/>
      <c r="F284"/>
      <c r="G284"/>
      <c r="H284"/>
      <c r="I284"/>
    </row>
    <row r="285" spans="1:9" x14ac:dyDescent="0.25">
      <c r="A285"/>
      <c r="B285"/>
      <c r="C285"/>
      <c r="D285"/>
      <c r="E285"/>
      <c r="F285"/>
      <c r="G285"/>
      <c r="H285"/>
      <c r="I285"/>
    </row>
    <row r="286" spans="1:9" x14ac:dyDescent="0.25">
      <c r="A286"/>
      <c r="B286"/>
      <c r="C286"/>
      <c r="D286"/>
      <c r="E286"/>
      <c r="F286"/>
      <c r="G286"/>
      <c r="H286"/>
      <c r="I286"/>
    </row>
    <row r="287" spans="1:9" x14ac:dyDescent="0.25">
      <c r="A287"/>
      <c r="B287"/>
      <c r="C287"/>
      <c r="D287"/>
      <c r="E287"/>
      <c r="F287"/>
      <c r="G287"/>
      <c r="H287"/>
      <c r="I287"/>
    </row>
    <row r="288" spans="1:9" x14ac:dyDescent="0.25">
      <c r="A288"/>
      <c r="B288"/>
      <c r="C288"/>
      <c r="D288"/>
      <c r="E288"/>
      <c r="F288"/>
      <c r="G288"/>
      <c r="H288"/>
      <c r="I288"/>
    </row>
    <row r="289" spans="1:9" x14ac:dyDescent="0.25">
      <c r="A289"/>
      <c r="B289"/>
      <c r="C289"/>
      <c r="D289"/>
      <c r="E289"/>
      <c r="F289"/>
      <c r="G289"/>
      <c r="H289"/>
      <c r="I289"/>
    </row>
    <row r="290" spans="1:9" x14ac:dyDescent="0.25">
      <c r="A290"/>
      <c r="B290"/>
      <c r="C290"/>
      <c r="D290"/>
      <c r="E290"/>
      <c r="F290"/>
      <c r="G290"/>
      <c r="H290"/>
      <c r="I290"/>
    </row>
    <row r="291" spans="1:9" x14ac:dyDescent="0.25">
      <c r="A291"/>
      <c r="B291"/>
      <c r="C291"/>
      <c r="D291"/>
      <c r="E291"/>
      <c r="F291"/>
      <c r="G291"/>
      <c r="H291"/>
      <c r="I291"/>
    </row>
    <row r="292" spans="1:9" x14ac:dyDescent="0.25">
      <c r="A292"/>
      <c r="B292"/>
      <c r="C292"/>
      <c r="D292"/>
      <c r="E292"/>
      <c r="F292"/>
      <c r="G292"/>
      <c r="H292"/>
      <c r="I292"/>
    </row>
    <row r="293" spans="1:9" x14ac:dyDescent="0.25">
      <c r="A293"/>
      <c r="B293"/>
      <c r="C293"/>
      <c r="D293"/>
      <c r="E293"/>
      <c r="F293"/>
      <c r="G293"/>
      <c r="H293"/>
      <c r="I293"/>
    </row>
    <row r="294" spans="1:9" x14ac:dyDescent="0.25">
      <c r="A294"/>
      <c r="B294"/>
      <c r="C294"/>
      <c r="D294"/>
      <c r="E294"/>
      <c r="F294"/>
      <c r="G294"/>
      <c r="H294"/>
      <c r="I294"/>
    </row>
    <row r="295" spans="1:9" x14ac:dyDescent="0.25">
      <c r="A295"/>
      <c r="B295"/>
      <c r="C295"/>
      <c r="D295"/>
      <c r="E295"/>
      <c r="F295"/>
      <c r="G295"/>
      <c r="H295"/>
      <c r="I295"/>
    </row>
    <row r="296" spans="1:9" x14ac:dyDescent="0.25">
      <c r="A296"/>
      <c r="B296"/>
      <c r="C296"/>
      <c r="D296"/>
      <c r="E296"/>
      <c r="F296"/>
      <c r="G296"/>
      <c r="H296"/>
      <c r="I296"/>
    </row>
    <row r="297" spans="1:9" x14ac:dyDescent="0.25">
      <c r="A297"/>
      <c r="B297"/>
      <c r="C297"/>
      <c r="D297"/>
      <c r="E297"/>
      <c r="F297"/>
      <c r="G297"/>
      <c r="H297"/>
      <c r="I297"/>
    </row>
    <row r="298" spans="1:9" x14ac:dyDescent="0.25">
      <c r="A298"/>
      <c r="B298"/>
      <c r="C298"/>
      <c r="D298"/>
      <c r="E298"/>
      <c r="F298"/>
      <c r="G298"/>
      <c r="H298"/>
      <c r="I298"/>
    </row>
    <row r="299" spans="1:9" x14ac:dyDescent="0.25">
      <c r="A299"/>
      <c r="B299"/>
      <c r="C299"/>
      <c r="D299"/>
      <c r="E299"/>
      <c r="F299"/>
      <c r="G299"/>
      <c r="H299"/>
      <c r="I299"/>
    </row>
    <row r="300" spans="1:9" x14ac:dyDescent="0.25">
      <c r="A300"/>
      <c r="B300"/>
      <c r="C300"/>
      <c r="D300"/>
      <c r="E300"/>
      <c r="F300"/>
      <c r="G300"/>
      <c r="H300"/>
      <c r="I300"/>
    </row>
    <row r="301" spans="1:9" x14ac:dyDescent="0.25">
      <c r="A301"/>
      <c r="B301"/>
      <c r="C301"/>
      <c r="D301"/>
      <c r="E301"/>
      <c r="F301"/>
      <c r="G301"/>
      <c r="H301"/>
      <c r="I301"/>
    </row>
    <row r="302" spans="1:9" x14ac:dyDescent="0.25">
      <c r="A302"/>
      <c r="B302"/>
      <c r="C302"/>
      <c r="D302"/>
      <c r="E302"/>
      <c r="F302"/>
      <c r="G302"/>
      <c r="H302"/>
      <c r="I302"/>
    </row>
    <row r="303" spans="1:9" x14ac:dyDescent="0.25">
      <c r="A303"/>
      <c r="B303"/>
      <c r="C303"/>
      <c r="D303"/>
      <c r="E303"/>
      <c r="F303"/>
      <c r="G303"/>
      <c r="H303"/>
      <c r="I303"/>
    </row>
    <row r="304" spans="1:9" x14ac:dyDescent="0.25">
      <c r="A304"/>
      <c r="B304"/>
      <c r="C304"/>
      <c r="D304"/>
      <c r="E304"/>
      <c r="F304"/>
      <c r="G304"/>
      <c r="H304"/>
      <c r="I304"/>
    </row>
    <row r="305" spans="1:9" x14ac:dyDescent="0.25">
      <c r="A305"/>
      <c r="B305"/>
      <c r="C305"/>
      <c r="D305"/>
      <c r="E305"/>
      <c r="F305"/>
      <c r="G305"/>
      <c r="H305"/>
      <c r="I305"/>
    </row>
    <row r="306" spans="1:9" x14ac:dyDescent="0.25">
      <c r="A306"/>
      <c r="B306"/>
      <c r="C306"/>
      <c r="D306"/>
      <c r="E306"/>
      <c r="F306"/>
      <c r="G306"/>
      <c r="H306"/>
      <c r="I306"/>
    </row>
    <row r="307" spans="1:9" x14ac:dyDescent="0.25">
      <c r="A307"/>
      <c r="B307"/>
      <c r="C307"/>
      <c r="D307"/>
      <c r="E307"/>
      <c r="F307"/>
      <c r="G307"/>
      <c r="H307"/>
      <c r="I307"/>
    </row>
    <row r="308" spans="1:9" x14ac:dyDescent="0.25">
      <c r="A308"/>
      <c r="B308"/>
      <c r="C308"/>
      <c r="D308"/>
      <c r="E308"/>
      <c r="F308"/>
      <c r="G308"/>
      <c r="H308"/>
      <c r="I308"/>
    </row>
    <row r="309" spans="1:9" x14ac:dyDescent="0.25">
      <c r="A309"/>
      <c r="B309"/>
      <c r="C309"/>
      <c r="D309"/>
      <c r="E309"/>
      <c r="F309"/>
      <c r="G309"/>
      <c r="H309"/>
      <c r="I309"/>
    </row>
    <row r="310" spans="1:9" x14ac:dyDescent="0.25">
      <c r="A310"/>
      <c r="B310"/>
      <c r="C310"/>
      <c r="D310"/>
      <c r="E310"/>
      <c r="F310"/>
      <c r="G310"/>
      <c r="H310"/>
      <c r="I310"/>
    </row>
    <row r="311" spans="1:9" x14ac:dyDescent="0.25">
      <c r="A311"/>
      <c r="B311"/>
      <c r="C311"/>
      <c r="D311"/>
      <c r="E311"/>
      <c r="F311"/>
      <c r="G311"/>
      <c r="H311"/>
      <c r="I311"/>
    </row>
    <row r="312" spans="1:9" x14ac:dyDescent="0.25">
      <c r="A312"/>
      <c r="B312"/>
      <c r="C312"/>
      <c r="D312"/>
      <c r="E312"/>
      <c r="F312"/>
      <c r="G312"/>
      <c r="H312"/>
      <c r="I312"/>
    </row>
    <row r="313" spans="1:9" x14ac:dyDescent="0.25">
      <c r="A313"/>
      <c r="B313"/>
      <c r="C313"/>
      <c r="D313"/>
      <c r="E313"/>
      <c r="F313"/>
      <c r="G313"/>
      <c r="H313"/>
      <c r="I313"/>
    </row>
    <row r="314" spans="1:9" x14ac:dyDescent="0.25">
      <c r="A314"/>
      <c r="B314"/>
      <c r="C314"/>
      <c r="D314"/>
      <c r="E314"/>
      <c r="F314"/>
      <c r="G314"/>
      <c r="H314"/>
      <c r="I314"/>
    </row>
    <row r="315" spans="1:9" x14ac:dyDescent="0.25">
      <c r="A315"/>
      <c r="B315"/>
      <c r="C315"/>
      <c r="D315"/>
      <c r="E315"/>
      <c r="F315"/>
      <c r="G315"/>
      <c r="H315"/>
      <c r="I315"/>
    </row>
    <row r="316" spans="1:9" x14ac:dyDescent="0.25">
      <c r="A316"/>
      <c r="B316"/>
      <c r="C316"/>
      <c r="D316"/>
      <c r="E316"/>
      <c r="F316"/>
      <c r="G316"/>
      <c r="H316"/>
      <c r="I316"/>
    </row>
    <row r="317" spans="1:9" x14ac:dyDescent="0.25">
      <c r="A317"/>
      <c r="B317"/>
      <c r="C317"/>
      <c r="D317"/>
      <c r="E317"/>
      <c r="F317"/>
      <c r="G317"/>
      <c r="H317"/>
      <c r="I317"/>
    </row>
    <row r="318" spans="1:9" x14ac:dyDescent="0.25">
      <c r="A318"/>
      <c r="B318"/>
      <c r="C318"/>
      <c r="D318"/>
      <c r="E318"/>
      <c r="F318"/>
      <c r="G318"/>
      <c r="H318"/>
      <c r="I318"/>
    </row>
    <row r="319" spans="1:9" x14ac:dyDescent="0.25">
      <c r="A319"/>
      <c r="B319"/>
      <c r="C319"/>
      <c r="D319"/>
      <c r="E319"/>
      <c r="F319"/>
      <c r="G319"/>
      <c r="H319"/>
      <c r="I319"/>
    </row>
    <row r="320" spans="1:9" x14ac:dyDescent="0.25">
      <c r="A320"/>
      <c r="B320"/>
      <c r="C320"/>
      <c r="D320"/>
      <c r="E320"/>
      <c r="F320"/>
      <c r="G320"/>
      <c r="H320"/>
      <c r="I320"/>
    </row>
    <row r="321" spans="1:9" x14ac:dyDescent="0.25">
      <c r="A321"/>
      <c r="B321"/>
      <c r="C321"/>
      <c r="D321"/>
      <c r="E321"/>
      <c r="F321"/>
      <c r="G321"/>
      <c r="H321"/>
      <c r="I321"/>
    </row>
    <row r="322" spans="1:9" x14ac:dyDescent="0.25">
      <c r="A322"/>
      <c r="B322"/>
      <c r="C322"/>
      <c r="D322"/>
      <c r="E322"/>
      <c r="F322"/>
      <c r="G322"/>
      <c r="H322"/>
      <c r="I322"/>
    </row>
    <row r="323" spans="1:9" x14ac:dyDescent="0.25">
      <c r="A323"/>
      <c r="B323"/>
      <c r="C323"/>
      <c r="D323"/>
      <c r="E323"/>
      <c r="F323"/>
      <c r="G323"/>
      <c r="H323"/>
      <c r="I323"/>
    </row>
    <row r="324" spans="1:9" x14ac:dyDescent="0.25">
      <c r="A324"/>
      <c r="B324"/>
      <c r="C324"/>
      <c r="D324"/>
      <c r="E324"/>
      <c r="F324"/>
      <c r="G324"/>
      <c r="H324"/>
      <c r="I324"/>
    </row>
    <row r="325" spans="1:9" x14ac:dyDescent="0.25">
      <c r="A325"/>
      <c r="B325"/>
      <c r="C325"/>
      <c r="D325"/>
      <c r="E325"/>
      <c r="F325"/>
      <c r="G325"/>
      <c r="H325"/>
      <c r="I325"/>
    </row>
    <row r="326" spans="1:9" x14ac:dyDescent="0.25">
      <c r="A326"/>
      <c r="B326"/>
      <c r="C326"/>
      <c r="D326"/>
      <c r="E326"/>
      <c r="F326"/>
      <c r="G326"/>
      <c r="H326"/>
      <c r="I326"/>
    </row>
    <row r="327" spans="1:9" x14ac:dyDescent="0.25">
      <c r="A327"/>
      <c r="B327"/>
      <c r="C327"/>
      <c r="D327"/>
      <c r="E327"/>
      <c r="F327"/>
      <c r="G327"/>
      <c r="H327"/>
      <c r="I327"/>
    </row>
    <row r="328" spans="1:9" x14ac:dyDescent="0.25">
      <c r="A328"/>
      <c r="B328"/>
      <c r="C328"/>
      <c r="D328"/>
      <c r="E328"/>
      <c r="F328"/>
      <c r="G328"/>
      <c r="H328"/>
      <c r="I328"/>
    </row>
    <row r="329" spans="1:9" x14ac:dyDescent="0.25">
      <c r="A329"/>
      <c r="B329"/>
      <c r="C329"/>
      <c r="D329"/>
      <c r="E329"/>
      <c r="F329"/>
      <c r="G329"/>
      <c r="H329"/>
      <c r="I329"/>
    </row>
    <row r="330" spans="1:9" x14ac:dyDescent="0.25">
      <c r="A330"/>
      <c r="B330"/>
      <c r="C330"/>
      <c r="D330"/>
      <c r="E330"/>
      <c r="F330"/>
      <c r="G330"/>
      <c r="H330"/>
      <c r="I330"/>
    </row>
    <row r="331" spans="1:9" x14ac:dyDescent="0.25">
      <c r="A331"/>
      <c r="B331"/>
      <c r="C331"/>
      <c r="D331"/>
      <c r="E331"/>
      <c r="F331"/>
      <c r="G331"/>
      <c r="H331"/>
      <c r="I331"/>
    </row>
    <row r="332" spans="1:9" x14ac:dyDescent="0.25">
      <c r="A332"/>
      <c r="B332"/>
      <c r="C332"/>
      <c r="D332"/>
      <c r="E332"/>
      <c r="F332"/>
      <c r="G332"/>
      <c r="H332"/>
      <c r="I332"/>
    </row>
    <row r="333" spans="1:9" x14ac:dyDescent="0.25">
      <c r="A333"/>
      <c r="B333"/>
      <c r="C333"/>
      <c r="D333"/>
      <c r="E333"/>
      <c r="F333"/>
      <c r="G333"/>
      <c r="H333"/>
      <c r="I333"/>
    </row>
    <row r="334" spans="1:9" x14ac:dyDescent="0.25">
      <c r="A334"/>
      <c r="B334"/>
      <c r="C334"/>
      <c r="D334"/>
      <c r="E334"/>
      <c r="F334"/>
      <c r="G334"/>
      <c r="H334"/>
      <c r="I334"/>
    </row>
    <row r="335" spans="1:9" x14ac:dyDescent="0.25">
      <c r="A335"/>
      <c r="B335"/>
      <c r="C335"/>
      <c r="D335"/>
      <c r="E335"/>
      <c r="F335"/>
      <c r="G335"/>
      <c r="H335"/>
      <c r="I335"/>
    </row>
    <row r="336" spans="1:9" x14ac:dyDescent="0.25">
      <c r="A336"/>
      <c r="B336"/>
      <c r="C336"/>
      <c r="D336"/>
      <c r="E336"/>
      <c r="F336"/>
      <c r="G336"/>
      <c r="H336"/>
      <c r="I336"/>
    </row>
    <row r="337" spans="1:9" x14ac:dyDescent="0.25">
      <c r="A337"/>
      <c r="B337"/>
      <c r="C337"/>
      <c r="D337"/>
      <c r="E337"/>
      <c r="F337"/>
      <c r="G337"/>
      <c r="H337"/>
      <c r="I337"/>
    </row>
    <row r="338" spans="1:9" x14ac:dyDescent="0.25">
      <c r="A338"/>
      <c r="B338"/>
      <c r="C338"/>
      <c r="D338"/>
      <c r="E338"/>
      <c r="F338"/>
      <c r="G338"/>
      <c r="H338"/>
      <c r="I338"/>
    </row>
    <row r="339" spans="1:9" x14ac:dyDescent="0.25">
      <c r="A339"/>
      <c r="B339"/>
      <c r="C339"/>
      <c r="D339"/>
      <c r="E339"/>
      <c r="F339"/>
      <c r="G339"/>
      <c r="H339"/>
      <c r="I339"/>
    </row>
    <row r="340" spans="1:9" x14ac:dyDescent="0.25">
      <c r="A340"/>
      <c r="B340"/>
      <c r="C340"/>
      <c r="D340"/>
      <c r="E340"/>
      <c r="F340"/>
      <c r="G340"/>
      <c r="H340"/>
      <c r="I340"/>
    </row>
    <row r="341" spans="1:9" x14ac:dyDescent="0.25">
      <c r="A341"/>
      <c r="B341"/>
      <c r="C341"/>
      <c r="D341"/>
      <c r="E341"/>
      <c r="F341"/>
      <c r="G341"/>
      <c r="H341"/>
      <c r="I341"/>
    </row>
    <row r="342" spans="1:9" x14ac:dyDescent="0.25">
      <c r="A342"/>
      <c r="B342"/>
      <c r="C342"/>
      <c r="D342"/>
      <c r="E342"/>
      <c r="F342"/>
      <c r="G342"/>
      <c r="H342"/>
      <c r="I342"/>
    </row>
    <row r="343" spans="1:9" x14ac:dyDescent="0.25">
      <c r="A343"/>
      <c r="B343"/>
      <c r="C343"/>
      <c r="D343"/>
      <c r="E343"/>
      <c r="F343"/>
      <c r="G343"/>
      <c r="H343"/>
      <c r="I343"/>
    </row>
    <row r="344" spans="1:9" x14ac:dyDescent="0.25">
      <c r="A344"/>
      <c r="B344"/>
      <c r="C344"/>
      <c r="D344"/>
      <c r="E344"/>
      <c r="F344"/>
      <c r="G344"/>
      <c r="H344"/>
      <c r="I344"/>
    </row>
    <row r="345" spans="1:9" x14ac:dyDescent="0.25">
      <c r="A345"/>
      <c r="B345"/>
      <c r="C345"/>
      <c r="D345"/>
      <c r="E345"/>
      <c r="F345"/>
      <c r="G345"/>
      <c r="H345"/>
      <c r="I345"/>
    </row>
    <row r="346" spans="1:9" x14ac:dyDescent="0.25">
      <c r="A346"/>
      <c r="B346"/>
      <c r="C346"/>
      <c r="D346"/>
      <c r="E346"/>
      <c r="F346"/>
      <c r="G346"/>
      <c r="H346"/>
      <c r="I346"/>
    </row>
    <row r="347" spans="1:9" x14ac:dyDescent="0.25">
      <c r="A347"/>
      <c r="B347"/>
      <c r="C347"/>
      <c r="D347"/>
      <c r="E347"/>
      <c r="F347"/>
      <c r="G347"/>
      <c r="H347"/>
      <c r="I347"/>
    </row>
    <row r="348" spans="1:9" x14ac:dyDescent="0.25">
      <c r="A348"/>
      <c r="B348"/>
      <c r="C348"/>
      <c r="D348"/>
      <c r="E348"/>
      <c r="F348"/>
      <c r="G348"/>
      <c r="H348"/>
      <c r="I348"/>
    </row>
    <row r="349" spans="1:9" x14ac:dyDescent="0.25">
      <c r="A349"/>
      <c r="B349"/>
      <c r="C349"/>
      <c r="D349"/>
      <c r="E349"/>
      <c r="F349"/>
      <c r="G349"/>
      <c r="H349"/>
      <c r="I349"/>
    </row>
    <row r="350" spans="1:9" x14ac:dyDescent="0.25">
      <c r="A350"/>
      <c r="B350"/>
      <c r="C350"/>
      <c r="D350"/>
      <c r="E350"/>
      <c r="F350"/>
      <c r="G350"/>
      <c r="H350"/>
      <c r="I350"/>
    </row>
    <row r="351" spans="1:9" x14ac:dyDescent="0.25">
      <c r="A351"/>
      <c r="B351"/>
      <c r="C351"/>
      <c r="D351"/>
      <c r="E351"/>
      <c r="F351"/>
      <c r="G351"/>
      <c r="H351"/>
      <c r="I351"/>
    </row>
    <row r="352" spans="1:9" x14ac:dyDescent="0.25">
      <c r="A352"/>
      <c r="B352"/>
      <c r="C352"/>
      <c r="D352"/>
      <c r="E352"/>
      <c r="F352"/>
      <c r="G352"/>
      <c r="H352"/>
      <c r="I352"/>
    </row>
    <row r="353" spans="1:9" x14ac:dyDescent="0.25">
      <c r="A353"/>
      <c r="B353"/>
      <c r="C353"/>
      <c r="D353"/>
      <c r="E353"/>
      <c r="F353"/>
      <c r="G353"/>
      <c r="H353"/>
      <c r="I353"/>
    </row>
    <row r="354" spans="1:9" x14ac:dyDescent="0.25">
      <c r="A354"/>
      <c r="B354"/>
      <c r="C354"/>
      <c r="D354"/>
      <c r="E354"/>
      <c r="F354"/>
      <c r="G354"/>
      <c r="H354"/>
      <c r="I354"/>
    </row>
    <row r="355" spans="1:9" x14ac:dyDescent="0.25">
      <c r="A355"/>
      <c r="B355"/>
      <c r="C355"/>
      <c r="D355"/>
      <c r="E355"/>
      <c r="F355"/>
      <c r="G355"/>
      <c r="H355"/>
      <c r="I355"/>
    </row>
    <row r="356" spans="1:9" x14ac:dyDescent="0.25">
      <c r="A356"/>
      <c r="B356"/>
      <c r="C356"/>
      <c r="D356"/>
      <c r="E356"/>
      <c r="F356"/>
      <c r="G356"/>
      <c r="H356"/>
      <c r="I356"/>
    </row>
    <row r="357" spans="1:9" x14ac:dyDescent="0.25">
      <c r="A357"/>
      <c r="B357"/>
      <c r="C357"/>
      <c r="D357"/>
      <c r="E357"/>
      <c r="F357"/>
      <c r="G357"/>
      <c r="H357"/>
      <c r="I357"/>
    </row>
    <row r="358" spans="1:9" x14ac:dyDescent="0.25">
      <c r="A358"/>
      <c r="B358"/>
      <c r="C358"/>
      <c r="D358"/>
      <c r="E358"/>
      <c r="F358"/>
      <c r="G358"/>
      <c r="H358"/>
      <c r="I358"/>
    </row>
    <row r="359" spans="1:9" x14ac:dyDescent="0.25">
      <c r="A359"/>
      <c r="B359"/>
      <c r="C359"/>
      <c r="D359"/>
      <c r="E359"/>
      <c r="F359"/>
      <c r="G359"/>
      <c r="H359"/>
      <c r="I359"/>
    </row>
    <row r="360" spans="1:9" x14ac:dyDescent="0.25">
      <c r="A360"/>
      <c r="B360"/>
      <c r="C360"/>
      <c r="D360"/>
      <c r="E360"/>
      <c r="F360"/>
      <c r="G360"/>
      <c r="H360"/>
      <c r="I360"/>
    </row>
    <row r="361" spans="1:9" x14ac:dyDescent="0.25">
      <c r="A361"/>
      <c r="B361"/>
      <c r="C361"/>
      <c r="D361"/>
      <c r="E361"/>
      <c r="F361"/>
      <c r="G361"/>
      <c r="H361"/>
      <c r="I361"/>
    </row>
    <row r="362" spans="1:9" x14ac:dyDescent="0.25">
      <c r="A362"/>
      <c r="B362"/>
      <c r="C362"/>
      <c r="D362"/>
      <c r="E362"/>
      <c r="F362"/>
      <c r="G362"/>
      <c r="H362"/>
      <c r="I362"/>
    </row>
    <row r="363" spans="1:9" x14ac:dyDescent="0.25">
      <c r="A363"/>
      <c r="B363"/>
      <c r="C363"/>
      <c r="D363"/>
      <c r="E363"/>
      <c r="F363"/>
      <c r="G363"/>
      <c r="H363"/>
      <c r="I363"/>
    </row>
    <row r="364" spans="1:9" x14ac:dyDescent="0.25">
      <c r="A364"/>
      <c r="B364"/>
      <c r="C364"/>
      <c r="D364"/>
      <c r="E364"/>
      <c r="F364"/>
      <c r="G364"/>
      <c r="H364"/>
      <c r="I364"/>
    </row>
    <row r="365" spans="1:9" x14ac:dyDescent="0.25">
      <c r="A365"/>
      <c r="B365"/>
      <c r="C365"/>
      <c r="D365"/>
      <c r="E365"/>
      <c r="F365"/>
      <c r="G365"/>
      <c r="H365"/>
      <c r="I365"/>
    </row>
    <row r="366" spans="1:9" x14ac:dyDescent="0.25">
      <c r="A366"/>
      <c r="B366"/>
      <c r="C366"/>
      <c r="D366"/>
      <c r="E366"/>
      <c r="F366"/>
      <c r="G366"/>
      <c r="H366"/>
      <c r="I366"/>
    </row>
    <row r="367" spans="1:9" x14ac:dyDescent="0.25">
      <c r="A367"/>
      <c r="B367"/>
      <c r="C367"/>
      <c r="D367"/>
      <c r="E367"/>
      <c r="F367"/>
      <c r="G367"/>
      <c r="H367"/>
      <c r="I367"/>
    </row>
    <row r="368" spans="1:9" x14ac:dyDescent="0.25">
      <c r="A368"/>
      <c r="B368"/>
      <c r="C368"/>
      <c r="D368"/>
      <c r="E368"/>
      <c r="F368"/>
      <c r="G368"/>
      <c r="H368"/>
      <c r="I368"/>
    </row>
    <row r="369" spans="1:9" x14ac:dyDescent="0.25">
      <c r="A369"/>
      <c r="B369"/>
      <c r="C369"/>
      <c r="D369"/>
      <c r="E369"/>
      <c r="F369"/>
      <c r="G369"/>
      <c r="H369"/>
      <c r="I369"/>
    </row>
    <row r="370" spans="1:9" x14ac:dyDescent="0.25">
      <c r="A370"/>
      <c r="B370"/>
      <c r="C370"/>
      <c r="D370"/>
      <c r="E370"/>
      <c r="F370"/>
      <c r="G370"/>
      <c r="H370"/>
      <c r="I370"/>
    </row>
    <row r="371" spans="1:9" x14ac:dyDescent="0.25">
      <c r="A371"/>
      <c r="B371"/>
      <c r="C371"/>
      <c r="D371"/>
      <c r="E371"/>
      <c r="F371"/>
      <c r="G371"/>
      <c r="H371"/>
      <c r="I371"/>
    </row>
    <row r="372" spans="1:9" x14ac:dyDescent="0.25">
      <c r="A372"/>
      <c r="B372"/>
      <c r="C372"/>
      <c r="D372"/>
      <c r="E372"/>
      <c r="F372"/>
      <c r="G372"/>
      <c r="H372"/>
      <c r="I372"/>
    </row>
    <row r="373" spans="1:9" x14ac:dyDescent="0.25">
      <c r="A373"/>
      <c r="B373"/>
      <c r="C373"/>
      <c r="D373"/>
      <c r="E373"/>
      <c r="F373"/>
      <c r="G373"/>
      <c r="H373"/>
      <c r="I373"/>
    </row>
    <row r="374" spans="1:9" x14ac:dyDescent="0.25">
      <c r="A374"/>
      <c r="B374"/>
      <c r="C374"/>
      <c r="D374"/>
      <c r="E374"/>
      <c r="F374"/>
      <c r="G374"/>
      <c r="H374"/>
      <c r="I374"/>
    </row>
    <row r="375" spans="1:9" x14ac:dyDescent="0.25">
      <c r="A375"/>
      <c r="B375"/>
      <c r="C375"/>
      <c r="D375"/>
      <c r="E375"/>
      <c r="F375"/>
      <c r="G375"/>
      <c r="H375"/>
      <c r="I375"/>
    </row>
    <row r="376" spans="1:9" x14ac:dyDescent="0.25">
      <c r="A376"/>
      <c r="B376"/>
      <c r="C376"/>
      <c r="D376"/>
      <c r="E376"/>
      <c r="F376"/>
      <c r="G376"/>
      <c r="H376"/>
      <c r="I376"/>
    </row>
    <row r="377" spans="1:9" x14ac:dyDescent="0.25">
      <c r="A377"/>
      <c r="B377"/>
      <c r="C377"/>
      <c r="D377"/>
      <c r="E377"/>
      <c r="F377"/>
      <c r="G377"/>
      <c r="H377"/>
      <c r="I377"/>
    </row>
    <row r="378" spans="1:9" x14ac:dyDescent="0.25">
      <c r="A378"/>
      <c r="B378"/>
      <c r="C378"/>
      <c r="D378"/>
      <c r="E378"/>
      <c r="F378"/>
      <c r="G378"/>
      <c r="H378"/>
      <c r="I378"/>
    </row>
    <row r="379" spans="1:9" x14ac:dyDescent="0.25">
      <c r="A379"/>
      <c r="B379"/>
      <c r="C379"/>
      <c r="D379"/>
      <c r="E379"/>
      <c r="F379"/>
      <c r="G379"/>
      <c r="H379"/>
      <c r="I379"/>
    </row>
    <row r="380" spans="1:9" x14ac:dyDescent="0.25">
      <c r="A380"/>
      <c r="B380"/>
      <c r="C380"/>
      <c r="D380"/>
      <c r="E380"/>
      <c r="F380"/>
      <c r="G380"/>
      <c r="H380"/>
      <c r="I380"/>
    </row>
    <row r="381" spans="1:9" x14ac:dyDescent="0.25">
      <c r="A381"/>
      <c r="B381"/>
      <c r="C381"/>
      <c r="D381"/>
      <c r="E381"/>
      <c r="F381"/>
      <c r="G381"/>
      <c r="H381"/>
      <c r="I381"/>
    </row>
    <row r="382" spans="1:9" x14ac:dyDescent="0.25">
      <c r="A382"/>
      <c r="B382"/>
      <c r="C382"/>
      <c r="D382"/>
      <c r="E382"/>
      <c r="F382"/>
      <c r="G382"/>
      <c r="H382"/>
      <c r="I382"/>
    </row>
    <row r="383" spans="1:9" x14ac:dyDescent="0.25">
      <c r="A383"/>
      <c r="B383"/>
      <c r="C383"/>
      <c r="D383"/>
      <c r="E383"/>
      <c r="F383"/>
      <c r="G383"/>
      <c r="H383"/>
      <c r="I383"/>
    </row>
    <row r="384" spans="1:9" x14ac:dyDescent="0.25">
      <c r="A384"/>
      <c r="B384"/>
      <c r="C384"/>
      <c r="D384"/>
      <c r="E384"/>
      <c r="F384"/>
      <c r="G384"/>
      <c r="H384"/>
      <c r="I384"/>
    </row>
    <row r="385" spans="1:9" x14ac:dyDescent="0.25">
      <c r="A385"/>
      <c r="B385"/>
      <c r="C385"/>
      <c r="D385"/>
      <c r="E385"/>
      <c r="F385"/>
      <c r="G385"/>
      <c r="H385"/>
      <c r="I385"/>
    </row>
    <row r="386" spans="1:9" x14ac:dyDescent="0.25">
      <c r="A386"/>
      <c r="B386"/>
      <c r="C386"/>
      <c r="D386"/>
      <c r="E386"/>
      <c r="F386"/>
      <c r="G386"/>
      <c r="H386"/>
      <c r="I386"/>
    </row>
    <row r="387" spans="1:9" x14ac:dyDescent="0.25">
      <c r="A387"/>
      <c r="B387"/>
      <c r="C387"/>
      <c r="D387"/>
      <c r="E387"/>
      <c r="F387"/>
      <c r="G387"/>
      <c r="H387"/>
      <c r="I387"/>
    </row>
    <row r="388" spans="1:9" x14ac:dyDescent="0.25">
      <c r="A388"/>
      <c r="B388"/>
      <c r="C388"/>
      <c r="D388"/>
      <c r="E388"/>
      <c r="F388"/>
      <c r="G388"/>
      <c r="H388"/>
      <c r="I388"/>
    </row>
    <row r="389" spans="1:9" x14ac:dyDescent="0.25">
      <c r="A389"/>
      <c r="B389"/>
      <c r="C389"/>
      <c r="D389"/>
      <c r="E389"/>
      <c r="F389"/>
      <c r="G389"/>
      <c r="H389"/>
      <c r="I389"/>
    </row>
    <row r="390" spans="1:9" x14ac:dyDescent="0.25">
      <c r="A390"/>
      <c r="B390"/>
      <c r="C390"/>
      <c r="D390"/>
      <c r="E390"/>
      <c r="F390"/>
      <c r="G390"/>
      <c r="H390"/>
      <c r="I390"/>
    </row>
    <row r="391" spans="1:9" x14ac:dyDescent="0.25">
      <c r="A391"/>
      <c r="B391"/>
      <c r="C391"/>
      <c r="D391"/>
      <c r="E391"/>
      <c r="F391"/>
      <c r="G391"/>
      <c r="H391"/>
      <c r="I391"/>
    </row>
    <row r="392" spans="1:9" x14ac:dyDescent="0.25">
      <c r="A392"/>
      <c r="B392"/>
      <c r="C392"/>
      <c r="D392"/>
      <c r="E392"/>
      <c r="F392"/>
      <c r="G392"/>
      <c r="H392"/>
      <c r="I392"/>
    </row>
    <row r="393" spans="1:9" x14ac:dyDescent="0.25">
      <c r="A393"/>
      <c r="B393"/>
      <c r="C393"/>
      <c r="D393"/>
      <c r="E393"/>
      <c r="F393"/>
      <c r="G393"/>
      <c r="H393"/>
      <c r="I393"/>
    </row>
    <row r="394" spans="1:9" x14ac:dyDescent="0.25">
      <c r="A394"/>
      <c r="B394"/>
      <c r="C394"/>
      <c r="D394"/>
      <c r="E394"/>
      <c r="F394"/>
      <c r="G394"/>
      <c r="H394"/>
      <c r="I394"/>
    </row>
    <row r="395" spans="1:9" x14ac:dyDescent="0.25">
      <c r="A395"/>
      <c r="B395"/>
      <c r="C395"/>
      <c r="D395"/>
      <c r="E395"/>
      <c r="F395"/>
      <c r="G395"/>
      <c r="H395"/>
      <c r="I395"/>
    </row>
    <row r="396" spans="1:9" x14ac:dyDescent="0.25">
      <c r="A396"/>
      <c r="B396"/>
      <c r="C396"/>
      <c r="D396"/>
      <c r="E396"/>
      <c r="F396"/>
      <c r="G396"/>
      <c r="H396"/>
      <c r="I396"/>
    </row>
    <row r="397" spans="1:9" x14ac:dyDescent="0.25">
      <c r="A397"/>
      <c r="B397"/>
      <c r="C397"/>
      <c r="D397"/>
      <c r="E397"/>
      <c r="F397"/>
      <c r="G397"/>
      <c r="H397"/>
      <c r="I397"/>
    </row>
    <row r="398" spans="1:9" x14ac:dyDescent="0.25">
      <c r="A398"/>
      <c r="B398"/>
      <c r="C398"/>
      <c r="D398"/>
      <c r="E398"/>
      <c r="F398"/>
      <c r="G398"/>
      <c r="H398"/>
      <c r="I398"/>
    </row>
    <row r="399" spans="1:9" x14ac:dyDescent="0.25">
      <c r="A399"/>
      <c r="B399"/>
      <c r="C399"/>
      <c r="D399"/>
      <c r="E399"/>
      <c r="F399"/>
      <c r="G399"/>
      <c r="H399"/>
      <c r="I399"/>
    </row>
    <row r="400" spans="1:9" x14ac:dyDescent="0.25">
      <c r="A400"/>
      <c r="B400"/>
      <c r="C400"/>
      <c r="D400"/>
      <c r="E400"/>
      <c r="F400"/>
      <c r="G400"/>
      <c r="H400"/>
      <c r="I400"/>
    </row>
    <row r="401" spans="1:9" x14ac:dyDescent="0.25">
      <c r="A401"/>
      <c r="B401"/>
      <c r="C401"/>
      <c r="D401"/>
      <c r="E401"/>
      <c r="F401"/>
      <c r="G401"/>
      <c r="H401"/>
      <c r="I401"/>
    </row>
    <row r="402" spans="1:9" x14ac:dyDescent="0.25">
      <c r="A402"/>
      <c r="B402"/>
      <c r="C402"/>
      <c r="D402"/>
      <c r="E402"/>
      <c r="F402"/>
      <c r="G402"/>
      <c r="H402"/>
      <c r="I402"/>
    </row>
    <row r="403" spans="1:9" x14ac:dyDescent="0.25">
      <c r="A403"/>
      <c r="B403"/>
      <c r="C403"/>
      <c r="D403"/>
      <c r="E403"/>
      <c r="F403"/>
      <c r="G403"/>
      <c r="H403"/>
      <c r="I403"/>
    </row>
    <row r="404" spans="1:9" x14ac:dyDescent="0.25">
      <c r="A404"/>
      <c r="B404"/>
      <c r="C404"/>
      <c r="D404"/>
      <c r="E404"/>
      <c r="F404"/>
      <c r="G404"/>
      <c r="H404"/>
      <c r="I404"/>
    </row>
    <row r="405" spans="1:9" x14ac:dyDescent="0.25">
      <c r="A405"/>
      <c r="B405"/>
      <c r="C405"/>
      <c r="D405"/>
      <c r="E405"/>
      <c r="F405"/>
      <c r="G405"/>
      <c r="H405"/>
      <c r="I405"/>
    </row>
    <row r="406" spans="1:9" x14ac:dyDescent="0.25">
      <c r="A406"/>
      <c r="B406"/>
      <c r="C406"/>
      <c r="D406"/>
      <c r="E406"/>
      <c r="F406"/>
      <c r="G406"/>
      <c r="H406"/>
      <c r="I406"/>
    </row>
    <row r="407" spans="1:9" x14ac:dyDescent="0.25">
      <c r="A407"/>
      <c r="B407"/>
      <c r="C407"/>
      <c r="D407"/>
      <c r="E407"/>
      <c r="F407"/>
      <c r="G407"/>
      <c r="H407"/>
      <c r="I407"/>
    </row>
    <row r="408" spans="1:9" x14ac:dyDescent="0.25">
      <c r="A408"/>
      <c r="B408"/>
      <c r="C408"/>
      <c r="D408"/>
      <c r="E408"/>
      <c r="F408"/>
      <c r="G408"/>
      <c r="H408"/>
      <c r="I408"/>
    </row>
    <row r="409" spans="1:9" x14ac:dyDescent="0.25">
      <c r="A409"/>
      <c r="B409"/>
      <c r="C409"/>
      <c r="D409"/>
      <c r="E409"/>
      <c r="F409"/>
      <c r="G409"/>
      <c r="H409"/>
      <c r="I409"/>
    </row>
    <row r="410" spans="1:9" x14ac:dyDescent="0.25">
      <c r="A410"/>
      <c r="B410"/>
      <c r="C410"/>
      <c r="D410"/>
      <c r="E410"/>
      <c r="F410"/>
      <c r="G410"/>
      <c r="H410"/>
      <c r="I410"/>
    </row>
    <row r="411" spans="1:9" x14ac:dyDescent="0.25">
      <c r="A411"/>
      <c r="B411"/>
      <c r="C411"/>
      <c r="D411"/>
      <c r="E411"/>
      <c r="F411"/>
      <c r="G411"/>
      <c r="H411"/>
      <c r="I411"/>
    </row>
    <row r="412" spans="1:9" x14ac:dyDescent="0.25">
      <c r="A412"/>
      <c r="B412"/>
      <c r="C412"/>
      <c r="D412"/>
      <c r="E412"/>
      <c r="F412"/>
      <c r="G412"/>
      <c r="H412"/>
      <c r="I412"/>
    </row>
    <row r="413" spans="1:9" x14ac:dyDescent="0.25">
      <c r="A413"/>
      <c r="B413"/>
      <c r="C413"/>
      <c r="D413"/>
      <c r="E413"/>
      <c r="F413"/>
      <c r="G413"/>
      <c r="H413"/>
      <c r="I413"/>
    </row>
    <row r="414" spans="1:9" x14ac:dyDescent="0.25">
      <c r="A414"/>
      <c r="B414"/>
      <c r="C414"/>
      <c r="D414"/>
      <c r="E414"/>
      <c r="F414"/>
      <c r="G414"/>
      <c r="H414"/>
      <c r="I414"/>
    </row>
    <row r="415" spans="1:9" x14ac:dyDescent="0.25">
      <c r="A415"/>
      <c r="B415"/>
      <c r="C415"/>
      <c r="D415"/>
      <c r="E415"/>
      <c r="F415"/>
      <c r="G415"/>
      <c r="H415"/>
      <c r="I415"/>
    </row>
    <row r="416" spans="1:9" x14ac:dyDescent="0.25">
      <c r="A416"/>
      <c r="B416"/>
      <c r="C416"/>
      <c r="D416"/>
      <c r="E416"/>
      <c r="F416"/>
      <c r="G416"/>
      <c r="H416"/>
      <c r="I416"/>
    </row>
    <row r="417" spans="1:9" x14ac:dyDescent="0.25">
      <c r="A417"/>
      <c r="B417"/>
      <c r="C417"/>
      <c r="D417"/>
      <c r="E417"/>
      <c r="F417"/>
      <c r="G417"/>
      <c r="H417"/>
      <c r="I417"/>
    </row>
    <row r="418" spans="1:9" x14ac:dyDescent="0.25">
      <c r="A418"/>
      <c r="B418"/>
      <c r="C418"/>
      <c r="D418"/>
      <c r="E418"/>
      <c r="F418"/>
      <c r="G418"/>
      <c r="H418"/>
      <c r="I418"/>
    </row>
    <row r="419" spans="1:9" x14ac:dyDescent="0.25">
      <c r="A419"/>
      <c r="B419"/>
      <c r="C419"/>
      <c r="D419"/>
      <c r="E419"/>
      <c r="F419"/>
      <c r="G419"/>
      <c r="H419"/>
      <c r="I419"/>
    </row>
    <row r="420" spans="1:9" x14ac:dyDescent="0.25">
      <c r="A420"/>
      <c r="B420"/>
      <c r="C420"/>
      <c r="D420"/>
      <c r="E420"/>
      <c r="F420"/>
      <c r="G420"/>
      <c r="H420"/>
      <c r="I420"/>
    </row>
    <row r="421" spans="1:9" x14ac:dyDescent="0.25">
      <c r="A421"/>
      <c r="B421"/>
      <c r="C421"/>
      <c r="D421"/>
      <c r="E421"/>
      <c r="F421"/>
      <c r="G421"/>
      <c r="H421"/>
      <c r="I421"/>
    </row>
    <row r="422" spans="1:9" x14ac:dyDescent="0.25">
      <c r="A422"/>
      <c r="B422"/>
      <c r="C422"/>
      <c r="D422"/>
      <c r="E422"/>
      <c r="F422"/>
      <c r="G422"/>
      <c r="H422"/>
      <c r="I422"/>
    </row>
    <row r="423" spans="1:9" x14ac:dyDescent="0.25">
      <c r="A423"/>
      <c r="B423"/>
      <c r="C423"/>
      <c r="D423"/>
      <c r="E423"/>
      <c r="F423"/>
      <c r="G423"/>
      <c r="H423"/>
      <c r="I423"/>
    </row>
    <row r="424" spans="1:9" x14ac:dyDescent="0.25">
      <c r="A424"/>
      <c r="B424"/>
      <c r="C424"/>
      <c r="D424"/>
      <c r="E424"/>
      <c r="F424"/>
      <c r="G424"/>
      <c r="H424"/>
      <c r="I424"/>
    </row>
    <row r="425" spans="1:9" x14ac:dyDescent="0.25">
      <c r="A425"/>
      <c r="B425"/>
      <c r="C425"/>
      <c r="D425"/>
      <c r="E425"/>
      <c r="F425"/>
      <c r="G425"/>
      <c r="H425"/>
      <c r="I425"/>
    </row>
    <row r="426" spans="1:9" x14ac:dyDescent="0.25">
      <c r="A426"/>
      <c r="B426"/>
      <c r="C426"/>
      <c r="D426"/>
      <c r="E426"/>
      <c r="F426"/>
      <c r="G426"/>
      <c r="H426"/>
      <c r="I426"/>
    </row>
    <row r="427" spans="1:9" x14ac:dyDescent="0.25">
      <c r="A427"/>
      <c r="B427"/>
      <c r="C427"/>
      <c r="D427"/>
      <c r="E427"/>
      <c r="F427"/>
      <c r="G427"/>
      <c r="H427"/>
      <c r="I427"/>
    </row>
    <row r="428" spans="1:9" x14ac:dyDescent="0.25">
      <c r="A428"/>
      <c r="B428"/>
      <c r="C428"/>
      <c r="D428"/>
      <c r="E428"/>
      <c r="F428"/>
      <c r="G428"/>
      <c r="H428"/>
      <c r="I428"/>
    </row>
    <row r="429" spans="1:9" x14ac:dyDescent="0.25">
      <c r="A429"/>
      <c r="B429"/>
      <c r="C429"/>
      <c r="D429"/>
      <c r="E429"/>
      <c r="F429"/>
      <c r="G429"/>
      <c r="H429"/>
      <c r="I429"/>
    </row>
    <row r="430" spans="1:9" x14ac:dyDescent="0.25">
      <c r="A430"/>
      <c r="B430"/>
      <c r="C430"/>
      <c r="D430"/>
      <c r="E430"/>
      <c r="F430"/>
      <c r="G430"/>
      <c r="H430"/>
      <c r="I430"/>
    </row>
    <row r="431" spans="1:9" x14ac:dyDescent="0.25">
      <c r="A431"/>
      <c r="B431"/>
      <c r="C431"/>
      <c r="D431"/>
      <c r="E431"/>
      <c r="F431"/>
      <c r="G431"/>
      <c r="H431"/>
      <c r="I431"/>
    </row>
    <row r="432" spans="1:9" x14ac:dyDescent="0.25">
      <c r="A432"/>
      <c r="B432"/>
      <c r="C432"/>
      <c r="D432"/>
      <c r="E432"/>
      <c r="F432"/>
      <c r="G432"/>
      <c r="H432"/>
      <c r="I432"/>
    </row>
    <row r="433" spans="1:9" x14ac:dyDescent="0.25">
      <c r="A433"/>
      <c r="B433"/>
      <c r="C433"/>
      <c r="D433"/>
      <c r="E433"/>
      <c r="F433"/>
      <c r="G433"/>
      <c r="H433"/>
      <c r="I433"/>
    </row>
    <row r="434" spans="1:9" x14ac:dyDescent="0.25">
      <c r="A434"/>
      <c r="B434"/>
      <c r="C434"/>
      <c r="D434"/>
      <c r="E434"/>
      <c r="F434"/>
      <c r="G434"/>
      <c r="H434"/>
      <c r="I434"/>
    </row>
    <row r="435" spans="1:9" x14ac:dyDescent="0.25">
      <c r="A435"/>
      <c r="B435"/>
      <c r="C435"/>
      <c r="D435"/>
      <c r="E435"/>
      <c r="F435"/>
      <c r="G435"/>
      <c r="H435"/>
      <c r="I435"/>
    </row>
    <row r="436" spans="1:9" x14ac:dyDescent="0.25">
      <c r="A436"/>
      <c r="B436"/>
      <c r="C436"/>
      <c r="D436"/>
      <c r="E436"/>
      <c r="F436"/>
      <c r="G436"/>
      <c r="H436"/>
      <c r="I436"/>
    </row>
    <row r="437" spans="1:9" x14ac:dyDescent="0.25">
      <c r="A437"/>
      <c r="B437"/>
      <c r="C437"/>
      <c r="D437"/>
      <c r="E437"/>
      <c r="F437"/>
      <c r="G437"/>
      <c r="H437"/>
      <c r="I437"/>
    </row>
    <row r="438" spans="1:9" x14ac:dyDescent="0.25">
      <c r="A438"/>
      <c r="B438"/>
      <c r="C438"/>
      <c r="D438"/>
      <c r="E438"/>
      <c r="F438"/>
      <c r="G438"/>
      <c r="H438"/>
      <c r="I438"/>
    </row>
    <row r="439" spans="1:9" x14ac:dyDescent="0.25">
      <c r="A439"/>
      <c r="B439"/>
      <c r="C439"/>
      <c r="D439"/>
      <c r="E439"/>
      <c r="F439"/>
      <c r="G439"/>
      <c r="H439"/>
      <c r="I439"/>
    </row>
    <row r="440" spans="1:9" x14ac:dyDescent="0.25">
      <c r="A440"/>
      <c r="B440"/>
      <c r="C440"/>
      <c r="D440"/>
      <c r="E440"/>
      <c r="F440"/>
      <c r="G440"/>
      <c r="H440"/>
      <c r="I440"/>
    </row>
    <row r="441" spans="1:9" x14ac:dyDescent="0.25">
      <c r="A441"/>
      <c r="B441"/>
      <c r="C441"/>
      <c r="D441"/>
      <c r="E441"/>
      <c r="F441"/>
      <c r="G441"/>
      <c r="H441"/>
      <c r="I441"/>
    </row>
    <row r="442" spans="1:9" x14ac:dyDescent="0.25">
      <c r="A442"/>
      <c r="B442"/>
      <c r="C442"/>
      <c r="D442"/>
      <c r="E442"/>
      <c r="F442"/>
      <c r="G442"/>
      <c r="H442"/>
      <c r="I442"/>
    </row>
    <row r="443" spans="1:9" x14ac:dyDescent="0.25">
      <c r="A443"/>
      <c r="B443"/>
      <c r="C443"/>
      <c r="D443"/>
      <c r="E443"/>
      <c r="F443"/>
      <c r="G443"/>
      <c r="H443"/>
      <c r="I443"/>
    </row>
    <row r="444" spans="1:9" x14ac:dyDescent="0.25">
      <c r="A444"/>
      <c r="B444"/>
      <c r="C444"/>
      <c r="D444"/>
      <c r="E444"/>
      <c r="F444"/>
      <c r="G444"/>
      <c r="H444"/>
      <c r="I444"/>
    </row>
    <row r="445" spans="1:9" x14ac:dyDescent="0.25">
      <c r="A445"/>
      <c r="B445"/>
      <c r="C445"/>
      <c r="D445"/>
      <c r="E445"/>
      <c r="F445"/>
      <c r="G445"/>
      <c r="H445"/>
      <c r="I445"/>
    </row>
    <row r="446" spans="1:9" x14ac:dyDescent="0.25">
      <c r="A446"/>
      <c r="B446"/>
      <c r="C446"/>
      <c r="D446"/>
      <c r="E446"/>
      <c r="F446"/>
      <c r="G446"/>
      <c r="H446"/>
      <c r="I446"/>
    </row>
    <row r="447" spans="1:9" x14ac:dyDescent="0.25">
      <c r="A447"/>
      <c r="B447"/>
      <c r="C447"/>
      <c r="D447"/>
      <c r="E447"/>
      <c r="F447"/>
      <c r="G447"/>
      <c r="H447"/>
      <c r="I447"/>
    </row>
    <row r="448" spans="1:9" x14ac:dyDescent="0.25">
      <c r="A448"/>
      <c r="B448"/>
      <c r="C448"/>
      <c r="D448"/>
      <c r="E448"/>
      <c r="F448"/>
      <c r="G448"/>
      <c r="H448"/>
      <c r="I448"/>
    </row>
    <row r="449" spans="1:9" x14ac:dyDescent="0.25">
      <c r="A449"/>
      <c r="B449"/>
      <c r="C449"/>
      <c r="D449"/>
      <c r="E449"/>
      <c r="F449"/>
      <c r="G449"/>
      <c r="H449"/>
      <c r="I449"/>
    </row>
    <row r="450" spans="1:9" x14ac:dyDescent="0.25">
      <c r="A450"/>
      <c r="B450"/>
      <c r="C450"/>
      <c r="D450"/>
      <c r="E450"/>
      <c r="F450"/>
      <c r="G450"/>
      <c r="H450"/>
      <c r="I450"/>
    </row>
    <row r="451" spans="1:9" x14ac:dyDescent="0.25">
      <c r="A451"/>
      <c r="B451"/>
      <c r="C451"/>
      <c r="D451"/>
      <c r="E451"/>
      <c r="F451"/>
      <c r="G451"/>
      <c r="H451"/>
      <c r="I451"/>
    </row>
    <row r="452" spans="1:9" x14ac:dyDescent="0.25">
      <c r="A452"/>
      <c r="B452"/>
      <c r="C452"/>
      <c r="D452"/>
      <c r="E452"/>
      <c r="F452"/>
      <c r="G452"/>
      <c r="H452"/>
      <c r="I452"/>
    </row>
    <row r="453" spans="1:9" x14ac:dyDescent="0.25">
      <c r="A453"/>
      <c r="B453"/>
      <c r="C453"/>
      <c r="D453"/>
      <c r="E453"/>
      <c r="F453"/>
      <c r="G453"/>
      <c r="H453"/>
      <c r="I453"/>
    </row>
    <row r="454" spans="1:9" x14ac:dyDescent="0.25">
      <c r="A454"/>
      <c r="B454"/>
      <c r="C454"/>
      <c r="D454"/>
      <c r="E454"/>
      <c r="F454"/>
      <c r="G454"/>
      <c r="H454"/>
      <c r="I454"/>
    </row>
    <row r="455" spans="1:9" x14ac:dyDescent="0.25">
      <c r="A455"/>
      <c r="B455"/>
      <c r="C455"/>
      <c r="D455"/>
      <c r="E455"/>
      <c r="F455"/>
      <c r="G455"/>
      <c r="H455"/>
      <c r="I455"/>
    </row>
    <row r="456" spans="1:9" x14ac:dyDescent="0.25">
      <c r="A456"/>
      <c r="B456"/>
      <c r="C456"/>
      <c r="D456"/>
      <c r="E456"/>
      <c r="F456"/>
      <c r="G456"/>
      <c r="H456"/>
      <c r="I456"/>
    </row>
    <row r="457" spans="1:9" x14ac:dyDescent="0.25">
      <c r="A457"/>
      <c r="B457"/>
      <c r="C457"/>
      <c r="D457"/>
      <c r="E457"/>
      <c r="F457"/>
      <c r="G457"/>
      <c r="H457"/>
      <c r="I457"/>
    </row>
    <row r="458" spans="1:9" x14ac:dyDescent="0.25">
      <c r="A458"/>
      <c r="B458"/>
      <c r="C458"/>
      <c r="D458"/>
      <c r="E458"/>
      <c r="F458"/>
      <c r="G458"/>
      <c r="H458"/>
      <c r="I458"/>
    </row>
    <row r="459" spans="1:9" x14ac:dyDescent="0.25">
      <c r="A459"/>
      <c r="B459"/>
      <c r="C459"/>
      <c r="D459"/>
      <c r="E459"/>
      <c r="F459"/>
      <c r="G459"/>
      <c r="H459"/>
      <c r="I459"/>
    </row>
    <row r="460" spans="1:9" x14ac:dyDescent="0.25">
      <c r="A460"/>
      <c r="B460"/>
      <c r="C460"/>
      <c r="D460"/>
      <c r="E460"/>
      <c r="F460"/>
      <c r="G460"/>
      <c r="H460"/>
      <c r="I460"/>
    </row>
    <row r="461" spans="1:9" x14ac:dyDescent="0.25">
      <c r="A461"/>
      <c r="B461"/>
      <c r="C461"/>
      <c r="D461"/>
      <c r="E461"/>
      <c r="F461"/>
      <c r="G461"/>
      <c r="H461"/>
      <c r="I461"/>
    </row>
    <row r="462" spans="1:9" x14ac:dyDescent="0.25">
      <c r="A462"/>
      <c r="B462"/>
      <c r="C462"/>
      <c r="D462"/>
      <c r="E462"/>
      <c r="F462"/>
      <c r="G462"/>
      <c r="H462"/>
      <c r="I462"/>
    </row>
    <row r="463" spans="1:9" x14ac:dyDescent="0.25">
      <c r="A463"/>
      <c r="B463"/>
      <c r="C463"/>
      <c r="D463"/>
      <c r="E463"/>
      <c r="F463"/>
      <c r="G463"/>
      <c r="H463"/>
      <c r="I463"/>
    </row>
    <row r="464" spans="1:9" x14ac:dyDescent="0.25">
      <c r="A464"/>
      <c r="B464"/>
      <c r="C464"/>
      <c r="D464"/>
      <c r="E464"/>
      <c r="F464"/>
      <c r="G464"/>
      <c r="H464"/>
      <c r="I464"/>
    </row>
    <row r="465" spans="1:9" x14ac:dyDescent="0.25">
      <c r="A465"/>
      <c r="B465"/>
      <c r="C465"/>
      <c r="D465"/>
      <c r="E465"/>
      <c r="F465"/>
      <c r="G465"/>
      <c r="H465"/>
      <c r="I465"/>
    </row>
    <row r="466" spans="1:9" x14ac:dyDescent="0.25">
      <c r="A466"/>
      <c r="B466"/>
      <c r="C466"/>
      <c r="D466"/>
      <c r="E466"/>
      <c r="F466"/>
      <c r="G466"/>
      <c r="H466"/>
      <c r="I466"/>
    </row>
    <row r="467" spans="1:9" x14ac:dyDescent="0.25">
      <c r="A467"/>
      <c r="B467"/>
      <c r="C467"/>
      <c r="D467"/>
      <c r="E467"/>
      <c r="F467"/>
      <c r="G467"/>
      <c r="H467"/>
      <c r="I467"/>
    </row>
    <row r="468" spans="1:9" x14ac:dyDescent="0.25">
      <c r="A468"/>
      <c r="B468"/>
      <c r="C468"/>
      <c r="D468"/>
      <c r="E468"/>
      <c r="F468"/>
      <c r="G468"/>
      <c r="H468"/>
      <c r="I468"/>
    </row>
    <row r="469" spans="1:9" x14ac:dyDescent="0.25">
      <c r="A469"/>
      <c r="B469"/>
      <c r="C469"/>
      <c r="D469"/>
      <c r="E469"/>
      <c r="F469"/>
      <c r="G469"/>
      <c r="H469"/>
      <c r="I469"/>
    </row>
    <row r="470" spans="1:9" x14ac:dyDescent="0.25">
      <c r="A470"/>
      <c r="B470"/>
      <c r="C470"/>
      <c r="D470"/>
      <c r="E470"/>
      <c r="F470"/>
      <c r="G470"/>
      <c r="H470"/>
      <c r="I470"/>
    </row>
    <row r="471" spans="1:9" x14ac:dyDescent="0.25">
      <c r="A471"/>
      <c r="B471"/>
      <c r="C471"/>
      <c r="D471"/>
      <c r="E471"/>
      <c r="F471"/>
      <c r="G471"/>
      <c r="H471"/>
      <c r="I471"/>
    </row>
    <row r="472" spans="1:9" x14ac:dyDescent="0.25">
      <c r="A472"/>
      <c r="B472"/>
      <c r="C472"/>
      <c r="D472"/>
      <c r="E472"/>
      <c r="F472"/>
      <c r="G472"/>
      <c r="H472"/>
      <c r="I472"/>
    </row>
    <row r="473" spans="1:9" x14ac:dyDescent="0.25">
      <c r="A473"/>
      <c r="B473"/>
      <c r="C473"/>
      <c r="D473"/>
      <c r="E473"/>
      <c r="F473"/>
      <c r="G473"/>
      <c r="H473"/>
      <c r="I473"/>
    </row>
    <row r="474" spans="1:9" x14ac:dyDescent="0.25">
      <c r="A474"/>
      <c r="B474"/>
      <c r="C474"/>
      <c r="D474"/>
      <c r="E474"/>
      <c r="F474"/>
      <c r="G474"/>
      <c r="H474"/>
      <c r="I474"/>
    </row>
    <row r="475" spans="1:9" x14ac:dyDescent="0.25">
      <c r="A475"/>
      <c r="B475"/>
      <c r="C475"/>
      <c r="D475"/>
      <c r="E475"/>
      <c r="F475"/>
      <c r="G475"/>
      <c r="H475"/>
      <c r="I475"/>
    </row>
    <row r="476" spans="1:9" x14ac:dyDescent="0.25">
      <c r="A476"/>
      <c r="B476"/>
      <c r="C476"/>
      <c r="D476"/>
      <c r="E476"/>
      <c r="F476"/>
      <c r="G476"/>
      <c r="H476"/>
      <c r="I476"/>
    </row>
    <row r="477" spans="1:9" x14ac:dyDescent="0.25">
      <c r="A477"/>
      <c r="B477"/>
      <c r="C477"/>
      <c r="D477"/>
      <c r="E477"/>
      <c r="F477"/>
      <c r="G477"/>
      <c r="H477"/>
      <c r="I477"/>
    </row>
    <row r="478" spans="1:9" x14ac:dyDescent="0.25">
      <c r="A478"/>
      <c r="B478"/>
      <c r="C478"/>
      <c r="D478"/>
      <c r="E478"/>
      <c r="F478"/>
      <c r="G478"/>
      <c r="H478"/>
      <c r="I478"/>
    </row>
    <row r="479" spans="1:9" x14ac:dyDescent="0.25">
      <c r="A479"/>
      <c r="B479"/>
      <c r="C479"/>
      <c r="D479"/>
      <c r="E479"/>
      <c r="F479"/>
      <c r="G479"/>
      <c r="H479"/>
      <c r="I479"/>
    </row>
    <row r="480" spans="1:9" x14ac:dyDescent="0.25">
      <c r="A480"/>
      <c r="B480"/>
      <c r="C480"/>
      <c r="D480"/>
      <c r="E480"/>
      <c r="F480"/>
      <c r="G480"/>
      <c r="H480"/>
      <c r="I480"/>
    </row>
    <row r="481" spans="1:9" x14ac:dyDescent="0.25">
      <c r="A481"/>
      <c r="B481"/>
      <c r="C481"/>
      <c r="D481"/>
      <c r="E481"/>
      <c r="F481"/>
      <c r="G481"/>
      <c r="H481"/>
      <c r="I481"/>
    </row>
    <row r="482" spans="1:9" x14ac:dyDescent="0.25">
      <c r="A482"/>
      <c r="B482"/>
      <c r="C482"/>
      <c r="D482"/>
      <c r="E482"/>
      <c r="F482"/>
      <c r="G482"/>
      <c r="H482"/>
      <c r="I482"/>
    </row>
    <row r="483" spans="1:9" x14ac:dyDescent="0.25">
      <c r="A483"/>
      <c r="B483"/>
      <c r="C483"/>
      <c r="D483"/>
      <c r="E483"/>
      <c r="F483"/>
      <c r="G483"/>
      <c r="H483"/>
      <c r="I483"/>
    </row>
    <row r="484" spans="1:9" x14ac:dyDescent="0.25">
      <c r="A484"/>
      <c r="B484"/>
      <c r="C484"/>
      <c r="D484"/>
      <c r="E484"/>
      <c r="F484"/>
      <c r="G484"/>
      <c r="H484"/>
      <c r="I484"/>
    </row>
    <row r="485" spans="1:9" x14ac:dyDescent="0.25">
      <c r="A485"/>
      <c r="B485"/>
      <c r="C485"/>
      <c r="D485"/>
      <c r="E485"/>
      <c r="F485"/>
      <c r="G485"/>
      <c r="H485"/>
      <c r="I485"/>
    </row>
    <row r="486" spans="1:9" x14ac:dyDescent="0.25">
      <c r="A486"/>
      <c r="B486"/>
      <c r="C486"/>
      <c r="D486"/>
      <c r="E486"/>
      <c r="F486"/>
      <c r="G486"/>
      <c r="H486"/>
      <c r="I486"/>
    </row>
    <row r="487" spans="1:9" x14ac:dyDescent="0.25">
      <c r="A487"/>
      <c r="B487"/>
      <c r="C487"/>
      <c r="D487"/>
      <c r="E487"/>
      <c r="F487"/>
      <c r="G487"/>
      <c r="H487"/>
      <c r="I487"/>
    </row>
    <row r="488" spans="1:9" x14ac:dyDescent="0.25">
      <c r="A488"/>
      <c r="B488"/>
      <c r="C488"/>
      <c r="D488"/>
      <c r="E488"/>
      <c r="F488"/>
      <c r="G488"/>
      <c r="H488"/>
      <c r="I488"/>
    </row>
    <row r="489" spans="1:9" x14ac:dyDescent="0.25">
      <c r="A489"/>
      <c r="B489"/>
      <c r="C489"/>
      <c r="D489"/>
      <c r="E489"/>
      <c r="F489"/>
      <c r="G489"/>
      <c r="H489"/>
      <c r="I489"/>
    </row>
    <row r="490" spans="1:9" x14ac:dyDescent="0.25">
      <c r="A490"/>
      <c r="B490"/>
      <c r="C490"/>
      <c r="D490"/>
      <c r="E490"/>
      <c r="F490"/>
      <c r="G490"/>
      <c r="H490"/>
      <c r="I490"/>
    </row>
    <row r="491" spans="1:9" x14ac:dyDescent="0.25">
      <c r="A491"/>
      <c r="B491"/>
      <c r="C491"/>
      <c r="D491"/>
      <c r="E491"/>
      <c r="F491"/>
      <c r="G491"/>
      <c r="H491"/>
      <c r="I491"/>
    </row>
    <row r="492" spans="1:9" x14ac:dyDescent="0.25">
      <c r="A492"/>
      <c r="B492"/>
      <c r="C492"/>
      <c r="D492"/>
      <c r="E492"/>
      <c r="F492"/>
      <c r="G492"/>
      <c r="H492"/>
      <c r="I492"/>
    </row>
    <row r="493" spans="1:9" x14ac:dyDescent="0.25">
      <c r="A493"/>
      <c r="B493"/>
      <c r="C493"/>
      <c r="D493"/>
      <c r="E493"/>
      <c r="F493"/>
      <c r="G493"/>
      <c r="H493"/>
      <c r="I493"/>
    </row>
    <row r="494" spans="1:9" x14ac:dyDescent="0.25">
      <c r="A494"/>
      <c r="B494"/>
      <c r="C494"/>
      <c r="D494"/>
      <c r="E494"/>
      <c r="F494"/>
      <c r="G494"/>
      <c r="H494"/>
      <c r="I494"/>
    </row>
    <row r="495" spans="1:9" x14ac:dyDescent="0.25">
      <c r="A495"/>
      <c r="B495"/>
      <c r="C495"/>
      <c r="D495"/>
      <c r="E495"/>
      <c r="F495"/>
      <c r="G495"/>
      <c r="H495"/>
      <c r="I495"/>
    </row>
    <row r="496" spans="1:9" x14ac:dyDescent="0.25">
      <c r="A496"/>
      <c r="B496"/>
      <c r="C496"/>
      <c r="D496"/>
      <c r="E496"/>
      <c r="F496"/>
      <c r="G496"/>
      <c r="H496"/>
      <c r="I496"/>
    </row>
    <row r="497" spans="1:9" x14ac:dyDescent="0.25">
      <c r="A497"/>
      <c r="B497"/>
      <c r="C497"/>
      <c r="D497"/>
      <c r="E497"/>
      <c r="F497"/>
      <c r="G497"/>
      <c r="H497"/>
      <c r="I497"/>
    </row>
    <row r="498" spans="1:9" x14ac:dyDescent="0.25">
      <c r="A498"/>
      <c r="B498"/>
      <c r="C498"/>
      <c r="D498"/>
      <c r="E498"/>
      <c r="F498"/>
      <c r="G498"/>
      <c r="H498"/>
      <c r="I498"/>
    </row>
    <row r="499" spans="1:9" x14ac:dyDescent="0.25">
      <c r="A499"/>
      <c r="B499"/>
      <c r="C499"/>
      <c r="D499"/>
      <c r="E499"/>
      <c r="F499"/>
      <c r="G499"/>
      <c r="H499"/>
      <c r="I499"/>
    </row>
    <row r="500" spans="1:9" x14ac:dyDescent="0.25">
      <c r="A500"/>
      <c r="B500"/>
      <c r="C500"/>
      <c r="D500"/>
      <c r="E500"/>
      <c r="F500"/>
      <c r="G500"/>
      <c r="H500"/>
      <c r="I500"/>
    </row>
    <row r="501" spans="1:9" x14ac:dyDescent="0.25">
      <c r="A501"/>
      <c r="B501"/>
      <c r="C501"/>
      <c r="D501"/>
      <c r="E501"/>
      <c r="F501"/>
      <c r="G501"/>
      <c r="H501"/>
      <c r="I501"/>
    </row>
    <row r="502" spans="1:9" x14ac:dyDescent="0.25">
      <c r="A502"/>
      <c r="B502"/>
      <c r="C502"/>
      <c r="D502"/>
      <c r="E502"/>
      <c r="F502"/>
      <c r="G502"/>
      <c r="H502"/>
      <c r="I502"/>
    </row>
    <row r="503" spans="1:9" x14ac:dyDescent="0.25">
      <c r="A503"/>
      <c r="B503"/>
      <c r="C503"/>
      <c r="D503"/>
      <c r="E503"/>
      <c r="F503"/>
      <c r="G503"/>
      <c r="H503"/>
      <c r="I503"/>
    </row>
    <row r="504" spans="1:9" x14ac:dyDescent="0.25">
      <c r="A504"/>
      <c r="B504"/>
      <c r="C504"/>
      <c r="D504"/>
      <c r="E504"/>
      <c r="F504"/>
      <c r="G504"/>
      <c r="H504"/>
      <c r="I504"/>
    </row>
    <row r="505" spans="1:9" x14ac:dyDescent="0.25">
      <c r="A505"/>
      <c r="B505"/>
      <c r="C505"/>
      <c r="D505"/>
      <c r="E505"/>
      <c r="F505"/>
      <c r="G505"/>
      <c r="H505"/>
      <c r="I505"/>
    </row>
    <row r="506" spans="1:9" x14ac:dyDescent="0.25">
      <c r="A506"/>
      <c r="B506"/>
      <c r="C506"/>
      <c r="D506"/>
      <c r="E506"/>
      <c r="F506"/>
      <c r="G506"/>
      <c r="H506"/>
      <c r="I506"/>
    </row>
    <row r="507" spans="1:9" x14ac:dyDescent="0.25">
      <c r="A507"/>
      <c r="B507"/>
      <c r="C507"/>
      <c r="D507"/>
      <c r="E507"/>
      <c r="F507"/>
      <c r="G507"/>
      <c r="H507"/>
      <c r="I507"/>
    </row>
    <row r="508" spans="1:9" x14ac:dyDescent="0.25">
      <c r="A508"/>
      <c r="B508"/>
      <c r="C508"/>
      <c r="D508"/>
      <c r="E508"/>
      <c r="F508"/>
      <c r="G508"/>
      <c r="H508"/>
      <c r="I508"/>
    </row>
    <row r="509" spans="1:9" x14ac:dyDescent="0.25">
      <c r="A509"/>
      <c r="B509"/>
      <c r="C509"/>
      <c r="D509"/>
      <c r="E509"/>
      <c r="F509"/>
      <c r="G509"/>
      <c r="H509"/>
      <c r="I509"/>
    </row>
    <row r="510" spans="1:9" x14ac:dyDescent="0.25">
      <c r="A510"/>
      <c r="B510"/>
      <c r="C510"/>
      <c r="D510"/>
      <c r="E510"/>
      <c r="F510"/>
      <c r="G510"/>
      <c r="H510"/>
      <c r="I510"/>
    </row>
    <row r="511" spans="1:9" x14ac:dyDescent="0.25">
      <c r="A511"/>
      <c r="B511"/>
      <c r="C511"/>
      <c r="D511"/>
      <c r="E511"/>
      <c r="F511"/>
      <c r="G511"/>
      <c r="H511"/>
      <c r="I511"/>
    </row>
    <row r="512" spans="1:9" x14ac:dyDescent="0.25">
      <c r="A512"/>
      <c r="B512"/>
      <c r="C512"/>
      <c r="D512"/>
      <c r="E512"/>
      <c r="F512"/>
      <c r="G512"/>
      <c r="H512"/>
      <c r="I512"/>
    </row>
    <row r="513" spans="1:9" x14ac:dyDescent="0.25">
      <c r="A513"/>
      <c r="B513"/>
      <c r="C513"/>
      <c r="D513"/>
      <c r="E513"/>
      <c r="F513"/>
      <c r="G513"/>
      <c r="H513"/>
      <c r="I513"/>
    </row>
    <row r="514" spans="1:9" x14ac:dyDescent="0.25">
      <c r="A514"/>
      <c r="B514"/>
      <c r="C514"/>
      <c r="D514"/>
      <c r="E514"/>
      <c r="F514"/>
      <c r="G514"/>
      <c r="H514"/>
      <c r="I514"/>
    </row>
    <row r="515" spans="1:9" x14ac:dyDescent="0.25">
      <c r="A515"/>
      <c r="B515"/>
      <c r="C515"/>
      <c r="D515"/>
      <c r="E515"/>
      <c r="F515"/>
      <c r="G515"/>
      <c r="H515"/>
      <c r="I515"/>
    </row>
    <row r="516" spans="1:9" x14ac:dyDescent="0.25">
      <c r="A516"/>
      <c r="B516"/>
      <c r="C516"/>
      <c r="D516"/>
      <c r="E516"/>
      <c r="F516"/>
      <c r="G516"/>
      <c r="H516"/>
      <c r="I516"/>
    </row>
    <row r="517" spans="1:9" x14ac:dyDescent="0.25">
      <c r="A517"/>
      <c r="B517"/>
      <c r="C517"/>
      <c r="D517"/>
      <c r="E517"/>
      <c r="F517"/>
      <c r="G517"/>
      <c r="H517"/>
      <c r="I517"/>
    </row>
    <row r="518" spans="1:9" x14ac:dyDescent="0.25">
      <c r="A518"/>
      <c r="B518"/>
      <c r="C518"/>
      <c r="D518"/>
      <c r="E518"/>
      <c r="F518"/>
      <c r="G518"/>
      <c r="H518"/>
      <c r="I518"/>
    </row>
    <row r="519" spans="1:9" x14ac:dyDescent="0.25">
      <c r="A519"/>
      <c r="B519"/>
      <c r="C519"/>
      <c r="D519"/>
      <c r="E519"/>
      <c r="F519"/>
      <c r="G519"/>
      <c r="H519"/>
      <c r="I519"/>
    </row>
    <row r="520" spans="1:9" x14ac:dyDescent="0.25">
      <c r="A520"/>
      <c r="B520"/>
      <c r="C520"/>
      <c r="D520"/>
      <c r="E520"/>
      <c r="F520"/>
      <c r="G520"/>
      <c r="H520"/>
      <c r="I520"/>
    </row>
    <row r="521" spans="1:9" x14ac:dyDescent="0.25">
      <c r="A521"/>
      <c r="B521"/>
      <c r="C521"/>
      <c r="D521"/>
      <c r="E521"/>
      <c r="F521"/>
      <c r="G521"/>
      <c r="H521"/>
      <c r="I521"/>
    </row>
    <row r="522" spans="1:9" x14ac:dyDescent="0.25">
      <c r="A522"/>
      <c r="B522"/>
      <c r="C522"/>
      <c r="D522"/>
      <c r="E522"/>
      <c r="F522"/>
      <c r="G522"/>
      <c r="H522"/>
      <c r="I522"/>
    </row>
    <row r="523" spans="1:9" x14ac:dyDescent="0.25">
      <c r="A523"/>
      <c r="B523"/>
      <c r="C523"/>
      <c r="D523"/>
      <c r="E523"/>
      <c r="F523"/>
      <c r="G523"/>
      <c r="H523"/>
      <c r="I523"/>
    </row>
    <row r="524" spans="1:9" x14ac:dyDescent="0.25">
      <c r="A524"/>
      <c r="B524"/>
      <c r="C524"/>
      <c r="D524"/>
      <c r="E524"/>
      <c r="F524"/>
      <c r="G524"/>
      <c r="H524"/>
      <c r="I524"/>
    </row>
    <row r="525" spans="1:9" x14ac:dyDescent="0.25">
      <c r="A525"/>
      <c r="B525"/>
      <c r="C525"/>
      <c r="D525"/>
      <c r="E525"/>
      <c r="F525"/>
      <c r="G525"/>
      <c r="H525"/>
      <c r="I525"/>
    </row>
    <row r="526" spans="1:9" x14ac:dyDescent="0.25">
      <c r="A526"/>
      <c r="B526"/>
      <c r="C526"/>
      <c r="D526"/>
      <c r="E526"/>
      <c r="F526"/>
      <c r="G526"/>
      <c r="H526"/>
      <c r="I526"/>
    </row>
    <row r="527" spans="1:9" x14ac:dyDescent="0.25">
      <c r="A527"/>
      <c r="B527"/>
      <c r="C527"/>
      <c r="D527"/>
      <c r="E527"/>
      <c r="F527"/>
      <c r="G527"/>
      <c r="H527"/>
      <c r="I527"/>
    </row>
    <row r="528" spans="1:9" x14ac:dyDescent="0.25">
      <c r="A528"/>
      <c r="B528"/>
      <c r="C528"/>
      <c r="D528"/>
      <c r="E528"/>
      <c r="F528"/>
      <c r="G528"/>
      <c r="H528"/>
      <c r="I528"/>
    </row>
    <row r="529" spans="1:9" x14ac:dyDescent="0.25">
      <c r="A529"/>
      <c r="B529"/>
      <c r="C529"/>
      <c r="D529"/>
      <c r="E529"/>
      <c r="F529"/>
      <c r="G529"/>
      <c r="H529"/>
      <c r="I529"/>
    </row>
    <row r="530" spans="1:9" x14ac:dyDescent="0.25">
      <c r="A530"/>
      <c r="B530"/>
      <c r="C530"/>
      <c r="D530"/>
      <c r="E530"/>
      <c r="F530"/>
      <c r="G530"/>
      <c r="H530"/>
      <c r="I530"/>
    </row>
    <row r="531" spans="1:9" x14ac:dyDescent="0.25">
      <c r="A531"/>
      <c r="B531"/>
      <c r="C531"/>
      <c r="D531"/>
      <c r="E531"/>
      <c r="F531"/>
      <c r="G531"/>
      <c r="H531"/>
      <c r="I531"/>
    </row>
    <row r="532" spans="1:9" x14ac:dyDescent="0.25">
      <c r="A532"/>
      <c r="B532"/>
      <c r="C532"/>
      <c r="D532"/>
      <c r="E532"/>
      <c r="F532"/>
      <c r="G532"/>
      <c r="H532"/>
      <c r="I532"/>
    </row>
    <row r="533" spans="1:9" x14ac:dyDescent="0.25">
      <c r="A533"/>
      <c r="B533"/>
      <c r="C533"/>
      <c r="D533"/>
      <c r="E533"/>
      <c r="F533"/>
      <c r="G533"/>
      <c r="H533"/>
      <c r="I533"/>
    </row>
    <row r="534" spans="1:9" x14ac:dyDescent="0.25">
      <c r="A534"/>
      <c r="B534"/>
      <c r="C534"/>
      <c r="D534"/>
      <c r="E534"/>
      <c r="F534"/>
      <c r="G534"/>
      <c r="H534"/>
      <c r="I534"/>
    </row>
    <row r="535" spans="1:9" x14ac:dyDescent="0.25">
      <c r="A535"/>
      <c r="B535"/>
      <c r="C535"/>
      <c r="D535"/>
      <c r="E535"/>
      <c r="F535"/>
      <c r="G535"/>
      <c r="H535"/>
      <c r="I535"/>
    </row>
    <row r="536" spans="1:9" x14ac:dyDescent="0.25">
      <c r="A536"/>
      <c r="B536"/>
      <c r="C536"/>
      <c r="D536"/>
      <c r="E536"/>
      <c r="F536"/>
      <c r="G536"/>
      <c r="H536"/>
      <c r="I536"/>
    </row>
    <row r="537" spans="1:9" x14ac:dyDescent="0.25">
      <c r="A537"/>
      <c r="B537"/>
      <c r="C537"/>
      <c r="D537"/>
      <c r="E537"/>
      <c r="F537"/>
      <c r="G537"/>
      <c r="H537"/>
      <c r="I537"/>
    </row>
    <row r="538" spans="1:9" x14ac:dyDescent="0.25">
      <c r="A538"/>
      <c r="B538"/>
      <c r="C538"/>
      <c r="D538"/>
      <c r="E538"/>
      <c r="F538"/>
      <c r="G538"/>
      <c r="H538"/>
      <c r="I538"/>
    </row>
    <row r="539" spans="1:9" x14ac:dyDescent="0.25">
      <c r="A539"/>
      <c r="B539"/>
      <c r="C539"/>
      <c r="D539"/>
      <c r="E539"/>
      <c r="F539"/>
      <c r="G539"/>
      <c r="H539"/>
      <c r="I539"/>
    </row>
    <row r="540" spans="1:9" x14ac:dyDescent="0.25">
      <c r="A540"/>
      <c r="B540"/>
      <c r="C540"/>
      <c r="D540"/>
      <c r="E540"/>
      <c r="F540"/>
      <c r="G540"/>
      <c r="H540"/>
      <c r="I540"/>
    </row>
    <row r="541" spans="1:9" x14ac:dyDescent="0.25">
      <c r="A541"/>
      <c r="B541"/>
      <c r="C541"/>
      <c r="D541"/>
      <c r="E541"/>
      <c r="F541"/>
      <c r="G541"/>
      <c r="H541"/>
      <c r="I541"/>
    </row>
    <row r="542" spans="1:9" x14ac:dyDescent="0.25">
      <c r="A542"/>
      <c r="B542"/>
      <c r="C542"/>
      <c r="D542"/>
      <c r="E542"/>
      <c r="F542"/>
      <c r="G542"/>
      <c r="H542"/>
      <c r="I542"/>
    </row>
    <row r="543" spans="1:9" x14ac:dyDescent="0.25">
      <c r="A543"/>
      <c r="B543"/>
      <c r="C543"/>
      <c r="D543"/>
      <c r="E543"/>
      <c r="F543"/>
      <c r="G543"/>
      <c r="H543"/>
      <c r="I543"/>
    </row>
    <row r="544" spans="1:9" x14ac:dyDescent="0.25">
      <c r="A544"/>
      <c r="B544"/>
      <c r="C544"/>
      <c r="D544"/>
      <c r="E544"/>
      <c r="F544"/>
      <c r="G544"/>
      <c r="H544"/>
      <c r="I544"/>
    </row>
    <row r="545" spans="1:9" x14ac:dyDescent="0.25">
      <c r="A545"/>
      <c r="B545"/>
      <c r="C545"/>
      <c r="D545"/>
      <c r="E545"/>
      <c r="F545"/>
      <c r="G545"/>
      <c r="H545"/>
      <c r="I545"/>
    </row>
    <row r="546" spans="1:9" x14ac:dyDescent="0.25">
      <c r="A546"/>
      <c r="B546"/>
      <c r="C546"/>
      <c r="D546"/>
      <c r="E546"/>
      <c r="F546"/>
      <c r="G546"/>
      <c r="H546"/>
      <c r="I546"/>
    </row>
    <row r="547" spans="1:9" x14ac:dyDescent="0.25">
      <c r="A547"/>
      <c r="B547"/>
      <c r="C547"/>
      <c r="D547"/>
      <c r="E547"/>
      <c r="F547"/>
      <c r="G547"/>
      <c r="H547"/>
      <c r="I547"/>
    </row>
    <row r="548" spans="1:9" x14ac:dyDescent="0.25">
      <c r="A548"/>
      <c r="B548"/>
      <c r="C548"/>
      <c r="D548"/>
      <c r="E548"/>
      <c r="F548"/>
      <c r="G548"/>
      <c r="H548"/>
      <c r="I548"/>
    </row>
    <row r="549" spans="1:9" x14ac:dyDescent="0.25">
      <c r="A549"/>
      <c r="B549"/>
      <c r="C549"/>
      <c r="D549"/>
      <c r="E549"/>
      <c r="F549"/>
      <c r="G549"/>
      <c r="H549"/>
      <c r="I549"/>
    </row>
    <row r="550" spans="1:9" x14ac:dyDescent="0.25">
      <c r="A550"/>
      <c r="B550"/>
      <c r="C550"/>
      <c r="D550"/>
      <c r="E550"/>
      <c r="F550"/>
      <c r="G550"/>
      <c r="H550"/>
      <c r="I550"/>
    </row>
    <row r="551" spans="1:9" x14ac:dyDescent="0.25">
      <c r="A551"/>
      <c r="B551"/>
      <c r="C551"/>
      <c r="D551"/>
      <c r="E551"/>
      <c r="F551"/>
      <c r="G551"/>
      <c r="H551"/>
      <c r="I551"/>
    </row>
    <row r="552" spans="1:9" x14ac:dyDescent="0.25">
      <c r="A552"/>
      <c r="B552"/>
      <c r="C552"/>
      <c r="D552"/>
      <c r="E552"/>
      <c r="F552"/>
      <c r="G552"/>
      <c r="H552"/>
      <c r="I552"/>
    </row>
    <row r="553" spans="1:9" x14ac:dyDescent="0.25">
      <c r="A553"/>
      <c r="B553"/>
      <c r="C553"/>
      <c r="D553"/>
      <c r="E553"/>
      <c r="F553"/>
      <c r="G553"/>
      <c r="H553"/>
      <c r="I553"/>
    </row>
    <row r="554" spans="1:9" x14ac:dyDescent="0.25">
      <c r="A554"/>
      <c r="B554"/>
      <c r="C554"/>
      <c r="D554"/>
      <c r="E554"/>
      <c r="F554"/>
      <c r="G554"/>
      <c r="H554"/>
      <c r="I554"/>
    </row>
    <row r="555" spans="1:9" x14ac:dyDescent="0.25">
      <c r="A555"/>
      <c r="B555"/>
      <c r="C555"/>
      <c r="D555"/>
      <c r="E555"/>
      <c r="F555"/>
      <c r="G555"/>
      <c r="H555"/>
      <c r="I555"/>
    </row>
    <row r="556" spans="1:9" x14ac:dyDescent="0.25">
      <c r="A556"/>
      <c r="B556"/>
      <c r="C556"/>
      <c r="D556"/>
      <c r="E556"/>
      <c r="F556"/>
      <c r="G556"/>
      <c r="H556"/>
      <c r="I556"/>
    </row>
    <row r="557" spans="1:9" x14ac:dyDescent="0.25">
      <c r="A557"/>
      <c r="B557"/>
      <c r="C557"/>
      <c r="D557"/>
      <c r="E557"/>
      <c r="F557"/>
      <c r="G557"/>
      <c r="H557"/>
      <c r="I557"/>
    </row>
    <row r="558" spans="1:9" x14ac:dyDescent="0.25">
      <c r="A558"/>
      <c r="B558"/>
      <c r="C558"/>
      <c r="D558"/>
      <c r="E558"/>
      <c r="F558"/>
      <c r="G558"/>
      <c r="H558"/>
      <c r="I558"/>
    </row>
    <row r="559" spans="1:9" x14ac:dyDescent="0.25">
      <c r="A559"/>
      <c r="B559"/>
      <c r="C559"/>
      <c r="D559"/>
      <c r="E559"/>
      <c r="F559"/>
      <c r="G559"/>
      <c r="H559"/>
      <c r="I559"/>
    </row>
    <row r="560" spans="1:9" x14ac:dyDescent="0.25">
      <c r="A560"/>
      <c r="B560"/>
      <c r="C560"/>
      <c r="D560"/>
      <c r="E560"/>
      <c r="F560"/>
      <c r="G560"/>
      <c r="H560"/>
      <c r="I560"/>
    </row>
    <row r="561" spans="1:9" x14ac:dyDescent="0.25">
      <c r="A561"/>
      <c r="B561"/>
      <c r="C561"/>
      <c r="D561"/>
      <c r="E561"/>
      <c r="F561"/>
      <c r="G561"/>
      <c r="H561"/>
      <c r="I561"/>
    </row>
    <row r="562" spans="1:9" x14ac:dyDescent="0.25">
      <c r="A562"/>
      <c r="B562"/>
      <c r="C562"/>
      <c r="D562"/>
      <c r="E562"/>
      <c r="F562"/>
      <c r="G562"/>
      <c r="H562"/>
      <c r="I562"/>
    </row>
    <row r="563" spans="1:9" x14ac:dyDescent="0.25">
      <c r="A563"/>
      <c r="B563"/>
      <c r="C563"/>
      <c r="D563"/>
      <c r="E563"/>
      <c r="F563"/>
      <c r="G563"/>
      <c r="H563"/>
      <c r="I563"/>
    </row>
    <row r="564" spans="1:9" x14ac:dyDescent="0.25">
      <c r="A564"/>
      <c r="B564"/>
      <c r="C564"/>
      <c r="D564"/>
      <c r="E564"/>
      <c r="F564"/>
      <c r="G564"/>
      <c r="H564"/>
      <c r="I564"/>
    </row>
    <row r="565" spans="1:9" x14ac:dyDescent="0.25">
      <c r="A565"/>
      <c r="B565"/>
      <c r="C565"/>
      <c r="D565"/>
      <c r="E565"/>
      <c r="F565"/>
      <c r="G565"/>
      <c r="H565"/>
      <c r="I565"/>
    </row>
    <row r="566" spans="1:9" x14ac:dyDescent="0.25">
      <c r="A566"/>
      <c r="B566"/>
      <c r="C566"/>
      <c r="D566"/>
      <c r="E566"/>
      <c r="F566"/>
      <c r="G566"/>
      <c r="H566"/>
      <c r="I566"/>
    </row>
    <row r="567" spans="1:9" x14ac:dyDescent="0.25">
      <c r="A567"/>
      <c r="B567"/>
      <c r="C567"/>
      <c r="D567"/>
      <c r="E567"/>
      <c r="F567"/>
      <c r="G567"/>
      <c r="H567"/>
      <c r="I567"/>
    </row>
    <row r="568" spans="1:9" x14ac:dyDescent="0.25">
      <c r="A568"/>
      <c r="B568"/>
      <c r="C568"/>
      <c r="D568"/>
      <c r="E568"/>
      <c r="F568"/>
      <c r="G568"/>
      <c r="H568"/>
      <c r="I568"/>
    </row>
    <row r="569" spans="1:9" x14ac:dyDescent="0.25">
      <c r="A569"/>
      <c r="B569"/>
      <c r="C569"/>
      <c r="D569"/>
      <c r="E569"/>
      <c r="F569"/>
      <c r="G569"/>
      <c r="H569"/>
      <c r="I569"/>
    </row>
    <row r="570" spans="1:9" x14ac:dyDescent="0.25">
      <c r="A570"/>
      <c r="B570"/>
      <c r="C570"/>
      <c r="D570"/>
      <c r="E570"/>
      <c r="F570"/>
      <c r="G570"/>
      <c r="H570"/>
      <c r="I570"/>
    </row>
    <row r="571" spans="1:9" x14ac:dyDescent="0.25">
      <c r="A571"/>
      <c r="B571"/>
      <c r="C571"/>
      <c r="D571"/>
      <c r="E571"/>
      <c r="F571"/>
      <c r="G571"/>
      <c r="H571"/>
      <c r="I571"/>
    </row>
    <row r="572" spans="1:9" x14ac:dyDescent="0.25">
      <c r="A572"/>
      <c r="B572"/>
      <c r="C572"/>
      <c r="D572"/>
      <c r="E572"/>
      <c r="F572"/>
      <c r="G572"/>
      <c r="H572"/>
      <c r="I572"/>
    </row>
    <row r="573" spans="1:9" x14ac:dyDescent="0.25">
      <c r="A573"/>
      <c r="B573"/>
      <c r="C573"/>
      <c r="D573"/>
      <c r="E573"/>
      <c r="F573"/>
      <c r="G573"/>
      <c r="H573"/>
      <c r="I573"/>
    </row>
    <row r="574" spans="1:9" x14ac:dyDescent="0.25">
      <c r="A574"/>
      <c r="B574"/>
      <c r="C574"/>
      <c r="D574"/>
      <c r="E574"/>
      <c r="F574"/>
      <c r="G574"/>
      <c r="H574"/>
      <c r="I574"/>
    </row>
    <row r="575" spans="1:9" x14ac:dyDescent="0.25">
      <c r="A575"/>
      <c r="B575"/>
      <c r="C575"/>
      <c r="D575"/>
      <c r="E575"/>
      <c r="F575"/>
      <c r="G575"/>
      <c r="H575"/>
      <c r="I575"/>
    </row>
    <row r="576" spans="1:9" x14ac:dyDescent="0.25">
      <c r="A576"/>
      <c r="B576"/>
      <c r="C576"/>
      <c r="D576"/>
      <c r="E576"/>
      <c r="F576"/>
      <c r="G576"/>
      <c r="H576"/>
      <c r="I576"/>
    </row>
    <row r="577" spans="1:9" x14ac:dyDescent="0.25">
      <c r="A577"/>
      <c r="B577"/>
      <c r="C577"/>
      <c r="D577"/>
      <c r="E577"/>
      <c r="F577"/>
      <c r="G577"/>
      <c r="H577"/>
      <c r="I577"/>
    </row>
    <row r="578" spans="1:9" x14ac:dyDescent="0.25">
      <c r="A578"/>
      <c r="B578"/>
      <c r="C578"/>
      <c r="D578"/>
      <c r="E578"/>
      <c r="F578"/>
      <c r="G578"/>
      <c r="H578"/>
      <c r="I578"/>
    </row>
    <row r="579" spans="1:9" x14ac:dyDescent="0.25">
      <c r="A579"/>
      <c r="B579"/>
      <c r="C579"/>
      <c r="D579"/>
      <c r="E579"/>
      <c r="F579"/>
      <c r="G579"/>
      <c r="H579"/>
      <c r="I579"/>
    </row>
    <row r="580" spans="1:9" x14ac:dyDescent="0.25">
      <c r="A580"/>
      <c r="B580"/>
      <c r="C580"/>
      <c r="D580"/>
      <c r="E580"/>
      <c r="F580"/>
      <c r="G580"/>
      <c r="H580"/>
      <c r="I580"/>
    </row>
    <row r="581" spans="1:9" x14ac:dyDescent="0.25">
      <c r="A581"/>
      <c r="B581"/>
      <c r="C581"/>
      <c r="D581"/>
      <c r="E581"/>
      <c r="F581"/>
      <c r="G581"/>
      <c r="H581"/>
      <c r="I581"/>
    </row>
    <row r="582" spans="1:9" x14ac:dyDescent="0.25">
      <c r="A582"/>
      <c r="B582"/>
      <c r="C582"/>
      <c r="D582"/>
      <c r="E582"/>
      <c r="F582"/>
      <c r="G582"/>
      <c r="H582"/>
      <c r="I582"/>
    </row>
    <row r="583" spans="1:9" x14ac:dyDescent="0.25">
      <c r="A583"/>
      <c r="B583"/>
      <c r="C583"/>
      <c r="D583"/>
      <c r="E583"/>
      <c r="F583"/>
      <c r="G583"/>
      <c r="H583"/>
      <c r="I583"/>
    </row>
    <row r="584" spans="1:9" x14ac:dyDescent="0.25">
      <c r="A584"/>
      <c r="B584"/>
      <c r="C584"/>
      <c r="D584"/>
      <c r="E584"/>
      <c r="F584"/>
      <c r="G584"/>
      <c r="H584"/>
      <c r="I584"/>
    </row>
    <row r="585" spans="1:9" x14ac:dyDescent="0.25">
      <c r="A585"/>
      <c r="B585"/>
      <c r="C585"/>
      <c r="D585"/>
      <c r="E585"/>
      <c r="F585"/>
      <c r="G585"/>
      <c r="H585"/>
      <c r="I585"/>
    </row>
    <row r="586" spans="1:9" x14ac:dyDescent="0.25">
      <c r="A586"/>
      <c r="B586"/>
      <c r="C586"/>
      <c r="D586"/>
      <c r="E586"/>
      <c r="F586"/>
      <c r="G586"/>
      <c r="H586"/>
      <c r="I586"/>
    </row>
    <row r="587" spans="1:9" x14ac:dyDescent="0.25">
      <c r="A587"/>
      <c r="B587"/>
      <c r="C587"/>
      <c r="D587"/>
      <c r="E587"/>
      <c r="F587"/>
      <c r="G587"/>
      <c r="H587"/>
      <c r="I587"/>
    </row>
    <row r="588" spans="1:9" x14ac:dyDescent="0.25">
      <c r="A588"/>
      <c r="B588"/>
      <c r="C588"/>
      <c r="D588"/>
      <c r="E588"/>
      <c r="F588"/>
      <c r="G588"/>
      <c r="H588"/>
      <c r="I588"/>
    </row>
    <row r="589" spans="1:9" x14ac:dyDescent="0.25">
      <c r="A589"/>
      <c r="B589"/>
      <c r="C589"/>
      <c r="D589"/>
      <c r="E589"/>
      <c r="F589"/>
      <c r="G589"/>
      <c r="H589"/>
      <c r="I589"/>
    </row>
    <row r="590" spans="1:9" x14ac:dyDescent="0.25">
      <c r="A590"/>
      <c r="B590"/>
      <c r="C590"/>
      <c r="D590"/>
      <c r="E590"/>
      <c r="F590"/>
      <c r="G590"/>
      <c r="H590"/>
      <c r="I590"/>
    </row>
    <row r="591" spans="1:9" x14ac:dyDescent="0.25">
      <c r="A591"/>
      <c r="B591"/>
      <c r="C591"/>
      <c r="D591"/>
      <c r="E591"/>
      <c r="F591"/>
      <c r="G591"/>
      <c r="H591"/>
      <c r="I591"/>
    </row>
    <row r="592" spans="1:9" x14ac:dyDescent="0.25">
      <c r="A592"/>
      <c r="B592"/>
      <c r="C592"/>
      <c r="D592"/>
      <c r="E592"/>
      <c r="F592"/>
      <c r="G592"/>
      <c r="H592"/>
      <c r="I592"/>
    </row>
    <row r="593" spans="1:9" x14ac:dyDescent="0.25">
      <c r="A593"/>
      <c r="B593"/>
      <c r="C593"/>
      <c r="D593"/>
      <c r="E593"/>
      <c r="F593"/>
      <c r="G593"/>
      <c r="H593"/>
      <c r="I593"/>
    </row>
    <row r="594" spans="1:9" x14ac:dyDescent="0.25">
      <c r="A594"/>
      <c r="B594"/>
      <c r="C594"/>
      <c r="D594"/>
      <c r="E594"/>
      <c r="F594"/>
      <c r="G594"/>
      <c r="H594"/>
      <c r="I594"/>
    </row>
    <row r="595" spans="1:9" x14ac:dyDescent="0.25">
      <c r="A595"/>
      <c r="B595"/>
      <c r="C595"/>
      <c r="D595"/>
      <c r="E595"/>
      <c r="F595"/>
      <c r="G595"/>
      <c r="H595"/>
      <c r="I595"/>
    </row>
    <row r="596" spans="1:9" x14ac:dyDescent="0.25">
      <c r="A596"/>
      <c r="B596"/>
      <c r="C596"/>
      <c r="D596"/>
      <c r="E596"/>
      <c r="F596"/>
      <c r="G596"/>
      <c r="H596"/>
      <c r="I596"/>
    </row>
    <row r="597" spans="1:9" x14ac:dyDescent="0.25">
      <c r="A597"/>
      <c r="B597"/>
      <c r="C597"/>
      <c r="D597"/>
      <c r="E597"/>
      <c r="F597"/>
      <c r="G597"/>
      <c r="H597"/>
      <c r="I597"/>
    </row>
    <row r="598" spans="1:9" x14ac:dyDescent="0.25">
      <c r="A598"/>
      <c r="B598"/>
      <c r="C598"/>
      <c r="D598"/>
      <c r="E598"/>
      <c r="F598"/>
      <c r="G598"/>
      <c r="H598"/>
      <c r="I598"/>
    </row>
    <row r="599" spans="1:9" x14ac:dyDescent="0.25">
      <c r="A599"/>
      <c r="B599"/>
      <c r="C599"/>
      <c r="D599"/>
      <c r="E599"/>
      <c r="F599"/>
      <c r="G599"/>
      <c r="H599"/>
      <c r="I599"/>
    </row>
    <row r="600" spans="1:9" x14ac:dyDescent="0.25">
      <c r="A600"/>
      <c r="B600"/>
      <c r="C600"/>
      <c r="D600"/>
      <c r="E600"/>
      <c r="F600"/>
      <c r="G600"/>
      <c r="H600"/>
      <c r="I600"/>
    </row>
    <row r="601" spans="1:9" x14ac:dyDescent="0.25">
      <c r="A601"/>
      <c r="B601"/>
      <c r="C601"/>
      <c r="D601"/>
      <c r="E601"/>
      <c r="F601"/>
      <c r="G601"/>
      <c r="H601"/>
      <c r="I601"/>
    </row>
    <row r="602" spans="1:9" x14ac:dyDescent="0.25">
      <c r="A602"/>
      <c r="B602"/>
      <c r="C602"/>
      <c r="D602"/>
      <c r="E602"/>
      <c r="F602"/>
      <c r="G602"/>
      <c r="H602"/>
      <c r="I602"/>
    </row>
    <row r="603" spans="1:9" x14ac:dyDescent="0.25">
      <c r="A603"/>
      <c r="B603"/>
      <c r="C603"/>
      <c r="D603"/>
      <c r="E603"/>
      <c r="F603"/>
      <c r="G603"/>
      <c r="H603"/>
      <c r="I603"/>
    </row>
    <row r="604" spans="1:9" x14ac:dyDescent="0.25">
      <c r="A604"/>
      <c r="B604"/>
      <c r="C604"/>
      <c r="D604"/>
      <c r="E604"/>
      <c r="F604"/>
      <c r="G604"/>
      <c r="H604"/>
      <c r="I604"/>
    </row>
    <row r="605" spans="1:9" x14ac:dyDescent="0.25">
      <c r="A605"/>
      <c r="B605"/>
      <c r="C605"/>
      <c r="D605"/>
      <c r="E605"/>
      <c r="F605"/>
      <c r="G605"/>
      <c r="H605"/>
      <c r="I605"/>
    </row>
    <row r="606" spans="1:9" x14ac:dyDescent="0.25">
      <c r="A606"/>
      <c r="B606"/>
      <c r="C606"/>
      <c r="D606"/>
      <c r="E606"/>
      <c r="F606"/>
      <c r="G606"/>
      <c r="H606"/>
      <c r="I606"/>
    </row>
    <row r="607" spans="1:9" x14ac:dyDescent="0.25">
      <c r="A607"/>
      <c r="B607"/>
      <c r="C607"/>
      <c r="D607"/>
      <c r="E607"/>
      <c r="F607"/>
      <c r="G607"/>
      <c r="H607"/>
      <c r="I607"/>
    </row>
    <row r="608" spans="1:9" x14ac:dyDescent="0.25">
      <c r="A608"/>
      <c r="B608"/>
      <c r="C608"/>
      <c r="D608"/>
      <c r="E608"/>
      <c r="F608"/>
      <c r="G608"/>
      <c r="H608"/>
      <c r="I608"/>
    </row>
    <row r="609" spans="1:9" x14ac:dyDescent="0.25">
      <c r="A609"/>
      <c r="B609"/>
      <c r="C609"/>
      <c r="D609"/>
      <c r="E609"/>
      <c r="F609"/>
      <c r="G609"/>
      <c r="H609"/>
      <c r="I609"/>
    </row>
    <row r="610" spans="1:9" x14ac:dyDescent="0.25">
      <c r="A610"/>
      <c r="B610"/>
      <c r="C610"/>
      <c r="D610"/>
      <c r="E610"/>
      <c r="F610"/>
      <c r="G610"/>
      <c r="H610"/>
      <c r="I610"/>
    </row>
    <row r="611" spans="1:9" x14ac:dyDescent="0.25">
      <c r="A611"/>
      <c r="B611"/>
      <c r="C611"/>
      <c r="D611"/>
      <c r="E611"/>
      <c r="F611"/>
      <c r="G611"/>
      <c r="H611"/>
      <c r="I611"/>
    </row>
    <row r="612" spans="1:9" x14ac:dyDescent="0.25">
      <c r="A612"/>
      <c r="B612"/>
      <c r="C612"/>
      <c r="D612"/>
      <c r="E612"/>
      <c r="F612"/>
      <c r="G612"/>
      <c r="H612"/>
      <c r="I612"/>
    </row>
    <row r="613" spans="1:9" x14ac:dyDescent="0.25">
      <c r="A613"/>
      <c r="B613"/>
      <c r="C613"/>
      <c r="D613"/>
      <c r="E613"/>
      <c r="F613"/>
      <c r="G613"/>
      <c r="H613"/>
      <c r="I613"/>
    </row>
    <row r="614" spans="1:9" x14ac:dyDescent="0.25">
      <c r="A614"/>
      <c r="B614"/>
      <c r="C614"/>
      <c r="D614"/>
      <c r="E614"/>
      <c r="F614"/>
      <c r="G614"/>
      <c r="H614"/>
      <c r="I614"/>
    </row>
    <row r="615" spans="1:9" x14ac:dyDescent="0.25">
      <c r="A615"/>
      <c r="B615"/>
      <c r="C615"/>
      <c r="D615"/>
      <c r="E615"/>
      <c r="F615"/>
      <c r="G615"/>
      <c r="H615"/>
      <c r="I615"/>
    </row>
    <row r="616" spans="1:9" x14ac:dyDescent="0.25">
      <c r="A616"/>
      <c r="B616"/>
      <c r="C616"/>
      <c r="D616"/>
      <c r="E616"/>
      <c r="F616"/>
      <c r="G616"/>
      <c r="H616"/>
      <c r="I616"/>
    </row>
    <row r="617" spans="1:9" x14ac:dyDescent="0.25">
      <c r="A617"/>
      <c r="B617"/>
      <c r="C617"/>
      <c r="D617"/>
      <c r="E617"/>
      <c r="F617"/>
      <c r="G617"/>
      <c r="H617"/>
      <c r="I617"/>
    </row>
    <row r="618" spans="1:9" x14ac:dyDescent="0.25">
      <c r="A618"/>
      <c r="B618"/>
      <c r="C618"/>
      <c r="D618"/>
      <c r="E618"/>
      <c r="F618"/>
      <c r="G618"/>
      <c r="H618"/>
      <c r="I618"/>
    </row>
    <row r="619" spans="1:9" x14ac:dyDescent="0.25">
      <c r="A619"/>
      <c r="B619"/>
      <c r="C619"/>
      <c r="D619"/>
      <c r="E619"/>
      <c r="F619"/>
      <c r="G619"/>
      <c r="H619"/>
      <c r="I619"/>
    </row>
    <row r="620" spans="1:9" x14ac:dyDescent="0.25">
      <c r="A620"/>
      <c r="B620"/>
      <c r="C620"/>
      <c r="D620"/>
      <c r="E620"/>
      <c r="F620"/>
      <c r="G620"/>
      <c r="H620"/>
      <c r="I620"/>
    </row>
    <row r="621" spans="1:9" x14ac:dyDescent="0.25">
      <c r="A621"/>
      <c r="B621"/>
      <c r="C621"/>
      <c r="D621"/>
      <c r="E621"/>
      <c r="F621"/>
      <c r="G621"/>
      <c r="H621"/>
      <c r="I621"/>
    </row>
    <row r="622" spans="1:9" x14ac:dyDescent="0.25">
      <c r="A622"/>
      <c r="B622"/>
      <c r="C622"/>
      <c r="D622"/>
      <c r="E622"/>
      <c r="F622"/>
      <c r="G622"/>
      <c r="H622"/>
      <c r="I622"/>
    </row>
    <row r="623" spans="1:9" x14ac:dyDescent="0.25">
      <c r="A623"/>
      <c r="B623"/>
      <c r="C623"/>
      <c r="D623"/>
      <c r="E623"/>
      <c r="F623"/>
      <c r="G623"/>
      <c r="H623"/>
      <c r="I623"/>
    </row>
    <row r="624" spans="1:9" x14ac:dyDescent="0.25">
      <c r="A624"/>
      <c r="B624"/>
      <c r="C624"/>
      <c r="D624"/>
      <c r="E624"/>
      <c r="F624"/>
      <c r="G624"/>
      <c r="H624"/>
      <c r="I624"/>
    </row>
    <row r="625" spans="1:9" x14ac:dyDescent="0.25">
      <c r="A625"/>
      <c r="B625"/>
      <c r="C625"/>
      <c r="D625"/>
      <c r="E625"/>
      <c r="F625"/>
      <c r="G625"/>
      <c r="H625"/>
      <c r="I625"/>
    </row>
    <row r="626" spans="1:9" x14ac:dyDescent="0.25">
      <c r="A626"/>
      <c r="B626"/>
      <c r="C626"/>
      <c r="D626"/>
      <c r="E626"/>
      <c r="F626"/>
      <c r="G626"/>
      <c r="H626"/>
      <c r="I626"/>
    </row>
    <row r="627" spans="1:9" x14ac:dyDescent="0.25">
      <c r="A627"/>
      <c r="B627"/>
      <c r="C627"/>
      <c r="D627"/>
      <c r="E627"/>
      <c r="F627"/>
      <c r="G627"/>
      <c r="H627"/>
      <c r="I627"/>
    </row>
    <row r="628" spans="1:9" x14ac:dyDescent="0.25">
      <c r="A628"/>
      <c r="B628"/>
      <c r="C628"/>
      <c r="D628"/>
      <c r="E628"/>
      <c r="F628"/>
      <c r="G628"/>
      <c r="H628"/>
      <c r="I628"/>
    </row>
    <row r="629" spans="1:9" x14ac:dyDescent="0.25">
      <c r="A629"/>
      <c r="B629"/>
      <c r="C629"/>
      <c r="D629"/>
      <c r="E629"/>
      <c r="F629"/>
      <c r="G629"/>
      <c r="H629"/>
      <c r="I629"/>
    </row>
    <row r="630" spans="1:9" x14ac:dyDescent="0.25">
      <c r="A630"/>
      <c r="B630"/>
      <c r="C630"/>
      <c r="D630"/>
      <c r="E630"/>
      <c r="F630"/>
      <c r="G630"/>
      <c r="H630"/>
      <c r="I630"/>
    </row>
    <row r="631" spans="1:9" x14ac:dyDescent="0.25">
      <c r="A631"/>
      <c r="B631"/>
      <c r="C631"/>
      <c r="D631"/>
      <c r="E631"/>
      <c r="F631"/>
      <c r="G631"/>
      <c r="H631"/>
      <c r="I631"/>
    </row>
    <row r="632" spans="1:9" x14ac:dyDescent="0.25">
      <c r="A632"/>
      <c r="B632"/>
      <c r="C632"/>
      <c r="D632"/>
      <c r="E632"/>
      <c r="F632"/>
      <c r="G632"/>
      <c r="H632"/>
      <c r="I632"/>
    </row>
    <row r="633" spans="1:9" x14ac:dyDescent="0.25">
      <c r="A633"/>
      <c r="B633"/>
      <c r="C633"/>
      <c r="D633"/>
      <c r="E633"/>
      <c r="F633"/>
      <c r="G633"/>
      <c r="H633"/>
      <c r="I633"/>
    </row>
    <row r="634" spans="1:9" x14ac:dyDescent="0.25">
      <c r="A634"/>
      <c r="B634"/>
      <c r="C634"/>
      <c r="D634"/>
      <c r="E634"/>
      <c r="F634"/>
      <c r="G634"/>
      <c r="H634"/>
      <c r="I634"/>
    </row>
    <row r="635" spans="1:9" x14ac:dyDescent="0.25">
      <c r="A635"/>
      <c r="B635"/>
      <c r="C635"/>
      <c r="D635"/>
      <c r="E635"/>
      <c r="F635"/>
      <c r="G635"/>
      <c r="H635"/>
      <c r="I635"/>
    </row>
    <row r="636" spans="1:9" x14ac:dyDescent="0.25">
      <c r="A636"/>
      <c r="B636"/>
      <c r="C636"/>
      <c r="D636"/>
      <c r="E636"/>
      <c r="F636"/>
      <c r="G636"/>
      <c r="H636"/>
      <c r="I636"/>
    </row>
    <row r="637" spans="1:9" x14ac:dyDescent="0.25">
      <c r="A637"/>
      <c r="B637"/>
      <c r="C637"/>
      <c r="D637"/>
      <c r="E637"/>
      <c r="F637"/>
      <c r="G637"/>
      <c r="H637"/>
      <c r="I637"/>
    </row>
    <row r="638" spans="1:9" x14ac:dyDescent="0.25">
      <c r="A638"/>
      <c r="B638"/>
      <c r="C638"/>
      <c r="D638"/>
      <c r="E638"/>
      <c r="F638"/>
      <c r="G638"/>
      <c r="H638"/>
      <c r="I638"/>
    </row>
    <row r="639" spans="1:9" x14ac:dyDescent="0.25">
      <c r="A639"/>
      <c r="B639"/>
      <c r="C639"/>
      <c r="D639"/>
      <c r="E639"/>
      <c r="F639"/>
      <c r="G639"/>
      <c r="H639"/>
      <c r="I639"/>
    </row>
    <row r="640" spans="1:9" x14ac:dyDescent="0.25">
      <c r="A640"/>
      <c r="B640"/>
      <c r="C640"/>
      <c r="D640"/>
      <c r="E640"/>
      <c r="F640"/>
      <c r="G640"/>
      <c r="H640"/>
      <c r="I640"/>
    </row>
    <row r="641" spans="1:9" x14ac:dyDescent="0.25">
      <c r="A641"/>
      <c r="B641"/>
      <c r="C641"/>
      <c r="D641"/>
      <c r="E641"/>
      <c r="F641"/>
      <c r="G641"/>
      <c r="H641"/>
      <c r="I641"/>
    </row>
    <row r="642" spans="1:9" x14ac:dyDescent="0.25">
      <c r="A642"/>
      <c r="B642"/>
      <c r="C642"/>
      <c r="D642"/>
      <c r="E642"/>
      <c r="F642"/>
      <c r="G642"/>
      <c r="H642"/>
      <c r="I642"/>
    </row>
    <row r="643" spans="1:9" x14ac:dyDescent="0.25">
      <c r="A643"/>
      <c r="B643"/>
      <c r="C643"/>
      <c r="D643"/>
      <c r="E643"/>
      <c r="F643"/>
      <c r="G643"/>
      <c r="H643"/>
      <c r="I643"/>
    </row>
    <row r="644" spans="1:9" x14ac:dyDescent="0.25">
      <c r="A644"/>
      <c r="B644"/>
      <c r="C644"/>
      <c r="D644"/>
      <c r="E644"/>
      <c r="F644"/>
      <c r="G644"/>
      <c r="H644"/>
      <c r="I644"/>
    </row>
    <row r="645" spans="1:9" x14ac:dyDescent="0.25">
      <c r="A645"/>
      <c r="B645"/>
      <c r="C645"/>
      <c r="D645"/>
      <c r="E645"/>
      <c r="F645"/>
      <c r="G645"/>
      <c r="H645"/>
      <c r="I645"/>
    </row>
    <row r="646" spans="1:9" x14ac:dyDescent="0.25">
      <c r="A646"/>
      <c r="B646"/>
      <c r="C646"/>
      <c r="D646"/>
      <c r="E646"/>
      <c r="F646"/>
      <c r="G646"/>
      <c r="H646"/>
      <c r="I646"/>
    </row>
    <row r="647" spans="1:9" x14ac:dyDescent="0.25">
      <c r="A647"/>
      <c r="B647"/>
      <c r="C647"/>
      <c r="D647"/>
      <c r="E647"/>
      <c r="F647"/>
      <c r="G647"/>
      <c r="H647"/>
      <c r="I647"/>
    </row>
    <row r="648" spans="1:9" x14ac:dyDescent="0.25">
      <c r="A648"/>
      <c r="B648"/>
      <c r="C648"/>
      <c r="D648"/>
      <c r="E648"/>
      <c r="F648"/>
      <c r="G648"/>
      <c r="H648"/>
      <c r="I648"/>
    </row>
    <row r="649" spans="1:9" x14ac:dyDescent="0.25">
      <c r="A649"/>
      <c r="B649"/>
      <c r="C649"/>
      <c r="D649"/>
      <c r="E649"/>
      <c r="F649"/>
      <c r="G649"/>
      <c r="H649"/>
      <c r="I649"/>
    </row>
    <row r="650" spans="1:9" x14ac:dyDescent="0.25">
      <c r="A650"/>
      <c r="B650"/>
      <c r="C650"/>
      <c r="D650"/>
      <c r="E650"/>
      <c r="F650"/>
      <c r="G650"/>
      <c r="H650"/>
      <c r="I650"/>
    </row>
    <row r="651" spans="1:9" x14ac:dyDescent="0.25">
      <c r="A651"/>
      <c r="B651"/>
      <c r="C651"/>
      <c r="D651"/>
      <c r="E651"/>
      <c r="F651"/>
      <c r="G651"/>
      <c r="H651"/>
      <c r="I651"/>
    </row>
    <row r="652" spans="1:9" x14ac:dyDescent="0.25">
      <c r="A652"/>
      <c r="B652"/>
      <c r="C652"/>
      <c r="D652"/>
      <c r="E652"/>
      <c r="F652"/>
      <c r="G652"/>
      <c r="H652"/>
      <c r="I652"/>
    </row>
    <row r="653" spans="1:9" x14ac:dyDescent="0.25">
      <c r="A653"/>
      <c r="B653"/>
      <c r="C653"/>
      <c r="D653"/>
      <c r="E653"/>
      <c r="F653"/>
      <c r="G653"/>
      <c r="H653"/>
      <c r="I653"/>
    </row>
    <row r="654" spans="1:9" x14ac:dyDescent="0.25">
      <c r="A654"/>
      <c r="B654"/>
      <c r="C654"/>
      <c r="D654"/>
      <c r="E654"/>
      <c r="F654"/>
      <c r="G654"/>
      <c r="H654"/>
      <c r="I654"/>
    </row>
    <row r="655" spans="1:9" x14ac:dyDescent="0.25">
      <c r="A655"/>
      <c r="B655"/>
      <c r="C655"/>
      <c r="D655"/>
      <c r="E655"/>
      <c r="F655"/>
      <c r="G655"/>
      <c r="H655"/>
      <c r="I655"/>
    </row>
    <row r="656" spans="1:9" x14ac:dyDescent="0.25">
      <c r="A656"/>
      <c r="B656"/>
      <c r="C656"/>
      <c r="D656"/>
      <c r="E656"/>
      <c r="F656"/>
      <c r="G656"/>
      <c r="H656"/>
      <c r="I656"/>
    </row>
    <row r="657" spans="1:9" x14ac:dyDescent="0.25">
      <c r="A657"/>
      <c r="B657"/>
      <c r="C657"/>
      <c r="D657"/>
      <c r="E657"/>
      <c r="F657"/>
      <c r="G657"/>
      <c r="H657"/>
      <c r="I657"/>
    </row>
    <row r="658" spans="1:9" x14ac:dyDescent="0.25">
      <c r="A658"/>
      <c r="B658"/>
      <c r="C658"/>
      <c r="D658"/>
      <c r="E658"/>
      <c r="F658"/>
      <c r="G658"/>
      <c r="H658"/>
      <c r="I658"/>
    </row>
    <row r="659" spans="1:9" x14ac:dyDescent="0.25">
      <c r="A659"/>
      <c r="B659"/>
      <c r="C659"/>
      <c r="D659"/>
      <c r="E659"/>
      <c r="F659"/>
      <c r="G659"/>
      <c r="H659"/>
      <c r="I659"/>
    </row>
    <row r="660" spans="1:9" x14ac:dyDescent="0.25">
      <c r="A660"/>
      <c r="B660"/>
      <c r="C660"/>
      <c r="D660"/>
      <c r="E660"/>
      <c r="F660"/>
      <c r="G660"/>
      <c r="H660"/>
      <c r="I660"/>
    </row>
    <row r="661" spans="1:9" x14ac:dyDescent="0.25">
      <c r="A661"/>
      <c r="B661"/>
      <c r="C661"/>
      <c r="D661"/>
      <c r="E661"/>
      <c r="F661"/>
      <c r="G661"/>
      <c r="H661"/>
      <c r="I661"/>
    </row>
    <row r="662" spans="1:9" x14ac:dyDescent="0.25">
      <c r="A662"/>
      <c r="B662"/>
      <c r="C662"/>
      <c r="D662"/>
      <c r="E662"/>
      <c r="F662"/>
      <c r="G662"/>
      <c r="H662"/>
      <c r="I662"/>
    </row>
    <row r="663" spans="1:9" x14ac:dyDescent="0.25">
      <c r="A663"/>
      <c r="B663"/>
      <c r="C663"/>
      <c r="D663"/>
      <c r="E663"/>
      <c r="F663"/>
      <c r="G663"/>
      <c r="H663"/>
      <c r="I663"/>
    </row>
    <row r="664" spans="1:9" x14ac:dyDescent="0.25">
      <c r="A664"/>
      <c r="B664"/>
      <c r="C664"/>
      <c r="D664"/>
      <c r="E664"/>
      <c r="F664"/>
      <c r="G664"/>
      <c r="H664"/>
      <c r="I664"/>
    </row>
    <row r="665" spans="1:9" x14ac:dyDescent="0.25">
      <c r="A665"/>
      <c r="B665"/>
      <c r="C665"/>
      <c r="D665"/>
      <c r="E665"/>
      <c r="F665"/>
      <c r="G665"/>
      <c r="H665"/>
      <c r="I665"/>
    </row>
    <row r="666" spans="1:9" x14ac:dyDescent="0.25">
      <c r="A666"/>
      <c r="B666"/>
      <c r="C666"/>
      <c r="D666"/>
      <c r="E666"/>
      <c r="F666"/>
      <c r="G666"/>
      <c r="H666"/>
      <c r="I666"/>
    </row>
    <row r="667" spans="1:9" x14ac:dyDescent="0.25">
      <c r="A667"/>
      <c r="B667"/>
      <c r="C667"/>
      <c r="D667"/>
      <c r="E667"/>
      <c r="F667"/>
      <c r="G667"/>
      <c r="H667"/>
      <c r="I667"/>
    </row>
    <row r="668" spans="1:9" x14ac:dyDescent="0.25">
      <c r="A668"/>
      <c r="B668"/>
      <c r="C668"/>
      <c r="D668"/>
      <c r="E668"/>
      <c r="F668"/>
      <c r="G668"/>
      <c r="H668"/>
      <c r="I668"/>
    </row>
    <row r="669" spans="1:9" x14ac:dyDescent="0.25">
      <c r="A669"/>
      <c r="B669"/>
      <c r="C669"/>
      <c r="D669"/>
      <c r="E669"/>
      <c r="F669"/>
      <c r="G669"/>
      <c r="H669"/>
      <c r="I669"/>
    </row>
    <row r="670" spans="1:9" x14ac:dyDescent="0.25">
      <c r="A670"/>
      <c r="B670"/>
      <c r="C670"/>
      <c r="D670"/>
      <c r="E670"/>
      <c r="F670"/>
      <c r="G670"/>
      <c r="H670"/>
      <c r="I670"/>
    </row>
    <row r="671" spans="1:9" x14ac:dyDescent="0.25">
      <c r="A671"/>
      <c r="B671"/>
      <c r="C671"/>
      <c r="D671"/>
      <c r="E671"/>
      <c r="F671"/>
      <c r="G671"/>
      <c r="H671"/>
      <c r="I671"/>
    </row>
    <row r="672" spans="1:9" x14ac:dyDescent="0.25">
      <c r="A672"/>
      <c r="B672"/>
      <c r="C672"/>
      <c r="D672"/>
      <c r="E672"/>
      <c r="F672"/>
      <c r="G672"/>
      <c r="H672"/>
      <c r="I672"/>
    </row>
    <row r="673" spans="1:9" x14ac:dyDescent="0.25">
      <c r="A673"/>
      <c r="B673"/>
      <c r="C673"/>
      <c r="D673"/>
      <c r="E673"/>
      <c r="F673"/>
      <c r="G673"/>
      <c r="H673"/>
      <c r="I673"/>
    </row>
    <row r="674" spans="1:9" x14ac:dyDescent="0.25">
      <c r="A674"/>
      <c r="B674"/>
      <c r="C674"/>
      <c r="D674"/>
      <c r="E674"/>
      <c r="F674"/>
      <c r="G674"/>
      <c r="H674"/>
      <c r="I674"/>
    </row>
    <row r="675" spans="1:9" x14ac:dyDescent="0.25">
      <c r="A675"/>
      <c r="B675"/>
      <c r="C675"/>
      <c r="D675"/>
      <c r="E675"/>
      <c r="F675"/>
      <c r="G675"/>
      <c r="H675"/>
      <c r="I675"/>
    </row>
    <row r="676" spans="1:9" x14ac:dyDescent="0.25">
      <c r="A676"/>
      <c r="B676"/>
      <c r="C676"/>
      <c r="D676"/>
      <c r="E676"/>
      <c r="F676"/>
      <c r="G676"/>
      <c r="H676"/>
      <c r="I676"/>
    </row>
    <row r="677" spans="1:9" x14ac:dyDescent="0.25">
      <c r="A677"/>
      <c r="B677"/>
      <c r="C677"/>
      <c r="D677"/>
      <c r="E677"/>
      <c r="F677"/>
      <c r="G677"/>
      <c r="H677"/>
      <c r="I677"/>
    </row>
    <row r="678" spans="1:9" x14ac:dyDescent="0.25">
      <c r="A678"/>
      <c r="B678"/>
      <c r="C678"/>
      <c r="D678"/>
      <c r="E678"/>
      <c r="F678"/>
      <c r="G678"/>
      <c r="H678"/>
      <c r="I678"/>
    </row>
    <row r="679" spans="1:9" x14ac:dyDescent="0.25">
      <c r="A679"/>
      <c r="B679"/>
      <c r="C679"/>
      <c r="D679"/>
      <c r="E679"/>
      <c r="F679"/>
      <c r="G679"/>
      <c r="H679"/>
      <c r="I679"/>
    </row>
    <row r="680" spans="1:9" x14ac:dyDescent="0.25">
      <c r="A680"/>
      <c r="B680"/>
      <c r="C680"/>
      <c r="D680"/>
      <c r="E680"/>
      <c r="F680"/>
      <c r="G680"/>
      <c r="H680"/>
      <c r="I680"/>
    </row>
    <row r="681" spans="1:9" x14ac:dyDescent="0.25">
      <c r="A681"/>
      <c r="B681"/>
      <c r="C681"/>
      <c r="D681"/>
      <c r="E681"/>
      <c r="F681"/>
      <c r="G681"/>
      <c r="H681"/>
      <c r="I681"/>
    </row>
    <row r="682" spans="1:9" x14ac:dyDescent="0.25">
      <c r="A682"/>
      <c r="B682"/>
      <c r="C682"/>
      <c r="D682"/>
      <c r="E682"/>
      <c r="F682"/>
      <c r="G682"/>
      <c r="H682"/>
      <c r="I682"/>
    </row>
    <row r="683" spans="1:9" x14ac:dyDescent="0.25">
      <c r="A683"/>
      <c r="B683"/>
      <c r="C683"/>
      <c r="D683"/>
      <c r="E683"/>
      <c r="F683"/>
      <c r="G683"/>
      <c r="H683"/>
      <c r="I683"/>
    </row>
    <row r="684" spans="1:9" x14ac:dyDescent="0.25">
      <c r="A684"/>
      <c r="B684"/>
      <c r="C684"/>
      <c r="D684"/>
      <c r="E684"/>
      <c r="F684"/>
      <c r="G684"/>
      <c r="H684"/>
      <c r="I684"/>
    </row>
    <row r="685" spans="1:9" x14ac:dyDescent="0.25">
      <c r="A685"/>
      <c r="B685"/>
      <c r="C685"/>
      <c r="D685"/>
      <c r="E685"/>
      <c r="F685"/>
      <c r="G685"/>
      <c r="H685"/>
      <c r="I685"/>
    </row>
    <row r="686" spans="1:9" x14ac:dyDescent="0.25">
      <c r="A686"/>
      <c r="B686"/>
      <c r="C686"/>
      <c r="D686"/>
      <c r="E686"/>
      <c r="F686"/>
      <c r="G686"/>
      <c r="H686"/>
      <c r="I686"/>
    </row>
    <row r="687" spans="1:9" x14ac:dyDescent="0.25">
      <c r="A687"/>
      <c r="B687"/>
      <c r="C687"/>
      <c r="D687"/>
      <c r="E687"/>
      <c r="F687"/>
      <c r="G687"/>
      <c r="H687"/>
      <c r="I687"/>
    </row>
    <row r="688" spans="1:9" x14ac:dyDescent="0.25">
      <c r="A688"/>
      <c r="B688"/>
      <c r="C688"/>
      <c r="D688"/>
      <c r="E688"/>
      <c r="F688"/>
      <c r="G688"/>
      <c r="H688"/>
      <c r="I688"/>
    </row>
    <row r="689" spans="1:9" x14ac:dyDescent="0.25">
      <c r="A689"/>
      <c r="B689"/>
      <c r="C689"/>
      <c r="D689"/>
      <c r="E689"/>
      <c r="F689"/>
      <c r="G689"/>
      <c r="H689"/>
      <c r="I689"/>
    </row>
    <row r="690" spans="1:9" x14ac:dyDescent="0.25">
      <c r="A690"/>
      <c r="B690"/>
      <c r="C690"/>
      <c r="D690"/>
      <c r="E690"/>
      <c r="F690"/>
      <c r="G690"/>
      <c r="H690"/>
      <c r="I690"/>
    </row>
    <row r="691" spans="1:9" x14ac:dyDescent="0.25">
      <c r="A691"/>
      <c r="B691"/>
      <c r="C691"/>
      <c r="D691"/>
      <c r="E691"/>
      <c r="F691"/>
      <c r="G691"/>
      <c r="H691"/>
      <c r="I691"/>
    </row>
    <row r="692" spans="1:9" x14ac:dyDescent="0.25">
      <c r="A692"/>
      <c r="B692"/>
      <c r="C692"/>
      <c r="D692"/>
      <c r="E692"/>
      <c r="F692"/>
      <c r="G692"/>
      <c r="H692"/>
      <c r="I692"/>
    </row>
    <row r="693" spans="1:9" x14ac:dyDescent="0.25">
      <c r="A693"/>
      <c r="B693"/>
      <c r="C693"/>
      <c r="D693"/>
      <c r="E693"/>
      <c r="F693"/>
      <c r="G693"/>
      <c r="H693"/>
      <c r="I693"/>
    </row>
    <row r="694" spans="1:9" x14ac:dyDescent="0.25">
      <c r="A694"/>
      <c r="B694"/>
      <c r="C694"/>
      <c r="D694"/>
      <c r="E694"/>
      <c r="F694"/>
      <c r="G694"/>
      <c r="H694"/>
      <c r="I694"/>
    </row>
    <row r="695" spans="1:9" x14ac:dyDescent="0.25">
      <c r="A695"/>
      <c r="B695"/>
      <c r="C695"/>
      <c r="D695"/>
      <c r="E695"/>
      <c r="F695"/>
      <c r="G695"/>
      <c r="H695"/>
      <c r="I695"/>
    </row>
    <row r="696" spans="1:9" x14ac:dyDescent="0.25">
      <c r="A696"/>
      <c r="B696"/>
      <c r="C696"/>
      <c r="D696"/>
      <c r="E696"/>
      <c r="F696"/>
      <c r="G696"/>
      <c r="H696"/>
      <c r="I696"/>
    </row>
    <row r="697" spans="1:9" x14ac:dyDescent="0.25">
      <c r="A697"/>
      <c r="B697"/>
      <c r="C697"/>
      <c r="D697"/>
      <c r="E697"/>
      <c r="F697"/>
      <c r="G697"/>
      <c r="H697"/>
      <c r="I697"/>
    </row>
    <row r="698" spans="1:9" x14ac:dyDescent="0.25">
      <c r="A698"/>
      <c r="B698"/>
      <c r="C698"/>
      <c r="D698"/>
      <c r="E698"/>
      <c r="F698"/>
      <c r="G698"/>
      <c r="H698"/>
      <c r="I698"/>
    </row>
    <row r="699" spans="1:9" x14ac:dyDescent="0.25">
      <c r="A699"/>
      <c r="B699"/>
      <c r="C699"/>
      <c r="D699"/>
      <c r="E699"/>
      <c r="F699"/>
      <c r="G699"/>
      <c r="H699"/>
      <c r="I699"/>
    </row>
    <row r="700" spans="1:9" x14ac:dyDescent="0.25">
      <c r="A700"/>
      <c r="B700"/>
      <c r="C700"/>
      <c r="D700"/>
      <c r="E700"/>
      <c r="F700"/>
      <c r="G700"/>
      <c r="H700"/>
      <c r="I700"/>
    </row>
    <row r="701" spans="1:9" x14ac:dyDescent="0.25">
      <c r="A701"/>
      <c r="B701"/>
      <c r="C701"/>
      <c r="D701"/>
      <c r="E701"/>
      <c r="F701"/>
      <c r="G701"/>
      <c r="H701"/>
      <c r="I701"/>
    </row>
    <row r="702" spans="1:9" x14ac:dyDescent="0.25">
      <c r="A702"/>
      <c r="B702"/>
      <c r="C702"/>
      <c r="D702"/>
      <c r="E702"/>
      <c r="F702"/>
      <c r="G702"/>
      <c r="H702"/>
      <c r="I702"/>
    </row>
    <row r="703" spans="1:9" x14ac:dyDescent="0.25">
      <c r="A703"/>
      <c r="B703"/>
      <c r="C703"/>
      <c r="D703"/>
      <c r="E703"/>
      <c r="F703"/>
      <c r="G703"/>
      <c r="H703"/>
      <c r="I703"/>
    </row>
    <row r="704" spans="1:9" x14ac:dyDescent="0.25">
      <c r="A704"/>
      <c r="B704"/>
      <c r="C704"/>
      <c r="D704"/>
      <c r="E704"/>
      <c r="F704"/>
      <c r="G704"/>
      <c r="H704"/>
      <c r="I704"/>
    </row>
    <row r="705" spans="1:9" x14ac:dyDescent="0.25">
      <c r="A705"/>
      <c r="B705"/>
      <c r="C705"/>
      <c r="D705"/>
      <c r="E705"/>
      <c r="F705"/>
      <c r="G705"/>
      <c r="H705"/>
      <c r="I705"/>
    </row>
    <row r="706" spans="1:9" x14ac:dyDescent="0.25">
      <c r="A706"/>
      <c r="B706"/>
      <c r="C706"/>
      <c r="D706"/>
      <c r="E706"/>
      <c r="F706"/>
      <c r="G706"/>
      <c r="H706"/>
      <c r="I706"/>
    </row>
    <row r="707" spans="1:9" x14ac:dyDescent="0.25">
      <c r="A707"/>
      <c r="B707"/>
      <c r="C707"/>
      <c r="D707"/>
      <c r="E707"/>
      <c r="F707"/>
      <c r="G707"/>
      <c r="H707"/>
      <c r="I707"/>
    </row>
    <row r="708" spans="1:9" x14ac:dyDescent="0.25">
      <c r="A708"/>
      <c r="B708"/>
      <c r="C708"/>
      <c r="D708"/>
      <c r="E708"/>
      <c r="F708"/>
      <c r="G708"/>
      <c r="H708"/>
      <c r="I708"/>
    </row>
    <row r="709" spans="1:9" x14ac:dyDescent="0.25">
      <c r="A709"/>
      <c r="B709"/>
      <c r="C709"/>
      <c r="D709"/>
      <c r="E709"/>
      <c r="F709"/>
      <c r="G709"/>
      <c r="H709"/>
      <c r="I709"/>
    </row>
    <row r="710" spans="1:9" x14ac:dyDescent="0.25">
      <c r="A710"/>
      <c r="B710"/>
      <c r="C710"/>
      <c r="D710"/>
      <c r="E710"/>
      <c r="F710"/>
      <c r="G710"/>
      <c r="H710"/>
      <c r="I710"/>
    </row>
    <row r="711" spans="1:9" x14ac:dyDescent="0.25">
      <c r="A711"/>
      <c r="B711"/>
      <c r="C711"/>
      <c r="D711"/>
      <c r="E711"/>
      <c r="F711"/>
      <c r="G711"/>
      <c r="H711"/>
      <c r="I711"/>
    </row>
    <row r="712" spans="1:9" x14ac:dyDescent="0.25">
      <c r="A712"/>
      <c r="B712"/>
      <c r="C712"/>
      <c r="D712"/>
      <c r="E712"/>
      <c r="F712"/>
      <c r="G712"/>
      <c r="H712"/>
      <c r="I712"/>
    </row>
    <row r="713" spans="1:9" x14ac:dyDescent="0.25">
      <c r="A713"/>
      <c r="B713"/>
      <c r="C713"/>
      <c r="D713"/>
      <c r="E713"/>
      <c r="F713"/>
      <c r="G713"/>
      <c r="H713"/>
      <c r="I713"/>
    </row>
    <row r="714" spans="1:9" x14ac:dyDescent="0.25">
      <c r="A714"/>
      <c r="B714"/>
      <c r="C714"/>
      <c r="D714"/>
      <c r="E714"/>
      <c r="F714"/>
      <c r="G714"/>
      <c r="H714"/>
      <c r="I714"/>
    </row>
    <row r="715" spans="1:9" x14ac:dyDescent="0.25">
      <c r="A715"/>
      <c r="B715"/>
      <c r="C715"/>
      <c r="D715"/>
      <c r="E715"/>
      <c r="F715"/>
      <c r="G715"/>
      <c r="H715"/>
      <c r="I715"/>
    </row>
    <row r="716" spans="1:9" x14ac:dyDescent="0.25">
      <c r="A716"/>
      <c r="B716"/>
      <c r="C716"/>
      <c r="D716"/>
      <c r="E716"/>
      <c r="F716"/>
      <c r="G716"/>
      <c r="H716"/>
      <c r="I716"/>
    </row>
    <row r="717" spans="1:9" x14ac:dyDescent="0.25">
      <c r="A717"/>
      <c r="B717"/>
      <c r="C717"/>
      <c r="D717"/>
      <c r="E717"/>
      <c r="F717"/>
      <c r="G717"/>
      <c r="H717"/>
      <c r="I717"/>
    </row>
    <row r="718" spans="1:9" x14ac:dyDescent="0.25">
      <c r="A718"/>
      <c r="B718"/>
      <c r="C718"/>
      <c r="D718"/>
      <c r="E718"/>
      <c r="F718"/>
      <c r="G718"/>
      <c r="H718"/>
      <c r="I718"/>
    </row>
    <row r="719" spans="1:9" x14ac:dyDescent="0.25">
      <c r="A719"/>
      <c r="B719"/>
      <c r="C719"/>
      <c r="D719"/>
      <c r="E719"/>
      <c r="F719"/>
      <c r="G719"/>
      <c r="H719"/>
      <c r="I719"/>
    </row>
    <row r="720" spans="1:9" x14ac:dyDescent="0.25">
      <c r="A720"/>
      <c r="B720"/>
      <c r="C720"/>
      <c r="D720"/>
      <c r="E720"/>
      <c r="F720"/>
      <c r="G720"/>
      <c r="H720"/>
      <c r="I720"/>
    </row>
    <row r="721" spans="1:9" x14ac:dyDescent="0.25">
      <c r="A721"/>
      <c r="B721"/>
      <c r="C721"/>
      <c r="D721"/>
      <c r="E721"/>
      <c r="F721"/>
      <c r="G721"/>
      <c r="H721"/>
      <c r="I721"/>
    </row>
    <row r="722" spans="1:9" x14ac:dyDescent="0.25">
      <c r="A722"/>
      <c r="B722"/>
      <c r="C722"/>
      <c r="D722"/>
      <c r="E722"/>
      <c r="F722"/>
      <c r="G722"/>
      <c r="H722"/>
      <c r="I722"/>
    </row>
    <row r="723" spans="1:9" x14ac:dyDescent="0.25">
      <c r="A723"/>
      <c r="B723"/>
      <c r="C723"/>
      <c r="D723"/>
      <c r="E723"/>
      <c r="F723"/>
      <c r="G723"/>
      <c r="H723"/>
      <c r="I723"/>
    </row>
    <row r="724" spans="1:9" x14ac:dyDescent="0.25">
      <c r="A724"/>
      <c r="B724"/>
      <c r="C724"/>
      <c r="D724"/>
      <c r="E724"/>
      <c r="F724"/>
      <c r="G724"/>
      <c r="H724"/>
      <c r="I724"/>
    </row>
    <row r="725" spans="1:9" x14ac:dyDescent="0.25">
      <c r="A725"/>
      <c r="B725"/>
      <c r="C725"/>
      <c r="D725"/>
      <c r="E725"/>
      <c r="F725"/>
      <c r="G725"/>
      <c r="H725"/>
      <c r="I725"/>
    </row>
    <row r="726" spans="1:9" x14ac:dyDescent="0.25">
      <c r="A726"/>
      <c r="B726"/>
      <c r="C726"/>
      <c r="D726"/>
      <c r="E726"/>
      <c r="F726"/>
      <c r="G726"/>
      <c r="H726"/>
      <c r="I726"/>
    </row>
    <row r="727" spans="1:9" x14ac:dyDescent="0.25">
      <c r="A727"/>
      <c r="B727"/>
      <c r="C727"/>
      <c r="D727"/>
      <c r="E727"/>
      <c r="F727"/>
      <c r="G727"/>
      <c r="H727"/>
      <c r="I727"/>
    </row>
    <row r="728" spans="1:9" x14ac:dyDescent="0.25">
      <c r="A728"/>
      <c r="B728"/>
      <c r="C728"/>
      <c r="D728"/>
      <c r="E728"/>
      <c r="F728"/>
      <c r="G728"/>
      <c r="H728"/>
      <c r="I728"/>
    </row>
    <row r="729" spans="1:9" x14ac:dyDescent="0.25">
      <c r="A729"/>
      <c r="B729"/>
      <c r="C729"/>
      <c r="D729"/>
      <c r="E729"/>
      <c r="F729"/>
      <c r="G729"/>
      <c r="H729"/>
      <c r="I729"/>
    </row>
    <row r="730" spans="1:9" x14ac:dyDescent="0.25">
      <c r="A730"/>
      <c r="B730"/>
      <c r="C730"/>
      <c r="D730"/>
      <c r="E730"/>
      <c r="F730"/>
      <c r="G730"/>
      <c r="H730"/>
      <c r="I730"/>
    </row>
    <row r="731" spans="1:9" x14ac:dyDescent="0.25">
      <c r="A731"/>
      <c r="B731"/>
      <c r="C731"/>
      <c r="D731"/>
      <c r="E731"/>
      <c r="F731"/>
      <c r="G731"/>
      <c r="H731"/>
      <c r="I731"/>
    </row>
    <row r="732" spans="1:9" x14ac:dyDescent="0.25">
      <c r="A732"/>
      <c r="B732"/>
      <c r="C732"/>
      <c r="D732"/>
      <c r="E732"/>
      <c r="F732"/>
      <c r="G732"/>
      <c r="H732"/>
      <c r="I732"/>
    </row>
    <row r="733" spans="1:9" x14ac:dyDescent="0.25">
      <c r="A733"/>
      <c r="B733"/>
      <c r="C733"/>
      <c r="D733"/>
      <c r="E733"/>
      <c r="F733"/>
      <c r="G733"/>
      <c r="H733"/>
      <c r="I733"/>
    </row>
    <row r="734" spans="1:9" x14ac:dyDescent="0.25">
      <c r="A734"/>
      <c r="B734"/>
      <c r="C734"/>
      <c r="D734"/>
      <c r="E734"/>
      <c r="F734"/>
      <c r="G734"/>
      <c r="H734"/>
      <c r="I734"/>
    </row>
    <row r="735" spans="1:9" x14ac:dyDescent="0.25">
      <c r="A735"/>
      <c r="B735"/>
      <c r="C735"/>
      <c r="D735"/>
      <c r="E735"/>
      <c r="F735"/>
      <c r="G735"/>
      <c r="H735"/>
      <c r="I735"/>
    </row>
    <row r="736" spans="1:9" x14ac:dyDescent="0.25">
      <c r="A736"/>
      <c r="B736"/>
      <c r="C736"/>
      <c r="D736"/>
      <c r="E736"/>
      <c r="F736"/>
      <c r="G736"/>
      <c r="H736"/>
      <c r="I736"/>
    </row>
    <row r="737" spans="1:9" x14ac:dyDescent="0.25">
      <c r="A737"/>
      <c r="B737"/>
      <c r="C737"/>
      <c r="D737"/>
      <c r="E737"/>
      <c r="F737"/>
      <c r="G737"/>
      <c r="H737"/>
      <c r="I737"/>
    </row>
    <row r="738" spans="1:9" x14ac:dyDescent="0.25">
      <c r="A738"/>
      <c r="B738"/>
      <c r="C738"/>
      <c r="D738"/>
      <c r="E738"/>
      <c r="F738"/>
      <c r="G738"/>
      <c r="H738"/>
      <c r="I738"/>
    </row>
    <row r="739" spans="1:9" x14ac:dyDescent="0.25">
      <c r="A739"/>
      <c r="B739"/>
      <c r="C739"/>
      <c r="D739"/>
      <c r="E739"/>
      <c r="F739"/>
      <c r="G739"/>
      <c r="H739"/>
      <c r="I739"/>
    </row>
    <row r="740" spans="1:9" x14ac:dyDescent="0.25">
      <c r="A740"/>
      <c r="B740"/>
      <c r="C740"/>
      <c r="D740"/>
      <c r="E740"/>
      <c r="F740"/>
      <c r="G740"/>
      <c r="H740"/>
      <c r="I740"/>
    </row>
    <row r="741" spans="1:9" x14ac:dyDescent="0.25">
      <c r="A741"/>
      <c r="B741"/>
      <c r="C741"/>
      <c r="D741"/>
      <c r="E741"/>
      <c r="F741"/>
      <c r="G741"/>
      <c r="H741"/>
      <c r="I741"/>
    </row>
    <row r="742" spans="1:9" x14ac:dyDescent="0.25">
      <c r="A742"/>
      <c r="B742"/>
      <c r="C742"/>
      <c r="D742"/>
      <c r="E742"/>
      <c r="F742"/>
      <c r="G742"/>
      <c r="H742"/>
      <c r="I742"/>
    </row>
    <row r="743" spans="1:9" x14ac:dyDescent="0.25">
      <c r="A743"/>
      <c r="B743"/>
      <c r="C743"/>
      <c r="D743"/>
      <c r="E743"/>
      <c r="F743"/>
      <c r="G743"/>
      <c r="H743"/>
      <c r="I743"/>
    </row>
    <row r="744" spans="1:9" x14ac:dyDescent="0.25">
      <c r="A744"/>
      <c r="B744"/>
      <c r="C744"/>
      <c r="D744"/>
      <c r="E744"/>
      <c r="F744"/>
      <c r="G744"/>
      <c r="H744"/>
      <c r="I744"/>
    </row>
    <row r="745" spans="1:9" x14ac:dyDescent="0.25">
      <c r="A745"/>
      <c r="B745"/>
      <c r="C745"/>
      <c r="D745"/>
      <c r="E745"/>
      <c r="F745"/>
      <c r="G745"/>
      <c r="H745"/>
      <c r="I745"/>
    </row>
    <row r="746" spans="1:9" x14ac:dyDescent="0.25">
      <c r="A746"/>
      <c r="B746"/>
      <c r="C746"/>
      <c r="D746"/>
      <c r="E746"/>
      <c r="F746"/>
      <c r="G746"/>
      <c r="H746"/>
      <c r="I746"/>
    </row>
    <row r="747" spans="1:9" x14ac:dyDescent="0.25">
      <c r="A747"/>
      <c r="B747"/>
      <c r="C747"/>
      <c r="D747"/>
      <c r="E747"/>
      <c r="F747"/>
      <c r="G747"/>
      <c r="H747"/>
      <c r="I747"/>
    </row>
    <row r="748" spans="1:9" x14ac:dyDescent="0.25">
      <c r="A748"/>
      <c r="B748"/>
      <c r="C748"/>
      <c r="D748"/>
      <c r="E748"/>
      <c r="F748"/>
      <c r="G748"/>
      <c r="H748"/>
      <c r="I748"/>
    </row>
    <row r="749" spans="1:9" x14ac:dyDescent="0.25">
      <c r="A749"/>
      <c r="B749"/>
      <c r="C749"/>
      <c r="D749"/>
      <c r="E749"/>
      <c r="F749"/>
      <c r="G749"/>
      <c r="H749"/>
      <c r="I749"/>
    </row>
    <row r="750" spans="1:9" x14ac:dyDescent="0.25">
      <c r="A750"/>
      <c r="B750"/>
      <c r="C750"/>
      <c r="D750"/>
      <c r="E750"/>
      <c r="F750"/>
      <c r="G750"/>
      <c r="H750"/>
      <c r="I750"/>
    </row>
    <row r="751" spans="1:9" x14ac:dyDescent="0.25">
      <c r="A751"/>
      <c r="B751"/>
      <c r="C751"/>
      <c r="D751"/>
      <c r="E751"/>
      <c r="F751"/>
      <c r="G751"/>
      <c r="H751"/>
      <c r="I751"/>
    </row>
    <row r="752" spans="1:9" x14ac:dyDescent="0.25">
      <c r="A752"/>
      <c r="B752"/>
      <c r="C752"/>
      <c r="D752"/>
      <c r="E752"/>
      <c r="F752"/>
      <c r="G752"/>
      <c r="H752"/>
      <c r="I752"/>
    </row>
    <row r="753" spans="1:9" x14ac:dyDescent="0.25">
      <c r="A753"/>
      <c r="B753"/>
      <c r="C753"/>
      <c r="D753"/>
      <c r="E753"/>
      <c r="F753"/>
      <c r="G753"/>
      <c r="H753"/>
      <c r="I753"/>
    </row>
    <row r="754" spans="1:9" x14ac:dyDescent="0.25">
      <c r="A754"/>
      <c r="B754"/>
      <c r="C754"/>
      <c r="D754"/>
      <c r="E754"/>
      <c r="F754"/>
      <c r="G754"/>
      <c r="H754"/>
      <c r="I754"/>
    </row>
    <row r="755" spans="1:9" x14ac:dyDescent="0.25">
      <c r="A755"/>
      <c r="B755"/>
      <c r="C755"/>
      <c r="D755"/>
      <c r="E755"/>
      <c r="F755"/>
      <c r="G755"/>
      <c r="H755"/>
      <c r="I755"/>
    </row>
    <row r="756" spans="1:9" x14ac:dyDescent="0.25">
      <c r="A756"/>
      <c r="B756"/>
      <c r="C756"/>
      <c r="D756"/>
      <c r="E756"/>
      <c r="F756"/>
      <c r="G756"/>
      <c r="H756"/>
      <c r="I756"/>
    </row>
    <row r="757" spans="1:9" x14ac:dyDescent="0.25">
      <c r="A757"/>
      <c r="B757"/>
      <c r="C757"/>
      <c r="D757"/>
      <c r="E757"/>
      <c r="F757"/>
      <c r="G757"/>
      <c r="H757"/>
      <c r="I757"/>
    </row>
    <row r="758" spans="1:9" x14ac:dyDescent="0.25">
      <c r="A758"/>
      <c r="B758"/>
      <c r="C758"/>
      <c r="D758"/>
      <c r="E758"/>
      <c r="F758"/>
      <c r="G758"/>
      <c r="H758"/>
      <c r="I758"/>
    </row>
    <row r="759" spans="1:9" x14ac:dyDescent="0.25">
      <c r="A759"/>
      <c r="B759"/>
      <c r="C759"/>
      <c r="D759"/>
      <c r="E759"/>
      <c r="F759"/>
      <c r="G759"/>
      <c r="H759"/>
      <c r="I759"/>
    </row>
    <row r="760" spans="1:9" x14ac:dyDescent="0.25">
      <c r="A760"/>
      <c r="B760"/>
      <c r="C760"/>
      <c r="D760"/>
      <c r="E760"/>
      <c r="F760"/>
      <c r="G760"/>
      <c r="H760"/>
      <c r="I760"/>
    </row>
    <row r="761" spans="1:9" x14ac:dyDescent="0.25">
      <c r="A761"/>
      <c r="B761"/>
      <c r="C761"/>
      <c r="D761"/>
      <c r="E761"/>
      <c r="F761"/>
      <c r="G761"/>
      <c r="H761"/>
      <c r="I761"/>
    </row>
    <row r="762" spans="1:9" x14ac:dyDescent="0.25">
      <c r="A762"/>
      <c r="B762"/>
      <c r="C762"/>
      <c r="D762"/>
      <c r="E762"/>
      <c r="F762"/>
      <c r="G762"/>
      <c r="H762"/>
      <c r="I762"/>
    </row>
    <row r="763" spans="1:9" x14ac:dyDescent="0.25">
      <c r="A763"/>
      <c r="B763"/>
      <c r="C763"/>
      <c r="D763"/>
      <c r="E763"/>
      <c r="F763"/>
      <c r="G763"/>
      <c r="H763"/>
      <c r="I763"/>
    </row>
    <row r="764" spans="1:9" x14ac:dyDescent="0.25">
      <c r="A764"/>
      <c r="B764"/>
      <c r="C764"/>
      <c r="D764"/>
      <c r="E764"/>
      <c r="F764"/>
      <c r="G764"/>
      <c r="H764"/>
      <c r="I764"/>
    </row>
    <row r="765" spans="1:9" x14ac:dyDescent="0.25">
      <c r="A765"/>
      <c r="B765"/>
      <c r="C765"/>
      <c r="D765"/>
      <c r="E765"/>
      <c r="F765"/>
      <c r="G765"/>
      <c r="H765"/>
      <c r="I765"/>
    </row>
    <row r="766" spans="1:9" x14ac:dyDescent="0.25">
      <c r="A766"/>
      <c r="B766"/>
      <c r="C766"/>
      <c r="D766"/>
      <c r="E766"/>
      <c r="F766"/>
      <c r="G766"/>
      <c r="H766"/>
      <c r="I766"/>
    </row>
    <row r="767" spans="1:9" x14ac:dyDescent="0.25">
      <c r="A767"/>
      <c r="B767"/>
      <c r="C767"/>
      <c r="D767"/>
      <c r="E767"/>
      <c r="F767"/>
      <c r="G767"/>
      <c r="H767"/>
      <c r="I767"/>
    </row>
    <row r="768" spans="1:9" x14ac:dyDescent="0.25">
      <c r="A768"/>
      <c r="B768"/>
      <c r="C768"/>
      <c r="D768"/>
      <c r="E768"/>
      <c r="F768"/>
      <c r="G768"/>
      <c r="H768"/>
      <c r="I768"/>
    </row>
    <row r="769" spans="1:9" x14ac:dyDescent="0.25">
      <c r="A769"/>
      <c r="B769"/>
      <c r="C769"/>
      <c r="D769"/>
      <c r="E769"/>
      <c r="F769"/>
      <c r="G769"/>
      <c r="H769"/>
      <c r="I769"/>
    </row>
    <row r="770" spans="1:9" x14ac:dyDescent="0.25">
      <c r="A770"/>
      <c r="B770"/>
      <c r="C770"/>
      <c r="D770"/>
      <c r="E770"/>
      <c r="F770"/>
      <c r="G770"/>
      <c r="H770"/>
      <c r="I770"/>
    </row>
    <row r="771" spans="1:9" x14ac:dyDescent="0.25">
      <c r="A771"/>
      <c r="B771"/>
      <c r="C771"/>
      <c r="D771"/>
      <c r="E771"/>
      <c r="F771"/>
      <c r="G771"/>
      <c r="H771"/>
      <c r="I771"/>
    </row>
    <row r="772" spans="1:9" x14ac:dyDescent="0.25">
      <c r="A772"/>
      <c r="B772"/>
      <c r="C772"/>
      <c r="D772"/>
      <c r="E772"/>
      <c r="F772"/>
      <c r="G772"/>
      <c r="H772"/>
      <c r="I772"/>
    </row>
    <row r="773" spans="1:9" x14ac:dyDescent="0.25">
      <c r="A773"/>
      <c r="B773"/>
      <c r="C773"/>
      <c r="D773"/>
      <c r="E773"/>
      <c r="F773"/>
      <c r="G773"/>
      <c r="H773"/>
      <c r="I773"/>
    </row>
    <row r="774" spans="1:9" x14ac:dyDescent="0.25">
      <c r="A774"/>
      <c r="B774"/>
      <c r="C774"/>
      <c r="D774"/>
      <c r="E774"/>
      <c r="F774"/>
      <c r="G774"/>
      <c r="H774"/>
      <c r="I774"/>
    </row>
    <row r="775" spans="1:9" x14ac:dyDescent="0.25">
      <c r="A775"/>
      <c r="B775"/>
      <c r="C775"/>
      <c r="D775"/>
      <c r="E775"/>
      <c r="F775"/>
      <c r="G775"/>
      <c r="H775"/>
      <c r="I775"/>
    </row>
    <row r="776" spans="1:9" x14ac:dyDescent="0.25">
      <c r="A776"/>
      <c r="B776"/>
      <c r="C776"/>
      <c r="D776"/>
      <c r="E776"/>
      <c r="F776"/>
      <c r="G776"/>
      <c r="H776"/>
      <c r="I776"/>
    </row>
    <row r="777" spans="1:9" x14ac:dyDescent="0.25">
      <c r="A777"/>
      <c r="B777"/>
      <c r="C777"/>
      <c r="D777"/>
      <c r="E777"/>
      <c r="F777"/>
      <c r="G777"/>
      <c r="H777"/>
      <c r="I777"/>
    </row>
    <row r="778" spans="1:9" x14ac:dyDescent="0.25">
      <c r="A778"/>
      <c r="B778"/>
      <c r="C778"/>
      <c r="D778"/>
      <c r="E778"/>
      <c r="F778"/>
      <c r="G778"/>
      <c r="H778"/>
      <c r="I778"/>
    </row>
    <row r="779" spans="1:9" x14ac:dyDescent="0.25">
      <c r="A779"/>
      <c r="B779"/>
      <c r="C779"/>
      <c r="D779"/>
      <c r="E779"/>
      <c r="F779"/>
      <c r="G779"/>
      <c r="H779"/>
      <c r="I779"/>
    </row>
    <row r="780" spans="1:9" x14ac:dyDescent="0.25">
      <c r="A780"/>
      <c r="B780"/>
      <c r="C780"/>
      <c r="D780"/>
      <c r="E780"/>
      <c r="F780"/>
      <c r="G780"/>
      <c r="H780"/>
      <c r="I780"/>
    </row>
    <row r="781" spans="1:9" x14ac:dyDescent="0.25">
      <c r="A781"/>
      <c r="B781"/>
      <c r="C781"/>
      <c r="D781"/>
      <c r="E781"/>
      <c r="F781"/>
      <c r="G781"/>
      <c r="H781"/>
      <c r="I781"/>
    </row>
    <row r="782" spans="1:9" x14ac:dyDescent="0.25">
      <c r="A782"/>
      <c r="B782"/>
      <c r="C782"/>
      <c r="D782"/>
      <c r="E782"/>
      <c r="F782"/>
      <c r="G782"/>
      <c r="H782"/>
      <c r="I782"/>
    </row>
    <row r="783" spans="1:9" x14ac:dyDescent="0.25">
      <c r="A783"/>
      <c r="B783"/>
      <c r="C783"/>
      <c r="D783"/>
      <c r="E783"/>
      <c r="F783"/>
      <c r="G783"/>
      <c r="H783"/>
      <c r="I783"/>
    </row>
    <row r="784" spans="1:9" x14ac:dyDescent="0.25">
      <c r="A784"/>
      <c r="B784"/>
      <c r="C784"/>
      <c r="D784"/>
      <c r="E784"/>
      <c r="F784"/>
      <c r="G784"/>
      <c r="H784"/>
      <c r="I784"/>
    </row>
    <row r="785" spans="1:9" x14ac:dyDescent="0.25">
      <c r="A785"/>
      <c r="B785"/>
      <c r="C785"/>
      <c r="D785"/>
      <c r="E785"/>
      <c r="F785"/>
      <c r="G785"/>
      <c r="H785"/>
      <c r="I785"/>
    </row>
    <row r="786" spans="1:9" x14ac:dyDescent="0.25">
      <c r="A786"/>
      <c r="B786"/>
      <c r="C786"/>
      <c r="D786"/>
      <c r="E786"/>
      <c r="F786"/>
      <c r="G786"/>
      <c r="H786"/>
      <c r="I786"/>
    </row>
    <row r="787" spans="1:9" x14ac:dyDescent="0.25">
      <c r="A787"/>
      <c r="B787"/>
      <c r="C787"/>
      <c r="D787"/>
      <c r="E787"/>
      <c r="F787"/>
      <c r="G787"/>
      <c r="H787"/>
      <c r="I787"/>
    </row>
    <row r="788" spans="1:9" x14ac:dyDescent="0.25">
      <c r="A788"/>
      <c r="B788"/>
      <c r="C788"/>
      <c r="D788"/>
      <c r="E788"/>
      <c r="F788"/>
      <c r="G788"/>
      <c r="H788"/>
      <c r="I788"/>
    </row>
    <row r="789" spans="1:9" x14ac:dyDescent="0.25">
      <c r="A789"/>
      <c r="B789"/>
      <c r="C789"/>
      <c r="D789"/>
      <c r="E789"/>
      <c r="F789"/>
      <c r="G789"/>
      <c r="H789"/>
      <c r="I789"/>
    </row>
    <row r="790" spans="1:9" x14ac:dyDescent="0.25">
      <c r="A790"/>
      <c r="B790"/>
      <c r="C790"/>
      <c r="D790"/>
      <c r="E790"/>
      <c r="F790"/>
      <c r="G790"/>
      <c r="H790"/>
      <c r="I790"/>
    </row>
    <row r="791" spans="1:9" x14ac:dyDescent="0.25">
      <c r="A791"/>
      <c r="B791"/>
      <c r="C791"/>
      <c r="D791"/>
      <c r="E791"/>
      <c r="F791"/>
      <c r="G791"/>
      <c r="H791"/>
      <c r="I791"/>
    </row>
    <row r="792" spans="1:9" x14ac:dyDescent="0.25">
      <c r="A792"/>
      <c r="B792"/>
      <c r="C792"/>
      <c r="D792"/>
      <c r="E792"/>
      <c r="F792"/>
      <c r="G792"/>
      <c r="H792"/>
      <c r="I792"/>
    </row>
    <row r="793" spans="1:9" x14ac:dyDescent="0.25">
      <c r="A793"/>
      <c r="B793"/>
      <c r="C793"/>
      <c r="D793"/>
      <c r="E793"/>
      <c r="F793"/>
      <c r="G793"/>
      <c r="H793"/>
      <c r="I793"/>
    </row>
    <row r="794" spans="1:9" x14ac:dyDescent="0.25">
      <c r="A794"/>
      <c r="B794"/>
      <c r="C794"/>
      <c r="D794"/>
      <c r="E794"/>
      <c r="F794"/>
      <c r="G794"/>
      <c r="H794"/>
      <c r="I794"/>
    </row>
    <row r="795" spans="1:9" x14ac:dyDescent="0.25">
      <c r="A795"/>
      <c r="B795"/>
      <c r="C795"/>
      <c r="D795"/>
      <c r="E795"/>
      <c r="F795"/>
      <c r="G795"/>
      <c r="H795"/>
      <c r="I795"/>
    </row>
    <row r="796" spans="1:9" x14ac:dyDescent="0.25">
      <c r="A796"/>
      <c r="B796"/>
      <c r="C796"/>
      <c r="D796"/>
      <c r="E796"/>
      <c r="F796"/>
      <c r="G796"/>
      <c r="H796"/>
      <c r="I796"/>
    </row>
    <row r="797" spans="1:9" x14ac:dyDescent="0.25">
      <c r="A797"/>
      <c r="B797"/>
      <c r="C797"/>
      <c r="D797"/>
      <c r="E797"/>
      <c r="F797"/>
      <c r="G797"/>
      <c r="H797"/>
      <c r="I797"/>
    </row>
    <row r="798" spans="1:9" x14ac:dyDescent="0.25">
      <c r="A798"/>
      <c r="B798"/>
      <c r="C798"/>
      <c r="D798"/>
      <c r="E798"/>
      <c r="F798"/>
      <c r="G798"/>
      <c r="H798"/>
      <c r="I798"/>
    </row>
    <row r="799" spans="1:9" x14ac:dyDescent="0.25">
      <c r="A799"/>
      <c r="B799"/>
      <c r="C799"/>
      <c r="D799"/>
      <c r="E799"/>
      <c r="F799"/>
      <c r="G799"/>
      <c r="H799"/>
      <c r="I799"/>
    </row>
    <row r="800" spans="1:9" x14ac:dyDescent="0.25">
      <c r="A800"/>
      <c r="B800"/>
      <c r="C800"/>
      <c r="D800"/>
      <c r="E800"/>
      <c r="F800"/>
      <c r="G800"/>
      <c r="H800"/>
      <c r="I800"/>
    </row>
    <row r="801" spans="1:9" x14ac:dyDescent="0.25">
      <c r="A801"/>
      <c r="B801"/>
      <c r="C801"/>
      <c r="D801"/>
      <c r="E801"/>
      <c r="F801"/>
      <c r="G801"/>
      <c r="H801"/>
      <c r="I801"/>
    </row>
    <row r="802" spans="1:9" x14ac:dyDescent="0.25">
      <c r="A802"/>
      <c r="B802"/>
      <c r="C802"/>
      <c r="D802"/>
      <c r="E802"/>
      <c r="F802"/>
      <c r="G802"/>
      <c r="H802"/>
      <c r="I802"/>
    </row>
    <row r="803" spans="1:9" x14ac:dyDescent="0.25">
      <c r="A803"/>
      <c r="B803"/>
      <c r="C803"/>
      <c r="D803"/>
      <c r="E803"/>
      <c r="F803"/>
      <c r="G803"/>
      <c r="H803"/>
      <c r="I803"/>
    </row>
    <row r="804" spans="1:9" x14ac:dyDescent="0.25">
      <c r="A804"/>
      <c r="B804"/>
      <c r="C804"/>
      <c r="D804"/>
      <c r="E804"/>
      <c r="F804"/>
      <c r="G804"/>
      <c r="H804"/>
      <c r="I804"/>
    </row>
    <row r="805" spans="1:9" x14ac:dyDescent="0.25">
      <c r="A805"/>
      <c r="B805"/>
      <c r="C805"/>
      <c r="D805"/>
      <c r="E805"/>
      <c r="F805"/>
      <c r="G805"/>
      <c r="H805"/>
      <c r="I805"/>
    </row>
    <row r="806" spans="1:9" x14ac:dyDescent="0.25">
      <c r="A806"/>
      <c r="B806"/>
      <c r="C806"/>
      <c r="D806"/>
      <c r="E806"/>
      <c r="F806"/>
      <c r="G806"/>
      <c r="H806"/>
      <c r="I806"/>
    </row>
    <row r="807" spans="1:9" x14ac:dyDescent="0.25">
      <c r="A807"/>
      <c r="B807"/>
      <c r="C807"/>
      <c r="D807"/>
      <c r="E807"/>
      <c r="F807"/>
      <c r="G807"/>
      <c r="H807"/>
      <c r="I807"/>
    </row>
    <row r="808" spans="1:9" x14ac:dyDescent="0.25">
      <c r="A808"/>
      <c r="B808"/>
      <c r="C808"/>
      <c r="D808"/>
      <c r="E808"/>
      <c r="F808"/>
      <c r="G808"/>
      <c r="H808"/>
      <c r="I808"/>
    </row>
    <row r="809" spans="1:9" x14ac:dyDescent="0.25">
      <c r="A809"/>
      <c r="B809"/>
      <c r="C809"/>
      <c r="D809"/>
      <c r="E809"/>
      <c r="F809"/>
      <c r="G809"/>
      <c r="H809"/>
      <c r="I809"/>
    </row>
    <row r="810" spans="1:9" x14ac:dyDescent="0.25">
      <c r="A810"/>
      <c r="B810"/>
      <c r="C810"/>
      <c r="D810"/>
      <c r="E810"/>
      <c r="F810"/>
      <c r="G810"/>
      <c r="H810"/>
      <c r="I810"/>
    </row>
    <row r="811" spans="1:9" x14ac:dyDescent="0.25">
      <c r="A811"/>
      <c r="B811"/>
      <c r="C811"/>
      <c r="D811"/>
      <c r="E811"/>
      <c r="F811"/>
      <c r="G811"/>
      <c r="H811"/>
      <c r="I811"/>
    </row>
    <row r="812" spans="1:9" x14ac:dyDescent="0.25">
      <c r="A812"/>
      <c r="B812"/>
      <c r="C812"/>
      <c r="D812"/>
      <c r="E812"/>
      <c r="F812"/>
      <c r="G812"/>
      <c r="H812"/>
      <c r="I812"/>
    </row>
    <row r="813" spans="1:9" x14ac:dyDescent="0.25">
      <c r="A813"/>
      <c r="B813"/>
      <c r="C813"/>
      <c r="D813"/>
      <c r="E813"/>
      <c r="F813"/>
      <c r="G813"/>
      <c r="H813"/>
      <c r="I813"/>
    </row>
    <row r="814" spans="1:9" x14ac:dyDescent="0.25">
      <c r="A814"/>
      <c r="B814"/>
      <c r="C814"/>
      <c r="D814"/>
      <c r="E814"/>
      <c r="F814"/>
      <c r="G814"/>
      <c r="H814"/>
      <c r="I814"/>
    </row>
    <row r="815" spans="1:9" x14ac:dyDescent="0.25">
      <c r="A815"/>
      <c r="B815"/>
      <c r="C815"/>
      <c r="D815"/>
      <c r="E815"/>
      <c r="F815"/>
      <c r="G815"/>
      <c r="H815"/>
      <c r="I815"/>
    </row>
    <row r="816" spans="1:9" x14ac:dyDescent="0.25">
      <c r="A816"/>
      <c r="B816"/>
      <c r="C816"/>
      <c r="D816"/>
      <c r="E816"/>
      <c r="F816"/>
      <c r="G816"/>
      <c r="H816"/>
      <c r="I816"/>
    </row>
    <row r="817" spans="1:9" x14ac:dyDescent="0.25">
      <c r="A817"/>
      <c r="B817"/>
      <c r="C817"/>
      <c r="D817"/>
      <c r="E817"/>
      <c r="F817"/>
      <c r="G817"/>
      <c r="H817"/>
      <c r="I817"/>
    </row>
    <row r="818" spans="1:9" x14ac:dyDescent="0.25">
      <c r="A818"/>
      <c r="B818"/>
      <c r="C818"/>
      <c r="D818"/>
      <c r="E818"/>
      <c r="F818"/>
      <c r="G818"/>
      <c r="H818"/>
      <c r="I818"/>
    </row>
    <row r="819" spans="1:9" x14ac:dyDescent="0.25">
      <c r="A819"/>
      <c r="B819"/>
      <c r="C819"/>
      <c r="D819"/>
      <c r="E819"/>
      <c r="F819"/>
      <c r="G819"/>
      <c r="H819"/>
      <c r="I819"/>
    </row>
    <row r="820" spans="1:9" x14ac:dyDescent="0.25">
      <c r="A820"/>
      <c r="B820"/>
      <c r="C820"/>
      <c r="D820"/>
      <c r="E820"/>
      <c r="F820"/>
      <c r="G820"/>
      <c r="H820"/>
      <c r="I820"/>
    </row>
    <row r="821" spans="1:9" x14ac:dyDescent="0.25">
      <c r="A821"/>
      <c r="B821"/>
      <c r="C821"/>
      <c r="D821"/>
      <c r="E821"/>
      <c r="F821"/>
      <c r="G821"/>
      <c r="H821"/>
      <c r="I821"/>
    </row>
    <row r="822" spans="1:9" x14ac:dyDescent="0.25">
      <c r="A822"/>
      <c r="B822"/>
      <c r="C822"/>
      <c r="D822"/>
      <c r="E822"/>
      <c r="F822"/>
      <c r="G822"/>
      <c r="H822"/>
      <c r="I822"/>
    </row>
    <row r="823" spans="1:9" x14ac:dyDescent="0.25">
      <c r="A823"/>
      <c r="B823"/>
      <c r="C823"/>
      <c r="D823"/>
      <c r="E823"/>
      <c r="F823"/>
      <c r="G823"/>
      <c r="H823"/>
      <c r="I823"/>
    </row>
    <row r="824" spans="1:9" x14ac:dyDescent="0.25">
      <c r="A824"/>
      <c r="B824"/>
      <c r="C824"/>
      <c r="D824"/>
      <c r="E824"/>
      <c r="F824"/>
      <c r="G824"/>
      <c r="H824"/>
      <c r="I824"/>
    </row>
    <row r="825" spans="1:9" x14ac:dyDescent="0.25">
      <c r="A825"/>
      <c r="B825"/>
      <c r="C825"/>
      <c r="D825"/>
      <c r="E825"/>
      <c r="F825"/>
      <c r="G825"/>
      <c r="H825"/>
      <c r="I825"/>
    </row>
    <row r="826" spans="1:9" x14ac:dyDescent="0.25">
      <c r="A826"/>
      <c r="B826"/>
      <c r="C826"/>
      <c r="D826"/>
      <c r="E826"/>
      <c r="F826"/>
      <c r="G826"/>
      <c r="H826"/>
      <c r="I826"/>
    </row>
    <row r="827" spans="1:9" x14ac:dyDescent="0.25">
      <c r="A827"/>
      <c r="B827"/>
      <c r="C827"/>
      <c r="D827"/>
      <c r="E827"/>
      <c r="F827"/>
      <c r="G827"/>
      <c r="H827"/>
      <c r="I827"/>
    </row>
    <row r="828" spans="1:9" x14ac:dyDescent="0.25">
      <c r="A828"/>
      <c r="B828"/>
      <c r="C828"/>
      <c r="D828"/>
      <c r="E828"/>
      <c r="F828"/>
      <c r="G828"/>
      <c r="H828"/>
      <c r="I828"/>
    </row>
    <row r="829" spans="1:9" x14ac:dyDescent="0.25">
      <c r="A829"/>
      <c r="B829"/>
      <c r="C829"/>
      <c r="D829"/>
      <c r="E829"/>
      <c r="F829"/>
      <c r="G829"/>
      <c r="H829"/>
      <c r="I829"/>
    </row>
    <row r="830" spans="1:9" x14ac:dyDescent="0.25">
      <c r="A830"/>
      <c r="B830"/>
      <c r="C830"/>
      <c r="D830"/>
      <c r="E830"/>
      <c r="F830"/>
      <c r="G830"/>
      <c r="H830"/>
      <c r="I830"/>
    </row>
    <row r="831" spans="1:9" x14ac:dyDescent="0.25">
      <c r="A831"/>
      <c r="B831"/>
      <c r="C831"/>
      <c r="D831"/>
      <c r="E831"/>
      <c r="F831"/>
      <c r="G831"/>
      <c r="H831"/>
      <c r="I831"/>
    </row>
    <row r="832" spans="1:9" x14ac:dyDescent="0.25">
      <c r="A832"/>
      <c r="B832"/>
      <c r="C832"/>
      <c r="D832"/>
      <c r="E832"/>
      <c r="F832"/>
      <c r="G832"/>
      <c r="H832"/>
      <c r="I832"/>
    </row>
    <row r="833" spans="1:9" x14ac:dyDescent="0.25">
      <c r="A833"/>
      <c r="B833"/>
      <c r="C833"/>
      <c r="D833"/>
      <c r="E833"/>
      <c r="F833"/>
      <c r="G833"/>
      <c r="H833"/>
      <c r="I833"/>
    </row>
    <row r="834" spans="1:9" x14ac:dyDescent="0.25">
      <c r="A834"/>
      <c r="B834"/>
      <c r="C834"/>
      <c r="D834"/>
      <c r="E834"/>
      <c r="F834"/>
      <c r="G834"/>
      <c r="H834"/>
      <c r="I834"/>
    </row>
    <row r="835" spans="1:9" x14ac:dyDescent="0.25">
      <c r="A835"/>
      <c r="B835"/>
      <c r="C835"/>
      <c r="D835"/>
      <c r="E835"/>
      <c r="F835"/>
      <c r="G835"/>
      <c r="H835"/>
      <c r="I835"/>
    </row>
    <row r="836" spans="1:9" x14ac:dyDescent="0.25">
      <c r="A836"/>
      <c r="B836"/>
      <c r="C836"/>
      <c r="D836"/>
      <c r="E836"/>
      <c r="F836"/>
      <c r="G836"/>
      <c r="H836"/>
      <c r="I836"/>
    </row>
    <row r="837" spans="1:9" x14ac:dyDescent="0.25">
      <c r="A837"/>
      <c r="B837"/>
      <c r="C837"/>
      <c r="D837"/>
      <c r="E837"/>
      <c r="F837"/>
      <c r="G837"/>
      <c r="H837"/>
      <c r="I837"/>
    </row>
    <row r="838" spans="1:9" x14ac:dyDescent="0.25">
      <c r="A838"/>
      <c r="B838"/>
      <c r="C838"/>
      <c r="D838"/>
      <c r="E838"/>
      <c r="F838"/>
      <c r="G838"/>
      <c r="H838"/>
      <c r="I838"/>
    </row>
    <row r="839" spans="1:9" x14ac:dyDescent="0.25">
      <c r="A839"/>
      <c r="B839"/>
      <c r="C839"/>
      <c r="D839"/>
      <c r="E839"/>
      <c r="F839"/>
      <c r="G839"/>
      <c r="H839"/>
      <c r="I839"/>
    </row>
    <row r="840" spans="1:9" x14ac:dyDescent="0.25">
      <c r="A840"/>
      <c r="B840"/>
      <c r="C840"/>
      <c r="D840"/>
      <c r="E840"/>
      <c r="F840"/>
      <c r="G840"/>
      <c r="H840"/>
      <c r="I840"/>
    </row>
    <row r="841" spans="1:9" x14ac:dyDescent="0.25">
      <c r="A841"/>
      <c r="B841"/>
      <c r="C841"/>
      <c r="D841"/>
      <c r="E841"/>
      <c r="F841"/>
      <c r="G841"/>
      <c r="H841"/>
      <c r="I841"/>
    </row>
    <row r="842" spans="1:9" x14ac:dyDescent="0.25">
      <c r="A842"/>
      <c r="B842"/>
      <c r="C842"/>
      <c r="D842"/>
      <c r="E842"/>
      <c r="F842"/>
      <c r="G842"/>
      <c r="H842"/>
      <c r="I842"/>
    </row>
    <row r="843" spans="1:9" x14ac:dyDescent="0.25">
      <c r="A843"/>
      <c r="B843"/>
      <c r="C843"/>
      <c r="D843"/>
      <c r="E843"/>
      <c r="F843"/>
      <c r="G843"/>
      <c r="H843"/>
      <c r="I843"/>
    </row>
    <row r="844" spans="1:9" x14ac:dyDescent="0.25">
      <c r="A844"/>
      <c r="B844"/>
      <c r="C844"/>
      <c r="D844"/>
      <c r="E844"/>
      <c r="F844"/>
      <c r="G844"/>
      <c r="H844"/>
      <c r="I844"/>
    </row>
    <row r="845" spans="1:9" x14ac:dyDescent="0.25">
      <c r="A845"/>
      <c r="B845"/>
      <c r="C845"/>
      <c r="D845"/>
      <c r="E845"/>
      <c r="F845"/>
      <c r="G845"/>
      <c r="H845"/>
      <c r="I845"/>
    </row>
    <row r="846" spans="1:9" x14ac:dyDescent="0.25">
      <c r="A846"/>
      <c r="B846"/>
      <c r="C846"/>
      <c r="D846"/>
      <c r="E846"/>
      <c r="F846"/>
      <c r="G846"/>
      <c r="H846"/>
      <c r="I846"/>
    </row>
    <row r="847" spans="1:9" x14ac:dyDescent="0.25">
      <c r="A847"/>
      <c r="B847"/>
      <c r="C847"/>
      <c r="D847"/>
      <c r="E847"/>
      <c r="F847"/>
      <c r="G847"/>
      <c r="H847"/>
      <c r="I847"/>
    </row>
    <row r="848" spans="1:9" x14ac:dyDescent="0.25">
      <c r="A848"/>
      <c r="B848"/>
      <c r="C848"/>
      <c r="D848"/>
      <c r="E848"/>
      <c r="F848"/>
      <c r="G848"/>
      <c r="H848"/>
      <c r="I848"/>
    </row>
    <row r="849" spans="1:9" x14ac:dyDescent="0.25">
      <c r="A849"/>
      <c r="B849"/>
      <c r="C849"/>
      <c r="D849"/>
      <c r="E849"/>
      <c r="F849"/>
      <c r="G849"/>
      <c r="H849"/>
      <c r="I849"/>
    </row>
    <row r="850" spans="1:9" x14ac:dyDescent="0.25">
      <c r="A850"/>
      <c r="B850"/>
      <c r="C850"/>
      <c r="D850"/>
      <c r="E850"/>
      <c r="F850"/>
      <c r="G850"/>
      <c r="H850"/>
      <c r="I850"/>
    </row>
    <row r="851" spans="1:9" x14ac:dyDescent="0.25">
      <c r="A851"/>
      <c r="B851"/>
      <c r="C851"/>
      <c r="D851"/>
      <c r="E851"/>
      <c r="F851"/>
      <c r="G851"/>
      <c r="H851"/>
      <c r="I851"/>
    </row>
    <row r="852" spans="1:9" x14ac:dyDescent="0.25">
      <c r="A852"/>
      <c r="B852"/>
      <c r="C852"/>
      <c r="D852"/>
      <c r="E852"/>
      <c r="F852"/>
      <c r="G852"/>
      <c r="H852"/>
      <c r="I852"/>
    </row>
    <row r="853" spans="1:9" x14ac:dyDescent="0.25">
      <c r="A853"/>
      <c r="B853"/>
      <c r="C853"/>
      <c r="D853"/>
      <c r="E853"/>
      <c r="F853"/>
      <c r="G853"/>
      <c r="H853"/>
      <c r="I853"/>
    </row>
    <row r="854" spans="1:9" x14ac:dyDescent="0.25">
      <c r="A854"/>
      <c r="B854"/>
      <c r="C854"/>
      <c r="D854"/>
      <c r="E854"/>
      <c r="F854"/>
      <c r="G854"/>
      <c r="H854"/>
      <c r="I854"/>
    </row>
    <row r="855" spans="1:9" x14ac:dyDescent="0.25">
      <c r="A855"/>
      <c r="B855"/>
      <c r="C855"/>
      <c r="D855"/>
      <c r="E855"/>
      <c r="F855"/>
      <c r="G855"/>
      <c r="H855"/>
      <c r="I855"/>
    </row>
    <row r="856" spans="1:9" x14ac:dyDescent="0.25">
      <c r="A856"/>
      <c r="B856"/>
      <c r="C856"/>
      <c r="D856"/>
      <c r="E856"/>
      <c r="F856"/>
      <c r="G856"/>
      <c r="H856"/>
      <c r="I856"/>
    </row>
    <row r="857" spans="1:9" x14ac:dyDescent="0.25">
      <c r="A857"/>
      <c r="B857"/>
      <c r="C857"/>
      <c r="D857"/>
      <c r="E857"/>
      <c r="F857"/>
      <c r="G857"/>
      <c r="H857"/>
      <c r="I857"/>
    </row>
    <row r="858" spans="1:9" x14ac:dyDescent="0.25">
      <c r="A858"/>
      <c r="B858"/>
      <c r="C858"/>
      <c r="D858"/>
      <c r="E858"/>
      <c r="F858"/>
      <c r="G858"/>
      <c r="H858"/>
      <c r="I858"/>
    </row>
    <row r="859" spans="1:9" x14ac:dyDescent="0.25">
      <c r="A859"/>
      <c r="B859"/>
      <c r="C859"/>
      <c r="D859"/>
      <c r="E859"/>
      <c r="F859"/>
      <c r="G859"/>
      <c r="H859"/>
      <c r="I859"/>
    </row>
    <row r="860" spans="1:9" x14ac:dyDescent="0.25">
      <c r="A860"/>
      <c r="B860"/>
      <c r="C860"/>
      <c r="D860"/>
      <c r="E860"/>
      <c r="F860"/>
      <c r="G860"/>
      <c r="H860"/>
      <c r="I860"/>
    </row>
    <row r="861" spans="1:9" x14ac:dyDescent="0.25">
      <c r="A861"/>
      <c r="B861"/>
      <c r="C861"/>
      <c r="D861"/>
      <c r="E861"/>
      <c r="F861"/>
      <c r="G861"/>
      <c r="H861"/>
      <c r="I861"/>
    </row>
    <row r="862" spans="1:9" x14ac:dyDescent="0.25">
      <c r="A862"/>
      <c r="B862"/>
      <c r="C862"/>
      <c r="D862"/>
      <c r="E862"/>
      <c r="F862"/>
      <c r="G862"/>
      <c r="H862"/>
      <c r="I862"/>
    </row>
    <row r="863" spans="1:9" x14ac:dyDescent="0.25">
      <c r="A863"/>
      <c r="B863"/>
      <c r="C863"/>
      <c r="D863"/>
      <c r="E863"/>
      <c r="F863"/>
      <c r="G863"/>
      <c r="H863"/>
      <c r="I863"/>
    </row>
    <row r="864" spans="1:9" x14ac:dyDescent="0.25">
      <c r="A864"/>
      <c r="B864"/>
      <c r="C864"/>
      <c r="D864"/>
      <c r="E864"/>
      <c r="F864"/>
      <c r="G864"/>
      <c r="H864"/>
      <c r="I864"/>
    </row>
    <row r="865" spans="1:9" x14ac:dyDescent="0.25">
      <c r="A865"/>
      <c r="B865"/>
      <c r="C865"/>
      <c r="D865"/>
      <c r="E865"/>
      <c r="F865"/>
      <c r="G865"/>
      <c r="H865"/>
      <c r="I865"/>
    </row>
    <row r="866" spans="1:9" x14ac:dyDescent="0.25">
      <c r="A866"/>
      <c r="B866"/>
      <c r="C866"/>
      <c r="D866"/>
      <c r="E866"/>
      <c r="F866"/>
      <c r="G866"/>
      <c r="H866"/>
      <c r="I866"/>
    </row>
    <row r="867" spans="1:9" x14ac:dyDescent="0.25">
      <c r="A867"/>
      <c r="B867"/>
      <c r="C867"/>
      <c r="D867"/>
      <c r="E867"/>
      <c r="F867"/>
      <c r="G867"/>
      <c r="H867"/>
      <c r="I867"/>
    </row>
    <row r="868" spans="1:9" x14ac:dyDescent="0.25">
      <c r="A868"/>
      <c r="B868"/>
      <c r="C868"/>
      <c r="D868"/>
      <c r="E868"/>
      <c r="F868"/>
      <c r="G868"/>
      <c r="H868"/>
      <c r="I868"/>
    </row>
    <row r="869" spans="1:9" x14ac:dyDescent="0.25">
      <c r="A869"/>
      <c r="B869"/>
      <c r="C869"/>
      <c r="D869"/>
      <c r="E869"/>
      <c r="F869"/>
      <c r="G869"/>
      <c r="H869"/>
      <c r="I869"/>
    </row>
    <row r="870" spans="1:9" x14ac:dyDescent="0.25">
      <c r="A870"/>
      <c r="B870"/>
      <c r="C870"/>
      <c r="D870"/>
      <c r="E870"/>
      <c r="F870"/>
      <c r="G870"/>
      <c r="H870"/>
      <c r="I870"/>
    </row>
    <row r="871" spans="1:9" x14ac:dyDescent="0.25">
      <c r="A871"/>
      <c r="B871"/>
      <c r="C871"/>
      <c r="D871"/>
      <c r="E871"/>
      <c r="F871"/>
      <c r="G871"/>
      <c r="H871"/>
      <c r="I871"/>
    </row>
    <row r="872" spans="1:9" x14ac:dyDescent="0.25">
      <c r="A872"/>
      <c r="B872"/>
      <c r="C872"/>
      <c r="D872"/>
      <c r="E872"/>
      <c r="F872"/>
      <c r="G872"/>
      <c r="H872"/>
      <c r="I872"/>
    </row>
    <row r="873" spans="1:9" x14ac:dyDescent="0.25">
      <c r="A873"/>
      <c r="B873"/>
      <c r="C873"/>
      <c r="D873"/>
      <c r="E873"/>
      <c r="F873"/>
      <c r="G873"/>
      <c r="H873"/>
      <c r="I873"/>
    </row>
    <row r="874" spans="1:9" x14ac:dyDescent="0.25">
      <c r="A874"/>
      <c r="B874"/>
      <c r="C874"/>
      <c r="D874"/>
      <c r="E874"/>
      <c r="F874"/>
      <c r="G874"/>
      <c r="H874"/>
      <c r="I874"/>
    </row>
    <row r="875" spans="1:9" x14ac:dyDescent="0.25">
      <c r="A875"/>
      <c r="B875"/>
      <c r="C875"/>
      <c r="D875"/>
      <c r="E875"/>
      <c r="F875"/>
      <c r="G875"/>
      <c r="H875"/>
      <c r="I875"/>
    </row>
    <row r="876" spans="1:9" x14ac:dyDescent="0.25">
      <c r="A876"/>
      <c r="B876"/>
      <c r="C876"/>
      <c r="D876"/>
      <c r="E876"/>
      <c r="F876"/>
      <c r="G876"/>
      <c r="H876"/>
      <c r="I876"/>
    </row>
    <row r="877" spans="1:9" x14ac:dyDescent="0.25">
      <c r="A877"/>
      <c r="B877"/>
      <c r="C877"/>
      <c r="D877"/>
      <c r="E877"/>
      <c r="F877"/>
      <c r="G877"/>
      <c r="H877"/>
      <c r="I877"/>
    </row>
  </sheetData>
  <printOptions horizontalCentered="1"/>
  <pageMargins left="0.25" right="0.25" top="0.75" bottom="0.75" header="0.3" footer="0.3"/>
  <pageSetup paperSize="9" scale="64" fitToHeight="3" orientation="portrait" r:id="rId2"/>
  <drawing r:id="rId3"/>
  <extLst>
    <ext xmlns:x14="http://schemas.microsoft.com/office/spreadsheetml/2009/9/main" uri="{A8765BA9-456A-4dab-B4F3-ACF838C121DE}">
      <x14:slicerList>
        <x14:slicer r:id="rId4"/>
      </x14:slicerList>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CE9B-BF4F-4669-A67E-EF4DD0A664A1}">
  <sheetPr>
    <pageSetUpPr fitToPage="1"/>
  </sheetPr>
  <dimension ref="A9:M877"/>
  <sheetViews>
    <sheetView showGridLines="0" view="pageBreakPreview" zoomScale="85" zoomScaleNormal="100" zoomScaleSheetLayoutView="85" workbookViewId="0">
      <selection activeCell="M11" sqref="M11"/>
    </sheetView>
  </sheetViews>
  <sheetFormatPr defaultRowHeight="15" x14ac:dyDescent="0.25"/>
  <cols>
    <col min="1" max="1" width="13.28515625" style="79" bestFit="1" customWidth="1"/>
    <col min="2" max="2" width="16.140625" style="191" bestFit="1" customWidth="1"/>
    <col min="3" max="4" width="11.5703125" style="192" bestFit="1" customWidth="1"/>
    <col min="5" max="5" width="10.5703125" style="192" bestFit="1" customWidth="1"/>
    <col min="6" max="6" width="13.5703125" style="79" bestFit="1" customWidth="1"/>
    <col min="7" max="7" width="18.28515625" style="192" bestFit="1" customWidth="1"/>
    <col min="8" max="8" width="13.28515625" style="192" bestFit="1" customWidth="1"/>
    <col min="9" max="9" width="16.42578125" style="79" bestFit="1" customWidth="1"/>
    <col min="10" max="12" width="9.140625" style="79"/>
    <col min="13" max="13" width="24.7109375" style="79" bestFit="1" customWidth="1"/>
    <col min="14" max="16384" width="9.140625" style="79"/>
  </cols>
  <sheetData>
    <row r="9" spans="13:13" x14ac:dyDescent="0.25">
      <c r="M9" s="79" t="s">
        <v>1177</v>
      </c>
    </row>
    <row r="10" spans="13:13" x14ac:dyDescent="0.25">
      <c r="M10" s="79" t="s">
        <v>1166</v>
      </c>
    </row>
    <row r="11" spans="13:13" x14ac:dyDescent="0.25">
      <c r="M11" s="79">
        <f>COUNT(B18:B162)</f>
        <v>57</v>
      </c>
    </row>
    <row r="12" spans="13:13" x14ac:dyDescent="0.25">
      <c r="M12" s="79" t="s">
        <v>1164</v>
      </c>
    </row>
    <row r="13" spans="13:13" x14ac:dyDescent="0.25">
      <c r="M13" s="79" t="s">
        <v>1301</v>
      </c>
    </row>
    <row r="14" spans="13:13" x14ac:dyDescent="0.25">
      <c r="M14" s="226">
        <f>GETPIVOTDATA("Sum of TOTAL UNIT VALUE (SEMI FINISHED)",'PROJECT SUMMARY DASH'!$A$1,"SELLING PHASE NAME","RH")</f>
        <v>360336466.976758</v>
      </c>
    </row>
    <row r="18" spans="1:9" s="160" customFormat="1" ht="60" x14ac:dyDescent="0.25">
      <c r="A18" s="160" t="s">
        <v>733</v>
      </c>
      <c r="B18" s="160" t="s">
        <v>1303</v>
      </c>
      <c r="C18" s="160" t="s">
        <v>713</v>
      </c>
      <c r="D18" s="160" t="s">
        <v>1302</v>
      </c>
      <c r="E18" s="225" t="s">
        <v>1151</v>
      </c>
      <c r="F18" s="225" t="s">
        <v>1152</v>
      </c>
      <c r="G18" s="160" t="s">
        <v>1298</v>
      </c>
      <c r="H18" s="160" t="s">
        <v>1299</v>
      </c>
      <c r="I18" s="160" t="s">
        <v>1300</v>
      </c>
    </row>
    <row r="19" spans="1:9" x14ac:dyDescent="0.25">
      <c r="A19" s="121" t="s">
        <v>279</v>
      </c>
      <c r="B19" s="191">
        <v>79015.5</v>
      </c>
      <c r="C19" s="191">
        <v>78</v>
      </c>
      <c r="D19" s="191">
        <v>24.682200000000002</v>
      </c>
      <c r="E19" s="122">
        <v>643591.20345300005</v>
      </c>
      <c r="F19" s="122">
        <v>578578.01729350502</v>
      </c>
      <c r="G19" s="122">
        <v>7050800.2034529997</v>
      </c>
      <c r="H19" s="122">
        <v>7401800.2034529997</v>
      </c>
      <c r="I19" s="122">
        <v>7635800.2034529997</v>
      </c>
    </row>
    <row r="20" spans="1:9" x14ac:dyDescent="0.25">
      <c r="A20" s="121" t="s">
        <v>280</v>
      </c>
      <c r="B20" s="191">
        <v>79015.5</v>
      </c>
      <c r="C20" s="191">
        <v>78</v>
      </c>
      <c r="D20" s="191">
        <v>37.717199999999998</v>
      </c>
      <c r="E20" s="122">
        <v>983480.32747799996</v>
      </c>
      <c r="F20" s="122">
        <v>607468.59283563006</v>
      </c>
      <c r="G20" s="122">
        <v>7390689.327478</v>
      </c>
      <c r="H20" s="122">
        <v>7741689.327478</v>
      </c>
      <c r="I20" s="122">
        <v>7975689.327478</v>
      </c>
    </row>
    <row r="21" spans="1:9" x14ac:dyDescent="0.25">
      <c r="A21" s="121" t="s">
        <v>281</v>
      </c>
      <c r="B21" s="191">
        <v>79015.5</v>
      </c>
      <c r="C21" s="191">
        <v>63</v>
      </c>
      <c r="D21" s="191">
        <v>34.889099999999999</v>
      </c>
      <c r="E21" s="122">
        <v>909737.29474650009</v>
      </c>
      <c r="F21" s="122">
        <v>500455.67255345255</v>
      </c>
      <c r="G21" s="122">
        <v>6131713.7947464995</v>
      </c>
      <c r="H21" s="122">
        <v>6415213.7947465004</v>
      </c>
      <c r="I21" s="122">
        <v>6604213.7947464995</v>
      </c>
    </row>
    <row r="22" spans="1:9" x14ac:dyDescent="0.25">
      <c r="A22" s="121" t="s">
        <v>282</v>
      </c>
      <c r="B22" s="191">
        <v>79168</v>
      </c>
      <c r="C22" s="191">
        <v>84</v>
      </c>
      <c r="D22" s="191">
        <v>35.785600000000002</v>
      </c>
      <c r="E22" s="122">
        <v>934914.54566400009</v>
      </c>
      <c r="F22" s="122">
        <v>644727.25638144009</v>
      </c>
      <c r="G22" s="122">
        <v>7829026.5456640003</v>
      </c>
      <c r="H22" s="122">
        <v>8207026.5456640003</v>
      </c>
      <c r="I22" s="122">
        <v>8459026.5456639994</v>
      </c>
    </row>
    <row r="23" spans="1:9" x14ac:dyDescent="0.25">
      <c r="A23" s="121" t="s">
        <v>283</v>
      </c>
      <c r="B23" s="191">
        <v>79778</v>
      </c>
      <c r="C23" s="191">
        <v>85</v>
      </c>
      <c r="D23" s="191">
        <v>24.142299999999999</v>
      </c>
      <c r="E23" s="122">
        <v>635588.05510200001</v>
      </c>
      <c r="F23" s="122">
        <v>630421.03468367003</v>
      </c>
      <c r="G23" s="122">
        <v>7660718.055102</v>
      </c>
      <c r="H23" s="122">
        <v>8043218.055102</v>
      </c>
      <c r="I23" s="122">
        <v>8298218.055102</v>
      </c>
    </row>
    <row r="24" spans="1:9" x14ac:dyDescent="0.25">
      <c r="A24" s="121" t="s">
        <v>284</v>
      </c>
      <c r="B24" s="191">
        <v>79137.5</v>
      </c>
      <c r="C24" s="191">
        <v>78</v>
      </c>
      <c r="D24" s="191"/>
      <c r="E24" s="122">
        <v>0</v>
      </c>
      <c r="F24" s="122">
        <v>524681.625</v>
      </c>
      <c r="G24" s="122">
        <v>6416725</v>
      </c>
      <c r="H24" s="122">
        <v>6767725</v>
      </c>
      <c r="I24" s="122">
        <v>7001725</v>
      </c>
    </row>
    <row r="25" spans="1:9" x14ac:dyDescent="0.25">
      <c r="A25" s="121" t="s">
        <v>285</v>
      </c>
      <c r="B25" s="191">
        <v>79747.5</v>
      </c>
      <c r="C25" s="191">
        <v>77</v>
      </c>
      <c r="D25" s="191"/>
      <c r="E25" s="122">
        <v>0</v>
      </c>
      <c r="F25" s="122">
        <v>521947.38750000001</v>
      </c>
      <c r="G25" s="122">
        <v>6384557.5</v>
      </c>
      <c r="H25" s="122">
        <v>6731057.5</v>
      </c>
      <c r="I25" s="122">
        <v>6962057.5</v>
      </c>
    </row>
    <row r="26" spans="1:9" x14ac:dyDescent="0.25">
      <c r="A26" s="121" t="s">
        <v>286</v>
      </c>
      <c r="B26" s="191">
        <v>79747.5</v>
      </c>
      <c r="C26" s="191">
        <v>63</v>
      </c>
      <c r="D26" s="191"/>
      <c r="E26" s="122">
        <v>0</v>
      </c>
      <c r="F26" s="122">
        <v>427047.86250000005</v>
      </c>
      <c r="G26" s="122">
        <v>5268092.5</v>
      </c>
      <c r="H26" s="122">
        <v>5551592.5</v>
      </c>
      <c r="I26" s="122">
        <v>5740592.5</v>
      </c>
    </row>
    <row r="27" spans="1:9" x14ac:dyDescent="0.25">
      <c r="A27" s="121" t="s">
        <v>759</v>
      </c>
      <c r="B27" s="191">
        <v>79900</v>
      </c>
      <c r="C27" s="191">
        <v>84</v>
      </c>
      <c r="D27" s="191"/>
      <c r="E27" s="122">
        <v>0</v>
      </c>
      <c r="F27" s="122">
        <v>570486</v>
      </c>
      <c r="G27" s="122">
        <v>6955600</v>
      </c>
      <c r="H27" s="122">
        <v>7333600</v>
      </c>
      <c r="I27" s="122">
        <v>7585600</v>
      </c>
    </row>
    <row r="28" spans="1:9" x14ac:dyDescent="0.25">
      <c r="A28" s="121" t="s">
        <v>760</v>
      </c>
      <c r="B28" s="191">
        <v>79900</v>
      </c>
      <c r="C28" s="191">
        <v>85</v>
      </c>
      <c r="D28" s="191"/>
      <c r="E28" s="122">
        <v>0</v>
      </c>
      <c r="F28" s="122">
        <v>577277.5</v>
      </c>
      <c r="G28" s="122">
        <v>7035500</v>
      </c>
      <c r="H28" s="122">
        <v>7418000</v>
      </c>
      <c r="I28" s="122">
        <v>7673000</v>
      </c>
    </row>
    <row r="29" spans="1:9" x14ac:dyDescent="0.25">
      <c r="A29" s="121" t="s">
        <v>287</v>
      </c>
      <c r="B29" s="191">
        <v>79381.5</v>
      </c>
      <c r="C29" s="191">
        <v>78</v>
      </c>
      <c r="D29" s="191"/>
      <c r="E29" s="122">
        <v>0</v>
      </c>
      <c r="F29" s="122">
        <v>526299.34500000009</v>
      </c>
      <c r="G29" s="122">
        <v>6435757</v>
      </c>
      <c r="H29" s="122">
        <v>6786757</v>
      </c>
      <c r="I29" s="122">
        <v>7020757</v>
      </c>
    </row>
    <row r="30" spans="1:9" x14ac:dyDescent="0.25">
      <c r="A30" s="121" t="s">
        <v>761</v>
      </c>
      <c r="B30" s="191">
        <v>79991.5</v>
      </c>
      <c r="C30" s="191">
        <v>78</v>
      </c>
      <c r="D30" s="191"/>
      <c r="E30" s="122">
        <v>0</v>
      </c>
      <c r="F30" s="122">
        <v>530343.64500000002</v>
      </c>
      <c r="G30" s="122">
        <v>6483337</v>
      </c>
      <c r="H30" s="122">
        <v>6834337</v>
      </c>
      <c r="I30" s="122">
        <v>7068337</v>
      </c>
    </row>
    <row r="31" spans="1:9" x14ac:dyDescent="0.25">
      <c r="A31" s="121" t="s">
        <v>762</v>
      </c>
      <c r="B31" s="191">
        <v>79991.5</v>
      </c>
      <c r="C31" s="191">
        <v>63</v>
      </c>
      <c r="D31" s="191"/>
      <c r="E31" s="122">
        <v>0</v>
      </c>
      <c r="F31" s="122">
        <v>428354.48250000004</v>
      </c>
      <c r="G31" s="122">
        <v>5283464.5</v>
      </c>
      <c r="H31" s="122">
        <v>5566964.5</v>
      </c>
      <c r="I31" s="122">
        <v>5755964.5</v>
      </c>
    </row>
    <row r="32" spans="1:9" x14ac:dyDescent="0.25">
      <c r="A32" s="121" t="s">
        <v>763</v>
      </c>
      <c r="B32" s="191">
        <v>80144</v>
      </c>
      <c r="C32" s="191">
        <v>85</v>
      </c>
      <c r="D32" s="191"/>
      <c r="E32" s="122">
        <v>0</v>
      </c>
      <c r="F32" s="122">
        <v>579040.4</v>
      </c>
      <c r="G32" s="122">
        <v>7056240</v>
      </c>
      <c r="H32" s="122">
        <v>7438740</v>
      </c>
      <c r="I32" s="122">
        <v>7693740</v>
      </c>
    </row>
    <row r="33" spans="1:9" x14ac:dyDescent="0.25">
      <c r="A33" s="121" t="s">
        <v>764</v>
      </c>
      <c r="B33" s="191">
        <v>80144</v>
      </c>
      <c r="C33" s="191">
        <v>85</v>
      </c>
      <c r="D33" s="191"/>
      <c r="E33" s="122">
        <v>0</v>
      </c>
      <c r="F33" s="122">
        <v>579040.4</v>
      </c>
      <c r="G33" s="122">
        <v>7056240</v>
      </c>
      <c r="H33" s="122">
        <v>7438740</v>
      </c>
      <c r="I33" s="122">
        <v>7693740</v>
      </c>
    </row>
    <row r="34" spans="1:9" x14ac:dyDescent="0.25">
      <c r="A34" s="121" t="s">
        <v>765</v>
      </c>
      <c r="B34" s="191">
        <v>79991.5</v>
      </c>
      <c r="C34" s="191">
        <v>63</v>
      </c>
      <c r="D34" s="191"/>
      <c r="E34" s="122">
        <v>0</v>
      </c>
      <c r="F34" s="122">
        <v>428354.48250000004</v>
      </c>
      <c r="G34" s="122">
        <v>5283464.5</v>
      </c>
      <c r="H34" s="122">
        <v>5566964.5</v>
      </c>
      <c r="I34" s="122">
        <v>5755964.5</v>
      </c>
    </row>
    <row r="35" spans="1:9" x14ac:dyDescent="0.25">
      <c r="A35" s="121" t="s">
        <v>288</v>
      </c>
      <c r="B35" s="191">
        <v>79625.5</v>
      </c>
      <c r="C35" s="191">
        <v>77</v>
      </c>
      <c r="D35" s="191"/>
      <c r="E35" s="122">
        <v>0</v>
      </c>
      <c r="F35" s="122">
        <v>521148.89750000002</v>
      </c>
      <c r="G35" s="122">
        <v>6375163.5</v>
      </c>
      <c r="H35" s="122">
        <v>6721663.5</v>
      </c>
      <c r="I35" s="122">
        <v>6952663.5</v>
      </c>
    </row>
    <row r="36" spans="1:9" x14ac:dyDescent="0.25">
      <c r="A36" s="121" t="s">
        <v>766</v>
      </c>
      <c r="B36" s="191">
        <v>80235.5</v>
      </c>
      <c r="C36" s="191">
        <v>77</v>
      </c>
      <c r="D36" s="191"/>
      <c r="E36" s="122">
        <v>0</v>
      </c>
      <c r="F36" s="122">
        <v>525141.34750000003</v>
      </c>
      <c r="G36" s="122">
        <v>6422133.5</v>
      </c>
      <c r="H36" s="122">
        <v>6768633.5</v>
      </c>
      <c r="I36" s="122">
        <v>6999633.5</v>
      </c>
    </row>
    <row r="37" spans="1:9" x14ac:dyDescent="0.25">
      <c r="A37" s="121" t="s">
        <v>767</v>
      </c>
      <c r="B37" s="191">
        <v>80235.5</v>
      </c>
      <c r="C37" s="191">
        <v>63</v>
      </c>
      <c r="D37" s="191"/>
      <c r="E37" s="122">
        <v>0</v>
      </c>
      <c r="F37" s="122">
        <v>429661.10250000004</v>
      </c>
      <c r="G37" s="122">
        <v>5298836.5</v>
      </c>
      <c r="H37" s="122">
        <v>5582336.5</v>
      </c>
      <c r="I37" s="122">
        <v>5771336.5</v>
      </c>
    </row>
    <row r="38" spans="1:9" x14ac:dyDescent="0.25">
      <c r="A38" s="121" t="s">
        <v>289</v>
      </c>
      <c r="B38" s="191">
        <v>80388</v>
      </c>
      <c r="C38" s="191">
        <v>84</v>
      </c>
      <c r="D38" s="191"/>
      <c r="E38" s="122">
        <v>0</v>
      </c>
      <c r="F38" s="122">
        <v>573970.32000000007</v>
      </c>
      <c r="G38" s="122">
        <v>6996592</v>
      </c>
      <c r="H38" s="122">
        <v>7374592</v>
      </c>
      <c r="I38" s="122">
        <v>7626592</v>
      </c>
    </row>
    <row r="39" spans="1:9" x14ac:dyDescent="0.25">
      <c r="A39" s="121" t="s">
        <v>290</v>
      </c>
      <c r="B39" s="191">
        <v>80388</v>
      </c>
      <c r="C39" s="191">
        <v>84</v>
      </c>
      <c r="D39" s="191"/>
      <c r="E39" s="122">
        <v>0</v>
      </c>
      <c r="F39" s="122">
        <v>573970.32000000007</v>
      </c>
      <c r="G39" s="122">
        <v>6996592</v>
      </c>
      <c r="H39" s="122">
        <v>7374592</v>
      </c>
      <c r="I39" s="122">
        <v>7626592</v>
      </c>
    </row>
    <row r="40" spans="1:9" x14ac:dyDescent="0.25">
      <c r="A40" s="121" t="s">
        <v>768</v>
      </c>
      <c r="B40" s="191">
        <v>80235.5</v>
      </c>
      <c r="C40" s="191">
        <v>63</v>
      </c>
      <c r="D40" s="191"/>
      <c r="E40" s="122">
        <v>0</v>
      </c>
      <c r="F40" s="122">
        <v>429661.10250000004</v>
      </c>
      <c r="G40" s="122">
        <v>5298836.5</v>
      </c>
      <c r="H40" s="122">
        <v>5582336.5</v>
      </c>
      <c r="I40" s="122">
        <v>5771336.5</v>
      </c>
    </row>
    <row r="41" spans="1:9" x14ac:dyDescent="0.25">
      <c r="A41" s="121" t="s">
        <v>291</v>
      </c>
      <c r="B41" s="191">
        <v>79076.5</v>
      </c>
      <c r="C41" s="191">
        <v>77</v>
      </c>
      <c r="D41" s="191"/>
      <c r="E41" s="122">
        <v>0</v>
      </c>
      <c r="F41" s="122">
        <v>517555.69250000006</v>
      </c>
      <c r="G41" s="122">
        <v>6332890.5</v>
      </c>
      <c r="H41" s="122">
        <v>6679390.5</v>
      </c>
      <c r="I41" s="122">
        <v>6910390.5</v>
      </c>
    </row>
    <row r="42" spans="1:9" x14ac:dyDescent="0.25">
      <c r="A42" s="121" t="s">
        <v>292</v>
      </c>
      <c r="B42" s="191">
        <v>79686.5</v>
      </c>
      <c r="C42" s="191">
        <v>77</v>
      </c>
      <c r="D42" s="191"/>
      <c r="E42" s="122">
        <v>0</v>
      </c>
      <c r="F42" s="122">
        <v>521548.14250000002</v>
      </c>
      <c r="G42" s="122">
        <v>6379860.5</v>
      </c>
      <c r="H42" s="122">
        <v>6726360.5</v>
      </c>
      <c r="I42" s="122">
        <v>6957360.5</v>
      </c>
    </row>
    <row r="43" spans="1:9" x14ac:dyDescent="0.25">
      <c r="A43" s="121" t="s">
        <v>293</v>
      </c>
      <c r="B43" s="191">
        <v>79686.5</v>
      </c>
      <c r="C43" s="191">
        <v>63</v>
      </c>
      <c r="D43" s="191"/>
      <c r="E43" s="122">
        <v>0</v>
      </c>
      <c r="F43" s="122">
        <v>426721.20750000002</v>
      </c>
      <c r="G43" s="122">
        <v>5264249.5</v>
      </c>
      <c r="H43" s="122">
        <v>5547749.5</v>
      </c>
      <c r="I43" s="122">
        <v>5736749.5</v>
      </c>
    </row>
    <row r="44" spans="1:9" x14ac:dyDescent="0.25">
      <c r="A44" s="121" t="s">
        <v>294</v>
      </c>
      <c r="B44" s="191">
        <v>79839</v>
      </c>
      <c r="C44" s="191">
        <v>84</v>
      </c>
      <c r="D44" s="191"/>
      <c r="E44" s="122">
        <v>0</v>
      </c>
      <c r="F44" s="122">
        <v>570050.46000000008</v>
      </c>
      <c r="G44" s="122">
        <v>6950476</v>
      </c>
      <c r="H44" s="122">
        <v>7328476</v>
      </c>
      <c r="I44" s="122">
        <v>7580476</v>
      </c>
    </row>
    <row r="45" spans="1:9" x14ac:dyDescent="0.25">
      <c r="A45" s="121" t="s">
        <v>295</v>
      </c>
      <c r="B45" s="191">
        <v>79839</v>
      </c>
      <c r="C45" s="191">
        <v>84</v>
      </c>
      <c r="D45" s="191"/>
      <c r="E45" s="122">
        <v>0</v>
      </c>
      <c r="F45" s="122">
        <v>570050.46000000008</v>
      </c>
      <c r="G45" s="122">
        <v>6950476</v>
      </c>
      <c r="H45" s="122">
        <v>7328476</v>
      </c>
      <c r="I45" s="122">
        <v>7580476</v>
      </c>
    </row>
    <row r="46" spans="1:9" x14ac:dyDescent="0.25">
      <c r="A46" s="121" t="s">
        <v>296</v>
      </c>
      <c r="B46" s="191">
        <v>79686.5</v>
      </c>
      <c r="C46" s="191">
        <v>63</v>
      </c>
      <c r="D46" s="191"/>
      <c r="E46" s="122">
        <v>0</v>
      </c>
      <c r="F46" s="122">
        <v>426721.20750000002</v>
      </c>
      <c r="G46" s="122">
        <v>5264249.5</v>
      </c>
      <c r="H46" s="122">
        <v>5547749.5</v>
      </c>
      <c r="I46" s="122">
        <v>5736749.5</v>
      </c>
    </row>
    <row r="47" spans="1:9" x14ac:dyDescent="0.25">
      <c r="A47" s="121" t="s">
        <v>769</v>
      </c>
      <c r="B47" s="191">
        <v>80205</v>
      </c>
      <c r="C47" s="191">
        <v>85</v>
      </c>
      <c r="D47" s="191">
        <v>24.4619</v>
      </c>
      <c r="E47" s="122">
        <v>647449.00753499998</v>
      </c>
      <c r="F47" s="122">
        <v>634514.29064047511</v>
      </c>
      <c r="G47" s="122">
        <v>7708874.0075350003</v>
      </c>
      <c r="H47" s="122">
        <v>8091374.0075350003</v>
      </c>
      <c r="I47" s="122">
        <v>8346374.0075350003</v>
      </c>
    </row>
    <row r="48" spans="1:9" x14ac:dyDescent="0.25">
      <c r="A48" s="121" t="s">
        <v>297</v>
      </c>
      <c r="B48" s="191">
        <v>78741</v>
      </c>
      <c r="C48" s="191">
        <v>84</v>
      </c>
      <c r="D48" s="191">
        <v>35.785600000000002</v>
      </c>
      <c r="E48" s="122">
        <v>929871.99676800019</v>
      </c>
      <c r="F48" s="122">
        <v>641249.85972528008</v>
      </c>
      <c r="G48" s="122">
        <v>7788115.9967679996</v>
      </c>
      <c r="H48" s="122">
        <v>8166115.9967680005</v>
      </c>
      <c r="I48" s="122">
        <v>8418115.9967679996</v>
      </c>
    </row>
    <row r="49" spans="1:9" x14ac:dyDescent="0.25">
      <c r="A49" s="121" t="s">
        <v>298</v>
      </c>
      <c r="B49" s="191">
        <v>78588.5</v>
      </c>
      <c r="C49" s="191">
        <v>63</v>
      </c>
      <c r="D49" s="191">
        <v>34.889099999999999</v>
      </c>
      <c r="E49" s="122">
        <v>904821.07166550006</v>
      </c>
      <c r="F49" s="122">
        <v>497751.20859156759</v>
      </c>
      <c r="G49" s="122">
        <v>6099896.5716655003</v>
      </c>
      <c r="H49" s="122">
        <v>6383396.5716655003</v>
      </c>
      <c r="I49" s="122">
        <v>6572396.5716655003</v>
      </c>
    </row>
    <row r="50" spans="1:9" x14ac:dyDescent="0.25">
      <c r="A50" s="121" t="s">
        <v>299</v>
      </c>
      <c r="B50" s="191">
        <v>78588.5</v>
      </c>
      <c r="C50" s="191">
        <v>78</v>
      </c>
      <c r="D50" s="191">
        <v>37.717199999999998</v>
      </c>
      <c r="E50" s="122">
        <v>978165.59682600002</v>
      </c>
      <c r="F50" s="122">
        <v>604185.83073021006</v>
      </c>
      <c r="G50" s="122">
        <v>7352068.5968260001</v>
      </c>
      <c r="H50" s="122">
        <v>7703068.5968260001</v>
      </c>
      <c r="I50" s="122">
        <v>7937068.5968260001</v>
      </c>
    </row>
    <row r="51" spans="1:9" x14ac:dyDescent="0.25">
      <c r="A51" s="121" t="s">
        <v>300</v>
      </c>
      <c r="B51" s="191">
        <v>79442.5</v>
      </c>
      <c r="C51" s="191">
        <v>78</v>
      </c>
      <c r="D51" s="191">
        <v>24.668800000000001</v>
      </c>
      <c r="E51" s="122">
        <v>646717.8775200001</v>
      </c>
      <c r="F51" s="122">
        <v>581674.79458920006</v>
      </c>
      <c r="G51" s="122">
        <v>7087232.8775200006</v>
      </c>
      <c r="H51" s="122">
        <v>7438232.8775200006</v>
      </c>
      <c r="I51" s="122">
        <v>7672232.8775200006</v>
      </c>
    </row>
    <row r="52" spans="1:9" x14ac:dyDescent="0.25">
      <c r="A52" s="121" t="s">
        <v>301</v>
      </c>
      <c r="B52" s="191">
        <v>80327</v>
      </c>
      <c r="C52" s="191">
        <v>85</v>
      </c>
      <c r="D52" s="191"/>
      <c r="E52" s="122">
        <v>0</v>
      </c>
      <c r="F52" s="122">
        <v>580362.57500000007</v>
      </c>
      <c r="G52" s="122">
        <v>7071795</v>
      </c>
      <c r="H52" s="122">
        <v>7454295</v>
      </c>
      <c r="I52" s="122">
        <v>7709295</v>
      </c>
    </row>
    <row r="53" spans="1:9" x14ac:dyDescent="0.25">
      <c r="A53" s="121" t="s">
        <v>302</v>
      </c>
      <c r="B53" s="191">
        <v>79473</v>
      </c>
      <c r="C53" s="191">
        <v>84</v>
      </c>
      <c r="D53" s="191"/>
      <c r="E53" s="122">
        <v>0</v>
      </c>
      <c r="F53" s="122">
        <v>567437.22000000009</v>
      </c>
      <c r="G53" s="122">
        <v>6919732</v>
      </c>
      <c r="H53" s="122">
        <v>7297732</v>
      </c>
      <c r="I53" s="122">
        <v>7549732</v>
      </c>
    </row>
    <row r="54" spans="1:9" x14ac:dyDescent="0.25">
      <c r="A54" s="121" t="s">
        <v>303</v>
      </c>
      <c r="B54" s="191">
        <v>79320.5</v>
      </c>
      <c r="C54" s="191">
        <v>63</v>
      </c>
      <c r="D54" s="191"/>
      <c r="E54" s="122">
        <v>0</v>
      </c>
      <c r="F54" s="122">
        <v>424761.27750000003</v>
      </c>
      <c r="G54" s="122">
        <v>5241191.5</v>
      </c>
      <c r="H54" s="122">
        <v>5524691.5</v>
      </c>
      <c r="I54" s="122">
        <v>5713691.5</v>
      </c>
    </row>
    <row r="55" spans="1:9" x14ac:dyDescent="0.25">
      <c r="A55" s="121" t="s">
        <v>304</v>
      </c>
      <c r="B55" s="191">
        <v>79320.5</v>
      </c>
      <c r="C55" s="191">
        <v>77</v>
      </c>
      <c r="D55" s="191"/>
      <c r="E55" s="122">
        <v>0</v>
      </c>
      <c r="F55" s="122">
        <v>519152.67250000004</v>
      </c>
      <c r="G55" s="122">
        <v>6351678.5</v>
      </c>
      <c r="H55" s="122">
        <v>6698178.5</v>
      </c>
      <c r="I55" s="122">
        <v>6929178.5</v>
      </c>
    </row>
    <row r="56" spans="1:9" x14ac:dyDescent="0.25">
      <c r="A56" s="121" t="s">
        <v>305</v>
      </c>
      <c r="B56" s="191">
        <v>79564.5</v>
      </c>
      <c r="C56" s="191">
        <v>78</v>
      </c>
      <c r="D56" s="191"/>
      <c r="E56" s="122">
        <v>0</v>
      </c>
      <c r="F56" s="122">
        <v>527512.63500000001</v>
      </c>
      <c r="G56" s="122">
        <v>6450031</v>
      </c>
      <c r="H56" s="122">
        <v>6801031</v>
      </c>
      <c r="I56" s="122">
        <v>7035031</v>
      </c>
    </row>
    <row r="57" spans="1:9" x14ac:dyDescent="0.25">
      <c r="A57" s="121" t="s">
        <v>306</v>
      </c>
      <c r="B57" s="191">
        <v>80571</v>
      </c>
      <c r="C57" s="191">
        <v>85</v>
      </c>
      <c r="D57" s="191"/>
      <c r="E57" s="122">
        <v>0</v>
      </c>
      <c r="F57" s="122">
        <v>582125.47500000009</v>
      </c>
      <c r="G57" s="122">
        <v>7092535</v>
      </c>
      <c r="H57" s="122">
        <v>7475035</v>
      </c>
      <c r="I57" s="122">
        <v>7730035</v>
      </c>
    </row>
    <row r="58" spans="1:9" x14ac:dyDescent="0.25">
      <c r="A58" s="121" t="s">
        <v>307</v>
      </c>
      <c r="B58" s="191">
        <v>79717</v>
      </c>
      <c r="C58" s="191">
        <v>85</v>
      </c>
      <c r="D58" s="191"/>
      <c r="E58" s="122">
        <v>0</v>
      </c>
      <c r="F58" s="122">
        <v>575955.32500000007</v>
      </c>
      <c r="G58" s="122">
        <v>7019945</v>
      </c>
      <c r="H58" s="122">
        <v>7402445</v>
      </c>
      <c r="I58" s="122">
        <v>7657445</v>
      </c>
    </row>
    <row r="59" spans="1:9" x14ac:dyDescent="0.25">
      <c r="A59" s="121" t="s">
        <v>308</v>
      </c>
      <c r="B59" s="191">
        <v>79564.5</v>
      </c>
      <c r="C59" s="191">
        <v>63</v>
      </c>
      <c r="D59" s="191"/>
      <c r="E59" s="122">
        <v>0</v>
      </c>
      <c r="F59" s="122">
        <v>426067.89750000002</v>
      </c>
      <c r="G59" s="122">
        <v>5256563.5</v>
      </c>
      <c r="H59" s="122">
        <v>5540063.5</v>
      </c>
      <c r="I59" s="122">
        <v>5729063.5</v>
      </c>
    </row>
    <row r="60" spans="1:9" x14ac:dyDescent="0.25">
      <c r="A60" s="121" t="s">
        <v>309</v>
      </c>
      <c r="B60" s="191">
        <v>79564.5</v>
      </c>
      <c r="C60" s="191">
        <v>78</v>
      </c>
      <c r="D60" s="191"/>
      <c r="E60" s="122">
        <v>0</v>
      </c>
      <c r="F60" s="122">
        <v>527512.63500000001</v>
      </c>
      <c r="G60" s="122">
        <v>6450031</v>
      </c>
      <c r="H60" s="122">
        <v>6801031</v>
      </c>
      <c r="I60" s="122">
        <v>7035031</v>
      </c>
    </row>
    <row r="61" spans="1:9" x14ac:dyDescent="0.25">
      <c r="A61" s="121" t="s">
        <v>310</v>
      </c>
      <c r="B61" s="191">
        <v>79808.5</v>
      </c>
      <c r="C61" s="191">
        <v>78</v>
      </c>
      <c r="D61" s="191"/>
      <c r="E61" s="122">
        <v>0</v>
      </c>
      <c r="F61" s="122">
        <v>529130.35499999998</v>
      </c>
      <c r="G61" s="122">
        <v>6469063</v>
      </c>
      <c r="H61" s="122">
        <v>6820063</v>
      </c>
      <c r="I61" s="122">
        <v>7054063</v>
      </c>
    </row>
    <row r="62" spans="1:9" x14ac:dyDescent="0.25">
      <c r="A62" s="121" t="s">
        <v>311</v>
      </c>
      <c r="B62" s="191">
        <v>79808.5</v>
      </c>
      <c r="C62" s="191">
        <v>63</v>
      </c>
      <c r="D62" s="191"/>
      <c r="E62" s="122">
        <v>0</v>
      </c>
      <c r="F62" s="122">
        <v>427374.51750000002</v>
      </c>
      <c r="G62" s="122">
        <v>5271935.5</v>
      </c>
      <c r="H62" s="122">
        <v>5555435.5</v>
      </c>
      <c r="I62" s="122">
        <v>5744435.5</v>
      </c>
    </row>
    <row r="63" spans="1:9" x14ac:dyDescent="0.25">
      <c r="A63" s="121" t="s">
        <v>770</v>
      </c>
      <c r="B63" s="191">
        <v>80815</v>
      </c>
      <c r="C63" s="191">
        <v>84</v>
      </c>
      <c r="D63" s="191"/>
      <c r="E63" s="122">
        <v>0</v>
      </c>
      <c r="F63" s="122">
        <v>577019.10000000009</v>
      </c>
      <c r="G63" s="122">
        <v>7032460</v>
      </c>
      <c r="H63" s="122">
        <v>7410460</v>
      </c>
      <c r="I63" s="122">
        <v>7662460</v>
      </c>
    </row>
    <row r="64" spans="1:9" x14ac:dyDescent="0.25">
      <c r="A64" s="121" t="s">
        <v>771</v>
      </c>
      <c r="B64" s="191">
        <v>79961</v>
      </c>
      <c r="C64" s="191">
        <v>84</v>
      </c>
      <c r="D64" s="191"/>
      <c r="E64" s="122">
        <v>0</v>
      </c>
      <c r="F64" s="122">
        <v>570921.54</v>
      </c>
      <c r="G64" s="122">
        <v>6960724</v>
      </c>
      <c r="H64" s="122">
        <v>7338724</v>
      </c>
      <c r="I64" s="122">
        <v>7590724</v>
      </c>
    </row>
    <row r="65" spans="1:9" x14ac:dyDescent="0.25">
      <c r="A65" s="121" t="s">
        <v>312</v>
      </c>
      <c r="B65" s="191">
        <v>79808.5</v>
      </c>
      <c r="C65" s="191">
        <v>63</v>
      </c>
      <c r="D65" s="191"/>
      <c r="E65" s="122">
        <v>0</v>
      </c>
      <c r="F65" s="122">
        <v>427374.51750000002</v>
      </c>
      <c r="G65" s="122">
        <v>5271935.5</v>
      </c>
      <c r="H65" s="122">
        <v>5555435.5</v>
      </c>
      <c r="I65" s="122">
        <v>5744435.5</v>
      </c>
    </row>
    <row r="66" spans="1:9" x14ac:dyDescent="0.25">
      <c r="A66" s="121" t="s">
        <v>313</v>
      </c>
      <c r="B66" s="191">
        <v>79808.5</v>
      </c>
      <c r="C66" s="191">
        <v>77</v>
      </c>
      <c r="D66" s="191"/>
      <c r="E66" s="122">
        <v>0</v>
      </c>
      <c r="F66" s="122">
        <v>522346.63250000007</v>
      </c>
      <c r="G66" s="122">
        <v>6389254.5</v>
      </c>
      <c r="H66" s="122">
        <v>6735754.5</v>
      </c>
      <c r="I66" s="122">
        <v>6966754.5</v>
      </c>
    </row>
    <row r="67" spans="1:9" x14ac:dyDescent="0.25">
      <c r="A67" s="121" t="s">
        <v>772</v>
      </c>
      <c r="B67" s="191">
        <v>80052.5</v>
      </c>
      <c r="C67" s="191">
        <v>77</v>
      </c>
      <c r="D67" s="191"/>
      <c r="E67" s="122">
        <v>0</v>
      </c>
      <c r="F67" s="122">
        <v>523943.61250000005</v>
      </c>
      <c r="G67" s="122">
        <v>6408042.5</v>
      </c>
      <c r="H67" s="122">
        <v>6754542.5</v>
      </c>
      <c r="I67" s="122">
        <v>6985542.5</v>
      </c>
    </row>
    <row r="68" spans="1:9" x14ac:dyDescent="0.25">
      <c r="A68" s="121" t="s">
        <v>773</v>
      </c>
      <c r="B68" s="191">
        <v>80052.5</v>
      </c>
      <c r="C68" s="191">
        <v>63</v>
      </c>
      <c r="D68" s="191"/>
      <c r="E68" s="122">
        <v>0</v>
      </c>
      <c r="F68" s="122">
        <v>428681.13750000001</v>
      </c>
      <c r="G68" s="122">
        <v>5287307.5</v>
      </c>
      <c r="H68" s="122">
        <v>5570807.5</v>
      </c>
      <c r="I68" s="122">
        <v>5759807.5</v>
      </c>
    </row>
    <row r="69" spans="1:9" x14ac:dyDescent="0.25">
      <c r="A69" s="121" t="s">
        <v>774</v>
      </c>
      <c r="B69" s="191">
        <v>80266</v>
      </c>
      <c r="C69" s="191">
        <v>84</v>
      </c>
      <c r="D69" s="191"/>
      <c r="E69" s="122">
        <v>0</v>
      </c>
      <c r="F69" s="122">
        <v>573099.24</v>
      </c>
      <c r="G69" s="122">
        <v>6986344</v>
      </c>
      <c r="H69" s="122">
        <v>7364344</v>
      </c>
      <c r="I69" s="122">
        <v>7616344</v>
      </c>
    </row>
    <row r="70" spans="1:9" x14ac:dyDescent="0.25">
      <c r="A70" s="121" t="s">
        <v>314</v>
      </c>
      <c r="B70" s="191">
        <v>79412</v>
      </c>
      <c r="C70" s="191">
        <v>84</v>
      </c>
      <c r="D70" s="191"/>
      <c r="E70" s="122">
        <v>0</v>
      </c>
      <c r="F70" s="122">
        <v>567001.68000000005</v>
      </c>
      <c r="G70" s="122">
        <v>6914608</v>
      </c>
      <c r="H70" s="122">
        <v>7292608</v>
      </c>
      <c r="I70" s="122">
        <v>7544608</v>
      </c>
    </row>
    <row r="71" spans="1:9" x14ac:dyDescent="0.25">
      <c r="A71" s="121" t="s">
        <v>315</v>
      </c>
      <c r="B71" s="191">
        <v>79259.5</v>
      </c>
      <c r="C71" s="191">
        <v>63</v>
      </c>
      <c r="D71" s="191"/>
      <c r="E71" s="122">
        <v>0</v>
      </c>
      <c r="F71" s="122">
        <v>424434.62250000006</v>
      </c>
      <c r="G71" s="122">
        <v>5237348.5</v>
      </c>
      <c r="H71" s="122">
        <v>5520848.5</v>
      </c>
      <c r="I71" s="122">
        <v>5709848.5</v>
      </c>
    </row>
    <row r="72" spans="1:9" x14ac:dyDescent="0.25">
      <c r="A72" s="121" t="s">
        <v>316</v>
      </c>
      <c r="B72" s="191">
        <v>79259.5</v>
      </c>
      <c r="C72" s="191">
        <v>77</v>
      </c>
      <c r="D72" s="191"/>
      <c r="E72" s="122">
        <v>0</v>
      </c>
      <c r="F72" s="122">
        <v>518753.42750000005</v>
      </c>
      <c r="G72" s="122">
        <v>6346981.5</v>
      </c>
      <c r="H72" s="122">
        <v>6693481.5</v>
      </c>
      <c r="I72" s="122">
        <v>6924481.5</v>
      </c>
    </row>
    <row r="73" spans="1:9" x14ac:dyDescent="0.25">
      <c r="A73" s="121" t="s">
        <v>317</v>
      </c>
      <c r="B73" s="191">
        <v>79503.5</v>
      </c>
      <c r="C73" s="191">
        <v>77</v>
      </c>
      <c r="D73" s="191"/>
      <c r="E73" s="122">
        <v>0</v>
      </c>
      <c r="F73" s="122">
        <v>520350.40750000003</v>
      </c>
      <c r="G73" s="122">
        <v>6365769.5</v>
      </c>
      <c r="H73" s="122">
        <v>6712269.5</v>
      </c>
      <c r="I73" s="122">
        <v>6943269.5</v>
      </c>
    </row>
    <row r="74" spans="1:9" x14ac:dyDescent="0.25">
      <c r="A74" s="121" t="s">
        <v>318</v>
      </c>
      <c r="B74" s="191">
        <v>79503.5</v>
      </c>
      <c r="C74" s="191">
        <v>63</v>
      </c>
      <c r="D74" s="191"/>
      <c r="E74" s="122">
        <v>0</v>
      </c>
      <c r="F74" s="122">
        <v>425741.24250000005</v>
      </c>
      <c r="G74" s="122">
        <v>5252720.5</v>
      </c>
      <c r="H74" s="122">
        <v>5536220.5</v>
      </c>
      <c r="I74" s="122">
        <v>5725220.5</v>
      </c>
    </row>
    <row r="75" spans="1:9" x14ac:dyDescent="0.25">
      <c r="A75" s="121" t="s">
        <v>709</v>
      </c>
      <c r="B75" s="122">
        <v>4463298</v>
      </c>
      <c r="C75" s="122">
        <v>4246</v>
      </c>
      <c r="D75" s="122">
        <v>314.73899999999992</v>
      </c>
      <c r="E75" s="122">
        <v>8214336.9767580014</v>
      </c>
      <c r="F75" s="122">
        <v>29467159.693024427</v>
      </c>
      <c r="G75" s="122">
        <v>360336466.976758</v>
      </c>
      <c r="H75" s="122">
        <v>379443466.976758</v>
      </c>
      <c r="I75" s="122">
        <v>392181466.976758</v>
      </c>
    </row>
    <row r="76" spans="1:9" x14ac:dyDescent="0.25">
      <c r="A76"/>
      <c r="B76"/>
      <c r="C76"/>
      <c r="D76"/>
      <c r="E76"/>
      <c r="F76"/>
      <c r="G76"/>
      <c r="H76"/>
      <c r="I76"/>
    </row>
    <row r="77" spans="1:9" x14ac:dyDescent="0.25">
      <c r="A77"/>
      <c r="B77"/>
      <c r="C77"/>
      <c r="D77"/>
      <c r="E77"/>
      <c r="F77"/>
      <c r="G77"/>
      <c r="H77"/>
      <c r="I77"/>
    </row>
    <row r="78" spans="1:9" x14ac:dyDescent="0.25">
      <c r="A78"/>
      <c r="B78"/>
      <c r="C78"/>
      <c r="D78"/>
      <c r="E78"/>
      <c r="F78"/>
      <c r="G78"/>
      <c r="H78"/>
      <c r="I78"/>
    </row>
    <row r="79" spans="1:9" x14ac:dyDescent="0.25">
      <c r="A79"/>
      <c r="B79"/>
      <c r="C79"/>
      <c r="D79"/>
      <c r="E79"/>
      <c r="F79"/>
      <c r="G79"/>
      <c r="H79"/>
      <c r="I79"/>
    </row>
    <row r="80" spans="1:9" x14ac:dyDescent="0.25">
      <c r="A80"/>
      <c r="B80"/>
      <c r="C80"/>
      <c r="D80"/>
      <c r="E80"/>
      <c r="F80"/>
      <c r="G80"/>
      <c r="H80"/>
      <c r="I80"/>
    </row>
    <row r="81" spans="1:9" x14ac:dyDescent="0.25">
      <c r="A81"/>
      <c r="B81"/>
      <c r="C81"/>
      <c r="D81"/>
      <c r="E81"/>
      <c r="F81"/>
      <c r="G81"/>
      <c r="H81"/>
      <c r="I81"/>
    </row>
    <row r="82" spans="1:9" x14ac:dyDescent="0.25">
      <c r="A82"/>
      <c r="B82"/>
      <c r="C82"/>
      <c r="D82"/>
      <c r="E82"/>
      <c r="F82"/>
      <c r="G82"/>
      <c r="H82"/>
      <c r="I82"/>
    </row>
    <row r="83" spans="1:9" x14ac:dyDescent="0.25">
      <c r="A83"/>
      <c r="B83"/>
      <c r="C83"/>
      <c r="D83"/>
      <c r="E83"/>
      <c r="F83"/>
      <c r="G83"/>
      <c r="H83"/>
      <c r="I83"/>
    </row>
    <row r="84" spans="1:9" x14ac:dyDescent="0.25">
      <c r="A84"/>
      <c r="B84"/>
      <c r="C84"/>
      <c r="D84"/>
      <c r="E84"/>
      <c r="F84"/>
      <c r="G84"/>
      <c r="H84"/>
      <c r="I84"/>
    </row>
    <row r="85" spans="1:9" x14ac:dyDescent="0.25">
      <c r="A85"/>
      <c r="B85"/>
      <c r="C85"/>
      <c r="D85"/>
      <c r="E85"/>
      <c r="F85"/>
      <c r="G85"/>
      <c r="H85"/>
      <c r="I85"/>
    </row>
    <row r="86" spans="1:9" x14ac:dyDescent="0.25">
      <c r="A86"/>
      <c r="B86"/>
      <c r="C86"/>
      <c r="D86"/>
      <c r="E86"/>
      <c r="F86"/>
      <c r="G86"/>
      <c r="H86"/>
      <c r="I86"/>
    </row>
    <row r="87" spans="1:9" x14ac:dyDescent="0.25">
      <c r="A87"/>
      <c r="B87"/>
      <c r="C87"/>
      <c r="D87"/>
      <c r="E87"/>
      <c r="F87"/>
      <c r="G87"/>
      <c r="H87"/>
      <c r="I87"/>
    </row>
    <row r="88" spans="1:9" x14ac:dyDescent="0.25">
      <c r="A88"/>
      <c r="B88"/>
      <c r="C88"/>
      <c r="D88"/>
      <c r="E88"/>
      <c r="F88"/>
      <c r="G88"/>
      <c r="H88"/>
      <c r="I88"/>
    </row>
    <row r="89" spans="1:9" x14ac:dyDescent="0.25">
      <c r="A89"/>
      <c r="B89"/>
      <c r="C89"/>
      <c r="D89"/>
      <c r="E89"/>
      <c r="F89"/>
      <c r="G89"/>
      <c r="H89"/>
      <c r="I89"/>
    </row>
    <row r="90" spans="1:9" x14ac:dyDescent="0.25">
      <c r="A90"/>
      <c r="B90"/>
      <c r="C90"/>
      <c r="D90"/>
      <c r="E90"/>
      <c r="F90"/>
      <c r="G90"/>
      <c r="H90"/>
      <c r="I90"/>
    </row>
    <row r="91" spans="1:9" x14ac:dyDescent="0.25">
      <c r="A91"/>
      <c r="B91"/>
      <c r="C91"/>
      <c r="D91"/>
      <c r="E91"/>
      <c r="F91"/>
      <c r="G91"/>
      <c r="H91"/>
      <c r="I91"/>
    </row>
    <row r="92" spans="1:9" x14ac:dyDescent="0.25">
      <c r="A92"/>
      <c r="B92"/>
      <c r="C92"/>
      <c r="D92"/>
      <c r="E92"/>
      <c r="F92"/>
      <c r="G92"/>
      <c r="H92"/>
      <c r="I92"/>
    </row>
    <row r="93" spans="1:9" x14ac:dyDescent="0.25">
      <c r="A93"/>
      <c r="B93"/>
      <c r="C93"/>
      <c r="D93"/>
      <c r="E93"/>
      <c r="F93"/>
      <c r="G93"/>
      <c r="H93"/>
      <c r="I93"/>
    </row>
    <row r="94" spans="1:9" x14ac:dyDescent="0.25">
      <c r="A94"/>
      <c r="B94"/>
      <c r="C94"/>
      <c r="D94"/>
      <c r="E94"/>
      <c r="F94"/>
      <c r="G94"/>
      <c r="H94"/>
      <c r="I94"/>
    </row>
    <row r="95" spans="1:9" x14ac:dyDescent="0.25">
      <c r="A95"/>
      <c r="B95"/>
      <c r="C95"/>
      <c r="D95"/>
      <c r="E95"/>
      <c r="F95"/>
      <c r="G95"/>
      <c r="H95"/>
      <c r="I95"/>
    </row>
    <row r="96" spans="1:9" x14ac:dyDescent="0.25">
      <c r="A96"/>
      <c r="B96"/>
      <c r="C96"/>
      <c r="D96"/>
      <c r="E96"/>
      <c r="F96"/>
      <c r="G96"/>
      <c r="H96"/>
      <c r="I96"/>
    </row>
    <row r="97" spans="1:9" x14ac:dyDescent="0.25">
      <c r="A97"/>
      <c r="B97"/>
      <c r="C97"/>
      <c r="D97"/>
      <c r="E97"/>
      <c r="F97"/>
      <c r="G97"/>
      <c r="H97"/>
      <c r="I97"/>
    </row>
    <row r="98" spans="1:9" x14ac:dyDescent="0.25">
      <c r="A98"/>
      <c r="B98"/>
      <c r="C98"/>
      <c r="D98"/>
      <c r="E98"/>
      <c r="F98"/>
      <c r="G98"/>
      <c r="H98"/>
      <c r="I98"/>
    </row>
    <row r="99" spans="1:9" x14ac:dyDescent="0.25">
      <c r="A99"/>
      <c r="B99"/>
      <c r="C99"/>
      <c r="D99"/>
      <c r="E99"/>
      <c r="F99"/>
      <c r="G99"/>
      <c r="H99"/>
      <c r="I99"/>
    </row>
    <row r="100" spans="1:9" x14ac:dyDescent="0.25">
      <c r="A100"/>
      <c r="B100"/>
      <c r="C100"/>
      <c r="D100"/>
      <c r="E100"/>
      <c r="F100"/>
      <c r="G100"/>
      <c r="H100"/>
      <c r="I100"/>
    </row>
    <row r="101" spans="1:9" x14ac:dyDescent="0.25">
      <c r="A101"/>
      <c r="B101"/>
      <c r="C101"/>
      <c r="D101"/>
      <c r="E101"/>
      <c r="F101"/>
      <c r="G101"/>
      <c r="H101"/>
      <c r="I101"/>
    </row>
    <row r="102" spans="1:9" x14ac:dyDescent="0.25">
      <c r="A102"/>
      <c r="B102"/>
      <c r="C102"/>
      <c r="D102"/>
      <c r="E102"/>
      <c r="F102"/>
      <c r="G102"/>
      <c r="H102"/>
      <c r="I102"/>
    </row>
    <row r="103" spans="1:9" x14ac:dyDescent="0.25">
      <c r="A103"/>
      <c r="B103"/>
      <c r="C103"/>
      <c r="D103"/>
      <c r="E103"/>
      <c r="F103"/>
      <c r="G103"/>
      <c r="H103"/>
      <c r="I103"/>
    </row>
    <row r="104" spans="1:9" x14ac:dyDescent="0.25">
      <c r="A104"/>
      <c r="B104"/>
      <c r="C104"/>
      <c r="D104"/>
      <c r="E104"/>
      <c r="F104"/>
      <c r="G104"/>
      <c r="H104"/>
      <c r="I104"/>
    </row>
    <row r="105" spans="1:9" x14ac:dyDescent="0.25">
      <c r="A105"/>
      <c r="B105"/>
      <c r="C105"/>
      <c r="D105"/>
      <c r="E105"/>
      <c r="F105"/>
      <c r="G105"/>
      <c r="H105"/>
      <c r="I105"/>
    </row>
    <row r="106" spans="1:9" x14ac:dyDescent="0.25">
      <c r="A106"/>
      <c r="B106"/>
      <c r="C106"/>
      <c r="D106"/>
      <c r="E106"/>
      <c r="F106"/>
      <c r="G106"/>
      <c r="H106"/>
      <c r="I106"/>
    </row>
    <row r="107" spans="1:9" x14ac:dyDescent="0.25">
      <c r="A107"/>
      <c r="B107"/>
      <c r="C107"/>
      <c r="D107"/>
      <c r="E107"/>
      <c r="F107"/>
      <c r="G107"/>
      <c r="H107"/>
      <c r="I107"/>
    </row>
    <row r="108" spans="1:9" x14ac:dyDescent="0.25">
      <c r="A108"/>
      <c r="B108"/>
      <c r="C108"/>
      <c r="D108"/>
      <c r="E108"/>
      <c r="F108"/>
      <c r="G108"/>
      <c r="H108"/>
      <c r="I108"/>
    </row>
    <row r="109" spans="1:9" x14ac:dyDescent="0.25">
      <c r="A109"/>
      <c r="B109"/>
      <c r="C109"/>
      <c r="D109"/>
      <c r="E109"/>
      <c r="F109"/>
      <c r="G109"/>
      <c r="H109"/>
      <c r="I109"/>
    </row>
    <row r="110" spans="1:9" x14ac:dyDescent="0.25">
      <c r="A110"/>
      <c r="B110"/>
      <c r="C110"/>
      <c r="D110"/>
      <c r="E110"/>
      <c r="F110"/>
      <c r="G110"/>
      <c r="H110"/>
      <c r="I110"/>
    </row>
    <row r="111" spans="1:9" x14ac:dyDescent="0.25">
      <c r="A111"/>
      <c r="B111"/>
      <c r="C111"/>
      <c r="D111"/>
      <c r="E111"/>
      <c r="F111"/>
      <c r="G111"/>
      <c r="H111"/>
      <c r="I111"/>
    </row>
    <row r="112" spans="1:9" x14ac:dyDescent="0.25">
      <c r="A112"/>
      <c r="B112"/>
      <c r="C112"/>
      <c r="D112"/>
      <c r="E112"/>
      <c r="F112"/>
      <c r="G112"/>
      <c r="H112"/>
      <c r="I112"/>
    </row>
    <row r="113" spans="1:9" x14ac:dyDescent="0.25">
      <c r="A113"/>
      <c r="B113"/>
      <c r="C113"/>
      <c r="D113"/>
      <c r="E113"/>
      <c r="F113"/>
      <c r="G113"/>
      <c r="H113"/>
      <c r="I113"/>
    </row>
    <row r="114" spans="1:9" x14ac:dyDescent="0.25">
      <c r="A114"/>
      <c r="B114"/>
      <c r="C114"/>
      <c r="D114"/>
      <c r="E114"/>
      <c r="F114"/>
      <c r="G114"/>
      <c r="H114"/>
      <c r="I114"/>
    </row>
    <row r="115" spans="1:9" x14ac:dyDescent="0.25">
      <c r="A115"/>
      <c r="B115"/>
      <c r="C115"/>
      <c r="D115"/>
      <c r="E115"/>
      <c r="F115"/>
      <c r="G115"/>
      <c r="H115"/>
      <c r="I115"/>
    </row>
    <row r="116" spans="1:9" x14ac:dyDescent="0.25">
      <c r="A116"/>
      <c r="B116"/>
      <c r="C116"/>
      <c r="D116"/>
      <c r="E116"/>
      <c r="F116"/>
      <c r="G116"/>
      <c r="H116"/>
      <c r="I116"/>
    </row>
    <row r="117" spans="1:9" x14ac:dyDescent="0.25">
      <c r="A117"/>
      <c r="B117"/>
      <c r="C117"/>
      <c r="D117"/>
      <c r="E117"/>
      <c r="F117"/>
      <c r="G117"/>
      <c r="H117"/>
      <c r="I117"/>
    </row>
    <row r="118" spans="1:9" x14ac:dyDescent="0.25">
      <c r="A118"/>
      <c r="B118"/>
      <c r="C118"/>
      <c r="D118"/>
      <c r="E118"/>
      <c r="F118"/>
      <c r="G118"/>
      <c r="H118"/>
      <c r="I118"/>
    </row>
    <row r="119" spans="1:9" x14ac:dyDescent="0.25">
      <c r="A119"/>
      <c r="B119"/>
      <c r="C119"/>
      <c r="D119"/>
      <c r="E119"/>
      <c r="F119"/>
      <c r="G119"/>
      <c r="H119"/>
      <c r="I119"/>
    </row>
    <row r="120" spans="1:9" x14ac:dyDescent="0.25">
      <c r="A120"/>
      <c r="B120"/>
      <c r="C120"/>
      <c r="D120"/>
      <c r="E120"/>
      <c r="F120"/>
      <c r="G120"/>
      <c r="H120"/>
      <c r="I120"/>
    </row>
    <row r="121" spans="1:9" x14ac:dyDescent="0.25">
      <c r="A121"/>
      <c r="B121"/>
      <c r="C121"/>
      <c r="D121"/>
      <c r="E121"/>
      <c r="F121"/>
      <c r="G121"/>
      <c r="H121"/>
      <c r="I121"/>
    </row>
    <row r="122" spans="1:9" x14ac:dyDescent="0.25">
      <c r="A122"/>
      <c r="B122"/>
      <c r="C122"/>
      <c r="D122"/>
      <c r="E122"/>
      <c r="F122"/>
      <c r="G122"/>
      <c r="H122"/>
      <c r="I122"/>
    </row>
    <row r="123" spans="1:9" x14ac:dyDescent="0.25">
      <c r="A123"/>
      <c r="B123"/>
      <c r="C123"/>
      <c r="D123"/>
      <c r="E123"/>
      <c r="F123"/>
      <c r="G123"/>
      <c r="H123"/>
      <c r="I123"/>
    </row>
    <row r="124" spans="1:9" x14ac:dyDescent="0.25">
      <c r="A124"/>
      <c r="B124"/>
      <c r="C124"/>
      <c r="D124"/>
      <c r="E124"/>
      <c r="F124"/>
      <c r="G124"/>
      <c r="H124"/>
      <c r="I124"/>
    </row>
    <row r="125" spans="1:9" x14ac:dyDescent="0.25">
      <c r="A125"/>
      <c r="B125"/>
      <c r="C125"/>
      <c r="D125"/>
      <c r="E125"/>
      <c r="F125"/>
      <c r="G125"/>
      <c r="H125"/>
      <c r="I125"/>
    </row>
    <row r="126" spans="1:9" x14ac:dyDescent="0.25">
      <c r="A126"/>
      <c r="B126"/>
      <c r="C126"/>
      <c r="D126"/>
      <c r="E126"/>
      <c r="F126"/>
      <c r="G126"/>
      <c r="H126"/>
      <c r="I126"/>
    </row>
    <row r="127" spans="1:9" x14ac:dyDescent="0.25">
      <c r="A127"/>
      <c r="B127"/>
      <c r="C127"/>
      <c r="D127"/>
      <c r="E127"/>
      <c r="F127"/>
      <c r="G127"/>
      <c r="H127"/>
      <c r="I127"/>
    </row>
    <row r="128" spans="1:9" x14ac:dyDescent="0.25">
      <c r="A128"/>
      <c r="B128"/>
      <c r="C128"/>
      <c r="D128"/>
      <c r="E128"/>
      <c r="F128"/>
      <c r="G128"/>
      <c r="H128"/>
      <c r="I128"/>
    </row>
    <row r="129" spans="1:9" x14ac:dyDescent="0.25">
      <c r="A129"/>
      <c r="B129"/>
      <c r="C129"/>
      <c r="D129"/>
      <c r="E129"/>
      <c r="F129"/>
      <c r="G129"/>
      <c r="H129"/>
      <c r="I129"/>
    </row>
    <row r="130" spans="1:9" x14ac:dyDescent="0.25">
      <c r="A130"/>
      <c r="B130"/>
      <c r="C130"/>
      <c r="D130"/>
      <c r="E130"/>
      <c r="F130"/>
      <c r="G130"/>
      <c r="H130"/>
      <c r="I130"/>
    </row>
    <row r="131" spans="1:9" x14ac:dyDescent="0.25">
      <c r="A131"/>
      <c r="B131"/>
      <c r="C131"/>
      <c r="D131"/>
      <c r="E131"/>
      <c r="F131"/>
      <c r="G131"/>
      <c r="H131"/>
      <c r="I131"/>
    </row>
    <row r="132" spans="1:9" x14ac:dyDescent="0.25">
      <c r="A132"/>
      <c r="B132"/>
      <c r="C132"/>
      <c r="D132"/>
      <c r="E132"/>
      <c r="F132"/>
      <c r="G132"/>
      <c r="H132"/>
      <c r="I132"/>
    </row>
    <row r="133" spans="1:9" x14ac:dyDescent="0.25">
      <c r="A133"/>
      <c r="B133"/>
      <c r="C133"/>
      <c r="D133"/>
      <c r="E133"/>
      <c r="F133"/>
      <c r="G133"/>
      <c r="H133"/>
      <c r="I133"/>
    </row>
    <row r="134" spans="1:9" x14ac:dyDescent="0.25">
      <c r="A134"/>
      <c r="B134"/>
      <c r="C134"/>
      <c r="D134"/>
      <c r="E134"/>
      <c r="F134"/>
      <c r="G134"/>
      <c r="H134"/>
      <c r="I134"/>
    </row>
    <row r="135" spans="1:9" x14ac:dyDescent="0.25">
      <c r="A135"/>
      <c r="B135"/>
      <c r="C135"/>
      <c r="D135"/>
      <c r="E135"/>
      <c r="F135"/>
      <c r="G135"/>
      <c r="H135"/>
      <c r="I135"/>
    </row>
    <row r="136" spans="1:9" x14ac:dyDescent="0.25">
      <c r="A136"/>
      <c r="B136"/>
      <c r="C136"/>
      <c r="D136"/>
      <c r="E136"/>
      <c r="F136"/>
      <c r="G136"/>
      <c r="H136"/>
      <c r="I136"/>
    </row>
    <row r="137" spans="1:9" x14ac:dyDescent="0.25">
      <c r="A137"/>
      <c r="B137"/>
      <c r="C137"/>
      <c r="D137"/>
      <c r="E137"/>
      <c r="F137"/>
      <c r="G137"/>
      <c r="H137"/>
      <c r="I137"/>
    </row>
    <row r="138" spans="1:9" x14ac:dyDescent="0.25">
      <c r="A138"/>
      <c r="B138"/>
      <c r="C138"/>
      <c r="D138"/>
      <c r="E138"/>
      <c r="F138"/>
      <c r="G138"/>
      <c r="H138"/>
      <c r="I138"/>
    </row>
    <row r="139" spans="1:9" x14ac:dyDescent="0.25">
      <c r="A139"/>
      <c r="B139"/>
      <c r="C139"/>
      <c r="D139"/>
      <c r="E139"/>
      <c r="F139"/>
      <c r="G139"/>
      <c r="H139"/>
      <c r="I139"/>
    </row>
    <row r="140" spans="1:9" x14ac:dyDescent="0.25">
      <c r="A140"/>
      <c r="B140"/>
      <c r="C140"/>
      <c r="D140"/>
      <c r="E140"/>
      <c r="F140"/>
      <c r="G140"/>
      <c r="H140"/>
      <c r="I140"/>
    </row>
    <row r="141" spans="1:9" x14ac:dyDescent="0.25">
      <c r="A141"/>
      <c r="B141"/>
      <c r="C141"/>
      <c r="D141"/>
      <c r="E141"/>
      <c r="F141"/>
      <c r="G141"/>
      <c r="H141"/>
      <c r="I141"/>
    </row>
    <row r="142" spans="1:9" x14ac:dyDescent="0.25">
      <c r="A142"/>
      <c r="B142"/>
      <c r="C142"/>
      <c r="D142"/>
      <c r="E142"/>
      <c r="F142"/>
      <c r="G142"/>
      <c r="H142"/>
      <c r="I142"/>
    </row>
    <row r="143" spans="1:9" x14ac:dyDescent="0.25">
      <c r="A143"/>
      <c r="B143"/>
      <c r="C143"/>
      <c r="D143"/>
      <c r="E143"/>
      <c r="F143"/>
      <c r="G143"/>
      <c r="H143"/>
      <c r="I143"/>
    </row>
    <row r="144" spans="1:9" x14ac:dyDescent="0.25">
      <c r="A144"/>
      <c r="B144"/>
      <c r="C144"/>
      <c r="D144"/>
      <c r="E144"/>
      <c r="F144"/>
      <c r="G144"/>
      <c r="H144"/>
      <c r="I144"/>
    </row>
    <row r="145" spans="1:9" x14ac:dyDescent="0.25">
      <c r="A145"/>
      <c r="B145"/>
      <c r="C145"/>
      <c r="D145"/>
      <c r="E145"/>
      <c r="F145"/>
      <c r="G145"/>
      <c r="H145"/>
      <c r="I145"/>
    </row>
    <row r="146" spans="1:9" x14ac:dyDescent="0.25">
      <c r="A146"/>
      <c r="B146"/>
      <c r="C146"/>
      <c r="D146"/>
      <c r="E146"/>
      <c r="F146"/>
      <c r="G146"/>
      <c r="H146"/>
      <c r="I146"/>
    </row>
    <row r="147" spans="1:9" x14ac:dyDescent="0.25">
      <c r="A147"/>
      <c r="B147"/>
      <c r="C147"/>
      <c r="D147"/>
      <c r="E147"/>
      <c r="F147"/>
      <c r="G147"/>
      <c r="H147"/>
      <c r="I147"/>
    </row>
    <row r="148" spans="1:9" x14ac:dyDescent="0.25">
      <c r="A148"/>
      <c r="B148"/>
      <c r="C148"/>
      <c r="D148"/>
      <c r="E148"/>
      <c r="F148"/>
      <c r="G148"/>
      <c r="H148"/>
      <c r="I148"/>
    </row>
    <row r="149" spans="1:9" x14ac:dyDescent="0.25">
      <c r="A149"/>
      <c r="B149"/>
      <c r="C149"/>
      <c r="D149"/>
      <c r="E149"/>
      <c r="F149"/>
      <c r="G149"/>
      <c r="H149"/>
      <c r="I149"/>
    </row>
    <row r="150" spans="1:9" x14ac:dyDescent="0.25">
      <c r="A150"/>
      <c r="B150"/>
      <c r="C150"/>
      <c r="D150"/>
      <c r="E150"/>
      <c r="F150"/>
      <c r="G150"/>
      <c r="H150"/>
      <c r="I150"/>
    </row>
    <row r="151" spans="1:9" x14ac:dyDescent="0.25">
      <c r="A151"/>
      <c r="B151"/>
      <c r="C151"/>
      <c r="D151"/>
      <c r="E151"/>
      <c r="F151"/>
      <c r="G151"/>
      <c r="H151"/>
      <c r="I151"/>
    </row>
    <row r="152" spans="1:9" x14ac:dyDescent="0.25">
      <c r="A152"/>
      <c r="B152"/>
      <c r="C152"/>
      <c r="D152"/>
      <c r="E152"/>
      <c r="F152"/>
      <c r="G152"/>
      <c r="H152"/>
      <c r="I152"/>
    </row>
    <row r="153" spans="1:9" x14ac:dyDescent="0.25">
      <c r="A153"/>
      <c r="B153"/>
      <c r="C153"/>
      <c r="D153"/>
      <c r="E153"/>
      <c r="F153"/>
      <c r="G153"/>
      <c r="H153"/>
      <c r="I153"/>
    </row>
    <row r="154" spans="1:9" x14ac:dyDescent="0.25">
      <c r="A154"/>
      <c r="B154"/>
      <c r="C154"/>
      <c r="D154"/>
      <c r="E154"/>
      <c r="F154"/>
      <c r="G154"/>
      <c r="H154"/>
      <c r="I154"/>
    </row>
    <row r="155" spans="1:9" x14ac:dyDescent="0.25">
      <c r="A155"/>
      <c r="B155"/>
      <c r="C155"/>
      <c r="D155"/>
      <c r="E155"/>
      <c r="F155"/>
      <c r="G155"/>
      <c r="H155"/>
      <c r="I155"/>
    </row>
    <row r="156" spans="1:9" x14ac:dyDescent="0.25">
      <c r="A156"/>
      <c r="B156"/>
      <c r="C156"/>
      <c r="D156"/>
      <c r="E156"/>
      <c r="F156"/>
      <c r="G156"/>
      <c r="H156"/>
      <c r="I156"/>
    </row>
    <row r="157" spans="1:9" x14ac:dyDescent="0.25">
      <c r="A157"/>
      <c r="B157"/>
      <c r="C157"/>
      <c r="D157"/>
      <c r="E157"/>
      <c r="F157"/>
      <c r="G157"/>
      <c r="H157"/>
      <c r="I157"/>
    </row>
    <row r="158" spans="1:9" x14ac:dyDescent="0.25">
      <c r="A158"/>
      <c r="B158"/>
      <c r="C158"/>
      <c r="D158"/>
      <c r="E158"/>
      <c r="F158"/>
      <c r="G158"/>
      <c r="H158"/>
      <c r="I158"/>
    </row>
    <row r="159" spans="1:9" x14ac:dyDescent="0.25">
      <c r="A159"/>
      <c r="B159"/>
      <c r="C159"/>
      <c r="D159"/>
      <c r="E159"/>
      <c r="F159"/>
      <c r="G159"/>
      <c r="H159"/>
      <c r="I159"/>
    </row>
    <row r="160" spans="1:9" x14ac:dyDescent="0.25">
      <c r="A160"/>
      <c r="B160"/>
      <c r="C160"/>
      <c r="D160"/>
      <c r="E160"/>
      <c r="F160"/>
      <c r="G160"/>
      <c r="H160"/>
      <c r="I160"/>
    </row>
    <row r="161" spans="1:9" x14ac:dyDescent="0.25">
      <c r="A161"/>
      <c r="B161"/>
      <c r="C161"/>
      <c r="D161"/>
      <c r="E161"/>
      <c r="F161"/>
      <c r="G161"/>
      <c r="H161"/>
      <c r="I161"/>
    </row>
    <row r="162" spans="1:9" x14ac:dyDescent="0.25">
      <c r="A162"/>
      <c r="B162"/>
      <c r="C162"/>
      <c r="D162"/>
      <c r="E162"/>
      <c r="F162"/>
      <c r="G162"/>
      <c r="H162"/>
      <c r="I162"/>
    </row>
    <row r="163" spans="1:9" x14ac:dyDescent="0.25">
      <c r="A163"/>
      <c r="B163"/>
      <c r="C163"/>
      <c r="D163"/>
      <c r="E163"/>
      <c r="F163"/>
      <c r="G163"/>
      <c r="H163"/>
      <c r="I163"/>
    </row>
    <row r="164" spans="1:9" x14ac:dyDescent="0.25">
      <c r="A164"/>
      <c r="B164"/>
      <c r="C164"/>
      <c r="D164"/>
      <c r="E164"/>
      <c r="F164"/>
      <c r="G164"/>
      <c r="H164"/>
      <c r="I164"/>
    </row>
    <row r="165" spans="1:9" x14ac:dyDescent="0.25">
      <c r="A165"/>
      <c r="B165"/>
      <c r="C165"/>
      <c r="D165"/>
      <c r="E165"/>
      <c r="F165"/>
      <c r="G165"/>
      <c r="H165"/>
      <c r="I165"/>
    </row>
    <row r="166" spans="1:9" x14ac:dyDescent="0.25">
      <c r="A166"/>
      <c r="B166"/>
      <c r="C166"/>
      <c r="D166"/>
      <c r="E166"/>
      <c r="F166"/>
      <c r="G166"/>
      <c r="H166"/>
      <c r="I166"/>
    </row>
    <row r="167" spans="1:9" x14ac:dyDescent="0.25">
      <c r="A167"/>
      <c r="B167"/>
      <c r="C167"/>
      <c r="D167"/>
      <c r="E167"/>
      <c r="F167"/>
      <c r="G167"/>
      <c r="H167"/>
      <c r="I167"/>
    </row>
    <row r="168" spans="1:9" x14ac:dyDescent="0.25">
      <c r="A168"/>
      <c r="B168"/>
      <c r="C168"/>
      <c r="D168"/>
      <c r="E168"/>
      <c r="F168"/>
      <c r="G168"/>
      <c r="H168"/>
      <c r="I168"/>
    </row>
    <row r="169" spans="1:9" x14ac:dyDescent="0.25">
      <c r="A169"/>
      <c r="B169"/>
      <c r="C169"/>
      <c r="D169"/>
      <c r="E169"/>
      <c r="F169"/>
      <c r="G169"/>
      <c r="H169"/>
      <c r="I169"/>
    </row>
    <row r="170" spans="1:9" x14ac:dyDescent="0.25">
      <c r="A170"/>
      <c r="B170"/>
      <c r="C170"/>
      <c r="D170"/>
      <c r="E170"/>
      <c r="F170"/>
      <c r="G170"/>
      <c r="H170"/>
      <c r="I170"/>
    </row>
    <row r="171" spans="1:9" x14ac:dyDescent="0.25">
      <c r="A171"/>
      <c r="B171"/>
      <c r="C171"/>
      <c r="D171"/>
      <c r="E171"/>
      <c r="F171"/>
      <c r="G171"/>
      <c r="H171"/>
      <c r="I171"/>
    </row>
    <row r="172" spans="1:9" x14ac:dyDescent="0.25">
      <c r="A172"/>
      <c r="B172"/>
      <c r="C172"/>
      <c r="D172"/>
      <c r="E172"/>
      <c r="F172"/>
      <c r="G172"/>
      <c r="H172"/>
      <c r="I172"/>
    </row>
    <row r="173" spans="1:9" x14ac:dyDescent="0.25">
      <c r="A173"/>
      <c r="B173"/>
      <c r="C173"/>
      <c r="D173"/>
      <c r="E173"/>
      <c r="F173"/>
      <c r="G173"/>
      <c r="H173"/>
      <c r="I173"/>
    </row>
    <row r="174" spans="1:9" x14ac:dyDescent="0.25">
      <c r="A174"/>
      <c r="B174"/>
      <c r="C174"/>
      <c r="D174"/>
      <c r="E174"/>
      <c r="F174"/>
      <c r="G174"/>
      <c r="H174"/>
      <c r="I174"/>
    </row>
    <row r="175" spans="1:9" x14ac:dyDescent="0.25">
      <c r="A175"/>
      <c r="B175"/>
      <c r="C175"/>
      <c r="D175"/>
      <c r="E175"/>
      <c r="F175"/>
      <c r="G175"/>
      <c r="H175"/>
      <c r="I175"/>
    </row>
    <row r="176" spans="1:9" x14ac:dyDescent="0.25">
      <c r="A176"/>
      <c r="B176"/>
      <c r="C176"/>
      <c r="D176"/>
      <c r="E176"/>
      <c r="F176"/>
      <c r="G176"/>
      <c r="H176"/>
      <c r="I176"/>
    </row>
    <row r="177" spans="1:9" x14ac:dyDescent="0.25">
      <c r="A177"/>
      <c r="B177"/>
      <c r="C177"/>
      <c r="D177"/>
      <c r="E177"/>
      <c r="F177"/>
      <c r="G177"/>
      <c r="H177"/>
      <c r="I177"/>
    </row>
    <row r="178" spans="1:9" x14ac:dyDescent="0.25">
      <c r="A178"/>
      <c r="B178"/>
      <c r="C178"/>
      <c r="D178"/>
      <c r="E178"/>
      <c r="F178"/>
      <c r="G178"/>
      <c r="H178"/>
      <c r="I178"/>
    </row>
    <row r="179" spans="1:9" x14ac:dyDescent="0.25">
      <c r="A179"/>
      <c r="B179"/>
      <c r="C179"/>
      <c r="D179"/>
      <c r="E179"/>
      <c r="F179"/>
      <c r="G179"/>
      <c r="H179"/>
      <c r="I179"/>
    </row>
    <row r="180" spans="1:9" x14ac:dyDescent="0.25">
      <c r="A180"/>
      <c r="B180"/>
      <c r="C180"/>
      <c r="D180"/>
      <c r="E180"/>
      <c r="F180"/>
      <c r="G180"/>
      <c r="H180"/>
      <c r="I180"/>
    </row>
    <row r="181" spans="1:9" x14ac:dyDescent="0.25">
      <c r="A181"/>
      <c r="B181"/>
      <c r="C181"/>
      <c r="D181"/>
      <c r="E181"/>
      <c r="F181"/>
      <c r="G181"/>
      <c r="H181"/>
      <c r="I181"/>
    </row>
    <row r="182" spans="1:9" x14ac:dyDescent="0.25">
      <c r="A182"/>
      <c r="B182"/>
      <c r="C182"/>
      <c r="D182"/>
      <c r="E182"/>
      <c r="F182"/>
      <c r="G182"/>
      <c r="H182"/>
      <c r="I182"/>
    </row>
    <row r="183" spans="1:9" x14ac:dyDescent="0.25">
      <c r="A183"/>
      <c r="B183"/>
      <c r="C183"/>
      <c r="D183"/>
      <c r="E183"/>
      <c r="F183"/>
      <c r="G183"/>
      <c r="H183"/>
      <c r="I183"/>
    </row>
    <row r="184" spans="1:9" x14ac:dyDescent="0.25">
      <c r="A184"/>
      <c r="B184"/>
      <c r="C184"/>
      <c r="D184"/>
      <c r="E184"/>
      <c r="F184"/>
      <c r="G184"/>
      <c r="H184"/>
      <c r="I184"/>
    </row>
    <row r="185" spans="1:9" x14ac:dyDescent="0.25">
      <c r="A185"/>
      <c r="B185"/>
      <c r="C185"/>
      <c r="D185"/>
      <c r="E185"/>
      <c r="F185"/>
      <c r="G185"/>
      <c r="H185"/>
      <c r="I185"/>
    </row>
    <row r="186" spans="1:9" x14ac:dyDescent="0.25">
      <c r="A186"/>
      <c r="B186"/>
      <c r="C186"/>
      <c r="D186"/>
      <c r="E186"/>
      <c r="F186"/>
      <c r="G186"/>
      <c r="H186"/>
      <c r="I186"/>
    </row>
    <row r="187" spans="1:9" x14ac:dyDescent="0.25">
      <c r="A187"/>
      <c r="B187"/>
      <c r="C187"/>
      <c r="D187"/>
      <c r="E187"/>
      <c r="F187"/>
      <c r="G187"/>
      <c r="H187"/>
      <c r="I187"/>
    </row>
    <row r="188" spans="1:9" x14ac:dyDescent="0.25">
      <c r="A188"/>
      <c r="B188"/>
      <c r="C188"/>
      <c r="D188"/>
      <c r="E188"/>
      <c r="F188"/>
      <c r="G188"/>
      <c r="H188"/>
      <c r="I188"/>
    </row>
    <row r="189" spans="1:9" x14ac:dyDescent="0.25">
      <c r="A189"/>
      <c r="B189"/>
      <c r="C189"/>
      <c r="D189"/>
      <c r="E189"/>
      <c r="F189"/>
      <c r="G189"/>
      <c r="H189"/>
      <c r="I189"/>
    </row>
    <row r="190" spans="1:9" x14ac:dyDescent="0.25">
      <c r="A190"/>
      <c r="B190"/>
      <c r="C190"/>
      <c r="D190"/>
      <c r="E190"/>
      <c r="F190"/>
      <c r="G190"/>
      <c r="H190"/>
      <c r="I190"/>
    </row>
    <row r="191" spans="1:9" x14ac:dyDescent="0.25">
      <c r="A191"/>
      <c r="B191"/>
      <c r="C191"/>
      <c r="D191"/>
      <c r="E191"/>
      <c r="F191"/>
      <c r="G191"/>
      <c r="H191"/>
      <c r="I191"/>
    </row>
    <row r="192" spans="1:9" x14ac:dyDescent="0.25">
      <c r="A192"/>
      <c r="B192"/>
      <c r="C192"/>
      <c r="D192"/>
      <c r="E192"/>
      <c r="F192"/>
      <c r="G192"/>
      <c r="H192"/>
      <c r="I192"/>
    </row>
    <row r="193" spans="1:9" x14ac:dyDescent="0.25">
      <c r="A193"/>
      <c r="B193"/>
      <c r="C193"/>
      <c r="D193"/>
      <c r="E193"/>
      <c r="F193"/>
      <c r="G193"/>
      <c r="H193"/>
      <c r="I193"/>
    </row>
    <row r="194" spans="1:9" x14ac:dyDescent="0.25">
      <c r="A194"/>
      <c r="B194"/>
      <c r="C194"/>
      <c r="D194"/>
      <c r="E194"/>
      <c r="F194"/>
      <c r="G194"/>
      <c r="H194"/>
      <c r="I194"/>
    </row>
    <row r="195" spans="1:9" x14ac:dyDescent="0.25">
      <c r="A195"/>
      <c r="B195"/>
      <c r="C195"/>
      <c r="D195"/>
      <c r="E195"/>
      <c r="F195"/>
      <c r="G195"/>
      <c r="H195"/>
      <c r="I195"/>
    </row>
    <row r="196" spans="1:9" x14ac:dyDescent="0.25">
      <c r="A196"/>
      <c r="B196"/>
      <c r="C196"/>
      <c r="D196"/>
      <c r="E196"/>
      <c r="F196"/>
      <c r="G196"/>
      <c r="H196"/>
      <c r="I196"/>
    </row>
    <row r="197" spans="1:9" x14ac:dyDescent="0.25">
      <c r="A197"/>
      <c r="B197"/>
      <c r="C197"/>
      <c r="D197"/>
      <c r="E197"/>
      <c r="F197"/>
      <c r="G197"/>
      <c r="H197"/>
      <c r="I197"/>
    </row>
    <row r="198" spans="1:9" x14ac:dyDescent="0.25">
      <c r="A198"/>
      <c r="B198"/>
      <c r="C198"/>
      <c r="D198"/>
      <c r="E198"/>
      <c r="F198"/>
      <c r="G198"/>
      <c r="H198"/>
      <c r="I198"/>
    </row>
    <row r="199" spans="1:9" x14ac:dyDescent="0.25">
      <c r="A199"/>
      <c r="B199"/>
      <c r="C199"/>
      <c r="D199"/>
      <c r="E199"/>
      <c r="F199"/>
      <c r="G199"/>
      <c r="H199"/>
      <c r="I199"/>
    </row>
    <row r="200" spans="1:9" x14ac:dyDescent="0.25">
      <c r="A200"/>
      <c r="B200"/>
      <c r="C200"/>
      <c r="D200"/>
      <c r="E200"/>
      <c r="F200"/>
      <c r="G200"/>
      <c r="H200"/>
      <c r="I200"/>
    </row>
    <row r="201" spans="1:9" x14ac:dyDescent="0.25">
      <c r="A201"/>
      <c r="B201"/>
      <c r="C201"/>
      <c r="D201"/>
      <c r="E201"/>
      <c r="F201"/>
      <c r="G201"/>
      <c r="H201"/>
      <c r="I201"/>
    </row>
    <row r="202" spans="1:9" x14ac:dyDescent="0.25">
      <c r="A202"/>
      <c r="B202"/>
      <c r="C202"/>
      <c r="D202"/>
      <c r="E202"/>
      <c r="F202"/>
      <c r="G202"/>
      <c r="H202"/>
      <c r="I202"/>
    </row>
    <row r="203" spans="1:9" x14ac:dyDescent="0.25">
      <c r="A203"/>
      <c r="B203"/>
      <c r="C203"/>
      <c r="D203"/>
      <c r="E203"/>
      <c r="F203"/>
      <c r="G203"/>
      <c r="H203"/>
      <c r="I203"/>
    </row>
    <row r="204" spans="1:9" x14ac:dyDescent="0.25">
      <c r="A204"/>
      <c r="B204"/>
      <c r="C204"/>
      <c r="D204"/>
      <c r="E204"/>
      <c r="F204"/>
      <c r="G204"/>
      <c r="H204"/>
      <c r="I204"/>
    </row>
    <row r="205" spans="1:9" x14ac:dyDescent="0.25">
      <c r="A205"/>
      <c r="B205"/>
      <c r="C205"/>
      <c r="D205"/>
      <c r="E205"/>
      <c r="F205"/>
      <c r="G205"/>
      <c r="H205"/>
      <c r="I205"/>
    </row>
    <row r="206" spans="1:9" x14ac:dyDescent="0.25">
      <c r="A206"/>
      <c r="B206"/>
      <c r="C206"/>
      <c r="D206"/>
      <c r="E206"/>
      <c r="F206"/>
      <c r="G206"/>
      <c r="H206"/>
      <c r="I206"/>
    </row>
    <row r="207" spans="1:9" x14ac:dyDescent="0.25">
      <c r="A207"/>
      <c r="B207"/>
      <c r="C207"/>
      <c r="D207"/>
      <c r="E207"/>
      <c r="F207"/>
      <c r="G207"/>
      <c r="H207"/>
      <c r="I207"/>
    </row>
    <row r="208" spans="1:9" x14ac:dyDescent="0.25">
      <c r="A208"/>
      <c r="B208"/>
      <c r="C208"/>
      <c r="D208"/>
      <c r="E208"/>
      <c r="F208"/>
      <c r="G208"/>
      <c r="H208"/>
      <c r="I208"/>
    </row>
    <row r="209" spans="1:9" x14ac:dyDescent="0.25">
      <c r="A209"/>
      <c r="B209"/>
      <c r="C209"/>
      <c r="D209"/>
      <c r="E209"/>
      <c r="F209"/>
      <c r="G209"/>
      <c r="H209"/>
      <c r="I209"/>
    </row>
    <row r="210" spans="1:9" x14ac:dyDescent="0.25">
      <c r="A210"/>
      <c r="B210"/>
      <c r="C210"/>
      <c r="D210"/>
      <c r="E210"/>
      <c r="F210"/>
      <c r="G210"/>
      <c r="H210"/>
      <c r="I210"/>
    </row>
    <row r="211" spans="1:9" x14ac:dyDescent="0.25">
      <c r="A211"/>
      <c r="B211"/>
      <c r="C211"/>
      <c r="D211"/>
      <c r="E211"/>
      <c r="F211"/>
      <c r="G211"/>
      <c r="H211"/>
      <c r="I211"/>
    </row>
    <row r="212" spans="1:9" x14ac:dyDescent="0.25">
      <c r="A212"/>
      <c r="B212"/>
      <c r="C212"/>
      <c r="D212"/>
      <c r="E212"/>
      <c r="F212"/>
      <c r="G212"/>
      <c r="H212"/>
      <c r="I212"/>
    </row>
    <row r="213" spans="1:9" x14ac:dyDescent="0.25">
      <c r="A213"/>
      <c r="B213"/>
      <c r="C213"/>
      <c r="D213"/>
      <c r="E213"/>
      <c r="F213"/>
      <c r="G213"/>
      <c r="H213"/>
      <c r="I213"/>
    </row>
    <row r="214" spans="1:9" x14ac:dyDescent="0.25">
      <c r="A214"/>
      <c r="B214"/>
      <c r="C214"/>
      <c r="D214"/>
      <c r="E214"/>
      <c r="F214"/>
      <c r="G214"/>
      <c r="H214"/>
      <c r="I214"/>
    </row>
    <row r="215" spans="1:9" x14ac:dyDescent="0.25">
      <c r="A215"/>
      <c r="B215"/>
      <c r="C215"/>
      <c r="D215"/>
      <c r="E215"/>
      <c r="F215"/>
      <c r="G215"/>
      <c r="H215"/>
      <c r="I215"/>
    </row>
    <row r="216" spans="1:9" x14ac:dyDescent="0.25">
      <c r="A216"/>
      <c r="B216"/>
      <c r="C216"/>
      <c r="D216"/>
      <c r="E216"/>
      <c r="F216"/>
      <c r="G216"/>
      <c r="H216"/>
      <c r="I216"/>
    </row>
    <row r="217" spans="1:9" x14ac:dyDescent="0.25">
      <c r="A217"/>
      <c r="B217"/>
      <c r="C217"/>
      <c r="D217"/>
      <c r="E217"/>
      <c r="F217"/>
      <c r="G217"/>
      <c r="H217"/>
      <c r="I217"/>
    </row>
    <row r="218" spans="1:9" x14ac:dyDescent="0.25">
      <c r="A218"/>
      <c r="B218"/>
      <c r="C218"/>
      <c r="D218"/>
      <c r="E218"/>
      <c r="F218"/>
      <c r="G218"/>
      <c r="H218"/>
      <c r="I218"/>
    </row>
    <row r="219" spans="1:9" x14ac:dyDescent="0.25">
      <c r="A219"/>
      <c r="B219"/>
      <c r="C219"/>
      <c r="D219"/>
      <c r="E219"/>
      <c r="F219"/>
      <c r="G219"/>
      <c r="H219"/>
      <c r="I219"/>
    </row>
    <row r="220" spans="1:9" x14ac:dyDescent="0.25">
      <c r="A220"/>
      <c r="B220"/>
      <c r="C220"/>
      <c r="D220"/>
      <c r="E220"/>
      <c r="F220"/>
      <c r="G220"/>
      <c r="H220"/>
      <c r="I220"/>
    </row>
    <row r="221" spans="1:9" x14ac:dyDescent="0.25">
      <c r="A221"/>
      <c r="B221"/>
      <c r="C221"/>
      <c r="D221"/>
      <c r="E221"/>
      <c r="F221"/>
      <c r="G221"/>
      <c r="H221"/>
      <c r="I221"/>
    </row>
    <row r="222" spans="1:9" x14ac:dyDescent="0.25">
      <c r="A222"/>
      <c r="B222"/>
      <c r="C222"/>
      <c r="D222"/>
      <c r="E222"/>
      <c r="F222"/>
      <c r="G222"/>
      <c r="H222"/>
      <c r="I222"/>
    </row>
    <row r="223" spans="1:9" x14ac:dyDescent="0.25">
      <c r="A223"/>
      <c r="B223"/>
      <c r="C223"/>
      <c r="D223"/>
      <c r="E223"/>
      <c r="F223"/>
      <c r="G223"/>
      <c r="H223"/>
      <c r="I223"/>
    </row>
    <row r="224" spans="1:9" x14ac:dyDescent="0.25">
      <c r="A224"/>
      <c r="B224"/>
      <c r="C224"/>
      <c r="D224"/>
      <c r="E224"/>
      <c r="F224"/>
      <c r="G224"/>
      <c r="H224"/>
      <c r="I224"/>
    </row>
    <row r="225" spans="1:9" x14ac:dyDescent="0.25">
      <c r="A225"/>
      <c r="B225"/>
      <c r="C225"/>
      <c r="D225"/>
      <c r="E225"/>
      <c r="F225"/>
      <c r="G225"/>
      <c r="H225"/>
      <c r="I225"/>
    </row>
    <row r="226" spans="1:9" x14ac:dyDescent="0.25">
      <c r="A226"/>
      <c r="B226"/>
      <c r="C226"/>
      <c r="D226"/>
      <c r="E226"/>
      <c r="F226"/>
      <c r="G226"/>
      <c r="H226"/>
      <c r="I226"/>
    </row>
    <row r="227" spans="1:9" x14ac:dyDescent="0.25">
      <c r="A227"/>
      <c r="B227"/>
      <c r="C227"/>
      <c r="D227"/>
      <c r="E227"/>
      <c r="F227"/>
      <c r="G227"/>
      <c r="H227"/>
      <c r="I227"/>
    </row>
    <row r="228" spans="1:9" x14ac:dyDescent="0.25">
      <c r="A228"/>
      <c r="B228"/>
      <c r="C228"/>
      <c r="D228"/>
      <c r="E228"/>
      <c r="F228"/>
      <c r="G228"/>
      <c r="H228"/>
      <c r="I228"/>
    </row>
    <row r="229" spans="1:9" x14ac:dyDescent="0.25">
      <c r="A229"/>
      <c r="B229"/>
      <c r="C229"/>
      <c r="D229"/>
      <c r="E229"/>
      <c r="F229"/>
      <c r="G229"/>
      <c r="H229"/>
      <c r="I229"/>
    </row>
    <row r="230" spans="1:9" x14ac:dyDescent="0.25">
      <c r="A230"/>
      <c r="B230"/>
      <c r="C230"/>
      <c r="D230"/>
      <c r="E230"/>
      <c r="F230"/>
      <c r="G230"/>
      <c r="H230"/>
      <c r="I230"/>
    </row>
    <row r="231" spans="1:9" x14ac:dyDescent="0.25">
      <c r="A231"/>
      <c r="B231"/>
      <c r="C231"/>
      <c r="D231"/>
      <c r="E231"/>
      <c r="F231"/>
      <c r="G231"/>
      <c r="H231"/>
      <c r="I231"/>
    </row>
    <row r="232" spans="1:9" x14ac:dyDescent="0.25">
      <c r="A232"/>
      <c r="B232"/>
      <c r="C232"/>
      <c r="D232"/>
      <c r="E232"/>
      <c r="F232"/>
      <c r="G232"/>
      <c r="H232"/>
      <c r="I232"/>
    </row>
    <row r="233" spans="1:9" x14ac:dyDescent="0.25">
      <c r="A233"/>
      <c r="B233"/>
      <c r="C233"/>
      <c r="D233"/>
      <c r="E233"/>
      <c r="F233"/>
      <c r="G233"/>
      <c r="H233"/>
      <c r="I233"/>
    </row>
    <row r="234" spans="1:9" x14ac:dyDescent="0.25">
      <c r="A234"/>
      <c r="B234"/>
      <c r="C234"/>
      <c r="D234"/>
      <c r="E234"/>
      <c r="F234"/>
      <c r="G234"/>
      <c r="H234"/>
      <c r="I234"/>
    </row>
    <row r="235" spans="1:9" x14ac:dyDescent="0.25">
      <c r="A235"/>
      <c r="B235"/>
      <c r="C235"/>
      <c r="D235"/>
      <c r="E235"/>
      <c r="F235"/>
      <c r="G235"/>
      <c r="H235"/>
      <c r="I235"/>
    </row>
    <row r="236" spans="1:9" x14ac:dyDescent="0.25">
      <c r="A236"/>
      <c r="B236"/>
      <c r="C236"/>
      <c r="D236"/>
      <c r="E236"/>
      <c r="F236"/>
      <c r="G236"/>
      <c r="H236"/>
      <c r="I236"/>
    </row>
    <row r="237" spans="1:9" x14ac:dyDescent="0.25">
      <c r="A237"/>
      <c r="B237"/>
      <c r="C237"/>
      <c r="D237"/>
      <c r="E237"/>
      <c r="F237"/>
      <c r="G237"/>
      <c r="H237"/>
      <c r="I237"/>
    </row>
    <row r="238" spans="1:9" x14ac:dyDescent="0.25">
      <c r="A238"/>
      <c r="B238"/>
      <c r="C238"/>
      <c r="D238"/>
      <c r="E238"/>
      <c r="F238"/>
      <c r="G238"/>
      <c r="H238"/>
      <c r="I238"/>
    </row>
    <row r="239" spans="1:9" x14ac:dyDescent="0.25">
      <c r="A239"/>
      <c r="B239"/>
      <c r="C239"/>
      <c r="D239"/>
      <c r="E239"/>
      <c r="F239"/>
      <c r="G239"/>
      <c r="H239"/>
      <c r="I239"/>
    </row>
    <row r="240" spans="1:9" x14ac:dyDescent="0.25">
      <c r="A240"/>
      <c r="B240"/>
      <c r="C240"/>
      <c r="D240"/>
      <c r="E240"/>
      <c r="F240"/>
      <c r="G240"/>
      <c r="H240"/>
      <c r="I240"/>
    </row>
    <row r="241" spans="1:9" x14ac:dyDescent="0.25">
      <c r="A241"/>
      <c r="B241"/>
      <c r="C241"/>
      <c r="D241"/>
      <c r="E241"/>
      <c r="F241"/>
      <c r="G241"/>
      <c r="H241"/>
      <c r="I241"/>
    </row>
    <row r="242" spans="1:9" x14ac:dyDescent="0.25">
      <c r="A242"/>
      <c r="B242"/>
      <c r="C242"/>
      <c r="D242"/>
      <c r="E242"/>
      <c r="F242"/>
      <c r="G242"/>
      <c r="H242"/>
      <c r="I242"/>
    </row>
    <row r="243" spans="1:9" x14ac:dyDescent="0.25">
      <c r="A243"/>
      <c r="B243"/>
      <c r="C243"/>
      <c r="D243"/>
      <c r="E243"/>
      <c r="F243"/>
      <c r="G243"/>
      <c r="H243"/>
      <c r="I243"/>
    </row>
    <row r="244" spans="1:9" x14ac:dyDescent="0.25">
      <c r="A244"/>
      <c r="B244"/>
      <c r="C244"/>
      <c r="D244"/>
      <c r="E244"/>
      <c r="F244"/>
      <c r="G244"/>
      <c r="H244"/>
      <c r="I244"/>
    </row>
    <row r="245" spans="1:9" x14ac:dyDescent="0.25">
      <c r="A245"/>
      <c r="B245"/>
      <c r="C245"/>
      <c r="D245"/>
      <c r="E245"/>
      <c r="F245"/>
      <c r="G245"/>
      <c r="H245"/>
      <c r="I245"/>
    </row>
    <row r="246" spans="1:9" x14ac:dyDescent="0.25">
      <c r="A246"/>
      <c r="B246"/>
      <c r="C246"/>
      <c r="D246"/>
      <c r="E246"/>
      <c r="F246"/>
      <c r="G246"/>
      <c r="H246"/>
      <c r="I246"/>
    </row>
    <row r="247" spans="1:9" x14ac:dyDescent="0.25">
      <c r="A247"/>
      <c r="B247"/>
      <c r="C247"/>
      <c r="D247"/>
      <c r="E247"/>
      <c r="F247"/>
      <c r="G247"/>
      <c r="H247"/>
      <c r="I247"/>
    </row>
    <row r="248" spans="1:9" x14ac:dyDescent="0.25">
      <c r="A248"/>
      <c r="B248"/>
      <c r="C248"/>
      <c r="D248"/>
      <c r="E248"/>
      <c r="F248"/>
      <c r="G248"/>
      <c r="H248"/>
      <c r="I248"/>
    </row>
    <row r="249" spans="1:9" x14ac:dyDescent="0.25">
      <c r="A249"/>
      <c r="B249"/>
      <c r="C249"/>
      <c r="D249"/>
      <c r="E249"/>
      <c r="F249"/>
      <c r="G249"/>
      <c r="H249"/>
      <c r="I249"/>
    </row>
    <row r="250" spans="1:9" x14ac:dyDescent="0.25">
      <c r="A250"/>
      <c r="B250"/>
      <c r="C250"/>
      <c r="D250"/>
      <c r="E250"/>
      <c r="F250"/>
      <c r="G250"/>
      <c r="H250"/>
      <c r="I250"/>
    </row>
    <row r="251" spans="1:9" x14ac:dyDescent="0.25">
      <c r="A251"/>
      <c r="B251"/>
      <c r="C251"/>
      <c r="D251"/>
      <c r="E251"/>
      <c r="F251"/>
      <c r="G251"/>
      <c r="H251"/>
      <c r="I251"/>
    </row>
    <row r="252" spans="1:9" x14ac:dyDescent="0.25">
      <c r="A252"/>
      <c r="B252"/>
      <c r="C252"/>
      <c r="D252"/>
      <c r="E252"/>
      <c r="F252"/>
      <c r="G252"/>
      <c r="H252"/>
      <c r="I252"/>
    </row>
    <row r="253" spans="1:9" x14ac:dyDescent="0.25">
      <c r="A253"/>
      <c r="B253"/>
      <c r="C253"/>
      <c r="D253"/>
      <c r="E253"/>
      <c r="F253"/>
      <c r="G253"/>
      <c r="H253"/>
      <c r="I253"/>
    </row>
    <row r="254" spans="1:9" x14ac:dyDescent="0.25">
      <c r="A254"/>
      <c r="B254"/>
      <c r="C254"/>
      <c r="D254"/>
      <c r="E254"/>
      <c r="F254"/>
      <c r="G254"/>
      <c r="H254"/>
      <c r="I254"/>
    </row>
    <row r="255" spans="1:9" x14ac:dyDescent="0.25">
      <c r="A255"/>
      <c r="B255"/>
      <c r="C255"/>
      <c r="D255"/>
      <c r="E255"/>
      <c r="F255"/>
      <c r="G255"/>
      <c r="H255"/>
      <c r="I255"/>
    </row>
    <row r="256" spans="1:9" x14ac:dyDescent="0.25">
      <c r="A256"/>
      <c r="B256"/>
      <c r="C256"/>
      <c r="D256"/>
      <c r="E256"/>
      <c r="F256"/>
      <c r="G256"/>
      <c r="H256"/>
      <c r="I256"/>
    </row>
    <row r="257" spans="1:9" x14ac:dyDescent="0.25">
      <c r="A257"/>
      <c r="B257"/>
      <c r="C257"/>
      <c r="D257"/>
      <c r="E257"/>
      <c r="F257"/>
      <c r="G257"/>
      <c r="H257"/>
      <c r="I257"/>
    </row>
    <row r="258" spans="1:9" x14ac:dyDescent="0.25">
      <c r="A258"/>
      <c r="B258"/>
      <c r="C258"/>
      <c r="D258"/>
      <c r="E258"/>
      <c r="F258"/>
      <c r="G258"/>
      <c r="H258"/>
      <c r="I258"/>
    </row>
    <row r="259" spans="1:9" x14ac:dyDescent="0.25">
      <c r="A259"/>
      <c r="B259"/>
      <c r="C259"/>
      <c r="D259"/>
      <c r="E259"/>
      <c r="F259"/>
      <c r="G259"/>
      <c r="H259"/>
      <c r="I259"/>
    </row>
    <row r="260" spans="1:9" x14ac:dyDescent="0.25">
      <c r="A260"/>
      <c r="B260"/>
      <c r="C260"/>
      <c r="D260"/>
      <c r="E260"/>
      <c r="F260"/>
      <c r="G260"/>
      <c r="H260"/>
      <c r="I260"/>
    </row>
    <row r="261" spans="1:9" x14ac:dyDescent="0.25">
      <c r="A261"/>
      <c r="B261"/>
      <c r="C261"/>
      <c r="D261"/>
      <c r="E261"/>
      <c r="F261"/>
      <c r="G261"/>
      <c r="H261"/>
      <c r="I261"/>
    </row>
    <row r="262" spans="1:9" x14ac:dyDescent="0.25">
      <c r="A262"/>
      <c r="B262"/>
      <c r="C262"/>
      <c r="D262"/>
      <c r="E262"/>
      <c r="F262"/>
      <c r="G262"/>
      <c r="H262"/>
      <c r="I262"/>
    </row>
    <row r="263" spans="1:9" x14ac:dyDescent="0.25">
      <c r="A263"/>
      <c r="B263"/>
      <c r="C263"/>
      <c r="D263"/>
      <c r="E263"/>
      <c r="F263"/>
      <c r="G263"/>
      <c r="H263"/>
      <c r="I263"/>
    </row>
    <row r="264" spans="1:9" x14ac:dyDescent="0.25">
      <c r="A264"/>
      <c r="B264"/>
      <c r="C264"/>
      <c r="D264"/>
      <c r="E264"/>
      <c r="F264"/>
      <c r="G264"/>
      <c r="H264"/>
      <c r="I264"/>
    </row>
    <row r="265" spans="1:9" x14ac:dyDescent="0.25">
      <c r="A265"/>
      <c r="B265"/>
      <c r="C265"/>
      <c r="D265"/>
      <c r="E265"/>
      <c r="F265"/>
      <c r="G265"/>
      <c r="H265"/>
      <c r="I265"/>
    </row>
    <row r="266" spans="1:9" x14ac:dyDescent="0.25">
      <c r="A266"/>
      <c r="B266"/>
      <c r="C266"/>
      <c r="D266"/>
      <c r="E266"/>
      <c r="F266"/>
      <c r="G266"/>
      <c r="H266"/>
      <c r="I266"/>
    </row>
    <row r="267" spans="1:9" x14ac:dyDescent="0.25">
      <c r="A267"/>
      <c r="B267"/>
      <c r="C267"/>
      <c r="D267"/>
      <c r="E267"/>
      <c r="F267"/>
      <c r="G267"/>
      <c r="H267"/>
      <c r="I267"/>
    </row>
    <row r="268" spans="1:9" x14ac:dyDescent="0.25">
      <c r="A268"/>
      <c r="B268"/>
      <c r="C268"/>
      <c r="D268"/>
      <c r="E268"/>
      <c r="F268"/>
      <c r="G268"/>
      <c r="H268"/>
      <c r="I268"/>
    </row>
    <row r="269" spans="1:9" x14ac:dyDescent="0.25">
      <c r="A269"/>
      <c r="B269"/>
      <c r="C269"/>
      <c r="D269"/>
      <c r="E269"/>
      <c r="F269"/>
      <c r="G269"/>
      <c r="H269"/>
      <c r="I269"/>
    </row>
    <row r="270" spans="1:9" x14ac:dyDescent="0.25">
      <c r="A270"/>
      <c r="B270"/>
      <c r="C270"/>
      <c r="D270"/>
      <c r="E270"/>
      <c r="F270"/>
      <c r="G270"/>
      <c r="H270"/>
      <c r="I270"/>
    </row>
    <row r="271" spans="1:9" x14ac:dyDescent="0.25">
      <c r="A271"/>
      <c r="B271"/>
      <c r="C271"/>
      <c r="D271"/>
      <c r="E271"/>
      <c r="F271"/>
      <c r="G271"/>
      <c r="H271"/>
      <c r="I271"/>
    </row>
    <row r="272" spans="1:9" x14ac:dyDescent="0.25">
      <c r="A272"/>
      <c r="B272"/>
      <c r="C272"/>
      <c r="D272"/>
      <c r="E272"/>
      <c r="F272"/>
      <c r="G272"/>
      <c r="H272"/>
      <c r="I272"/>
    </row>
    <row r="273" spans="1:9" x14ac:dyDescent="0.25">
      <c r="A273"/>
      <c r="B273"/>
      <c r="C273"/>
      <c r="D273"/>
      <c r="E273"/>
      <c r="F273"/>
      <c r="G273"/>
      <c r="H273"/>
      <c r="I273"/>
    </row>
    <row r="274" spans="1:9" x14ac:dyDescent="0.25">
      <c r="A274"/>
      <c r="B274"/>
      <c r="C274"/>
      <c r="D274"/>
      <c r="E274"/>
      <c r="F274"/>
      <c r="G274"/>
      <c r="H274"/>
      <c r="I274"/>
    </row>
    <row r="275" spans="1:9" x14ac:dyDescent="0.25">
      <c r="A275"/>
      <c r="B275"/>
      <c r="C275"/>
      <c r="D275"/>
      <c r="E275"/>
      <c r="F275"/>
      <c r="G275"/>
      <c r="H275"/>
      <c r="I275"/>
    </row>
    <row r="276" spans="1:9" x14ac:dyDescent="0.25">
      <c r="A276"/>
      <c r="B276"/>
      <c r="C276"/>
      <c r="D276"/>
      <c r="E276"/>
      <c r="F276"/>
      <c r="G276"/>
      <c r="H276"/>
      <c r="I276"/>
    </row>
    <row r="277" spans="1:9" x14ac:dyDescent="0.25">
      <c r="A277"/>
      <c r="B277"/>
      <c r="C277"/>
      <c r="D277"/>
      <c r="E277"/>
      <c r="F277"/>
      <c r="G277"/>
      <c r="H277"/>
      <c r="I277"/>
    </row>
    <row r="278" spans="1:9" x14ac:dyDescent="0.25">
      <c r="A278"/>
      <c r="B278"/>
      <c r="C278"/>
      <c r="D278"/>
      <c r="E278"/>
      <c r="F278"/>
      <c r="G278"/>
      <c r="H278"/>
      <c r="I278"/>
    </row>
    <row r="279" spans="1:9" x14ac:dyDescent="0.25">
      <c r="A279"/>
      <c r="B279"/>
      <c r="C279"/>
      <c r="D279"/>
      <c r="E279"/>
      <c r="F279"/>
      <c r="G279"/>
      <c r="H279"/>
      <c r="I279"/>
    </row>
    <row r="280" spans="1:9" x14ac:dyDescent="0.25">
      <c r="A280"/>
      <c r="B280"/>
      <c r="C280"/>
      <c r="D280"/>
      <c r="E280"/>
      <c r="F280"/>
      <c r="G280"/>
      <c r="H280"/>
      <c r="I280"/>
    </row>
    <row r="281" spans="1:9" x14ac:dyDescent="0.25">
      <c r="A281"/>
      <c r="B281"/>
      <c r="C281"/>
      <c r="D281"/>
      <c r="E281"/>
      <c r="F281"/>
      <c r="G281"/>
      <c r="H281"/>
      <c r="I281"/>
    </row>
    <row r="282" spans="1:9" x14ac:dyDescent="0.25">
      <c r="A282"/>
      <c r="B282"/>
      <c r="C282"/>
      <c r="D282"/>
      <c r="E282"/>
      <c r="F282"/>
      <c r="G282"/>
      <c r="H282"/>
      <c r="I282"/>
    </row>
    <row r="283" spans="1:9" x14ac:dyDescent="0.25">
      <c r="A283"/>
      <c r="B283"/>
      <c r="C283"/>
      <c r="D283"/>
      <c r="E283"/>
      <c r="F283"/>
      <c r="G283"/>
      <c r="H283"/>
      <c r="I283"/>
    </row>
    <row r="284" spans="1:9" x14ac:dyDescent="0.25">
      <c r="A284"/>
      <c r="B284"/>
      <c r="C284"/>
      <c r="D284"/>
      <c r="E284"/>
      <c r="F284"/>
      <c r="G284"/>
      <c r="H284"/>
      <c r="I284"/>
    </row>
    <row r="285" spans="1:9" x14ac:dyDescent="0.25">
      <c r="A285"/>
      <c r="B285"/>
      <c r="C285"/>
      <c r="D285"/>
      <c r="E285"/>
      <c r="F285"/>
      <c r="G285"/>
      <c r="H285"/>
      <c r="I285"/>
    </row>
    <row r="286" spans="1:9" x14ac:dyDescent="0.25">
      <c r="A286"/>
      <c r="B286"/>
      <c r="C286"/>
      <c r="D286"/>
      <c r="E286"/>
      <c r="F286"/>
      <c r="G286"/>
      <c r="H286"/>
      <c r="I286"/>
    </row>
    <row r="287" spans="1:9" x14ac:dyDescent="0.25">
      <c r="A287"/>
      <c r="B287"/>
      <c r="C287"/>
      <c r="D287"/>
      <c r="E287"/>
      <c r="F287"/>
      <c r="G287"/>
      <c r="H287"/>
      <c r="I287"/>
    </row>
    <row r="288" spans="1:9" x14ac:dyDescent="0.25">
      <c r="A288"/>
      <c r="B288"/>
      <c r="C288"/>
      <c r="D288"/>
      <c r="E288"/>
      <c r="F288"/>
      <c r="G288"/>
      <c r="H288"/>
      <c r="I288"/>
    </row>
    <row r="289" spans="1:9" x14ac:dyDescent="0.25">
      <c r="A289"/>
      <c r="B289"/>
      <c r="C289"/>
      <c r="D289"/>
      <c r="E289"/>
      <c r="F289"/>
      <c r="G289"/>
      <c r="H289"/>
      <c r="I289"/>
    </row>
    <row r="290" spans="1:9" x14ac:dyDescent="0.25">
      <c r="A290"/>
      <c r="B290"/>
      <c r="C290"/>
      <c r="D290"/>
      <c r="E290"/>
      <c r="F290"/>
      <c r="G290"/>
      <c r="H290"/>
      <c r="I290"/>
    </row>
    <row r="291" spans="1:9" x14ac:dyDescent="0.25">
      <c r="A291"/>
      <c r="B291"/>
      <c r="C291"/>
      <c r="D291"/>
      <c r="E291"/>
      <c r="F291"/>
      <c r="G291"/>
      <c r="H291"/>
      <c r="I291"/>
    </row>
    <row r="292" spans="1:9" x14ac:dyDescent="0.25">
      <c r="A292"/>
      <c r="B292"/>
      <c r="C292"/>
      <c r="D292"/>
      <c r="E292"/>
      <c r="F292"/>
      <c r="G292"/>
      <c r="H292"/>
      <c r="I292"/>
    </row>
    <row r="293" spans="1:9" x14ac:dyDescent="0.25">
      <c r="A293"/>
      <c r="B293"/>
      <c r="C293"/>
      <c r="D293"/>
      <c r="E293"/>
      <c r="F293"/>
      <c r="G293"/>
      <c r="H293"/>
      <c r="I293"/>
    </row>
    <row r="294" spans="1:9" x14ac:dyDescent="0.25">
      <c r="A294"/>
      <c r="B294"/>
      <c r="C294"/>
      <c r="D294"/>
      <c r="E294"/>
      <c r="F294"/>
      <c r="G294"/>
      <c r="H294"/>
      <c r="I294"/>
    </row>
    <row r="295" spans="1:9" x14ac:dyDescent="0.25">
      <c r="A295"/>
      <c r="B295"/>
      <c r="C295"/>
      <c r="D295"/>
      <c r="E295"/>
      <c r="F295"/>
      <c r="G295"/>
      <c r="H295"/>
      <c r="I295"/>
    </row>
    <row r="296" spans="1:9" x14ac:dyDescent="0.25">
      <c r="A296"/>
      <c r="B296"/>
      <c r="C296"/>
      <c r="D296"/>
      <c r="E296"/>
      <c r="F296"/>
      <c r="G296"/>
      <c r="H296"/>
      <c r="I296"/>
    </row>
    <row r="297" spans="1:9" x14ac:dyDescent="0.25">
      <c r="A297"/>
      <c r="B297"/>
      <c r="C297"/>
      <c r="D297"/>
      <c r="E297"/>
      <c r="F297"/>
      <c r="G297"/>
      <c r="H297"/>
      <c r="I297"/>
    </row>
    <row r="298" spans="1:9" x14ac:dyDescent="0.25">
      <c r="A298"/>
      <c r="B298"/>
      <c r="C298"/>
      <c r="D298"/>
      <c r="E298"/>
      <c r="F298"/>
      <c r="G298"/>
      <c r="H298"/>
      <c r="I298"/>
    </row>
    <row r="299" spans="1:9" x14ac:dyDescent="0.25">
      <c r="A299"/>
      <c r="B299"/>
      <c r="C299"/>
      <c r="D299"/>
      <c r="E299"/>
      <c r="F299"/>
      <c r="G299"/>
      <c r="H299"/>
      <c r="I299"/>
    </row>
    <row r="300" spans="1:9" x14ac:dyDescent="0.25">
      <c r="A300"/>
      <c r="B300"/>
      <c r="C300"/>
      <c r="D300"/>
      <c r="E300"/>
      <c r="F300"/>
      <c r="G300"/>
      <c r="H300"/>
      <c r="I300"/>
    </row>
    <row r="301" spans="1:9" x14ac:dyDescent="0.25">
      <c r="A301"/>
      <c r="B301"/>
      <c r="C301"/>
      <c r="D301"/>
      <c r="E301"/>
      <c r="F301"/>
      <c r="G301"/>
      <c r="H301"/>
      <c r="I301"/>
    </row>
    <row r="302" spans="1:9" x14ac:dyDescent="0.25">
      <c r="A302"/>
      <c r="B302"/>
      <c r="C302"/>
      <c r="D302"/>
      <c r="E302"/>
      <c r="F302"/>
      <c r="G302"/>
      <c r="H302"/>
      <c r="I302"/>
    </row>
    <row r="303" spans="1:9" x14ac:dyDescent="0.25">
      <c r="A303"/>
      <c r="B303"/>
      <c r="C303"/>
      <c r="D303"/>
      <c r="E303"/>
      <c r="F303"/>
      <c r="G303"/>
      <c r="H303"/>
      <c r="I303"/>
    </row>
    <row r="304" spans="1:9" x14ac:dyDescent="0.25">
      <c r="A304"/>
      <c r="B304"/>
      <c r="C304"/>
      <c r="D304"/>
      <c r="E304"/>
      <c r="F304"/>
      <c r="G304"/>
      <c r="H304"/>
      <c r="I304"/>
    </row>
    <row r="305" spans="1:9" x14ac:dyDescent="0.25">
      <c r="A305"/>
      <c r="B305"/>
      <c r="C305"/>
      <c r="D305"/>
      <c r="E305"/>
      <c r="F305"/>
      <c r="G305"/>
      <c r="H305"/>
      <c r="I305"/>
    </row>
    <row r="306" spans="1:9" x14ac:dyDescent="0.25">
      <c r="A306"/>
      <c r="B306"/>
      <c r="C306"/>
      <c r="D306"/>
      <c r="E306"/>
      <c r="F306"/>
      <c r="G306"/>
      <c r="H306"/>
      <c r="I306"/>
    </row>
    <row r="307" spans="1:9" x14ac:dyDescent="0.25">
      <c r="A307"/>
      <c r="B307"/>
      <c r="C307"/>
      <c r="D307"/>
      <c r="E307"/>
      <c r="F307"/>
      <c r="G307"/>
      <c r="H307"/>
      <c r="I307"/>
    </row>
    <row r="308" spans="1:9" x14ac:dyDescent="0.25">
      <c r="A308"/>
      <c r="B308"/>
      <c r="C308"/>
      <c r="D308"/>
      <c r="E308"/>
      <c r="F308"/>
      <c r="G308"/>
      <c r="H308"/>
      <c r="I308"/>
    </row>
    <row r="309" spans="1:9" x14ac:dyDescent="0.25">
      <c r="A309"/>
      <c r="B309"/>
      <c r="C309"/>
      <c r="D309"/>
      <c r="E309"/>
      <c r="F309"/>
      <c r="G309"/>
      <c r="H309"/>
      <c r="I309"/>
    </row>
    <row r="310" spans="1:9" x14ac:dyDescent="0.25">
      <c r="A310"/>
      <c r="B310"/>
      <c r="C310"/>
      <c r="D310"/>
      <c r="E310"/>
      <c r="F310"/>
      <c r="G310"/>
      <c r="H310"/>
      <c r="I310"/>
    </row>
    <row r="311" spans="1:9" x14ac:dyDescent="0.25">
      <c r="A311"/>
      <c r="B311"/>
      <c r="C311"/>
      <c r="D311"/>
      <c r="E311"/>
      <c r="F311"/>
      <c r="G311"/>
      <c r="H311"/>
      <c r="I311"/>
    </row>
    <row r="312" spans="1:9" x14ac:dyDescent="0.25">
      <c r="A312"/>
      <c r="B312"/>
      <c r="C312"/>
      <c r="D312"/>
      <c r="E312"/>
      <c r="F312"/>
      <c r="G312"/>
      <c r="H312"/>
      <c r="I312"/>
    </row>
    <row r="313" spans="1:9" x14ac:dyDescent="0.25">
      <c r="A313"/>
      <c r="B313"/>
      <c r="C313"/>
      <c r="D313"/>
      <c r="E313"/>
      <c r="F313"/>
      <c r="G313"/>
      <c r="H313"/>
      <c r="I313"/>
    </row>
    <row r="314" spans="1:9" x14ac:dyDescent="0.25">
      <c r="A314"/>
      <c r="B314"/>
      <c r="C314"/>
      <c r="D314"/>
      <c r="E314"/>
      <c r="F314"/>
      <c r="G314"/>
      <c r="H314"/>
      <c r="I314"/>
    </row>
    <row r="315" spans="1:9" x14ac:dyDescent="0.25">
      <c r="A315"/>
      <c r="B315"/>
      <c r="C315"/>
      <c r="D315"/>
      <c r="E315"/>
      <c r="F315"/>
      <c r="G315"/>
      <c r="H315"/>
      <c r="I315"/>
    </row>
    <row r="316" spans="1:9" x14ac:dyDescent="0.25">
      <c r="A316"/>
      <c r="B316"/>
      <c r="C316"/>
      <c r="D316"/>
      <c r="E316"/>
      <c r="F316"/>
      <c r="G316"/>
      <c r="H316"/>
      <c r="I316"/>
    </row>
    <row r="317" spans="1:9" x14ac:dyDescent="0.25">
      <c r="A317"/>
      <c r="B317"/>
      <c r="C317"/>
      <c r="D317"/>
      <c r="E317"/>
      <c r="F317"/>
      <c r="G317"/>
      <c r="H317"/>
      <c r="I317"/>
    </row>
    <row r="318" spans="1:9" x14ac:dyDescent="0.25">
      <c r="A318"/>
      <c r="B318"/>
      <c r="C318"/>
      <c r="D318"/>
      <c r="E318"/>
      <c r="F318"/>
      <c r="G318"/>
      <c r="H318"/>
      <c r="I318"/>
    </row>
    <row r="319" spans="1:9" x14ac:dyDescent="0.25">
      <c r="A319"/>
      <c r="B319"/>
      <c r="C319"/>
      <c r="D319"/>
      <c r="E319"/>
      <c r="F319"/>
      <c r="G319"/>
      <c r="H319"/>
      <c r="I319"/>
    </row>
    <row r="320" spans="1:9" x14ac:dyDescent="0.25">
      <c r="A320"/>
      <c r="B320"/>
      <c r="C320"/>
      <c r="D320"/>
      <c r="E320"/>
      <c r="F320"/>
      <c r="G320"/>
      <c r="H320"/>
      <c r="I320"/>
    </row>
    <row r="321" spans="1:9" x14ac:dyDescent="0.25">
      <c r="A321"/>
      <c r="B321"/>
      <c r="C321"/>
      <c r="D321"/>
      <c r="E321"/>
      <c r="F321"/>
      <c r="G321"/>
      <c r="H321"/>
      <c r="I321"/>
    </row>
    <row r="322" spans="1:9" x14ac:dyDescent="0.25">
      <c r="A322"/>
      <c r="B322"/>
      <c r="C322"/>
      <c r="D322"/>
      <c r="E322"/>
      <c r="F322"/>
      <c r="G322"/>
      <c r="H322"/>
      <c r="I322"/>
    </row>
    <row r="323" spans="1:9" x14ac:dyDescent="0.25">
      <c r="A323"/>
      <c r="B323"/>
      <c r="C323"/>
      <c r="D323"/>
      <c r="E323"/>
      <c r="F323"/>
      <c r="G323"/>
      <c r="H323"/>
      <c r="I323"/>
    </row>
    <row r="324" spans="1:9" x14ac:dyDescent="0.25">
      <c r="A324"/>
      <c r="B324"/>
      <c r="C324"/>
      <c r="D324"/>
      <c r="E324"/>
      <c r="F324"/>
      <c r="G324"/>
      <c r="H324"/>
      <c r="I324"/>
    </row>
    <row r="325" spans="1:9" x14ac:dyDescent="0.25">
      <c r="A325"/>
      <c r="B325"/>
      <c r="C325"/>
      <c r="D325"/>
      <c r="E325"/>
      <c r="F325"/>
      <c r="G325"/>
      <c r="H325"/>
      <c r="I325"/>
    </row>
    <row r="326" spans="1:9" x14ac:dyDescent="0.25">
      <c r="A326"/>
      <c r="B326"/>
      <c r="C326"/>
      <c r="D326"/>
      <c r="E326"/>
      <c r="F326"/>
      <c r="G326"/>
      <c r="H326"/>
      <c r="I326"/>
    </row>
    <row r="327" spans="1:9" x14ac:dyDescent="0.25">
      <c r="A327"/>
      <c r="B327"/>
      <c r="C327"/>
      <c r="D327"/>
      <c r="E327"/>
      <c r="F327"/>
      <c r="G327"/>
      <c r="H327"/>
      <c r="I327"/>
    </row>
    <row r="328" spans="1:9" x14ac:dyDescent="0.25">
      <c r="A328"/>
      <c r="B328"/>
      <c r="C328"/>
      <c r="D328"/>
      <c r="E328"/>
      <c r="F328"/>
      <c r="G328"/>
      <c r="H328"/>
      <c r="I328"/>
    </row>
    <row r="329" spans="1:9" x14ac:dyDescent="0.25">
      <c r="A329"/>
      <c r="B329"/>
      <c r="C329"/>
      <c r="D329"/>
      <c r="E329"/>
      <c r="F329"/>
      <c r="G329"/>
      <c r="H329"/>
      <c r="I329"/>
    </row>
    <row r="330" spans="1:9" x14ac:dyDescent="0.25">
      <c r="A330"/>
      <c r="B330"/>
      <c r="C330"/>
      <c r="D330"/>
      <c r="E330"/>
      <c r="F330"/>
      <c r="G330"/>
      <c r="H330"/>
      <c r="I330"/>
    </row>
    <row r="331" spans="1:9" x14ac:dyDescent="0.25">
      <c r="A331"/>
      <c r="B331"/>
      <c r="C331"/>
      <c r="D331"/>
      <c r="E331"/>
      <c r="F331"/>
      <c r="G331"/>
      <c r="H331"/>
      <c r="I331"/>
    </row>
    <row r="332" spans="1:9" x14ac:dyDescent="0.25">
      <c r="A332"/>
      <c r="B332"/>
      <c r="C332"/>
      <c r="D332"/>
      <c r="E332"/>
      <c r="F332"/>
      <c r="G332"/>
      <c r="H332"/>
      <c r="I332"/>
    </row>
    <row r="333" spans="1:9" x14ac:dyDescent="0.25">
      <c r="A333"/>
      <c r="B333"/>
      <c r="C333"/>
      <c r="D333"/>
      <c r="E333"/>
      <c r="F333"/>
      <c r="G333"/>
      <c r="H333"/>
      <c r="I333"/>
    </row>
    <row r="334" spans="1:9" x14ac:dyDescent="0.25">
      <c r="A334"/>
      <c r="B334"/>
      <c r="C334"/>
      <c r="D334"/>
      <c r="E334"/>
      <c r="F334"/>
      <c r="G334"/>
      <c r="H334"/>
      <c r="I334"/>
    </row>
    <row r="335" spans="1:9" x14ac:dyDescent="0.25">
      <c r="A335"/>
      <c r="B335"/>
      <c r="C335"/>
      <c r="D335"/>
      <c r="E335"/>
      <c r="F335"/>
      <c r="G335"/>
      <c r="H335"/>
      <c r="I335"/>
    </row>
    <row r="336" spans="1:9" x14ac:dyDescent="0.25">
      <c r="A336"/>
      <c r="B336"/>
      <c r="C336"/>
      <c r="D336"/>
      <c r="E336"/>
      <c r="F336"/>
      <c r="G336"/>
      <c r="H336"/>
      <c r="I336"/>
    </row>
    <row r="337" spans="1:9" x14ac:dyDescent="0.25">
      <c r="A337"/>
      <c r="B337"/>
      <c r="C337"/>
      <c r="D337"/>
      <c r="E337"/>
      <c r="F337"/>
      <c r="G337"/>
      <c r="H337"/>
      <c r="I337"/>
    </row>
    <row r="338" spans="1:9" x14ac:dyDescent="0.25">
      <c r="A338"/>
      <c r="B338"/>
      <c r="C338"/>
      <c r="D338"/>
      <c r="E338"/>
      <c r="F338"/>
      <c r="G338"/>
      <c r="H338"/>
      <c r="I338"/>
    </row>
    <row r="339" spans="1:9" x14ac:dyDescent="0.25">
      <c r="A339"/>
      <c r="B339"/>
      <c r="C339"/>
      <c r="D339"/>
      <c r="E339"/>
      <c r="F339"/>
      <c r="G339"/>
      <c r="H339"/>
      <c r="I339"/>
    </row>
    <row r="340" spans="1:9" x14ac:dyDescent="0.25">
      <c r="A340"/>
      <c r="B340"/>
      <c r="C340"/>
      <c r="D340"/>
      <c r="E340"/>
      <c r="F340"/>
      <c r="G340"/>
      <c r="H340"/>
      <c r="I340"/>
    </row>
    <row r="341" spans="1:9" x14ac:dyDescent="0.25">
      <c r="A341"/>
      <c r="B341"/>
      <c r="C341"/>
      <c r="D341"/>
      <c r="E341"/>
      <c r="F341"/>
      <c r="G341"/>
      <c r="H341"/>
      <c r="I341"/>
    </row>
    <row r="342" spans="1:9" x14ac:dyDescent="0.25">
      <c r="A342"/>
      <c r="B342"/>
      <c r="C342"/>
      <c r="D342"/>
      <c r="E342"/>
      <c r="F342"/>
      <c r="G342"/>
      <c r="H342"/>
      <c r="I342"/>
    </row>
    <row r="343" spans="1:9" x14ac:dyDescent="0.25">
      <c r="A343"/>
      <c r="B343"/>
      <c r="C343"/>
      <c r="D343"/>
      <c r="E343"/>
      <c r="F343"/>
      <c r="G343"/>
      <c r="H343"/>
      <c r="I343"/>
    </row>
    <row r="344" spans="1:9" x14ac:dyDescent="0.25">
      <c r="A344"/>
      <c r="B344"/>
      <c r="C344"/>
      <c r="D344"/>
      <c r="E344"/>
      <c r="F344"/>
      <c r="G344"/>
      <c r="H344"/>
      <c r="I344"/>
    </row>
    <row r="345" spans="1:9" x14ac:dyDescent="0.25">
      <c r="A345"/>
      <c r="B345"/>
      <c r="C345"/>
      <c r="D345"/>
      <c r="E345"/>
      <c r="F345"/>
      <c r="G345"/>
      <c r="H345"/>
      <c r="I345"/>
    </row>
    <row r="346" spans="1:9" x14ac:dyDescent="0.25">
      <c r="A346"/>
      <c r="B346"/>
      <c r="C346"/>
      <c r="D346"/>
      <c r="E346"/>
      <c r="F346"/>
      <c r="G346"/>
      <c r="H346"/>
      <c r="I346"/>
    </row>
    <row r="347" spans="1:9" x14ac:dyDescent="0.25">
      <c r="A347"/>
      <c r="B347"/>
      <c r="C347"/>
      <c r="D347"/>
      <c r="E347"/>
      <c r="F347"/>
      <c r="G347"/>
      <c r="H347"/>
      <c r="I347"/>
    </row>
    <row r="348" spans="1:9" x14ac:dyDescent="0.25">
      <c r="A348"/>
      <c r="B348"/>
      <c r="C348"/>
      <c r="D348"/>
      <c r="E348"/>
      <c r="F348"/>
      <c r="G348"/>
      <c r="H348"/>
      <c r="I348"/>
    </row>
    <row r="349" spans="1:9" x14ac:dyDescent="0.25">
      <c r="A349"/>
      <c r="B349"/>
      <c r="C349"/>
      <c r="D349"/>
      <c r="E349"/>
      <c r="F349"/>
      <c r="G349"/>
      <c r="H349"/>
      <c r="I349"/>
    </row>
    <row r="350" spans="1:9" x14ac:dyDescent="0.25">
      <c r="A350"/>
      <c r="B350"/>
      <c r="C350"/>
      <c r="D350"/>
      <c r="E350"/>
      <c r="F350"/>
      <c r="G350"/>
      <c r="H350"/>
      <c r="I350"/>
    </row>
    <row r="351" spans="1:9" x14ac:dyDescent="0.25">
      <c r="A351"/>
      <c r="B351"/>
      <c r="C351"/>
      <c r="D351"/>
      <c r="E351"/>
      <c r="F351"/>
      <c r="G351"/>
      <c r="H351"/>
      <c r="I351"/>
    </row>
    <row r="352" spans="1:9" x14ac:dyDescent="0.25">
      <c r="A352"/>
      <c r="B352"/>
      <c r="C352"/>
      <c r="D352"/>
      <c r="E352"/>
      <c r="F352"/>
      <c r="G352"/>
      <c r="H352"/>
      <c r="I352"/>
    </row>
    <row r="353" spans="1:9" x14ac:dyDescent="0.25">
      <c r="A353"/>
      <c r="B353"/>
      <c r="C353"/>
      <c r="D353"/>
      <c r="E353"/>
      <c r="F353"/>
      <c r="G353"/>
      <c r="H353"/>
      <c r="I353"/>
    </row>
    <row r="354" spans="1:9" x14ac:dyDescent="0.25">
      <c r="A354"/>
      <c r="B354"/>
      <c r="C354"/>
      <c r="D354"/>
      <c r="E354"/>
      <c r="F354"/>
      <c r="G354"/>
      <c r="H354"/>
      <c r="I354"/>
    </row>
    <row r="355" spans="1:9" x14ac:dyDescent="0.25">
      <c r="A355"/>
      <c r="B355"/>
      <c r="C355"/>
      <c r="D355"/>
      <c r="E355"/>
      <c r="F355"/>
      <c r="G355"/>
      <c r="H355"/>
      <c r="I355"/>
    </row>
    <row r="356" spans="1:9" x14ac:dyDescent="0.25">
      <c r="A356"/>
      <c r="B356"/>
      <c r="C356"/>
      <c r="D356"/>
      <c r="E356"/>
      <c r="F356"/>
      <c r="G356"/>
      <c r="H356"/>
      <c r="I356"/>
    </row>
    <row r="357" spans="1:9" x14ac:dyDescent="0.25">
      <c r="A357"/>
      <c r="B357"/>
      <c r="C357"/>
      <c r="D357"/>
      <c r="E357"/>
      <c r="F357"/>
      <c r="G357"/>
      <c r="H357"/>
      <c r="I357"/>
    </row>
    <row r="358" spans="1:9" x14ac:dyDescent="0.25">
      <c r="A358"/>
      <c r="B358"/>
      <c r="C358"/>
      <c r="D358"/>
      <c r="E358"/>
      <c r="F358"/>
      <c r="G358"/>
      <c r="H358"/>
      <c r="I358"/>
    </row>
    <row r="359" spans="1:9" x14ac:dyDescent="0.25">
      <c r="A359"/>
      <c r="B359"/>
      <c r="C359"/>
      <c r="D359"/>
      <c r="E359"/>
      <c r="F359"/>
      <c r="G359"/>
      <c r="H359"/>
      <c r="I359"/>
    </row>
    <row r="360" spans="1:9" x14ac:dyDescent="0.25">
      <c r="A360"/>
      <c r="B360"/>
      <c r="C360"/>
      <c r="D360"/>
      <c r="E360"/>
      <c r="F360"/>
      <c r="G360"/>
      <c r="H360"/>
      <c r="I360"/>
    </row>
    <row r="361" spans="1:9" x14ac:dyDescent="0.25">
      <c r="A361"/>
      <c r="B361"/>
      <c r="C361"/>
      <c r="D361"/>
      <c r="E361"/>
      <c r="F361"/>
      <c r="G361"/>
      <c r="H361"/>
      <c r="I361"/>
    </row>
    <row r="362" spans="1:9" x14ac:dyDescent="0.25">
      <c r="A362"/>
      <c r="B362"/>
      <c r="C362"/>
      <c r="D362"/>
      <c r="E362"/>
      <c r="F362"/>
      <c r="G362"/>
      <c r="H362"/>
      <c r="I362"/>
    </row>
    <row r="363" spans="1:9" x14ac:dyDescent="0.25">
      <c r="A363"/>
      <c r="B363"/>
      <c r="C363"/>
      <c r="D363"/>
      <c r="E363"/>
      <c r="F363"/>
      <c r="G363"/>
      <c r="H363"/>
      <c r="I363"/>
    </row>
    <row r="364" spans="1:9" x14ac:dyDescent="0.25">
      <c r="A364"/>
      <c r="B364"/>
      <c r="C364"/>
      <c r="D364"/>
      <c r="E364"/>
      <c r="F364"/>
      <c r="G364"/>
      <c r="H364"/>
      <c r="I364"/>
    </row>
    <row r="365" spans="1:9" x14ac:dyDescent="0.25">
      <c r="A365"/>
      <c r="B365"/>
      <c r="C365"/>
      <c r="D365"/>
      <c r="E365"/>
      <c r="F365"/>
      <c r="G365"/>
      <c r="H365"/>
      <c r="I365"/>
    </row>
    <row r="366" spans="1:9" x14ac:dyDescent="0.25">
      <c r="A366"/>
      <c r="B366"/>
      <c r="C366"/>
      <c r="D366"/>
      <c r="E366"/>
      <c r="F366"/>
      <c r="G366"/>
      <c r="H366"/>
      <c r="I366"/>
    </row>
    <row r="367" spans="1:9" x14ac:dyDescent="0.25">
      <c r="A367"/>
      <c r="B367"/>
      <c r="C367"/>
      <c r="D367"/>
      <c r="E367"/>
      <c r="F367"/>
      <c r="G367"/>
      <c r="H367"/>
      <c r="I367"/>
    </row>
    <row r="368" spans="1:9" x14ac:dyDescent="0.25">
      <c r="A368"/>
      <c r="B368"/>
      <c r="C368"/>
      <c r="D368"/>
      <c r="E368"/>
      <c r="F368"/>
      <c r="G368"/>
      <c r="H368"/>
      <c r="I368"/>
    </row>
    <row r="369" spans="1:9" x14ac:dyDescent="0.25">
      <c r="A369"/>
      <c r="B369"/>
      <c r="C369"/>
      <c r="D369"/>
      <c r="E369"/>
      <c r="F369"/>
      <c r="G369"/>
      <c r="H369"/>
      <c r="I369"/>
    </row>
    <row r="370" spans="1:9" x14ac:dyDescent="0.25">
      <c r="A370"/>
      <c r="B370"/>
      <c r="C370"/>
      <c r="D370"/>
      <c r="E370"/>
      <c r="F370"/>
      <c r="G370"/>
      <c r="H370"/>
      <c r="I370"/>
    </row>
    <row r="371" spans="1:9" x14ac:dyDescent="0.25">
      <c r="A371"/>
      <c r="B371"/>
      <c r="C371"/>
      <c r="D371"/>
      <c r="E371"/>
      <c r="F371"/>
      <c r="G371"/>
      <c r="H371"/>
      <c r="I371"/>
    </row>
    <row r="372" spans="1:9" x14ac:dyDescent="0.25">
      <c r="A372"/>
      <c r="B372"/>
      <c r="C372"/>
      <c r="D372"/>
      <c r="E372"/>
      <c r="F372"/>
      <c r="G372"/>
      <c r="H372"/>
      <c r="I372"/>
    </row>
    <row r="373" spans="1:9" x14ac:dyDescent="0.25">
      <c r="A373"/>
      <c r="B373"/>
      <c r="C373"/>
      <c r="D373"/>
      <c r="E373"/>
      <c r="F373"/>
      <c r="G373"/>
      <c r="H373"/>
      <c r="I373"/>
    </row>
    <row r="374" spans="1:9" x14ac:dyDescent="0.25">
      <c r="A374"/>
      <c r="B374"/>
      <c r="C374"/>
      <c r="D374"/>
      <c r="E374"/>
      <c r="F374"/>
      <c r="G374"/>
      <c r="H374"/>
      <c r="I374"/>
    </row>
    <row r="375" spans="1:9" x14ac:dyDescent="0.25">
      <c r="A375"/>
      <c r="B375"/>
      <c r="C375"/>
      <c r="D375"/>
      <c r="E375"/>
      <c r="F375"/>
      <c r="G375"/>
      <c r="H375"/>
      <c r="I375"/>
    </row>
    <row r="376" spans="1:9" x14ac:dyDescent="0.25">
      <c r="A376"/>
      <c r="B376"/>
      <c r="C376"/>
      <c r="D376"/>
      <c r="E376"/>
      <c r="F376"/>
      <c r="G376"/>
      <c r="H376"/>
      <c r="I376"/>
    </row>
    <row r="377" spans="1:9" x14ac:dyDescent="0.25">
      <c r="A377"/>
      <c r="B377"/>
      <c r="C377"/>
      <c r="D377"/>
      <c r="E377"/>
      <c r="F377"/>
      <c r="G377"/>
      <c r="H377"/>
      <c r="I377"/>
    </row>
    <row r="378" spans="1:9" x14ac:dyDescent="0.25">
      <c r="A378"/>
      <c r="B378"/>
      <c r="C378"/>
      <c r="D378"/>
      <c r="E378"/>
      <c r="F378"/>
      <c r="G378"/>
      <c r="H378"/>
      <c r="I378"/>
    </row>
    <row r="379" spans="1:9" x14ac:dyDescent="0.25">
      <c r="A379"/>
      <c r="B379"/>
      <c r="C379"/>
      <c r="D379"/>
      <c r="E379"/>
      <c r="F379"/>
      <c r="G379"/>
      <c r="H379"/>
      <c r="I379"/>
    </row>
    <row r="380" spans="1:9" x14ac:dyDescent="0.25">
      <c r="A380"/>
      <c r="B380"/>
      <c r="C380"/>
      <c r="D380"/>
      <c r="E380"/>
      <c r="F380"/>
      <c r="G380"/>
      <c r="H380"/>
      <c r="I380"/>
    </row>
    <row r="381" spans="1:9" x14ac:dyDescent="0.25">
      <c r="A381"/>
      <c r="B381"/>
      <c r="C381"/>
      <c r="D381"/>
      <c r="E381"/>
      <c r="F381"/>
      <c r="G381"/>
      <c r="H381"/>
      <c r="I381"/>
    </row>
    <row r="382" spans="1:9" x14ac:dyDescent="0.25">
      <c r="A382"/>
      <c r="B382"/>
      <c r="C382"/>
      <c r="D382"/>
      <c r="E382"/>
      <c r="F382"/>
      <c r="G382"/>
      <c r="H382"/>
      <c r="I382"/>
    </row>
    <row r="383" spans="1:9" x14ac:dyDescent="0.25">
      <c r="A383"/>
      <c r="B383"/>
      <c r="C383"/>
      <c r="D383"/>
      <c r="E383"/>
      <c r="F383"/>
      <c r="G383"/>
      <c r="H383"/>
      <c r="I383"/>
    </row>
    <row r="384" spans="1:9" x14ac:dyDescent="0.25">
      <c r="A384"/>
      <c r="B384"/>
      <c r="C384"/>
      <c r="D384"/>
      <c r="E384"/>
      <c r="F384"/>
      <c r="G384"/>
      <c r="H384"/>
      <c r="I384"/>
    </row>
    <row r="385" spans="1:9" x14ac:dyDescent="0.25">
      <c r="A385"/>
      <c r="B385"/>
      <c r="C385"/>
      <c r="D385"/>
      <c r="E385"/>
      <c r="F385"/>
      <c r="G385"/>
      <c r="H385"/>
      <c r="I385"/>
    </row>
    <row r="386" spans="1:9" x14ac:dyDescent="0.25">
      <c r="A386"/>
      <c r="B386"/>
      <c r="C386"/>
      <c r="D386"/>
      <c r="E386"/>
      <c r="F386"/>
      <c r="G386"/>
      <c r="H386"/>
      <c r="I386"/>
    </row>
    <row r="387" spans="1:9" x14ac:dyDescent="0.25">
      <c r="A387"/>
      <c r="B387"/>
      <c r="C387"/>
      <c r="D387"/>
      <c r="E387"/>
      <c r="F387"/>
      <c r="G387"/>
      <c r="H387"/>
      <c r="I387"/>
    </row>
    <row r="388" spans="1:9" x14ac:dyDescent="0.25">
      <c r="A388"/>
      <c r="B388"/>
      <c r="C388"/>
      <c r="D388"/>
      <c r="E388"/>
      <c r="F388"/>
      <c r="G388"/>
      <c r="H388"/>
      <c r="I388"/>
    </row>
    <row r="389" spans="1:9" x14ac:dyDescent="0.25">
      <c r="A389"/>
      <c r="B389"/>
      <c r="C389"/>
      <c r="D389"/>
      <c r="E389"/>
      <c r="F389"/>
      <c r="G389"/>
      <c r="H389"/>
      <c r="I389"/>
    </row>
    <row r="390" spans="1:9" x14ac:dyDescent="0.25">
      <c r="A390"/>
      <c r="B390"/>
      <c r="C390"/>
      <c r="D390"/>
      <c r="E390"/>
      <c r="F390"/>
      <c r="G390"/>
      <c r="H390"/>
      <c r="I390"/>
    </row>
    <row r="391" spans="1:9" x14ac:dyDescent="0.25">
      <c r="A391"/>
      <c r="B391"/>
      <c r="C391"/>
      <c r="D391"/>
      <c r="E391"/>
      <c r="F391"/>
      <c r="G391"/>
      <c r="H391"/>
      <c r="I391"/>
    </row>
    <row r="392" spans="1:9" x14ac:dyDescent="0.25">
      <c r="A392"/>
      <c r="B392"/>
      <c r="C392"/>
      <c r="D392"/>
      <c r="E392"/>
      <c r="F392"/>
      <c r="G392"/>
      <c r="H392"/>
      <c r="I392"/>
    </row>
    <row r="393" spans="1:9" x14ac:dyDescent="0.25">
      <c r="A393"/>
      <c r="B393"/>
      <c r="C393"/>
      <c r="D393"/>
      <c r="E393"/>
      <c r="F393"/>
      <c r="G393"/>
      <c r="H393"/>
      <c r="I393"/>
    </row>
    <row r="394" spans="1:9" x14ac:dyDescent="0.25">
      <c r="A394"/>
      <c r="B394"/>
      <c r="C394"/>
      <c r="D394"/>
      <c r="E394"/>
      <c r="F394"/>
      <c r="G394"/>
      <c r="H394"/>
      <c r="I394"/>
    </row>
    <row r="395" spans="1:9" x14ac:dyDescent="0.25">
      <c r="A395"/>
      <c r="B395"/>
      <c r="C395"/>
      <c r="D395"/>
      <c r="E395"/>
      <c r="F395"/>
      <c r="G395"/>
      <c r="H395"/>
      <c r="I395"/>
    </row>
    <row r="396" spans="1:9" x14ac:dyDescent="0.25">
      <c r="A396"/>
      <c r="B396"/>
      <c r="C396"/>
      <c r="D396"/>
      <c r="E396"/>
      <c r="F396"/>
      <c r="G396"/>
      <c r="H396"/>
      <c r="I396"/>
    </row>
    <row r="397" spans="1:9" x14ac:dyDescent="0.25">
      <c r="A397"/>
      <c r="B397"/>
      <c r="C397"/>
      <c r="D397"/>
      <c r="E397"/>
      <c r="F397"/>
      <c r="G397"/>
      <c r="H397"/>
      <c r="I397"/>
    </row>
    <row r="398" spans="1:9" x14ac:dyDescent="0.25">
      <c r="A398"/>
      <c r="B398"/>
      <c r="C398"/>
      <c r="D398"/>
      <c r="E398"/>
      <c r="F398"/>
      <c r="G398"/>
      <c r="H398"/>
      <c r="I398"/>
    </row>
    <row r="399" spans="1:9" x14ac:dyDescent="0.25">
      <c r="A399"/>
      <c r="B399"/>
      <c r="C399"/>
      <c r="D399"/>
      <c r="E399"/>
      <c r="F399"/>
      <c r="G399"/>
      <c r="H399"/>
      <c r="I399"/>
    </row>
    <row r="400" spans="1:9" x14ac:dyDescent="0.25">
      <c r="A400"/>
      <c r="B400"/>
      <c r="C400"/>
      <c r="D400"/>
      <c r="E400"/>
      <c r="F400"/>
      <c r="G400"/>
      <c r="H400"/>
      <c r="I400"/>
    </row>
    <row r="401" spans="1:9" x14ac:dyDescent="0.25">
      <c r="A401"/>
      <c r="B401"/>
      <c r="C401"/>
      <c r="D401"/>
      <c r="E401"/>
      <c r="F401"/>
      <c r="G401"/>
      <c r="H401"/>
      <c r="I401"/>
    </row>
    <row r="402" spans="1:9" x14ac:dyDescent="0.25">
      <c r="A402"/>
      <c r="B402"/>
      <c r="C402"/>
      <c r="D402"/>
      <c r="E402"/>
      <c r="F402"/>
      <c r="G402"/>
      <c r="H402"/>
      <c r="I402"/>
    </row>
    <row r="403" spans="1:9" x14ac:dyDescent="0.25">
      <c r="A403"/>
      <c r="B403"/>
      <c r="C403"/>
      <c r="D403"/>
      <c r="E403"/>
      <c r="F403"/>
      <c r="G403"/>
      <c r="H403"/>
      <c r="I403"/>
    </row>
    <row r="404" spans="1:9" x14ac:dyDescent="0.25">
      <c r="A404"/>
      <c r="B404"/>
      <c r="C404"/>
      <c r="D404"/>
      <c r="E404"/>
      <c r="F404"/>
      <c r="G404"/>
      <c r="H404"/>
      <c r="I404"/>
    </row>
    <row r="405" spans="1:9" x14ac:dyDescent="0.25">
      <c r="A405"/>
      <c r="B405"/>
      <c r="C405"/>
      <c r="D405"/>
      <c r="E405"/>
      <c r="F405"/>
      <c r="G405"/>
      <c r="H405"/>
      <c r="I405"/>
    </row>
    <row r="406" spans="1:9" x14ac:dyDescent="0.25">
      <c r="A406"/>
      <c r="B406"/>
      <c r="C406"/>
      <c r="D406"/>
      <c r="E406"/>
      <c r="F406"/>
      <c r="G406"/>
      <c r="H406"/>
      <c r="I406"/>
    </row>
    <row r="407" spans="1:9" x14ac:dyDescent="0.25">
      <c r="A407"/>
      <c r="B407"/>
      <c r="C407"/>
      <c r="D407"/>
      <c r="E407"/>
      <c r="F407"/>
      <c r="G407"/>
      <c r="H407"/>
      <c r="I407"/>
    </row>
    <row r="408" spans="1:9" x14ac:dyDescent="0.25">
      <c r="A408"/>
      <c r="B408"/>
      <c r="C408"/>
      <c r="D408"/>
      <c r="E408"/>
      <c r="F408"/>
      <c r="G408"/>
      <c r="H408"/>
      <c r="I408"/>
    </row>
    <row r="409" spans="1:9" x14ac:dyDescent="0.25">
      <c r="A409"/>
      <c r="B409"/>
      <c r="C409"/>
      <c r="D409"/>
      <c r="E409"/>
      <c r="F409"/>
      <c r="G409"/>
      <c r="H409"/>
      <c r="I409"/>
    </row>
    <row r="410" spans="1:9" x14ac:dyDescent="0.25">
      <c r="A410"/>
      <c r="B410"/>
      <c r="C410"/>
      <c r="D410"/>
      <c r="E410"/>
      <c r="F410"/>
      <c r="G410"/>
      <c r="H410"/>
      <c r="I410"/>
    </row>
    <row r="411" spans="1:9" x14ac:dyDescent="0.25">
      <c r="A411"/>
      <c r="B411"/>
      <c r="C411"/>
      <c r="D411"/>
      <c r="E411"/>
      <c r="F411"/>
      <c r="G411"/>
      <c r="H411"/>
      <c r="I411"/>
    </row>
    <row r="412" spans="1:9" x14ac:dyDescent="0.25">
      <c r="A412"/>
      <c r="B412"/>
      <c r="C412"/>
      <c r="D412"/>
      <c r="E412"/>
      <c r="F412"/>
      <c r="G412"/>
      <c r="H412"/>
      <c r="I412"/>
    </row>
    <row r="413" spans="1:9" x14ac:dyDescent="0.25">
      <c r="A413"/>
      <c r="B413"/>
      <c r="C413"/>
      <c r="D413"/>
      <c r="E413"/>
      <c r="F413"/>
      <c r="G413"/>
      <c r="H413"/>
      <c r="I413"/>
    </row>
    <row r="414" spans="1:9" x14ac:dyDescent="0.25">
      <c r="A414"/>
      <c r="B414"/>
      <c r="C414"/>
      <c r="D414"/>
      <c r="E414"/>
      <c r="F414"/>
      <c r="G414"/>
      <c r="H414"/>
      <c r="I414"/>
    </row>
    <row r="415" spans="1:9" x14ac:dyDescent="0.25">
      <c r="A415"/>
      <c r="B415"/>
      <c r="C415"/>
      <c r="D415"/>
      <c r="E415"/>
      <c r="F415"/>
      <c r="G415"/>
      <c r="H415"/>
      <c r="I415"/>
    </row>
    <row r="416" spans="1:9" x14ac:dyDescent="0.25">
      <c r="A416"/>
      <c r="B416"/>
      <c r="C416"/>
      <c r="D416"/>
      <c r="E416"/>
      <c r="F416"/>
      <c r="G416"/>
      <c r="H416"/>
      <c r="I416"/>
    </row>
    <row r="417" spans="1:9" x14ac:dyDescent="0.25">
      <c r="A417"/>
      <c r="B417"/>
      <c r="C417"/>
      <c r="D417"/>
      <c r="E417"/>
      <c r="F417"/>
      <c r="G417"/>
      <c r="H417"/>
      <c r="I417"/>
    </row>
    <row r="418" spans="1:9" x14ac:dyDescent="0.25">
      <c r="A418"/>
      <c r="B418"/>
      <c r="C418"/>
      <c r="D418"/>
      <c r="E418"/>
      <c r="F418"/>
      <c r="G418"/>
      <c r="H418"/>
      <c r="I418"/>
    </row>
    <row r="419" spans="1:9" x14ac:dyDescent="0.25">
      <c r="A419"/>
      <c r="B419"/>
      <c r="C419"/>
      <c r="D419"/>
      <c r="E419"/>
      <c r="F419"/>
      <c r="G419"/>
      <c r="H419"/>
      <c r="I419"/>
    </row>
    <row r="420" spans="1:9" x14ac:dyDescent="0.25">
      <c r="A420"/>
      <c r="B420"/>
      <c r="C420"/>
      <c r="D420"/>
      <c r="E420"/>
      <c r="F420"/>
      <c r="G420"/>
      <c r="H420"/>
      <c r="I420"/>
    </row>
    <row r="421" spans="1:9" x14ac:dyDescent="0.25">
      <c r="A421"/>
      <c r="B421"/>
      <c r="C421"/>
      <c r="D421"/>
      <c r="E421"/>
      <c r="F421"/>
      <c r="G421"/>
      <c r="H421"/>
      <c r="I421"/>
    </row>
    <row r="422" spans="1:9" x14ac:dyDescent="0.25">
      <c r="A422"/>
      <c r="B422"/>
      <c r="C422"/>
      <c r="D422"/>
      <c r="E422"/>
      <c r="F422"/>
      <c r="G422"/>
      <c r="H422"/>
      <c r="I422"/>
    </row>
    <row r="423" spans="1:9" x14ac:dyDescent="0.25">
      <c r="A423"/>
      <c r="B423"/>
      <c r="C423"/>
      <c r="D423"/>
      <c r="E423"/>
      <c r="F423"/>
      <c r="G423"/>
      <c r="H423"/>
      <c r="I423"/>
    </row>
    <row r="424" spans="1:9" x14ac:dyDescent="0.25">
      <c r="A424"/>
      <c r="B424"/>
      <c r="C424"/>
      <c r="D424"/>
      <c r="E424"/>
      <c r="F424"/>
      <c r="G424"/>
      <c r="H424"/>
      <c r="I424"/>
    </row>
    <row r="425" spans="1:9" x14ac:dyDescent="0.25">
      <c r="A425"/>
      <c r="B425"/>
      <c r="C425"/>
      <c r="D425"/>
      <c r="E425"/>
      <c r="F425"/>
      <c r="G425"/>
      <c r="H425"/>
      <c r="I425"/>
    </row>
    <row r="426" spans="1:9" x14ac:dyDescent="0.25">
      <c r="A426"/>
      <c r="B426"/>
      <c r="C426"/>
      <c r="D426"/>
      <c r="E426"/>
      <c r="F426"/>
      <c r="G426"/>
      <c r="H426"/>
      <c r="I426"/>
    </row>
    <row r="427" spans="1:9" x14ac:dyDescent="0.25">
      <c r="A427"/>
      <c r="B427"/>
      <c r="C427"/>
      <c r="D427"/>
      <c r="E427"/>
      <c r="F427"/>
      <c r="G427"/>
      <c r="H427"/>
      <c r="I427"/>
    </row>
    <row r="428" spans="1:9" x14ac:dyDescent="0.25">
      <c r="A428"/>
      <c r="B428"/>
      <c r="C428"/>
      <c r="D428"/>
      <c r="E428"/>
      <c r="F428"/>
      <c r="G428"/>
      <c r="H428"/>
      <c r="I428"/>
    </row>
    <row r="429" spans="1:9" x14ac:dyDescent="0.25">
      <c r="A429"/>
      <c r="B429"/>
      <c r="C429"/>
      <c r="D429"/>
      <c r="E429"/>
      <c r="F429"/>
      <c r="G429"/>
      <c r="H429"/>
      <c r="I429"/>
    </row>
    <row r="430" spans="1:9" x14ac:dyDescent="0.25">
      <c r="A430"/>
      <c r="B430"/>
      <c r="C430"/>
      <c r="D430"/>
      <c r="E430"/>
      <c r="F430"/>
      <c r="G430"/>
      <c r="H430"/>
      <c r="I430"/>
    </row>
    <row r="431" spans="1:9" x14ac:dyDescent="0.25">
      <c r="A431"/>
      <c r="B431"/>
      <c r="C431"/>
      <c r="D431"/>
      <c r="E431"/>
      <c r="F431"/>
      <c r="G431"/>
      <c r="H431"/>
      <c r="I431"/>
    </row>
    <row r="432" spans="1:9" x14ac:dyDescent="0.25">
      <c r="A432"/>
      <c r="B432"/>
      <c r="C432"/>
      <c r="D432"/>
      <c r="E432"/>
      <c r="F432"/>
      <c r="G432"/>
      <c r="H432"/>
      <c r="I432"/>
    </row>
    <row r="433" spans="1:9" x14ac:dyDescent="0.25">
      <c r="A433"/>
      <c r="B433"/>
      <c r="C433"/>
      <c r="D433"/>
      <c r="E433"/>
      <c r="F433"/>
      <c r="G433"/>
      <c r="H433"/>
      <c r="I433"/>
    </row>
    <row r="434" spans="1:9" x14ac:dyDescent="0.25">
      <c r="A434"/>
      <c r="B434"/>
      <c r="C434"/>
      <c r="D434"/>
      <c r="E434"/>
      <c r="F434"/>
      <c r="G434"/>
      <c r="H434"/>
      <c r="I434"/>
    </row>
    <row r="435" spans="1:9" x14ac:dyDescent="0.25">
      <c r="A435"/>
      <c r="B435"/>
      <c r="C435"/>
      <c r="D435"/>
      <c r="E435"/>
      <c r="F435"/>
      <c r="G435"/>
      <c r="H435"/>
      <c r="I435"/>
    </row>
    <row r="436" spans="1:9" x14ac:dyDescent="0.25">
      <c r="A436"/>
      <c r="B436"/>
      <c r="C436"/>
      <c r="D436"/>
      <c r="E436"/>
      <c r="F436"/>
      <c r="G436"/>
      <c r="H436"/>
      <c r="I436"/>
    </row>
    <row r="437" spans="1:9" x14ac:dyDescent="0.25">
      <c r="A437"/>
      <c r="B437"/>
      <c r="C437"/>
      <c r="D437"/>
      <c r="E437"/>
      <c r="F437"/>
      <c r="G437"/>
      <c r="H437"/>
      <c r="I437"/>
    </row>
    <row r="438" spans="1:9" x14ac:dyDescent="0.25">
      <c r="A438"/>
      <c r="B438"/>
      <c r="C438"/>
      <c r="D438"/>
      <c r="E438"/>
      <c r="F438"/>
      <c r="G438"/>
      <c r="H438"/>
      <c r="I438"/>
    </row>
    <row r="439" spans="1:9" x14ac:dyDescent="0.25">
      <c r="A439"/>
      <c r="B439"/>
      <c r="C439"/>
      <c r="D439"/>
      <c r="E439"/>
      <c r="F439"/>
      <c r="G439"/>
      <c r="H439"/>
      <c r="I439"/>
    </row>
    <row r="440" spans="1:9" x14ac:dyDescent="0.25">
      <c r="A440"/>
      <c r="B440"/>
      <c r="C440"/>
      <c r="D440"/>
      <c r="E440"/>
      <c r="F440"/>
      <c r="G440"/>
      <c r="H440"/>
      <c r="I440"/>
    </row>
    <row r="441" spans="1:9" x14ac:dyDescent="0.25">
      <c r="A441"/>
      <c r="B441"/>
      <c r="C441"/>
      <c r="D441"/>
      <c r="E441"/>
      <c r="F441"/>
      <c r="G441"/>
      <c r="H441"/>
      <c r="I441"/>
    </row>
    <row r="442" spans="1:9" x14ac:dyDescent="0.25">
      <c r="A442"/>
      <c r="B442"/>
      <c r="C442"/>
      <c r="D442"/>
      <c r="E442"/>
      <c r="F442"/>
      <c r="G442"/>
      <c r="H442"/>
      <c r="I442"/>
    </row>
    <row r="443" spans="1:9" x14ac:dyDescent="0.25">
      <c r="A443"/>
      <c r="B443"/>
      <c r="C443"/>
      <c r="D443"/>
      <c r="E443"/>
      <c r="F443"/>
      <c r="G443"/>
      <c r="H443"/>
      <c r="I443"/>
    </row>
    <row r="444" spans="1:9" x14ac:dyDescent="0.25">
      <c r="A444"/>
      <c r="B444"/>
      <c r="C444"/>
      <c r="D444"/>
      <c r="E444"/>
      <c r="F444"/>
      <c r="G444"/>
      <c r="H444"/>
      <c r="I444"/>
    </row>
    <row r="445" spans="1:9" x14ac:dyDescent="0.25">
      <c r="A445"/>
      <c r="B445"/>
      <c r="C445"/>
      <c r="D445"/>
      <c r="E445"/>
      <c r="F445"/>
      <c r="G445"/>
      <c r="H445"/>
      <c r="I445"/>
    </row>
    <row r="446" spans="1:9" x14ac:dyDescent="0.25">
      <c r="A446"/>
      <c r="B446"/>
      <c r="C446"/>
      <c r="D446"/>
      <c r="E446"/>
      <c r="F446"/>
      <c r="G446"/>
      <c r="H446"/>
      <c r="I446"/>
    </row>
    <row r="447" spans="1:9" x14ac:dyDescent="0.25">
      <c r="A447"/>
      <c r="B447"/>
      <c r="C447"/>
      <c r="D447"/>
      <c r="E447"/>
      <c r="F447"/>
      <c r="G447"/>
      <c r="H447"/>
      <c r="I447"/>
    </row>
    <row r="448" spans="1:9" x14ac:dyDescent="0.25">
      <c r="A448"/>
      <c r="B448"/>
      <c r="C448"/>
      <c r="D448"/>
      <c r="E448"/>
      <c r="F448"/>
      <c r="G448"/>
      <c r="H448"/>
      <c r="I448"/>
    </row>
    <row r="449" spans="1:9" x14ac:dyDescent="0.25">
      <c r="A449"/>
      <c r="B449"/>
      <c r="C449"/>
      <c r="D449"/>
      <c r="E449"/>
      <c r="F449"/>
      <c r="G449"/>
      <c r="H449"/>
      <c r="I449"/>
    </row>
    <row r="450" spans="1:9" x14ac:dyDescent="0.25">
      <c r="A450"/>
      <c r="B450"/>
      <c r="C450"/>
      <c r="D450"/>
      <c r="E450"/>
      <c r="F450"/>
      <c r="G450"/>
      <c r="H450"/>
      <c r="I450"/>
    </row>
    <row r="451" spans="1:9" x14ac:dyDescent="0.25">
      <c r="A451"/>
      <c r="B451"/>
      <c r="C451"/>
      <c r="D451"/>
      <c r="E451"/>
      <c r="F451"/>
      <c r="G451"/>
      <c r="H451"/>
      <c r="I451"/>
    </row>
    <row r="452" spans="1:9" x14ac:dyDescent="0.25">
      <c r="A452"/>
      <c r="B452"/>
      <c r="C452"/>
      <c r="D452"/>
      <c r="E452"/>
      <c r="F452"/>
      <c r="G452"/>
      <c r="H452"/>
      <c r="I452"/>
    </row>
    <row r="453" spans="1:9" x14ac:dyDescent="0.25">
      <c r="A453"/>
      <c r="B453"/>
      <c r="C453"/>
      <c r="D453"/>
      <c r="E453"/>
      <c r="F453"/>
      <c r="G453"/>
      <c r="H453"/>
      <c r="I453"/>
    </row>
    <row r="454" spans="1:9" x14ac:dyDescent="0.25">
      <c r="A454"/>
      <c r="B454"/>
      <c r="C454"/>
      <c r="D454"/>
      <c r="E454"/>
      <c r="F454"/>
      <c r="G454"/>
      <c r="H454"/>
      <c r="I454"/>
    </row>
    <row r="455" spans="1:9" x14ac:dyDescent="0.25">
      <c r="A455"/>
      <c r="B455"/>
      <c r="C455"/>
      <c r="D455"/>
      <c r="E455"/>
      <c r="F455"/>
      <c r="G455"/>
      <c r="H455"/>
      <c r="I455"/>
    </row>
    <row r="456" spans="1:9" x14ac:dyDescent="0.25">
      <c r="A456"/>
      <c r="B456"/>
      <c r="C456"/>
      <c r="D456"/>
      <c r="E456"/>
      <c r="F456"/>
      <c r="G456"/>
      <c r="H456"/>
      <c r="I456"/>
    </row>
    <row r="457" spans="1:9" x14ac:dyDescent="0.25">
      <c r="A457"/>
      <c r="B457"/>
      <c r="C457"/>
      <c r="D457"/>
      <c r="E457"/>
      <c r="F457"/>
      <c r="G457"/>
      <c r="H457"/>
      <c r="I457"/>
    </row>
    <row r="458" spans="1:9" x14ac:dyDescent="0.25">
      <c r="A458"/>
      <c r="B458"/>
      <c r="C458"/>
      <c r="D458"/>
      <c r="E458"/>
      <c r="F458"/>
      <c r="G458"/>
      <c r="H458"/>
      <c r="I458"/>
    </row>
    <row r="459" spans="1:9" x14ac:dyDescent="0.25">
      <c r="A459"/>
      <c r="B459"/>
      <c r="C459"/>
      <c r="D459"/>
      <c r="E459"/>
      <c r="F459"/>
      <c r="G459"/>
      <c r="H459"/>
      <c r="I459"/>
    </row>
    <row r="460" spans="1:9" x14ac:dyDescent="0.25">
      <c r="A460"/>
      <c r="B460"/>
      <c r="C460"/>
      <c r="D460"/>
      <c r="E460"/>
      <c r="F460"/>
      <c r="G460"/>
      <c r="H460"/>
      <c r="I460"/>
    </row>
    <row r="461" spans="1:9" x14ac:dyDescent="0.25">
      <c r="A461"/>
      <c r="B461"/>
      <c r="C461"/>
      <c r="D461"/>
      <c r="E461"/>
      <c r="F461"/>
      <c r="G461"/>
      <c r="H461"/>
      <c r="I461"/>
    </row>
    <row r="462" spans="1:9" x14ac:dyDescent="0.25">
      <c r="A462"/>
      <c r="B462"/>
      <c r="C462"/>
      <c r="D462"/>
      <c r="E462"/>
      <c r="F462"/>
      <c r="G462"/>
      <c r="H462"/>
      <c r="I462"/>
    </row>
    <row r="463" spans="1:9" x14ac:dyDescent="0.25">
      <c r="A463"/>
      <c r="B463"/>
      <c r="C463"/>
      <c r="D463"/>
      <c r="E463"/>
      <c r="F463"/>
      <c r="G463"/>
      <c r="H463"/>
      <c r="I463"/>
    </row>
    <row r="464" spans="1:9" x14ac:dyDescent="0.25">
      <c r="A464"/>
      <c r="B464"/>
      <c r="C464"/>
      <c r="D464"/>
      <c r="E464"/>
      <c r="F464"/>
      <c r="G464"/>
      <c r="H464"/>
      <c r="I464"/>
    </row>
    <row r="465" spans="1:9" x14ac:dyDescent="0.25">
      <c r="A465"/>
      <c r="B465"/>
      <c r="C465"/>
      <c r="D465"/>
      <c r="E465"/>
      <c r="F465"/>
      <c r="G465"/>
      <c r="H465"/>
      <c r="I465"/>
    </row>
    <row r="466" spans="1:9" x14ac:dyDescent="0.25">
      <c r="A466"/>
      <c r="B466"/>
      <c r="C466"/>
      <c r="D466"/>
      <c r="E466"/>
      <c r="F466"/>
      <c r="G466"/>
      <c r="H466"/>
      <c r="I466"/>
    </row>
    <row r="467" spans="1:9" x14ac:dyDescent="0.25">
      <c r="A467"/>
      <c r="B467"/>
      <c r="C467"/>
      <c r="D467"/>
      <c r="E467"/>
      <c r="F467"/>
      <c r="G467"/>
      <c r="H467"/>
      <c r="I467"/>
    </row>
    <row r="468" spans="1:9" x14ac:dyDescent="0.25">
      <c r="A468"/>
      <c r="B468"/>
      <c r="C468"/>
      <c r="D468"/>
      <c r="E468"/>
      <c r="F468"/>
      <c r="G468"/>
      <c r="H468"/>
      <c r="I468"/>
    </row>
    <row r="469" spans="1:9" x14ac:dyDescent="0.25">
      <c r="A469"/>
      <c r="B469"/>
      <c r="C469"/>
      <c r="D469"/>
      <c r="E469"/>
      <c r="F469"/>
      <c r="G469"/>
      <c r="H469"/>
      <c r="I469"/>
    </row>
    <row r="470" spans="1:9" x14ac:dyDescent="0.25">
      <c r="A470"/>
      <c r="B470"/>
      <c r="C470"/>
      <c r="D470"/>
      <c r="E470"/>
      <c r="F470"/>
      <c r="G470"/>
      <c r="H470"/>
      <c r="I470"/>
    </row>
    <row r="471" spans="1:9" x14ac:dyDescent="0.25">
      <c r="A471"/>
      <c r="B471"/>
      <c r="C471"/>
      <c r="D471"/>
      <c r="E471"/>
      <c r="F471"/>
      <c r="G471"/>
      <c r="H471"/>
      <c r="I471"/>
    </row>
    <row r="472" spans="1:9" x14ac:dyDescent="0.25">
      <c r="A472"/>
      <c r="B472"/>
      <c r="C472"/>
      <c r="D472"/>
      <c r="E472"/>
      <c r="F472"/>
      <c r="G472"/>
      <c r="H472"/>
      <c r="I472"/>
    </row>
    <row r="473" spans="1:9" x14ac:dyDescent="0.25">
      <c r="A473"/>
      <c r="B473"/>
      <c r="C473"/>
      <c r="D473"/>
      <c r="E473"/>
      <c r="F473"/>
      <c r="G473"/>
      <c r="H473"/>
      <c r="I473"/>
    </row>
    <row r="474" spans="1:9" x14ac:dyDescent="0.25">
      <c r="A474"/>
      <c r="B474"/>
      <c r="C474"/>
      <c r="D474"/>
      <c r="E474"/>
      <c r="F474"/>
      <c r="G474"/>
      <c r="H474"/>
      <c r="I474"/>
    </row>
    <row r="475" spans="1:9" x14ac:dyDescent="0.25">
      <c r="A475"/>
      <c r="B475"/>
      <c r="C475"/>
      <c r="D475"/>
      <c r="E475"/>
      <c r="F475"/>
      <c r="G475"/>
      <c r="H475"/>
      <c r="I475"/>
    </row>
    <row r="476" spans="1:9" x14ac:dyDescent="0.25">
      <c r="A476"/>
      <c r="B476"/>
      <c r="C476"/>
      <c r="D476"/>
      <c r="E476"/>
      <c r="F476"/>
      <c r="G476"/>
      <c r="H476"/>
      <c r="I476"/>
    </row>
    <row r="477" spans="1:9" x14ac:dyDescent="0.25">
      <c r="A477"/>
      <c r="B477"/>
      <c r="C477"/>
      <c r="D477"/>
      <c r="E477"/>
      <c r="F477"/>
      <c r="G477"/>
      <c r="H477"/>
      <c r="I477"/>
    </row>
    <row r="478" spans="1:9" x14ac:dyDescent="0.25">
      <c r="A478"/>
      <c r="B478"/>
      <c r="C478"/>
      <c r="D478"/>
      <c r="E478"/>
      <c r="F478"/>
      <c r="G478"/>
      <c r="H478"/>
      <c r="I478"/>
    </row>
    <row r="479" spans="1:9" x14ac:dyDescent="0.25">
      <c r="A479"/>
      <c r="B479"/>
      <c r="C479"/>
      <c r="D479"/>
      <c r="E479"/>
      <c r="F479"/>
      <c r="G479"/>
      <c r="H479"/>
      <c r="I479"/>
    </row>
    <row r="480" spans="1:9" x14ac:dyDescent="0.25">
      <c r="A480"/>
      <c r="B480"/>
      <c r="C480"/>
      <c r="D480"/>
      <c r="E480"/>
      <c r="F480"/>
      <c r="G480"/>
      <c r="H480"/>
      <c r="I480"/>
    </row>
    <row r="481" spans="1:9" x14ac:dyDescent="0.25">
      <c r="A481"/>
      <c r="B481"/>
      <c r="C481"/>
      <c r="D481"/>
      <c r="E481"/>
      <c r="F481"/>
      <c r="G481"/>
      <c r="H481"/>
      <c r="I481"/>
    </row>
    <row r="482" spans="1:9" x14ac:dyDescent="0.25">
      <c r="A482"/>
      <c r="B482"/>
      <c r="C482"/>
      <c r="D482"/>
      <c r="E482"/>
      <c r="F482"/>
      <c r="G482"/>
      <c r="H482"/>
      <c r="I482"/>
    </row>
    <row r="483" spans="1:9" x14ac:dyDescent="0.25">
      <c r="A483"/>
      <c r="B483"/>
      <c r="C483"/>
      <c r="D483"/>
      <c r="E483"/>
      <c r="F483"/>
      <c r="G483"/>
      <c r="H483"/>
      <c r="I483"/>
    </row>
    <row r="484" spans="1:9" x14ac:dyDescent="0.25">
      <c r="A484"/>
      <c r="B484"/>
      <c r="C484"/>
      <c r="D484"/>
      <c r="E484"/>
      <c r="F484"/>
      <c r="G484"/>
      <c r="H484"/>
      <c r="I484"/>
    </row>
    <row r="485" spans="1:9" x14ac:dyDescent="0.25">
      <c r="A485"/>
      <c r="B485"/>
      <c r="C485"/>
      <c r="D485"/>
      <c r="E485"/>
      <c r="F485"/>
      <c r="G485"/>
      <c r="H485"/>
      <c r="I485"/>
    </row>
    <row r="486" spans="1:9" x14ac:dyDescent="0.25">
      <c r="A486"/>
      <c r="B486"/>
      <c r="C486"/>
      <c r="D486"/>
      <c r="E486"/>
      <c r="F486"/>
      <c r="G486"/>
      <c r="H486"/>
      <c r="I486"/>
    </row>
    <row r="487" spans="1:9" x14ac:dyDescent="0.25">
      <c r="A487"/>
      <c r="B487"/>
      <c r="C487"/>
      <c r="D487"/>
      <c r="E487"/>
      <c r="F487"/>
      <c r="G487"/>
      <c r="H487"/>
      <c r="I487"/>
    </row>
    <row r="488" spans="1:9" x14ac:dyDescent="0.25">
      <c r="A488"/>
      <c r="B488"/>
      <c r="C488"/>
      <c r="D488"/>
      <c r="E488"/>
      <c r="F488"/>
      <c r="G488"/>
      <c r="H488"/>
      <c r="I488"/>
    </row>
    <row r="489" spans="1:9" x14ac:dyDescent="0.25">
      <c r="A489"/>
      <c r="B489"/>
      <c r="C489"/>
      <c r="D489"/>
      <c r="E489"/>
      <c r="F489"/>
      <c r="G489"/>
      <c r="H489"/>
      <c r="I489"/>
    </row>
    <row r="490" spans="1:9" x14ac:dyDescent="0.25">
      <c r="A490"/>
      <c r="B490"/>
      <c r="C490"/>
      <c r="D490"/>
      <c r="E490"/>
      <c r="F490"/>
      <c r="G490"/>
      <c r="H490"/>
      <c r="I490"/>
    </row>
    <row r="491" spans="1:9" x14ac:dyDescent="0.25">
      <c r="A491"/>
      <c r="B491"/>
      <c r="C491"/>
      <c r="D491"/>
      <c r="E491"/>
      <c r="F491"/>
      <c r="G491"/>
      <c r="H491"/>
      <c r="I491"/>
    </row>
    <row r="492" spans="1:9" x14ac:dyDescent="0.25">
      <c r="A492"/>
      <c r="B492"/>
      <c r="C492"/>
      <c r="D492"/>
      <c r="E492"/>
      <c r="F492"/>
      <c r="G492"/>
      <c r="H492"/>
      <c r="I492"/>
    </row>
    <row r="493" spans="1:9" x14ac:dyDescent="0.25">
      <c r="A493"/>
      <c r="B493"/>
      <c r="C493"/>
      <c r="D493"/>
      <c r="E493"/>
      <c r="F493"/>
      <c r="G493"/>
      <c r="H493"/>
      <c r="I493"/>
    </row>
    <row r="494" spans="1:9" x14ac:dyDescent="0.25">
      <c r="A494"/>
      <c r="B494"/>
      <c r="C494"/>
      <c r="D494"/>
      <c r="E494"/>
      <c r="F494"/>
      <c r="G494"/>
      <c r="H494"/>
      <c r="I494"/>
    </row>
    <row r="495" spans="1:9" x14ac:dyDescent="0.25">
      <c r="A495"/>
      <c r="B495"/>
      <c r="C495"/>
      <c r="D495"/>
      <c r="E495"/>
      <c r="F495"/>
      <c r="G495"/>
      <c r="H495"/>
      <c r="I495"/>
    </row>
    <row r="496" spans="1:9" x14ac:dyDescent="0.25">
      <c r="A496"/>
      <c r="B496"/>
      <c r="C496"/>
      <c r="D496"/>
      <c r="E496"/>
      <c r="F496"/>
      <c r="G496"/>
      <c r="H496"/>
      <c r="I496"/>
    </row>
    <row r="497" spans="1:9" x14ac:dyDescent="0.25">
      <c r="A497"/>
      <c r="B497"/>
      <c r="C497"/>
      <c r="D497"/>
      <c r="E497"/>
      <c r="F497"/>
      <c r="G497"/>
      <c r="H497"/>
      <c r="I497"/>
    </row>
    <row r="498" spans="1:9" x14ac:dyDescent="0.25">
      <c r="A498"/>
      <c r="B498"/>
      <c r="C498"/>
      <c r="D498"/>
      <c r="E498"/>
      <c r="F498"/>
      <c r="G498"/>
      <c r="H498"/>
      <c r="I498"/>
    </row>
    <row r="499" spans="1:9" x14ac:dyDescent="0.25">
      <c r="A499"/>
      <c r="B499"/>
      <c r="C499"/>
      <c r="D499"/>
      <c r="E499"/>
      <c r="F499"/>
      <c r="G499"/>
      <c r="H499"/>
      <c r="I499"/>
    </row>
    <row r="500" spans="1:9" x14ac:dyDescent="0.25">
      <c r="A500"/>
      <c r="B500"/>
      <c r="C500"/>
      <c r="D500"/>
      <c r="E500"/>
      <c r="F500"/>
      <c r="G500"/>
      <c r="H500"/>
      <c r="I500"/>
    </row>
    <row r="501" spans="1:9" x14ac:dyDescent="0.25">
      <c r="A501"/>
      <c r="B501"/>
      <c r="C501"/>
      <c r="D501"/>
      <c r="E501"/>
      <c r="F501"/>
      <c r="G501"/>
      <c r="H501"/>
      <c r="I501"/>
    </row>
    <row r="502" spans="1:9" x14ac:dyDescent="0.25">
      <c r="A502"/>
      <c r="B502"/>
      <c r="C502"/>
      <c r="D502"/>
      <c r="E502"/>
      <c r="F502"/>
      <c r="G502"/>
      <c r="H502"/>
      <c r="I502"/>
    </row>
    <row r="503" spans="1:9" x14ac:dyDescent="0.25">
      <c r="A503"/>
      <c r="B503"/>
      <c r="C503"/>
      <c r="D503"/>
      <c r="E503"/>
      <c r="F503"/>
      <c r="G503"/>
      <c r="H503"/>
      <c r="I503"/>
    </row>
    <row r="504" spans="1:9" x14ac:dyDescent="0.25">
      <c r="A504"/>
      <c r="B504"/>
      <c r="C504"/>
      <c r="D504"/>
      <c r="E504"/>
      <c r="F504"/>
      <c r="G504"/>
      <c r="H504"/>
      <c r="I504"/>
    </row>
    <row r="505" spans="1:9" x14ac:dyDescent="0.25">
      <c r="A505"/>
      <c r="B505"/>
      <c r="C505"/>
      <c r="D505"/>
      <c r="E505"/>
      <c r="F505"/>
      <c r="G505"/>
      <c r="H505"/>
      <c r="I505"/>
    </row>
    <row r="506" spans="1:9" x14ac:dyDescent="0.25">
      <c r="A506"/>
      <c r="B506"/>
      <c r="C506"/>
      <c r="D506"/>
      <c r="E506"/>
      <c r="F506"/>
      <c r="G506"/>
      <c r="H506"/>
      <c r="I506"/>
    </row>
    <row r="507" spans="1:9" x14ac:dyDescent="0.25">
      <c r="A507"/>
      <c r="B507"/>
      <c r="C507"/>
      <c r="D507"/>
      <c r="E507"/>
      <c r="F507"/>
      <c r="G507"/>
      <c r="H507"/>
      <c r="I507"/>
    </row>
    <row r="508" spans="1:9" x14ac:dyDescent="0.25">
      <c r="A508"/>
      <c r="B508"/>
      <c r="C508"/>
      <c r="D508"/>
      <c r="E508"/>
      <c r="F508"/>
      <c r="G508"/>
      <c r="H508"/>
      <c r="I508"/>
    </row>
    <row r="509" spans="1:9" x14ac:dyDescent="0.25">
      <c r="A509"/>
      <c r="B509"/>
      <c r="C509"/>
      <c r="D509"/>
      <c r="E509"/>
      <c r="F509"/>
      <c r="G509"/>
      <c r="H509"/>
      <c r="I509"/>
    </row>
    <row r="510" spans="1:9" x14ac:dyDescent="0.25">
      <c r="A510"/>
      <c r="B510"/>
      <c r="C510"/>
      <c r="D510"/>
      <c r="E510"/>
      <c r="F510"/>
      <c r="G510"/>
      <c r="H510"/>
      <c r="I510"/>
    </row>
    <row r="511" spans="1:9" x14ac:dyDescent="0.25">
      <c r="A511"/>
      <c r="B511"/>
      <c r="C511"/>
      <c r="D511"/>
      <c r="E511"/>
      <c r="F511"/>
      <c r="G511"/>
      <c r="H511"/>
      <c r="I511"/>
    </row>
    <row r="512" spans="1:9" x14ac:dyDescent="0.25">
      <c r="A512"/>
      <c r="B512"/>
      <c r="C512"/>
      <c r="D512"/>
      <c r="E512"/>
      <c r="F512"/>
      <c r="G512"/>
      <c r="H512"/>
      <c r="I512"/>
    </row>
    <row r="513" spans="1:9" x14ac:dyDescent="0.25">
      <c r="A513"/>
      <c r="B513"/>
      <c r="C513"/>
      <c r="D513"/>
      <c r="E513"/>
      <c r="F513"/>
      <c r="G513"/>
      <c r="H513"/>
      <c r="I513"/>
    </row>
    <row r="514" spans="1:9" x14ac:dyDescent="0.25">
      <c r="A514"/>
      <c r="B514"/>
      <c r="C514"/>
      <c r="D514"/>
      <c r="E514"/>
      <c r="F514"/>
      <c r="G514"/>
      <c r="H514"/>
      <c r="I514"/>
    </row>
    <row r="515" spans="1:9" x14ac:dyDescent="0.25">
      <c r="A515"/>
      <c r="B515"/>
      <c r="C515"/>
      <c r="D515"/>
      <c r="E515"/>
      <c r="F515"/>
      <c r="G515"/>
      <c r="H515"/>
      <c r="I515"/>
    </row>
    <row r="516" spans="1:9" x14ac:dyDescent="0.25">
      <c r="A516"/>
      <c r="B516"/>
      <c r="C516"/>
      <c r="D516"/>
      <c r="E516"/>
      <c r="F516"/>
      <c r="G516"/>
      <c r="H516"/>
      <c r="I516"/>
    </row>
    <row r="517" spans="1:9" x14ac:dyDescent="0.25">
      <c r="A517"/>
      <c r="B517"/>
      <c r="C517"/>
      <c r="D517"/>
      <c r="E517"/>
      <c r="F517"/>
      <c r="G517"/>
      <c r="H517"/>
      <c r="I517"/>
    </row>
    <row r="518" spans="1:9" x14ac:dyDescent="0.25">
      <c r="A518"/>
      <c r="B518"/>
      <c r="C518"/>
      <c r="D518"/>
      <c r="E518"/>
      <c r="F518"/>
      <c r="G518"/>
      <c r="H518"/>
      <c r="I518"/>
    </row>
    <row r="519" spans="1:9" x14ac:dyDescent="0.25">
      <c r="A519"/>
      <c r="B519"/>
      <c r="C519"/>
      <c r="D519"/>
      <c r="E519"/>
      <c r="F519"/>
      <c r="G519"/>
      <c r="H519"/>
      <c r="I519"/>
    </row>
    <row r="520" spans="1:9" x14ac:dyDescent="0.25">
      <c r="A520"/>
      <c r="B520"/>
      <c r="C520"/>
      <c r="D520"/>
      <c r="E520"/>
      <c r="F520"/>
      <c r="G520"/>
      <c r="H520"/>
      <c r="I520"/>
    </row>
    <row r="521" spans="1:9" x14ac:dyDescent="0.25">
      <c r="A521"/>
      <c r="B521"/>
      <c r="C521"/>
      <c r="D521"/>
      <c r="E521"/>
      <c r="F521"/>
      <c r="G521"/>
      <c r="H521"/>
      <c r="I521"/>
    </row>
    <row r="522" spans="1:9" x14ac:dyDescent="0.25">
      <c r="A522"/>
      <c r="B522"/>
      <c r="C522"/>
      <c r="D522"/>
      <c r="E522"/>
      <c r="F522"/>
      <c r="G522"/>
      <c r="H522"/>
      <c r="I522"/>
    </row>
    <row r="523" spans="1:9" x14ac:dyDescent="0.25">
      <c r="A523"/>
      <c r="B523"/>
      <c r="C523"/>
      <c r="D523"/>
      <c r="E523"/>
      <c r="F523"/>
      <c r="G523"/>
      <c r="H523"/>
      <c r="I523"/>
    </row>
    <row r="524" spans="1:9" x14ac:dyDescent="0.25">
      <c r="A524"/>
      <c r="B524"/>
      <c r="C524"/>
      <c r="D524"/>
      <c r="E524"/>
      <c r="F524"/>
      <c r="G524"/>
      <c r="H524"/>
      <c r="I524"/>
    </row>
    <row r="525" spans="1:9" x14ac:dyDescent="0.25">
      <c r="A525"/>
      <c r="B525"/>
      <c r="C525"/>
      <c r="D525"/>
      <c r="E525"/>
      <c r="F525"/>
      <c r="G525"/>
      <c r="H525"/>
      <c r="I525"/>
    </row>
    <row r="526" spans="1:9" x14ac:dyDescent="0.25">
      <c r="A526"/>
      <c r="B526"/>
      <c r="C526"/>
      <c r="D526"/>
      <c r="E526"/>
      <c r="F526"/>
      <c r="G526"/>
      <c r="H526"/>
      <c r="I526"/>
    </row>
    <row r="527" spans="1:9" x14ac:dyDescent="0.25">
      <c r="A527"/>
      <c r="B527"/>
      <c r="C527"/>
      <c r="D527"/>
      <c r="E527"/>
      <c r="F527"/>
      <c r="G527"/>
      <c r="H527"/>
      <c r="I527"/>
    </row>
    <row r="528" spans="1:9" x14ac:dyDescent="0.25">
      <c r="A528"/>
      <c r="B528"/>
      <c r="C528"/>
      <c r="D528"/>
      <c r="E528"/>
      <c r="F528"/>
      <c r="G528"/>
      <c r="H528"/>
      <c r="I528"/>
    </row>
    <row r="529" spans="1:9" x14ac:dyDescent="0.25">
      <c r="A529"/>
      <c r="B529"/>
      <c r="C529"/>
      <c r="D529"/>
      <c r="E529"/>
      <c r="F529"/>
      <c r="G529"/>
      <c r="H529"/>
      <c r="I529"/>
    </row>
    <row r="530" spans="1:9" x14ac:dyDescent="0.25">
      <c r="A530"/>
      <c r="B530"/>
      <c r="C530"/>
      <c r="D530"/>
      <c r="E530"/>
      <c r="F530"/>
      <c r="G530"/>
      <c r="H530"/>
      <c r="I530"/>
    </row>
    <row r="531" spans="1:9" x14ac:dyDescent="0.25">
      <c r="A531"/>
      <c r="B531"/>
      <c r="C531"/>
      <c r="D531"/>
      <c r="E531"/>
      <c r="F531"/>
      <c r="G531"/>
      <c r="H531"/>
      <c r="I531"/>
    </row>
    <row r="532" spans="1:9" x14ac:dyDescent="0.25">
      <c r="A532"/>
      <c r="B532"/>
      <c r="C532"/>
      <c r="D532"/>
      <c r="E532"/>
      <c r="F532"/>
      <c r="G532"/>
      <c r="H532"/>
      <c r="I532"/>
    </row>
    <row r="533" spans="1:9" x14ac:dyDescent="0.25">
      <c r="A533"/>
      <c r="B533"/>
      <c r="C533"/>
      <c r="D533"/>
      <c r="E533"/>
      <c r="F533"/>
      <c r="G533"/>
      <c r="H533"/>
      <c r="I533"/>
    </row>
    <row r="534" spans="1:9" x14ac:dyDescent="0.25">
      <c r="A534"/>
      <c r="B534"/>
      <c r="C534"/>
      <c r="D534"/>
      <c r="E534"/>
      <c r="F534"/>
      <c r="G534"/>
      <c r="H534"/>
      <c r="I534"/>
    </row>
    <row r="535" spans="1:9" x14ac:dyDescent="0.25">
      <c r="A535"/>
      <c r="B535"/>
      <c r="C535"/>
      <c r="D535"/>
      <c r="E535"/>
      <c r="F535"/>
      <c r="G535"/>
      <c r="H535"/>
      <c r="I535"/>
    </row>
    <row r="536" spans="1:9" x14ac:dyDescent="0.25">
      <c r="A536"/>
      <c r="B536"/>
      <c r="C536"/>
      <c r="D536"/>
      <c r="E536"/>
      <c r="F536"/>
      <c r="G536"/>
      <c r="H536"/>
      <c r="I536"/>
    </row>
    <row r="537" spans="1:9" x14ac:dyDescent="0.25">
      <c r="A537"/>
      <c r="B537"/>
      <c r="C537"/>
      <c r="D537"/>
      <c r="E537"/>
      <c r="F537"/>
      <c r="G537"/>
      <c r="H537"/>
      <c r="I537"/>
    </row>
    <row r="538" spans="1:9" x14ac:dyDescent="0.25">
      <c r="A538"/>
      <c r="B538"/>
      <c r="C538"/>
      <c r="D538"/>
      <c r="E538"/>
      <c r="F538"/>
      <c r="G538"/>
      <c r="H538"/>
      <c r="I538"/>
    </row>
    <row r="539" spans="1:9" x14ac:dyDescent="0.25">
      <c r="A539"/>
      <c r="B539"/>
      <c r="C539"/>
      <c r="D539"/>
      <c r="E539"/>
      <c r="F539"/>
      <c r="G539"/>
      <c r="H539"/>
      <c r="I539"/>
    </row>
    <row r="540" spans="1:9" x14ac:dyDescent="0.25">
      <c r="A540"/>
      <c r="B540"/>
      <c r="C540"/>
      <c r="D540"/>
      <c r="E540"/>
      <c r="F540"/>
      <c r="G540"/>
      <c r="H540"/>
      <c r="I540"/>
    </row>
    <row r="541" spans="1:9" x14ac:dyDescent="0.25">
      <c r="A541"/>
      <c r="B541"/>
      <c r="C541"/>
      <c r="D541"/>
      <c r="E541"/>
      <c r="F541"/>
      <c r="G541"/>
      <c r="H541"/>
      <c r="I541"/>
    </row>
    <row r="542" spans="1:9" x14ac:dyDescent="0.25">
      <c r="A542"/>
      <c r="B542"/>
      <c r="C542"/>
      <c r="D542"/>
      <c r="E542"/>
      <c r="F542"/>
      <c r="G542"/>
      <c r="H542"/>
      <c r="I542"/>
    </row>
    <row r="543" spans="1:9" x14ac:dyDescent="0.25">
      <c r="A543"/>
      <c r="B543"/>
      <c r="C543"/>
      <c r="D543"/>
      <c r="E543"/>
      <c r="F543"/>
      <c r="G543"/>
      <c r="H543"/>
      <c r="I543"/>
    </row>
    <row r="544" spans="1:9" x14ac:dyDescent="0.25">
      <c r="A544"/>
      <c r="B544"/>
      <c r="C544"/>
      <c r="D544"/>
      <c r="E544"/>
      <c r="F544"/>
      <c r="G544"/>
      <c r="H544"/>
      <c r="I544"/>
    </row>
    <row r="545" spans="1:9" x14ac:dyDescent="0.25">
      <c r="A545"/>
      <c r="B545"/>
      <c r="C545"/>
      <c r="D545"/>
      <c r="E545"/>
      <c r="F545"/>
      <c r="G545"/>
      <c r="H545"/>
      <c r="I545"/>
    </row>
    <row r="546" spans="1:9" x14ac:dyDescent="0.25">
      <c r="A546"/>
      <c r="B546"/>
      <c r="C546"/>
      <c r="D546"/>
      <c r="E546"/>
      <c r="F546"/>
      <c r="G546"/>
      <c r="H546"/>
      <c r="I546"/>
    </row>
    <row r="547" spans="1:9" x14ac:dyDescent="0.25">
      <c r="A547"/>
      <c r="B547"/>
      <c r="C547"/>
      <c r="D547"/>
      <c r="E547"/>
      <c r="F547"/>
      <c r="G547"/>
      <c r="H547"/>
      <c r="I547"/>
    </row>
    <row r="548" spans="1:9" x14ac:dyDescent="0.25">
      <c r="A548"/>
      <c r="B548"/>
      <c r="C548"/>
      <c r="D548"/>
      <c r="E548"/>
      <c r="F548"/>
      <c r="G548"/>
      <c r="H548"/>
      <c r="I548"/>
    </row>
    <row r="549" spans="1:9" x14ac:dyDescent="0.25">
      <c r="A549"/>
      <c r="B549"/>
      <c r="C549"/>
      <c r="D549"/>
      <c r="E549"/>
      <c r="F549"/>
      <c r="G549"/>
      <c r="H549"/>
      <c r="I549"/>
    </row>
    <row r="550" spans="1:9" x14ac:dyDescent="0.25">
      <c r="A550"/>
      <c r="B550"/>
      <c r="C550"/>
      <c r="D550"/>
      <c r="E550"/>
      <c r="F550"/>
      <c r="G550"/>
      <c r="H550"/>
      <c r="I550"/>
    </row>
    <row r="551" spans="1:9" x14ac:dyDescent="0.25">
      <c r="A551"/>
      <c r="B551"/>
      <c r="C551"/>
      <c r="D551"/>
      <c r="E551"/>
      <c r="F551"/>
      <c r="G551"/>
      <c r="H551"/>
      <c r="I551"/>
    </row>
    <row r="552" spans="1:9" x14ac:dyDescent="0.25">
      <c r="A552"/>
      <c r="B552"/>
      <c r="C552"/>
      <c r="D552"/>
      <c r="E552"/>
      <c r="F552"/>
      <c r="G552"/>
      <c r="H552"/>
      <c r="I552"/>
    </row>
    <row r="553" spans="1:9" x14ac:dyDescent="0.25">
      <c r="A553"/>
      <c r="B553"/>
      <c r="C553"/>
      <c r="D553"/>
      <c r="E553"/>
      <c r="F553"/>
      <c r="G553"/>
      <c r="H553"/>
      <c r="I553"/>
    </row>
    <row r="554" spans="1:9" x14ac:dyDescent="0.25">
      <c r="A554"/>
      <c r="B554"/>
      <c r="C554"/>
      <c r="D554"/>
      <c r="E554"/>
      <c r="F554"/>
      <c r="G554"/>
      <c r="H554"/>
      <c r="I554"/>
    </row>
    <row r="555" spans="1:9" x14ac:dyDescent="0.25">
      <c r="A555"/>
      <c r="B555"/>
      <c r="C555"/>
      <c r="D555"/>
      <c r="E555"/>
      <c r="F555"/>
      <c r="G555"/>
      <c r="H555"/>
      <c r="I555"/>
    </row>
    <row r="556" spans="1:9" x14ac:dyDescent="0.25">
      <c r="A556"/>
      <c r="B556"/>
      <c r="C556"/>
      <c r="D556"/>
      <c r="E556"/>
      <c r="F556"/>
      <c r="G556"/>
      <c r="H556"/>
      <c r="I556"/>
    </row>
    <row r="557" spans="1:9" x14ac:dyDescent="0.25">
      <c r="A557"/>
      <c r="B557"/>
      <c r="C557"/>
      <c r="D557"/>
      <c r="E557"/>
      <c r="F557"/>
      <c r="G557"/>
      <c r="H557"/>
      <c r="I557"/>
    </row>
    <row r="558" spans="1:9" x14ac:dyDescent="0.25">
      <c r="A558"/>
      <c r="B558"/>
      <c r="C558"/>
      <c r="D558"/>
      <c r="E558"/>
      <c r="F558"/>
      <c r="G558"/>
      <c r="H558"/>
      <c r="I558"/>
    </row>
    <row r="559" spans="1:9" x14ac:dyDescent="0.25">
      <c r="A559"/>
      <c r="B559"/>
      <c r="C559"/>
      <c r="D559"/>
      <c r="E559"/>
      <c r="F559"/>
      <c r="G559"/>
      <c r="H559"/>
      <c r="I559"/>
    </row>
    <row r="560" spans="1:9" x14ac:dyDescent="0.25">
      <c r="A560"/>
      <c r="B560"/>
      <c r="C560"/>
      <c r="D560"/>
      <c r="E560"/>
      <c r="F560"/>
      <c r="G560"/>
      <c r="H560"/>
      <c r="I560"/>
    </row>
    <row r="561" spans="1:9" x14ac:dyDescent="0.25">
      <c r="A561"/>
      <c r="B561"/>
      <c r="C561"/>
      <c r="D561"/>
      <c r="E561"/>
      <c r="F561"/>
      <c r="G561"/>
      <c r="H561"/>
      <c r="I561"/>
    </row>
    <row r="562" spans="1:9" x14ac:dyDescent="0.25">
      <c r="A562"/>
      <c r="B562"/>
      <c r="C562"/>
      <c r="D562"/>
      <c r="E562"/>
      <c r="F562"/>
      <c r="G562"/>
      <c r="H562"/>
      <c r="I562"/>
    </row>
    <row r="563" spans="1:9" x14ac:dyDescent="0.25">
      <c r="A563"/>
      <c r="B563"/>
      <c r="C563"/>
      <c r="D563"/>
      <c r="E563"/>
      <c r="F563"/>
      <c r="G563"/>
      <c r="H563"/>
      <c r="I563"/>
    </row>
    <row r="564" spans="1:9" x14ac:dyDescent="0.25">
      <c r="A564"/>
      <c r="B564"/>
      <c r="C564"/>
      <c r="D564"/>
      <c r="E564"/>
      <c r="F564"/>
      <c r="G564"/>
      <c r="H564"/>
      <c r="I564"/>
    </row>
    <row r="565" spans="1:9" x14ac:dyDescent="0.25">
      <c r="A565"/>
      <c r="B565"/>
      <c r="C565"/>
      <c r="D565"/>
      <c r="E565"/>
      <c r="F565"/>
      <c r="G565"/>
      <c r="H565"/>
      <c r="I565"/>
    </row>
    <row r="566" spans="1:9" x14ac:dyDescent="0.25">
      <c r="A566"/>
      <c r="B566"/>
      <c r="C566"/>
      <c r="D566"/>
      <c r="E566"/>
      <c r="F566"/>
      <c r="G566"/>
      <c r="H566"/>
      <c r="I566"/>
    </row>
    <row r="567" spans="1:9" x14ac:dyDescent="0.25">
      <c r="A567"/>
      <c r="B567"/>
      <c r="C567"/>
      <c r="D567"/>
      <c r="E567"/>
      <c r="F567"/>
      <c r="G567"/>
      <c r="H567"/>
      <c r="I567"/>
    </row>
    <row r="568" spans="1:9" x14ac:dyDescent="0.25">
      <c r="A568"/>
      <c r="B568"/>
      <c r="C568"/>
      <c r="D568"/>
      <c r="E568"/>
      <c r="F568"/>
      <c r="G568"/>
      <c r="H568"/>
      <c r="I568"/>
    </row>
    <row r="569" spans="1:9" x14ac:dyDescent="0.25">
      <c r="A569"/>
      <c r="B569"/>
      <c r="C569"/>
      <c r="D569"/>
      <c r="E569"/>
      <c r="F569"/>
      <c r="G569"/>
      <c r="H569"/>
      <c r="I569"/>
    </row>
    <row r="570" spans="1:9" x14ac:dyDescent="0.25">
      <c r="A570"/>
      <c r="B570"/>
      <c r="C570"/>
      <c r="D570"/>
      <c r="E570"/>
      <c r="F570"/>
      <c r="G570"/>
      <c r="H570"/>
      <c r="I570"/>
    </row>
    <row r="571" spans="1:9" x14ac:dyDescent="0.25">
      <c r="A571"/>
      <c r="B571"/>
      <c r="C571"/>
      <c r="D571"/>
      <c r="E571"/>
      <c r="F571"/>
      <c r="G571"/>
      <c r="H571"/>
      <c r="I571"/>
    </row>
    <row r="572" spans="1:9" x14ac:dyDescent="0.25">
      <c r="A572"/>
      <c r="B572"/>
      <c r="C572"/>
      <c r="D572"/>
      <c r="E572"/>
      <c r="F572"/>
      <c r="G572"/>
      <c r="H572"/>
      <c r="I572"/>
    </row>
    <row r="573" spans="1:9" x14ac:dyDescent="0.25">
      <c r="A573"/>
      <c r="B573"/>
      <c r="C573"/>
      <c r="D573"/>
      <c r="E573"/>
      <c r="F573"/>
      <c r="G573"/>
      <c r="H573"/>
      <c r="I573"/>
    </row>
    <row r="574" spans="1:9" x14ac:dyDescent="0.25">
      <c r="A574"/>
      <c r="B574"/>
      <c r="C574"/>
      <c r="D574"/>
      <c r="E574"/>
      <c r="F574"/>
      <c r="G574"/>
      <c r="H574"/>
      <c r="I574"/>
    </row>
    <row r="575" spans="1:9" x14ac:dyDescent="0.25">
      <c r="A575"/>
      <c r="B575"/>
      <c r="C575"/>
      <c r="D575"/>
      <c r="E575"/>
      <c r="F575"/>
      <c r="G575"/>
      <c r="H575"/>
      <c r="I575"/>
    </row>
    <row r="576" spans="1:9" x14ac:dyDescent="0.25">
      <c r="A576"/>
      <c r="B576"/>
      <c r="C576"/>
      <c r="D576"/>
      <c r="E576"/>
      <c r="F576"/>
      <c r="G576"/>
      <c r="H576"/>
      <c r="I576"/>
    </row>
    <row r="577" spans="1:9" x14ac:dyDescent="0.25">
      <c r="A577"/>
      <c r="B577"/>
      <c r="C577"/>
      <c r="D577"/>
      <c r="E577"/>
      <c r="F577"/>
      <c r="G577"/>
      <c r="H577"/>
      <c r="I577"/>
    </row>
    <row r="578" spans="1:9" x14ac:dyDescent="0.25">
      <c r="A578"/>
      <c r="B578"/>
      <c r="C578"/>
      <c r="D578"/>
      <c r="E578"/>
      <c r="F578"/>
      <c r="G578"/>
      <c r="H578"/>
      <c r="I578"/>
    </row>
    <row r="579" spans="1:9" x14ac:dyDescent="0.25">
      <c r="A579"/>
      <c r="B579"/>
      <c r="C579"/>
      <c r="D579"/>
      <c r="E579"/>
      <c r="F579"/>
      <c r="G579"/>
      <c r="H579"/>
      <c r="I579"/>
    </row>
    <row r="580" spans="1:9" x14ac:dyDescent="0.25">
      <c r="A580"/>
      <c r="B580"/>
      <c r="C580"/>
      <c r="D580"/>
      <c r="E580"/>
      <c r="F580"/>
      <c r="G580"/>
      <c r="H580"/>
      <c r="I580"/>
    </row>
    <row r="581" spans="1:9" x14ac:dyDescent="0.25">
      <c r="A581"/>
      <c r="B581"/>
      <c r="C581"/>
      <c r="D581"/>
      <c r="E581"/>
      <c r="F581"/>
      <c r="G581"/>
      <c r="H581"/>
      <c r="I581"/>
    </row>
    <row r="582" spans="1:9" x14ac:dyDescent="0.25">
      <c r="A582"/>
      <c r="B582"/>
      <c r="C582"/>
      <c r="D582"/>
      <c r="E582"/>
      <c r="F582"/>
      <c r="G582"/>
      <c r="H582"/>
      <c r="I582"/>
    </row>
    <row r="583" spans="1:9" x14ac:dyDescent="0.25">
      <c r="A583"/>
      <c r="B583"/>
      <c r="C583"/>
      <c r="D583"/>
      <c r="E583"/>
      <c r="F583"/>
      <c r="G583"/>
      <c r="H583"/>
      <c r="I583"/>
    </row>
    <row r="584" spans="1:9" x14ac:dyDescent="0.25">
      <c r="A584"/>
      <c r="B584"/>
      <c r="C584"/>
      <c r="D584"/>
      <c r="E584"/>
      <c r="F584"/>
      <c r="G584"/>
      <c r="H584"/>
      <c r="I584"/>
    </row>
    <row r="585" spans="1:9" x14ac:dyDescent="0.25">
      <c r="A585"/>
      <c r="B585"/>
      <c r="C585"/>
      <c r="D585"/>
      <c r="E585"/>
      <c r="F585"/>
      <c r="G585"/>
      <c r="H585"/>
      <c r="I585"/>
    </row>
    <row r="586" spans="1:9" x14ac:dyDescent="0.25">
      <c r="A586"/>
      <c r="B586"/>
      <c r="C586"/>
      <c r="D586"/>
      <c r="E586"/>
      <c r="F586"/>
      <c r="G586"/>
      <c r="H586"/>
      <c r="I586"/>
    </row>
    <row r="587" spans="1:9" x14ac:dyDescent="0.25">
      <c r="A587"/>
      <c r="B587"/>
      <c r="C587"/>
      <c r="D587"/>
      <c r="E587"/>
      <c r="F587"/>
      <c r="G587"/>
      <c r="H587"/>
      <c r="I587"/>
    </row>
    <row r="588" spans="1:9" x14ac:dyDescent="0.25">
      <c r="A588"/>
      <c r="B588"/>
      <c r="C588"/>
      <c r="D588"/>
      <c r="E588"/>
      <c r="F588"/>
      <c r="G588"/>
      <c r="H588"/>
      <c r="I588"/>
    </row>
    <row r="589" spans="1:9" x14ac:dyDescent="0.25">
      <c r="A589"/>
      <c r="B589"/>
      <c r="C589"/>
      <c r="D589"/>
      <c r="E589"/>
      <c r="F589"/>
      <c r="G589"/>
      <c r="H589"/>
      <c r="I589"/>
    </row>
    <row r="590" spans="1:9" x14ac:dyDescent="0.25">
      <c r="A590"/>
      <c r="B590"/>
      <c r="C590"/>
      <c r="D590"/>
      <c r="E590"/>
      <c r="F590"/>
      <c r="G590"/>
      <c r="H590"/>
      <c r="I590"/>
    </row>
    <row r="591" spans="1:9" x14ac:dyDescent="0.25">
      <c r="A591"/>
      <c r="B591"/>
      <c r="C591"/>
      <c r="D591"/>
      <c r="E591"/>
      <c r="F591"/>
      <c r="G591"/>
      <c r="H591"/>
      <c r="I591"/>
    </row>
    <row r="592" spans="1:9" x14ac:dyDescent="0.25">
      <c r="A592"/>
      <c r="B592"/>
      <c r="C592"/>
      <c r="D592"/>
      <c r="E592"/>
      <c r="F592"/>
      <c r="G592"/>
      <c r="H592"/>
      <c r="I592"/>
    </row>
    <row r="593" spans="1:9" x14ac:dyDescent="0.25">
      <c r="A593"/>
      <c r="B593"/>
      <c r="C593"/>
      <c r="D593"/>
      <c r="E593"/>
      <c r="F593"/>
      <c r="G593"/>
      <c r="H593"/>
      <c r="I593"/>
    </row>
    <row r="594" spans="1:9" x14ac:dyDescent="0.25">
      <c r="A594"/>
      <c r="B594"/>
      <c r="C594"/>
      <c r="D594"/>
      <c r="E594"/>
      <c r="F594"/>
      <c r="G594"/>
      <c r="H594"/>
      <c r="I594"/>
    </row>
    <row r="595" spans="1:9" x14ac:dyDescent="0.25">
      <c r="A595"/>
      <c r="B595"/>
      <c r="C595"/>
      <c r="D595"/>
      <c r="E595"/>
      <c r="F595"/>
      <c r="G595"/>
      <c r="H595"/>
      <c r="I595"/>
    </row>
    <row r="596" spans="1:9" x14ac:dyDescent="0.25">
      <c r="A596"/>
      <c r="B596"/>
      <c r="C596"/>
      <c r="D596"/>
      <c r="E596"/>
      <c r="F596"/>
      <c r="G596"/>
      <c r="H596"/>
      <c r="I596"/>
    </row>
    <row r="597" spans="1:9" x14ac:dyDescent="0.25">
      <c r="A597"/>
      <c r="B597"/>
      <c r="C597"/>
      <c r="D597"/>
      <c r="E597"/>
      <c r="F597"/>
      <c r="G597"/>
      <c r="H597"/>
      <c r="I597"/>
    </row>
    <row r="598" spans="1:9" x14ac:dyDescent="0.25">
      <c r="A598"/>
      <c r="B598"/>
      <c r="C598"/>
      <c r="D598"/>
      <c r="E598"/>
      <c r="F598"/>
      <c r="G598"/>
      <c r="H598"/>
      <c r="I598"/>
    </row>
    <row r="599" spans="1:9" x14ac:dyDescent="0.25">
      <c r="A599"/>
      <c r="B599"/>
      <c r="C599"/>
      <c r="D599"/>
      <c r="E599"/>
      <c r="F599"/>
      <c r="G599"/>
      <c r="H599"/>
      <c r="I599"/>
    </row>
    <row r="600" spans="1:9" x14ac:dyDescent="0.25">
      <c r="A600"/>
      <c r="B600"/>
      <c r="C600"/>
      <c r="D600"/>
      <c r="E600"/>
      <c r="F600"/>
      <c r="G600"/>
      <c r="H600"/>
      <c r="I600"/>
    </row>
    <row r="601" spans="1:9" x14ac:dyDescent="0.25">
      <c r="A601"/>
      <c r="B601"/>
      <c r="C601"/>
      <c r="D601"/>
      <c r="E601"/>
      <c r="F601"/>
      <c r="G601"/>
      <c r="H601"/>
      <c r="I601"/>
    </row>
    <row r="602" spans="1:9" x14ac:dyDescent="0.25">
      <c r="A602"/>
      <c r="B602"/>
      <c r="C602"/>
      <c r="D602"/>
      <c r="E602"/>
      <c r="F602"/>
      <c r="G602"/>
      <c r="H602"/>
      <c r="I602"/>
    </row>
    <row r="603" spans="1:9" x14ac:dyDescent="0.25">
      <c r="A603"/>
      <c r="B603"/>
      <c r="C603"/>
      <c r="D603"/>
      <c r="E603"/>
      <c r="F603"/>
      <c r="G603"/>
      <c r="H603"/>
      <c r="I603"/>
    </row>
    <row r="604" spans="1:9" x14ac:dyDescent="0.25">
      <c r="A604"/>
      <c r="B604"/>
      <c r="C604"/>
      <c r="D604"/>
      <c r="E604"/>
      <c r="F604"/>
      <c r="G604"/>
      <c r="H604"/>
      <c r="I604"/>
    </row>
    <row r="605" spans="1:9" x14ac:dyDescent="0.25">
      <c r="A605"/>
      <c r="B605"/>
      <c r="C605"/>
      <c r="D605"/>
      <c r="E605"/>
      <c r="F605"/>
      <c r="G605"/>
      <c r="H605"/>
      <c r="I605"/>
    </row>
    <row r="606" spans="1:9" x14ac:dyDescent="0.25">
      <c r="A606"/>
      <c r="B606"/>
      <c r="C606"/>
      <c r="D606"/>
      <c r="E606"/>
      <c r="F606"/>
      <c r="G606"/>
      <c r="H606"/>
      <c r="I606"/>
    </row>
    <row r="607" spans="1:9" x14ac:dyDescent="0.25">
      <c r="A607"/>
      <c r="B607"/>
      <c r="C607"/>
      <c r="D607"/>
      <c r="E607"/>
      <c r="F607"/>
      <c r="G607"/>
      <c r="H607"/>
      <c r="I607"/>
    </row>
    <row r="608" spans="1:9" x14ac:dyDescent="0.25">
      <c r="A608"/>
      <c r="B608"/>
      <c r="C608"/>
      <c r="D608"/>
      <c r="E608"/>
      <c r="F608"/>
      <c r="G608"/>
      <c r="H608"/>
      <c r="I608"/>
    </row>
    <row r="609" spans="1:9" x14ac:dyDescent="0.25">
      <c r="A609"/>
      <c r="B609"/>
      <c r="C609"/>
      <c r="D609"/>
      <c r="E609"/>
      <c r="F609"/>
      <c r="G609"/>
      <c r="H609"/>
      <c r="I609"/>
    </row>
    <row r="610" spans="1:9" x14ac:dyDescent="0.25">
      <c r="A610"/>
      <c r="B610"/>
      <c r="C610"/>
      <c r="D610"/>
      <c r="E610"/>
      <c r="F610"/>
      <c r="G610"/>
      <c r="H610"/>
      <c r="I610"/>
    </row>
    <row r="611" spans="1:9" x14ac:dyDescent="0.25">
      <c r="A611"/>
      <c r="B611"/>
      <c r="C611"/>
      <c r="D611"/>
      <c r="E611"/>
      <c r="F611"/>
      <c r="G611"/>
      <c r="H611"/>
      <c r="I611"/>
    </row>
    <row r="612" spans="1:9" x14ac:dyDescent="0.25">
      <c r="A612"/>
      <c r="B612"/>
      <c r="C612"/>
      <c r="D612"/>
      <c r="E612"/>
      <c r="F612"/>
      <c r="G612"/>
      <c r="H612"/>
      <c r="I612"/>
    </row>
    <row r="613" spans="1:9" x14ac:dyDescent="0.25">
      <c r="A613"/>
      <c r="B613"/>
      <c r="C613"/>
      <c r="D613"/>
      <c r="E613"/>
      <c r="F613"/>
      <c r="G613"/>
      <c r="H613"/>
      <c r="I613"/>
    </row>
    <row r="614" spans="1:9" x14ac:dyDescent="0.25">
      <c r="A614"/>
      <c r="B614"/>
      <c r="C614"/>
      <c r="D614"/>
      <c r="E614"/>
      <c r="F614"/>
      <c r="G614"/>
      <c r="H614"/>
      <c r="I614"/>
    </row>
    <row r="615" spans="1:9" x14ac:dyDescent="0.25">
      <c r="A615"/>
      <c r="B615"/>
      <c r="C615"/>
      <c r="D615"/>
      <c r="E615"/>
      <c r="F615"/>
      <c r="G615"/>
      <c r="H615"/>
      <c r="I615"/>
    </row>
    <row r="616" spans="1:9" x14ac:dyDescent="0.25">
      <c r="A616"/>
      <c r="B616"/>
      <c r="C616"/>
      <c r="D616"/>
      <c r="E616"/>
      <c r="F616"/>
      <c r="G616"/>
      <c r="H616"/>
      <c r="I616"/>
    </row>
    <row r="617" spans="1:9" x14ac:dyDescent="0.25">
      <c r="A617"/>
      <c r="B617"/>
      <c r="C617"/>
      <c r="D617"/>
      <c r="E617"/>
      <c r="F617"/>
      <c r="G617"/>
      <c r="H617"/>
      <c r="I617"/>
    </row>
    <row r="618" spans="1:9" x14ac:dyDescent="0.25">
      <c r="A618"/>
      <c r="B618"/>
      <c r="C618"/>
      <c r="D618"/>
      <c r="E618"/>
      <c r="F618"/>
      <c r="G618"/>
      <c r="H618"/>
      <c r="I618"/>
    </row>
    <row r="619" spans="1:9" x14ac:dyDescent="0.25">
      <c r="A619"/>
      <c r="B619"/>
      <c r="C619"/>
      <c r="D619"/>
      <c r="E619"/>
      <c r="F619"/>
      <c r="G619"/>
      <c r="H619"/>
      <c r="I619"/>
    </row>
    <row r="620" spans="1:9" x14ac:dyDescent="0.25">
      <c r="A620"/>
      <c r="B620"/>
      <c r="C620"/>
      <c r="D620"/>
      <c r="E620"/>
      <c r="F620"/>
      <c r="G620"/>
      <c r="H620"/>
      <c r="I620"/>
    </row>
    <row r="621" spans="1:9" x14ac:dyDescent="0.25">
      <c r="A621"/>
      <c r="B621"/>
      <c r="C621"/>
      <c r="D621"/>
      <c r="E621"/>
      <c r="F621"/>
      <c r="G621"/>
      <c r="H621"/>
      <c r="I621"/>
    </row>
    <row r="622" spans="1:9" x14ac:dyDescent="0.25">
      <c r="A622"/>
      <c r="B622"/>
      <c r="C622"/>
      <c r="D622"/>
      <c r="E622"/>
      <c r="F622"/>
      <c r="G622"/>
      <c r="H622"/>
      <c r="I622"/>
    </row>
    <row r="623" spans="1:9" x14ac:dyDescent="0.25">
      <c r="A623"/>
      <c r="B623"/>
      <c r="C623"/>
      <c r="D623"/>
      <c r="E623"/>
      <c r="F623"/>
      <c r="G623"/>
      <c r="H623"/>
      <c r="I623"/>
    </row>
    <row r="624" spans="1:9" x14ac:dyDescent="0.25">
      <c r="A624"/>
      <c r="B624"/>
      <c r="C624"/>
      <c r="D624"/>
      <c r="E624"/>
      <c r="F624"/>
      <c r="G624"/>
      <c r="H624"/>
      <c r="I624"/>
    </row>
    <row r="625" spans="1:9" x14ac:dyDescent="0.25">
      <c r="A625"/>
      <c r="B625"/>
      <c r="C625"/>
      <c r="D625"/>
      <c r="E625"/>
      <c r="F625"/>
      <c r="G625"/>
      <c r="H625"/>
      <c r="I625"/>
    </row>
    <row r="626" spans="1:9" x14ac:dyDescent="0.25">
      <c r="A626"/>
      <c r="B626"/>
      <c r="C626"/>
      <c r="D626"/>
      <c r="E626"/>
      <c r="F626"/>
      <c r="G626"/>
      <c r="H626"/>
      <c r="I626"/>
    </row>
    <row r="627" spans="1:9" x14ac:dyDescent="0.25">
      <c r="A627"/>
      <c r="B627"/>
      <c r="C627"/>
      <c r="D627"/>
      <c r="E627"/>
      <c r="F627"/>
      <c r="G627"/>
      <c r="H627"/>
      <c r="I627"/>
    </row>
    <row r="628" spans="1:9" x14ac:dyDescent="0.25">
      <c r="A628"/>
      <c r="B628"/>
      <c r="C628"/>
      <c r="D628"/>
      <c r="E628"/>
      <c r="F628"/>
      <c r="G628"/>
      <c r="H628"/>
      <c r="I628"/>
    </row>
    <row r="629" spans="1:9" x14ac:dyDescent="0.25">
      <c r="A629"/>
      <c r="B629"/>
      <c r="C629"/>
      <c r="D629"/>
      <c r="E629"/>
      <c r="F629"/>
      <c r="G629"/>
      <c r="H629"/>
      <c r="I629"/>
    </row>
    <row r="630" spans="1:9" x14ac:dyDescent="0.25">
      <c r="A630"/>
      <c r="B630"/>
      <c r="C630"/>
      <c r="D630"/>
      <c r="E630"/>
      <c r="F630"/>
      <c r="G630"/>
      <c r="H630"/>
      <c r="I630"/>
    </row>
    <row r="631" spans="1:9" x14ac:dyDescent="0.25">
      <c r="A631"/>
      <c r="B631"/>
      <c r="C631"/>
      <c r="D631"/>
      <c r="E631"/>
      <c r="F631"/>
      <c r="G631"/>
      <c r="H631"/>
      <c r="I631"/>
    </row>
    <row r="632" spans="1:9" x14ac:dyDescent="0.25">
      <c r="A632"/>
      <c r="B632"/>
      <c r="C632"/>
      <c r="D632"/>
      <c r="E632"/>
      <c r="F632"/>
      <c r="G632"/>
      <c r="H632"/>
      <c r="I632"/>
    </row>
    <row r="633" spans="1:9" x14ac:dyDescent="0.25">
      <c r="A633"/>
      <c r="B633"/>
      <c r="C633"/>
      <c r="D633"/>
      <c r="E633"/>
      <c r="F633"/>
      <c r="G633"/>
      <c r="H633"/>
      <c r="I633"/>
    </row>
    <row r="634" spans="1:9" x14ac:dyDescent="0.25">
      <c r="A634"/>
      <c r="B634"/>
      <c r="C634"/>
      <c r="D634"/>
      <c r="E634"/>
      <c r="F634"/>
      <c r="G634"/>
      <c r="H634"/>
      <c r="I634"/>
    </row>
    <row r="635" spans="1:9" x14ac:dyDescent="0.25">
      <c r="A635"/>
      <c r="B635"/>
      <c r="C635"/>
      <c r="D635"/>
      <c r="E635"/>
      <c r="F635"/>
      <c r="G635"/>
      <c r="H635"/>
      <c r="I635"/>
    </row>
    <row r="636" spans="1:9" x14ac:dyDescent="0.25">
      <c r="A636"/>
      <c r="B636"/>
      <c r="C636"/>
      <c r="D636"/>
      <c r="E636"/>
      <c r="F636"/>
      <c r="G636"/>
      <c r="H636"/>
      <c r="I636"/>
    </row>
    <row r="637" spans="1:9" x14ac:dyDescent="0.25">
      <c r="A637"/>
      <c r="B637"/>
      <c r="C637"/>
      <c r="D637"/>
      <c r="E637"/>
      <c r="F637"/>
      <c r="G637"/>
      <c r="H637"/>
      <c r="I637"/>
    </row>
    <row r="638" spans="1:9" x14ac:dyDescent="0.25">
      <c r="A638"/>
      <c r="B638"/>
      <c r="C638"/>
      <c r="D638"/>
      <c r="E638"/>
      <c r="F638"/>
      <c r="G638"/>
      <c r="H638"/>
      <c r="I638"/>
    </row>
    <row r="639" spans="1:9" x14ac:dyDescent="0.25">
      <c r="A639"/>
      <c r="B639"/>
      <c r="C639"/>
      <c r="D639"/>
      <c r="E639"/>
      <c r="F639"/>
      <c r="G639"/>
      <c r="H639"/>
      <c r="I639"/>
    </row>
    <row r="640" spans="1:9" x14ac:dyDescent="0.25">
      <c r="A640"/>
      <c r="B640"/>
      <c r="C640"/>
      <c r="D640"/>
      <c r="E640"/>
      <c r="F640"/>
      <c r="G640"/>
      <c r="H640"/>
      <c r="I640"/>
    </row>
    <row r="641" spans="1:9" x14ac:dyDescent="0.25">
      <c r="A641"/>
      <c r="B641"/>
      <c r="C641"/>
      <c r="D641"/>
      <c r="E641"/>
      <c r="F641"/>
      <c r="G641"/>
      <c r="H641"/>
      <c r="I641"/>
    </row>
    <row r="642" spans="1:9" x14ac:dyDescent="0.25">
      <c r="A642"/>
      <c r="B642"/>
      <c r="C642"/>
      <c r="D642"/>
      <c r="E642"/>
      <c r="F642"/>
      <c r="G642"/>
      <c r="H642"/>
      <c r="I642"/>
    </row>
    <row r="643" spans="1:9" x14ac:dyDescent="0.25">
      <c r="A643"/>
      <c r="B643"/>
      <c r="C643"/>
      <c r="D643"/>
      <c r="E643"/>
      <c r="F643"/>
      <c r="G643"/>
      <c r="H643"/>
      <c r="I643"/>
    </row>
    <row r="644" spans="1:9" x14ac:dyDescent="0.25">
      <c r="A644"/>
      <c r="B644"/>
      <c r="C644"/>
      <c r="D644"/>
      <c r="E644"/>
      <c r="F644"/>
      <c r="G644"/>
      <c r="H644"/>
      <c r="I644"/>
    </row>
    <row r="645" spans="1:9" x14ac:dyDescent="0.25">
      <c r="A645"/>
      <c r="B645"/>
      <c r="C645"/>
      <c r="D645"/>
      <c r="E645"/>
      <c r="F645"/>
      <c r="G645"/>
      <c r="H645"/>
      <c r="I645"/>
    </row>
    <row r="646" spans="1:9" x14ac:dyDescent="0.25">
      <c r="A646"/>
      <c r="B646"/>
      <c r="C646"/>
      <c r="D646"/>
      <c r="E646"/>
      <c r="F646"/>
      <c r="G646"/>
      <c r="H646"/>
      <c r="I646"/>
    </row>
    <row r="647" spans="1:9" x14ac:dyDescent="0.25">
      <c r="A647"/>
      <c r="B647"/>
      <c r="C647"/>
      <c r="D647"/>
      <c r="E647"/>
      <c r="F647"/>
      <c r="G647"/>
      <c r="H647"/>
      <c r="I647"/>
    </row>
    <row r="648" spans="1:9" x14ac:dyDescent="0.25">
      <c r="A648"/>
      <c r="B648"/>
      <c r="C648"/>
      <c r="D648"/>
      <c r="E648"/>
      <c r="F648"/>
      <c r="G648"/>
      <c r="H648"/>
      <c r="I648"/>
    </row>
    <row r="649" spans="1:9" x14ac:dyDescent="0.25">
      <c r="A649"/>
      <c r="B649"/>
      <c r="C649"/>
      <c r="D649"/>
      <c r="E649"/>
      <c r="F649"/>
      <c r="G649"/>
      <c r="H649"/>
      <c r="I649"/>
    </row>
    <row r="650" spans="1:9" x14ac:dyDescent="0.25">
      <c r="A650"/>
      <c r="B650"/>
      <c r="C650"/>
      <c r="D650"/>
      <c r="E650"/>
      <c r="F650"/>
      <c r="G650"/>
      <c r="H650"/>
      <c r="I650"/>
    </row>
    <row r="651" spans="1:9" x14ac:dyDescent="0.25">
      <c r="A651"/>
      <c r="B651"/>
      <c r="C651"/>
      <c r="D651"/>
      <c r="E651"/>
      <c r="F651"/>
      <c r="G651"/>
      <c r="H651"/>
      <c r="I651"/>
    </row>
    <row r="652" spans="1:9" x14ac:dyDescent="0.25">
      <c r="A652"/>
      <c r="B652"/>
      <c r="C652"/>
      <c r="D652"/>
      <c r="E652"/>
      <c r="F652"/>
      <c r="G652"/>
      <c r="H652"/>
      <c r="I652"/>
    </row>
    <row r="653" spans="1:9" x14ac:dyDescent="0.25">
      <c r="A653"/>
      <c r="B653"/>
      <c r="C653"/>
      <c r="D653"/>
      <c r="E653"/>
      <c r="F653"/>
      <c r="G653"/>
      <c r="H653"/>
      <c r="I653"/>
    </row>
    <row r="654" spans="1:9" x14ac:dyDescent="0.25">
      <c r="A654"/>
      <c r="B654"/>
      <c r="C654"/>
      <c r="D654"/>
      <c r="E654"/>
      <c r="F654"/>
      <c r="G654"/>
      <c r="H654"/>
      <c r="I654"/>
    </row>
    <row r="655" spans="1:9" x14ac:dyDescent="0.25">
      <c r="A655"/>
      <c r="B655"/>
      <c r="C655"/>
      <c r="D655"/>
      <c r="E655"/>
      <c r="F655"/>
      <c r="G655"/>
      <c r="H655"/>
      <c r="I655"/>
    </row>
    <row r="656" spans="1:9" x14ac:dyDescent="0.25">
      <c r="A656"/>
      <c r="B656"/>
      <c r="C656"/>
      <c r="D656"/>
      <c r="E656"/>
      <c r="F656"/>
      <c r="G656"/>
      <c r="H656"/>
      <c r="I656"/>
    </row>
    <row r="657" spans="1:9" x14ac:dyDescent="0.25">
      <c r="A657"/>
      <c r="B657"/>
      <c r="C657"/>
      <c r="D657"/>
      <c r="E657"/>
      <c r="F657"/>
      <c r="G657"/>
      <c r="H657"/>
      <c r="I657"/>
    </row>
    <row r="658" spans="1:9" x14ac:dyDescent="0.25">
      <c r="A658"/>
      <c r="B658"/>
      <c r="C658"/>
      <c r="D658"/>
      <c r="E658"/>
      <c r="F658"/>
      <c r="G658"/>
      <c r="H658"/>
      <c r="I658"/>
    </row>
    <row r="659" spans="1:9" x14ac:dyDescent="0.25">
      <c r="A659"/>
      <c r="B659"/>
      <c r="C659"/>
      <c r="D659"/>
      <c r="E659"/>
      <c r="F659"/>
      <c r="G659"/>
      <c r="H659"/>
      <c r="I659"/>
    </row>
    <row r="660" spans="1:9" x14ac:dyDescent="0.25">
      <c r="A660"/>
      <c r="B660"/>
      <c r="C660"/>
      <c r="D660"/>
      <c r="E660"/>
      <c r="F660"/>
      <c r="G660"/>
      <c r="H660"/>
      <c r="I660"/>
    </row>
    <row r="661" spans="1:9" x14ac:dyDescent="0.25">
      <c r="A661"/>
      <c r="B661"/>
      <c r="C661"/>
      <c r="D661"/>
      <c r="E661"/>
      <c r="F661"/>
      <c r="G661"/>
      <c r="H661"/>
      <c r="I661"/>
    </row>
    <row r="662" spans="1:9" x14ac:dyDescent="0.25">
      <c r="A662"/>
      <c r="B662"/>
      <c r="C662"/>
      <c r="D662"/>
      <c r="E662"/>
      <c r="F662"/>
      <c r="G662"/>
      <c r="H662"/>
      <c r="I662"/>
    </row>
    <row r="663" spans="1:9" x14ac:dyDescent="0.25">
      <c r="A663"/>
      <c r="B663"/>
      <c r="C663"/>
      <c r="D663"/>
      <c r="E663"/>
      <c r="F663"/>
      <c r="G663"/>
      <c r="H663"/>
      <c r="I663"/>
    </row>
    <row r="664" spans="1:9" x14ac:dyDescent="0.25">
      <c r="A664"/>
      <c r="B664"/>
      <c r="C664"/>
      <c r="D664"/>
      <c r="E664"/>
      <c r="F664"/>
      <c r="G664"/>
      <c r="H664"/>
      <c r="I664"/>
    </row>
    <row r="665" spans="1:9" x14ac:dyDescent="0.25">
      <c r="A665"/>
      <c r="B665"/>
      <c r="C665"/>
      <c r="D665"/>
      <c r="E665"/>
      <c r="F665"/>
      <c r="G665"/>
      <c r="H665"/>
      <c r="I665"/>
    </row>
    <row r="666" spans="1:9" x14ac:dyDescent="0.25">
      <c r="A666"/>
      <c r="B666"/>
      <c r="C666"/>
      <c r="D666"/>
      <c r="E666"/>
      <c r="F666"/>
      <c r="G666"/>
      <c r="H666"/>
      <c r="I666"/>
    </row>
    <row r="667" spans="1:9" x14ac:dyDescent="0.25">
      <c r="A667"/>
      <c r="B667"/>
      <c r="C667"/>
      <c r="D667"/>
      <c r="E667"/>
      <c r="F667"/>
      <c r="G667"/>
      <c r="H667"/>
      <c r="I667"/>
    </row>
    <row r="668" spans="1:9" x14ac:dyDescent="0.25">
      <c r="A668"/>
      <c r="B668"/>
      <c r="C668"/>
      <c r="D668"/>
      <c r="E668"/>
      <c r="F668"/>
      <c r="G668"/>
      <c r="H668"/>
      <c r="I668"/>
    </row>
    <row r="669" spans="1:9" x14ac:dyDescent="0.25">
      <c r="A669"/>
      <c r="B669"/>
      <c r="C669"/>
      <c r="D669"/>
      <c r="E669"/>
      <c r="F669"/>
      <c r="G669"/>
      <c r="H669"/>
      <c r="I669"/>
    </row>
    <row r="670" spans="1:9" x14ac:dyDescent="0.25">
      <c r="A670"/>
      <c r="B670"/>
      <c r="C670"/>
      <c r="D670"/>
      <c r="E670"/>
      <c r="F670"/>
      <c r="G670"/>
      <c r="H670"/>
      <c r="I670"/>
    </row>
    <row r="671" spans="1:9" x14ac:dyDescent="0.25">
      <c r="A671"/>
      <c r="B671"/>
      <c r="C671"/>
      <c r="D671"/>
      <c r="E671"/>
      <c r="F671"/>
      <c r="G671"/>
      <c r="H671"/>
      <c r="I671"/>
    </row>
    <row r="672" spans="1:9" x14ac:dyDescent="0.25">
      <c r="A672"/>
      <c r="B672"/>
      <c r="C672"/>
      <c r="D672"/>
      <c r="E672"/>
      <c r="F672"/>
      <c r="G672"/>
      <c r="H672"/>
      <c r="I672"/>
    </row>
    <row r="673" spans="1:9" x14ac:dyDescent="0.25">
      <c r="A673"/>
      <c r="B673"/>
      <c r="C673"/>
      <c r="D673"/>
      <c r="E673"/>
      <c r="F673"/>
      <c r="G673"/>
      <c r="H673"/>
      <c r="I673"/>
    </row>
    <row r="674" spans="1:9" x14ac:dyDescent="0.25">
      <c r="A674"/>
      <c r="B674"/>
      <c r="C674"/>
      <c r="D674"/>
      <c r="E674"/>
      <c r="F674"/>
      <c r="G674"/>
      <c r="H674"/>
      <c r="I674"/>
    </row>
    <row r="675" spans="1:9" x14ac:dyDescent="0.25">
      <c r="A675"/>
      <c r="B675"/>
      <c r="C675"/>
      <c r="D675"/>
      <c r="E675"/>
      <c r="F675"/>
      <c r="G675"/>
      <c r="H675"/>
      <c r="I675"/>
    </row>
    <row r="676" spans="1:9" x14ac:dyDescent="0.25">
      <c r="A676"/>
      <c r="B676"/>
      <c r="C676"/>
      <c r="D676"/>
      <c r="E676"/>
      <c r="F676"/>
      <c r="G676"/>
      <c r="H676"/>
      <c r="I676"/>
    </row>
    <row r="677" spans="1:9" x14ac:dyDescent="0.25">
      <c r="A677"/>
      <c r="B677"/>
      <c r="C677"/>
      <c r="D677"/>
      <c r="E677"/>
      <c r="F677"/>
      <c r="G677"/>
      <c r="H677"/>
      <c r="I677"/>
    </row>
    <row r="678" spans="1:9" x14ac:dyDescent="0.25">
      <c r="A678"/>
      <c r="B678"/>
      <c r="C678"/>
      <c r="D678"/>
      <c r="E678"/>
      <c r="F678"/>
      <c r="G678"/>
      <c r="H678"/>
      <c r="I678"/>
    </row>
    <row r="679" spans="1:9" x14ac:dyDescent="0.25">
      <c r="A679"/>
      <c r="B679"/>
      <c r="C679"/>
      <c r="D679"/>
      <c r="E679"/>
      <c r="F679"/>
      <c r="G679"/>
      <c r="H679"/>
      <c r="I679"/>
    </row>
    <row r="680" spans="1:9" x14ac:dyDescent="0.25">
      <c r="A680"/>
      <c r="B680"/>
      <c r="C680"/>
      <c r="D680"/>
      <c r="E680"/>
      <c r="F680"/>
      <c r="G680"/>
      <c r="H680"/>
      <c r="I680"/>
    </row>
    <row r="681" spans="1:9" x14ac:dyDescent="0.25">
      <c r="A681"/>
      <c r="B681"/>
      <c r="C681"/>
      <c r="D681"/>
      <c r="E681"/>
      <c r="F681"/>
      <c r="G681"/>
      <c r="H681"/>
      <c r="I681"/>
    </row>
    <row r="682" spans="1:9" x14ac:dyDescent="0.25">
      <c r="A682"/>
      <c r="B682"/>
      <c r="C682"/>
      <c r="D682"/>
      <c r="E682"/>
      <c r="F682"/>
      <c r="G682"/>
      <c r="H682"/>
      <c r="I682"/>
    </row>
    <row r="683" spans="1:9" x14ac:dyDescent="0.25">
      <c r="A683"/>
      <c r="B683"/>
      <c r="C683"/>
      <c r="D683"/>
      <c r="E683"/>
      <c r="F683"/>
      <c r="G683"/>
      <c r="H683"/>
      <c r="I683"/>
    </row>
    <row r="684" spans="1:9" x14ac:dyDescent="0.25">
      <c r="A684"/>
      <c r="B684"/>
      <c r="C684"/>
      <c r="D684"/>
      <c r="E684"/>
      <c r="F684"/>
      <c r="G684"/>
      <c r="H684"/>
      <c r="I684"/>
    </row>
    <row r="685" spans="1:9" x14ac:dyDescent="0.25">
      <c r="A685"/>
      <c r="B685"/>
      <c r="C685"/>
      <c r="D685"/>
      <c r="E685"/>
      <c r="F685"/>
      <c r="G685"/>
      <c r="H685"/>
      <c r="I685"/>
    </row>
    <row r="686" spans="1:9" x14ac:dyDescent="0.25">
      <c r="A686"/>
      <c r="B686"/>
      <c r="C686"/>
      <c r="D686"/>
      <c r="E686"/>
      <c r="F686"/>
      <c r="G686"/>
      <c r="H686"/>
      <c r="I686"/>
    </row>
    <row r="687" spans="1:9" x14ac:dyDescent="0.25">
      <c r="A687"/>
      <c r="B687"/>
      <c r="C687"/>
      <c r="D687"/>
      <c r="E687"/>
      <c r="F687"/>
      <c r="G687"/>
      <c r="H687"/>
      <c r="I687"/>
    </row>
    <row r="688" spans="1:9" x14ac:dyDescent="0.25">
      <c r="A688"/>
      <c r="B688"/>
      <c r="C688"/>
      <c r="D688"/>
      <c r="E688"/>
      <c r="F688"/>
      <c r="G688"/>
      <c r="H688"/>
      <c r="I688"/>
    </row>
    <row r="689" spans="1:9" x14ac:dyDescent="0.25">
      <c r="A689"/>
      <c r="B689"/>
      <c r="C689"/>
      <c r="D689"/>
      <c r="E689"/>
      <c r="F689"/>
      <c r="G689"/>
      <c r="H689"/>
      <c r="I689"/>
    </row>
    <row r="690" spans="1:9" x14ac:dyDescent="0.25">
      <c r="A690"/>
      <c r="B690"/>
      <c r="C690"/>
      <c r="D690"/>
      <c r="E690"/>
      <c r="F690"/>
      <c r="G690"/>
      <c r="H690"/>
      <c r="I690"/>
    </row>
    <row r="691" spans="1:9" x14ac:dyDescent="0.25">
      <c r="A691"/>
      <c r="B691"/>
      <c r="C691"/>
      <c r="D691"/>
      <c r="E691"/>
      <c r="F691"/>
      <c r="G691"/>
      <c r="H691"/>
      <c r="I691"/>
    </row>
    <row r="692" spans="1:9" x14ac:dyDescent="0.25">
      <c r="A692"/>
      <c r="B692"/>
      <c r="C692"/>
      <c r="D692"/>
      <c r="E692"/>
      <c r="F692"/>
      <c r="G692"/>
      <c r="H692"/>
      <c r="I692"/>
    </row>
    <row r="693" spans="1:9" x14ac:dyDescent="0.25">
      <c r="A693"/>
      <c r="B693"/>
      <c r="C693"/>
      <c r="D693"/>
      <c r="E693"/>
      <c r="F693"/>
      <c r="G693"/>
      <c r="H693"/>
      <c r="I693"/>
    </row>
    <row r="694" spans="1:9" x14ac:dyDescent="0.25">
      <c r="A694"/>
      <c r="B694"/>
      <c r="C694"/>
      <c r="D694"/>
      <c r="E694"/>
      <c r="F694"/>
      <c r="G694"/>
      <c r="H694"/>
      <c r="I694"/>
    </row>
    <row r="695" spans="1:9" x14ac:dyDescent="0.25">
      <c r="A695"/>
      <c r="B695"/>
      <c r="C695"/>
      <c r="D695"/>
      <c r="E695"/>
      <c r="F695"/>
      <c r="G695"/>
      <c r="H695"/>
      <c r="I695"/>
    </row>
    <row r="696" spans="1:9" x14ac:dyDescent="0.25">
      <c r="A696"/>
      <c r="B696"/>
      <c r="C696"/>
      <c r="D696"/>
      <c r="E696"/>
      <c r="F696"/>
      <c r="G696"/>
      <c r="H696"/>
      <c r="I696"/>
    </row>
    <row r="697" spans="1:9" x14ac:dyDescent="0.25">
      <c r="A697"/>
      <c r="B697"/>
      <c r="C697"/>
      <c r="D697"/>
      <c r="E697"/>
      <c r="F697"/>
      <c r="G697"/>
      <c r="H697"/>
      <c r="I697"/>
    </row>
    <row r="698" spans="1:9" x14ac:dyDescent="0.25">
      <c r="A698"/>
      <c r="B698"/>
      <c r="C698"/>
      <c r="D698"/>
      <c r="E698"/>
      <c r="F698"/>
      <c r="G698"/>
      <c r="H698"/>
      <c r="I698"/>
    </row>
    <row r="699" spans="1:9" x14ac:dyDescent="0.25">
      <c r="A699"/>
      <c r="B699"/>
      <c r="C699"/>
      <c r="D699"/>
      <c r="E699"/>
      <c r="F699"/>
      <c r="G699"/>
      <c r="H699"/>
      <c r="I699"/>
    </row>
    <row r="700" spans="1:9" x14ac:dyDescent="0.25">
      <c r="A700"/>
      <c r="B700"/>
      <c r="C700"/>
      <c r="D700"/>
      <c r="E700"/>
      <c r="F700"/>
      <c r="G700"/>
      <c r="H700"/>
      <c r="I700"/>
    </row>
    <row r="701" spans="1:9" x14ac:dyDescent="0.25">
      <c r="A701"/>
      <c r="B701"/>
      <c r="C701"/>
      <c r="D701"/>
      <c r="E701"/>
      <c r="F701"/>
      <c r="G701"/>
      <c r="H701"/>
      <c r="I701"/>
    </row>
    <row r="702" spans="1:9" x14ac:dyDescent="0.25">
      <c r="A702"/>
      <c r="B702"/>
      <c r="C702"/>
      <c r="D702"/>
      <c r="E702"/>
      <c r="F702"/>
      <c r="G702"/>
      <c r="H702"/>
      <c r="I702"/>
    </row>
    <row r="703" spans="1:9" x14ac:dyDescent="0.25">
      <c r="A703"/>
      <c r="B703"/>
      <c r="C703"/>
      <c r="D703"/>
      <c r="E703"/>
      <c r="F703"/>
      <c r="G703"/>
      <c r="H703"/>
      <c r="I703"/>
    </row>
    <row r="704" spans="1:9" x14ac:dyDescent="0.25">
      <c r="A704"/>
      <c r="B704"/>
      <c r="C704"/>
      <c r="D704"/>
      <c r="E704"/>
      <c r="F704"/>
      <c r="G704"/>
      <c r="H704"/>
      <c r="I704"/>
    </row>
    <row r="705" spans="1:9" x14ac:dyDescent="0.25">
      <c r="A705"/>
      <c r="B705"/>
      <c r="C705"/>
      <c r="D705"/>
      <c r="E705"/>
      <c r="F705"/>
      <c r="G705"/>
      <c r="H705"/>
      <c r="I705"/>
    </row>
    <row r="706" spans="1:9" x14ac:dyDescent="0.25">
      <c r="A706"/>
      <c r="B706"/>
      <c r="C706"/>
      <c r="D706"/>
      <c r="E706"/>
      <c r="F706"/>
      <c r="G706"/>
      <c r="H706"/>
      <c r="I706"/>
    </row>
    <row r="707" spans="1:9" x14ac:dyDescent="0.25">
      <c r="A707"/>
      <c r="B707"/>
      <c r="C707"/>
      <c r="D707"/>
      <c r="E707"/>
      <c r="F707"/>
      <c r="G707"/>
      <c r="H707"/>
      <c r="I707"/>
    </row>
    <row r="708" spans="1:9" x14ac:dyDescent="0.25">
      <c r="A708"/>
      <c r="B708"/>
      <c r="C708"/>
      <c r="D708"/>
      <c r="E708"/>
      <c r="F708"/>
      <c r="G708"/>
      <c r="H708"/>
      <c r="I708"/>
    </row>
    <row r="709" spans="1:9" x14ac:dyDescent="0.25">
      <c r="A709"/>
      <c r="B709"/>
      <c r="C709"/>
      <c r="D709"/>
      <c r="E709"/>
      <c r="F709"/>
      <c r="G709"/>
      <c r="H709"/>
      <c r="I709"/>
    </row>
    <row r="710" spans="1:9" x14ac:dyDescent="0.25">
      <c r="A710"/>
      <c r="B710"/>
      <c r="C710"/>
      <c r="D710"/>
      <c r="E710"/>
      <c r="F710"/>
      <c r="G710"/>
      <c r="H710"/>
      <c r="I710"/>
    </row>
    <row r="711" spans="1:9" x14ac:dyDescent="0.25">
      <c r="A711"/>
      <c r="B711"/>
      <c r="C711"/>
      <c r="D711"/>
      <c r="E711"/>
      <c r="F711"/>
      <c r="G711"/>
      <c r="H711"/>
      <c r="I711"/>
    </row>
    <row r="712" spans="1:9" x14ac:dyDescent="0.25">
      <c r="A712"/>
      <c r="B712"/>
      <c r="C712"/>
      <c r="D712"/>
      <c r="E712"/>
      <c r="F712"/>
      <c r="G712"/>
      <c r="H712"/>
      <c r="I712"/>
    </row>
    <row r="713" spans="1:9" x14ac:dyDescent="0.25">
      <c r="A713"/>
      <c r="B713"/>
      <c r="C713"/>
      <c r="D713"/>
      <c r="E713"/>
      <c r="F713"/>
      <c r="G713"/>
      <c r="H713"/>
      <c r="I713"/>
    </row>
    <row r="714" spans="1:9" x14ac:dyDescent="0.25">
      <c r="A714"/>
      <c r="B714"/>
      <c r="C714"/>
      <c r="D714"/>
      <c r="E714"/>
      <c r="F714"/>
      <c r="G714"/>
      <c r="H714"/>
      <c r="I714"/>
    </row>
    <row r="715" spans="1:9" x14ac:dyDescent="0.25">
      <c r="A715"/>
      <c r="B715"/>
      <c r="C715"/>
      <c r="D715"/>
      <c r="E715"/>
      <c r="F715"/>
      <c r="G715"/>
      <c r="H715"/>
      <c r="I715"/>
    </row>
    <row r="716" spans="1:9" x14ac:dyDescent="0.25">
      <c r="A716"/>
      <c r="B716"/>
      <c r="C716"/>
      <c r="D716"/>
      <c r="E716"/>
      <c r="F716"/>
      <c r="G716"/>
      <c r="H716"/>
      <c r="I716"/>
    </row>
    <row r="717" spans="1:9" x14ac:dyDescent="0.25">
      <c r="A717"/>
      <c r="B717"/>
      <c r="C717"/>
      <c r="D717"/>
      <c r="E717"/>
      <c r="F717"/>
      <c r="G717"/>
      <c r="H717"/>
      <c r="I717"/>
    </row>
    <row r="718" spans="1:9" x14ac:dyDescent="0.25">
      <c r="A718"/>
      <c r="B718"/>
      <c r="C718"/>
      <c r="D718"/>
      <c r="E718"/>
      <c r="F718"/>
      <c r="G718"/>
      <c r="H718"/>
      <c r="I718"/>
    </row>
    <row r="719" spans="1:9" x14ac:dyDescent="0.25">
      <c r="A719"/>
      <c r="B719"/>
      <c r="C719"/>
      <c r="D719"/>
      <c r="E719"/>
      <c r="F719"/>
      <c r="G719"/>
      <c r="H719"/>
      <c r="I719"/>
    </row>
    <row r="720" spans="1:9" x14ac:dyDescent="0.25">
      <c r="A720"/>
      <c r="B720"/>
      <c r="C720"/>
      <c r="D720"/>
      <c r="E720"/>
      <c r="F720"/>
      <c r="G720"/>
      <c r="H720"/>
      <c r="I720"/>
    </row>
    <row r="721" spans="1:9" x14ac:dyDescent="0.25">
      <c r="A721"/>
      <c r="B721"/>
      <c r="C721"/>
      <c r="D721"/>
      <c r="E721"/>
      <c r="F721"/>
      <c r="G721"/>
      <c r="H721"/>
      <c r="I721"/>
    </row>
    <row r="722" spans="1:9" x14ac:dyDescent="0.25">
      <c r="A722"/>
      <c r="B722"/>
      <c r="C722"/>
      <c r="D722"/>
      <c r="E722"/>
      <c r="F722"/>
      <c r="G722"/>
      <c r="H722"/>
      <c r="I722"/>
    </row>
    <row r="723" spans="1:9" x14ac:dyDescent="0.25">
      <c r="A723"/>
      <c r="B723"/>
      <c r="C723"/>
      <c r="D723"/>
      <c r="E723"/>
      <c r="F723"/>
      <c r="G723"/>
      <c r="H723"/>
      <c r="I723"/>
    </row>
    <row r="724" spans="1:9" x14ac:dyDescent="0.25">
      <c r="A724"/>
      <c r="B724"/>
      <c r="C724"/>
      <c r="D724"/>
      <c r="E724"/>
      <c r="F724"/>
      <c r="G724"/>
      <c r="H724"/>
      <c r="I724"/>
    </row>
    <row r="725" spans="1:9" x14ac:dyDescent="0.25">
      <c r="A725"/>
      <c r="B725"/>
      <c r="C725"/>
      <c r="D725"/>
      <c r="E725"/>
      <c r="F725"/>
      <c r="G725"/>
      <c r="H725"/>
      <c r="I725"/>
    </row>
    <row r="726" spans="1:9" x14ac:dyDescent="0.25">
      <c r="A726"/>
      <c r="B726"/>
      <c r="C726"/>
      <c r="D726"/>
      <c r="E726"/>
      <c r="F726"/>
      <c r="G726"/>
      <c r="H726"/>
      <c r="I726"/>
    </row>
    <row r="727" spans="1:9" x14ac:dyDescent="0.25">
      <c r="A727"/>
      <c r="B727"/>
      <c r="C727"/>
      <c r="D727"/>
      <c r="E727"/>
      <c r="F727"/>
      <c r="G727"/>
      <c r="H727"/>
      <c r="I727"/>
    </row>
    <row r="728" spans="1:9" x14ac:dyDescent="0.25">
      <c r="A728"/>
      <c r="B728"/>
      <c r="C728"/>
      <c r="D728"/>
      <c r="E728"/>
      <c r="F728"/>
      <c r="G728"/>
      <c r="H728"/>
      <c r="I728"/>
    </row>
    <row r="729" spans="1:9" x14ac:dyDescent="0.25">
      <c r="A729"/>
      <c r="B729"/>
      <c r="C729"/>
      <c r="D729"/>
      <c r="E729"/>
      <c r="F729"/>
      <c r="G729"/>
      <c r="H729"/>
      <c r="I729"/>
    </row>
    <row r="730" spans="1:9" x14ac:dyDescent="0.25">
      <c r="A730"/>
      <c r="B730"/>
      <c r="C730"/>
      <c r="D730"/>
      <c r="E730"/>
      <c r="F730"/>
      <c r="G730"/>
      <c r="H730"/>
      <c r="I730"/>
    </row>
    <row r="731" spans="1:9" x14ac:dyDescent="0.25">
      <c r="A731"/>
      <c r="B731"/>
      <c r="C731"/>
      <c r="D731"/>
      <c r="E731"/>
      <c r="F731"/>
      <c r="G731"/>
      <c r="H731"/>
      <c r="I731"/>
    </row>
    <row r="732" spans="1:9" x14ac:dyDescent="0.25">
      <c r="A732"/>
      <c r="B732"/>
      <c r="C732"/>
      <c r="D732"/>
      <c r="E732"/>
      <c r="F732"/>
      <c r="G732"/>
      <c r="H732"/>
      <c r="I732"/>
    </row>
    <row r="733" spans="1:9" x14ac:dyDescent="0.25">
      <c r="A733"/>
      <c r="B733"/>
      <c r="C733"/>
      <c r="D733"/>
      <c r="E733"/>
      <c r="F733"/>
      <c r="G733"/>
      <c r="H733"/>
      <c r="I733"/>
    </row>
    <row r="734" spans="1:9" x14ac:dyDescent="0.25">
      <c r="A734"/>
      <c r="B734"/>
      <c r="C734"/>
      <c r="D734"/>
      <c r="E734"/>
      <c r="F734"/>
      <c r="G734"/>
      <c r="H734"/>
      <c r="I734"/>
    </row>
    <row r="735" spans="1:9" x14ac:dyDescent="0.25">
      <c r="A735"/>
      <c r="B735"/>
      <c r="C735"/>
      <c r="D735"/>
      <c r="E735"/>
      <c r="F735"/>
      <c r="G735"/>
      <c r="H735"/>
      <c r="I735"/>
    </row>
    <row r="736" spans="1:9" x14ac:dyDescent="0.25">
      <c r="A736"/>
      <c r="B736"/>
      <c r="C736"/>
      <c r="D736"/>
      <c r="E736"/>
      <c r="F736"/>
      <c r="G736"/>
      <c r="H736"/>
      <c r="I736"/>
    </row>
    <row r="737" spans="1:9" x14ac:dyDescent="0.25">
      <c r="A737"/>
      <c r="B737"/>
      <c r="C737"/>
      <c r="D737"/>
      <c r="E737"/>
      <c r="F737"/>
      <c r="G737"/>
      <c r="H737"/>
      <c r="I737"/>
    </row>
    <row r="738" spans="1:9" x14ac:dyDescent="0.25">
      <c r="A738"/>
      <c r="B738"/>
      <c r="C738"/>
      <c r="D738"/>
      <c r="E738"/>
      <c r="F738"/>
      <c r="G738"/>
      <c r="H738"/>
      <c r="I738"/>
    </row>
    <row r="739" spans="1:9" x14ac:dyDescent="0.25">
      <c r="A739"/>
      <c r="B739"/>
      <c r="C739"/>
      <c r="D739"/>
      <c r="E739"/>
      <c r="F739"/>
      <c r="G739"/>
      <c r="H739"/>
      <c r="I739"/>
    </row>
    <row r="740" spans="1:9" x14ac:dyDescent="0.25">
      <c r="A740"/>
      <c r="B740"/>
      <c r="C740"/>
      <c r="D740"/>
      <c r="E740"/>
      <c r="F740"/>
      <c r="G740"/>
      <c r="H740"/>
      <c r="I740"/>
    </row>
    <row r="741" spans="1:9" x14ac:dyDescent="0.25">
      <c r="A741"/>
      <c r="B741"/>
      <c r="C741"/>
      <c r="D741"/>
      <c r="E741"/>
      <c r="F741"/>
      <c r="G741"/>
      <c r="H741"/>
      <c r="I741"/>
    </row>
    <row r="742" spans="1:9" x14ac:dyDescent="0.25">
      <c r="A742"/>
      <c r="B742"/>
      <c r="C742"/>
      <c r="D742"/>
      <c r="E742"/>
      <c r="F742"/>
      <c r="G742"/>
      <c r="H742"/>
      <c r="I742"/>
    </row>
    <row r="743" spans="1:9" x14ac:dyDescent="0.25">
      <c r="A743"/>
      <c r="B743"/>
      <c r="C743"/>
      <c r="D743"/>
      <c r="E743"/>
      <c r="F743"/>
      <c r="G743"/>
      <c r="H743"/>
      <c r="I743"/>
    </row>
    <row r="744" spans="1:9" x14ac:dyDescent="0.25">
      <c r="A744"/>
      <c r="B744"/>
      <c r="C744"/>
      <c r="D744"/>
      <c r="E744"/>
      <c r="F744"/>
      <c r="G744"/>
      <c r="H744"/>
      <c r="I744"/>
    </row>
    <row r="745" spans="1:9" x14ac:dyDescent="0.25">
      <c r="A745"/>
      <c r="B745"/>
      <c r="C745"/>
      <c r="D745"/>
      <c r="E745"/>
      <c r="F745"/>
      <c r="G745"/>
      <c r="H745"/>
      <c r="I745"/>
    </row>
    <row r="746" spans="1:9" x14ac:dyDescent="0.25">
      <c r="A746"/>
      <c r="B746"/>
      <c r="C746"/>
      <c r="D746"/>
      <c r="E746"/>
      <c r="F746"/>
      <c r="G746"/>
      <c r="H746"/>
      <c r="I746"/>
    </row>
    <row r="747" spans="1:9" x14ac:dyDescent="0.25">
      <c r="A747"/>
      <c r="B747"/>
      <c r="C747"/>
      <c r="D747"/>
      <c r="E747"/>
      <c r="F747"/>
      <c r="G747"/>
      <c r="H747"/>
      <c r="I747"/>
    </row>
    <row r="748" spans="1:9" x14ac:dyDescent="0.25">
      <c r="A748"/>
      <c r="B748"/>
      <c r="C748"/>
      <c r="D748"/>
      <c r="E748"/>
      <c r="F748"/>
      <c r="G748"/>
      <c r="H748"/>
      <c r="I748"/>
    </row>
    <row r="749" spans="1:9" x14ac:dyDescent="0.25">
      <c r="A749"/>
      <c r="B749"/>
      <c r="C749"/>
      <c r="D749"/>
      <c r="E749"/>
      <c r="F749"/>
      <c r="G749"/>
      <c r="H749"/>
      <c r="I749"/>
    </row>
    <row r="750" spans="1:9" x14ac:dyDescent="0.25">
      <c r="A750"/>
      <c r="B750"/>
      <c r="C750"/>
      <c r="D750"/>
      <c r="E750"/>
      <c r="F750"/>
      <c r="G750"/>
      <c r="H750"/>
      <c r="I750"/>
    </row>
    <row r="751" spans="1:9" x14ac:dyDescent="0.25">
      <c r="A751"/>
      <c r="B751"/>
      <c r="C751"/>
      <c r="D751"/>
      <c r="E751"/>
      <c r="F751"/>
      <c r="G751"/>
      <c r="H751"/>
      <c r="I751"/>
    </row>
    <row r="752" spans="1:9" x14ac:dyDescent="0.25">
      <c r="A752"/>
      <c r="B752"/>
      <c r="C752"/>
      <c r="D752"/>
      <c r="E752"/>
      <c r="F752"/>
      <c r="G752"/>
      <c r="H752"/>
      <c r="I752"/>
    </row>
    <row r="753" spans="1:9" x14ac:dyDescent="0.25">
      <c r="A753"/>
      <c r="B753"/>
      <c r="C753"/>
      <c r="D753"/>
      <c r="E753"/>
      <c r="F753"/>
      <c r="G753"/>
      <c r="H753"/>
      <c r="I753"/>
    </row>
    <row r="754" spans="1:9" x14ac:dyDescent="0.25">
      <c r="A754"/>
      <c r="B754"/>
      <c r="C754"/>
      <c r="D754"/>
      <c r="E754"/>
      <c r="F754"/>
      <c r="G754"/>
      <c r="H754"/>
      <c r="I754"/>
    </row>
    <row r="755" spans="1:9" x14ac:dyDescent="0.25">
      <c r="A755"/>
      <c r="B755"/>
      <c r="C755"/>
      <c r="D755"/>
      <c r="E755"/>
      <c r="F755"/>
      <c r="G755"/>
      <c r="H755"/>
      <c r="I755"/>
    </row>
    <row r="756" spans="1:9" x14ac:dyDescent="0.25">
      <c r="A756"/>
      <c r="B756"/>
      <c r="C756"/>
      <c r="D756"/>
      <c r="E756"/>
      <c r="F756"/>
      <c r="G756"/>
      <c r="H756"/>
      <c r="I756"/>
    </row>
    <row r="757" spans="1:9" x14ac:dyDescent="0.25">
      <c r="A757"/>
      <c r="B757"/>
      <c r="C757"/>
      <c r="D757"/>
      <c r="E757"/>
      <c r="F757"/>
      <c r="G757"/>
      <c r="H757"/>
      <c r="I757"/>
    </row>
    <row r="758" spans="1:9" x14ac:dyDescent="0.25">
      <c r="A758"/>
      <c r="B758"/>
      <c r="C758"/>
      <c r="D758"/>
      <c r="E758"/>
      <c r="F758"/>
      <c r="G758"/>
      <c r="H758"/>
      <c r="I758"/>
    </row>
    <row r="759" spans="1:9" x14ac:dyDescent="0.25">
      <c r="A759"/>
      <c r="B759"/>
      <c r="C759"/>
      <c r="D759"/>
      <c r="E759"/>
      <c r="F759"/>
      <c r="G759"/>
      <c r="H759"/>
      <c r="I759"/>
    </row>
    <row r="760" spans="1:9" x14ac:dyDescent="0.25">
      <c r="A760"/>
      <c r="B760"/>
      <c r="C760"/>
      <c r="D760"/>
      <c r="E760"/>
      <c r="F760"/>
      <c r="G760"/>
      <c r="H760"/>
      <c r="I760"/>
    </row>
    <row r="761" spans="1:9" x14ac:dyDescent="0.25">
      <c r="A761"/>
      <c r="B761"/>
      <c r="C761"/>
      <c r="D761"/>
      <c r="E761"/>
      <c r="F761"/>
      <c r="G761"/>
      <c r="H761"/>
      <c r="I761"/>
    </row>
    <row r="762" spans="1:9" x14ac:dyDescent="0.25">
      <c r="A762"/>
      <c r="B762"/>
      <c r="C762"/>
      <c r="D762"/>
      <c r="E762"/>
      <c r="F762"/>
      <c r="G762"/>
      <c r="H762"/>
      <c r="I762"/>
    </row>
    <row r="763" spans="1:9" x14ac:dyDescent="0.25">
      <c r="A763"/>
      <c r="B763"/>
      <c r="C763"/>
      <c r="D763"/>
      <c r="E763"/>
      <c r="F763"/>
      <c r="G763"/>
      <c r="H763"/>
      <c r="I763"/>
    </row>
    <row r="764" spans="1:9" x14ac:dyDescent="0.25">
      <c r="A764"/>
      <c r="B764"/>
      <c r="C764"/>
      <c r="D764"/>
      <c r="E764"/>
      <c r="F764"/>
      <c r="G764"/>
      <c r="H764"/>
      <c r="I764"/>
    </row>
    <row r="765" spans="1:9" x14ac:dyDescent="0.25">
      <c r="A765"/>
      <c r="B765"/>
      <c r="C765"/>
      <c r="D765"/>
      <c r="E765"/>
      <c r="F765"/>
      <c r="G765"/>
      <c r="H765"/>
      <c r="I765"/>
    </row>
    <row r="766" spans="1:9" x14ac:dyDescent="0.25">
      <c r="A766"/>
      <c r="B766"/>
      <c r="C766"/>
      <c r="D766"/>
      <c r="E766"/>
      <c r="F766"/>
      <c r="G766"/>
      <c r="H766"/>
      <c r="I766"/>
    </row>
    <row r="767" spans="1:9" x14ac:dyDescent="0.25">
      <c r="A767"/>
      <c r="B767"/>
      <c r="C767"/>
      <c r="D767"/>
      <c r="E767"/>
      <c r="F767"/>
      <c r="G767"/>
      <c r="H767"/>
      <c r="I767"/>
    </row>
    <row r="768" spans="1:9" x14ac:dyDescent="0.25">
      <c r="A768"/>
      <c r="B768"/>
      <c r="C768"/>
      <c r="D768"/>
      <c r="E768"/>
      <c r="F768"/>
      <c r="G768"/>
      <c r="H768"/>
      <c r="I768"/>
    </row>
    <row r="769" spans="1:9" x14ac:dyDescent="0.25">
      <c r="A769"/>
      <c r="B769"/>
      <c r="C769"/>
      <c r="D769"/>
      <c r="E769"/>
      <c r="F769"/>
      <c r="G769"/>
      <c r="H769"/>
      <c r="I769"/>
    </row>
    <row r="770" spans="1:9" x14ac:dyDescent="0.25">
      <c r="A770"/>
      <c r="B770"/>
      <c r="C770"/>
      <c r="D770"/>
      <c r="E770"/>
      <c r="F770"/>
      <c r="G770"/>
      <c r="H770"/>
      <c r="I770"/>
    </row>
    <row r="771" spans="1:9" x14ac:dyDescent="0.25">
      <c r="A771"/>
      <c r="B771"/>
      <c r="C771"/>
      <c r="D771"/>
      <c r="E771"/>
      <c r="F771"/>
      <c r="G771"/>
      <c r="H771"/>
      <c r="I771"/>
    </row>
    <row r="772" spans="1:9" x14ac:dyDescent="0.25">
      <c r="A772"/>
      <c r="B772"/>
      <c r="C772"/>
      <c r="D772"/>
      <c r="E772"/>
      <c r="F772"/>
      <c r="G772"/>
      <c r="H772"/>
      <c r="I772"/>
    </row>
    <row r="773" spans="1:9" x14ac:dyDescent="0.25">
      <c r="A773"/>
      <c r="B773"/>
      <c r="C773"/>
      <c r="D773"/>
      <c r="E773"/>
      <c r="F773"/>
      <c r="G773"/>
      <c r="H773"/>
      <c r="I773"/>
    </row>
    <row r="774" spans="1:9" x14ac:dyDescent="0.25">
      <c r="A774"/>
      <c r="B774"/>
      <c r="C774"/>
      <c r="D774"/>
      <c r="E774"/>
      <c r="F774"/>
      <c r="G774"/>
      <c r="H774"/>
      <c r="I774"/>
    </row>
    <row r="775" spans="1:9" x14ac:dyDescent="0.25">
      <c r="A775"/>
      <c r="B775"/>
      <c r="C775"/>
      <c r="D775"/>
      <c r="E775"/>
      <c r="F775"/>
      <c r="G775"/>
      <c r="H775"/>
      <c r="I775"/>
    </row>
    <row r="776" spans="1:9" x14ac:dyDescent="0.25">
      <c r="A776"/>
      <c r="B776"/>
      <c r="C776"/>
      <c r="D776"/>
      <c r="E776"/>
      <c r="F776"/>
      <c r="G776"/>
      <c r="H776"/>
      <c r="I776"/>
    </row>
    <row r="777" spans="1:9" x14ac:dyDescent="0.25">
      <c r="A777"/>
      <c r="B777"/>
      <c r="C777"/>
      <c r="D777"/>
      <c r="E777"/>
      <c r="F777"/>
      <c r="G777"/>
      <c r="H777"/>
      <c r="I777"/>
    </row>
    <row r="778" spans="1:9" x14ac:dyDescent="0.25">
      <c r="A778"/>
      <c r="B778"/>
      <c r="C778"/>
      <c r="D778"/>
      <c r="E778"/>
      <c r="F778"/>
      <c r="G778"/>
      <c r="H778"/>
      <c r="I778"/>
    </row>
    <row r="779" spans="1:9" x14ac:dyDescent="0.25">
      <c r="A779"/>
      <c r="B779"/>
      <c r="C779"/>
      <c r="D779"/>
      <c r="E779"/>
      <c r="F779"/>
      <c r="G779"/>
      <c r="H779"/>
      <c r="I779"/>
    </row>
    <row r="780" spans="1:9" x14ac:dyDescent="0.25">
      <c r="A780"/>
      <c r="B780"/>
      <c r="C780"/>
      <c r="D780"/>
      <c r="E780"/>
      <c r="F780"/>
      <c r="G780"/>
      <c r="H780"/>
      <c r="I780"/>
    </row>
    <row r="781" spans="1:9" x14ac:dyDescent="0.25">
      <c r="A781"/>
      <c r="B781"/>
      <c r="C781"/>
      <c r="D781"/>
      <c r="E781"/>
      <c r="F781"/>
      <c r="G781"/>
      <c r="H781"/>
      <c r="I781"/>
    </row>
    <row r="782" spans="1:9" x14ac:dyDescent="0.25">
      <c r="A782"/>
      <c r="B782"/>
      <c r="C782"/>
      <c r="D782"/>
      <c r="E782"/>
      <c r="F782"/>
      <c r="G782"/>
      <c r="H782"/>
      <c r="I782"/>
    </row>
    <row r="783" spans="1:9" x14ac:dyDescent="0.25">
      <c r="A783"/>
      <c r="B783"/>
      <c r="C783"/>
      <c r="D783"/>
      <c r="E783"/>
      <c r="F783"/>
      <c r="G783"/>
      <c r="H783"/>
      <c r="I783"/>
    </row>
    <row r="784" spans="1:9" x14ac:dyDescent="0.25">
      <c r="A784"/>
      <c r="B784"/>
      <c r="C784"/>
      <c r="D784"/>
      <c r="E784"/>
      <c r="F784"/>
      <c r="G784"/>
      <c r="H784"/>
      <c r="I784"/>
    </row>
    <row r="785" spans="1:9" x14ac:dyDescent="0.25">
      <c r="A785"/>
      <c r="B785"/>
      <c r="C785"/>
      <c r="D785"/>
      <c r="E785"/>
      <c r="F785"/>
      <c r="G785"/>
      <c r="H785"/>
      <c r="I785"/>
    </row>
    <row r="786" spans="1:9" x14ac:dyDescent="0.25">
      <c r="A786"/>
      <c r="B786"/>
      <c r="C786"/>
      <c r="D786"/>
      <c r="E786"/>
      <c r="F786"/>
      <c r="G786"/>
      <c r="H786"/>
      <c r="I786"/>
    </row>
    <row r="787" spans="1:9" x14ac:dyDescent="0.25">
      <c r="A787"/>
      <c r="B787"/>
      <c r="C787"/>
      <c r="D787"/>
      <c r="E787"/>
      <c r="F787"/>
      <c r="G787"/>
      <c r="H787"/>
      <c r="I787"/>
    </row>
    <row r="788" spans="1:9" x14ac:dyDescent="0.25">
      <c r="A788"/>
      <c r="B788"/>
      <c r="C788"/>
      <c r="D788"/>
      <c r="E788"/>
      <c r="F788"/>
      <c r="G788"/>
      <c r="H788"/>
      <c r="I788"/>
    </row>
    <row r="789" spans="1:9" x14ac:dyDescent="0.25">
      <c r="A789"/>
      <c r="B789"/>
      <c r="C789"/>
      <c r="D789"/>
      <c r="E789"/>
      <c r="F789"/>
      <c r="G789"/>
      <c r="H789"/>
      <c r="I789"/>
    </row>
    <row r="790" spans="1:9" x14ac:dyDescent="0.25">
      <c r="A790"/>
      <c r="B790"/>
      <c r="C790"/>
      <c r="D790"/>
      <c r="E790"/>
      <c r="F790"/>
      <c r="G790"/>
      <c r="H790"/>
      <c r="I790"/>
    </row>
    <row r="791" spans="1:9" x14ac:dyDescent="0.25">
      <c r="A791"/>
      <c r="B791"/>
      <c r="C791"/>
      <c r="D791"/>
      <c r="E791"/>
      <c r="F791"/>
      <c r="G791"/>
      <c r="H791"/>
      <c r="I791"/>
    </row>
    <row r="792" spans="1:9" x14ac:dyDescent="0.25">
      <c r="A792"/>
      <c r="B792"/>
      <c r="C792"/>
      <c r="D792"/>
      <c r="E792"/>
      <c r="F792"/>
      <c r="G792"/>
      <c r="H792"/>
      <c r="I792"/>
    </row>
    <row r="793" spans="1:9" x14ac:dyDescent="0.25">
      <c r="A793"/>
      <c r="B793"/>
      <c r="C793"/>
      <c r="D793"/>
      <c r="E793"/>
      <c r="F793"/>
      <c r="G793"/>
      <c r="H793"/>
      <c r="I793"/>
    </row>
    <row r="794" spans="1:9" x14ac:dyDescent="0.25">
      <c r="A794"/>
      <c r="B794"/>
      <c r="C794"/>
      <c r="D794"/>
      <c r="E794"/>
      <c r="F794"/>
      <c r="G794"/>
      <c r="H794"/>
      <c r="I794"/>
    </row>
    <row r="795" spans="1:9" x14ac:dyDescent="0.25">
      <c r="A795"/>
      <c r="B795"/>
      <c r="C795"/>
      <c r="D795"/>
      <c r="E795"/>
      <c r="F795"/>
      <c r="G795"/>
      <c r="H795"/>
      <c r="I795"/>
    </row>
    <row r="796" spans="1:9" x14ac:dyDescent="0.25">
      <c r="A796"/>
      <c r="B796"/>
      <c r="C796"/>
      <c r="D796"/>
      <c r="E796"/>
      <c r="F796"/>
      <c r="G796"/>
      <c r="H796"/>
      <c r="I796"/>
    </row>
    <row r="797" spans="1:9" x14ac:dyDescent="0.25">
      <c r="A797"/>
      <c r="B797"/>
      <c r="C797"/>
      <c r="D797"/>
      <c r="E797"/>
      <c r="F797"/>
      <c r="G797"/>
      <c r="H797"/>
      <c r="I797"/>
    </row>
    <row r="798" spans="1:9" x14ac:dyDescent="0.25">
      <c r="A798"/>
      <c r="B798"/>
      <c r="C798"/>
      <c r="D798"/>
      <c r="E798"/>
      <c r="F798"/>
      <c r="G798"/>
      <c r="H798"/>
      <c r="I798"/>
    </row>
    <row r="799" spans="1:9" x14ac:dyDescent="0.25">
      <c r="A799"/>
      <c r="B799"/>
      <c r="C799"/>
      <c r="D799"/>
      <c r="E799"/>
      <c r="F799"/>
      <c r="G799"/>
      <c r="H799"/>
      <c r="I799"/>
    </row>
    <row r="800" spans="1:9" x14ac:dyDescent="0.25">
      <c r="A800"/>
      <c r="B800"/>
      <c r="C800"/>
      <c r="D800"/>
      <c r="E800"/>
      <c r="F800"/>
      <c r="G800"/>
      <c r="H800"/>
      <c r="I800"/>
    </row>
    <row r="801" spans="1:9" x14ac:dyDescent="0.25">
      <c r="A801"/>
      <c r="B801"/>
      <c r="C801"/>
      <c r="D801"/>
      <c r="E801"/>
      <c r="F801"/>
      <c r="G801"/>
      <c r="H801"/>
      <c r="I801"/>
    </row>
    <row r="802" spans="1:9" x14ac:dyDescent="0.25">
      <c r="A802"/>
      <c r="B802"/>
      <c r="C802"/>
      <c r="D802"/>
      <c r="E802"/>
      <c r="F802"/>
      <c r="G802"/>
      <c r="H802"/>
      <c r="I802"/>
    </row>
    <row r="803" spans="1:9" x14ac:dyDescent="0.25">
      <c r="A803"/>
      <c r="B803"/>
      <c r="C803"/>
      <c r="D803"/>
      <c r="E803"/>
      <c r="F803"/>
      <c r="G803"/>
      <c r="H803"/>
      <c r="I803"/>
    </row>
    <row r="804" spans="1:9" x14ac:dyDescent="0.25">
      <c r="A804"/>
      <c r="B804"/>
      <c r="C804"/>
      <c r="D804"/>
      <c r="E804"/>
      <c r="F804"/>
      <c r="G804"/>
      <c r="H804"/>
      <c r="I804"/>
    </row>
    <row r="805" spans="1:9" x14ac:dyDescent="0.25">
      <c r="A805"/>
      <c r="B805"/>
      <c r="C805"/>
      <c r="D805"/>
      <c r="E805"/>
      <c r="F805"/>
      <c r="G805"/>
      <c r="H805"/>
      <c r="I805"/>
    </row>
    <row r="806" spans="1:9" x14ac:dyDescent="0.25">
      <c r="A806"/>
      <c r="B806"/>
      <c r="C806"/>
      <c r="D806"/>
      <c r="E806"/>
      <c r="F806"/>
      <c r="G806"/>
      <c r="H806"/>
      <c r="I806"/>
    </row>
    <row r="807" spans="1:9" x14ac:dyDescent="0.25">
      <c r="A807"/>
      <c r="B807"/>
      <c r="C807"/>
      <c r="D807"/>
      <c r="E807"/>
      <c r="F807"/>
      <c r="G807"/>
      <c r="H807"/>
      <c r="I807"/>
    </row>
    <row r="808" spans="1:9" x14ac:dyDescent="0.25">
      <c r="A808"/>
      <c r="B808"/>
      <c r="C808"/>
      <c r="D808"/>
      <c r="E808"/>
      <c r="F808"/>
      <c r="G808"/>
      <c r="H808"/>
      <c r="I808"/>
    </row>
    <row r="809" spans="1:9" x14ac:dyDescent="0.25">
      <c r="A809"/>
      <c r="B809"/>
      <c r="C809"/>
      <c r="D809"/>
      <c r="E809"/>
      <c r="F809"/>
      <c r="G809"/>
      <c r="H809"/>
      <c r="I809"/>
    </row>
    <row r="810" spans="1:9" x14ac:dyDescent="0.25">
      <c r="A810"/>
      <c r="B810"/>
      <c r="C810"/>
      <c r="D810"/>
      <c r="E810"/>
      <c r="F810"/>
      <c r="G810"/>
      <c r="H810"/>
      <c r="I810"/>
    </row>
    <row r="811" spans="1:9" x14ac:dyDescent="0.25">
      <c r="A811"/>
      <c r="B811"/>
      <c r="C811"/>
      <c r="D811"/>
      <c r="E811"/>
      <c r="F811"/>
      <c r="G811"/>
      <c r="H811"/>
      <c r="I811"/>
    </row>
    <row r="812" spans="1:9" x14ac:dyDescent="0.25">
      <c r="A812"/>
      <c r="B812"/>
      <c r="C812"/>
      <c r="D812"/>
      <c r="E812"/>
      <c r="F812"/>
      <c r="G812"/>
      <c r="H812"/>
      <c r="I812"/>
    </row>
    <row r="813" spans="1:9" x14ac:dyDescent="0.25">
      <c r="A813"/>
      <c r="B813"/>
      <c r="C813"/>
      <c r="D813"/>
      <c r="E813"/>
      <c r="F813"/>
      <c r="G813"/>
      <c r="H813"/>
      <c r="I813"/>
    </row>
    <row r="814" spans="1:9" x14ac:dyDescent="0.25">
      <c r="A814"/>
      <c r="B814"/>
      <c r="C814"/>
      <c r="D814"/>
      <c r="E814"/>
      <c r="F814"/>
      <c r="G814"/>
      <c r="H814"/>
      <c r="I814"/>
    </row>
    <row r="815" spans="1:9" x14ac:dyDescent="0.25">
      <c r="A815"/>
      <c r="B815"/>
      <c r="C815"/>
      <c r="D815"/>
      <c r="E815"/>
      <c r="F815"/>
      <c r="G815"/>
      <c r="H815"/>
      <c r="I815"/>
    </row>
    <row r="816" spans="1:9" x14ac:dyDescent="0.25">
      <c r="A816"/>
      <c r="B816"/>
      <c r="C816"/>
      <c r="D816"/>
      <c r="E816"/>
      <c r="F816"/>
      <c r="G816"/>
      <c r="H816"/>
      <c r="I816"/>
    </row>
    <row r="817" spans="1:9" x14ac:dyDescent="0.25">
      <c r="A817"/>
      <c r="B817"/>
      <c r="C817"/>
      <c r="D817"/>
      <c r="E817"/>
      <c r="F817"/>
      <c r="G817"/>
      <c r="H817"/>
      <c r="I817"/>
    </row>
    <row r="818" spans="1:9" x14ac:dyDescent="0.25">
      <c r="A818"/>
      <c r="B818"/>
      <c r="C818"/>
      <c r="D818"/>
      <c r="E818"/>
      <c r="F818"/>
      <c r="G818"/>
      <c r="H818"/>
      <c r="I818"/>
    </row>
    <row r="819" spans="1:9" x14ac:dyDescent="0.25">
      <c r="A819"/>
      <c r="B819"/>
      <c r="C819"/>
      <c r="D819"/>
      <c r="E819"/>
      <c r="F819"/>
      <c r="G819"/>
      <c r="H819"/>
      <c r="I819"/>
    </row>
    <row r="820" spans="1:9" x14ac:dyDescent="0.25">
      <c r="A820"/>
      <c r="B820"/>
      <c r="C820"/>
      <c r="D820"/>
      <c r="E820"/>
      <c r="F820"/>
      <c r="G820"/>
      <c r="H820"/>
      <c r="I820"/>
    </row>
    <row r="821" spans="1:9" x14ac:dyDescent="0.25">
      <c r="A821"/>
      <c r="B821"/>
      <c r="C821"/>
      <c r="D821"/>
      <c r="E821"/>
      <c r="F821"/>
      <c r="G821"/>
      <c r="H821"/>
      <c r="I821"/>
    </row>
    <row r="822" spans="1:9" x14ac:dyDescent="0.25">
      <c r="A822"/>
      <c r="B822"/>
      <c r="C822"/>
      <c r="D822"/>
      <c r="E822"/>
      <c r="F822"/>
      <c r="G822"/>
      <c r="H822"/>
      <c r="I822"/>
    </row>
    <row r="823" spans="1:9" x14ac:dyDescent="0.25">
      <c r="A823"/>
      <c r="B823"/>
      <c r="C823"/>
      <c r="D823"/>
      <c r="E823"/>
      <c r="F823"/>
      <c r="G823"/>
      <c r="H823"/>
      <c r="I823"/>
    </row>
    <row r="824" spans="1:9" x14ac:dyDescent="0.25">
      <c r="A824"/>
      <c r="B824"/>
      <c r="C824"/>
      <c r="D824"/>
      <c r="E824"/>
      <c r="F824"/>
      <c r="G824"/>
      <c r="H824"/>
      <c r="I824"/>
    </row>
    <row r="825" spans="1:9" x14ac:dyDescent="0.25">
      <c r="A825"/>
      <c r="B825"/>
      <c r="C825"/>
      <c r="D825"/>
      <c r="E825"/>
      <c r="F825"/>
      <c r="G825"/>
      <c r="H825"/>
      <c r="I825"/>
    </row>
    <row r="826" spans="1:9" x14ac:dyDescent="0.25">
      <c r="A826"/>
      <c r="B826"/>
      <c r="C826"/>
      <c r="D826"/>
      <c r="E826"/>
      <c r="F826"/>
      <c r="G826"/>
      <c r="H826"/>
      <c r="I826"/>
    </row>
    <row r="827" spans="1:9" x14ac:dyDescent="0.25">
      <c r="A827"/>
      <c r="B827"/>
      <c r="C827"/>
      <c r="D827"/>
      <c r="E827"/>
      <c r="F827"/>
      <c r="G827"/>
      <c r="H827"/>
      <c r="I827"/>
    </row>
    <row r="828" spans="1:9" x14ac:dyDescent="0.25">
      <c r="A828"/>
      <c r="B828"/>
      <c r="C828"/>
      <c r="D828"/>
      <c r="E828"/>
      <c r="F828"/>
      <c r="G828"/>
      <c r="H828"/>
      <c r="I828"/>
    </row>
    <row r="829" spans="1:9" x14ac:dyDescent="0.25">
      <c r="A829"/>
      <c r="B829"/>
      <c r="C829"/>
      <c r="D829"/>
      <c r="E829"/>
      <c r="F829"/>
      <c r="G829"/>
      <c r="H829"/>
      <c r="I829"/>
    </row>
    <row r="830" spans="1:9" x14ac:dyDescent="0.25">
      <c r="A830"/>
      <c r="B830"/>
      <c r="C830"/>
      <c r="D830"/>
      <c r="E830"/>
      <c r="F830"/>
      <c r="G830"/>
      <c r="H830"/>
      <c r="I830"/>
    </row>
    <row r="831" spans="1:9" x14ac:dyDescent="0.25">
      <c r="A831"/>
      <c r="B831"/>
      <c r="C831"/>
      <c r="D831"/>
      <c r="E831"/>
      <c r="F831"/>
      <c r="G831"/>
      <c r="H831"/>
      <c r="I831"/>
    </row>
    <row r="832" spans="1:9" x14ac:dyDescent="0.25">
      <c r="A832"/>
      <c r="B832"/>
      <c r="C832"/>
      <c r="D832"/>
      <c r="E832"/>
      <c r="F832"/>
      <c r="G832"/>
      <c r="H832"/>
      <c r="I832"/>
    </row>
    <row r="833" spans="1:9" x14ac:dyDescent="0.25">
      <c r="A833"/>
      <c r="B833"/>
      <c r="C833"/>
      <c r="D833"/>
      <c r="E833"/>
      <c r="F833"/>
      <c r="G833"/>
      <c r="H833"/>
      <c r="I833"/>
    </row>
    <row r="834" spans="1:9" x14ac:dyDescent="0.25">
      <c r="A834"/>
      <c r="B834"/>
      <c r="C834"/>
      <c r="D834"/>
      <c r="E834"/>
      <c r="F834"/>
      <c r="G834"/>
      <c r="H834"/>
      <c r="I834"/>
    </row>
    <row r="835" spans="1:9" x14ac:dyDescent="0.25">
      <c r="A835"/>
      <c r="B835"/>
      <c r="C835"/>
      <c r="D835"/>
      <c r="E835"/>
      <c r="F835"/>
      <c r="G835"/>
      <c r="H835"/>
      <c r="I835"/>
    </row>
    <row r="836" spans="1:9" x14ac:dyDescent="0.25">
      <c r="A836"/>
      <c r="B836"/>
      <c r="C836"/>
      <c r="D836"/>
      <c r="E836"/>
      <c r="F836"/>
      <c r="G836"/>
      <c r="H836"/>
      <c r="I836"/>
    </row>
    <row r="837" spans="1:9" x14ac:dyDescent="0.25">
      <c r="A837"/>
      <c r="B837"/>
      <c r="C837"/>
      <c r="D837"/>
      <c r="E837"/>
      <c r="F837"/>
      <c r="G837"/>
      <c r="H837"/>
      <c r="I837"/>
    </row>
    <row r="838" spans="1:9" x14ac:dyDescent="0.25">
      <c r="A838"/>
      <c r="B838"/>
      <c r="C838"/>
      <c r="D838"/>
      <c r="E838"/>
      <c r="F838"/>
      <c r="G838"/>
      <c r="H838"/>
      <c r="I838"/>
    </row>
    <row r="839" spans="1:9" x14ac:dyDescent="0.25">
      <c r="A839"/>
      <c r="B839"/>
      <c r="C839"/>
      <c r="D839"/>
      <c r="E839"/>
      <c r="F839"/>
      <c r="G839"/>
      <c r="H839"/>
      <c r="I839"/>
    </row>
    <row r="840" spans="1:9" x14ac:dyDescent="0.25">
      <c r="A840"/>
      <c r="B840"/>
      <c r="C840"/>
      <c r="D840"/>
      <c r="E840"/>
      <c r="F840"/>
      <c r="G840"/>
      <c r="H840"/>
      <c r="I840"/>
    </row>
    <row r="841" spans="1:9" x14ac:dyDescent="0.25">
      <c r="A841"/>
      <c r="B841"/>
      <c r="C841"/>
      <c r="D841"/>
      <c r="E841"/>
      <c r="F841"/>
      <c r="G841"/>
      <c r="H841"/>
      <c r="I841"/>
    </row>
    <row r="842" spans="1:9" x14ac:dyDescent="0.25">
      <c r="A842"/>
      <c r="B842"/>
      <c r="C842"/>
      <c r="D842"/>
      <c r="E842"/>
      <c r="F842"/>
      <c r="G842"/>
      <c r="H842"/>
      <c r="I842"/>
    </row>
    <row r="843" spans="1:9" x14ac:dyDescent="0.25">
      <c r="A843"/>
      <c r="B843"/>
      <c r="C843"/>
      <c r="D843"/>
      <c r="E843"/>
      <c r="F843"/>
      <c r="G843"/>
      <c r="H843"/>
      <c r="I843"/>
    </row>
    <row r="844" spans="1:9" x14ac:dyDescent="0.25">
      <c r="A844"/>
      <c r="B844"/>
      <c r="C844"/>
      <c r="D844"/>
      <c r="E844"/>
      <c r="F844"/>
      <c r="G844"/>
      <c r="H844"/>
      <c r="I844"/>
    </row>
    <row r="845" spans="1:9" x14ac:dyDescent="0.25">
      <c r="A845"/>
      <c r="B845"/>
      <c r="C845"/>
      <c r="D845"/>
      <c r="E845"/>
      <c r="F845"/>
      <c r="G845"/>
      <c r="H845"/>
      <c r="I845"/>
    </row>
    <row r="846" spans="1:9" x14ac:dyDescent="0.25">
      <c r="A846"/>
      <c r="B846"/>
      <c r="C846"/>
      <c r="D846"/>
      <c r="E846"/>
      <c r="F846"/>
      <c r="G846"/>
      <c r="H846"/>
      <c r="I846"/>
    </row>
    <row r="847" spans="1:9" x14ac:dyDescent="0.25">
      <c r="A847"/>
      <c r="B847"/>
      <c r="C847"/>
      <c r="D847"/>
      <c r="E847"/>
      <c r="F847"/>
      <c r="G847"/>
      <c r="H847"/>
      <c r="I847"/>
    </row>
    <row r="848" spans="1:9" x14ac:dyDescent="0.25">
      <c r="A848"/>
      <c r="B848"/>
      <c r="C848"/>
      <c r="D848"/>
      <c r="E848"/>
      <c r="F848"/>
      <c r="G848"/>
      <c r="H848"/>
      <c r="I848"/>
    </row>
    <row r="849" spans="1:9" x14ac:dyDescent="0.25">
      <c r="A849"/>
      <c r="B849"/>
      <c r="C849"/>
      <c r="D849"/>
      <c r="E849"/>
      <c r="F849"/>
      <c r="G849"/>
      <c r="H849"/>
      <c r="I849"/>
    </row>
    <row r="850" spans="1:9" x14ac:dyDescent="0.25">
      <c r="A850"/>
      <c r="B850"/>
      <c r="C850"/>
      <c r="D850"/>
      <c r="E850"/>
      <c r="F850"/>
      <c r="G850"/>
      <c r="H850"/>
      <c r="I850"/>
    </row>
    <row r="851" spans="1:9" x14ac:dyDescent="0.25">
      <c r="A851"/>
      <c r="B851"/>
      <c r="C851"/>
      <c r="D851"/>
      <c r="E851"/>
      <c r="F851"/>
      <c r="G851"/>
      <c r="H851"/>
      <c r="I851"/>
    </row>
    <row r="852" spans="1:9" x14ac:dyDescent="0.25">
      <c r="A852"/>
      <c r="B852"/>
      <c r="C852"/>
      <c r="D852"/>
      <c r="E852"/>
      <c r="F852"/>
      <c r="G852"/>
      <c r="H852"/>
      <c r="I852"/>
    </row>
    <row r="853" spans="1:9" x14ac:dyDescent="0.25">
      <c r="A853"/>
      <c r="B853"/>
      <c r="C853"/>
      <c r="D853"/>
      <c r="E853"/>
      <c r="F853"/>
      <c r="G853"/>
      <c r="H853"/>
      <c r="I853"/>
    </row>
    <row r="854" spans="1:9" x14ac:dyDescent="0.25">
      <c r="A854"/>
      <c r="B854"/>
      <c r="C854"/>
      <c r="D854"/>
      <c r="E854"/>
      <c r="F854"/>
      <c r="G854"/>
      <c r="H854"/>
      <c r="I854"/>
    </row>
    <row r="855" spans="1:9" x14ac:dyDescent="0.25">
      <c r="A855"/>
      <c r="B855"/>
      <c r="C855"/>
      <c r="D855"/>
      <c r="E855"/>
      <c r="F855"/>
      <c r="G855"/>
      <c r="H855"/>
      <c r="I855"/>
    </row>
    <row r="856" spans="1:9" x14ac:dyDescent="0.25">
      <c r="A856"/>
      <c r="B856"/>
      <c r="C856"/>
      <c r="D856"/>
      <c r="E856"/>
      <c r="F856"/>
      <c r="G856"/>
      <c r="H856"/>
      <c r="I856"/>
    </row>
    <row r="857" spans="1:9" x14ac:dyDescent="0.25">
      <c r="A857"/>
      <c r="B857"/>
      <c r="C857"/>
      <c r="D857"/>
      <c r="E857"/>
      <c r="F857"/>
      <c r="G857"/>
      <c r="H857"/>
      <c r="I857"/>
    </row>
    <row r="858" spans="1:9" x14ac:dyDescent="0.25">
      <c r="A858"/>
      <c r="B858"/>
      <c r="C858"/>
      <c r="D858"/>
      <c r="E858"/>
      <c r="F858"/>
      <c r="G858"/>
      <c r="H858"/>
      <c r="I858"/>
    </row>
    <row r="859" spans="1:9" x14ac:dyDescent="0.25">
      <c r="A859"/>
      <c r="B859"/>
      <c r="C859"/>
      <c r="D859"/>
      <c r="E859"/>
      <c r="F859"/>
      <c r="G859"/>
      <c r="H859"/>
      <c r="I859"/>
    </row>
    <row r="860" spans="1:9" x14ac:dyDescent="0.25">
      <c r="A860"/>
      <c r="B860"/>
      <c r="C860"/>
      <c r="D860"/>
      <c r="E860"/>
      <c r="F860"/>
      <c r="G860"/>
      <c r="H860"/>
      <c r="I860"/>
    </row>
    <row r="861" spans="1:9" x14ac:dyDescent="0.25">
      <c r="A861"/>
      <c r="B861"/>
      <c r="C861"/>
      <c r="D861"/>
      <c r="E861"/>
      <c r="F861"/>
      <c r="G861"/>
      <c r="H861"/>
      <c r="I861"/>
    </row>
    <row r="862" spans="1:9" x14ac:dyDescent="0.25">
      <c r="A862"/>
      <c r="B862"/>
      <c r="C862"/>
      <c r="D862"/>
      <c r="E862"/>
      <c r="F862"/>
      <c r="G862"/>
      <c r="H862"/>
      <c r="I862"/>
    </row>
    <row r="863" spans="1:9" x14ac:dyDescent="0.25">
      <c r="A863"/>
      <c r="B863"/>
      <c r="C863"/>
      <c r="D863"/>
      <c r="E863"/>
      <c r="F863"/>
      <c r="G863"/>
      <c r="H863"/>
      <c r="I863"/>
    </row>
    <row r="864" spans="1:9" x14ac:dyDescent="0.25">
      <c r="A864"/>
      <c r="B864"/>
      <c r="C864"/>
      <c r="D864"/>
      <c r="E864"/>
      <c r="F864"/>
      <c r="G864"/>
      <c r="H864"/>
      <c r="I864"/>
    </row>
    <row r="865" spans="1:9" x14ac:dyDescent="0.25">
      <c r="A865"/>
      <c r="B865"/>
      <c r="C865"/>
      <c r="D865"/>
      <c r="E865"/>
      <c r="F865"/>
      <c r="G865"/>
      <c r="H865"/>
      <c r="I865"/>
    </row>
    <row r="866" spans="1:9" x14ac:dyDescent="0.25">
      <c r="A866"/>
      <c r="B866"/>
      <c r="C866"/>
      <c r="D866"/>
      <c r="E866"/>
      <c r="F866"/>
      <c r="G866"/>
      <c r="H866"/>
      <c r="I866"/>
    </row>
    <row r="867" spans="1:9" x14ac:dyDescent="0.25">
      <c r="A867"/>
      <c r="B867"/>
      <c r="C867"/>
      <c r="D867"/>
      <c r="E867"/>
      <c r="F867"/>
      <c r="G867"/>
      <c r="H867"/>
      <c r="I867"/>
    </row>
    <row r="868" spans="1:9" x14ac:dyDescent="0.25">
      <c r="A868"/>
      <c r="B868"/>
      <c r="C868"/>
      <c r="D868"/>
      <c r="E868"/>
      <c r="F868"/>
      <c r="G868"/>
      <c r="H868"/>
      <c r="I868"/>
    </row>
    <row r="869" spans="1:9" x14ac:dyDescent="0.25">
      <c r="A869"/>
      <c r="B869"/>
      <c r="C869"/>
      <c r="D869"/>
      <c r="E869"/>
      <c r="F869"/>
      <c r="G869"/>
      <c r="H869"/>
      <c r="I869"/>
    </row>
    <row r="870" spans="1:9" x14ac:dyDescent="0.25">
      <c r="A870"/>
      <c r="B870"/>
      <c r="C870"/>
      <c r="D870"/>
      <c r="E870"/>
      <c r="F870"/>
      <c r="G870"/>
      <c r="H870"/>
      <c r="I870"/>
    </row>
    <row r="871" spans="1:9" x14ac:dyDescent="0.25">
      <c r="A871"/>
      <c r="B871"/>
      <c r="C871"/>
      <c r="D871"/>
      <c r="E871"/>
      <c r="F871"/>
      <c r="G871"/>
      <c r="H871"/>
      <c r="I871"/>
    </row>
    <row r="872" spans="1:9" x14ac:dyDescent="0.25">
      <c r="A872"/>
      <c r="B872"/>
      <c r="C872"/>
      <c r="D872"/>
      <c r="E872"/>
      <c r="F872"/>
      <c r="G872"/>
      <c r="H872"/>
      <c r="I872"/>
    </row>
    <row r="873" spans="1:9" x14ac:dyDescent="0.25">
      <c r="A873"/>
      <c r="B873"/>
      <c r="C873"/>
      <c r="D873"/>
      <c r="E873"/>
      <c r="F873"/>
      <c r="G873"/>
      <c r="H873"/>
      <c r="I873"/>
    </row>
    <row r="874" spans="1:9" x14ac:dyDescent="0.25">
      <c r="A874"/>
      <c r="B874"/>
      <c r="C874"/>
      <c r="D874"/>
      <c r="E874"/>
      <c r="F874"/>
      <c r="G874"/>
      <c r="H874"/>
      <c r="I874"/>
    </row>
    <row r="875" spans="1:9" x14ac:dyDescent="0.25">
      <c r="A875"/>
      <c r="B875"/>
      <c r="C875"/>
      <c r="D875"/>
      <c r="E875"/>
      <c r="F875"/>
      <c r="G875"/>
      <c r="H875"/>
      <c r="I875"/>
    </row>
    <row r="876" spans="1:9" x14ac:dyDescent="0.25">
      <c r="A876"/>
      <c r="B876"/>
      <c r="C876"/>
      <c r="D876"/>
      <c r="E876"/>
      <c r="F876"/>
      <c r="G876"/>
      <c r="H876"/>
      <c r="I876"/>
    </row>
    <row r="877" spans="1:9" x14ac:dyDescent="0.25">
      <c r="A877"/>
      <c r="B877"/>
      <c r="C877"/>
      <c r="D877"/>
      <c r="E877"/>
      <c r="F877"/>
      <c r="G877"/>
      <c r="H877"/>
      <c r="I877"/>
    </row>
  </sheetData>
  <printOptions horizontalCentered="1"/>
  <pageMargins left="0.25" right="0.25" top="0.75" bottom="0.75" header="0.3" footer="0.3"/>
  <pageSetup paperSize="9" scale="79" fitToHeight="3" orientation="portrait" r:id="rId2"/>
  <drawing r:id="rId3"/>
  <extLst>
    <ext xmlns:x14="http://schemas.microsoft.com/office/spreadsheetml/2009/9/main" uri="{A8765BA9-456A-4dab-B4F3-ACF838C121DE}">
      <x14:slicerList>
        <x14:slicer r:id="rId4"/>
      </x14:slicerList>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54348-0266-458E-B4F6-1DF40FC007D0}">
  <sheetPr>
    <pageSetUpPr fitToPage="1"/>
  </sheetPr>
  <dimension ref="A1:L18"/>
  <sheetViews>
    <sheetView view="pageBreakPreview" zoomScale="80" zoomScaleNormal="100" zoomScaleSheetLayoutView="80" workbookViewId="0">
      <selection activeCell="C2" sqref="C2"/>
    </sheetView>
  </sheetViews>
  <sheetFormatPr defaultRowHeight="15" x14ac:dyDescent="0.25"/>
  <cols>
    <col min="1" max="1" width="11.5703125" style="79" bestFit="1" customWidth="1"/>
    <col min="2" max="2" width="15" style="192" bestFit="1" customWidth="1"/>
    <col min="3" max="3" width="11.42578125" style="79" customWidth="1"/>
    <col min="4" max="5" width="15.5703125" style="79" bestFit="1" customWidth="1"/>
    <col min="6" max="6" width="12.42578125" style="79" bestFit="1" customWidth="1"/>
    <col min="7" max="7" width="13.42578125" style="79" bestFit="1" customWidth="1"/>
    <col min="8" max="8" width="14.85546875" style="79" bestFit="1" customWidth="1"/>
    <col min="9" max="9" width="13.7109375" style="79" bestFit="1" customWidth="1"/>
    <col min="10" max="12" width="15.140625" style="79" bestFit="1" customWidth="1"/>
    <col min="13" max="16384" width="9.140625" style="79"/>
  </cols>
  <sheetData>
    <row r="1" spans="1:12" s="160" customFormat="1" ht="75" x14ac:dyDescent="0.25">
      <c r="A1" s="287" t="s">
        <v>1309</v>
      </c>
      <c r="B1" s="287" t="s">
        <v>1304</v>
      </c>
      <c r="C1" s="160" t="s">
        <v>1320</v>
      </c>
      <c r="D1" s="287" t="s">
        <v>1308</v>
      </c>
      <c r="E1" s="160" t="s">
        <v>1317</v>
      </c>
      <c r="F1" s="160" t="s">
        <v>1318</v>
      </c>
      <c r="G1" s="287" t="s">
        <v>1151</v>
      </c>
      <c r="H1" s="287" t="s">
        <v>1152</v>
      </c>
      <c r="I1" s="287" t="s">
        <v>1153</v>
      </c>
      <c r="J1" s="287" t="s">
        <v>1298</v>
      </c>
      <c r="K1" s="287" t="s">
        <v>1299</v>
      </c>
      <c r="L1" s="287" t="s">
        <v>1300</v>
      </c>
    </row>
    <row r="2" spans="1:12" x14ac:dyDescent="0.25">
      <c r="A2" s="121" t="s">
        <v>1177</v>
      </c>
      <c r="B2" s="122">
        <v>144</v>
      </c>
      <c r="C2" s="123">
        <v>0.16276724931002759</v>
      </c>
      <c r="D2" s="122">
        <v>45023.315972222219</v>
      </c>
      <c r="E2" s="122">
        <v>49523.315972222219</v>
      </c>
      <c r="F2" s="122">
        <v>52523.315972222219</v>
      </c>
      <c r="G2" s="122">
        <v>39914011.549087502</v>
      </c>
      <c r="H2" s="122">
        <v>88208493.431672409</v>
      </c>
      <c r="I2" s="122">
        <v>28800000</v>
      </c>
      <c r="J2" s="122">
        <v>1066546981.5490874</v>
      </c>
      <c r="K2" s="122">
        <v>1166068981.5490878</v>
      </c>
      <c r="L2" s="122">
        <v>1232416981.5490878</v>
      </c>
    </row>
    <row r="3" spans="1:12" x14ac:dyDescent="0.25">
      <c r="A3" s="121" t="s">
        <v>1178</v>
      </c>
      <c r="B3" s="122">
        <v>55</v>
      </c>
      <c r="C3" s="123">
        <v>6.9586016559337632E-2</v>
      </c>
      <c r="D3" s="122">
        <v>46356.090909090897</v>
      </c>
      <c r="E3" s="122">
        <v>50856.090909090897</v>
      </c>
      <c r="F3" s="122">
        <v>53856.090909090897</v>
      </c>
      <c r="G3" s="122">
        <v>19447546.097894058</v>
      </c>
      <c r="H3" s="122">
        <v>38977380.527695999</v>
      </c>
      <c r="I3" s="122">
        <v>11274999.999999998</v>
      </c>
      <c r="J3" s="122">
        <v>469832417.97289401</v>
      </c>
      <c r="K3" s="122">
        <v>512379917.97289389</v>
      </c>
      <c r="L3" s="122">
        <v>540744917.97289383</v>
      </c>
    </row>
    <row r="4" spans="1:12" x14ac:dyDescent="0.25">
      <c r="A4" s="121" t="s">
        <v>1179</v>
      </c>
      <c r="B4" s="122">
        <v>62</v>
      </c>
      <c r="C4" s="123">
        <v>6.9431462741490341E-2</v>
      </c>
      <c r="D4" s="122">
        <v>47460.508064516129</v>
      </c>
      <c r="E4" s="122">
        <v>51960.508064516129</v>
      </c>
      <c r="F4" s="122">
        <v>54960.508064516129</v>
      </c>
      <c r="G4" s="122">
        <v>21534451.158528</v>
      </c>
      <c r="H4" s="122">
        <v>39991842.942224883</v>
      </c>
      <c r="I4" s="122">
        <v>13020000</v>
      </c>
      <c r="J4" s="122">
        <v>483512269.90852791</v>
      </c>
      <c r="K4" s="122">
        <v>525965269.90852797</v>
      </c>
      <c r="L4" s="122">
        <v>554267269.90852797</v>
      </c>
    </row>
    <row r="5" spans="1:12" x14ac:dyDescent="0.25">
      <c r="A5" s="121" t="s">
        <v>1180</v>
      </c>
      <c r="B5" s="122">
        <v>88</v>
      </c>
      <c r="C5" s="123">
        <v>0.10639190432382704</v>
      </c>
      <c r="D5" s="122">
        <v>48749.631392045456</v>
      </c>
      <c r="E5" s="122">
        <v>53249.631392045456</v>
      </c>
      <c r="F5" s="122">
        <v>56249.631392045456</v>
      </c>
      <c r="G5" s="122">
        <v>27875552.254440002</v>
      </c>
      <c r="H5" s="122">
        <v>62415885.953502432</v>
      </c>
      <c r="I5" s="122">
        <v>18920000</v>
      </c>
      <c r="J5" s="122">
        <v>753224540.62943995</v>
      </c>
      <c r="K5" s="122">
        <v>818276540.62943995</v>
      </c>
      <c r="L5" s="122">
        <v>861644540.62943995</v>
      </c>
    </row>
    <row r="6" spans="1:12" x14ac:dyDescent="0.25">
      <c r="A6" s="121" t="s">
        <v>1181</v>
      </c>
      <c r="B6" s="122">
        <v>61</v>
      </c>
      <c r="C6" s="123">
        <v>7.6754369825206989E-2</v>
      </c>
      <c r="D6" s="122">
        <v>49988.688524590172</v>
      </c>
      <c r="E6" s="122">
        <v>54488.688524590172</v>
      </c>
      <c r="F6" s="122">
        <v>57488.688524590172</v>
      </c>
      <c r="G6" s="122">
        <v>11806668.519690003</v>
      </c>
      <c r="H6" s="122">
        <v>45374141.424173661</v>
      </c>
      <c r="I6" s="122">
        <v>13420000.000000002</v>
      </c>
      <c r="J6" s="122">
        <v>547233428.51969016</v>
      </c>
      <c r="K6" s="122">
        <v>594163928.51969016</v>
      </c>
      <c r="L6" s="122">
        <v>625450928.51969016</v>
      </c>
    </row>
    <row r="7" spans="1:12" x14ac:dyDescent="0.25">
      <c r="A7" s="121" t="s">
        <v>1182</v>
      </c>
      <c r="B7" s="122">
        <v>54</v>
      </c>
      <c r="C7" s="123">
        <v>6.8047838086476548E-2</v>
      </c>
      <c r="D7" s="122">
        <v>51816.325000000004</v>
      </c>
      <c r="E7" s="122">
        <v>56316.325000000004</v>
      </c>
      <c r="F7" s="122">
        <v>59316.325000000004</v>
      </c>
      <c r="G7" s="122">
        <v>23786464.75984351</v>
      </c>
      <c r="H7" s="122">
        <v>42832285.481586717</v>
      </c>
      <c r="I7" s="122">
        <v>12312000.000000002</v>
      </c>
      <c r="J7" s="122">
        <v>516221240.95984352</v>
      </c>
      <c r="K7" s="122">
        <v>557828240.9598434</v>
      </c>
      <c r="L7" s="122">
        <v>585566240.95984364</v>
      </c>
    </row>
    <row r="8" spans="1:12" x14ac:dyDescent="0.25">
      <c r="A8" s="121" t="s">
        <v>1183</v>
      </c>
      <c r="B8" s="122">
        <v>66</v>
      </c>
      <c r="C8" s="123">
        <v>7.7100275988960437E-2</v>
      </c>
      <c r="D8" s="122">
        <v>53655.315151515155</v>
      </c>
      <c r="E8" s="122">
        <v>58155.315151515155</v>
      </c>
      <c r="F8" s="122">
        <v>61155.315151515155</v>
      </c>
      <c r="G8" s="122">
        <v>9824030.1878532004</v>
      </c>
      <c r="H8" s="122">
        <v>48750295.878467523</v>
      </c>
      <c r="I8" s="122">
        <v>15576000</v>
      </c>
      <c r="J8" s="122">
        <v>589108892.68785322</v>
      </c>
      <c r="K8" s="122">
        <v>636250892.68785322</v>
      </c>
      <c r="L8" s="122">
        <v>667678892.68785322</v>
      </c>
    </row>
    <row r="9" spans="1:12" x14ac:dyDescent="0.25">
      <c r="A9" s="121" t="s">
        <v>1184</v>
      </c>
      <c r="B9" s="122">
        <v>91</v>
      </c>
      <c r="C9" s="123">
        <v>0.1141343146274149</v>
      </c>
      <c r="D9" s="122">
        <v>55649.897802197796</v>
      </c>
      <c r="E9" s="122">
        <v>60149.897802197796</v>
      </c>
      <c r="F9" s="122">
        <v>63149.897802197804</v>
      </c>
      <c r="G9" s="122">
        <v>15383440.070509503</v>
      </c>
      <c r="H9" s="122">
        <v>74778563.830493346</v>
      </c>
      <c r="I9" s="122">
        <v>22204000</v>
      </c>
      <c r="J9" s="122">
        <v>901951809.7705096</v>
      </c>
      <c r="K9" s="122">
        <v>971737809.7705096</v>
      </c>
      <c r="L9" s="122">
        <v>1018261809.7705096</v>
      </c>
    </row>
    <row r="10" spans="1:12" x14ac:dyDescent="0.25">
      <c r="A10" s="121" t="s">
        <v>1185</v>
      </c>
      <c r="B10" s="122">
        <v>64</v>
      </c>
      <c r="C10" s="123">
        <v>7.7747930082796693E-2</v>
      </c>
      <c r="D10" s="122">
        <v>57551.385937500003</v>
      </c>
      <c r="E10" s="122">
        <v>62051.385937500003</v>
      </c>
      <c r="F10" s="122">
        <v>65051.385937500003</v>
      </c>
      <c r="G10" s="122">
        <v>10217129.633172</v>
      </c>
      <c r="H10" s="122">
        <v>52686596.539819598</v>
      </c>
      <c r="I10" s="122">
        <v>16128000</v>
      </c>
      <c r="J10" s="122">
        <v>635970312.23317194</v>
      </c>
      <c r="K10" s="122">
        <v>683508312.23317194</v>
      </c>
      <c r="L10" s="122">
        <v>715200312.23317194</v>
      </c>
    </row>
    <row r="11" spans="1:12" x14ac:dyDescent="0.25">
      <c r="A11" s="121" t="s">
        <v>1186</v>
      </c>
      <c r="B11" s="122">
        <v>24</v>
      </c>
      <c r="C11" s="123">
        <v>2.9298988040478383E-2</v>
      </c>
      <c r="D11" s="122">
        <v>60372.125</v>
      </c>
      <c r="E11" s="122">
        <v>64872.125</v>
      </c>
      <c r="F11" s="122">
        <v>67872.125</v>
      </c>
      <c r="G11" s="122">
        <v>4516994.9667150006</v>
      </c>
      <c r="H11" s="122">
        <v>20848178.307170775</v>
      </c>
      <c r="I11" s="122">
        <v>6336000</v>
      </c>
      <c r="J11" s="122">
        <v>251608685.96671501</v>
      </c>
      <c r="K11" s="122">
        <v>269523185.96671498</v>
      </c>
      <c r="L11" s="122">
        <v>281466185.96671498</v>
      </c>
    </row>
    <row r="12" spans="1:12" x14ac:dyDescent="0.25">
      <c r="A12" s="121" t="s">
        <v>1187</v>
      </c>
      <c r="B12" s="122">
        <v>21</v>
      </c>
      <c r="C12" s="123">
        <v>2.8305427782888685E-2</v>
      </c>
      <c r="D12" s="122">
        <v>63195.785714285717</v>
      </c>
      <c r="E12" s="122">
        <v>67695.78571428571</v>
      </c>
      <c r="F12" s="122">
        <v>70695.78571428571</v>
      </c>
      <c r="G12" s="122">
        <v>0</v>
      </c>
      <c r="H12" s="122">
        <v>20692277.175000008</v>
      </c>
      <c r="I12" s="122">
        <v>5796000</v>
      </c>
      <c r="J12" s="122">
        <v>249234555</v>
      </c>
      <c r="K12" s="122">
        <v>266541555</v>
      </c>
      <c r="L12" s="122">
        <v>278079555</v>
      </c>
    </row>
    <row r="13" spans="1:12" x14ac:dyDescent="0.25">
      <c r="A13" s="121" t="s">
        <v>1188</v>
      </c>
      <c r="B13" s="122">
        <v>72</v>
      </c>
      <c r="C13" s="123">
        <v>8.9184912603495856E-2</v>
      </c>
      <c r="D13" s="122">
        <v>66504.350694444438</v>
      </c>
      <c r="E13" s="122">
        <v>71004.350694444438</v>
      </c>
      <c r="F13" s="122">
        <v>74004.350694444438</v>
      </c>
      <c r="G13" s="122">
        <v>5144449.9955062503</v>
      </c>
      <c r="H13" s="122">
        <v>69072675.392118037</v>
      </c>
      <c r="I13" s="122">
        <v>20880000</v>
      </c>
      <c r="J13" s="122">
        <v>833499710.49550617</v>
      </c>
      <c r="K13" s="122">
        <v>888030710.49550617</v>
      </c>
      <c r="L13" s="122">
        <v>924384710.49550617</v>
      </c>
    </row>
    <row r="14" spans="1:12" x14ac:dyDescent="0.25">
      <c r="A14" s="121" t="s">
        <v>1149</v>
      </c>
      <c r="B14" s="122">
        <v>56</v>
      </c>
      <c r="C14" s="123">
        <v>3.1249310027598898E-2</v>
      </c>
      <c r="D14" s="122">
        <v>79701.75</v>
      </c>
      <c r="E14" s="122">
        <v>84201.75</v>
      </c>
      <c r="F14" s="122">
        <v>87201.75</v>
      </c>
      <c r="G14" s="122">
        <v>8214336.9767580014</v>
      </c>
      <c r="H14" s="122">
        <v>29467159.693024427</v>
      </c>
      <c r="I14" s="122">
        <v>13664000</v>
      </c>
      <c r="J14" s="122">
        <v>360336466.976758</v>
      </c>
      <c r="K14" s="122">
        <v>379443466.976758</v>
      </c>
      <c r="L14" s="122">
        <v>392181466.976758</v>
      </c>
    </row>
    <row r="15" spans="1:12" x14ac:dyDescent="0.25">
      <c r="A15" s="121" t="s">
        <v>709</v>
      </c>
      <c r="B15" s="122">
        <v>858</v>
      </c>
      <c r="C15" s="123">
        <v>1</v>
      </c>
      <c r="D15" s="122">
        <v>54113.27163461539</v>
      </c>
      <c r="E15" s="122">
        <v>58613.271634615383</v>
      </c>
      <c r="F15" s="122">
        <v>61613.27163461539</v>
      </c>
      <c r="G15" s="122">
        <v>197665076.16999698</v>
      </c>
      <c r="H15" s="122">
        <v>634095776.57695007</v>
      </c>
      <c r="I15" s="122">
        <v>198331000</v>
      </c>
      <c r="J15" s="122">
        <v>7658281312.6699972</v>
      </c>
      <c r="K15" s="122">
        <v>8269718812.6699972</v>
      </c>
      <c r="L15" s="122">
        <v>8677343812.6699982</v>
      </c>
    </row>
    <row r="16" spans="1:12" x14ac:dyDescent="0.25">
      <c r="A16"/>
      <c r="B16"/>
      <c r="C16"/>
    </row>
    <row r="17" spans="1:3" x14ac:dyDescent="0.25">
      <c r="A17"/>
      <c r="B17"/>
      <c r="C17"/>
    </row>
    <row r="18" spans="1:3" x14ac:dyDescent="0.25">
      <c r="A18"/>
      <c r="B18"/>
      <c r="C18"/>
    </row>
  </sheetData>
  <printOptions horizontalCentered="1"/>
  <pageMargins left="0" right="0" top="0" bottom="0" header="0" footer="0"/>
  <pageSetup paperSize="9" scale="85" orientation="landscape" r:id="rId2"/>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ACAFB-3B0F-4E7A-AD98-303A1F807363}">
  <dimension ref="E4:AG968"/>
  <sheetViews>
    <sheetView tabSelected="1" topLeftCell="W869" zoomScaleNormal="100" workbookViewId="0">
      <selection activeCell="AD885" sqref="AD885"/>
    </sheetView>
  </sheetViews>
  <sheetFormatPr defaultRowHeight="15" x14ac:dyDescent="0.25"/>
  <cols>
    <col min="1" max="4" width="9.140625" style="79"/>
    <col min="5" max="5" width="14" style="79" customWidth="1"/>
    <col min="6" max="6" width="15.85546875" style="79" customWidth="1"/>
    <col min="7" max="7" width="16.85546875" style="79" customWidth="1"/>
    <col min="8" max="8" width="25.85546875" style="79" bestFit="1" customWidth="1"/>
    <col min="9" max="9" width="16.85546875" style="79" customWidth="1"/>
    <col min="10" max="10" width="24.85546875" style="79" bestFit="1" customWidth="1"/>
    <col min="11" max="12" width="16.85546875" style="79" customWidth="1"/>
    <col min="13" max="13" width="13.28515625" style="79" bestFit="1" customWidth="1"/>
    <col min="14" max="16" width="16.85546875" style="79" customWidth="1"/>
    <col min="17" max="17" width="26.140625" style="79" bestFit="1" customWidth="1"/>
    <col min="18" max="18" width="16.85546875" style="79" customWidth="1"/>
    <col min="19" max="19" width="24.85546875" style="79" bestFit="1" customWidth="1"/>
    <col min="20" max="20" width="16.85546875" style="79" customWidth="1"/>
    <col min="21" max="21" width="21.7109375" style="79" bestFit="1" customWidth="1"/>
    <col min="22" max="22" width="22.42578125" style="79" bestFit="1" customWidth="1"/>
    <col min="23" max="23" width="9.140625" style="79"/>
    <col min="24" max="24" width="14.5703125" style="79" bestFit="1" customWidth="1"/>
    <col min="25" max="25" width="16.85546875" style="79" customWidth="1"/>
    <col min="26" max="26" width="12" style="79" bestFit="1" customWidth="1"/>
    <col min="27" max="27" width="22.85546875" style="79" customWidth="1"/>
    <col min="28" max="28" width="16" style="79" bestFit="1" customWidth="1"/>
    <col min="29" max="29" width="24.85546875" style="79" bestFit="1" customWidth="1"/>
    <col min="30" max="30" width="20.85546875" style="79" bestFit="1" customWidth="1"/>
    <col min="31" max="31" width="14.5703125" style="79" bestFit="1" customWidth="1"/>
    <col min="32" max="32" width="23.42578125" style="79" bestFit="1" customWidth="1"/>
    <col min="33" max="33" width="16.85546875" style="79" customWidth="1"/>
    <col min="34" max="16384" width="9.140625" style="79"/>
  </cols>
  <sheetData>
    <row r="4" spans="9:10" x14ac:dyDescent="0.25">
      <c r="I4" s="79" t="s">
        <v>101</v>
      </c>
    </row>
    <row r="5" spans="9:10" x14ac:dyDescent="0.25">
      <c r="I5" s="79">
        <v>134.59039999999999</v>
      </c>
      <c r="J5" s="79">
        <f>ROUND(I5,0)</f>
        <v>135</v>
      </c>
    </row>
    <row r="6" spans="9:10" x14ac:dyDescent="0.25">
      <c r="I6" s="79">
        <v>134.3708</v>
      </c>
      <c r="J6" s="79">
        <f t="shared" ref="J6:J69" si="0">ROUND(I6,0)</f>
        <v>134</v>
      </c>
    </row>
    <row r="7" spans="9:10" x14ac:dyDescent="0.25">
      <c r="I7" s="79">
        <v>109.75119999999998</v>
      </c>
      <c r="J7" s="79">
        <f t="shared" si="0"/>
        <v>110</v>
      </c>
    </row>
    <row r="8" spans="9:10" x14ac:dyDescent="0.25">
      <c r="I8" s="79">
        <v>74.395599999999988</v>
      </c>
      <c r="J8" s="79">
        <f t="shared" si="0"/>
        <v>74</v>
      </c>
    </row>
    <row r="9" spans="9:10" x14ac:dyDescent="0.25">
      <c r="I9" s="79">
        <v>134.9442</v>
      </c>
      <c r="J9" s="79">
        <f t="shared" si="0"/>
        <v>135</v>
      </c>
    </row>
    <row r="10" spans="9:10" x14ac:dyDescent="0.25">
      <c r="I10" s="79">
        <v>134.3708</v>
      </c>
      <c r="J10" s="79">
        <f t="shared" si="0"/>
        <v>134</v>
      </c>
    </row>
    <row r="11" spans="9:10" x14ac:dyDescent="0.25">
      <c r="I11" s="79">
        <v>108.64099999999999</v>
      </c>
      <c r="J11" s="79">
        <f t="shared" si="0"/>
        <v>109</v>
      </c>
    </row>
    <row r="12" spans="9:10" x14ac:dyDescent="0.25">
      <c r="I12" s="79">
        <v>75.420400000000001</v>
      </c>
      <c r="J12" s="79">
        <f t="shared" si="0"/>
        <v>75</v>
      </c>
    </row>
    <row r="13" spans="9:10" x14ac:dyDescent="0.25">
      <c r="I13" s="79">
        <v>136.88400000000001</v>
      </c>
      <c r="J13" s="79">
        <f t="shared" si="0"/>
        <v>137</v>
      </c>
    </row>
    <row r="14" spans="9:10" x14ac:dyDescent="0.25">
      <c r="I14" s="79">
        <v>136.88400000000001</v>
      </c>
      <c r="J14" s="79">
        <f t="shared" si="0"/>
        <v>137</v>
      </c>
    </row>
    <row r="15" spans="9:10" x14ac:dyDescent="0.25">
      <c r="I15" s="79">
        <v>110.91019999999999</v>
      </c>
      <c r="J15" s="79">
        <f t="shared" si="0"/>
        <v>111</v>
      </c>
    </row>
    <row r="16" spans="9:10" x14ac:dyDescent="0.25">
      <c r="I16" s="79">
        <v>110.91019999999999</v>
      </c>
      <c r="J16" s="79">
        <f t="shared" si="0"/>
        <v>111</v>
      </c>
    </row>
    <row r="17" spans="9:10" x14ac:dyDescent="0.25">
      <c r="I17" s="79">
        <v>134.3708</v>
      </c>
      <c r="J17" s="79">
        <f t="shared" si="0"/>
        <v>134</v>
      </c>
    </row>
    <row r="18" spans="9:10" x14ac:dyDescent="0.25">
      <c r="I18" s="79">
        <v>134.3708</v>
      </c>
      <c r="J18" s="79">
        <f t="shared" si="0"/>
        <v>134</v>
      </c>
    </row>
    <row r="19" spans="9:10" x14ac:dyDescent="0.25">
      <c r="I19" s="79">
        <v>108.64099999999999</v>
      </c>
      <c r="J19" s="79">
        <f t="shared" si="0"/>
        <v>109</v>
      </c>
    </row>
    <row r="20" spans="9:10" x14ac:dyDescent="0.25">
      <c r="I20" s="79">
        <v>108.64099999999999</v>
      </c>
      <c r="J20" s="79">
        <f t="shared" si="0"/>
        <v>109</v>
      </c>
    </row>
    <row r="21" spans="9:10" x14ac:dyDescent="0.25">
      <c r="I21" s="79">
        <v>134.4196</v>
      </c>
      <c r="J21" s="79">
        <f t="shared" si="0"/>
        <v>134</v>
      </c>
    </row>
    <row r="22" spans="9:10" x14ac:dyDescent="0.25">
      <c r="I22" s="79">
        <v>134.4196</v>
      </c>
      <c r="J22" s="79">
        <f t="shared" si="0"/>
        <v>134</v>
      </c>
    </row>
    <row r="23" spans="9:10" x14ac:dyDescent="0.25">
      <c r="I23" s="79">
        <v>108.7264</v>
      </c>
      <c r="J23" s="79">
        <f t="shared" si="0"/>
        <v>109</v>
      </c>
    </row>
    <row r="24" spans="9:10" x14ac:dyDescent="0.25">
      <c r="I24" s="79">
        <v>108.7264</v>
      </c>
      <c r="J24" s="79">
        <f t="shared" si="0"/>
        <v>109</v>
      </c>
    </row>
    <row r="25" spans="9:10" x14ac:dyDescent="0.25">
      <c r="I25" s="79">
        <v>74.395599999999988</v>
      </c>
      <c r="J25" s="79">
        <f t="shared" si="0"/>
        <v>74</v>
      </c>
    </row>
    <row r="26" spans="9:10" x14ac:dyDescent="0.25">
      <c r="I26" s="79">
        <v>109.75119999999998</v>
      </c>
      <c r="J26" s="79">
        <f t="shared" si="0"/>
        <v>110</v>
      </c>
    </row>
    <row r="27" spans="9:10" x14ac:dyDescent="0.25">
      <c r="I27" s="79">
        <v>119.5356</v>
      </c>
      <c r="J27" s="79">
        <f t="shared" si="0"/>
        <v>120</v>
      </c>
    </row>
    <row r="28" spans="9:10" x14ac:dyDescent="0.25">
      <c r="I28" s="79">
        <v>119.76739999999999</v>
      </c>
      <c r="J28" s="79">
        <f t="shared" si="0"/>
        <v>120</v>
      </c>
    </row>
    <row r="29" spans="9:10" x14ac:dyDescent="0.25">
      <c r="I29" s="79">
        <v>75.420400000000001</v>
      </c>
      <c r="J29" s="79">
        <f t="shared" si="0"/>
        <v>75</v>
      </c>
    </row>
    <row r="30" spans="9:10" x14ac:dyDescent="0.25">
      <c r="I30" s="79">
        <v>108.64099999999999</v>
      </c>
      <c r="J30" s="79">
        <f t="shared" si="0"/>
        <v>109</v>
      </c>
    </row>
    <row r="31" spans="9:10" x14ac:dyDescent="0.25">
      <c r="I31" s="79">
        <v>118.4132</v>
      </c>
      <c r="J31" s="79">
        <f t="shared" si="0"/>
        <v>118</v>
      </c>
    </row>
    <row r="32" spans="9:10" x14ac:dyDescent="0.25">
      <c r="I32" s="79">
        <v>118.4498</v>
      </c>
      <c r="J32" s="79">
        <f t="shared" si="0"/>
        <v>118</v>
      </c>
    </row>
    <row r="33" spans="9:10" x14ac:dyDescent="0.25">
      <c r="I33" s="79">
        <v>110.91019999999999</v>
      </c>
      <c r="J33" s="79">
        <f t="shared" si="0"/>
        <v>111</v>
      </c>
    </row>
    <row r="34" spans="9:10" x14ac:dyDescent="0.25">
      <c r="I34" s="79">
        <v>110.91019999999999</v>
      </c>
      <c r="J34" s="79">
        <f t="shared" si="0"/>
        <v>111</v>
      </c>
    </row>
    <row r="35" spans="9:10" x14ac:dyDescent="0.25">
      <c r="I35" s="79">
        <v>120.71899999999999</v>
      </c>
      <c r="J35" s="79">
        <f t="shared" si="0"/>
        <v>121</v>
      </c>
    </row>
    <row r="36" spans="9:10" x14ac:dyDescent="0.25">
      <c r="I36" s="79">
        <v>120.71899999999999</v>
      </c>
      <c r="J36" s="79">
        <f t="shared" si="0"/>
        <v>121</v>
      </c>
    </row>
    <row r="37" spans="9:10" x14ac:dyDescent="0.25">
      <c r="I37" s="79">
        <v>108.64099999999999</v>
      </c>
      <c r="J37" s="79">
        <f t="shared" si="0"/>
        <v>109</v>
      </c>
    </row>
    <row r="38" spans="9:10" x14ac:dyDescent="0.25">
      <c r="I38" s="79">
        <v>108.64099999999999</v>
      </c>
      <c r="J38" s="79">
        <f t="shared" si="0"/>
        <v>109</v>
      </c>
    </row>
    <row r="39" spans="9:10" x14ac:dyDescent="0.25">
      <c r="I39" s="79">
        <v>118.4498</v>
      </c>
      <c r="J39" s="79">
        <f t="shared" si="0"/>
        <v>118</v>
      </c>
    </row>
    <row r="40" spans="9:10" x14ac:dyDescent="0.25">
      <c r="I40" s="79">
        <v>118.4498</v>
      </c>
      <c r="J40" s="79">
        <f t="shared" si="0"/>
        <v>118</v>
      </c>
    </row>
    <row r="41" spans="9:10" x14ac:dyDescent="0.25">
      <c r="I41" s="79">
        <v>108.7264</v>
      </c>
      <c r="J41" s="79">
        <f t="shared" si="0"/>
        <v>109</v>
      </c>
    </row>
    <row r="42" spans="9:10" x14ac:dyDescent="0.25">
      <c r="I42" s="79">
        <v>110.4344</v>
      </c>
      <c r="J42" s="79">
        <f t="shared" si="0"/>
        <v>110</v>
      </c>
    </row>
    <row r="43" spans="9:10" x14ac:dyDescent="0.25">
      <c r="I43" s="79">
        <v>120.25539999999999</v>
      </c>
      <c r="J43" s="79">
        <f t="shared" si="0"/>
        <v>120</v>
      </c>
    </row>
    <row r="44" spans="9:10" x14ac:dyDescent="0.25">
      <c r="I44" s="79">
        <v>118.5474</v>
      </c>
      <c r="J44" s="79">
        <f t="shared" si="0"/>
        <v>119</v>
      </c>
    </row>
    <row r="45" spans="9:10" x14ac:dyDescent="0.25">
      <c r="I45" s="79">
        <v>119.76739999999999</v>
      </c>
      <c r="J45" s="79">
        <f t="shared" si="0"/>
        <v>120</v>
      </c>
    </row>
    <row r="46" spans="9:10" x14ac:dyDescent="0.25">
      <c r="I46" s="79">
        <v>119.5356</v>
      </c>
      <c r="J46" s="79">
        <f t="shared" si="0"/>
        <v>120</v>
      </c>
    </row>
    <row r="47" spans="9:10" x14ac:dyDescent="0.25">
      <c r="I47" s="79">
        <v>109.75119999999998</v>
      </c>
      <c r="J47" s="79">
        <f t="shared" si="0"/>
        <v>110</v>
      </c>
    </row>
    <row r="48" spans="9:10" x14ac:dyDescent="0.25">
      <c r="I48" s="79">
        <v>74.395599999999988</v>
      </c>
      <c r="J48" s="79">
        <f t="shared" si="0"/>
        <v>74</v>
      </c>
    </row>
    <row r="49" spans="9:10" x14ac:dyDescent="0.25">
      <c r="I49" s="79">
        <v>118.4498</v>
      </c>
      <c r="J49" s="79">
        <f t="shared" si="0"/>
        <v>118</v>
      </c>
    </row>
    <row r="50" spans="9:10" x14ac:dyDescent="0.25">
      <c r="I50" s="79">
        <v>118.4132</v>
      </c>
      <c r="J50" s="79">
        <f t="shared" si="0"/>
        <v>118</v>
      </c>
    </row>
    <row r="51" spans="9:10" x14ac:dyDescent="0.25">
      <c r="I51" s="79">
        <v>108.64099999999999</v>
      </c>
      <c r="J51" s="79">
        <f t="shared" si="0"/>
        <v>109</v>
      </c>
    </row>
    <row r="52" spans="9:10" x14ac:dyDescent="0.25">
      <c r="I52" s="79">
        <v>75.420400000000001</v>
      </c>
      <c r="J52" s="79">
        <f t="shared" si="0"/>
        <v>75</v>
      </c>
    </row>
    <row r="53" spans="9:10" x14ac:dyDescent="0.25">
      <c r="I53" s="79">
        <v>120.71899999999999</v>
      </c>
      <c r="J53" s="79">
        <f t="shared" si="0"/>
        <v>121</v>
      </c>
    </row>
    <row r="54" spans="9:10" x14ac:dyDescent="0.25">
      <c r="I54" s="79">
        <v>120.69460000000001</v>
      </c>
      <c r="J54" s="79">
        <f t="shared" si="0"/>
        <v>121</v>
      </c>
    </row>
    <row r="55" spans="9:10" x14ac:dyDescent="0.25">
      <c r="I55" s="79">
        <v>110.91019999999999</v>
      </c>
      <c r="J55" s="79">
        <f t="shared" si="0"/>
        <v>111</v>
      </c>
    </row>
    <row r="56" spans="9:10" x14ac:dyDescent="0.25">
      <c r="I56" s="79">
        <v>110.91019999999999</v>
      </c>
      <c r="J56" s="79">
        <f t="shared" si="0"/>
        <v>111</v>
      </c>
    </row>
    <row r="57" spans="9:10" x14ac:dyDescent="0.25">
      <c r="I57" s="79">
        <v>118.4498</v>
      </c>
      <c r="J57" s="79">
        <f t="shared" si="0"/>
        <v>118</v>
      </c>
    </row>
    <row r="58" spans="9:10" x14ac:dyDescent="0.25">
      <c r="I58" s="79">
        <v>118.4498</v>
      </c>
      <c r="J58" s="79">
        <f t="shared" si="0"/>
        <v>118</v>
      </c>
    </row>
    <row r="59" spans="9:10" x14ac:dyDescent="0.25">
      <c r="I59" s="79">
        <v>108.64099999999999</v>
      </c>
      <c r="J59" s="79">
        <f t="shared" si="0"/>
        <v>109</v>
      </c>
    </row>
    <row r="60" spans="9:10" x14ac:dyDescent="0.25">
      <c r="I60" s="79">
        <v>108.64099999999999</v>
      </c>
      <c r="J60" s="79">
        <f t="shared" si="0"/>
        <v>109</v>
      </c>
    </row>
    <row r="61" spans="9:10" x14ac:dyDescent="0.25">
      <c r="I61" s="79">
        <v>118.5474</v>
      </c>
      <c r="J61" s="79">
        <f t="shared" si="0"/>
        <v>119</v>
      </c>
    </row>
    <row r="62" spans="9:10" x14ac:dyDescent="0.25">
      <c r="I62" s="79">
        <v>120.25539999999999</v>
      </c>
      <c r="J62" s="79">
        <f t="shared" si="0"/>
        <v>120</v>
      </c>
    </row>
    <row r="63" spans="9:10" x14ac:dyDescent="0.25">
      <c r="I63" s="79">
        <v>110.4344</v>
      </c>
      <c r="J63" s="79">
        <f t="shared" si="0"/>
        <v>110</v>
      </c>
    </row>
    <row r="64" spans="9:10" x14ac:dyDescent="0.25">
      <c r="I64" s="79">
        <v>108.7264</v>
      </c>
      <c r="J64" s="79">
        <f t="shared" si="0"/>
        <v>109</v>
      </c>
    </row>
    <row r="65" spans="9:10" x14ac:dyDescent="0.25">
      <c r="I65" s="79">
        <v>81.651200000000003</v>
      </c>
      <c r="J65" s="79">
        <f t="shared" si="0"/>
        <v>82</v>
      </c>
    </row>
    <row r="66" spans="9:10" x14ac:dyDescent="0.25">
      <c r="I66" s="79">
        <v>80.844799999999992</v>
      </c>
      <c r="J66" s="79">
        <f t="shared" si="0"/>
        <v>81</v>
      </c>
    </row>
    <row r="67" spans="9:10" x14ac:dyDescent="0.25">
      <c r="I67" s="79">
        <v>65.305599999999998</v>
      </c>
      <c r="J67" s="79">
        <f t="shared" si="0"/>
        <v>65</v>
      </c>
    </row>
    <row r="68" spans="9:10" x14ac:dyDescent="0.25">
      <c r="I68" s="79">
        <v>87.795200000000008</v>
      </c>
      <c r="J68" s="79">
        <f t="shared" si="0"/>
        <v>88</v>
      </c>
    </row>
    <row r="69" spans="9:10" x14ac:dyDescent="0.25">
      <c r="I69" s="79">
        <v>88.537599999999998</v>
      </c>
      <c r="J69" s="79">
        <f t="shared" si="0"/>
        <v>89</v>
      </c>
    </row>
    <row r="70" spans="9:10" x14ac:dyDescent="0.25">
      <c r="I70" s="79">
        <v>81.651200000000003</v>
      </c>
      <c r="J70" s="79">
        <f t="shared" ref="J70:J133" si="1">ROUND(I70,0)</f>
        <v>82</v>
      </c>
    </row>
    <row r="71" spans="9:10" x14ac:dyDescent="0.25">
      <c r="I71" s="79">
        <v>80.512</v>
      </c>
      <c r="J71" s="79">
        <f t="shared" si="1"/>
        <v>81</v>
      </c>
    </row>
    <row r="72" spans="9:10" x14ac:dyDescent="0.25">
      <c r="I72" s="79">
        <v>65.305599999999998</v>
      </c>
      <c r="J72" s="79">
        <f t="shared" si="1"/>
        <v>65</v>
      </c>
    </row>
    <row r="73" spans="9:10" x14ac:dyDescent="0.25">
      <c r="I73" s="79">
        <v>87.795200000000008</v>
      </c>
      <c r="J73" s="79">
        <f t="shared" si="1"/>
        <v>88</v>
      </c>
    </row>
    <row r="74" spans="9:10" x14ac:dyDescent="0.25">
      <c r="I74" s="79">
        <v>88.537599999999998</v>
      </c>
      <c r="J74" s="79">
        <f t="shared" si="1"/>
        <v>89</v>
      </c>
    </row>
    <row r="75" spans="9:10" x14ac:dyDescent="0.25">
      <c r="I75" s="79">
        <v>80.844799999999992</v>
      </c>
      <c r="J75" s="79">
        <f t="shared" si="1"/>
        <v>81</v>
      </c>
    </row>
    <row r="76" spans="9:10" x14ac:dyDescent="0.25">
      <c r="I76" s="79">
        <v>80.780799999999999</v>
      </c>
      <c r="J76" s="79">
        <f t="shared" si="1"/>
        <v>81</v>
      </c>
    </row>
    <row r="77" spans="9:10" x14ac:dyDescent="0.25">
      <c r="I77" s="79">
        <v>65.89439999999999</v>
      </c>
      <c r="J77" s="79">
        <f t="shared" si="1"/>
        <v>66</v>
      </c>
    </row>
    <row r="78" spans="9:10" x14ac:dyDescent="0.25">
      <c r="I78" s="79">
        <v>88.179200000000009</v>
      </c>
      <c r="J78" s="79">
        <f t="shared" si="1"/>
        <v>88</v>
      </c>
    </row>
    <row r="79" spans="9:10" x14ac:dyDescent="0.25">
      <c r="I79" s="79">
        <v>88.204799999999992</v>
      </c>
      <c r="J79" s="79">
        <f t="shared" si="1"/>
        <v>88</v>
      </c>
    </row>
    <row r="80" spans="9:10" x14ac:dyDescent="0.25">
      <c r="I80" s="79">
        <v>65.92</v>
      </c>
      <c r="J80" s="79">
        <f t="shared" si="1"/>
        <v>66</v>
      </c>
    </row>
    <row r="81" spans="9:10" x14ac:dyDescent="0.25">
      <c r="I81" s="79">
        <v>80.460800000000006</v>
      </c>
      <c r="J81" s="79">
        <f t="shared" si="1"/>
        <v>80</v>
      </c>
    </row>
    <row r="82" spans="9:10" x14ac:dyDescent="0.25">
      <c r="I82" s="79">
        <v>80.435200000000009</v>
      </c>
      <c r="J82" s="79">
        <f t="shared" si="1"/>
        <v>80</v>
      </c>
    </row>
    <row r="83" spans="9:10" x14ac:dyDescent="0.25">
      <c r="I83" s="79">
        <v>65.139200000000002</v>
      </c>
      <c r="J83" s="79">
        <f t="shared" si="1"/>
        <v>65</v>
      </c>
    </row>
    <row r="84" spans="9:10" x14ac:dyDescent="0.25">
      <c r="I84" s="79">
        <v>87.807999999999993</v>
      </c>
      <c r="J84" s="79">
        <f t="shared" si="1"/>
        <v>88</v>
      </c>
    </row>
    <row r="85" spans="9:10" x14ac:dyDescent="0.25">
      <c r="I85" s="79">
        <v>87.833600000000004</v>
      </c>
      <c r="J85" s="79">
        <f t="shared" si="1"/>
        <v>88</v>
      </c>
    </row>
    <row r="86" spans="9:10" x14ac:dyDescent="0.25">
      <c r="I86" s="79">
        <v>65.139200000000002</v>
      </c>
      <c r="J86" s="79">
        <f t="shared" si="1"/>
        <v>65</v>
      </c>
    </row>
    <row r="87" spans="9:10" x14ac:dyDescent="0.25">
      <c r="I87" s="79">
        <v>80.601600000000005</v>
      </c>
      <c r="J87" s="79">
        <f t="shared" si="1"/>
        <v>81</v>
      </c>
    </row>
    <row r="88" spans="9:10" x14ac:dyDescent="0.25">
      <c r="I88" s="79">
        <v>80.601600000000005</v>
      </c>
      <c r="J88" s="79">
        <f t="shared" si="1"/>
        <v>81</v>
      </c>
    </row>
    <row r="89" spans="9:10" x14ac:dyDescent="0.25">
      <c r="I89" s="79">
        <v>65.92</v>
      </c>
      <c r="J89" s="79">
        <f t="shared" si="1"/>
        <v>66</v>
      </c>
    </row>
    <row r="90" spans="9:10" x14ac:dyDescent="0.25">
      <c r="I90" s="79">
        <v>87.91040000000001</v>
      </c>
      <c r="J90" s="79">
        <f t="shared" si="1"/>
        <v>88</v>
      </c>
    </row>
    <row r="91" spans="9:10" x14ac:dyDescent="0.25">
      <c r="I91" s="79">
        <v>87.91040000000001</v>
      </c>
      <c r="J91" s="79">
        <f t="shared" si="1"/>
        <v>88</v>
      </c>
    </row>
    <row r="92" spans="9:10" x14ac:dyDescent="0.25">
      <c r="I92" s="79">
        <v>65.92</v>
      </c>
      <c r="J92" s="79">
        <f t="shared" si="1"/>
        <v>66</v>
      </c>
    </row>
    <row r="93" spans="9:10" x14ac:dyDescent="0.25">
      <c r="I93" s="79">
        <v>88.537599999999998</v>
      </c>
      <c r="J93" s="79">
        <f t="shared" si="1"/>
        <v>89</v>
      </c>
    </row>
    <row r="94" spans="9:10" x14ac:dyDescent="0.25">
      <c r="I94" s="79">
        <v>87.795200000000008</v>
      </c>
      <c r="J94" s="79">
        <f t="shared" si="1"/>
        <v>88</v>
      </c>
    </row>
    <row r="95" spans="9:10" x14ac:dyDescent="0.25">
      <c r="I95" s="79">
        <v>65.305599999999998</v>
      </c>
      <c r="J95" s="79">
        <f t="shared" si="1"/>
        <v>65</v>
      </c>
    </row>
    <row r="96" spans="9:10" x14ac:dyDescent="0.25">
      <c r="I96" s="79">
        <v>80.844799999999992</v>
      </c>
      <c r="J96" s="79">
        <f t="shared" si="1"/>
        <v>81</v>
      </c>
    </row>
    <row r="97" spans="9:10" x14ac:dyDescent="0.25">
      <c r="I97" s="79">
        <v>81.651200000000003</v>
      </c>
      <c r="J97" s="79">
        <f t="shared" si="1"/>
        <v>82</v>
      </c>
    </row>
    <row r="98" spans="9:10" x14ac:dyDescent="0.25">
      <c r="I98" s="79">
        <v>88.537599999999998</v>
      </c>
      <c r="J98" s="79">
        <f t="shared" si="1"/>
        <v>89</v>
      </c>
    </row>
    <row r="99" spans="9:10" x14ac:dyDescent="0.25">
      <c r="I99" s="79">
        <v>87.795200000000008</v>
      </c>
      <c r="J99" s="79">
        <f t="shared" si="1"/>
        <v>88</v>
      </c>
    </row>
    <row r="100" spans="9:10" x14ac:dyDescent="0.25">
      <c r="I100" s="79">
        <v>65.305599999999998</v>
      </c>
      <c r="J100" s="79">
        <f t="shared" si="1"/>
        <v>65</v>
      </c>
    </row>
    <row r="101" spans="9:10" x14ac:dyDescent="0.25">
      <c r="I101" s="79">
        <v>80.512</v>
      </c>
      <c r="J101" s="79">
        <f t="shared" si="1"/>
        <v>81</v>
      </c>
    </row>
    <row r="102" spans="9:10" x14ac:dyDescent="0.25">
      <c r="I102" s="79">
        <v>81.651200000000003</v>
      </c>
      <c r="J102" s="79">
        <f t="shared" si="1"/>
        <v>82</v>
      </c>
    </row>
    <row r="103" spans="9:10" x14ac:dyDescent="0.25">
      <c r="I103" s="79">
        <v>88.204799999999992</v>
      </c>
      <c r="J103" s="79">
        <f t="shared" si="1"/>
        <v>88</v>
      </c>
    </row>
    <row r="104" spans="9:10" x14ac:dyDescent="0.25">
      <c r="I104" s="79">
        <v>88.179200000000009</v>
      </c>
      <c r="J104" s="79">
        <f t="shared" si="1"/>
        <v>88</v>
      </c>
    </row>
    <row r="105" spans="9:10" x14ac:dyDescent="0.25">
      <c r="I105" s="79">
        <v>65.89439999999999</v>
      </c>
      <c r="J105" s="79">
        <f t="shared" si="1"/>
        <v>66</v>
      </c>
    </row>
    <row r="106" spans="9:10" x14ac:dyDescent="0.25">
      <c r="I106" s="79">
        <v>80.844799999999992</v>
      </c>
      <c r="J106" s="79">
        <f t="shared" si="1"/>
        <v>81</v>
      </c>
    </row>
    <row r="107" spans="9:10" x14ac:dyDescent="0.25">
      <c r="I107" s="79">
        <v>65.92</v>
      </c>
      <c r="J107" s="79">
        <f t="shared" si="1"/>
        <v>66</v>
      </c>
    </row>
    <row r="108" spans="9:10" x14ac:dyDescent="0.25">
      <c r="I108" s="79">
        <v>88.204799999999992</v>
      </c>
      <c r="J108" s="79">
        <f t="shared" si="1"/>
        <v>88</v>
      </c>
    </row>
    <row r="109" spans="9:10" x14ac:dyDescent="0.25">
      <c r="I109" s="79">
        <v>87.833600000000004</v>
      </c>
      <c r="J109" s="79">
        <f t="shared" si="1"/>
        <v>88</v>
      </c>
    </row>
    <row r="110" spans="9:10" x14ac:dyDescent="0.25">
      <c r="I110" s="79">
        <v>87.807999999999993</v>
      </c>
      <c r="J110" s="79">
        <f t="shared" si="1"/>
        <v>88</v>
      </c>
    </row>
    <row r="111" spans="9:10" x14ac:dyDescent="0.25">
      <c r="I111" s="79">
        <v>65.139200000000002</v>
      </c>
      <c r="J111" s="79">
        <f t="shared" si="1"/>
        <v>65</v>
      </c>
    </row>
    <row r="112" spans="9:10" x14ac:dyDescent="0.25">
      <c r="I112" s="79">
        <v>80.435200000000009</v>
      </c>
      <c r="J112" s="79">
        <f t="shared" si="1"/>
        <v>80</v>
      </c>
    </row>
    <row r="113" spans="9:10" x14ac:dyDescent="0.25">
      <c r="I113" s="79">
        <v>80.460800000000006</v>
      </c>
      <c r="J113" s="79">
        <f t="shared" si="1"/>
        <v>80</v>
      </c>
    </row>
    <row r="114" spans="9:10" x14ac:dyDescent="0.25">
      <c r="I114" s="79">
        <v>65.139200000000002</v>
      </c>
      <c r="J114" s="79">
        <f t="shared" si="1"/>
        <v>65</v>
      </c>
    </row>
    <row r="115" spans="9:10" x14ac:dyDescent="0.25">
      <c r="I115" s="79">
        <v>87.91040000000001</v>
      </c>
      <c r="J115" s="79">
        <f t="shared" si="1"/>
        <v>88</v>
      </c>
    </row>
    <row r="116" spans="9:10" x14ac:dyDescent="0.25">
      <c r="I116" s="79">
        <v>87.91040000000001</v>
      </c>
      <c r="J116" s="79">
        <f t="shared" si="1"/>
        <v>88</v>
      </c>
    </row>
    <row r="117" spans="9:10" x14ac:dyDescent="0.25">
      <c r="I117" s="79">
        <v>65.92</v>
      </c>
      <c r="J117" s="79">
        <f t="shared" si="1"/>
        <v>66</v>
      </c>
    </row>
    <row r="118" spans="9:10" x14ac:dyDescent="0.25">
      <c r="I118" s="79">
        <v>80.601600000000005</v>
      </c>
      <c r="J118" s="79">
        <f t="shared" si="1"/>
        <v>81</v>
      </c>
    </row>
    <row r="119" spans="9:10" x14ac:dyDescent="0.25">
      <c r="I119" s="79">
        <v>80.601600000000005</v>
      </c>
      <c r="J119" s="79">
        <f t="shared" si="1"/>
        <v>81</v>
      </c>
    </row>
    <row r="120" spans="9:10" x14ac:dyDescent="0.25">
      <c r="I120" s="79">
        <v>65.92</v>
      </c>
      <c r="J120" s="79">
        <f t="shared" si="1"/>
        <v>66</v>
      </c>
    </row>
    <row r="121" spans="9:10" x14ac:dyDescent="0.25">
      <c r="I121" s="79">
        <v>74.395599999999988</v>
      </c>
      <c r="J121" s="79">
        <f t="shared" si="1"/>
        <v>74</v>
      </c>
    </row>
    <row r="122" spans="9:10" x14ac:dyDescent="0.25">
      <c r="I122" s="79">
        <v>109.75119999999998</v>
      </c>
      <c r="J122" s="79">
        <f t="shared" si="1"/>
        <v>110</v>
      </c>
    </row>
    <row r="123" spans="9:10" x14ac:dyDescent="0.25">
      <c r="I123" s="79">
        <v>119.5356</v>
      </c>
      <c r="J123" s="79">
        <f t="shared" si="1"/>
        <v>120</v>
      </c>
    </row>
    <row r="124" spans="9:10" x14ac:dyDescent="0.25">
      <c r="I124" s="79">
        <v>119.76739999999999</v>
      </c>
      <c r="J124" s="79">
        <f t="shared" si="1"/>
        <v>120</v>
      </c>
    </row>
    <row r="125" spans="9:10" x14ac:dyDescent="0.25">
      <c r="I125" s="79">
        <v>75.420400000000001</v>
      </c>
      <c r="J125" s="79">
        <f t="shared" si="1"/>
        <v>75</v>
      </c>
    </row>
    <row r="126" spans="9:10" x14ac:dyDescent="0.25">
      <c r="I126" s="79">
        <v>108.64099999999999</v>
      </c>
      <c r="J126" s="79">
        <f t="shared" si="1"/>
        <v>109</v>
      </c>
    </row>
    <row r="127" spans="9:10" x14ac:dyDescent="0.25">
      <c r="I127" s="79">
        <v>118.4132</v>
      </c>
      <c r="J127" s="79">
        <f t="shared" si="1"/>
        <v>118</v>
      </c>
    </row>
    <row r="128" spans="9:10" x14ac:dyDescent="0.25">
      <c r="I128" s="79">
        <v>118.4498</v>
      </c>
      <c r="J128" s="79">
        <f t="shared" si="1"/>
        <v>118</v>
      </c>
    </row>
    <row r="129" spans="9:10" x14ac:dyDescent="0.25">
      <c r="I129" s="79">
        <v>110.89800000000001</v>
      </c>
      <c r="J129" s="79">
        <f t="shared" si="1"/>
        <v>111</v>
      </c>
    </row>
    <row r="130" spans="9:10" x14ac:dyDescent="0.25">
      <c r="I130" s="79">
        <v>110.91019999999999</v>
      </c>
      <c r="J130" s="79">
        <f t="shared" si="1"/>
        <v>111</v>
      </c>
    </row>
    <row r="131" spans="9:10" x14ac:dyDescent="0.25">
      <c r="I131" s="79">
        <v>120.69460000000001</v>
      </c>
      <c r="J131" s="79">
        <f t="shared" si="1"/>
        <v>121</v>
      </c>
    </row>
    <row r="132" spans="9:10" x14ac:dyDescent="0.25">
      <c r="I132" s="79">
        <v>120.71899999999999</v>
      </c>
      <c r="J132" s="79">
        <f t="shared" si="1"/>
        <v>121</v>
      </c>
    </row>
    <row r="133" spans="9:10" x14ac:dyDescent="0.25">
      <c r="I133" s="79">
        <v>108.64099999999999</v>
      </c>
      <c r="J133" s="79">
        <f t="shared" si="1"/>
        <v>109</v>
      </c>
    </row>
    <row r="134" spans="9:10" x14ac:dyDescent="0.25">
      <c r="I134" s="79">
        <v>108.64099999999999</v>
      </c>
      <c r="J134" s="79">
        <f t="shared" ref="J134:J197" si="2">ROUND(I134,0)</f>
        <v>109</v>
      </c>
    </row>
    <row r="135" spans="9:10" x14ac:dyDescent="0.25">
      <c r="I135" s="79">
        <v>118.4498</v>
      </c>
      <c r="J135" s="79">
        <f t="shared" si="2"/>
        <v>118</v>
      </c>
    </row>
    <row r="136" spans="9:10" x14ac:dyDescent="0.25">
      <c r="I136" s="79">
        <v>118.4498</v>
      </c>
      <c r="J136" s="79">
        <f t="shared" si="2"/>
        <v>118</v>
      </c>
    </row>
    <row r="137" spans="9:10" x14ac:dyDescent="0.25">
      <c r="I137" s="79">
        <v>108.7264</v>
      </c>
      <c r="J137" s="79">
        <f t="shared" si="2"/>
        <v>109</v>
      </c>
    </row>
    <row r="138" spans="9:10" x14ac:dyDescent="0.25">
      <c r="I138" s="79">
        <v>110.4344</v>
      </c>
      <c r="J138" s="79">
        <f t="shared" si="2"/>
        <v>110</v>
      </c>
    </row>
    <row r="139" spans="9:10" x14ac:dyDescent="0.25">
      <c r="I139" s="79">
        <v>120.25539999999999</v>
      </c>
      <c r="J139" s="79">
        <f t="shared" si="2"/>
        <v>120</v>
      </c>
    </row>
    <row r="140" spans="9:10" x14ac:dyDescent="0.25">
      <c r="I140" s="79">
        <v>118.5474</v>
      </c>
      <c r="J140" s="79">
        <f t="shared" si="2"/>
        <v>119</v>
      </c>
    </row>
    <row r="141" spans="9:10" x14ac:dyDescent="0.25">
      <c r="I141" s="79">
        <v>119.76739999999999</v>
      </c>
      <c r="J141" s="79">
        <f t="shared" si="2"/>
        <v>120</v>
      </c>
    </row>
    <row r="142" spans="9:10" x14ac:dyDescent="0.25">
      <c r="I142" s="79">
        <v>119.5356</v>
      </c>
      <c r="J142" s="79">
        <f t="shared" si="2"/>
        <v>120</v>
      </c>
    </row>
    <row r="143" spans="9:10" x14ac:dyDescent="0.25">
      <c r="I143" s="79">
        <v>109.75119999999998</v>
      </c>
      <c r="J143" s="79">
        <f t="shared" si="2"/>
        <v>110</v>
      </c>
    </row>
    <row r="144" spans="9:10" x14ac:dyDescent="0.25">
      <c r="I144" s="79">
        <v>74.395599999999988</v>
      </c>
      <c r="J144" s="79">
        <f t="shared" si="2"/>
        <v>74</v>
      </c>
    </row>
    <row r="145" spans="9:10" x14ac:dyDescent="0.25">
      <c r="I145" s="79">
        <v>118.4498</v>
      </c>
      <c r="J145" s="79">
        <f t="shared" si="2"/>
        <v>118</v>
      </c>
    </row>
    <row r="146" spans="9:10" x14ac:dyDescent="0.25">
      <c r="I146" s="79">
        <v>118.4132</v>
      </c>
      <c r="J146" s="79">
        <f t="shared" si="2"/>
        <v>118</v>
      </c>
    </row>
    <row r="147" spans="9:10" x14ac:dyDescent="0.25">
      <c r="I147" s="79">
        <v>108.64099999999999</v>
      </c>
      <c r="J147" s="79">
        <f t="shared" si="2"/>
        <v>109</v>
      </c>
    </row>
    <row r="148" spans="9:10" x14ac:dyDescent="0.25">
      <c r="I148" s="79">
        <v>75.420400000000001</v>
      </c>
      <c r="J148" s="79">
        <f t="shared" si="2"/>
        <v>75</v>
      </c>
    </row>
    <row r="149" spans="9:10" x14ac:dyDescent="0.25">
      <c r="I149" s="79">
        <v>120.71899999999999</v>
      </c>
      <c r="J149" s="79">
        <f t="shared" si="2"/>
        <v>121</v>
      </c>
    </row>
    <row r="150" spans="9:10" x14ac:dyDescent="0.25">
      <c r="I150" s="79">
        <v>120.71899999999999</v>
      </c>
      <c r="J150" s="79">
        <f t="shared" si="2"/>
        <v>121</v>
      </c>
    </row>
    <row r="151" spans="9:10" x14ac:dyDescent="0.25">
      <c r="I151" s="79">
        <v>110.91019999999999</v>
      </c>
      <c r="J151" s="79">
        <f t="shared" si="2"/>
        <v>111</v>
      </c>
    </row>
    <row r="152" spans="9:10" x14ac:dyDescent="0.25">
      <c r="I152" s="79">
        <v>110.91019999999999</v>
      </c>
      <c r="J152" s="79">
        <f t="shared" si="2"/>
        <v>111</v>
      </c>
    </row>
    <row r="153" spans="9:10" x14ac:dyDescent="0.25">
      <c r="I153" s="79">
        <v>118.4498</v>
      </c>
      <c r="J153" s="79">
        <f t="shared" si="2"/>
        <v>118</v>
      </c>
    </row>
    <row r="154" spans="9:10" x14ac:dyDescent="0.25">
      <c r="I154" s="79">
        <v>118.4498</v>
      </c>
      <c r="J154" s="79">
        <f t="shared" si="2"/>
        <v>118</v>
      </c>
    </row>
    <row r="155" spans="9:10" x14ac:dyDescent="0.25">
      <c r="I155" s="79">
        <v>108.64099999999999</v>
      </c>
      <c r="J155" s="79">
        <f t="shared" si="2"/>
        <v>109</v>
      </c>
    </row>
    <row r="156" spans="9:10" x14ac:dyDescent="0.25">
      <c r="I156" s="79">
        <v>108.64099999999999</v>
      </c>
      <c r="J156" s="79">
        <f t="shared" si="2"/>
        <v>109</v>
      </c>
    </row>
    <row r="157" spans="9:10" x14ac:dyDescent="0.25">
      <c r="I157" s="79">
        <v>118.5474</v>
      </c>
      <c r="J157" s="79">
        <f t="shared" si="2"/>
        <v>119</v>
      </c>
    </row>
    <row r="158" spans="9:10" x14ac:dyDescent="0.25">
      <c r="I158" s="79">
        <v>120.25539999999999</v>
      </c>
      <c r="J158" s="79">
        <f t="shared" si="2"/>
        <v>120</v>
      </c>
    </row>
    <row r="159" spans="9:10" x14ac:dyDescent="0.25">
      <c r="I159" s="79">
        <v>110.4344</v>
      </c>
      <c r="J159" s="79">
        <f t="shared" si="2"/>
        <v>110</v>
      </c>
    </row>
    <row r="160" spans="9:10" x14ac:dyDescent="0.25">
      <c r="I160" s="79">
        <v>108.7264</v>
      </c>
      <c r="J160" s="79">
        <f t="shared" si="2"/>
        <v>109</v>
      </c>
    </row>
    <row r="161" spans="9:10" x14ac:dyDescent="0.25">
      <c r="I161" s="79">
        <v>74.395599999999988</v>
      </c>
      <c r="J161" s="79">
        <f t="shared" si="2"/>
        <v>74</v>
      </c>
    </row>
    <row r="162" spans="9:10" x14ac:dyDescent="0.25">
      <c r="I162" s="79">
        <v>109.75119999999998</v>
      </c>
      <c r="J162" s="79">
        <f t="shared" si="2"/>
        <v>110</v>
      </c>
    </row>
    <row r="163" spans="9:10" x14ac:dyDescent="0.25">
      <c r="I163" s="79">
        <v>134.3708</v>
      </c>
      <c r="J163" s="79">
        <f t="shared" si="2"/>
        <v>134</v>
      </c>
    </row>
    <row r="164" spans="9:10" x14ac:dyDescent="0.25">
      <c r="I164" s="79">
        <v>134.59039999999999</v>
      </c>
      <c r="J164" s="79">
        <f t="shared" si="2"/>
        <v>135</v>
      </c>
    </row>
    <row r="165" spans="9:10" x14ac:dyDescent="0.25">
      <c r="I165" s="79">
        <v>75.420400000000001</v>
      </c>
      <c r="J165" s="79">
        <f t="shared" si="2"/>
        <v>75</v>
      </c>
    </row>
    <row r="166" spans="9:10" x14ac:dyDescent="0.25">
      <c r="I166" s="79">
        <v>108.64099999999999</v>
      </c>
      <c r="J166" s="79">
        <f t="shared" si="2"/>
        <v>109</v>
      </c>
    </row>
    <row r="167" spans="9:10" x14ac:dyDescent="0.25">
      <c r="I167" s="79">
        <v>134.3708</v>
      </c>
      <c r="J167" s="79">
        <f t="shared" si="2"/>
        <v>134</v>
      </c>
    </row>
    <row r="168" spans="9:10" x14ac:dyDescent="0.25">
      <c r="I168" s="79">
        <v>134.9442</v>
      </c>
      <c r="J168" s="79">
        <f t="shared" si="2"/>
        <v>135</v>
      </c>
    </row>
    <row r="169" spans="9:10" x14ac:dyDescent="0.25">
      <c r="I169" s="79">
        <v>110.91019999999999</v>
      </c>
      <c r="J169" s="79">
        <f t="shared" si="2"/>
        <v>111</v>
      </c>
    </row>
    <row r="170" spans="9:10" x14ac:dyDescent="0.25">
      <c r="I170" s="79">
        <v>110.91019999999999</v>
      </c>
      <c r="J170" s="79">
        <f t="shared" si="2"/>
        <v>111</v>
      </c>
    </row>
    <row r="171" spans="9:10" x14ac:dyDescent="0.25">
      <c r="I171" s="79">
        <v>136.88400000000001</v>
      </c>
      <c r="J171" s="79">
        <f t="shared" si="2"/>
        <v>137</v>
      </c>
    </row>
    <row r="172" spans="9:10" x14ac:dyDescent="0.25">
      <c r="I172" s="79">
        <v>136.88400000000001</v>
      </c>
      <c r="J172" s="79">
        <f t="shared" si="2"/>
        <v>137</v>
      </c>
    </row>
    <row r="173" spans="9:10" x14ac:dyDescent="0.25">
      <c r="I173" s="79">
        <v>108.64099999999999</v>
      </c>
      <c r="J173" s="79">
        <f t="shared" si="2"/>
        <v>109</v>
      </c>
    </row>
    <row r="174" spans="9:10" x14ac:dyDescent="0.25">
      <c r="I174" s="79">
        <v>108.64099999999999</v>
      </c>
      <c r="J174" s="79">
        <f t="shared" si="2"/>
        <v>109</v>
      </c>
    </row>
    <row r="175" spans="9:10" x14ac:dyDescent="0.25">
      <c r="I175" s="79">
        <v>134.3708</v>
      </c>
      <c r="J175" s="79">
        <f t="shared" si="2"/>
        <v>134</v>
      </c>
    </row>
    <row r="176" spans="9:10" x14ac:dyDescent="0.25">
      <c r="I176" s="79">
        <v>134.3708</v>
      </c>
      <c r="J176" s="79">
        <f t="shared" si="2"/>
        <v>134</v>
      </c>
    </row>
    <row r="177" spans="9:10" x14ac:dyDescent="0.25">
      <c r="I177" s="79">
        <v>108.7264</v>
      </c>
      <c r="J177" s="79">
        <f t="shared" si="2"/>
        <v>109</v>
      </c>
    </row>
    <row r="178" spans="9:10" x14ac:dyDescent="0.25">
      <c r="I178" s="79">
        <v>108.7264</v>
      </c>
      <c r="J178" s="79">
        <f t="shared" si="2"/>
        <v>109</v>
      </c>
    </row>
    <row r="179" spans="9:10" x14ac:dyDescent="0.25">
      <c r="I179" s="79">
        <v>134.4196</v>
      </c>
      <c r="J179" s="79">
        <f t="shared" si="2"/>
        <v>134</v>
      </c>
    </row>
    <row r="180" spans="9:10" x14ac:dyDescent="0.25">
      <c r="I180" s="79">
        <v>134.4196</v>
      </c>
      <c r="J180" s="79">
        <f t="shared" si="2"/>
        <v>134</v>
      </c>
    </row>
    <row r="181" spans="9:10" x14ac:dyDescent="0.25">
      <c r="I181" s="79">
        <v>115.80240000000001</v>
      </c>
      <c r="J181" s="79">
        <f t="shared" si="2"/>
        <v>116</v>
      </c>
    </row>
    <row r="182" spans="9:10" x14ac:dyDescent="0.25">
      <c r="I182" s="79">
        <v>199.28699999999998</v>
      </c>
      <c r="J182" s="79">
        <f t="shared" si="2"/>
        <v>199</v>
      </c>
    </row>
    <row r="183" spans="9:10" x14ac:dyDescent="0.25">
      <c r="I183" s="79">
        <v>224.34579999999997</v>
      </c>
      <c r="J183" s="79">
        <f t="shared" si="2"/>
        <v>224</v>
      </c>
    </row>
    <row r="184" spans="9:10" x14ac:dyDescent="0.25">
      <c r="I184" s="79">
        <v>175.93620000000001</v>
      </c>
      <c r="J184" s="79">
        <f t="shared" si="2"/>
        <v>176</v>
      </c>
    </row>
    <row r="185" spans="9:10" x14ac:dyDescent="0.25">
      <c r="I185" s="79">
        <v>117.47380000000001</v>
      </c>
      <c r="J185" s="79">
        <f t="shared" si="2"/>
        <v>117</v>
      </c>
    </row>
    <row r="186" spans="9:10" x14ac:dyDescent="0.25">
      <c r="I186" s="79">
        <v>198.92100000000002</v>
      </c>
      <c r="J186" s="79">
        <f t="shared" si="2"/>
        <v>199</v>
      </c>
    </row>
    <row r="187" spans="9:10" x14ac:dyDescent="0.25">
      <c r="I187" s="79">
        <v>223.97980000000001</v>
      </c>
      <c r="J187" s="79">
        <f t="shared" si="2"/>
        <v>224</v>
      </c>
    </row>
    <row r="188" spans="9:10" x14ac:dyDescent="0.25">
      <c r="I188" s="79">
        <v>172.7398</v>
      </c>
      <c r="J188" s="79">
        <f t="shared" si="2"/>
        <v>173</v>
      </c>
    </row>
    <row r="189" spans="9:10" x14ac:dyDescent="0.25">
      <c r="I189" s="79">
        <v>172.203</v>
      </c>
      <c r="J189" s="79">
        <f t="shared" si="2"/>
        <v>172</v>
      </c>
    </row>
    <row r="190" spans="9:10" x14ac:dyDescent="0.25">
      <c r="I190" s="79">
        <v>204.81359999999998</v>
      </c>
      <c r="J190" s="79">
        <f t="shared" si="2"/>
        <v>205</v>
      </c>
    </row>
    <row r="191" spans="9:10" x14ac:dyDescent="0.25">
      <c r="I191" s="79">
        <v>228.24979999999999</v>
      </c>
      <c r="J191" s="79">
        <f t="shared" si="2"/>
        <v>228</v>
      </c>
    </row>
    <row r="192" spans="9:10" x14ac:dyDescent="0.25">
      <c r="I192" s="79">
        <v>175.64339999999999</v>
      </c>
      <c r="J192" s="79">
        <f t="shared" si="2"/>
        <v>176</v>
      </c>
    </row>
    <row r="193" spans="9:10" x14ac:dyDescent="0.25">
      <c r="I193" s="79">
        <v>172.49579999999997</v>
      </c>
      <c r="J193" s="79">
        <f t="shared" si="2"/>
        <v>172</v>
      </c>
    </row>
    <row r="194" spans="9:10" x14ac:dyDescent="0.25">
      <c r="I194" s="79">
        <v>202.1662</v>
      </c>
      <c r="J194" s="79">
        <f t="shared" si="2"/>
        <v>202</v>
      </c>
    </row>
    <row r="195" spans="9:10" x14ac:dyDescent="0.25">
      <c r="I195" s="79">
        <v>229.25019999999998</v>
      </c>
      <c r="J195" s="79">
        <f t="shared" si="2"/>
        <v>229</v>
      </c>
    </row>
    <row r="196" spans="9:10" x14ac:dyDescent="0.25">
      <c r="I196" s="79">
        <v>175.93620000000001</v>
      </c>
      <c r="J196" s="79">
        <f t="shared" si="2"/>
        <v>176</v>
      </c>
    </row>
    <row r="197" spans="9:10" x14ac:dyDescent="0.25">
      <c r="I197" s="79">
        <v>169.68979999999999</v>
      </c>
      <c r="J197" s="79">
        <f t="shared" si="2"/>
        <v>170</v>
      </c>
    </row>
    <row r="198" spans="9:10" x14ac:dyDescent="0.25">
      <c r="I198" s="79">
        <v>199.28699999999998</v>
      </c>
      <c r="J198" s="79">
        <f t="shared" ref="J198:J261" si="3">ROUND(I198,0)</f>
        <v>199</v>
      </c>
    </row>
    <row r="199" spans="9:10" x14ac:dyDescent="0.25">
      <c r="I199" s="79">
        <v>222.72319999999999</v>
      </c>
      <c r="J199" s="79">
        <f t="shared" si="3"/>
        <v>223</v>
      </c>
    </row>
    <row r="200" spans="9:10" x14ac:dyDescent="0.25">
      <c r="I200" s="79">
        <v>173.1302</v>
      </c>
      <c r="J200" s="79">
        <f t="shared" si="3"/>
        <v>173</v>
      </c>
    </row>
    <row r="201" spans="9:10" x14ac:dyDescent="0.25">
      <c r="I201" s="79">
        <v>175.93620000000001</v>
      </c>
      <c r="J201" s="79">
        <f t="shared" si="3"/>
        <v>176</v>
      </c>
    </row>
    <row r="202" spans="9:10" x14ac:dyDescent="0.25">
      <c r="I202" s="79">
        <v>224.34579999999997</v>
      </c>
      <c r="J202" s="79">
        <f t="shared" si="3"/>
        <v>224</v>
      </c>
    </row>
    <row r="203" spans="9:10" x14ac:dyDescent="0.25">
      <c r="I203" s="79">
        <v>199.28699999999998</v>
      </c>
      <c r="J203" s="79">
        <f t="shared" si="3"/>
        <v>199</v>
      </c>
    </row>
    <row r="204" spans="9:10" x14ac:dyDescent="0.25">
      <c r="I204" s="79">
        <v>115.80240000000001</v>
      </c>
      <c r="J204" s="79">
        <f t="shared" si="3"/>
        <v>116</v>
      </c>
    </row>
    <row r="205" spans="9:10" x14ac:dyDescent="0.25">
      <c r="I205" s="79">
        <v>172.7398</v>
      </c>
      <c r="J205" s="79">
        <f t="shared" si="3"/>
        <v>173</v>
      </c>
    </row>
    <row r="206" spans="9:10" x14ac:dyDescent="0.25">
      <c r="I206" s="79">
        <v>223.97980000000001</v>
      </c>
      <c r="J206" s="79">
        <f t="shared" si="3"/>
        <v>224</v>
      </c>
    </row>
    <row r="207" spans="9:10" x14ac:dyDescent="0.25">
      <c r="I207" s="79">
        <v>198.92100000000002</v>
      </c>
      <c r="J207" s="79">
        <f t="shared" si="3"/>
        <v>199</v>
      </c>
    </row>
    <row r="208" spans="9:10" x14ac:dyDescent="0.25">
      <c r="I208" s="79">
        <v>117.47380000000001</v>
      </c>
      <c r="J208" s="79">
        <f t="shared" si="3"/>
        <v>117</v>
      </c>
    </row>
    <row r="209" spans="9:10" x14ac:dyDescent="0.25">
      <c r="I209" s="79">
        <v>175.64339999999999</v>
      </c>
      <c r="J209" s="79">
        <f t="shared" si="3"/>
        <v>176</v>
      </c>
    </row>
    <row r="210" spans="9:10" x14ac:dyDescent="0.25">
      <c r="I210" s="79">
        <v>228.24979999999999</v>
      </c>
      <c r="J210" s="79">
        <f t="shared" si="3"/>
        <v>228</v>
      </c>
    </row>
    <row r="211" spans="9:10" x14ac:dyDescent="0.25">
      <c r="I211" s="79">
        <v>204.81359999999998</v>
      </c>
      <c r="J211" s="79">
        <f t="shared" si="3"/>
        <v>205</v>
      </c>
    </row>
    <row r="212" spans="9:10" x14ac:dyDescent="0.25">
      <c r="I212" s="79">
        <v>172.203</v>
      </c>
      <c r="J212" s="79">
        <f t="shared" si="3"/>
        <v>172</v>
      </c>
    </row>
    <row r="213" spans="9:10" x14ac:dyDescent="0.25">
      <c r="I213" s="79">
        <v>175.93620000000001</v>
      </c>
      <c r="J213" s="79">
        <f t="shared" si="3"/>
        <v>176</v>
      </c>
    </row>
    <row r="214" spans="9:10" x14ac:dyDescent="0.25">
      <c r="I214" s="79">
        <v>229.25019999999998</v>
      </c>
      <c r="J214" s="79">
        <f t="shared" si="3"/>
        <v>229</v>
      </c>
    </row>
    <row r="215" spans="9:10" x14ac:dyDescent="0.25">
      <c r="I215" s="79">
        <v>202.1662</v>
      </c>
      <c r="J215" s="79">
        <f t="shared" si="3"/>
        <v>202</v>
      </c>
    </row>
    <row r="216" spans="9:10" x14ac:dyDescent="0.25">
      <c r="I216" s="79">
        <v>172.49579999999997</v>
      </c>
      <c r="J216" s="79">
        <f t="shared" si="3"/>
        <v>172</v>
      </c>
    </row>
    <row r="217" spans="9:10" x14ac:dyDescent="0.25">
      <c r="I217" s="79">
        <v>173.1302</v>
      </c>
      <c r="J217" s="79">
        <f t="shared" si="3"/>
        <v>173</v>
      </c>
    </row>
    <row r="218" spans="9:10" x14ac:dyDescent="0.25">
      <c r="I218" s="79">
        <v>222.72319999999999</v>
      </c>
      <c r="J218" s="79">
        <f t="shared" si="3"/>
        <v>223</v>
      </c>
    </row>
    <row r="219" spans="9:10" x14ac:dyDescent="0.25">
      <c r="I219" s="79">
        <v>199.28699999999998</v>
      </c>
      <c r="J219" s="79">
        <f t="shared" si="3"/>
        <v>199</v>
      </c>
    </row>
    <row r="220" spans="9:10" x14ac:dyDescent="0.25">
      <c r="I220" s="79">
        <v>169.68979999999999</v>
      </c>
      <c r="J220" s="79">
        <f t="shared" si="3"/>
        <v>170</v>
      </c>
    </row>
    <row r="221" spans="9:10" x14ac:dyDescent="0.25">
      <c r="I221" s="79">
        <v>106.42060000000001</v>
      </c>
      <c r="J221" s="79">
        <f t="shared" si="3"/>
        <v>106</v>
      </c>
    </row>
    <row r="222" spans="9:10" x14ac:dyDescent="0.25">
      <c r="I222" s="79">
        <v>152.60980000000001</v>
      </c>
      <c r="J222" s="79">
        <f t="shared" si="3"/>
        <v>153</v>
      </c>
    </row>
    <row r="223" spans="9:10" x14ac:dyDescent="0.25">
      <c r="I223" s="79">
        <v>158.0754</v>
      </c>
      <c r="J223" s="79">
        <f t="shared" si="3"/>
        <v>158</v>
      </c>
    </row>
    <row r="224" spans="9:10" x14ac:dyDescent="0.25">
      <c r="I224" s="79">
        <v>160.23480000000001</v>
      </c>
      <c r="J224" s="79">
        <f t="shared" si="3"/>
        <v>160</v>
      </c>
    </row>
    <row r="225" spans="9:10" x14ac:dyDescent="0.25">
      <c r="I225" s="79">
        <v>108.42140000000001</v>
      </c>
      <c r="J225" s="79">
        <f t="shared" si="3"/>
        <v>108</v>
      </c>
    </row>
    <row r="226" spans="9:10" x14ac:dyDescent="0.25">
      <c r="I226" s="79">
        <v>155.11079999999998</v>
      </c>
      <c r="J226" s="79">
        <f t="shared" si="3"/>
        <v>155</v>
      </c>
    </row>
    <row r="227" spans="9:10" x14ac:dyDescent="0.25">
      <c r="I227" s="79">
        <v>160.34460000000001</v>
      </c>
      <c r="J227" s="79">
        <f t="shared" si="3"/>
        <v>160</v>
      </c>
    </row>
    <row r="228" spans="9:10" x14ac:dyDescent="0.25">
      <c r="I228" s="79">
        <v>157.4288</v>
      </c>
      <c r="J228" s="79">
        <f t="shared" si="3"/>
        <v>157</v>
      </c>
    </row>
    <row r="229" spans="9:10" x14ac:dyDescent="0.25">
      <c r="I229" s="79">
        <v>155.12299999999999</v>
      </c>
      <c r="J229" s="79">
        <f t="shared" si="3"/>
        <v>155</v>
      </c>
    </row>
    <row r="230" spans="9:10" x14ac:dyDescent="0.25">
      <c r="I230" s="79">
        <v>154.87899999999999</v>
      </c>
      <c r="J230" s="79">
        <f t="shared" si="3"/>
        <v>155</v>
      </c>
    </row>
    <row r="231" spans="9:10" x14ac:dyDescent="0.25">
      <c r="I231" s="79">
        <v>160.35679999999999</v>
      </c>
      <c r="J231" s="79">
        <f t="shared" si="3"/>
        <v>160</v>
      </c>
    </row>
    <row r="232" spans="9:10" x14ac:dyDescent="0.25">
      <c r="I232" s="79">
        <v>160.34460000000001</v>
      </c>
      <c r="J232" s="79">
        <f t="shared" si="3"/>
        <v>160</v>
      </c>
    </row>
    <row r="233" spans="9:10" x14ac:dyDescent="0.25">
      <c r="I233" s="79">
        <v>155.489</v>
      </c>
      <c r="J233" s="79">
        <f t="shared" si="3"/>
        <v>155</v>
      </c>
    </row>
    <row r="234" spans="9:10" x14ac:dyDescent="0.25">
      <c r="I234" s="79">
        <v>154.9034</v>
      </c>
      <c r="J234" s="79">
        <f t="shared" si="3"/>
        <v>155</v>
      </c>
    </row>
    <row r="235" spans="9:10" x14ac:dyDescent="0.25">
      <c r="I235" s="79">
        <v>160.34460000000001</v>
      </c>
      <c r="J235" s="79">
        <f t="shared" si="3"/>
        <v>160</v>
      </c>
    </row>
    <row r="236" spans="9:10" x14ac:dyDescent="0.25">
      <c r="I236" s="79">
        <v>160.89359999999999</v>
      </c>
      <c r="J236" s="79">
        <f t="shared" si="3"/>
        <v>161</v>
      </c>
    </row>
    <row r="237" spans="9:10" x14ac:dyDescent="0.25">
      <c r="I237" s="79">
        <v>152.65859999999998</v>
      </c>
      <c r="J237" s="79">
        <f t="shared" si="3"/>
        <v>153</v>
      </c>
    </row>
    <row r="238" spans="9:10" x14ac:dyDescent="0.25">
      <c r="I238" s="79">
        <v>155.17179999999999</v>
      </c>
      <c r="J238" s="79">
        <f t="shared" si="3"/>
        <v>155</v>
      </c>
    </row>
    <row r="239" spans="9:10" x14ac:dyDescent="0.25">
      <c r="I239" s="79">
        <v>160.28359999999998</v>
      </c>
      <c r="J239" s="79">
        <f t="shared" si="3"/>
        <v>160</v>
      </c>
    </row>
    <row r="240" spans="9:10" x14ac:dyDescent="0.25">
      <c r="I240" s="79">
        <v>158.08760000000001</v>
      </c>
      <c r="J240" s="79">
        <f t="shared" si="3"/>
        <v>158</v>
      </c>
    </row>
    <row r="241" spans="9:10" x14ac:dyDescent="0.25">
      <c r="I241" s="79">
        <v>160.21039999999999</v>
      </c>
      <c r="J241" s="79">
        <f t="shared" si="3"/>
        <v>160</v>
      </c>
    </row>
    <row r="242" spans="9:10" x14ac:dyDescent="0.25">
      <c r="I242" s="79">
        <v>308.83079999999995</v>
      </c>
      <c r="J242" s="79">
        <f t="shared" si="3"/>
        <v>309</v>
      </c>
    </row>
    <row r="243" spans="9:10" x14ac:dyDescent="0.25">
      <c r="I243" s="79">
        <v>300.96179999999998</v>
      </c>
      <c r="J243" s="79">
        <f t="shared" si="3"/>
        <v>301</v>
      </c>
    </row>
    <row r="244" spans="9:10" x14ac:dyDescent="0.25">
      <c r="I244" s="79">
        <v>106.42060000000001</v>
      </c>
      <c r="J244" s="79">
        <f t="shared" si="3"/>
        <v>106</v>
      </c>
    </row>
    <row r="245" spans="9:10" x14ac:dyDescent="0.25">
      <c r="I245" s="79">
        <v>162.18680000000001</v>
      </c>
      <c r="J245" s="79">
        <f t="shared" si="3"/>
        <v>162</v>
      </c>
    </row>
    <row r="246" spans="9:10" x14ac:dyDescent="0.25">
      <c r="I246" s="79">
        <v>108.42140000000001</v>
      </c>
      <c r="J246" s="79">
        <f t="shared" si="3"/>
        <v>108</v>
      </c>
    </row>
    <row r="247" spans="9:10" x14ac:dyDescent="0.25">
      <c r="I247" s="79">
        <v>160.33239999999998</v>
      </c>
      <c r="J247" s="79">
        <f t="shared" si="3"/>
        <v>160</v>
      </c>
    </row>
    <row r="248" spans="9:10" x14ac:dyDescent="0.25">
      <c r="I248" s="79">
        <v>159.85659999999999</v>
      </c>
      <c r="J248" s="79">
        <f t="shared" si="3"/>
        <v>160</v>
      </c>
    </row>
    <row r="249" spans="9:10" x14ac:dyDescent="0.25">
      <c r="I249" s="79">
        <v>154.8058</v>
      </c>
      <c r="J249" s="79">
        <f t="shared" si="3"/>
        <v>155</v>
      </c>
    </row>
    <row r="250" spans="9:10" x14ac:dyDescent="0.25">
      <c r="I250" s="79">
        <v>154.92779999999999</v>
      </c>
      <c r="J250" s="79">
        <f t="shared" si="3"/>
        <v>155</v>
      </c>
    </row>
    <row r="251" spans="9:10" x14ac:dyDescent="0.25">
      <c r="I251" s="79">
        <v>160.89359999999999</v>
      </c>
      <c r="J251" s="79">
        <f t="shared" si="3"/>
        <v>161</v>
      </c>
    </row>
    <row r="252" spans="9:10" x14ac:dyDescent="0.25">
      <c r="I252" s="79">
        <v>159.84440000000001</v>
      </c>
      <c r="J252" s="79">
        <f t="shared" si="3"/>
        <v>160</v>
      </c>
    </row>
    <row r="253" spans="9:10" x14ac:dyDescent="0.25">
      <c r="I253" s="79">
        <v>154.78139999999999</v>
      </c>
      <c r="J253" s="79">
        <f t="shared" si="3"/>
        <v>155</v>
      </c>
    </row>
    <row r="254" spans="9:10" x14ac:dyDescent="0.25">
      <c r="I254" s="79">
        <v>155.4402</v>
      </c>
      <c r="J254" s="79">
        <f t="shared" si="3"/>
        <v>155</v>
      </c>
    </row>
    <row r="255" spans="9:10" x14ac:dyDescent="0.25">
      <c r="I255" s="79">
        <v>158.09979999999999</v>
      </c>
      <c r="J255" s="79">
        <f t="shared" si="3"/>
        <v>158</v>
      </c>
    </row>
    <row r="256" spans="9:10" x14ac:dyDescent="0.25">
      <c r="I256" s="79">
        <v>160.69839999999999</v>
      </c>
      <c r="J256" s="79">
        <f t="shared" si="3"/>
        <v>161</v>
      </c>
    </row>
    <row r="257" spans="9:10" x14ac:dyDescent="0.25">
      <c r="I257" s="79">
        <v>155.0864</v>
      </c>
      <c r="J257" s="79">
        <f t="shared" si="3"/>
        <v>155</v>
      </c>
    </row>
    <row r="258" spans="9:10" x14ac:dyDescent="0.25">
      <c r="I258" s="79">
        <v>152.6464</v>
      </c>
      <c r="J258" s="79">
        <f t="shared" si="3"/>
        <v>153</v>
      </c>
    </row>
    <row r="259" spans="9:10" x14ac:dyDescent="0.25">
      <c r="I259" s="79">
        <v>160.23480000000001</v>
      </c>
      <c r="J259" s="79">
        <f t="shared" si="3"/>
        <v>160</v>
      </c>
    </row>
    <row r="260" spans="9:10" x14ac:dyDescent="0.25">
      <c r="I260" s="79">
        <v>158.0754</v>
      </c>
      <c r="J260" s="79">
        <f t="shared" si="3"/>
        <v>158</v>
      </c>
    </row>
    <row r="261" spans="9:10" x14ac:dyDescent="0.25">
      <c r="I261" s="79">
        <v>152.60980000000001</v>
      </c>
      <c r="J261" s="79">
        <f t="shared" si="3"/>
        <v>153</v>
      </c>
    </row>
    <row r="262" spans="9:10" x14ac:dyDescent="0.25">
      <c r="I262" s="79">
        <v>106.42060000000001</v>
      </c>
      <c r="J262" s="79">
        <f t="shared" ref="J262:J325" si="4">ROUND(I262,0)</f>
        <v>106</v>
      </c>
    </row>
    <row r="263" spans="9:10" x14ac:dyDescent="0.25">
      <c r="I263" s="79">
        <v>157.4288</v>
      </c>
      <c r="J263" s="79">
        <f t="shared" si="4"/>
        <v>157</v>
      </c>
    </row>
    <row r="264" spans="9:10" x14ac:dyDescent="0.25">
      <c r="I264" s="79">
        <v>160.34460000000001</v>
      </c>
      <c r="J264" s="79">
        <f t="shared" si="4"/>
        <v>160</v>
      </c>
    </row>
    <row r="265" spans="9:10" x14ac:dyDescent="0.25">
      <c r="I265" s="79">
        <v>155.11079999999998</v>
      </c>
      <c r="J265" s="79">
        <f t="shared" si="4"/>
        <v>155</v>
      </c>
    </row>
    <row r="266" spans="9:10" x14ac:dyDescent="0.25">
      <c r="I266" s="79">
        <v>108.42140000000001</v>
      </c>
      <c r="J266" s="79">
        <f t="shared" si="4"/>
        <v>108</v>
      </c>
    </row>
    <row r="267" spans="9:10" x14ac:dyDescent="0.25">
      <c r="I267" s="79">
        <v>160.34460000000001</v>
      </c>
      <c r="J267" s="79">
        <f t="shared" si="4"/>
        <v>160</v>
      </c>
    </row>
    <row r="268" spans="9:10" x14ac:dyDescent="0.25">
      <c r="I268" s="79">
        <v>160.35679999999999</v>
      </c>
      <c r="J268" s="79">
        <f t="shared" si="4"/>
        <v>160</v>
      </c>
    </row>
    <row r="269" spans="9:10" x14ac:dyDescent="0.25">
      <c r="I269" s="79">
        <v>154.87899999999999</v>
      </c>
      <c r="J269" s="79">
        <f t="shared" si="4"/>
        <v>155</v>
      </c>
    </row>
    <row r="270" spans="9:10" x14ac:dyDescent="0.25">
      <c r="I270" s="79">
        <v>155.12299999999999</v>
      </c>
      <c r="J270" s="79">
        <f t="shared" si="4"/>
        <v>155</v>
      </c>
    </row>
    <row r="271" spans="9:10" x14ac:dyDescent="0.25">
      <c r="I271" s="79">
        <v>160.89359999999999</v>
      </c>
      <c r="J271" s="79">
        <f t="shared" si="4"/>
        <v>161</v>
      </c>
    </row>
    <row r="272" spans="9:10" x14ac:dyDescent="0.25">
      <c r="I272" s="79">
        <v>160.34460000000001</v>
      </c>
      <c r="J272" s="79">
        <f t="shared" si="4"/>
        <v>160</v>
      </c>
    </row>
    <row r="273" spans="9:10" x14ac:dyDescent="0.25">
      <c r="I273" s="79">
        <v>154.9034</v>
      </c>
      <c r="J273" s="79">
        <f t="shared" si="4"/>
        <v>155</v>
      </c>
    </row>
    <row r="274" spans="9:10" x14ac:dyDescent="0.25">
      <c r="I274" s="79">
        <v>155.489</v>
      </c>
      <c r="J274" s="79">
        <f t="shared" si="4"/>
        <v>155</v>
      </c>
    </row>
    <row r="275" spans="9:10" x14ac:dyDescent="0.25">
      <c r="I275" s="79">
        <v>158.08760000000001</v>
      </c>
      <c r="J275" s="79">
        <f t="shared" si="4"/>
        <v>158</v>
      </c>
    </row>
    <row r="276" spans="9:10" x14ac:dyDescent="0.25">
      <c r="I276" s="79">
        <v>160.28359999999998</v>
      </c>
      <c r="J276" s="79">
        <f t="shared" si="4"/>
        <v>160</v>
      </c>
    </row>
    <row r="277" spans="9:10" x14ac:dyDescent="0.25">
      <c r="I277" s="79">
        <v>155.17179999999999</v>
      </c>
      <c r="J277" s="79">
        <f t="shared" si="4"/>
        <v>155</v>
      </c>
    </row>
    <row r="278" spans="9:10" x14ac:dyDescent="0.25">
      <c r="I278" s="79">
        <v>152.65859999999998</v>
      </c>
      <c r="J278" s="79">
        <f t="shared" si="4"/>
        <v>153</v>
      </c>
    </row>
    <row r="279" spans="9:10" x14ac:dyDescent="0.25">
      <c r="I279" s="79">
        <v>116.20988</v>
      </c>
      <c r="J279" s="79">
        <f t="shared" si="4"/>
        <v>116</v>
      </c>
    </row>
    <row r="280" spans="9:10" x14ac:dyDescent="0.25">
      <c r="I280" s="79">
        <v>198.64771999999999</v>
      </c>
      <c r="J280" s="79">
        <f t="shared" si="4"/>
        <v>199</v>
      </c>
    </row>
    <row r="281" spans="9:10" x14ac:dyDescent="0.25">
      <c r="I281" s="79">
        <v>224.34214</v>
      </c>
      <c r="J281" s="79">
        <f t="shared" si="4"/>
        <v>224</v>
      </c>
    </row>
    <row r="282" spans="9:10" x14ac:dyDescent="0.25">
      <c r="I282" s="79">
        <v>180.00489999999999</v>
      </c>
      <c r="J282" s="79">
        <f t="shared" si="4"/>
        <v>180</v>
      </c>
    </row>
    <row r="283" spans="9:10" x14ac:dyDescent="0.25">
      <c r="I283" s="79">
        <v>117.49942</v>
      </c>
      <c r="J283" s="79">
        <f t="shared" si="4"/>
        <v>117</v>
      </c>
    </row>
    <row r="284" spans="9:10" x14ac:dyDescent="0.25">
      <c r="I284" s="79">
        <v>198.34271999999999</v>
      </c>
      <c r="J284" s="79">
        <f t="shared" si="4"/>
        <v>198</v>
      </c>
    </row>
    <row r="285" spans="9:10" x14ac:dyDescent="0.25">
      <c r="I285" s="79">
        <v>224.03713999999999</v>
      </c>
      <c r="J285" s="79">
        <f t="shared" si="4"/>
        <v>224</v>
      </c>
    </row>
    <row r="286" spans="9:10" x14ac:dyDescent="0.25">
      <c r="I286" s="79">
        <v>172.82886000000002</v>
      </c>
      <c r="J286" s="79">
        <f t="shared" si="4"/>
        <v>173</v>
      </c>
    </row>
    <row r="287" spans="9:10" x14ac:dyDescent="0.25">
      <c r="I287" s="79">
        <v>172.2945</v>
      </c>
      <c r="J287" s="79">
        <f t="shared" si="4"/>
        <v>172</v>
      </c>
    </row>
    <row r="288" spans="9:10" x14ac:dyDescent="0.25">
      <c r="I288" s="79">
        <v>204.00108</v>
      </c>
      <c r="J288" s="79">
        <f t="shared" si="4"/>
        <v>204</v>
      </c>
    </row>
    <row r="289" spans="9:10" x14ac:dyDescent="0.25">
      <c r="I289" s="79">
        <v>228.26566</v>
      </c>
      <c r="J289" s="79">
        <f t="shared" si="4"/>
        <v>228</v>
      </c>
    </row>
    <row r="290" spans="9:10" x14ac:dyDescent="0.25">
      <c r="I290" s="79">
        <v>175.66658000000001</v>
      </c>
      <c r="J290" s="79">
        <f t="shared" si="4"/>
        <v>176</v>
      </c>
    </row>
    <row r="291" spans="9:10" x14ac:dyDescent="0.25">
      <c r="I291" s="79">
        <v>172.17982000000001</v>
      </c>
      <c r="J291" s="79">
        <f t="shared" si="4"/>
        <v>172</v>
      </c>
    </row>
    <row r="292" spans="9:10" x14ac:dyDescent="0.25">
      <c r="I292" s="79">
        <v>200.61192</v>
      </c>
      <c r="J292" s="79">
        <f t="shared" si="4"/>
        <v>201</v>
      </c>
    </row>
    <row r="293" spans="9:10" x14ac:dyDescent="0.25">
      <c r="I293" s="79">
        <v>228.38888</v>
      </c>
      <c r="J293" s="79">
        <f t="shared" si="4"/>
        <v>228</v>
      </c>
    </row>
    <row r="294" spans="9:10" x14ac:dyDescent="0.25">
      <c r="I294" s="79">
        <v>175.57141999999999</v>
      </c>
      <c r="J294" s="79">
        <f t="shared" si="4"/>
        <v>176</v>
      </c>
    </row>
    <row r="295" spans="9:10" x14ac:dyDescent="0.25">
      <c r="I295" s="79">
        <v>169.78129999999999</v>
      </c>
      <c r="J295" s="79">
        <f t="shared" si="4"/>
        <v>170</v>
      </c>
    </row>
    <row r="296" spans="9:10" x14ac:dyDescent="0.25">
      <c r="I296" s="79">
        <v>198.23779999999999</v>
      </c>
      <c r="J296" s="79">
        <f t="shared" si="4"/>
        <v>198</v>
      </c>
    </row>
    <row r="297" spans="9:10" x14ac:dyDescent="0.25">
      <c r="I297" s="79">
        <v>222.47554</v>
      </c>
      <c r="J297" s="79">
        <f t="shared" si="4"/>
        <v>222</v>
      </c>
    </row>
    <row r="298" spans="9:10" x14ac:dyDescent="0.25">
      <c r="I298" s="79">
        <v>173.15338</v>
      </c>
      <c r="J298" s="79">
        <f t="shared" si="4"/>
        <v>173</v>
      </c>
    </row>
    <row r="299" spans="9:10" x14ac:dyDescent="0.25">
      <c r="I299" s="79">
        <v>173.02649999999997</v>
      </c>
      <c r="J299" s="79">
        <f t="shared" si="4"/>
        <v>173</v>
      </c>
    </row>
    <row r="300" spans="9:10" x14ac:dyDescent="0.25">
      <c r="I300" s="79">
        <v>343.58616000000001</v>
      </c>
      <c r="J300" s="79">
        <f t="shared" si="4"/>
        <v>344</v>
      </c>
    </row>
    <row r="301" spans="9:10" x14ac:dyDescent="0.25">
      <c r="I301" s="79">
        <v>343.92898000000002</v>
      </c>
      <c r="J301" s="79">
        <f t="shared" si="4"/>
        <v>344</v>
      </c>
    </row>
    <row r="302" spans="9:10" x14ac:dyDescent="0.25">
      <c r="I302" s="79">
        <v>116.20988</v>
      </c>
      <c r="J302" s="79">
        <f t="shared" si="4"/>
        <v>116</v>
      </c>
    </row>
    <row r="303" spans="9:10" x14ac:dyDescent="0.25">
      <c r="I303" s="79">
        <v>174.43194</v>
      </c>
      <c r="J303" s="79">
        <f t="shared" si="4"/>
        <v>174</v>
      </c>
    </row>
    <row r="304" spans="9:10" x14ac:dyDescent="0.25">
      <c r="I304" s="79">
        <v>117.49942</v>
      </c>
      <c r="J304" s="79">
        <f t="shared" si="4"/>
        <v>117</v>
      </c>
    </row>
    <row r="305" spans="9:10" x14ac:dyDescent="0.25">
      <c r="I305" s="79">
        <v>172.24814000000001</v>
      </c>
      <c r="J305" s="79">
        <f t="shared" si="4"/>
        <v>172</v>
      </c>
    </row>
    <row r="306" spans="9:10" x14ac:dyDescent="0.25">
      <c r="I306" s="79">
        <v>172.56412</v>
      </c>
      <c r="J306" s="79">
        <f t="shared" si="4"/>
        <v>173</v>
      </c>
    </row>
    <row r="307" spans="9:10" x14ac:dyDescent="0.25">
      <c r="I307" s="79">
        <v>172.71784</v>
      </c>
      <c r="J307" s="79">
        <f t="shared" si="4"/>
        <v>173</v>
      </c>
    </row>
    <row r="308" spans="9:10" x14ac:dyDescent="0.25">
      <c r="I308" s="79">
        <v>172.29571999999999</v>
      </c>
      <c r="J308" s="79">
        <f t="shared" si="4"/>
        <v>172</v>
      </c>
    </row>
    <row r="309" spans="9:10" x14ac:dyDescent="0.25">
      <c r="I309" s="79">
        <v>172.61291999999997</v>
      </c>
      <c r="J309" s="79">
        <f t="shared" si="4"/>
        <v>173</v>
      </c>
    </row>
    <row r="310" spans="9:10" x14ac:dyDescent="0.25">
      <c r="I310" s="79">
        <v>173.54987999999997</v>
      </c>
      <c r="J310" s="79">
        <f t="shared" si="4"/>
        <v>174</v>
      </c>
    </row>
    <row r="311" spans="9:10" x14ac:dyDescent="0.25">
      <c r="I311" s="79">
        <v>173.70115999999999</v>
      </c>
      <c r="J311" s="79">
        <f t="shared" si="4"/>
        <v>174</v>
      </c>
    </row>
    <row r="312" spans="9:10" x14ac:dyDescent="0.25">
      <c r="I312" s="79">
        <v>172.66172</v>
      </c>
      <c r="J312" s="79">
        <f t="shared" si="4"/>
        <v>173</v>
      </c>
    </row>
    <row r="313" spans="9:10" x14ac:dyDescent="0.25">
      <c r="I313" s="79">
        <v>169.72640000000001</v>
      </c>
      <c r="J313" s="79">
        <f t="shared" si="4"/>
        <v>170</v>
      </c>
    </row>
    <row r="314" spans="9:10" x14ac:dyDescent="0.25">
      <c r="I314" s="79">
        <v>172.67147999999997</v>
      </c>
      <c r="J314" s="79">
        <f t="shared" si="4"/>
        <v>173</v>
      </c>
    </row>
    <row r="315" spans="9:10" x14ac:dyDescent="0.25">
      <c r="I315" s="79">
        <v>172.82397999999998</v>
      </c>
      <c r="J315" s="79">
        <f t="shared" si="4"/>
        <v>173</v>
      </c>
    </row>
    <row r="316" spans="9:10" x14ac:dyDescent="0.25">
      <c r="I316" s="79">
        <v>169.966252</v>
      </c>
      <c r="J316" s="79">
        <f t="shared" si="4"/>
        <v>170</v>
      </c>
    </row>
    <row r="317" spans="9:10" x14ac:dyDescent="0.25">
      <c r="I317" s="79">
        <v>176.48886000000002</v>
      </c>
      <c r="J317" s="79">
        <f t="shared" si="4"/>
        <v>176</v>
      </c>
    </row>
    <row r="318" spans="9:10" x14ac:dyDescent="0.25">
      <c r="I318" s="79">
        <v>224.34214</v>
      </c>
      <c r="J318" s="79">
        <f t="shared" si="4"/>
        <v>224</v>
      </c>
    </row>
    <row r="319" spans="9:10" x14ac:dyDescent="0.25">
      <c r="I319" s="79">
        <v>198.59281999999999</v>
      </c>
      <c r="J319" s="79">
        <f t="shared" si="4"/>
        <v>199</v>
      </c>
    </row>
    <row r="320" spans="9:10" x14ac:dyDescent="0.25">
      <c r="I320" s="79">
        <v>116.16108</v>
      </c>
      <c r="J320" s="79">
        <f t="shared" si="4"/>
        <v>116</v>
      </c>
    </row>
    <row r="321" spans="9:10" x14ac:dyDescent="0.25">
      <c r="I321" s="79">
        <v>172.82886000000002</v>
      </c>
      <c r="J321" s="79">
        <f t="shared" si="4"/>
        <v>173</v>
      </c>
    </row>
    <row r="322" spans="9:10" x14ac:dyDescent="0.25">
      <c r="I322" s="79">
        <v>224.03713999999999</v>
      </c>
      <c r="J322" s="79">
        <f t="shared" si="4"/>
        <v>224</v>
      </c>
    </row>
    <row r="323" spans="9:10" x14ac:dyDescent="0.25">
      <c r="I323" s="79">
        <v>198.28782000000001</v>
      </c>
      <c r="J323" s="79">
        <f t="shared" si="4"/>
        <v>198</v>
      </c>
    </row>
    <row r="324" spans="9:10" x14ac:dyDescent="0.25">
      <c r="I324" s="79">
        <v>117.45062</v>
      </c>
      <c r="J324" s="79">
        <f t="shared" si="4"/>
        <v>117</v>
      </c>
    </row>
    <row r="325" spans="9:10" x14ac:dyDescent="0.25">
      <c r="I325" s="79">
        <v>175.66658000000001</v>
      </c>
      <c r="J325" s="79">
        <f t="shared" si="4"/>
        <v>176</v>
      </c>
    </row>
    <row r="326" spans="9:10" x14ac:dyDescent="0.25">
      <c r="I326" s="79">
        <v>228.262</v>
      </c>
      <c r="J326" s="79">
        <f t="shared" ref="J326:J389" si="5">ROUND(I326,0)</f>
        <v>228</v>
      </c>
    </row>
    <row r="327" spans="9:10" x14ac:dyDescent="0.25">
      <c r="I327" s="79">
        <v>203.94618</v>
      </c>
      <c r="J327" s="79">
        <f t="shared" si="5"/>
        <v>204</v>
      </c>
    </row>
    <row r="328" spans="9:10" x14ac:dyDescent="0.25">
      <c r="I328" s="79">
        <v>172.24814000000001</v>
      </c>
      <c r="J328" s="79">
        <f t="shared" si="5"/>
        <v>172</v>
      </c>
    </row>
    <row r="329" spans="9:10" x14ac:dyDescent="0.25">
      <c r="I329" s="79">
        <v>175.55311999999998</v>
      </c>
      <c r="J329" s="79">
        <f t="shared" si="5"/>
        <v>176</v>
      </c>
    </row>
    <row r="330" spans="9:10" x14ac:dyDescent="0.25">
      <c r="I330" s="79">
        <v>228.38888</v>
      </c>
      <c r="J330" s="79">
        <f t="shared" si="5"/>
        <v>228</v>
      </c>
    </row>
    <row r="331" spans="9:10" x14ac:dyDescent="0.25">
      <c r="I331" s="79">
        <v>200.58874</v>
      </c>
      <c r="J331" s="79">
        <f t="shared" si="5"/>
        <v>201</v>
      </c>
    </row>
    <row r="332" spans="9:10" x14ac:dyDescent="0.25">
      <c r="I332" s="79">
        <v>172.10906</v>
      </c>
      <c r="J332" s="79">
        <f t="shared" si="5"/>
        <v>172</v>
      </c>
    </row>
    <row r="333" spans="9:10" x14ac:dyDescent="0.25">
      <c r="I333" s="79">
        <v>173.15338</v>
      </c>
      <c r="J333" s="79">
        <f t="shared" si="5"/>
        <v>173</v>
      </c>
    </row>
    <row r="334" spans="9:10" x14ac:dyDescent="0.25">
      <c r="I334" s="79">
        <v>222.48041999999998</v>
      </c>
      <c r="J334" s="79">
        <f t="shared" si="5"/>
        <v>222</v>
      </c>
    </row>
    <row r="335" spans="9:10" x14ac:dyDescent="0.25">
      <c r="I335" s="79">
        <v>198.18167999999997</v>
      </c>
      <c r="J335" s="79">
        <f t="shared" si="5"/>
        <v>198</v>
      </c>
    </row>
    <row r="336" spans="9:10" x14ac:dyDescent="0.25">
      <c r="I336" s="79">
        <v>169.73493999999999</v>
      </c>
      <c r="J336" s="79">
        <f t="shared" si="5"/>
        <v>170</v>
      </c>
    </row>
    <row r="337" spans="9:10" x14ac:dyDescent="0.25">
      <c r="I337" s="79">
        <v>116.20988</v>
      </c>
      <c r="J337" s="79">
        <f t="shared" si="5"/>
        <v>116</v>
      </c>
    </row>
    <row r="338" spans="9:10" x14ac:dyDescent="0.25">
      <c r="I338" s="79">
        <v>198.64771999999999</v>
      </c>
      <c r="J338" s="79">
        <f t="shared" si="5"/>
        <v>199</v>
      </c>
    </row>
    <row r="339" spans="9:10" x14ac:dyDescent="0.25">
      <c r="I339" s="79">
        <v>224.34214</v>
      </c>
      <c r="J339" s="79">
        <f t="shared" si="5"/>
        <v>224</v>
      </c>
    </row>
    <row r="340" spans="9:10" x14ac:dyDescent="0.25">
      <c r="I340" s="79">
        <v>180.00489999999999</v>
      </c>
      <c r="J340" s="79">
        <f t="shared" si="5"/>
        <v>180</v>
      </c>
    </row>
    <row r="341" spans="9:10" x14ac:dyDescent="0.25">
      <c r="I341" s="79">
        <v>117.49942</v>
      </c>
      <c r="J341" s="79">
        <f t="shared" si="5"/>
        <v>117</v>
      </c>
    </row>
    <row r="342" spans="9:10" x14ac:dyDescent="0.25">
      <c r="I342" s="79">
        <v>198.34271999999999</v>
      </c>
      <c r="J342" s="79">
        <f t="shared" si="5"/>
        <v>198</v>
      </c>
    </row>
    <row r="343" spans="9:10" x14ac:dyDescent="0.25">
      <c r="I343" s="79">
        <v>224.03713999999999</v>
      </c>
      <c r="J343" s="79">
        <f t="shared" si="5"/>
        <v>224</v>
      </c>
    </row>
    <row r="344" spans="9:10" x14ac:dyDescent="0.25">
      <c r="I344" s="79">
        <v>172.82886000000002</v>
      </c>
      <c r="J344" s="79">
        <f t="shared" si="5"/>
        <v>173</v>
      </c>
    </row>
    <row r="345" spans="9:10" x14ac:dyDescent="0.25">
      <c r="I345" s="79">
        <v>172.2945</v>
      </c>
      <c r="J345" s="79">
        <f t="shared" si="5"/>
        <v>172</v>
      </c>
    </row>
    <row r="346" spans="9:10" x14ac:dyDescent="0.25">
      <c r="I346" s="79">
        <v>204.00108</v>
      </c>
      <c r="J346" s="79">
        <f t="shared" si="5"/>
        <v>204</v>
      </c>
    </row>
    <row r="347" spans="9:10" x14ac:dyDescent="0.25">
      <c r="I347" s="79">
        <v>228.26566</v>
      </c>
      <c r="J347" s="79">
        <f t="shared" si="5"/>
        <v>228</v>
      </c>
    </row>
    <row r="348" spans="9:10" x14ac:dyDescent="0.25">
      <c r="I348" s="79">
        <v>175.66658000000001</v>
      </c>
      <c r="J348" s="79">
        <f t="shared" si="5"/>
        <v>176</v>
      </c>
    </row>
    <row r="349" spans="9:10" x14ac:dyDescent="0.25">
      <c r="I349" s="79">
        <v>172.17982000000001</v>
      </c>
      <c r="J349" s="79">
        <f t="shared" si="5"/>
        <v>172</v>
      </c>
    </row>
    <row r="350" spans="9:10" x14ac:dyDescent="0.25">
      <c r="I350" s="79">
        <v>200.61192</v>
      </c>
      <c r="J350" s="79">
        <f t="shared" si="5"/>
        <v>201</v>
      </c>
    </row>
    <row r="351" spans="9:10" x14ac:dyDescent="0.25">
      <c r="I351" s="79">
        <v>228.38888</v>
      </c>
      <c r="J351" s="79">
        <f t="shared" si="5"/>
        <v>228</v>
      </c>
    </row>
    <row r="352" spans="9:10" x14ac:dyDescent="0.25">
      <c r="I352" s="79">
        <v>175.57141999999999</v>
      </c>
      <c r="J352" s="79">
        <f t="shared" si="5"/>
        <v>176</v>
      </c>
    </row>
    <row r="353" spans="9:10" x14ac:dyDescent="0.25">
      <c r="I353" s="79">
        <v>169.78129999999999</v>
      </c>
      <c r="J353" s="79">
        <f t="shared" si="5"/>
        <v>170</v>
      </c>
    </row>
    <row r="354" spans="9:10" x14ac:dyDescent="0.25">
      <c r="I354" s="79">
        <v>198.23779999999999</v>
      </c>
      <c r="J354" s="79">
        <f t="shared" si="5"/>
        <v>198</v>
      </c>
    </row>
    <row r="355" spans="9:10" x14ac:dyDescent="0.25">
      <c r="I355" s="79">
        <v>222.47554</v>
      </c>
      <c r="J355" s="79">
        <f t="shared" si="5"/>
        <v>222</v>
      </c>
    </row>
    <row r="356" spans="9:10" x14ac:dyDescent="0.25">
      <c r="I356" s="79">
        <v>173.15338</v>
      </c>
      <c r="J356" s="79">
        <f t="shared" si="5"/>
        <v>173</v>
      </c>
    </row>
    <row r="357" spans="9:10" x14ac:dyDescent="0.25">
      <c r="I357" s="79">
        <v>173.02649999999997</v>
      </c>
      <c r="J357" s="79">
        <f t="shared" si="5"/>
        <v>173</v>
      </c>
    </row>
    <row r="358" spans="9:10" x14ac:dyDescent="0.25">
      <c r="I358" s="79">
        <v>343.58616000000001</v>
      </c>
      <c r="J358" s="79">
        <f t="shared" si="5"/>
        <v>344</v>
      </c>
    </row>
    <row r="359" spans="9:10" x14ac:dyDescent="0.25">
      <c r="I359" s="79">
        <v>343.92898000000002</v>
      </c>
      <c r="J359" s="79">
        <f t="shared" si="5"/>
        <v>344</v>
      </c>
    </row>
    <row r="360" spans="9:10" x14ac:dyDescent="0.25">
      <c r="I360" s="79">
        <v>116.20988</v>
      </c>
      <c r="J360" s="79">
        <f t="shared" si="5"/>
        <v>116</v>
      </c>
    </row>
    <row r="361" spans="9:10" x14ac:dyDescent="0.25">
      <c r="I361" s="79">
        <v>174.43194</v>
      </c>
      <c r="J361" s="79">
        <f t="shared" si="5"/>
        <v>174</v>
      </c>
    </row>
    <row r="362" spans="9:10" x14ac:dyDescent="0.25">
      <c r="I362" s="79">
        <v>117.49942</v>
      </c>
      <c r="J362" s="79">
        <f t="shared" si="5"/>
        <v>117</v>
      </c>
    </row>
    <row r="363" spans="9:10" x14ac:dyDescent="0.25">
      <c r="I363" s="79">
        <v>172.24814000000001</v>
      </c>
      <c r="J363" s="79">
        <f t="shared" si="5"/>
        <v>172</v>
      </c>
    </row>
    <row r="364" spans="9:10" x14ac:dyDescent="0.25">
      <c r="I364" s="79">
        <v>172.56412</v>
      </c>
      <c r="J364" s="79">
        <f t="shared" si="5"/>
        <v>173</v>
      </c>
    </row>
    <row r="365" spans="9:10" x14ac:dyDescent="0.25">
      <c r="I365" s="79">
        <v>172.71784</v>
      </c>
      <c r="J365" s="79">
        <f t="shared" si="5"/>
        <v>173</v>
      </c>
    </row>
    <row r="366" spans="9:10" x14ac:dyDescent="0.25">
      <c r="I366" s="79">
        <v>172.29571999999999</v>
      </c>
      <c r="J366" s="79">
        <f t="shared" si="5"/>
        <v>172</v>
      </c>
    </row>
    <row r="367" spans="9:10" x14ac:dyDescent="0.25">
      <c r="I367" s="79">
        <v>172.61291999999997</v>
      </c>
      <c r="J367" s="79">
        <f t="shared" si="5"/>
        <v>173</v>
      </c>
    </row>
    <row r="368" spans="9:10" x14ac:dyDescent="0.25">
      <c r="I368" s="79">
        <v>173.54987999999997</v>
      </c>
      <c r="J368" s="79">
        <f t="shared" si="5"/>
        <v>174</v>
      </c>
    </row>
    <row r="369" spans="9:10" x14ac:dyDescent="0.25">
      <c r="I369" s="79">
        <v>173.70115999999999</v>
      </c>
      <c r="J369" s="79">
        <f t="shared" si="5"/>
        <v>174</v>
      </c>
    </row>
    <row r="370" spans="9:10" x14ac:dyDescent="0.25">
      <c r="I370" s="79">
        <v>172.66172</v>
      </c>
      <c r="J370" s="79">
        <f t="shared" si="5"/>
        <v>173</v>
      </c>
    </row>
    <row r="371" spans="9:10" x14ac:dyDescent="0.25">
      <c r="I371" s="79">
        <v>169.72640000000001</v>
      </c>
      <c r="J371" s="79">
        <f t="shared" si="5"/>
        <v>170</v>
      </c>
    </row>
    <row r="372" spans="9:10" x14ac:dyDescent="0.25">
      <c r="I372" s="79">
        <v>172.67147999999997</v>
      </c>
      <c r="J372" s="79">
        <f t="shared" si="5"/>
        <v>173</v>
      </c>
    </row>
    <row r="373" spans="9:10" x14ac:dyDescent="0.25">
      <c r="I373" s="79">
        <v>172.82397999999998</v>
      </c>
      <c r="J373" s="79">
        <f t="shared" si="5"/>
        <v>173</v>
      </c>
    </row>
    <row r="374" spans="9:10" x14ac:dyDescent="0.25">
      <c r="I374" s="79">
        <v>169.966252</v>
      </c>
      <c r="J374" s="79">
        <f t="shared" si="5"/>
        <v>170</v>
      </c>
    </row>
    <row r="375" spans="9:10" x14ac:dyDescent="0.25">
      <c r="I375" s="79">
        <v>176.48886000000002</v>
      </c>
      <c r="J375" s="79">
        <f t="shared" si="5"/>
        <v>176</v>
      </c>
    </row>
    <row r="376" spans="9:10" x14ac:dyDescent="0.25">
      <c r="I376" s="79">
        <v>224.34214</v>
      </c>
      <c r="J376" s="79">
        <f t="shared" si="5"/>
        <v>224</v>
      </c>
    </row>
    <row r="377" spans="9:10" x14ac:dyDescent="0.25">
      <c r="I377" s="79">
        <v>198.59281999999999</v>
      </c>
      <c r="J377" s="79">
        <f t="shared" si="5"/>
        <v>199</v>
      </c>
    </row>
    <row r="378" spans="9:10" x14ac:dyDescent="0.25">
      <c r="I378" s="79">
        <v>116.16108</v>
      </c>
      <c r="J378" s="79">
        <f t="shared" si="5"/>
        <v>116</v>
      </c>
    </row>
    <row r="379" spans="9:10" x14ac:dyDescent="0.25">
      <c r="I379" s="79">
        <v>172.82886000000002</v>
      </c>
      <c r="J379" s="79">
        <f t="shared" si="5"/>
        <v>173</v>
      </c>
    </row>
    <row r="380" spans="9:10" x14ac:dyDescent="0.25">
      <c r="I380" s="79">
        <v>224.03713999999999</v>
      </c>
      <c r="J380" s="79">
        <f t="shared" si="5"/>
        <v>224</v>
      </c>
    </row>
    <row r="381" spans="9:10" x14ac:dyDescent="0.25">
      <c r="I381" s="79">
        <v>198.28782000000001</v>
      </c>
      <c r="J381" s="79">
        <f t="shared" si="5"/>
        <v>198</v>
      </c>
    </row>
    <row r="382" spans="9:10" x14ac:dyDescent="0.25">
      <c r="I382" s="79">
        <v>117.45062</v>
      </c>
      <c r="J382" s="79">
        <f t="shared" si="5"/>
        <v>117</v>
      </c>
    </row>
    <row r="383" spans="9:10" x14ac:dyDescent="0.25">
      <c r="I383" s="79">
        <v>175.66658000000001</v>
      </c>
      <c r="J383" s="79">
        <f t="shared" si="5"/>
        <v>176</v>
      </c>
    </row>
    <row r="384" spans="9:10" x14ac:dyDescent="0.25">
      <c r="I384" s="79">
        <v>228.262</v>
      </c>
      <c r="J384" s="79">
        <f t="shared" si="5"/>
        <v>228</v>
      </c>
    </row>
    <row r="385" spans="9:10" x14ac:dyDescent="0.25">
      <c r="I385" s="79">
        <v>203.94618</v>
      </c>
      <c r="J385" s="79">
        <f t="shared" si="5"/>
        <v>204</v>
      </c>
    </row>
    <row r="386" spans="9:10" x14ac:dyDescent="0.25">
      <c r="I386" s="79">
        <v>172.24814000000001</v>
      </c>
      <c r="J386" s="79">
        <f t="shared" si="5"/>
        <v>172</v>
      </c>
    </row>
    <row r="387" spans="9:10" x14ac:dyDescent="0.25">
      <c r="I387" s="79">
        <v>175.55311999999998</v>
      </c>
      <c r="J387" s="79">
        <f t="shared" si="5"/>
        <v>176</v>
      </c>
    </row>
    <row r="388" spans="9:10" x14ac:dyDescent="0.25">
      <c r="I388" s="79">
        <v>228.38888</v>
      </c>
      <c r="J388" s="79">
        <f t="shared" si="5"/>
        <v>228</v>
      </c>
    </row>
    <row r="389" spans="9:10" x14ac:dyDescent="0.25">
      <c r="I389" s="79">
        <v>200.58874</v>
      </c>
      <c r="J389" s="79">
        <f t="shared" si="5"/>
        <v>201</v>
      </c>
    </row>
    <row r="390" spans="9:10" x14ac:dyDescent="0.25">
      <c r="I390" s="79">
        <v>172.10906</v>
      </c>
      <c r="J390" s="79">
        <f t="shared" ref="J390:J453" si="6">ROUND(I390,0)</f>
        <v>172</v>
      </c>
    </row>
    <row r="391" spans="9:10" x14ac:dyDescent="0.25">
      <c r="I391" s="79">
        <v>173.15338</v>
      </c>
      <c r="J391" s="79">
        <f t="shared" si="6"/>
        <v>173</v>
      </c>
    </row>
    <row r="392" spans="9:10" x14ac:dyDescent="0.25">
      <c r="I392" s="79">
        <v>222.48041999999998</v>
      </c>
      <c r="J392" s="79">
        <f t="shared" si="6"/>
        <v>222</v>
      </c>
    </row>
    <row r="393" spans="9:10" x14ac:dyDescent="0.25">
      <c r="I393" s="79">
        <v>198.18167999999997</v>
      </c>
      <c r="J393" s="79">
        <f t="shared" si="6"/>
        <v>198</v>
      </c>
    </row>
    <row r="394" spans="9:10" x14ac:dyDescent="0.25">
      <c r="I394" s="79">
        <v>169.73493999999999</v>
      </c>
      <c r="J394" s="79">
        <f t="shared" si="6"/>
        <v>170</v>
      </c>
    </row>
    <row r="395" spans="9:10" x14ac:dyDescent="0.25">
      <c r="I395" s="79">
        <v>116.20988</v>
      </c>
      <c r="J395" s="79">
        <f t="shared" si="6"/>
        <v>116</v>
      </c>
    </row>
    <row r="396" spans="9:10" x14ac:dyDescent="0.25">
      <c r="I396" s="79">
        <v>198.64771999999999</v>
      </c>
      <c r="J396" s="79">
        <f t="shared" si="6"/>
        <v>199</v>
      </c>
    </row>
    <row r="397" spans="9:10" x14ac:dyDescent="0.25">
      <c r="I397" s="79">
        <v>224.34214</v>
      </c>
      <c r="J397" s="79">
        <f t="shared" si="6"/>
        <v>224</v>
      </c>
    </row>
    <row r="398" spans="9:10" x14ac:dyDescent="0.25">
      <c r="I398" s="79">
        <v>180.00489999999999</v>
      </c>
      <c r="J398" s="79">
        <f t="shared" si="6"/>
        <v>180</v>
      </c>
    </row>
    <row r="399" spans="9:10" x14ac:dyDescent="0.25">
      <c r="I399" s="79">
        <v>117.49942</v>
      </c>
      <c r="J399" s="79">
        <f t="shared" si="6"/>
        <v>117</v>
      </c>
    </row>
    <row r="400" spans="9:10" x14ac:dyDescent="0.25">
      <c r="I400" s="79">
        <v>198.34271999999999</v>
      </c>
      <c r="J400" s="79">
        <f t="shared" si="6"/>
        <v>198</v>
      </c>
    </row>
    <row r="401" spans="9:10" x14ac:dyDescent="0.25">
      <c r="I401" s="79">
        <v>224.03713999999999</v>
      </c>
      <c r="J401" s="79">
        <f t="shared" si="6"/>
        <v>224</v>
      </c>
    </row>
    <row r="402" spans="9:10" x14ac:dyDescent="0.25">
      <c r="I402" s="79">
        <v>172.82886000000002</v>
      </c>
      <c r="J402" s="79">
        <f t="shared" si="6"/>
        <v>173</v>
      </c>
    </row>
    <row r="403" spans="9:10" x14ac:dyDescent="0.25">
      <c r="I403" s="79">
        <v>172.2945</v>
      </c>
      <c r="J403" s="79">
        <f t="shared" si="6"/>
        <v>172</v>
      </c>
    </row>
    <row r="404" spans="9:10" x14ac:dyDescent="0.25">
      <c r="I404" s="79">
        <v>204.00108</v>
      </c>
      <c r="J404" s="79">
        <f t="shared" si="6"/>
        <v>204</v>
      </c>
    </row>
    <row r="405" spans="9:10" x14ac:dyDescent="0.25">
      <c r="I405" s="79">
        <v>228.26566</v>
      </c>
      <c r="J405" s="79">
        <f t="shared" si="6"/>
        <v>228</v>
      </c>
    </row>
    <row r="406" spans="9:10" x14ac:dyDescent="0.25">
      <c r="I406" s="79">
        <v>175.66658000000001</v>
      </c>
      <c r="J406" s="79">
        <f t="shared" si="6"/>
        <v>176</v>
      </c>
    </row>
    <row r="407" spans="9:10" x14ac:dyDescent="0.25">
      <c r="I407" s="79">
        <v>172.17982000000001</v>
      </c>
      <c r="J407" s="79">
        <f t="shared" si="6"/>
        <v>172</v>
      </c>
    </row>
    <row r="408" spans="9:10" x14ac:dyDescent="0.25">
      <c r="I408" s="79">
        <v>200.61192</v>
      </c>
      <c r="J408" s="79">
        <f t="shared" si="6"/>
        <v>201</v>
      </c>
    </row>
    <row r="409" spans="9:10" x14ac:dyDescent="0.25">
      <c r="I409" s="79">
        <v>228.38888</v>
      </c>
      <c r="J409" s="79">
        <f t="shared" si="6"/>
        <v>228</v>
      </c>
    </row>
    <row r="410" spans="9:10" x14ac:dyDescent="0.25">
      <c r="I410" s="79">
        <v>175.57141999999999</v>
      </c>
      <c r="J410" s="79">
        <f t="shared" si="6"/>
        <v>176</v>
      </c>
    </row>
    <row r="411" spans="9:10" x14ac:dyDescent="0.25">
      <c r="I411" s="79">
        <v>169.78129999999999</v>
      </c>
      <c r="J411" s="79">
        <f t="shared" si="6"/>
        <v>170</v>
      </c>
    </row>
    <row r="412" spans="9:10" x14ac:dyDescent="0.25">
      <c r="I412" s="79">
        <v>198.23779999999999</v>
      </c>
      <c r="J412" s="79">
        <f t="shared" si="6"/>
        <v>198</v>
      </c>
    </row>
    <row r="413" spans="9:10" x14ac:dyDescent="0.25">
      <c r="I413" s="79">
        <v>222.47554</v>
      </c>
      <c r="J413" s="79">
        <f t="shared" si="6"/>
        <v>222</v>
      </c>
    </row>
    <row r="414" spans="9:10" x14ac:dyDescent="0.25">
      <c r="I414" s="79">
        <v>173.15338</v>
      </c>
      <c r="J414" s="79">
        <f t="shared" si="6"/>
        <v>173</v>
      </c>
    </row>
    <row r="415" spans="9:10" x14ac:dyDescent="0.25">
      <c r="I415" s="79">
        <v>173.02649999999997</v>
      </c>
      <c r="J415" s="79">
        <f t="shared" si="6"/>
        <v>173</v>
      </c>
    </row>
    <row r="416" spans="9:10" x14ac:dyDescent="0.25">
      <c r="I416" s="79">
        <v>343.58616000000001</v>
      </c>
      <c r="J416" s="79">
        <f t="shared" si="6"/>
        <v>344</v>
      </c>
    </row>
    <row r="417" spans="9:10" x14ac:dyDescent="0.25">
      <c r="I417" s="79">
        <v>343.92898000000002</v>
      </c>
      <c r="J417" s="79">
        <f t="shared" si="6"/>
        <v>344</v>
      </c>
    </row>
    <row r="418" spans="9:10" x14ac:dyDescent="0.25">
      <c r="I418" s="79">
        <v>116.20988</v>
      </c>
      <c r="J418" s="79">
        <f t="shared" si="6"/>
        <v>116</v>
      </c>
    </row>
    <row r="419" spans="9:10" x14ac:dyDescent="0.25">
      <c r="I419" s="79">
        <v>174.43194</v>
      </c>
      <c r="J419" s="79">
        <f t="shared" si="6"/>
        <v>174</v>
      </c>
    </row>
    <row r="420" spans="9:10" x14ac:dyDescent="0.25">
      <c r="I420" s="79">
        <v>117.49942</v>
      </c>
      <c r="J420" s="79">
        <f t="shared" si="6"/>
        <v>117</v>
      </c>
    </row>
    <row r="421" spans="9:10" x14ac:dyDescent="0.25">
      <c r="I421" s="79">
        <v>172.24814000000001</v>
      </c>
      <c r="J421" s="79">
        <f t="shared" si="6"/>
        <v>172</v>
      </c>
    </row>
    <row r="422" spans="9:10" x14ac:dyDescent="0.25">
      <c r="I422" s="79">
        <v>172.56412</v>
      </c>
      <c r="J422" s="79">
        <f t="shared" si="6"/>
        <v>173</v>
      </c>
    </row>
    <row r="423" spans="9:10" x14ac:dyDescent="0.25">
      <c r="I423" s="79">
        <v>172.71784</v>
      </c>
      <c r="J423" s="79">
        <f t="shared" si="6"/>
        <v>173</v>
      </c>
    </row>
    <row r="424" spans="9:10" x14ac:dyDescent="0.25">
      <c r="I424" s="79">
        <v>172.29571999999999</v>
      </c>
      <c r="J424" s="79">
        <f t="shared" si="6"/>
        <v>172</v>
      </c>
    </row>
    <row r="425" spans="9:10" x14ac:dyDescent="0.25">
      <c r="I425" s="79">
        <v>172.61291999999997</v>
      </c>
      <c r="J425" s="79">
        <f t="shared" si="6"/>
        <v>173</v>
      </c>
    </row>
    <row r="426" spans="9:10" x14ac:dyDescent="0.25">
      <c r="I426" s="79">
        <v>173.54987999999997</v>
      </c>
      <c r="J426" s="79">
        <f t="shared" si="6"/>
        <v>174</v>
      </c>
    </row>
    <row r="427" spans="9:10" x14ac:dyDescent="0.25">
      <c r="I427" s="79">
        <v>173.70115999999999</v>
      </c>
      <c r="J427" s="79">
        <f t="shared" si="6"/>
        <v>174</v>
      </c>
    </row>
    <row r="428" spans="9:10" x14ac:dyDescent="0.25">
      <c r="I428" s="79">
        <v>172.66172</v>
      </c>
      <c r="J428" s="79">
        <f t="shared" si="6"/>
        <v>173</v>
      </c>
    </row>
    <row r="429" spans="9:10" x14ac:dyDescent="0.25">
      <c r="I429" s="79">
        <v>169.72640000000001</v>
      </c>
      <c r="J429" s="79">
        <f t="shared" si="6"/>
        <v>170</v>
      </c>
    </row>
    <row r="430" spans="9:10" x14ac:dyDescent="0.25">
      <c r="I430" s="79">
        <v>172.67147999999997</v>
      </c>
      <c r="J430" s="79">
        <f t="shared" si="6"/>
        <v>173</v>
      </c>
    </row>
    <row r="431" spans="9:10" x14ac:dyDescent="0.25">
      <c r="I431" s="79">
        <v>172.82397999999998</v>
      </c>
      <c r="J431" s="79">
        <f t="shared" si="6"/>
        <v>173</v>
      </c>
    </row>
    <row r="432" spans="9:10" x14ac:dyDescent="0.25">
      <c r="I432" s="79">
        <v>169.966252</v>
      </c>
      <c r="J432" s="79">
        <f t="shared" si="6"/>
        <v>170</v>
      </c>
    </row>
    <row r="433" spans="9:10" x14ac:dyDescent="0.25">
      <c r="I433" s="79">
        <v>176.48886000000002</v>
      </c>
      <c r="J433" s="79">
        <f t="shared" si="6"/>
        <v>176</v>
      </c>
    </row>
    <row r="434" spans="9:10" x14ac:dyDescent="0.25">
      <c r="I434" s="79">
        <v>224.34214</v>
      </c>
      <c r="J434" s="79">
        <f t="shared" si="6"/>
        <v>224</v>
      </c>
    </row>
    <row r="435" spans="9:10" x14ac:dyDescent="0.25">
      <c r="I435" s="79">
        <v>198.59281999999999</v>
      </c>
      <c r="J435" s="79">
        <f t="shared" si="6"/>
        <v>199</v>
      </c>
    </row>
    <row r="436" spans="9:10" x14ac:dyDescent="0.25">
      <c r="I436" s="79">
        <v>116.16108</v>
      </c>
      <c r="J436" s="79">
        <f t="shared" si="6"/>
        <v>116</v>
      </c>
    </row>
    <row r="437" spans="9:10" x14ac:dyDescent="0.25">
      <c r="I437" s="79">
        <v>172.82886000000002</v>
      </c>
      <c r="J437" s="79">
        <f t="shared" si="6"/>
        <v>173</v>
      </c>
    </row>
    <row r="438" spans="9:10" x14ac:dyDescent="0.25">
      <c r="I438" s="79">
        <v>224.03713999999999</v>
      </c>
      <c r="J438" s="79">
        <f t="shared" si="6"/>
        <v>224</v>
      </c>
    </row>
    <row r="439" spans="9:10" x14ac:dyDescent="0.25">
      <c r="I439" s="79">
        <v>198.28782000000001</v>
      </c>
      <c r="J439" s="79">
        <f t="shared" si="6"/>
        <v>198</v>
      </c>
    </row>
    <row r="440" spans="9:10" x14ac:dyDescent="0.25">
      <c r="I440" s="79">
        <v>117.45062</v>
      </c>
      <c r="J440" s="79">
        <f t="shared" si="6"/>
        <v>117</v>
      </c>
    </row>
    <row r="441" spans="9:10" x14ac:dyDescent="0.25">
      <c r="I441" s="79">
        <v>175.66658000000001</v>
      </c>
      <c r="J441" s="79">
        <f t="shared" si="6"/>
        <v>176</v>
      </c>
    </row>
    <row r="442" spans="9:10" x14ac:dyDescent="0.25">
      <c r="I442" s="79">
        <v>228.262</v>
      </c>
      <c r="J442" s="79">
        <f t="shared" si="6"/>
        <v>228</v>
      </c>
    </row>
    <row r="443" spans="9:10" x14ac:dyDescent="0.25">
      <c r="I443" s="79">
        <v>203.94618</v>
      </c>
      <c r="J443" s="79">
        <f t="shared" si="6"/>
        <v>204</v>
      </c>
    </row>
    <row r="444" spans="9:10" x14ac:dyDescent="0.25">
      <c r="I444" s="79">
        <v>172.24814000000001</v>
      </c>
      <c r="J444" s="79">
        <f t="shared" si="6"/>
        <v>172</v>
      </c>
    </row>
    <row r="445" spans="9:10" x14ac:dyDescent="0.25">
      <c r="I445" s="79">
        <v>175.55311999999998</v>
      </c>
      <c r="J445" s="79">
        <f t="shared" si="6"/>
        <v>176</v>
      </c>
    </row>
    <row r="446" spans="9:10" x14ac:dyDescent="0.25">
      <c r="I446" s="79">
        <v>228.38888</v>
      </c>
      <c r="J446" s="79">
        <f t="shared" si="6"/>
        <v>228</v>
      </c>
    </row>
    <row r="447" spans="9:10" x14ac:dyDescent="0.25">
      <c r="I447" s="79">
        <v>200.58874</v>
      </c>
      <c r="J447" s="79">
        <f t="shared" si="6"/>
        <v>201</v>
      </c>
    </row>
    <row r="448" spans="9:10" x14ac:dyDescent="0.25">
      <c r="I448" s="79">
        <v>172.10906</v>
      </c>
      <c r="J448" s="79">
        <f t="shared" si="6"/>
        <v>172</v>
      </c>
    </row>
    <row r="449" spans="9:10" x14ac:dyDescent="0.25">
      <c r="I449" s="79">
        <v>173.15338</v>
      </c>
      <c r="J449" s="79">
        <f t="shared" si="6"/>
        <v>173</v>
      </c>
    </row>
    <row r="450" spans="9:10" x14ac:dyDescent="0.25">
      <c r="I450" s="79">
        <v>222.48041999999998</v>
      </c>
      <c r="J450" s="79">
        <f t="shared" si="6"/>
        <v>222</v>
      </c>
    </row>
    <row r="451" spans="9:10" x14ac:dyDescent="0.25">
      <c r="I451" s="79">
        <v>198.18167999999997</v>
      </c>
      <c r="J451" s="79">
        <f t="shared" si="6"/>
        <v>198</v>
      </c>
    </row>
    <row r="452" spans="9:10" x14ac:dyDescent="0.25">
      <c r="I452" s="79">
        <v>169.73493999999999</v>
      </c>
      <c r="J452" s="79">
        <f t="shared" si="6"/>
        <v>170</v>
      </c>
    </row>
    <row r="453" spans="9:10" x14ac:dyDescent="0.25">
      <c r="I453" s="79">
        <v>106.42060000000001</v>
      </c>
      <c r="J453" s="79">
        <f t="shared" si="6"/>
        <v>106</v>
      </c>
    </row>
    <row r="454" spans="9:10" x14ac:dyDescent="0.25">
      <c r="I454" s="79">
        <v>152.60980000000001</v>
      </c>
      <c r="J454" s="79">
        <f t="shared" ref="J454:J517" si="7">ROUND(I454,0)</f>
        <v>153</v>
      </c>
    </row>
    <row r="455" spans="9:10" x14ac:dyDescent="0.25">
      <c r="I455" s="79">
        <v>158.0754</v>
      </c>
      <c r="J455" s="79">
        <f t="shared" si="7"/>
        <v>158</v>
      </c>
    </row>
    <row r="456" spans="9:10" x14ac:dyDescent="0.25">
      <c r="I456" s="79">
        <v>160.23480000000001</v>
      </c>
      <c r="J456" s="79">
        <f t="shared" si="7"/>
        <v>160</v>
      </c>
    </row>
    <row r="457" spans="9:10" x14ac:dyDescent="0.25">
      <c r="I457" s="79">
        <v>108.42140000000001</v>
      </c>
      <c r="J457" s="79">
        <f t="shared" si="7"/>
        <v>108</v>
      </c>
    </row>
    <row r="458" spans="9:10" x14ac:dyDescent="0.25">
      <c r="I458" s="79">
        <v>155.11079999999998</v>
      </c>
      <c r="J458" s="79">
        <f t="shared" si="7"/>
        <v>155</v>
      </c>
    </row>
    <row r="459" spans="9:10" x14ac:dyDescent="0.25">
      <c r="I459" s="79">
        <v>160.34460000000001</v>
      </c>
      <c r="J459" s="79">
        <f t="shared" si="7"/>
        <v>160</v>
      </c>
    </row>
    <row r="460" spans="9:10" x14ac:dyDescent="0.25">
      <c r="I460" s="79">
        <v>157.4288</v>
      </c>
      <c r="J460" s="79">
        <f t="shared" si="7"/>
        <v>157</v>
      </c>
    </row>
    <row r="461" spans="9:10" x14ac:dyDescent="0.25">
      <c r="I461" s="79">
        <v>155.12299999999999</v>
      </c>
      <c r="J461" s="79">
        <f t="shared" si="7"/>
        <v>155</v>
      </c>
    </row>
    <row r="462" spans="9:10" x14ac:dyDescent="0.25">
      <c r="I462" s="79">
        <v>154.87899999999999</v>
      </c>
      <c r="J462" s="79">
        <f t="shared" si="7"/>
        <v>155</v>
      </c>
    </row>
    <row r="463" spans="9:10" x14ac:dyDescent="0.25">
      <c r="I463" s="79">
        <v>160.35679999999999</v>
      </c>
      <c r="J463" s="79">
        <f t="shared" si="7"/>
        <v>160</v>
      </c>
    </row>
    <row r="464" spans="9:10" x14ac:dyDescent="0.25">
      <c r="I464" s="79">
        <v>160.34460000000001</v>
      </c>
      <c r="J464" s="79">
        <f t="shared" si="7"/>
        <v>160</v>
      </c>
    </row>
    <row r="465" spans="9:10" x14ac:dyDescent="0.25">
      <c r="I465" s="79">
        <v>155.489</v>
      </c>
      <c r="J465" s="79">
        <f t="shared" si="7"/>
        <v>155</v>
      </c>
    </row>
    <row r="466" spans="9:10" x14ac:dyDescent="0.25">
      <c r="I466" s="79">
        <v>154.9034</v>
      </c>
      <c r="J466" s="79">
        <f t="shared" si="7"/>
        <v>155</v>
      </c>
    </row>
    <row r="467" spans="9:10" x14ac:dyDescent="0.25">
      <c r="I467" s="79">
        <v>160.34460000000001</v>
      </c>
      <c r="J467" s="79">
        <f t="shared" si="7"/>
        <v>160</v>
      </c>
    </row>
    <row r="468" spans="9:10" x14ac:dyDescent="0.25">
      <c r="I468" s="79">
        <v>160.89359999999999</v>
      </c>
      <c r="J468" s="79">
        <f t="shared" si="7"/>
        <v>161</v>
      </c>
    </row>
    <row r="469" spans="9:10" x14ac:dyDescent="0.25">
      <c r="I469" s="79">
        <v>152.65859999999998</v>
      </c>
      <c r="J469" s="79">
        <f t="shared" si="7"/>
        <v>153</v>
      </c>
    </row>
    <row r="470" spans="9:10" x14ac:dyDescent="0.25">
      <c r="I470" s="79">
        <v>155.17179999999999</v>
      </c>
      <c r="J470" s="79">
        <f t="shared" si="7"/>
        <v>155</v>
      </c>
    </row>
    <row r="471" spans="9:10" x14ac:dyDescent="0.25">
      <c r="I471" s="79">
        <v>160.28359999999998</v>
      </c>
      <c r="J471" s="79">
        <f t="shared" si="7"/>
        <v>160</v>
      </c>
    </row>
    <row r="472" spans="9:10" x14ac:dyDescent="0.25">
      <c r="I472" s="79">
        <v>158.08760000000001</v>
      </c>
      <c r="J472" s="79">
        <f t="shared" si="7"/>
        <v>158</v>
      </c>
    </row>
    <row r="473" spans="9:10" x14ac:dyDescent="0.25">
      <c r="I473" s="79">
        <v>160.21039999999999</v>
      </c>
      <c r="J473" s="79">
        <f t="shared" si="7"/>
        <v>160</v>
      </c>
    </row>
    <row r="474" spans="9:10" x14ac:dyDescent="0.25">
      <c r="I474" s="79">
        <v>308.83079999999995</v>
      </c>
      <c r="J474" s="79">
        <f t="shared" si="7"/>
        <v>309</v>
      </c>
    </row>
    <row r="475" spans="9:10" x14ac:dyDescent="0.25">
      <c r="I475" s="79">
        <v>300.96179999999998</v>
      </c>
      <c r="J475" s="79">
        <f t="shared" si="7"/>
        <v>301</v>
      </c>
    </row>
    <row r="476" spans="9:10" x14ac:dyDescent="0.25">
      <c r="I476" s="79">
        <v>106.42060000000001</v>
      </c>
      <c r="J476" s="79">
        <f t="shared" si="7"/>
        <v>106</v>
      </c>
    </row>
    <row r="477" spans="9:10" x14ac:dyDescent="0.25">
      <c r="I477" s="79">
        <v>162.18680000000001</v>
      </c>
      <c r="J477" s="79">
        <f t="shared" si="7"/>
        <v>162</v>
      </c>
    </row>
    <row r="478" spans="9:10" x14ac:dyDescent="0.25">
      <c r="I478" s="79">
        <v>108.42140000000001</v>
      </c>
      <c r="J478" s="79">
        <f t="shared" si="7"/>
        <v>108</v>
      </c>
    </row>
    <row r="479" spans="9:10" x14ac:dyDescent="0.25">
      <c r="I479" s="79">
        <v>160.33239999999998</v>
      </c>
      <c r="J479" s="79">
        <f t="shared" si="7"/>
        <v>160</v>
      </c>
    </row>
    <row r="480" spans="9:10" x14ac:dyDescent="0.25">
      <c r="I480" s="79">
        <v>159.85659999999999</v>
      </c>
      <c r="J480" s="79">
        <f t="shared" si="7"/>
        <v>160</v>
      </c>
    </row>
    <row r="481" spans="9:10" x14ac:dyDescent="0.25">
      <c r="I481" s="79">
        <v>154.8058</v>
      </c>
      <c r="J481" s="79">
        <f t="shared" si="7"/>
        <v>155</v>
      </c>
    </row>
    <row r="482" spans="9:10" x14ac:dyDescent="0.25">
      <c r="I482" s="79">
        <v>154.92779999999999</v>
      </c>
      <c r="J482" s="79">
        <f t="shared" si="7"/>
        <v>155</v>
      </c>
    </row>
    <row r="483" spans="9:10" x14ac:dyDescent="0.25">
      <c r="I483" s="79">
        <v>160.89359999999999</v>
      </c>
      <c r="J483" s="79">
        <f t="shared" si="7"/>
        <v>161</v>
      </c>
    </row>
    <row r="484" spans="9:10" x14ac:dyDescent="0.25">
      <c r="I484" s="79">
        <v>159.84440000000001</v>
      </c>
      <c r="J484" s="79">
        <f t="shared" si="7"/>
        <v>160</v>
      </c>
    </row>
    <row r="485" spans="9:10" x14ac:dyDescent="0.25">
      <c r="I485" s="79">
        <v>154.78139999999999</v>
      </c>
      <c r="J485" s="79">
        <f t="shared" si="7"/>
        <v>155</v>
      </c>
    </row>
    <row r="486" spans="9:10" x14ac:dyDescent="0.25">
      <c r="I486" s="79">
        <v>155.4402</v>
      </c>
      <c r="J486" s="79">
        <f t="shared" si="7"/>
        <v>155</v>
      </c>
    </row>
    <row r="487" spans="9:10" x14ac:dyDescent="0.25">
      <c r="I487" s="79">
        <v>158.09979999999999</v>
      </c>
      <c r="J487" s="79">
        <f t="shared" si="7"/>
        <v>158</v>
      </c>
    </row>
    <row r="488" spans="9:10" x14ac:dyDescent="0.25">
      <c r="I488" s="79">
        <v>160.69839999999999</v>
      </c>
      <c r="J488" s="79">
        <f t="shared" si="7"/>
        <v>161</v>
      </c>
    </row>
    <row r="489" spans="9:10" x14ac:dyDescent="0.25">
      <c r="I489" s="79">
        <v>155.0864</v>
      </c>
      <c r="J489" s="79">
        <f t="shared" si="7"/>
        <v>155</v>
      </c>
    </row>
    <row r="490" spans="9:10" x14ac:dyDescent="0.25">
      <c r="I490" s="79">
        <v>152.6464</v>
      </c>
      <c r="J490" s="79">
        <f t="shared" si="7"/>
        <v>153</v>
      </c>
    </row>
    <row r="491" spans="9:10" x14ac:dyDescent="0.25">
      <c r="I491" s="79">
        <v>160.23480000000001</v>
      </c>
      <c r="J491" s="79">
        <f t="shared" si="7"/>
        <v>160</v>
      </c>
    </row>
    <row r="492" spans="9:10" x14ac:dyDescent="0.25">
      <c r="I492" s="79">
        <v>158.0754</v>
      </c>
      <c r="J492" s="79">
        <f t="shared" si="7"/>
        <v>158</v>
      </c>
    </row>
    <row r="493" spans="9:10" x14ac:dyDescent="0.25">
      <c r="I493" s="79">
        <v>152.60980000000001</v>
      </c>
      <c r="J493" s="79">
        <f t="shared" si="7"/>
        <v>153</v>
      </c>
    </row>
    <row r="494" spans="9:10" x14ac:dyDescent="0.25">
      <c r="I494" s="79">
        <v>106.42060000000001</v>
      </c>
      <c r="J494" s="79">
        <f t="shared" si="7"/>
        <v>106</v>
      </c>
    </row>
    <row r="495" spans="9:10" x14ac:dyDescent="0.25">
      <c r="I495" s="79">
        <v>157.4288</v>
      </c>
      <c r="J495" s="79">
        <f t="shared" si="7"/>
        <v>157</v>
      </c>
    </row>
    <row r="496" spans="9:10" x14ac:dyDescent="0.25">
      <c r="I496" s="79">
        <v>160.34460000000001</v>
      </c>
      <c r="J496" s="79">
        <f t="shared" si="7"/>
        <v>160</v>
      </c>
    </row>
    <row r="497" spans="9:10" x14ac:dyDescent="0.25">
      <c r="I497" s="79">
        <v>155.11079999999998</v>
      </c>
      <c r="J497" s="79">
        <f t="shared" si="7"/>
        <v>155</v>
      </c>
    </row>
    <row r="498" spans="9:10" x14ac:dyDescent="0.25">
      <c r="I498" s="79">
        <v>108.42140000000001</v>
      </c>
      <c r="J498" s="79">
        <f t="shared" si="7"/>
        <v>108</v>
      </c>
    </row>
    <row r="499" spans="9:10" x14ac:dyDescent="0.25">
      <c r="I499" s="79">
        <v>160.34460000000001</v>
      </c>
      <c r="J499" s="79">
        <f t="shared" si="7"/>
        <v>160</v>
      </c>
    </row>
    <row r="500" spans="9:10" x14ac:dyDescent="0.25">
      <c r="I500" s="79">
        <v>160.35679999999999</v>
      </c>
      <c r="J500" s="79">
        <f t="shared" si="7"/>
        <v>160</v>
      </c>
    </row>
    <row r="501" spans="9:10" x14ac:dyDescent="0.25">
      <c r="I501" s="79">
        <v>154.87899999999999</v>
      </c>
      <c r="J501" s="79">
        <f t="shared" si="7"/>
        <v>155</v>
      </c>
    </row>
    <row r="502" spans="9:10" x14ac:dyDescent="0.25">
      <c r="I502" s="79">
        <v>155.12299999999999</v>
      </c>
      <c r="J502" s="79">
        <f t="shared" si="7"/>
        <v>155</v>
      </c>
    </row>
    <row r="503" spans="9:10" x14ac:dyDescent="0.25">
      <c r="I503" s="79">
        <v>160.89359999999999</v>
      </c>
      <c r="J503" s="79">
        <f t="shared" si="7"/>
        <v>161</v>
      </c>
    </row>
    <row r="504" spans="9:10" x14ac:dyDescent="0.25">
      <c r="I504" s="79">
        <v>160.34460000000001</v>
      </c>
      <c r="J504" s="79">
        <f t="shared" si="7"/>
        <v>160</v>
      </c>
    </row>
    <row r="505" spans="9:10" x14ac:dyDescent="0.25">
      <c r="I505" s="79">
        <v>154.9034</v>
      </c>
      <c r="J505" s="79">
        <f t="shared" si="7"/>
        <v>155</v>
      </c>
    </row>
    <row r="506" spans="9:10" x14ac:dyDescent="0.25">
      <c r="I506" s="79">
        <v>155.489</v>
      </c>
      <c r="J506" s="79">
        <f t="shared" si="7"/>
        <v>155</v>
      </c>
    </row>
    <row r="507" spans="9:10" x14ac:dyDescent="0.25">
      <c r="I507" s="79">
        <v>158.08760000000001</v>
      </c>
      <c r="J507" s="79">
        <f t="shared" si="7"/>
        <v>158</v>
      </c>
    </row>
    <row r="508" spans="9:10" x14ac:dyDescent="0.25">
      <c r="I508" s="79">
        <v>160.28359999999998</v>
      </c>
      <c r="J508" s="79">
        <f t="shared" si="7"/>
        <v>160</v>
      </c>
    </row>
    <row r="509" spans="9:10" x14ac:dyDescent="0.25">
      <c r="I509" s="79">
        <v>155.17179999999999</v>
      </c>
      <c r="J509" s="79">
        <f t="shared" si="7"/>
        <v>155</v>
      </c>
    </row>
    <row r="510" spans="9:10" x14ac:dyDescent="0.25">
      <c r="I510" s="79">
        <v>152.65859999999998</v>
      </c>
      <c r="J510" s="79">
        <f t="shared" si="7"/>
        <v>153</v>
      </c>
    </row>
    <row r="511" spans="9:10" x14ac:dyDescent="0.25">
      <c r="I511" s="79">
        <v>115.80240000000001</v>
      </c>
      <c r="J511" s="79">
        <f t="shared" si="7"/>
        <v>116</v>
      </c>
    </row>
    <row r="512" spans="9:10" x14ac:dyDescent="0.25">
      <c r="I512" s="79">
        <v>199.28699999999998</v>
      </c>
      <c r="J512" s="79">
        <f t="shared" si="7"/>
        <v>199</v>
      </c>
    </row>
    <row r="513" spans="9:10" x14ac:dyDescent="0.25">
      <c r="I513" s="79">
        <v>224.34579999999997</v>
      </c>
      <c r="J513" s="79">
        <f t="shared" si="7"/>
        <v>224</v>
      </c>
    </row>
    <row r="514" spans="9:10" x14ac:dyDescent="0.25">
      <c r="I514" s="79">
        <v>175.93620000000001</v>
      </c>
      <c r="J514" s="79">
        <f t="shared" si="7"/>
        <v>176</v>
      </c>
    </row>
    <row r="515" spans="9:10" x14ac:dyDescent="0.25">
      <c r="I515" s="79">
        <v>117.47380000000001</v>
      </c>
      <c r="J515" s="79">
        <f t="shared" si="7"/>
        <v>117</v>
      </c>
    </row>
    <row r="516" spans="9:10" x14ac:dyDescent="0.25">
      <c r="I516" s="79">
        <v>198.92100000000002</v>
      </c>
      <c r="J516" s="79">
        <f t="shared" si="7"/>
        <v>199</v>
      </c>
    </row>
    <row r="517" spans="9:10" x14ac:dyDescent="0.25">
      <c r="I517" s="79">
        <v>223.97980000000001</v>
      </c>
      <c r="J517" s="79">
        <f t="shared" si="7"/>
        <v>224</v>
      </c>
    </row>
    <row r="518" spans="9:10" x14ac:dyDescent="0.25">
      <c r="I518" s="79">
        <v>172.7398</v>
      </c>
      <c r="J518" s="79">
        <f t="shared" ref="J518:J581" si="8">ROUND(I518,0)</f>
        <v>173</v>
      </c>
    </row>
    <row r="519" spans="9:10" x14ac:dyDescent="0.25">
      <c r="I519" s="79">
        <v>172.203</v>
      </c>
      <c r="J519" s="79">
        <f t="shared" si="8"/>
        <v>172</v>
      </c>
    </row>
    <row r="520" spans="9:10" x14ac:dyDescent="0.25">
      <c r="I520" s="79">
        <v>204.81359999999998</v>
      </c>
      <c r="J520" s="79">
        <f t="shared" si="8"/>
        <v>205</v>
      </c>
    </row>
    <row r="521" spans="9:10" x14ac:dyDescent="0.25">
      <c r="I521" s="79">
        <v>228.24979999999999</v>
      </c>
      <c r="J521" s="79">
        <f t="shared" si="8"/>
        <v>228</v>
      </c>
    </row>
    <row r="522" spans="9:10" x14ac:dyDescent="0.25">
      <c r="I522" s="79">
        <v>175.64339999999999</v>
      </c>
      <c r="J522" s="79">
        <f t="shared" si="8"/>
        <v>176</v>
      </c>
    </row>
    <row r="523" spans="9:10" x14ac:dyDescent="0.25">
      <c r="I523" s="79">
        <v>172.49579999999997</v>
      </c>
      <c r="J523" s="79">
        <f t="shared" si="8"/>
        <v>172</v>
      </c>
    </row>
    <row r="524" spans="9:10" x14ac:dyDescent="0.25">
      <c r="I524" s="79">
        <v>202.1662</v>
      </c>
      <c r="J524" s="79">
        <f t="shared" si="8"/>
        <v>202</v>
      </c>
    </row>
    <row r="525" spans="9:10" x14ac:dyDescent="0.25">
      <c r="I525" s="79">
        <v>229.25019999999998</v>
      </c>
      <c r="J525" s="79">
        <f t="shared" si="8"/>
        <v>229</v>
      </c>
    </row>
    <row r="526" spans="9:10" x14ac:dyDescent="0.25">
      <c r="I526" s="79">
        <v>175.93620000000001</v>
      </c>
      <c r="J526" s="79">
        <f t="shared" si="8"/>
        <v>176</v>
      </c>
    </row>
    <row r="527" spans="9:10" x14ac:dyDescent="0.25">
      <c r="I527" s="79">
        <v>169.68979999999999</v>
      </c>
      <c r="J527" s="79">
        <f t="shared" si="8"/>
        <v>170</v>
      </c>
    </row>
    <row r="528" spans="9:10" x14ac:dyDescent="0.25">
      <c r="I528" s="79">
        <v>199.28699999999998</v>
      </c>
      <c r="J528" s="79">
        <f t="shared" si="8"/>
        <v>199</v>
      </c>
    </row>
    <row r="529" spans="9:10" x14ac:dyDescent="0.25">
      <c r="I529" s="79">
        <v>222.72319999999999</v>
      </c>
      <c r="J529" s="79">
        <f t="shared" si="8"/>
        <v>223</v>
      </c>
    </row>
    <row r="530" spans="9:10" x14ac:dyDescent="0.25">
      <c r="I530" s="79">
        <v>173.1302</v>
      </c>
      <c r="J530" s="79">
        <f t="shared" si="8"/>
        <v>173</v>
      </c>
    </row>
    <row r="531" spans="9:10" x14ac:dyDescent="0.25">
      <c r="I531" s="79">
        <v>175.93620000000001</v>
      </c>
      <c r="J531" s="79">
        <f t="shared" si="8"/>
        <v>176</v>
      </c>
    </row>
    <row r="532" spans="9:10" x14ac:dyDescent="0.25">
      <c r="I532" s="79">
        <v>224.34579999999997</v>
      </c>
      <c r="J532" s="79">
        <f t="shared" si="8"/>
        <v>224</v>
      </c>
    </row>
    <row r="533" spans="9:10" x14ac:dyDescent="0.25">
      <c r="I533" s="79">
        <v>199.28699999999998</v>
      </c>
      <c r="J533" s="79">
        <f t="shared" si="8"/>
        <v>199</v>
      </c>
    </row>
    <row r="534" spans="9:10" x14ac:dyDescent="0.25">
      <c r="I534" s="79">
        <v>115.80240000000001</v>
      </c>
      <c r="J534" s="79">
        <f t="shared" si="8"/>
        <v>116</v>
      </c>
    </row>
    <row r="535" spans="9:10" x14ac:dyDescent="0.25">
      <c r="I535" s="79">
        <v>172.7398</v>
      </c>
      <c r="J535" s="79">
        <f t="shared" si="8"/>
        <v>173</v>
      </c>
    </row>
    <row r="536" spans="9:10" x14ac:dyDescent="0.25">
      <c r="I536" s="79">
        <v>223.97980000000001</v>
      </c>
      <c r="J536" s="79">
        <f t="shared" si="8"/>
        <v>224</v>
      </c>
    </row>
    <row r="537" spans="9:10" x14ac:dyDescent="0.25">
      <c r="I537" s="79">
        <v>198.92100000000002</v>
      </c>
      <c r="J537" s="79">
        <f t="shared" si="8"/>
        <v>199</v>
      </c>
    </row>
    <row r="538" spans="9:10" x14ac:dyDescent="0.25">
      <c r="I538" s="79">
        <v>117.47380000000001</v>
      </c>
      <c r="J538" s="79">
        <f t="shared" si="8"/>
        <v>117</v>
      </c>
    </row>
    <row r="539" spans="9:10" x14ac:dyDescent="0.25">
      <c r="I539" s="79">
        <v>175.64339999999999</v>
      </c>
      <c r="J539" s="79">
        <f t="shared" si="8"/>
        <v>176</v>
      </c>
    </row>
    <row r="540" spans="9:10" x14ac:dyDescent="0.25">
      <c r="I540" s="79">
        <v>228.24979999999999</v>
      </c>
      <c r="J540" s="79">
        <f t="shared" si="8"/>
        <v>228</v>
      </c>
    </row>
    <row r="541" spans="9:10" x14ac:dyDescent="0.25">
      <c r="I541" s="79">
        <v>204.81359999999998</v>
      </c>
      <c r="J541" s="79">
        <f t="shared" si="8"/>
        <v>205</v>
      </c>
    </row>
    <row r="542" spans="9:10" x14ac:dyDescent="0.25">
      <c r="I542" s="79">
        <v>172.203</v>
      </c>
      <c r="J542" s="79">
        <f t="shared" si="8"/>
        <v>172</v>
      </c>
    </row>
    <row r="543" spans="9:10" x14ac:dyDescent="0.25">
      <c r="I543" s="79">
        <v>175.93620000000001</v>
      </c>
      <c r="J543" s="79">
        <f t="shared" si="8"/>
        <v>176</v>
      </c>
    </row>
    <row r="544" spans="9:10" x14ac:dyDescent="0.25">
      <c r="I544" s="79">
        <v>229.25019999999998</v>
      </c>
      <c r="J544" s="79">
        <f t="shared" si="8"/>
        <v>229</v>
      </c>
    </row>
    <row r="545" spans="9:10" x14ac:dyDescent="0.25">
      <c r="I545" s="79">
        <v>202.1662</v>
      </c>
      <c r="J545" s="79">
        <f t="shared" si="8"/>
        <v>202</v>
      </c>
    </row>
    <row r="546" spans="9:10" x14ac:dyDescent="0.25">
      <c r="I546" s="79">
        <v>172.49579999999997</v>
      </c>
      <c r="J546" s="79">
        <f t="shared" si="8"/>
        <v>172</v>
      </c>
    </row>
    <row r="547" spans="9:10" x14ac:dyDescent="0.25">
      <c r="I547" s="79">
        <v>173.1302</v>
      </c>
      <c r="J547" s="79">
        <f t="shared" si="8"/>
        <v>173</v>
      </c>
    </row>
    <row r="548" spans="9:10" x14ac:dyDescent="0.25">
      <c r="I548" s="79">
        <v>222.72319999999999</v>
      </c>
      <c r="J548" s="79">
        <f t="shared" si="8"/>
        <v>223</v>
      </c>
    </row>
    <row r="549" spans="9:10" x14ac:dyDescent="0.25">
      <c r="I549" s="79">
        <v>199.28699999999998</v>
      </c>
      <c r="J549" s="79">
        <f t="shared" si="8"/>
        <v>199</v>
      </c>
    </row>
    <row r="550" spans="9:10" x14ac:dyDescent="0.25">
      <c r="I550" s="79">
        <v>169.68979999999999</v>
      </c>
      <c r="J550" s="79">
        <f t="shared" si="8"/>
        <v>170</v>
      </c>
    </row>
    <row r="551" spans="9:10" x14ac:dyDescent="0.25">
      <c r="I551" s="79">
        <v>116.20988</v>
      </c>
      <c r="J551" s="79">
        <f t="shared" si="8"/>
        <v>116</v>
      </c>
    </row>
    <row r="552" spans="9:10" x14ac:dyDescent="0.25">
      <c r="I552" s="79">
        <v>198.64771999999999</v>
      </c>
      <c r="J552" s="79">
        <f t="shared" si="8"/>
        <v>199</v>
      </c>
    </row>
    <row r="553" spans="9:10" x14ac:dyDescent="0.25">
      <c r="I553" s="79">
        <v>224.34214</v>
      </c>
      <c r="J553" s="79">
        <f t="shared" si="8"/>
        <v>224</v>
      </c>
    </row>
    <row r="554" spans="9:10" x14ac:dyDescent="0.25">
      <c r="I554" s="79">
        <v>180.00489999999999</v>
      </c>
      <c r="J554" s="79">
        <f t="shared" si="8"/>
        <v>180</v>
      </c>
    </row>
    <row r="555" spans="9:10" x14ac:dyDescent="0.25">
      <c r="I555" s="79">
        <v>117.49942</v>
      </c>
      <c r="J555" s="79">
        <f t="shared" si="8"/>
        <v>117</v>
      </c>
    </row>
    <row r="556" spans="9:10" x14ac:dyDescent="0.25">
      <c r="I556" s="79">
        <v>198.34271999999999</v>
      </c>
      <c r="J556" s="79">
        <f t="shared" si="8"/>
        <v>198</v>
      </c>
    </row>
    <row r="557" spans="9:10" x14ac:dyDescent="0.25">
      <c r="I557" s="79">
        <v>224.03713999999999</v>
      </c>
      <c r="J557" s="79">
        <f t="shared" si="8"/>
        <v>224</v>
      </c>
    </row>
    <row r="558" spans="9:10" x14ac:dyDescent="0.25">
      <c r="I558" s="79">
        <v>172.82886000000002</v>
      </c>
      <c r="J558" s="79">
        <f t="shared" si="8"/>
        <v>173</v>
      </c>
    </row>
    <row r="559" spans="9:10" x14ac:dyDescent="0.25">
      <c r="I559" s="79">
        <v>172.2945</v>
      </c>
      <c r="J559" s="79">
        <f t="shared" si="8"/>
        <v>172</v>
      </c>
    </row>
    <row r="560" spans="9:10" x14ac:dyDescent="0.25">
      <c r="I560" s="79">
        <v>204.00108</v>
      </c>
      <c r="J560" s="79">
        <f t="shared" si="8"/>
        <v>204</v>
      </c>
    </row>
    <row r="561" spans="9:10" x14ac:dyDescent="0.25">
      <c r="I561" s="79">
        <v>228.26566</v>
      </c>
      <c r="J561" s="79">
        <f t="shared" si="8"/>
        <v>228</v>
      </c>
    </row>
    <row r="562" spans="9:10" x14ac:dyDescent="0.25">
      <c r="I562" s="79">
        <v>175.66658000000001</v>
      </c>
      <c r="J562" s="79">
        <f t="shared" si="8"/>
        <v>176</v>
      </c>
    </row>
    <row r="563" spans="9:10" x14ac:dyDescent="0.25">
      <c r="I563" s="79">
        <v>172.17982000000001</v>
      </c>
      <c r="J563" s="79">
        <f t="shared" si="8"/>
        <v>172</v>
      </c>
    </row>
    <row r="564" spans="9:10" x14ac:dyDescent="0.25">
      <c r="I564" s="79">
        <v>200.61192</v>
      </c>
      <c r="J564" s="79">
        <f t="shared" si="8"/>
        <v>201</v>
      </c>
    </row>
    <row r="565" spans="9:10" x14ac:dyDescent="0.25">
      <c r="I565" s="79">
        <v>228.38888</v>
      </c>
      <c r="J565" s="79">
        <f t="shared" si="8"/>
        <v>228</v>
      </c>
    </row>
    <row r="566" spans="9:10" x14ac:dyDescent="0.25">
      <c r="I566" s="79">
        <v>175.57141999999999</v>
      </c>
      <c r="J566" s="79">
        <f t="shared" si="8"/>
        <v>176</v>
      </c>
    </row>
    <row r="567" spans="9:10" x14ac:dyDescent="0.25">
      <c r="I567" s="79">
        <v>169.78129999999999</v>
      </c>
      <c r="J567" s="79">
        <f t="shared" si="8"/>
        <v>170</v>
      </c>
    </row>
    <row r="568" spans="9:10" x14ac:dyDescent="0.25">
      <c r="I568" s="79">
        <v>198.23779999999999</v>
      </c>
      <c r="J568" s="79">
        <f t="shared" si="8"/>
        <v>198</v>
      </c>
    </row>
    <row r="569" spans="9:10" x14ac:dyDescent="0.25">
      <c r="I569" s="79">
        <v>222.47554</v>
      </c>
      <c r="J569" s="79">
        <f t="shared" si="8"/>
        <v>222</v>
      </c>
    </row>
    <row r="570" spans="9:10" x14ac:dyDescent="0.25">
      <c r="I570" s="79">
        <v>173.15338</v>
      </c>
      <c r="J570" s="79">
        <f t="shared" si="8"/>
        <v>173</v>
      </c>
    </row>
    <row r="571" spans="9:10" x14ac:dyDescent="0.25">
      <c r="I571" s="79">
        <v>173.02649999999997</v>
      </c>
      <c r="J571" s="79">
        <f t="shared" si="8"/>
        <v>173</v>
      </c>
    </row>
    <row r="572" spans="9:10" x14ac:dyDescent="0.25">
      <c r="I572" s="79">
        <v>343.58616000000001</v>
      </c>
      <c r="J572" s="79">
        <f t="shared" si="8"/>
        <v>344</v>
      </c>
    </row>
    <row r="573" spans="9:10" x14ac:dyDescent="0.25">
      <c r="I573" s="79">
        <v>343.92898000000002</v>
      </c>
      <c r="J573" s="79">
        <f t="shared" si="8"/>
        <v>344</v>
      </c>
    </row>
    <row r="574" spans="9:10" x14ac:dyDescent="0.25">
      <c r="I574" s="79">
        <v>116.20988</v>
      </c>
      <c r="J574" s="79">
        <f t="shared" si="8"/>
        <v>116</v>
      </c>
    </row>
    <row r="575" spans="9:10" x14ac:dyDescent="0.25">
      <c r="I575" s="79">
        <v>174.43194</v>
      </c>
      <c r="J575" s="79">
        <f t="shared" si="8"/>
        <v>174</v>
      </c>
    </row>
    <row r="576" spans="9:10" x14ac:dyDescent="0.25">
      <c r="I576" s="79">
        <v>117.49942</v>
      </c>
      <c r="J576" s="79">
        <f t="shared" si="8"/>
        <v>117</v>
      </c>
    </row>
    <row r="577" spans="9:10" x14ac:dyDescent="0.25">
      <c r="I577" s="79">
        <v>172.24814000000001</v>
      </c>
      <c r="J577" s="79">
        <f t="shared" si="8"/>
        <v>172</v>
      </c>
    </row>
    <row r="578" spans="9:10" x14ac:dyDescent="0.25">
      <c r="I578" s="79">
        <v>172.56412</v>
      </c>
      <c r="J578" s="79">
        <f t="shared" si="8"/>
        <v>173</v>
      </c>
    </row>
    <row r="579" spans="9:10" x14ac:dyDescent="0.25">
      <c r="I579" s="79">
        <v>172.71784</v>
      </c>
      <c r="J579" s="79">
        <f t="shared" si="8"/>
        <v>173</v>
      </c>
    </row>
    <row r="580" spans="9:10" x14ac:dyDescent="0.25">
      <c r="I580" s="79">
        <v>172.29571999999999</v>
      </c>
      <c r="J580" s="79">
        <f t="shared" si="8"/>
        <v>172</v>
      </c>
    </row>
    <row r="581" spans="9:10" x14ac:dyDescent="0.25">
      <c r="I581" s="79">
        <v>172.61291999999997</v>
      </c>
      <c r="J581" s="79">
        <f t="shared" si="8"/>
        <v>173</v>
      </c>
    </row>
    <row r="582" spans="9:10" x14ac:dyDescent="0.25">
      <c r="I582" s="79">
        <v>173.54987999999997</v>
      </c>
      <c r="J582" s="79">
        <f t="shared" ref="J582:J645" si="9">ROUND(I582,0)</f>
        <v>174</v>
      </c>
    </row>
    <row r="583" spans="9:10" x14ac:dyDescent="0.25">
      <c r="I583" s="79">
        <v>173.70115999999999</v>
      </c>
      <c r="J583" s="79">
        <f t="shared" si="9"/>
        <v>174</v>
      </c>
    </row>
    <row r="584" spans="9:10" x14ac:dyDescent="0.25">
      <c r="I584" s="79">
        <v>172.66172</v>
      </c>
      <c r="J584" s="79">
        <f t="shared" si="9"/>
        <v>173</v>
      </c>
    </row>
    <row r="585" spans="9:10" x14ac:dyDescent="0.25">
      <c r="I585" s="79">
        <v>169.72640000000001</v>
      </c>
      <c r="J585" s="79">
        <f t="shared" si="9"/>
        <v>170</v>
      </c>
    </row>
    <row r="586" spans="9:10" x14ac:dyDescent="0.25">
      <c r="I586" s="79">
        <v>172.67147999999997</v>
      </c>
      <c r="J586" s="79">
        <f t="shared" si="9"/>
        <v>173</v>
      </c>
    </row>
    <row r="587" spans="9:10" x14ac:dyDescent="0.25">
      <c r="I587" s="79">
        <v>172.82397999999998</v>
      </c>
      <c r="J587" s="79">
        <f t="shared" si="9"/>
        <v>173</v>
      </c>
    </row>
    <row r="588" spans="9:10" x14ac:dyDescent="0.25">
      <c r="I588" s="79">
        <v>169.966252</v>
      </c>
      <c r="J588" s="79">
        <f t="shared" si="9"/>
        <v>170</v>
      </c>
    </row>
    <row r="589" spans="9:10" x14ac:dyDescent="0.25">
      <c r="I589" s="79">
        <v>176.48886000000002</v>
      </c>
      <c r="J589" s="79">
        <f t="shared" si="9"/>
        <v>176</v>
      </c>
    </row>
    <row r="590" spans="9:10" x14ac:dyDescent="0.25">
      <c r="I590" s="79">
        <v>224.34214</v>
      </c>
      <c r="J590" s="79">
        <f t="shared" si="9"/>
        <v>224</v>
      </c>
    </row>
    <row r="591" spans="9:10" x14ac:dyDescent="0.25">
      <c r="I591" s="79">
        <v>198.59281999999999</v>
      </c>
      <c r="J591" s="79">
        <f t="shared" si="9"/>
        <v>199</v>
      </c>
    </row>
    <row r="592" spans="9:10" x14ac:dyDescent="0.25">
      <c r="I592" s="79">
        <v>116.16108</v>
      </c>
      <c r="J592" s="79">
        <f t="shared" si="9"/>
        <v>116</v>
      </c>
    </row>
    <row r="593" spans="9:10" x14ac:dyDescent="0.25">
      <c r="I593" s="79">
        <v>172.82886000000002</v>
      </c>
      <c r="J593" s="79">
        <f t="shared" si="9"/>
        <v>173</v>
      </c>
    </row>
    <row r="594" spans="9:10" x14ac:dyDescent="0.25">
      <c r="I594" s="79">
        <v>224.03713999999999</v>
      </c>
      <c r="J594" s="79">
        <f t="shared" si="9"/>
        <v>224</v>
      </c>
    </row>
    <row r="595" spans="9:10" x14ac:dyDescent="0.25">
      <c r="I595" s="79">
        <v>198.28782000000001</v>
      </c>
      <c r="J595" s="79">
        <f t="shared" si="9"/>
        <v>198</v>
      </c>
    </row>
    <row r="596" spans="9:10" x14ac:dyDescent="0.25">
      <c r="I596" s="79">
        <v>117.45062</v>
      </c>
      <c r="J596" s="79">
        <f t="shared" si="9"/>
        <v>117</v>
      </c>
    </row>
    <row r="597" spans="9:10" x14ac:dyDescent="0.25">
      <c r="I597" s="79">
        <v>175.66658000000001</v>
      </c>
      <c r="J597" s="79">
        <f t="shared" si="9"/>
        <v>176</v>
      </c>
    </row>
    <row r="598" spans="9:10" x14ac:dyDescent="0.25">
      <c r="I598" s="79">
        <v>228.262</v>
      </c>
      <c r="J598" s="79">
        <f t="shared" si="9"/>
        <v>228</v>
      </c>
    </row>
    <row r="599" spans="9:10" x14ac:dyDescent="0.25">
      <c r="I599" s="79">
        <v>203.94618</v>
      </c>
      <c r="J599" s="79">
        <f t="shared" si="9"/>
        <v>204</v>
      </c>
    </row>
    <row r="600" spans="9:10" x14ac:dyDescent="0.25">
      <c r="I600" s="79">
        <v>172.24814000000001</v>
      </c>
      <c r="J600" s="79">
        <f t="shared" si="9"/>
        <v>172</v>
      </c>
    </row>
    <row r="601" spans="9:10" x14ac:dyDescent="0.25">
      <c r="I601" s="79">
        <v>175.55311999999998</v>
      </c>
      <c r="J601" s="79">
        <f t="shared" si="9"/>
        <v>176</v>
      </c>
    </row>
    <row r="602" spans="9:10" x14ac:dyDescent="0.25">
      <c r="I602" s="79">
        <v>228.38888</v>
      </c>
      <c r="J602" s="79">
        <f t="shared" si="9"/>
        <v>228</v>
      </c>
    </row>
    <row r="603" spans="9:10" x14ac:dyDescent="0.25">
      <c r="I603" s="79">
        <v>200.58874</v>
      </c>
      <c r="J603" s="79">
        <f t="shared" si="9"/>
        <v>201</v>
      </c>
    </row>
    <row r="604" spans="9:10" x14ac:dyDescent="0.25">
      <c r="I604" s="79">
        <v>172.10906</v>
      </c>
      <c r="J604" s="79">
        <f t="shared" si="9"/>
        <v>172</v>
      </c>
    </row>
    <row r="605" spans="9:10" x14ac:dyDescent="0.25">
      <c r="I605" s="79">
        <v>173.15338</v>
      </c>
      <c r="J605" s="79">
        <f t="shared" si="9"/>
        <v>173</v>
      </c>
    </row>
    <row r="606" spans="9:10" x14ac:dyDescent="0.25">
      <c r="I606" s="79">
        <v>222.48041999999998</v>
      </c>
      <c r="J606" s="79">
        <f t="shared" si="9"/>
        <v>222</v>
      </c>
    </row>
    <row r="607" spans="9:10" x14ac:dyDescent="0.25">
      <c r="I607" s="79">
        <v>198.18167999999997</v>
      </c>
      <c r="J607" s="79">
        <f t="shared" si="9"/>
        <v>198</v>
      </c>
    </row>
    <row r="608" spans="9:10" x14ac:dyDescent="0.25">
      <c r="I608" s="79">
        <v>169.73493999999999</v>
      </c>
      <c r="J608" s="79">
        <f t="shared" si="9"/>
        <v>170</v>
      </c>
    </row>
    <row r="609" spans="9:10" x14ac:dyDescent="0.25">
      <c r="I609" s="79">
        <v>116.20988</v>
      </c>
      <c r="J609" s="79">
        <f t="shared" si="9"/>
        <v>116</v>
      </c>
    </row>
    <row r="610" spans="9:10" x14ac:dyDescent="0.25">
      <c r="I610" s="79">
        <v>198.64771999999999</v>
      </c>
      <c r="J610" s="79">
        <f t="shared" si="9"/>
        <v>199</v>
      </c>
    </row>
    <row r="611" spans="9:10" x14ac:dyDescent="0.25">
      <c r="I611" s="79">
        <v>224.34214</v>
      </c>
      <c r="J611" s="79">
        <f t="shared" si="9"/>
        <v>224</v>
      </c>
    </row>
    <row r="612" spans="9:10" x14ac:dyDescent="0.25">
      <c r="I612" s="79">
        <v>180.00489999999999</v>
      </c>
      <c r="J612" s="79">
        <f t="shared" si="9"/>
        <v>180</v>
      </c>
    </row>
    <row r="613" spans="9:10" x14ac:dyDescent="0.25">
      <c r="I613" s="79">
        <v>117.49942</v>
      </c>
      <c r="J613" s="79">
        <f t="shared" si="9"/>
        <v>117</v>
      </c>
    </row>
    <row r="614" spans="9:10" x14ac:dyDescent="0.25">
      <c r="I614" s="79">
        <v>198.34271999999999</v>
      </c>
      <c r="J614" s="79">
        <f t="shared" si="9"/>
        <v>198</v>
      </c>
    </row>
    <row r="615" spans="9:10" x14ac:dyDescent="0.25">
      <c r="I615" s="79">
        <v>224.03713999999999</v>
      </c>
      <c r="J615" s="79">
        <f t="shared" si="9"/>
        <v>224</v>
      </c>
    </row>
    <row r="616" spans="9:10" x14ac:dyDescent="0.25">
      <c r="I616" s="79">
        <v>172.82886000000002</v>
      </c>
      <c r="J616" s="79">
        <f t="shared" si="9"/>
        <v>173</v>
      </c>
    </row>
    <row r="617" spans="9:10" x14ac:dyDescent="0.25">
      <c r="I617" s="79">
        <v>172.2945</v>
      </c>
      <c r="J617" s="79">
        <f t="shared" si="9"/>
        <v>172</v>
      </c>
    </row>
    <row r="618" spans="9:10" x14ac:dyDescent="0.25">
      <c r="I618" s="79">
        <v>204.00108</v>
      </c>
      <c r="J618" s="79">
        <f t="shared" si="9"/>
        <v>204</v>
      </c>
    </row>
    <row r="619" spans="9:10" x14ac:dyDescent="0.25">
      <c r="I619" s="79">
        <v>228.26566</v>
      </c>
      <c r="J619" s="79">
        <f t="shared" si="9"/>
        <v>228</v>
      </c>
    </row>
    <row r="620" spans="9:10" x14ac:dyDescent="0.25">
      <c r="I620" s="79">
        <v>175.66658000000001</v>
      </c>
      <c r="J620" s="79">
        <f t="shared" si="9"/>
        <v>176</v>
      </c>
    </row>
    <row r="621" spans="9:10" x14ac:dyDescent="0.25">
      <c r="I621" s="79">
        <v>172.17982000000001</v>
      </c>
      <c r="J621" s="79">
        <f t="shared" si="9"/>
        <v>172</v>
      </c>
    </row>
    <row r="622" spans="9:10" x14ac:dyDescent="0.25">
      <c r="I622" s="79">
        <v>200.61192</v>
      </c>
      <c r="J622" s="79">
        <f t="shared" si="9"/>
        <v>201</v>
      </c>
    </row>
    <row r="623" spans="9:10" x14ac:dyDescent="0.25">
      <c r="I623" s="79">
        <v>228.38888</v>
      </c>
      <c r="J623" s="79">
        <f t="shared" si="9"/>
        <v>228</v>
      </c>
    </row>
    <row r="624" spans="9:10" x14ac:dyDescent="0.25">
      <c r="I624" s="79">
        <v>175.57141999999999</v>
      </c>
      <c r="J624" s="79">
        <f t="shared" si="9"/>
        <v>176</v>
      </c>
    </row>
    <row r="625" spans="9:10" x14ac:dyDescent="0.25">
      <c r="I625" s="79">
        <v>169.78129999999999</v>
      </c>
      <c r="J625" s="79">
        <f t="shared" si="9"/>
        <v>170</v>
      </c>
    </row>
    <row r="626" spans="9:10" x14ac:dyDescent="0.25">
      <c r="I626" s="79">
        <v>198.23779999999999</v>
      </c>
      <c r="J626" s="79">
        <f t="shared" si="9"/>
        <v>198</v>
      </c>
    </row>
    <row r="627" spans="9:10" x14ac:dyDescent="0.25">
      <c r="I627" s="79">
        <v>222.47554</v>
      </c>
      <c r="J627" s="79">
        <f t="shared" si="9"/>
        <v>222</v>
      </c>
    </row>
    <row r="628" spans="9:10" x14ac:dyDescent="0.25">
      <c r="I628" s="79">
        <v>173.15338</v>
      </c>
      <c r="J628" s="79">
        <f t="shared" si="9"/>
        <v>173</v>
      </c>
    </row>
    <row r="629" spans="9:10" x14ac:dyDescent="0.25">
      <c r="I629" s="79">
        <v>173.02649999999997</v>
      </c>
      <c r="J629" s="79">
        <f t="shared" si="9"/>
        <v>173</v>
      </c>
    </row>
    <row r="630" spans="9:10" x14ac:dyDescent="0.25">
      <c r="I630" s="79">
        <v>343.58616000000001</v>
      </c>
      <c r="J630" s="79">
        <f t="shared" si="9"/>
        <v>344</v>
      </c>
    </row>
    <row r="631" spans="9:10" x14ac:dyDescent="0.25">
      <c r="I631" s="79">
        <v>343.92898000000002</v>
      </c>
      <c r="J631" s="79">
        <f t="shared" si="9"/>
        <v>344</v>
      </c>
    </row>
    <row r="632" spans="9:10" x14ac:dyDescent="0.25">
      <c r="I632" s="79">
        <v>116.20988</v>
      </c>
      <c r="J632" s="79">
        <f t="shared" si="9"/>
        <v>116</v>
      </c>
    </row>
    <row r="633" spans="9:10" x14ac:dyDescent="0.25">
      <c r="I633" s="79">
        <v>174.43194</v>
      </c>
      <c r="J633" s="79">
        <f t="shared" si="9"/>
        <v>174</v>
      </c>
    </row>
    <row r="634" spans="9:10" x14ac:dyDescent="0.25">
      <c r="I634" s="79">
        <v>117.49942</v>
      </c>
      <c r="J634" s="79">
        <f t="shared" si="9"/>
        <v>117</v>
      </c>
    </row>
    <row r="635" spans="9:10" x14ac:dyDescent="0.25">
      <c r="I635" s="79">
        <v>172.24814000000001</v>
      </c>
      <c r="J635" s="79">
        <f t="shared" si="9"/>
        <v>172</v>
      </c>
    </row>
    <row r="636" spans="9:10" x14ac:dyDescent="0.25">
      <c r="I636" s="79">
        <v>172.56412</v>
      </c>
      <c r="J636" s="79">
        <f t="shared" si="9"/>
        <v>173</v>
      </c>
    </row>
    <row r="637" spans="9:10" x14ac:dyDescent="0.25">
      <c r="I637" s="79">
        <v>172.71784</v>
      </c>
      <c r="J637" s="79">
        <f t="shared" si="9"/>
        <v>173</v>
      </c>
    </row>
    <row r="638" spans="9:10" x14ac:dyDescent="0.25">
      <c r="I638" s="79">
        <v>172.29571999999999</v>
      </c>
      <c r="J638" s="79">
        <f t="shared" si="9"/>
        <v>172</v>
      </c>
    </row>
    <row r="639" spans="9:10" x14ac:dyDescent="0.25">
      <c r="I639" s="79">
        <v>172.61291999999997</v>
      </c>
      <c r="J639" s="79">
        <f t="shared" si="9"/>
        <v>173</v>
      </c>
    </row>
    <row r="640" spans="9:10" x14ac:dyDescent="0.25">
      <c r="I640" s="79">
        <v>173.54987999999997</v>
      </c>
      <c r="J640" s="79">
        <f t="shared" si="9"/>
        <v>174</v>
      </c>
    </row>
    <row r="641" spans="9:10" x14ac:dyDescent="0.25">
      <c r="I641" s="79">
        <v>173.70115999999999</v>
      </c>
      <c r="J641" s="79">
        <f t="shared" si="9"/>
        <v>174</v>
      </c>
    </row>
    <row r="642" spans="9:10" x14ac:dyDescent="0.25">
      <c r="I642" s="79">
        <v>172.66172</v>
      </c>
      <c r="J642" s="79">
        <f t="shared" si="9"/>
        <v>173</v>
      </c>
    </row>
    <row r="643" spans="9:10" x14ac:dyDescent="0.25">
      <c r="I643" s="79">
        <v>169.72640000000001</v>
      </c>
      <c r="J643" s="79">
        <f t="shared" si="9"/>
        <v>170</v>
      </c>
    </row>
    <row r="644" spans="9:10" x14ac:dyDescent="0.25">
      <c r="I644" s="79">
        <v>172.67147999999997</v>
      </c>
      <c r="J644" s="79">
        <f t="shared" si="9"/>
        <v>173</v>
      </c>
    </row>
    <row r="645" spans="9:10" x14ac:dyDescent="0.25">
      <c r="I645" s="79">
        <v>172.82397999999998</v>
      </c>
      <c r="J645" s="79">
        <f t="shared" si="9"/>
        <v>173</v>
      </c>
    </row>
    <row r="646" spans="9:10" x14ac:dyDescent="0.25">
      <c r="I646" s="79">
        <v>169.966252</v>
      </c>
      <c r="J646" s="79">
        <f t="shared" ref="J646:J709" si="10">ROUND(I646,0)</f>
        <v>170</v>
      </c>
    </row>
    <row r="647" spans="9:10" x14ac:dyDescent="0.25">
      <c r="I647" s="79">
        <v>176.48886000000002</v>
      </c>
      <c r="J647" s="79">
        <f t="shared" si="10"/>
        <v>176</v>
      </c>
    </row>
    <row r="648" spans="9:10" x14ac:dyDescent="0.25">
      <c r="I648" s="79">
        <v>224.34214</v>
      </c>
      <c r="J648" s="79">
        <f t="shared" si="10"/>
        <v>224</v>
      </c>
    </row>
    <row r="649" spans="9:10" x14ac:dyDescent="0.25">
      <c r="I649" s="79">
        <v>198.59281999999999</v>
      </c>
      <c r="J649" s="79">
        <f t="shared" si="10"/>
        <v>199</v>
      </c>
    </row>
    <row r="650" spans="9:10" x14ac:dyDescent="0.25">
      <c r="I650" s="79">
        <v>116.16108</v>
      </c>
      <c r="J650" s="79">
        <f t="shared" si="10"/>
        <v>116</v>
      </c>
    </row>
    <row r="651" spans="9:10" x14ac:dyDescent="0.25">
      <c r="I651" s="79">
        <v>172.82886000000002</v>
      </c>
      <c r="J651" s="79">
        <f t="shared" si="10"/>
        <v>173</v>
      </c>
    </row>
    <row r="652" spans="9:10" x14ac:dyDescent="0.25">
      <c r="I652" s="79">
        <v>224.03713999999999</v>
      </c>
      <c r="J652" s="79">
        <f t="shared" si="10"/>
        <v>224</v>
      </c>
    </row>
    <row r="653" spans="9:10" x14ac:dyDescent="0.25">
      <c r="I653" s="79">
        <v>198.28782000000001</v>
      </c>
      <c r="J653" s="79">
        <f t="shared" si="10"/>
        <v>198</v>
      </c>
    </row>
    <row r="654" spans="9:10" x14ac:dyDescent="0.25">
      <c r="I654" s="79">
        <v>117.45062</v>
      </c>
      <c r="J654" s="79">
        <f t="shared" si="10"/>
        <v>117</v>
      </c>
    </row>
    <row r="655" spans="9:10" x14ac:dyDescent="0.25">
      <c r="I655" s="79">
        <v>175.66658000000001</v>
      </c>
      <c r="J655" s="79">
        <f t="shared" si="10"/>
        <v>176</v>
      </c>
    </row>
    <row r="656" spans="9:10" x14ac:dyDescent="0.25">
      <c r="I656" s="79">
        <v>228.262</v>
      </c>
      <c r="J656" s="79">
        <f t="shared" si="10"/>
        <v>228</v>
      </c>
    </row>
    <row r="657" spans="9:10" x14ac:dyDescent="0.25">
      <c r="I657" s="79">
        <v>203.94618</v>
      </c>
      <c r="J657" s="79">
        <f t="shared" si="10"/>
        <v>204</v>
      </c>
    </row>
    <row r="658" spans="9:10" x14ac:dyDescent="0.25">
      <c r="I658" s="79">
        <v>172.24814000000001</v>
      </c>
      <c r="J658" s="79">
        <f t="shared" si="10"/>
        <v>172</v>
      </c>
    </row>
    <row r="659" spans="9:10" x14ac:dyDescent="0.25">
      <c r="I659" s="79">
        <v>175.55311999999998</v>
      </c>
      <c r="J659" s="79">
        <f t="shared" si="10"/>
        <v>176</v>
      </c>
    </row>
    <row r="660" spans="9:10" x14ac:dyDescent="0.25">
      <c r="I660" s="79">
        <v>228.38888</v>
      </c>
      <c r="J660" s="79">
        <f t="shared" si="10"/>
        <v>228</v>
      </c>
    </row>
    <row r="661" spans="9:10" x14ac:dyDescent="0.25">
      <c r="I661" s="79">
        <v>200.58874</v>
      </c>
      <c r="J661" s="79">
        <f t="shared" si="10"/>
        <v>201</v>
      </c>
    </row>
    <row r="662" spans="9:10" x14ac:dyDescent="0.25">
      <c r="I662" s="79">
        <v>172.10906</v>
      </c>
      <c r="J662" s="79">
        <f t="shared" si="10"/>
        <v>172</v>
      </c>
    </row>
    <row r="663" spans="9:10" x14ac:dyDescent="0.25">
      <c r="I663" s="79">
        <v>173.15338</v>
      </c>
      <c r="J663" s="79">
        <f t="shared" si="10"/>
        <v>173</v>
      </c>
    </row>
    <row r="664" spans="9:10" x14ac:dyDescent="0.25">
      <c r="I664" s="79">
        <v>222.48041999999998</v>
      </c>
      <c r="J664" s="79">
        <f t="shared" si="10"/>
        <v>222</v>
      </c>
    </row>
    <row r="665" spans="9:10" x14ac:dyDescent="0.25">
      <c r="I665" s="79">
        <v>198.18167999999997</v>
      </c>
      <c r="J665" s="79">
        <f t="shared" si="10"/>
        <v>198</v>
      </c>
    </row>
    <row r="666" spans="9:10" x14ac:dyDescent="0.25">
      <c r="I666" s="79">
        <v>169.73493999999999</v>
      </c>
      <c r="J666" s="79">
        <f t="shared" si="10"/>
        <v>170</v>
      </c>
    </row>
    <row r="667" spans="9:10" x14ac:dyDescent="0.25">
      <c r="I667" s="79">
        <v>106.42060000000001</v>
      </c>
      <c r="J667" s="79">
        <f t="shared" si="10"/>
        <v>106</v>
      </c>
    </row>
    <row r="668" spans="9:10" x14ac:dyDescent="0.25">
      <c r="I668" s="79">
        <v>152.60980000000001</v>
      </c>
      <c r="J668" s="79">
        <f t="shared" si="10"/>
        <v>153</v>
      </c>
    </row>
    <row r="669" spans="9:10" x14ac:dyDescent="0.25">
      <c r="I669" s="79">
        <v>158.0754</v>
      </c>
      <c r="J669" s="79">
        <f t="shared" si="10"/>
        <v>158</v>
      </c>
    </row>
    <row r="670" spans="9:10" x14ac:dyDescent="0.25">
      <c r="I670" s="79">
        <v>160.23480000000001</v>
      </c>
      <c r="J670" s="79">
        <f t="shared" si="10"/>
        <v>160</v>
      </c>
    </row>
    <row r="671" spans="9:10" x14ac:dyDescent="0.25">
      <c r="I671" s="79">
        <v>108.42140000000001</v>
      </c>
      <c r="J671" s="79">
        <f t="shared" si="10"/>
        <v>108</v>
      </c>
    </row>
    <row r="672" spans="9:10" x14ac:dyDescent="0.25">
      <c r="I672" s="79">
        <v>155.11079999999998</v>
      </c>
      <c r="J672" s="79">
        <f t="shared" si="10"/>
        <v>155</v>
      </c>
    </row>
    <row r="673" spans="9:10" x14ac:dyDescent="0.25">
      <c r="I673" s="79">
        <v>160.34460000000001</v>
      </c>
      <c r="J673" s="79">
        <f t="shared" si="10"/>
        <v>160</v>
      </c>
    </row>
    <row r="674" spans="9:10" x14ac:dyDescent="0.25">
      <c r="I674" s="79">
        <v>157.4288</v>
      </c>
      <c r="J674" s="79">
        <f t="shared" si="10"/>
        <v>157</v>
      </c>
    </row>
    <row r="675" spans="9:10" x14ac:dyDescent="0.25">
      <c r="I675" s="79">
        <v>155.12299999999999</v>
      </c>
      <c r="J675" s="79">
        <f t="shared" si="10"/>
        <v>155</v>
      </c>
    </row>
    <row r="676" spans="9:10" x14ac:dyDescent="0.25">
      <c r="I676" s="79">
        <v>154.87899999999999</v>
      </c>
      <c r="J676" s="79">
        <f t="shared" si="10"/>
        <v>155</v>
      </c>
    </row>
    <row r="677" spans="9:10" x14ac:dyDescent="0.25">
      <c r="I677" s="79">
        <v>160.35679999999999</v>
      </c>
      <c r="J677" s="79">
        <f t="shared" si="10"/>
        <v>160</v>
      </c>
    </row>
    <row r="678" spans="9:10" x14ac:dyDescent="0.25">
      <c r="I678" s="79">
        <v>160.34460000000001</v>
      </c>
      <c r="J678" s="79">
        <f t="shared" si="10"/>
        <v>160</v>
      </c>
    </row>
    <row r="679" spans="9:10" x14ac:dyDescent="0.25">
      <c r="I679" s="79">
        <v>155.489</v>
      </c>
      <c r="J679" s="79">
        <f t="shared" si="10"/>
        <v>155</v>
      </c>
    </row>
    <row r="680" spans="9:10" x14ac:dyDescent="0.25">
      <c r="I680" s="79">
        <v>154.9034</v>
      </c>
      <c r="J680" s="79">
        <f t="shared" si="10"/>
        <v>155</v>
      </c>
    </row>
    <row r="681" spans="9:10" x14ac:dyDescent="0.25">
      <c r="I681" s="79">
        <v>160.34460000000001</v>
      </c>
      <c r="J681" s="79">
        <f t="shared" si="10"/>
        <v>160</v>
      </c>
    </row>
    <row r="682" spans="9:10" x14ac:dyDescent="0.25">
      <c r="I682" s="79">
        <v>160.89359999999999</v>
      </c>
      <c r="J682" s="79">
        <f t="shared" si="10"/>
        <v>161</v>
      </c>
    </row>
    <row r="683" spans="9:10" x14ac:dyDescent="0.25">
      <c r="I683" s="79">
        <v>152.65859999999998</v>
      </c>
      <c r="J683" s="79">
        <f t="shared" si="10"/>
        <v>153</v>
      </c>
    </row>
    <row r="684" spans="9:10" x14ac:dyDescent="0.25">
      <c r="I684" s="79">
        <v>155.17179999999999</v>
      </c>
      <c r="J684" s="79">
        <f t="shared" si="10"/>
        <v>155</v>
      </c>
    </row>
    <row r="685" spans="9:10" x14ac:dyDescent="0.25">
      <c r="I685" s="79">
        <v>160.28359999999998</v>
      </c>
      <c r="J685" s="79">
        <f t="shared" si="10"/>
        <v>160</v>
      </c>
    </row>
    <row r="686" spans="9:10" x14ac:dyDescent="0.25">
      <c r="I686" s="79">
        <v>158.08760000000001</v>
      </c>
      <c r="J686" s="79">
        <f t="shared" si="10"/>
        <v>158</v>
      </c>
    </row>
    <row r="687" spans="9:10" x14ac:dyDescent="0.25">
      <c r="I687" s="79">
        <v>160.21039999999999</v>
      </c>
      <c r="J687" s="79">
        <f t="shared" si="10"/>
        <v>160</v>
      </c>
    </row>
    <row r="688" spans="9:10" x14ac:dyDescent="0.25">
      <c r="I688" s="79">
        <v>308.83079999999995</v>
      </c>
      <c r="J688" s="79">
        <f t="shared" si="10"/>
        <v>309</v>
      </c>
    </row>
    <row r="689" spans="9:10" x14ac:dyDescent="0.25">
      <c r="I689" s="79">
        <v>300.96179999999998</v>
      </c>
      <c r="J689" s="79">
        <f t="shared" si="10"/>
        <v>301</v>
      </c>
    </row>
    <row r="690" spans="9:10" x14ac:dyDescent="0.25">
      <c r="I690" s="79">
        <v>106.42060000000001</v>
      </c>
      <c r="J690" s="79">
        <f t="shared" si="10"/>
        <v>106</v>
      </c>
    </row>
    <row r="691" spans="9:10" x14ac:dyDescent="0.25">
      <c r="I691" s="79">
        <v>162.18680000000001</v>
      </c>
      <c r="J691" s="79">
        <f t="shared" si="10"/>
        <v>162</v>
      </c>
    </row>
    <row r="692" spans="9:10" x14ac:dyDescent="0.25">
      <c r="I692" s="79">
        <v>108.42140000000001</v>
      </c>
      <c r="J692" s="79">
        <f t="shared" si="10"/>
        <v>108</v>
      </c>
    </row>
    <row r="693" spans="9:10" x14ac:dyDescent="0.25">
      <c r="I693" s="79">
        <v>160.33239999999998</v>
      </c>
      <c r="J693" s="79">
        <f t="shared" si="10"/>
        <v>160</v>
      </c>
    </row>
    <row r="694" spans="9:10" x14ac:dyDescent="0.25">
      <c r="I694" s="79">
        <v>159.85659999999999</v>
      </c>
      <c r="J694" s="79">
        <f t="shared" si="10"/>
        <v>160</v>
      </c>
    </row>
    <row r="695" spans="9:10" x14ac:dyDescent="0.25">
      <c r="I695" s="79">
        <v>154.8058</v>
      </c>
      <c r="J695" s="79">
        <f t="shared" si="10"/>
        <v>155</v>
      </c>
    </row>
    <row r="696" spans="9:10" x14ac:dyDescent="0.25">
      <c r="I696" s="79">
        <v>154.92779999999999</v>
      </c>
      <c r="J696" s="79">
        <f t="shared" si="10"/>
        <v>155</v>
      </c>
    </row>
    <row r="697" spans="9:10" x14ac:dyDescent="0.25">
      <c r="I697" s="79">
        <v>160.89359999999999</v>
      </c>
      <c r="J697" s="79">
        <f t="shared" si="10"/>
        <v>161</v>
      </c>
    </row>
    <row r="698" spans="9:10" x14ac:dyDescent="0.25">
      <c r="I698" s="79">
        <v>159.84440000000001</v>
      </c>
      <c r="J698" s="79">
        <f t="shared" si="10"/>
        <v>160</v>
      </c>
    </row>
    <row r="699" spans="9:10" x14ac:dyDescent="0.25">
      <c r="I699" s="79">
        <v>154.78139999999999</v>
      </c>
      <c r="J699" s="79">
        <f t="shared" si="10"/>
        <v>155</v>
      </c>
    </row>
    <row r="700" spans="9:10" x14ac:dyDescent="0.25">
      <c r="I700" s="79">
        <v>155.4402</v>
      </c>
      <c r="J700" s="79">
        <f t="shared" si="10"/>
        <v>155</v>
      </c>
    </row>
    <row r="701" spans="9:10" x14ac:dyDescent="0.25">
      <c r="I701" s="79">
        <v>158.09979999999999</v>
      </c>
      <c r="J701" s="79">
        <f t="shared" si="10"/>
        <v>158</v>
      </c>
    </row>
    <row r="702" spans="9:10" x14ac:dyDescent="0.25">
      <c r="I702" s="79">
        <v>160.69839999999999</v>
      </c>
      <c r="J702" s="79">
        <f t="shared" si="10"/>
        <v>161</v>
      </c>
    </row>
    <row r="703" spans="9:10" x14ac:dyDescent="0.25">
      <c r="I703" s="79">
        <v>155.0864</v>
      </c>
      <c r="J703" s="79">
        <f t="shared" si="10"/>
        <v>155</v>
      </c>
    </row>
    <row r="704" spans="9:10" x14ac:dyDescent="0.25">
      <c r="I704" s="79">
        <v>152.6464</v>
      </c>
      <c r="J704" s="79">
        <f t="shared" si="10"/>
        <v>153</v>
      </c>
    </row>
    <row r="705" spans="9:10" x14ac:dyDescent="0.25">
      <c r="I705" s="79">
        <v>160.23480000000001</v>
      </c>
      <c r="J705" s="79">
        <f t="shared" si="10"/>
        <v>160</v>
      </c>
    </row>
    <row r="706" spans="9:10" x14ac:dyDescent="0.25">
      <c r="I706" s="79">
        <v>158.0754</v>
      </c>
      <c r="J706" s="79">
        <f t="shared" si="10"/>
        <v>158</v>
      </c>
    </row>
    <row r="707" spans="9:10" x14ac:dyDescent="0.25">
      <c r="I707" s="79">
        <v>152.60980000000001</v>
      </c>
      <c r="J707" s="79">
        <f t="shared" si="10"/>
        <v>153</v>
      </c>
    </row>
    <row r="708" spans="9:10" x14ac:dyDescent="0.25">
      <c r="I708" s="79">
        <v>106.42060000000001</v>
      </c>
      <c r="J708" s="79">
        <f t="shared" si="10"/>
        <v>106</v>
      </c>
    </row>
    <row r="709" spans="9:10" x14ac:dyDescent="0.25">
      <c r="I709" s="79">
        <v>157.4288</v>
      </c>
      <c r="J709" s="79">
        <f t="shared" si="10"/>
        <v>157</v>
      </c>
    </row>
    <row r="710" spans="9:10" x14ac:dyDescent="0.25">
      <c r="I710" s="79">
        <v>160.34460000000001</v>
      </c>
      <c r="J710" s="79">
        <f t="shared" ref="J710:J773" si="11">ROUND(I710,0)</f>
        <v>160</v>
      </c>
    </row>
    <row r="711" spans="9:10" x14ac:dyDescent="0.25">
      <c r="I711" s="79">
        <v>155.11079999999998</v>
      </c>
      <c r="J711" s="79">
        <f t="shared" si="11"/>
        <v>155</v>
      </c>
    </row>
    <row r="712" spans="9:10" x14ac:dyDescent="0.25">
      <c r="I712" s="79">
        <v>108.42140000000001</v>
      </c>
      <c r="J712" s="79">
        <f t="shared" si="11"/>
        <v>108</v>
      </c>
    </row>
    <row r="713" spans="9:10" x14ac:dyDescent="0.25">
      <c r="I713" s="79">
        <v>160.34460000000001</v>
      </c>
      <c r="J713" s="79">
        <f t="shared" si="11"/>
        <v>160</v>
      </c>
    </row>
    <row r="714" spans="9:10" x14ac:dyDescent="0.25">
      <c r="I714" s="79">
        <v>160.35679999999999</v>
      </c>
      <c r="J714" s="79">
        <f t="shared" si="11"/>
        <v>160</v>
      </c>
    </row>
    <row r="715" spans="9:10" x14ac:dyDescent="0.25">
      <c r="I715" s="79">
        <v>154.87899999999999</v>
      </c>
      <c r="J715" s="79">
        <f t="shared" si="11"/>
        <v>155</v>
      </c>
    </row>
    <row r="716" spans="9:10" x14ac:dyDescent="0.25">
      <c r="I716" s="79">
        <v>155.12299999999999</v>
      </c>
      <c r="J716" s="79">
        <f t="shared" si="11"/>
        <v>155</v>
      </c>
    </row>
    <row r="717" spans="9:10" x14ac:dyDescent="0.25">
      <c r="I717" s="79">
        <v>160.89359999999999</v>
      </c>
      <c r="J717" s="79">
        <f t="shared" si="11"/>
        <v>161</v>
      </c>
    </row>
    <row r="718" spans="9:10" x14ac:dyDescent="0.25">
      <c r="I718" s="79">
        <v>160.34460000000001</v>
      </c>
      <c r="J718" s="79">
        <f t="shared" si="11"/>
        <v>160</v>
      </c>
    </row>
    <row r="719" spans="9:10" x14ac:dyDescent="0.25">
      <c r="I719" s="79">
        <v>154.9034</v>
      </c>
      <c r="J719" s="79">
        <f t="shared" si="11"/>
        <v>155</v>
      </c>
    </row>
    <row r="720" spans="9:10" x14ac:dyDescent="0.25">
      <c r="I720" s="79">
        <v>155.489</v>
      </c>
      <c r="J720" s="79">
        <f t="shared" si="11"/>
        <v>155</v>
      </c>
    </row>
    <row r="721" spans="9:10" x14ac:dyDescent="0.25">
      <c r="I721" s="79">
        <v>158.08760000000001</v>
      </c>
      <c r="J721" s="79">
        <f t="shared" si="11"/>
        <v>158</v>
      </c>
    </row>
    <row r="722" spans="9:10" x14ac:dyDescent="0.25">
      <c r="I722" s="79">
        <v>160.28359999999998</v>
      </c>
      <c r="J722" s="79">
        <f t="shared" si="11"/>
        <v>160</v>
      </c>
    </row>
    <row r="723" spans="9:10" x14ac:dyDescent="0.25">
      <c r="I723" s="79">
        <v>155.17179999999999</v>
      </c>
      <c r="J723" s="79">
        <f t="shared" si="11"/>
        <v>155</v>
      </c>
    </row>
    <row r="724" spans="9:10" x14ac:dyDescent="0.25">
      <c r="I724" s="79">
        <v>152.65859999999998</v>
      </c>
      <c r="J724" s="79">
        <f t="shared" si="11"/>
        <v>153</v>
      </c>
    </row>
    <row r="725" spans="9:10" x14ac:dyDescent="0.25">
      <c r="I725" s="79">
        <v>107.95779999999999</v>
      </c>
      <c r="J725" s="79">
        <f t="shared" si="11"/>
        <v>108</v>
      </c>
    </row>
    <row r="726" spans="9:10" x14ac:dyDescent="0.25">
      <c r="I726" s="79">
        <v>152.1584</v>
      </c>
      <c r="J726" s="79">
        <f t="shared" si="11"/>
        <v>152</v>
      </c>
    </row>
    <row r="727" spans="9:10" x14ac:dyDescent="0.25">
      <c r="I727" s="79">
        <v>157.99</v>
      </c>
      <c r="J727" s="79">
        <f t="shared" si="11"/>
        <v>158</v>
      </c>
    </row>
    <row r="728" spans="9:10" x14ac:dyDescent="0.25">
      <c r="I728" s="79">
        <v>160.64959999999999</v>
      </c>
      <c r="J728" s="79">
        <f t="shared" si="11"/>
        <v>161</v>
      </c>
    </row>
    <row r="729" spans="9:10" x14ac:dyDescent="0.25">
      <c r="I729" s="79">
        <v>108.32380000000001</v>
      </c>
      <c r="J729" s="79">
        <f t="shared" si="11"/>
        <v>108</v>
      </c>
    </row>
    <row r="730" spans="9:10" x14ac:dyDescent="0.25">
      <c r="I730" s="79">
        <v>154.13480000000001</v>
      </c>
      <c r="J730" s="79">
        <f t="shared" si="11"/>
        <v>154</v>
      </c>
    </row>
    <row r="731" spans="9:10" x14ac:dyDescent="0.25">
      <c r="I731" s="79">
        <v>159.96639999999999</v>
      </c>
      <c r="J731" s="79">
        <f t="shared" si="11"/>
        <v>160</v>
      </c>
    </row>
    <row r="732" spans="9:10" x14ac:dyDescent="0.25">
      <c r="I732" s="79">
        <v>156.8432</v>
      </c>
      <c r="J732" s="79">
        <f t="shared" si="11"/>
        <v>157</v>
      </c>
    </row>
    <row r="733" spans="9:10" x14ac:dyDescent="0.25">
      <c r="I733" s="79">
        <v>155.12299999999999</v>
      </c>
      <c r="J733" s="79">
        <f t="shared" si="11"/>
        <v>155</v>
      </c>
    </row>
    <row r="734" spans="9:10" x14ac:dyDescent="0.25">
      <c r="I734" s="79">
        <v>154.67160000000001</v>
      </c>
      <c r="J734" s="79">
        <f t="shared" si="11"/>
        <v>155</v>
      </c>
    </row>
    <row r="735" spans="9:10" x14ac:dyDescent="0.25">
      <c r="I735" s="79">
        <v>160.50319999999999</v>
      </c>
      <c r="J735" s="79">
        <f t="shared" si="11"/>
        <v>161</v>
      </c>
    </row>
    <row r="736" spans="9:10" x14ac:dyDescent="0.25">
      <c r="I736" s="79">
        <v>160.50319999999999</v>
      </c>
      <c r="J736" s="79">
        <f t="shared" si="11"/>
        <v>161</v>
      </c>
    </row>
    <row r="737" spans="9:10" x14ac:dyDescent="0.25">
      <c r="I737" s="79">
        <v>155.489</v>
      </c>
      <c r="J737" s="79">
        <f t="shared" si="11"/>
        <v>155</v>
      </c>
    </row>
    <row r="738" spans="9:10" x14ac:dyDescent="0.25">
      <c r="I738" s="79">
        <v>154.7936</v>
      </c>
      <c r="J738" s="79">
        <f t="shared" si="11"/>
        <v>155</v>
      </c>
    </row>
    <row r="739" spans="9:10" x14ac:dyDescent="0.25">
      <c r="I739" s="79">
        <v>160.62519999999998</v>
      </c>
      <c r="J739" s="79">
        <f t="shared" si="11"/>
        <v>161</v>
      </c>
    </row>
    <row r="740" spans="9:10" x14ac:dyDescent="0.25">
      <c r="I740" s="79">
        <v>160.86920000000001</v>
      </c>
      <c r="J740" s="79">
        <f t="shared" si="11"/>
        <v>161</v>
      </c>
    </row>
    <row r="741" spans="9:10" x14ac:dyDescent="0.25">
      <c r="I741" s="79">
        <v>152.60980000000001</v>
      </c>
      <c r="J741" s="79">
        <f t="shared" si="11"/>
        <v>153</v>
      </c>
    </row>
    <row r="742" spans="9:10" x14ac:dyDescent="0.25">
      <c r="I742" s="79">
        <v>154.7936</v>
      </c>
      <c r="J742" s="79">
        <f t="shared" si="11"/>
        <v>155</v>
      </c>
    </row>
    <row r="743" spans="9:10" x14ac:dyDescent="0.25">
      <c r="I743" s="79">
        <v>160.62519999999998</v>
      </c>
      <c r="J743" s="79">
        <f t="shared" si="11"/>
        <v>161</v>
      </c>
    </row>
    <row r="744" spans="9:10" x14ac:dyDescent="0.25">
      <c r="I744" s="79">
        <v>157.99</v>
      </c>
      <c r="J744" s="79">
        <f t="shared" si="11"/>
        <v>158</v>
      </c>
    </row>
    <row r="745" spans="9:10" x14ac:dyDescent="0.25">
      <c r="I745" s="79">
        <v>160.64959999999999</v>
      </c>
      <c r="J745" s="79">
        <f t="shared" si="11"/>
        <v>161</v>
      </c>
    </row>
    <row r="746" spans="9:10" x14ac:dyDescent="0.25">
      <c r="I746" s="79">
        <v>157.99</v>
      </c>
      <c r="J746" s="79">
        <f t="shared" si="11"/>
        <v>158</v>
      </c>
    </row>
    <row r="747" spans="9:10" x14ac:dyDescent="0.25">
      <c r="I747" s="79">
        <v>152.1584</v>
      </c>
      <c r="J747" s="79">
        <f t="shared" si="11"/>
        <v>152</v>
      </c>
    </row>
    <row r="748" spans="9:10" x14ac:dyDescent="0.25">
      <c r="I748" s="79">
        <v>107.95779999999999</v>
      </c>
      <c r="J748" s="79">
        <f t="shared" si="11"/>
        <v>108</v>
      </c>
    </row>
    <row r="749" spans="9:10" x14ac:dyDescent="0.25">
      <c r="I749" s="79">
        <v>156.8432</v>
      </c>
      <c r="J749" s="79">
        <f t="shared" si="11"/>
        <v>157</v>
      </c>
    </row>
    <row r="750" spans="9:10" x14ac:dyDescent="0.25">
      <c r="I750" s="79">
        <v>159.96639999999999</v>
      </c>
      <c r="J750" s="79">
        <f t="shared" si="11"/>
        <v>160</v>
      </c>
    </row>
    <row r="751" spans="9:10" x14ac:dyDescent="0.25">
      <c r="I751" s="79">
        <v>154.13480000000001</v>
      </c>
      <c r="J751" s="79">
        <f t="shared" si="11"/>
        <v>154</v>
      </c>
    </row>
    <row r="752" spans="9:10" x14ac:dyDescent="0.25">
      <c r="I752" s="79">
        <v>108.32380000000001</v>
      </c>
      <c r="J752" s="79">
        <f t="shared" si="11"/>
        <v>108</v>
      </c>
    </row>
    <row r="753" spans="9:10" x14ac:dyDescent="0.25">
      <c r="I753" s="79">
        <v>160.50319999999999</v>
      </c>
      <c r="J753" s="79">
        <f t="shared" si="11"/>
        <v>161</v>
      </c>
    </row>
    <row r="754" spans="9:10" x14ac:dyDescent="0.25">
      <c r="I754" s="79">
        <v>160.50319999999999</v>
      </c>
      <c r="J754" s="79">
        <f t="shared" si="11"/>
        <v>161</v>
      </c>
    </row>
    <row r="755" spans="9:10" x14ac:dyDescent="0.25">
      <c r="I755" s="79">
        <v>154.67160000000001</v>
      </c>
      <c r="J755" s="79">
        <f t="shared" si="11"/>
        <v>155</v>
      </c>
    </row>
    <row r="756" spans="9:10" x14ac:dyDescent="0.25">
      <c r="I756" s="79">
        <v>155.12299999999999</v>
      </c>
      <c r="J756" s="79">
        <f t="shared" si="11"/>
        <v>155</v>
      </c>
    </row>
    <row r="757" spans="9:10" x14ac:dyDescent="0.25">
      <c r="I757" s="79">
        <v>160.86920000000001</v>
      </c>
      <c r="J757" s="79">
        <f t="shared" si="11"/>
        <v>161</v>
      </c>
    </row>
    <row r="758" spans="9:10" x14ac:dyDescent="0.25">
      <c r="I758" s="79">
        <v>160.62519999999998</v>
      </c>
      <c r="J758" s="79">
        <f t="shared" si="11"/>
        <v>161</v>
      </c>
    </row>
    <row r="759" spans="9:10" x14ac:dyDescent="0.25">
      <c r="I759" s="79">
        <v>154.7936</v>
      </c>
      <c r="J759" s="79">
        <f t="shared" si="11"/>
        <v>155</v>
      </c>
    </row>
    <row r="760" spans="9:10" x14ac:dyDescent="0.25">
      <c r="I760" s="79">
        <v>155.12299999999999</v>
      </c>
      <c r="J760" s="79">
        <f t="shared" si="11"/>
        <v>155</v>
      </c>
    </row>
    <row r="761" spans="9:10" x14ac:dyDescent="0.25">
      <c r="I761" s="79">
        <v>157.99</v>
      </c>
      <c r="J761" s="79">
        <f t="shared" si="11"/>
        <v>158</v>
      </c>
    </row>
    <row r="762" spans="9:10" x14ac:dyDescent="0.25">
      <c r="I762" s="79">
        <v>160.62519999999998</v>
      </c>
      <c r="J762" s="79">
        <f t="shared" si="11"/>
        <v>161</v>
      </c>
    </row>
    <row r="763" spans="9:10" x14ac:dyDescent="0.25">
      <c r="I763" s="79">
        <v>154.7936</v>
      </c>
      <c r="J763" s="79">
        <f t="shared" si="11"/>
        <v>155</v>
      </c>
    </row>
    <row r="764" spans="9:10" x14ac:dyDescent="0.25">
      <c r="I764" s="79">
        <v>152.60980000000001</v>
      </c>
      <c r="J764" s="79">
        <f t="shared" si="11"/>
        <v>153</v>
      </c>
    </row>
    <row r="765" spans="9:10" x14ac:dyDescent="0.25">
      <c r="I765" s="79">
        <v>107.95779999999999</v>
      </c>
      <c r="J765" s="79">
        <f t="shared" si="11"/>
        <v>108</v>
      </c>
    </row>
    <row r="766" spans="9:10" x14ac:dyDescent="0.25">
      <c r="I766" s="79">
        <v>152.1584</v>
      </c>
      <c r="J766" s="79">
        <f t="shared" si="11"/>
        <v>152</v>
      </c>
    </row>
    <row r="767" spans="9:10" x14ac:dyDescent="0.25">
      <c r="I767" s="79">
        <v>157.99</v>
      </c>
      <c r="J767" s="79">
        <f t="shared" si="11"/>
        <v>158</v>
      </c>
    </row>
    <row r="768" spans="9:10" x14ac:dyDescent="0.25">
      <c r="I768" s="79">
        <v>160.64959999999999</v>
      </c>
      <c r="J768" s="79">
        <f t="shared" si="11"/>
        <v>161</v>
      </c>
    </row>
    <row r="769" spans="9:10" x14ac:dyDescent="0.25">
      <c r="I769" s="79">
        <v>108.32380000000001</v>
      </c>
      <c r="J769" s="79">
        <f t="shared" si="11"/>
        <v>108</v>
      </c>
    </row>
    <row r="770" spans="9:10" x14ac:dyDescent="0.25">
      <c r="I770" s="79">
        <v>154.13480000000001</v>
      </c>
      <c r="J770" s="79">
        <f t="shared" si="11"/>
        <v>154</v>
      </c>
    </row>
    <row r="771" spans="9:10" x14ac:dyDescent="0.25">
      <c r="I771" s="79">
        <v>159.96639999999999</v>
      </c>
      <c r="J771" s="79">
        <f t="shared" si="11"/>
        <v>160</v>
      </c>
    </row>
    <row r="772" spans="9:10" x14ac:dyDescent="0.25">
      <c r="I772" s="79">
        <v>156.8432</v>
      </c>
      <c r="J772" s="79">
        <f t="shared" si="11"/>
        <v>157</v>
      </c>
    </row>
    <row r="773" spans="9:10" x14ac:dyDescent="0.25">
      <c r="I773" s="79">
        <v>155.12299999999999</v>
      </c>
      <c r="J773" s="79">
        <f t="shared" si="11"/>
        <v>155</v>
      </c>
    </row>
    <row r="774" spans="9:10" x14ac:dyDescent="0.25">
      <c r="I774" s="79">
        <v>154.67160000000001</v>
      </c>
      <c r="J774" s="79">
        <f t="shared" ref="J774:J837" si="12">ROUND(I774,0)</f>
        <v>155</v>
      </c>
    </row>
    <row r="775" spans="9:10" x14ac:dyDescent="0.25">
      <c r="I775" s="79">
        <v>160.50319999999999</v>
      </c>
      <c r="J775" s="79">
        <f t="shared" si="12"/>
        <v>161</v>
      </c>
    </row>
    <row r="776" spans="9:10" x14ac:dyDescent="0.25">
      <c r="I776" s="79">
        <v>160.50319999999999</v>
      </c>
      <c r="J776" s="79">
        <f t="shared" si="12"/>
        <v>161</v>
      </c>
    </row>
    <row r="777" spans="9:10" x14ac:dyDescent="0.25">
      <c r="I777" s="79">
        <v>155.489</v>
      </c>
      <c r="J777" s="79">
        <f t="shared" si="12"/>
        <v>155</v>
      </c>
    </row>
    <row r="778" spans="9:10" x14ac:dyDescent="0.25">
      <c r="I778" s="79">
        <v>154.7936</v>
      </c>
      <c r="J778" s="79">
        <f t="shared" si="12"/>
        <v>155</v>
      </c>
    </row>
    <row r="779" spans="9:10" x14ac:dyDescent="0.25">
      <c r="I779" s="79">
        <v>160.62519999999998</v>
      </c>
      <c r="J779" s="79">
        <f t="shared" si="12"/>
        <v>161</v>
      </c>
    </row>
    <row r="780" spans="9:10" x14ac:dyDescent="0.25">
      <c r="I780" s="79">
        <v>160.86920000000001</v>
      </c>
      <c r="J780" s="79">
        <f t="shared" si="12"/>
        <v>161</v>
      </c>
    </row>
    <row r="781" spans="9:10" x14ac:dyDescent="0.25">
      <c r="I781" s="79">
        <v>152.60980000000001</v>
      </c>
      <c r="J781" s="79">
        <f t="shared" si="12"/>
        <v>153</v>
      </c>
    </row>
    <row r="782" spans="9:10" x14ac:dyDescent="0.25">
      <c r="I782" s="79">
        <v>154.7936</v>
      </c>
      <c r="J782" s="79">
        <f t="shared" si="12"/>
        <v>155</v>
      </c>
    </row>
    <row r="783" spans="9:10" x14ac:dyDescent="0.25">
      <c r="I783" s="79">
        <v>160.62519999999998</v>
      </c>
      <c r="J783" s="79">
        <f t="shared" si="12"/>
        <v>161</v>
      </c>
    </row>
    <row r="784" spans="9:10" x14ac:dyDescent="0.25">
      <c r="I784" s="79">
        <v>157.99</v>
      </c>
      <c r="J784" s="79">
        <f t="shared" si="12"/>
        <v>158</v>
      </c>
    </row>
    <row r="785" spans="9:10" x14ac:dyDescent="0.25">
      <c r="I785" s="79">
        <v>160.64959999999999</v>
      </c>
      <c r="J785" s="79">
        <f t="shared" si="12"/>
        <v>161</v>
      </c>
    </row>
    <row r="786" spans="9:10" x14ac:dyDescent="0.25">
      <c r="I786" s="79">
        <v>157.99</v>
      </c>
      <c r="J786" s="79">
        <f t="shared" si="12"/>
        <v>158</v>
      </c>
    </row>
    <row r="787" spans="9:10" x14ac:dyDescent="0.25">
      <c r="I787" s="79">
        <v>152.1584</v>
      </c>
      <c r="J787" s="79">
        <f t="shared" si="12"/>
        <v>152</v>
      </c>
    </row>
    <row r="788" spans="9:10" x14ac:dyDescent="0.25">
      <c r="I788" s="79">
        <v>107.95779999999999</v>
      </c>
      <c r="J788" s="79">
        <f t="shared" si="12"/>
        <v>108</v>
      </c>
    </row>
    <row r="789" spans="9:10" x14ac:dyDescent="0.25">
      <c r="I789" s="79">
        <v>156.8432</v>
      </c>
      <c r="J789" s="79">
        <f t="shared" si="12"/>
        <v>157</v>
      </c>
    </row>
    <row r="790" spans="9:10" x14ac:dyDescent="0.25">
      <c r="I790" s="79">
        <v>159.96639999999999</v>
      </c>
      <c r="J790" s="79">
        <f t="shared" si="12"/>
        <v>160</v>
      </c>
    </row>
    <row r="791" spans="9:10" x14ac:dyDescent="0.25">
      <c r="I791" s="79">
        <v>154.13480000000001</v>
      </c>
      <c r="J791" s="79">
        <f t="shared" si="12"/>
        <v>154</v>
      </c>
    </row>
    <row r="792" spans="9:10" x14ac:dyDescent="0.25">
      <c r="I792" s="79">
        <v>108.32380000000001</v>
      </c>
      <c r="J792" s="79">
        <f t="shared" si="12"/>
        <v>108</v>
      </c>
    </row>
    <row r="793" spans="9:10" x14ac:dyDescent="0.25">
      <c r="I793" s="79">
        <v>160.50319999999999</v>
      </c>
      <c r="J793" s="79">
        <f t="shared" si="12"/>
        <v>161</v>
      </c>
    </row>
    <row r="794" spans="9:10" x14ac:dyDescent="0.25">
      <c r="I794" s="79">
        <v>160.50319999999999</v>
      </c>
      <c r="J794" s="79">
        <f t="shared" si="12"/>
        <v>161</v>
      </c>
    </row>
    <row r="795" spans="9:10" x14ac:dyDescent="0.25">
      <c r="I795" s="79">
        <v>154.67160000000001</v>
      </c>
      <c r="J795" s="79">
        <f t="shared" si="12"/>
        <v>155</v>
      </c>
    </row>
    <row r="796" spans="9:10" x14ac:dyDescent="0.25">
      <c r="I796" s="79">
        <v>155.12299999999999</v>
      </c>
      <c r="J796" s="79">
        <f t="shared" si="12"/>
        <v>155</v>
      </c>
    </row>
    <row r="797" spans="9:10" x14ac:dyDescent="0.25">
      <c r="I797" s="79">
        <v>160.86920000000001</v>
      </c>
      <c r="J797" s="79">
        <f t="shared" si="12"/>
        <v>161</v>
      </c>
    </row>
    <row r="798" spans="9:10" x14ac:dyDescent="0.25">
      <c r="I798" s="79">
        <v>160.62519999999998</v>
      </c>
      <c r="J798" s="79">
        <f t="shared" si="12"/>
        <v>161</v>
      </c>
    </row>
    <row r="799" spans="9:10" x14ac:dyDescent="0.25">
      <c r="I799" s="79">
        <v>154.7936</v>
      </c>
      <c r="J799" s="79">
        <f t="shared" si="12"/>
        <v>155</v>
      </c>
    </row>
    <row r="800" spans="9:10" x14ac:dyDescent="0.25">
      <c r="I800" s="79">
        <v>155.12299999999999</v>
      </c>
      <c r="J800" s="79">
        <f t="shared" si="12"/>
        <v>155</v>
      </c>
    </row>
    <row r="801" spans="9:10" x14ac:dyDescent="0.25">
      <c r="I801" s="79">
        <v>157.99</v>
      </c>
      <c r="J801" s="79">
        <f t="shared" si="12"/>
        <v>158</v>
      </c>
    </row>
    <row r="802" spans="9:10" x14ac:dyDescent="0.25">
      <c r="I802" s="79">
        <v>160.62519999999998</v>
      </c>
      <c r="J802" s="79">
        <f t="shared" si="12"/>
        <v>161</v>
      </c>
    </row>
    <row r="803" spans="9:10" x14ac:dyDescent="0.25">
      <c r="I803" s="79">
        <v>154.7936</v>
      </c>
      <c r="J803" s="79">
        <f t="shared" si="12"/>
        <v>155</v>
      </c>
    </row>
    <row r="804" spans="9:10" x14ac:dyDescent="0.25">
      <c r="I804" s="79">
        <v>152.60980000000001</v>
      </c>
      <c r="J804" s="79">
        <f t="shared" si="12"/>
        <v>153</v>
      </c>
    </row>
    <row r="805" spans="9:10" x14ac:dyDescent="0.25">
      <c r="I805" s="79">
        <v>106.42060000000001</v>
      </c>
      <c r="J805" s="79">
        <f t="shared" si="12"/>
        <v>106</v>
      </c>
    </row>
    <row r="806" spans="9:10" x14ac:dyDescent="0.25">
      <c r="I806" s="79">
        <v>152.60980000000001</v>
      </c>
      <c r="J806" s="79">
        <f t="shared" si="12"/>
        <v>153</v>
      </c>
    </row>
    <row r="807" spans="9:10" x14ac:dyDescent="0.25">
      <c r="I807" s="79">
        <v>158.0754</v>
      </c>
      <c r="J807" s="79">
        <f t="shared" si="12"/>
        <v>158</v>
      </c>
    </row>
    <row r="808" spans="9:10" x14ac:dyDescent="0.25">
      <c r="I808" s="79">
        <v>160.23480000000001</v>
      </c>
      <c r="J808" s="79">
        <f t="shared" si="12"/>
        <v>160</v>
      </c>
    </row>
    <row r="809" spans="9:10" x14ac:dyDescent="0.25">
      <c r="I809" s="79">
        <v>108.42140000000001</v>
      </c>
      <c r="J809" s="79">
        <f t="shared" si="12"/>
        <v>108</v>
      </c>
    </row>
    <row r="810" spans="9:10" x14ac:dyDescent="0.25">
      <c r="I810" s="79">
        <v>155.11079999999998</v>
      </c>
      <c r="J810" s="79">
        <f t="shared" si="12"/>
        <v>155</v>
      </c>
    </row>
    <row r="811" spans="9:10" x14ac:dyDescent="0.25">
      <c r="I811" s="79">
        <v>160.34460000000001</v>
      </c>
      <c r="J811" s="79">
        <f t="shared" si="12"/>
        <v>160</v>
      </c>
    </row>
    <row r="812" spans="9:10" x14ac:dyDescent="0.25">
      <c r="I812" s="79">
        <v>157.4288</v>
      </c>
      <c r="J812" s="79">
        <f t="shared" si="12"/>
        <v>157</v>
      </c>
    </row>
    <row r="813" spans="9:10" x14ac:dyDescent="0.25">
      <c r="I813" s="79">
        <v>155.12299999999999</v>
      </c>
      <c r="J813" s="79">
        <f t="shared" si="12"/>
        <v>155</v>
      </c>
    </row>
    <row r="814" spans="9:10" x14ac:dyDescent="0.25">
      <c r="I814" s="79">
        <v>154.87899999999999</v>
      </c>
      <c r="J814" s="79">
        <f t="shared" si="12"/>
        <v>155</v>
      </c>
    </row>
    <row r="815" spans="9:10" x14ac:dyDescent="0.25">
      <c r="I815" s="79">
        <v>160.35679999999999</v>
      </c>
      <c r="J815" s="79">
        <f t="shared" si="12"/>
        <v>160</v>
      </c>
    </row>
    <row r="816" spans="9:10" x14ac:dyDescent="0.25">
      <c r="I816" s="79">
        <v>160.34460000000001</v>
      </c>
      <c r="J816" s="79">
        <f t="shared" si="12"/>
        <v>160</v>
      </c>
    </row>
    <row r="817" spans="9:10" x14ac:dyDescent="0.25">
      <c r="I817" s="79">
        <v>155.489</v>
      </c>
      <c r="J817" s="79">
        <f t="shared" si="12"/>
        <v>155</v>
      </c>
    </row>
    <row r="818" spans="9:10" x14ac:dyDescent="0.25">
      <c r="I818" s="79">
        <v>154.9034</v>
      </c>
      <c r="J818" s="79">
        <f t="shared" si="12"/>
        <v>155</v>
      </c>
    </row>
    <row r="819" spans="9:10" x14ac:dyDescent="0.25">
      <c r="I819" s="79">
        <v>160.34460000000001</v>
      </c>
      <c r="J819" s="79">
        <f t="shared" si="12"/>
        <v>160</v>
      </c>
    </row>
    <row r="820" spans="9:10" x14ac:dyDescent="0.25">
      <c r="I820" s="79">
        <v>160.89359999999999</v>
      </c>
      <c r="J820" s="79">
        <f t="shared" si="12"/>
        <v>161</v>
      </c>
    </row>
    <row r="821" spans="9:10" x14ac:dyDescent="0.25">
      <c r="I821" s="79">
        <v>152.65859999999998</v>
      </c>
      <c r="J821" s="79">
        <f t="shared" si="12"/>
        <v>153</v>
      </c>
    </row>
    <row r="822" spans="9:10" x14ac:dyDescent="0.25">
      <c r="I822" s="79">
        <v>155.17179999999999</v>
      </c>
      <c r="J822" s="79">
        <f t="shared" si="12"/>
        <v>155</v>
      </c>
    </row>
    <row r="823" spans="9:10" x14ac:dyDescent="0.25">
      <c r="I823" s="79">
        <v>160.28359999999998</v>
      </c>
      <c r="J823" s="79">
        <f t="shared" si="12"/>
        <v>160</v>
      </c>
    </row>
    <row r="824" spans="9:10" x14ac:dyDescent="0.25">
      <c r="I824" s="79">
        <v>158.08760000000001</v>
      </c>
      <c r="J824" s="79">
        <f t="shared" si="12"/>
        <v>158</v>
      </c>
    </row>
    <row r="825" spans="9:10" x14ac:dyDescent="0.25">
      <c r="I825" s="79">
        <v>160.21039999999999</v>
      </c>
      <c r="J825" s="79">
        <f t="shared" si="12"/>
        <v>160</v>
      </c>
    </row>
    <row r="826" spans="9:10" x14ac:dyDescent="0.25">
      <c r="I826" s="79">
        <v>308.83079999999995</v>
      </c>
      <c r="J826" s="79">
        <f t="shared" si="12"/>
        <v>309</v>
      </c>
    </row>
    <row r="827" spans="9:10" x14ac:dyDescent="0.25">
      <c r="I827" s="79">
        <v>300.96179999999998</v>
      </c>
      <c r="J827" s="79">
        <f t="shared" si="12"/>
        <v>301</v>
      </c>
    </row>
    <row r="828" spans="9:10" x14ac:dyDescent="0.25">
      <c r="I828" s="79">
        <v>106.42060000000001</v>
      </c>
      <c r="J828" s="79">
        <f t="shared" si="12"/>
        <v>106</v>
      </c>
    </row>
    <row r="829" spans="9:10" x14ac:dyDescent="0.25">
      <c r="I829" s="79">
        <v>162.18680000000001</v>
      </c>
      <c r="J829" s="79">
        <f t="shared" si="12"/>
        <v>162</v>
      </c>
    </row>
    <row r="830" spans="9:10" x14ac:dyDescent="0.25">
      <c r="I830" s="79">
        <v>108.42140000000001</v>
      </c>
      <c r="J830" s="79">
        <f t="shared" si="12"/>
        <v>108</v>
      </c>
    </row>
    <row r="831" spans="9:10" x14ac:dyDescent="0.25">
      <c r="I831" s="79">
        <v>160.33239999999998</v>
      </c>
      <c r="J831" s="79">
        <f t="shared" si="12"/>
        <v>160</v>
      </c>
    </row>
    <row r="832" spans="9:10" x14ac:dyDescent="0.25">
      <c r="I832" s="79">
        <v>159.85659999999999</v>
      </c>
      <c r="J832" s="79">
        <f t="shared" si="12"/>
        <v>160</v>
      </c>
    </row>
    <row r="833" spans="9:10" x14ac:dyDescent="0.25">
      <c r="I833" s="79">
        <v>154.8058</v>
      </c>
      <c r="J833" s="79">
        <f t="shared" si="12"/>
        <v>155</v>
      </c>
    </row>
    <row r="834" spans="9:10" x14ac:dyDescent="0.25">
      <c r="I834" s="79">
        <v>154.92779999999999</v>
      </c>
      <c r="J834" s="79">
        <f t="shared" si="12"/>
        <v>155</v>
      </c>
    </row>
    <row r="835" spans="9:10" x14ac:dyDescent="0.25">
      <c r="I835" s="79">
        <v>160.89359999999999</v>
      </c>
      <c r="J835" s="79">
        <f t="shared" si="12"/>
        <v>161</v>
      </c>
    </row>
    <row r="836" spans="9:10" x14ac:dyDescent="0.25">
      <c r="I836" s="79">
        <v>159.84440000000001</v>
      </c>
      <c r="J836" s="79">
        <f t="shared" si="12"/>
        <v>160</v>
      </c>
    </row>
    <row r="837" spans="9:10" x14ac:dyDescent="0.25">
      <c r="I837" s="79">
        <v>154.78139999999999</v>
      </c>
      <c r="J837" s="79">
        <f t="shared" si="12"/>
        <v>155</v>
      </c>
    </row>
    <row r="838" spans="9:10" x14ac:dyDescent="0.25">
      <c r="I838" s="79">
        <v>155.4402</v>
      </c>
      <c r="J838" s="79">
        <f t="shared" ref="J838:J862" si="13">ROUND(I838,0)</f>
        <v>155</v>
      </c>
    </row>
    <row r="839" spans="9:10" x14ac:dyDescent="0.25">
      <c r="I839" s="79">
        <v>158.09979999999999</v>
      </c>
      <c r="J839" s="79">
        <f t="shared" si="13"/>
        <v>158</v>
      </c>
    </row>
    <row r="840" spans="9:10" x14ac:dyDescent="0.25">
      <c r="I840" s="79">
        <v>160.69839999999999</v>
      </c>
      <c r="J840" s="79">
        <f t="shared" si="13"/>
        <v>161</v>
      </c>
    </row>
    <row r="841" spans="9:10" x14ac:dyDescent="0.25">
      <c r="I841" s="79">
        <v>155.0864</v>
      </c>
      <c r="J841" s="79">
        <f t="shared" si="13"/>
        <v>155</v>
      </c>
    </row>
    <row r="842" spans="9:10" x14ac:dyDescent="0.25">
      <c r="I842" s="79">
        <v>152.6464</v>
      </c>
      <c r="J842" s="79">
        <f t="shared" si="13"/>
        <v>153</v>
      </c>
    </row>
    <row r="843" spans="9:10" x14ac:dyDescent="0.25">
      <c r="I843" s="79">
        <v>160.23480000000001</v>
      </c>
      <c r="J843" s="79">
        <f t="shared" si="13"/>
        <v>160</v>
      </c>
    </row>
    <row r="844" spans="9:10" x14ac:dyDescent="0.25">
      <c r="I844" s="79">
        <v>158.0754</v>
      </c>
      <c r="J844" s="79">
        <f t="shared" si="13"/>
        <v>158</v>
      </c>
    </row>
    <row r="845" spans="9:10" x14ac:dyDescent="0.25">
      <c r="I845" s="79">
        <v>152.60980000000001</v>
      </c>
      <c r="J845" s="79">
        <f t="shared" si="13"/>
        <v>153</v>
      </c>
    </row>
    <row r="846" spans="9:10" x14ac:dyDescent="0.25">
      <c r="I846" s="79">
        <v>106.42060000000001</v>
      </c>
      <c r="J846" s="79">
        <f t="shared" si="13"/>
        <v>106</v>
      </c>
    </row>
    <row r="847" spans="9:10" x14ac:dyDescent="0.25">
      <c r="I847" s="79">
        <v>157.4288</v>
      </c>
      <c r="J847" s="79">
        <f t="shared" si="13"/>
        <v>157</v>
      </c>
    </row>
    <row r="848" spans="9:10" x14ac:dyDescent="0.25">
      <c r="I848" s="79">
        <v>160.34460000000001</v>
      </c>
      <c r="J848" s="79">
        <f t="shared" si="13"/>
        <v>160</v>
      </c>
    </row>
    <row r="849" spans="9:10" x14ac:dyDescent="0.25">
      <c r="I849" s="79">
        <v>155.11079999999998</v>
      </c>
      <c r="J849" s="79">
        <f t="shared" si="13"/>
        <v>155</v>
      </c>
    </row>
    <row r="850" spans="9:10" x14ac:dyDescent="0.25">
      <c r="I850" s="79">
        <v>108.42140000000001</v>
      </c>
      <c r="J850" s="79">
        <f t="shared" si="13"/>
        <v>108</v>
      </c>
    </row>
    <row r="851" spans="9:10" x14ac:dyDescent="0.25">
      <c r="I851" s="79">
        <v>160.34460000000001</v>
      </c>
      <c r="J851" s="79">
        <f t="shared" si="13"/>
        <v>160</v>
      </c>
    </row>
    <row r="852" spans="9:10" x14ac:dyDescent="0.25">
      <c r="I852" s="79">
        <v>160.35679999999999</v>
      </c>
      <c r="J852" s="79">
        <f t="shared" si="13"/>
        <v>160</v>
      </c>
    </row>
    <row r="853" spans="9:10" x14ac:dyDescent="0.25">
      <c r="I853" s="79">
        <v>154.87899999999999</v>
      </c>
      <c r="J853" s="79">
        <f t="shared" si="13"/>
        <v>155</v>
      </c>
    </row>
    <row r="854" spans="9:10" x14ac:dyDescent="0.25">
      <c r="I854" s="79">
        <v>155.12299999999999</v>
      </c>
      <c r="J854" s="79">
        <f t="shared" si="13"/>
        <v>155</v>
      </c>
    </row>
    <row r="855" spans="9:10" x14ac:dyDescent="0.25">
      <c r="I855" s="79">
        <v>160.89359999999999</v>
      </c>
      <c r="J855" s="79">
        <f t="shared" si="13"/>
        <v>161</v>
      </c>
    </row>
    <row r="856" spans="9:10" x14ac:dyDescent="0.25">
      <c r="I856" s="79">
        <v>160.34460000000001</v>
      </c>
      <c r="J856" s="79">
        <f t="shared" si="13"/>
        <v>160</v>
      </c>
    </row>
    <row r="857" spans="9:10" x14ac:dyDescent="0.25">
      <c r="I857" s="79">
        <v>154.9034</v>
      </c>
      <c r="J857" s="79">
        <f t="shared" si="13"/>
        <v>155</v>
      </c>
    </row>
    <row r="858" spans="9:10" x14ac:dyDescent="0.25">
      <c r="I858" s="79">
        <v>155.489</v>
      </c>
      <c r="J858" s="79">
        <f t="shared" si="13"/>
        <v>155</v>
      </c>
    </row>
    <row r="859" spans="9:10" x14ac:dyDescent="0.25">
      <c r="I859" s="79">
        <v>158.08760000000001</v>
      </c>
      <c r="J859" s="79">
        <f t="shared" si="13"/>
        <v>158</v>
      </c>
    </row>
    <row r="860" spans="9:10" x14ac:dyDescent="0.25">
      <c r="I860" s="79">
        <v>160.28359999999998</v>
      </c>
      <c r="J860" s="79">
        <f t="shared" si="13"/>
        <v>160</v>
      </c>
    </row>
    <row r="861" spans="9:10" x14ac:dyDescent="0.25">
      <c r="I861" s="79">
        <v>155.17179999999999</v>
      </c>
      <c r="J861" s="79">
        <f t="shared" si="13"/>
        <v>155</v>
      </c>
    </row>
    <row r="862" spans="9:10" x14ac:dyDescent="0.25">
      <c r="I862" s="79">
        <v>152.65859999999998</v>
      </c>
      <c r="J862" s="79">
        <f t="shared" si="13"/>
        <v>153</v>
      </c>
    </row>
    <row r="868" spans="5:33" ht="15.75" thickBot="1" x14ac:dyDescent="0.3"/>
    <row r="869" spans="5:33" ht="15.75" thickBot="1" x14ac:dyDescent="0.3">
      <c r="E869" s="342"/>
      <c r="F869" s="147"/>
      <c r="G869" s="147"/>
      <c r="H869" s="147"/>
      <c r="I869" s="147"/>
      <c r="J869" s="147"/>
      <c r="K869" s="147"/>
      <c r="L869" s="147"/>
      <c r="M869" s="343"/>
      <c r="N869" s="366"/>
      <c r="O869" s="367"/>
      <c r="P869" s="367"/>
      <c r="Q869" s="367"/>
      <c r="R869" s="367"/>
      <c r="S869" s="367"/>
      <c r="T869" s="367"/>
      <c r="U869" s="367"/>
      <c r="V869" s="367"/>
      <c r="W869" s="368"/>
      <c r="X869" s="400"/>
      <c r="Y869" s="401"/>
      <c r="Z869" s="401"/>
      <c r="AA869" s="401"/>
      <c r="AB869" s="401"/>
      <c r="AC869" s="401"/>
      <c r="AD869" s="401"/>
      <c r="AE869" s="401"/>
      <c r="AF869" s="401"/>
      <c r="AG869" s="402"/>
    </row>
    <row r="870" spans="5:33" ht="15.75" thickBot="1" x14ac:dyDescent="0.3">
      <c r="E870" s="344"/>
      <c r="G870" s="303" t="s">
        <v>1361</v>
      </c>
      <c r="H870" s="304">
        <f>1+K884</f>
        <v>1.0003561643835617</v>
      </c>
      <c r="M870" s="345"/>
      <c r="N870" s="369"/>
      <c r="O870" s="370"/>
      <c r="P870" s="332" t="s">
        <v>1361</v>
      </c>
      <c r="Q870" s="333">
        <f>1+T882</f>
        <v>1.0003561643835617</v>
      </c>
      <c r="R870" s="370"/>
      <c r="S870" s="370"/>
      <c r="T870" s="370"/>
      <c r="U870" s="370"/>
      <c r="V870" s="370"/>
      <c r="W870" s="371"/>
      <c r="X870" s="403"/>
      <c r="Y870" s="404"/>
      <c r="Z870" s="334" t="s">
        <v>1361</v>
      </c>
      <c r="AA870" s="335">
        <f>1+AD882</f>
        <v>1.0003561643835617</v>
      </c>
      <c r="AB870" s="404"/>
      <c r="AC870" s="404"/>
      <c r="AD870" s="404"/>
      <c r="AE870" s="404"/>
      <c r="AF870" s="404"/>
      <c r="AG870" s="405"/>
    </row>
    <row r="871" spans="5:33" x14ac:dyDescent="0.25">
      <c r="E871" s="344"/>
      <c r="M871" s="345"/>
      <c r="N871" s="369"/>
      <c r="O871" s="370"/>
      <c r="P871" s="370"/>
      <c r="Q871" s="370"/>
      <c r="R871" s="370"/>
      <c r="S871" s="370"/>
      <c r="T871" s="370"/>
      <c r="U871" s="370"/>
      <c r="V871" s="370"/>
      <c r="W871" s="371"/>
      <c r="X871" s="403"/>
      <c r="Y871" s="404"/>
      <c r="Z871" s="404"/>
      <c r="AA871" s="404"/>
      <c r="AB871" s="404"/>
      <c r="AC871" s="404"/>
      <c r="AD871" s="404"/>
      <c r="AE871" s="404"/>
      <c r="AF871" s="404"/>
      <c r="AG871" s="405"/>
    </row>
    <row r="872" spans="5:33" x14ac:dyDescent="0.25">
      <c r="E872" s="344"/>
      <c r="M872" s="345"/>
      <c r="N872" s="369"/>
      <c r="O872" s="370"/>
      <c r="P872" s="370"/>
      <c r="Q872" s="370"/>
      <c r="R872" s="370"/>
      <c r="S872" s="370"/>
      <c r="T872" s="370"/>
      <c r="U872" s="370"/>
      <c r="V872" s="370"/>
      <c r="W872" s="371"/>
      <c r="X872" s="403"/>
      <c r="Y872" s="404"/>
      <c r="Z872" s="404"/>
      <c r="AA872" s="404"/>
      <c r="AB872" s="404"/>
      <c r="AC872" s="404"/>
      <c r="AD872" s="404"/>
      <c r="AE872" s="404"/>
      <c r="AF872" s="404"/>
      <c r="AG872" s="405"/>
    </row>
    <row r="873" spans="5:33" x14ac:dyDescent="0.25">
      <c r="E873" s="344"/>
      <c r="M873" s="345"/>
      <c r="N873" s="369"/>
      <c r="O873" s="370"/>
      <c r="P873" s="370"/>
      <c r="Q873" s="370"/>
      <c r="R873" s="370"/>
      <c r="S873" s="370"/>
      <c r="T873" s="370"/>
      <c r="U873" s="370"/>
      <c r="V873" s="370"/>
      <c r="W873" s="371"/>
      <c r="X873" s="403"/>
      <c r="Y873" s="404"/>
      <c r="Z873" s="404"/>
      <c r="AA873" s="404"/>
      <c r="AB873" s="404"/>
      <c r="AC873" s="404"/>
      <c r="AD873" s="404"/>
      <c r="AE873" s="404"/>
      <c r="AF873" s="404"/>
      <c r="AG873" s="405"/>
    </row>
    <row r="874" spans="5:33" ht="34.5" customHeight="1" x14ac:dyDescent="0.25">
      <c r="E874" s="344"/>
      <c r="J874" s="534" t="s">
        <v>1372</v>
      </c>
      <c r="K874" s="534"/>
      <c r="M874" s="345"/>
      <c r="N874" s="369"/>
      <c r="O874" s="370"/>
      <c r="P874" s="370"/>
      <c r="Q874" s="370"/>
      <c r="R874" s="370"/>
      <c r="S874" s="538" t="s">
        <v>1371</v>
      </c>
      <c r="T874" s="538"/>
      <c r="U874" s="370"/>
      <c r="V874" s="370"/>
      <c r="W874" s="371"/>
      <c r="X874" s="403"/>
      <c r="Y874" s="404"/>
      <c r="Z874" s="404"/>
      <c r="AA874" s="404"/>
      <c r="AB874" s="404"/>
      <c r="AC874" s="528" t="s">
        <v>1370</v>
      </c>
      <c r="AD874" s="528"/>
      <c r="AE874" s="404"/>
      <c r="AF874" s="404"/>
      <c r="AG874" s="405"/>
    </row>
    <row r="875" spans="5:33" x14ac:dyDescent="0.25">
      <c r="E875" s="344"/>
      <c r="J875" s="157" t="s">
        <v>1358</v>
      </c>
      <c r="K875" s="432">
        <f ca="1">TODAY()</f>
        <v>45215</v>
      </c>
      <c r="M875" s="345"/>
      <c r="N875" s="369"/>
      <c r="O875" s="370"/>
      <c r="P875" s="370"/>
      <c r="Q875" s="370"/>
      <c r="R875" s="370"/>
      <c r="S875" s="372" t="s">
        <v>1358</v>
      </c>
      <c r="T875" s="433">
        <f ca="1">TODAY()</f>
        <v>45215</v>
      </c>
      <c r="U875" s="370"/>
      <c r="V875" s="370"/>
      <c r="W875" s="371"/>
      <c r="X875" s="403"/>
      <c r="Y875" s="404"/>
      <c r="Z875" s="404"/>
      <c r="AA875" s="404"/>
      <c r="AB875" s="404"/>
      <c r="AC875" s="406" t="s">
        <v>1358</v>
      </c>
      <c r="AD875" s="435">
        <f ca="1">TODAY()</f>
        <v>45215</v>
      </c>
      <c r="AE875" s="404"/>
      <c r="AF875" s="404"/>
      <c r="AG875" s="405"/>
    </row>
    <row r="876" spans="5:33" ht="15.75" thickBot="1" x14ac:dyDescent="0.3">
      <c r="E876" s="344"/>
      <c r="G876" s="318" t="s">
        <v>104</v>
      </c>
      <c r="H876" s="318" t="s">
        <v>1376</v>
      </c>
      <c r="J876" s="346" t="s">
        <v>1208</v>
      </c>
      <c r="K876" s="347">
        <v>0.1</v>
      </c>
      <c r="M876" s="345"/>
      <c r="N876" s="369"/>
      <c r="O876" s="370"/>
      <c r="P876" s="370"/>
      <c r="Q876" s="370"/>
      <c r="R876" s="370"/>
      <c r="S876" s="373" t="s">
        <v>1208</v>
      </c>
      <c r="T876" s="374">
        <f>T878/T877</f>
        <v>0.46888712665585242</v>
      </c>
      <c r="U876" s="370"/>
      <c r="V876" s="370"/>
      <c r="W876" s="371"/>
      <c r="X876" s="403"/>
      <c r="Y876" s="404"/>
      <c r="Z876" s="404"/>
      <c r="AA876" s="404"/>
      <c r="AB876" s="404"/>
      <c r="AC876" s="407" t="s">
        <v>1208</v>
      </c>
      <c r="AD876" s="408">
        <v>0.18</v>
      </c>
      <c r="AE876" s="404"/>
      <c r="AF876" s="404"/>
      <c r="AG876" s="405"/>
    </row>
    <row r="877" spans="5:33" ht="45.75" customHeight="1" thickBot="1" x14ac:dyDescent="0.3">
      <c r="E877" s="344"/>
      <c r="G877" s="321" t="s">
        <v>959</v>
      </c>
      <c r="H877" s="320">
        <f>VLOOKUP(G877,Table1[[Unit Number]:[PHASE SELLING START DATE]],39,FALSE)</f>
        <v>11295432</v>
      </c>
      <c r="J877" s="346" t="s">
        <v>1203</v>
      </c>
      <c r="K877" s="348">
        <v>11295432</v>
      </c>
      <c r="M877" s="345"/>
      <c r="N877" s="369"/>
      <c r="O877" s="370"/>
      <c r="P877" s="329" t="s">
        <v>104</v>
      </c>
      <c r="Q877" s="375" t="s">
        <v>1375</v>
      </c>
      <c r="R877" s="370"/>
      <c r="S877" s="373" t="s">
        <v>1365</v>
      </c>
      <c r="T877" s="376">
        <f>T878+T916</f>
        <v>9084697.8903362472</v>
      </c>
      <c r="U877" s="370"/>
      <c r="V877" s="370"/>
      <c r="W877" s="371"/>
      <c r="X877" s="403"/>
      <c r="Y877" s="404"/>
      <c r="Z877" s="338" t="s">
        <v>104</v>
      </c>
      <c r="AA877" s="409" t="s">
        <v>1375</v>
      </c>
      <c r="AB877" s="404"/>
      <c r="AC877" s="407" t="s">
        <v>1365</v>
      </c>
      <c r="AD877" s="410">
        <f>AD878+AD916</f>
        <v>10799696.560103282</v>
      </c>
      <c r="AE877" s="404"/>
      <c r="AF877" s="404"/>
      <c r="AG877" s="405"/>
    </row>
    <row r="878" spans="5:33" ht="15.75" thickBot="1" x14ac:dyDescent="0.3">
      <c r="E878" s="344"/>
      <c r="J878" s="346" t="s">
        <v>1209</v>
      </c>
      <c r="K878" s="349">
        <f>K877*K876</f>
        <v>1129543.2</v>
      </c>
      <c r="M878" s="345"/>
      <c r="N878" s="369"/>
      <c r="O878" s="370"/>
      <c r="P878" s="327" t="str">
        <f>G877</f>
        <v>B733</v>
      </c>
      <c r="Q878" s="325">
        <f ca="1">L918</f>
        <v>7694103.2667696439</v>
      </c>
      <c r="R878" s="370"/>
      <c r="S878" s="373" t="s">
        <v>1209</v>
      </c>
      <c r="T878" s="376">
        <v>4259697.8903362472</v>
      </c>
      <c r="U878" s="370"/>
      <c r="V878" s="370"/>
      <c r="W878" s="371"/>
      <c r="X878" s="403"/>
      <c r="Y878" s="404"/>
      <c r="Z878" s="336" t="str">
        <f>G877</f>
        <v>B733</v>
      </c>
      <c r="AA878" s="337">
        <f ca="1">L918</f>
        <v>7694103.2667696439</v>
      </c>
      <c r="AB878" s="404"/>
      <c r="AC878" s="407" t="s">
        <v>1209</v>
      </c>
      <c r="AD878" s="410">
        <f>AD876*AD880</f>
        <v>2033177.76</v>
      </c>
      <c r="AE878" s="404"/>
      <c r="AF878" s="404"/>
      <c r="AG878" s="405"/>
    </row>
    <row r="879" spans="5:33" ht="15.75" thickBot="1" x14ac:dyDescent="0.3">
      <c r="E879" s="344"/>
      <c r="G879" s="318" t="s">
        <v>104</v>
      </c>
      <c r="H879" s="318" t="s">
        <v>1377</v>
      </c>
      <c r="J879" s="346" t="s">
        <v>1204</v>
      </c>
      <c r="K879" s="350">
        <v>7</v>
      </c>
      <c r="M879" s="345"/>
      <c r="N879" s="369"/>
      <c r="O879" s="370"/>
      <c r="P879" s="370"/>
      <c r="Q879" s="370"/>
      <c r="R879" s="370"/>
      <c r="S879" s="373" t="s">
        <v>1204</v>
      </c>
      <c r="T879" s="377">
        <v>7</v>
      </c>
      <c r="U879" s="370"/>
      <c r="V879" s="370"/>
      <c r="W879" s="371"/>
      <c r="X879" s="403"/>
      <c r="Y879" s="404"/>
      <c r="Z879" s="404"/>
      <c r="AA879" s="404"/>
      <c r="AB879" s="404"/>
      <c r="AC879" s="407" t="s">
        <v>1204</v>
      </c>
      <c r="AD879" s="411">
        <v>7</v>
      </c>
      <c r="AE879" s="404"/>
      <c r="AF879" s="404"/>
      <c r="AG879" s="405"/>
    </row>
    <row r="880" spans="5:33" ht="15.75" thickBot="1" x14ac:dyDescent="0.3">
      <c r="E880" s="344"/>
      <c r="G880" s="328" t="str">
        <f>G877</f>
        <v>B733</v>
      </c>
      <c r="H880" s="320">
        <f>VLOOKUP(G880,Table1[[Unit Number]:[PHASE SELLING START DATE]],40,FALSE)</f>
        <v>11817432</v>
      </c>
      <c r="J880" s="346" t="s">
        <v>1205</v>
      </c>
      <c r="K880" s="346">
        <f>(K877-K878)/(K879*K882)</f>
        <v>363067.45714285719</v>
      </c>
      <c r="M880" s="345"/>
      <c r="N880" s="369"/>
      <c r="O880" s="370"/>
      <c r="P880" s="329"/>
      <c r="Q880" s="329"/>
      <c r="R880" s="370"/>
      <c r="S880" s="373" t="s">
        <v>1369</v>
      </c>
      <c r="T880" s="378">
        <f>K877</f>
        <v>11295432</v>
      </c>
      <c r="U880" s="370"/>
      <c r="V880" s="370"/>
      <c r="W880" s="371"/>
      <c r="X880" s="403"/>
      <c r="Y880" s="404"/>
      <c r="Z880" s="338"/>
      <c r="AA880" s="338"/>
      <c r="AB880" s="404"/>
      <c r="AC880" s="407" t="s">
        <v>1369</v>
      </c>
      <c r="AD880" s="412">
        <f>K877</f>
        <v>11295432</v>
      </c>
      <c r="AE880" s="404"/>
      <c r="AF880" s="404"/>
      <c r="AG880" s="405"/>
    </row>
    <row r="881" spans="5:33" ht="15.75" thickBot="1" x14ac:dyDescent="0.3">
      <c r="E881" s="344"/>
      <c r="J881" s="346" t="s">
        <v>1197</v>
      </c>
      <c r="K881" s="323">
        <v>0.13</v>
      </c>
      <c r="M881" s="345"/>
      <c r="N881" s="369"/>
      <c r="O881" s="370"/>
      <c r="P881" s="329"/>
      <c r="Q881" s="330"/>
      <c r="R881" s="370"/>
      <c r="S881" s="373" t="s">
        <v>1197</v>
      </c>
      <c r="T881" s="326">
        <v>0.13</v>
      </c>
      <c r="U881" s="370"/>
      <c r="V881" s="370"/>
      <c r="W881" s="371"/>
      <c r="X881" s="403"/>
      <c r="Y881" s="404"/>
      <c r="Z881" s="338"/>
      <c r="AA881" s="339"/>
      <c r="AB881" s="404"/>
      <c r="AC881" s="407" t="s">
        <v>1197</v>
      </c>
      <c r="AD881" s="340">
        <v>0.13</v>
      </c>
      <c r="AE881" s="404"/>
      <c r="AF881" s="404"/>
      <c r="AG881" s="405"/>
    </row>
    <row r="882" spans="5:33" ht="15.75" thickBot="1" x14ac:dyDescent="0.3">
      <c r="E882" s="344"/>
      <c r="J882" s="346" t="s">
        <v>1195</v>
      </c>
      <c r="K882" s="346">
        <v>4</v>
      </c>
      <c r="M882" s="345"/>
      <c r="N882" s="369"/>
      <c r="O882" s="370"/>
      <c r="P882" s="370"/>
      <c r="Q882" s="370"/>
      <c r="R882" s="370"/>
      <c r="S882" s="373" t="s">
        <v>1360</v>
      </c>
      <c r="T882" s="379">
        <f>T881/365</f>
        <v>3.5616438356164383E-4</v>
      </c>
      <c r="U882" s="370"/>
      <c r="V882" s="370"/>
      <c r="W882" s="371"/>
      <c r="X882" s="403"/>
      <c r="Y882" s="404"/>
      <c r="Z882" s="404"/>
      <c r="AA882" s="404"/>
      <c r="AB882" s="404"/>
      <c r="AC882" s="407" t="s">
        <v>1360</v>
      </c>
      <c r="AD882" s="413">
        <f>AD881/365</f>
        <v>3.5616438356164383E-4</v>
      </c>
      <c r="AE882" s="404"/>
      <c r="AF882" s="404"/>
      <c r="AG882" s="405"/>
    </row>
    <row r="883" spans="5:33" ht="19.5" thickBot="1" x14ac:dyDescent="0.3">
      <c r="E883" s="344"/>
      <c r="J883" s="346" t="s">
        <v>1196</v>
      </c>
      <c r="K883" s="346">
        <f>K879*K882</f>
        <v>28</v>
      </c>
      <c r="M883" s="345"/>
      <c r="N883" s="369"/>
      <c r="O883" s="370"/>
      <c r="P883" s="370"/>
      <c r="Q883" s="370"/>
      <c r="R883" s="370"/>
      <c r="S883" s="376" t="s">
        <v>1200</v>
      </c>
      <c r="T883" s="331">
        <f>(1)-(T877/T880)</f>
        <v>0.1957193057922666</v>
      </c>
      <c r="U883" s="370"/>
      <c r="V883" s="370"/>
      <c r="W883" s="371"/>
      <c r="X883" s="403"/>
      <c r="Y883" s="404"/>
      <c r="Z883" s="404"/>
      <c r="AA883" s="404"/>
      <c r="AB883" s="404"/>
      <c r="AC883" s="410" t="s">
        <v>1200</v>
      </c>
      <c r="AD883" s="341">
        <f>(1)-(AD877/AD880)</f>
        <v>4.3888134592525385E-2</v>
      </c>
      <c r="AE883" s="404"/>
      <c r="AF883" s="436">
        <f>K880</f>
        <v>363067.45714285719</v>
      </c>
      <c r="AG883" s="405"/>
    </row>
    <row r="884" spans="5:33" ht="18.75" x14ac:dyDescent="0.25">
      <c r="E884" s="344"/>
      <c r="J884" s="346" t="s">
        <v>1360</v>
      </c>
      <c r="K884" s="351">
        <f>K881/365</f>
        <v>3.5616438356164383E-4</v>
      </c>
      <c r="M884" s="345"/>
      <c r="N884" s="380"/>
      <c r="O884" s="370"/>
      <c r="P884" s="370"/>
      <c r="Q884" s="370"/>
      <c r="R884" s="370"/>
      <c r="S884" s="376" t="s">
        <v>1379</v>
      </c>
      <c r="T884" s="439">
        <f>T880-T877</f>
        <v>2210734.1096637528</v>
      </c>
      <c r="U884" s="370"/>
      <c r="V884" s="370"/>
      <c r="W884" s="371"/>
      <c r="X884" s="414"/>
      <c r="Y884" s="404"/>
      <c r="Z884" s="404"/>
      <c r="AA884" s="404"/>
      <c r="AB884" s="404"/>
      <c r="AC884" s="407" t="s">
        <v>1373</v>
      </c>
      <c r="AD884" s="407">
        <v>313089.95714654564</v>
      </c>
      <c r="AE884" s="404"/>
      <c r="AF884" s="404"/>
      <c r="AG884" s="405"/>
    </row>
    <row r="885" spans="5:33" ht="18.75" x14ac:dyDescent="0.25">
      <c r="E885" s="344"/>
      <c r="J885" s="346" t="s">
        <v>1359</v>
      </c>
      <c r="K885" s="352">
        <f>K881/K882</f>
        <v>3.2500000000000001E-2</v>
      </c>
      <c r="M885" s="345"/>
      <c r="N885" s="369"/>
      <c r="O885" s="370"/>
      <c r="P885" s="370"/>
      <c r="Q885" s="370"/>
      <c r="R885" s="370"/>
      <c r="S885" s="373"/>
      <c r="T885" s="381"/>
      <c r="U885" s="370"/>
      <c r="V885" s="370"/>
      <c r="W885" s="371"/>
      <c r="X885" s="403"/>
      <c r="Y885" s="404"/>
      <c r="Z885" s="404"/>
      <c r="AA885" s="404"/>
      <c r="AB885" s="404"/>
      <c r="AC885" s="410" t="s">
        <v>1379</v>
      </c>
      <c r="AD885" s="438">
        <f>AD880-AD877</f>
        <v>495735.43989671767</v>
      </c>
      <c r="AE885" s="404"/>
      <c r="AF885" s="404"/>
      <c r="AG885" s="405"/>
    </row>
    <row r="886" spans="5:33" ht="18.75" x14ac:dyDescent="0.25">
      <c r="E886" s="344"/>
      <c r="J886" s="349" t="s">
        <v>1200</v>
      </c>
      <c r="K886" s="324">
        <f ca="1">M918</f>
        <v>0.31883054435017244</v>
      </c>
      <c r="M886" s="345"/>
      <c r="N886" s="369"/>
      <c r="O886" s="370"/>
      <c r="P886" s="370"/>
      <c r="Q886" s="370"/>
      <c r="R886" s="370"/>
      <c r="S886" s="376"/>
      <c r="T886" s="312"/>
      <c r="U886" s="370"/>
      <c r="V886" s="370"/>
      <c r="W886" s="371"/>
      <c r="X886" s="403"/>
      <c r="Y886" s="404"/>
      <c r="Z886" s="404"/>
      <c r="AA886" s="404"/>
      <c r="AB886" s="404"/>
      <c r="AC886" s="410"/>
      <c r="AD886" s="314"/>
      <c r="AE886" s="404"/>
      <c r="AF886" s="404"/>
      <c r="AG886" s="405"/>
    </row>
    <row r="887" spans="5:33" ht="48" customHeight="1" x14ac:dyDescent="0.25">
      <c r="E887" s="353" t="s">
        <v>1364</v>
      </c>
      <c r="F887" s="295" t="s">
        <v>1363</v>
      </c>
      <c r="G887" s="295" t="s">
        <v>1357</v>
      </c>
      <c r="H887" s="295" t="s">
        <v>1354</v>
      </c>
      <c r="I887" s="295" t="s">
        <v>1353</v>
      </c>
      <c r="J887" s="354" t="s">
        <v>1352</v>
      </c>
      <c r="K887" s="294" t="s">
        <v>1355</v>
      </c>
      <c r="L887" s="294" t="s">
        <v>1356</v>
      </c>
      <c r="M887" s="345"/>
      <c r="N887" s="382" t="s">
        <v>1364</v>
      </c>
      <c r="O887" s="383" t="s">
        <v>1363</v>
      </c>
      <c r="P887" s="383" t="s">
        <v>1357</v>
      </c>
      <c r="Q887" s="383" t="s">
        <v>1354</v>
      </c>
      <c r="R887" s="383" t="s">
        <v>1353</v>
      </c>
      <c r="S887" s="384" t="s">
        <v>1352</v>
      </c>
      <c r="T887" s="311" t="s">
        <v>1355</v>
      </c>
      <c r="U887" s="311" t="s">
        <v>1356</v>
      </c>
      <c r="V887" s="370"/>
      <c r="W887" s="371"/>
      <c r="X887" s="415" t="s">
        <v>1364</v>
      </c>
      <c r="Y887" s="416" t="s">
        <v>1363</v>
      </c>
      <c r="Z887" s="416" t="s">
        <v>1357</v>
      </c>
      <c r="AA887" s="416" t="s">
        <v>1354</v>
      </c>
      <c r="AB887" s="416" t="s">
        <v>1353</v>
      </c>
      <c r="AC887" s="417" t="s">
        <v>1352</v>
      </c>
      <c r="AD887" s="315" t="s">
        <v>1355</v>
      </c>
      <c r="AE887" s="315" t="s">
        <v>1356</v>
      </c>
      <c r="AF887" s="404"/>
      <c r="AG887" s="405"/>
    </row>
    <row r="888" spans="5:33" x14ac:dyDescent="0.25">
      <c r="E888" s="355">
        <f>K888</f>
        <v>363067.45714285719</v>
      </c>
      <c r="F888" s="116">
        <f>(E888+$K$878)/($K$918)</f>
        <v>0.13214285714285712</v>
      </c>
      <c r="G888" s="113">
        <f t="shared" ref="G888:G915" ca="1" si="14">POWER($H$870,H888)</f>
        <v>1.0333038492496451</v>
      </c>
      <c r="H888" s="113">
        <f t="shared" ref="H888:H915" ca="1" si="15">I888-$K$875</f>
        <v>92</v>
      </c>
      <c r="I888" s="296">
        <f ca="1">EDATE(K875,3)</f>
        <v>45307</v>
      </c>
      <c r="J888" s="113" t="s">
        <v>1321</v>
      </c>
      <c r="K888" s="297">
        <f>$K$880</f>
        <v>363067.45714285719</v>
      </c>
      <c r="L888" s="297">
        <f ca="1">K888/G888</f>
        <v>351365.62919658731</v>
      </c>
      <c r="M888" s="345"/>
      <c r="N888" s="385">
        <f>T888</f>
        <v>500000</v>
      </c>
      <c r="O888" s="386">
        <f>(N888+$T$878)/$T$877</f>
        <v>0.52392473011120455</v>
      </c>
      <c r="P888" s="387">
        <f ca="1">POWER($Q$870,Q888)</f>
        <v>1.0333038492496451</v>
      </c>
      <c r="Q888" s="387">
        <f ca="1">R888-$T$875</f>
        <v>92</v>
      </c>
      <c r="R888" s="388">
        <f ca="1">EDATE($T$875,3)</f>
        <v>45307</v>
      </c>
      <c r="S888" s="387" t="s">
        <v>1321</v>
      </c>
      <c r="T888" s="389">
        <v>500000</v>
      </c>
      <c r="U888" s="389">
        <f ca="1">T888/P888</f>
        <v>483884.77441856556</v>
      </c>
      <c r="V888" s="370"/>
      <c r="W888" s="371"/>
      <c r="X888" s="418">
        <f>AD888</f>
        <v>313089.95714654564</v>
      </c>
      <c r="Y888" s="419">
        <f>(X888+$AD$878)/$AD$877</f>
        <v>0.21725311485271093</v>
      </c>
      <c r="Z888" s="420">
        <f ca="1">POWER($AA$870,AA888)</f>
        <v>1.0333038492496451</v>
      </c>
      <c r="AA888" s="420">
        <f ca="1">AB888-$T$875</f>
        <v>92</v>
      </c>
      <c r="AB888" s="421">
        <f ca="1">EDATE(AD875,3)</f>
        <v>45307</v>
      </c>
      <c r="AC888" s="420" t="s">
        <v>1321</v>
      </c>
      <c r="AD888" s="422">
        <f>$AD$884</f>
        <v>313089.95714654564</v>
      </c>
      <c r="AE888" s="422">
        <f ca="1">AD888/Z888</f>
        <v>302998.92657314916</v>
      </c>
      <c r="AF888" s="404"/>
      <c r="AG888" s="405"/>
    </row>
    <row r="889" spans="5:33" x14ac:dyDescent="0.25">
      <c r="E889" s="355">
        <f>K889+E888</f>
        <v>726134.91428571439</v>
      </c>
      <c r="F889" s="116">
        <f t="shared" ref="F889:F915" si="16">(E889+$K$878)/($K$918)</f>
        <v>0.16428571428571428</v>
      </c>
      <c r="G889" s="113">
        <f t="shared" ca="1" si="14"/>
        <v>1.0673366975571954</v>
      </c>
      <c r="H889" s="113">
        <f t="shared" ca="1" si="15"/>
        <v>183</v>
      </c>
      <c r="I889" s="296">
        <f ca="1">EDATE(I888,3)</f>
        <v>45398</v>
      </c>
      <c r="J889" s="113" t="s">
        <v>1322</v>
      </c>
      <c r="K889" s="297">
        <f t="shared" ref="K889:K915" si="17">$K$880</f>
        <v>363067.45714285719</v>
      </c>
      <c r="L889" s="297">
        <f t="shared" ref="L889:L915" ca="1" si="18">K889/G889</f>
        <v>340162.06692209368</v>
      </c>
      <c r="M889" s="345"/>
      <c r="N889" s="385">
        <f>T889+N888</f>
        <v>750000</v>
      </c>
      <c r="O889" s="386">
        <f t="shared" ref="O889:O915" si="19">(N889+$T$878)/$T$877</f>
        <v>0.55144353183888051</v>
      </c>
      <c r="P889" s="387">
        <f t="shared" ref="P889:P915" ca="1" si="20">POWER($Q$870,Q889)</f>
        <v>1.0673366975571954</v>
      </c>
      <c r="Q889" s="387">
        <f ca="1">R889-$T$875</f>
        <v>183</v>
      </c>
      <c r="R889" s="388">
        <f ca="1">EDATE($T$875,6)</f>
        <v>45398</v>
      </c>
      <c r="S889" s="387" t="s">
        <v>1322</v>
      </c>
      <c r="T889" s="389">
        <v>250000</v>
      </c>
      <c r="U889" s="389">
        <f t="shared" ref="U889:U915" ca="1" si="21">T889/P889</f>
        <v>234227.86883667816</v>
      </c>
      <c r="V889" s="370"/>
      <c r="W889" s="371"/>
      <c r="X889" s="418">
        <f>AD889+X888</f>
        <v>626179.91429309128</v>
      </c>
      <c r="Y889" s="419">
        <f t="shared" ref="Y889:Y915" si="22">(X889+$AD$878)/$AD$877</f>
        <v>0.24624374022853646</v>
      </c>
      <c r="Z889" s="420">
        <f t="shared" ref="Z889:Z915" ca="1" si="23">POWER($AA$870,AA889)</f>
        <v>1.0673366975571954</v>
      </c>
      <c r="AA889" s="420">
        <f ca="1">AB889-$T$875</f>
        <v>183</v>
      </c>
      <c r="AB889" s="421">
        <f ca="1">EDATE(AB888,3)</f>
        <v>45398</v>
      </c>
      <c r="AC889" s="420" t="s">
        <v>1322</v>
      </c>
      <c r="AD889" s="422">
        <f t="shared" ref="AD889:AD915" si="24">$AD$884</f>
        <v>313089.95714654564</v>
      </c>
      <c r="AE889" s="422">
        <f t="shared" ref="AE889:AE915" ca="1" si="25">AD889/Z889</f>
        <v>293337.57366640912</v>
      </c>
      <c r="AF889" s="404"/>
      <c r="AG889" s="405"/>
    </row>
    <row r="890" spans="5:33" x14ac:dyDescent="0.25">
      <c r="E890" s="355">
        <f t="shared" ref="E890:E915" si="26">K890+E889</f>
        <v>1089202.3714285716</v>
      </c>
      <c r="F890" s="116">
        <f t="shared" si="16"/>
        <v>0.19642857142857142</v>
      </c>
      <c r="G890" s="113">
        <f t="shared" ca="1" si="14"/>
        <v>1.1024904501996764</v>
      </c>
      <c r="H890" s="113">
        <f t="shared" ca="1" si="15"/>
        <v>274</v>
      </c>
      <c r="I890" s="296">
        <f t="shared" ref="I890:I915" ca="1" si="27">EDATE(I889,3)</f>
        <v>45489</v>
      </c>
      <c r="J890" s="113" t="s">
        <v>1323</v>
      </c>
      <c r="K890" s="297">
        <f t="shared" si="17"/>
        <v>363067.45714285719</v>
      </c>
      <c r="L890" s="297">
        <f t="shared" ca="1" si="18"/>
        <v>329315.73881397396</v>
      </c>
      <c r="M890" s="345"/>
      <c r="N890" s="385">
        <f t="shared" ref="N890:N915" si="28">T890+N889</f>
        <v>750000</v>
      </c>
      <c r="O890" s="386">
        <f t="shared" si="19"/>
        <v>0.55144353183888051</v>
      </c>
      <c r="P890" s="387">
        <f t="shared" ca="1" si="20"/>
        <v>1.1024904501996764</v>
      </c>
      <c r="Q890" s="387">
        <f t="shared" ref="Q890:Q915" ca="1" si="29">R890-$T$875</f>
        <v>274</v>
      </c>
      <c r="R890" s="388">
        <f ca="1">EDATE($T$875,9)</f>
        <v>45489</v>
      </c>
      <c r="S890" s="387" t="s">
        <v>1323</v>
      </c>
      <c r="T890" s="389"/>
      <c r="U890" s="389">
        <f t="shared" ca="1" si="21"/>
        <v>0</v>
      </c>
      <c r="V890" s="370"/>
      <c r="W890" s="371"/>
      <c r="X890" s="418">
        <f t="shared" ref="X890:X915" si="30">AD890+X889</f>
        <v>939269.87143963692</v>
      </c>
      <c r="Y890" s="419">
        <f t="shared" si="22"/>
        <v>0.27523436560436193</v>
      </c>
      <c r="Z890" s="420">
        <f t="shared" ca="1" si="23"/>
        <v>1.1024904501996764</v>
      </c>
      <c r="AA890" s="420">
        <f t="shared" ref="AA890:AA915" ca="1" si="31">AB890-$T$875</f>
        <v>274</v>
      </c>
      <c r="AB890" s="421">
        <f t="shared" ref="AB890:AB915" ca="1" si="32">EDATE(AB889,3)</f>
        <v>45489</v>
      </c>
      <c r="AC890" s="420" t="s">
        <v>1323</v>
      </c>
      <c r="AD890" s="422">
        <f t="shared" si="24"/>
        <v>313089.95714654564</v>
      </c>
      <c r="AE890" s="422">
        <f t="shared" ca="1" si="25"/>
        <v>283984.28039883764</v>
      </c>
      <c r="AF890" s="404"/>
      <c r="AG890" s="405"/>
    </row>
    <row r="891" spans="5:33" x14ac:dyDescent="0.25">
      <c r="E891" s="355">
        <f t="shared" si="26"/>
        <v>1452269.8285714288</v>
      </c>
      <c r="F891" s="116">
        <f t="shared" si="16"/>
        <v>0.22857142857142854</v>
      </c>
      <c r="G891" s="113">
        <f t="shared" ca="1" si="14"/>
        <v>1.1392076259523001</v>
      </c>
      <c r="H891" s="113">
        <f t="shared" ca="1" si="15"/>
        <v>366</v>
      </c>
      <c r="I891" s="296">
        <f t="shared" ca="1" si="27"/>
        <v>45581</v>
      </c>
      <c r="J891" s="113" t="s">
        <v>1324</v>
      </c>
      <c r="K891" s="297">
        <f t="shared" si="17"/>
        <v>363067.45714285719</v>
      </c>
      <c r="L891" s="297">
        <f t="shared" ca="1" si="18"/>
        <v>318701.74397696601</v>
      </c>
      <c r="M891" s="345"/>
      <c r="N891" s="385">
        <f t="shared" si="28"/>
        <v>1525000</v>
      </c>
      <c r="O891" s="386">
        <f t="shared" si="19"/>
        <v>0.63675181719467622</v>
      </c>
      <c r="P891" s="387">
        <f t="shared" ca="1" si="20"/>
        <v>1.1392076259523001</v>
      </c>
      <c r="Q891" s="387">
        <f t="shared" ca="1" si="29"/>
        <v>366</v>
      </c>
      <c r="R891" s="388">
        <f ca="1">EDATE($T$875,12)</f>
        <v>45581</v>
      </c>
      <c r="S891" s="387" t="s">
        <v>1324</v>
      </c>
      <c r="T891" s="389">
        <v>775000</v>
      </c>
      <c r="U891" s="389">
        <f t="shared" ca="1" si="21"/>
        <v>680297.41229317419</v>
      </c>
      <c r="V891" s="370"/>
      <c r="W891" s="371"/>
      <c r="X891" s="418">
        <f t="shared" si="30"/>
        <v>1252359.8285861826</v>
      </c>
      <c r="Y891" s="419">
        <f t="shared" si="22"/>
        <v>0.30422499098018746</v>
      </c>
      <c r="Z891" s="420">
        <f t="shared" ca="1" si="23"/>
        <v>1.1392076259523001</v>
      </c>
      <c r="AA891" s="420">
        <f t="shared" ca="1" si="31"/>
        <v>366</v>
      </c>
      <c r="AB891" s="421">
        <f t="shared" ca="1" si="32"/>
        <v>45581</v>
      </c>
      <c r="AC891" s="420" t="s">
        <v>1324</v>
      </c>
      <c r="AD891" s="422">
        <f t="shared" si="24"/>
        <v>313089.95714654564</v>
      </c>
      <c r="AE891" s="422">
        <f t="shared" ca="1" si="25"/>
        <v>274831.33891842037</v>
      </c>
      <c r="AF891" s="404"/>
      <c r="AG891" s="405"/>
    </row>
    <row r="892" spans="5:33" x14ac:dyDescent="0.25">
      <c r="E892" s="355">
        <f t="shared" si="26"/>
        <v>1815337.2857142859</v>
      </c>
      <c r="F892" s="116">
        <f t="shared" si="16"/>
        <v>0.26071428571428568</v>
      </c>
      <c r="G892" s="113">
        <f t="shared" ca="1" si="14"/>
        <v>1.1771476249910613</v>
      </c>
      <c r="H892" s="113">
        <f t="shared" ca="1" si="15"/>
        <v>458</v>
      </c>
      <c r="I892" s="296">
        <f t="shared" ca="1" si="27"/>
        <v>45673</v>
      </c>
      <c r="J892" s="113" t="s">
        <v>1325</v>
      </c>
      <c r="K892" s="297">
        <f t="shared" si="17"/>
        <v>363067.45714285719</v>
      </c>
      <c r="L892" s="297">
        <f t="shared" ca="1" si="18"/>
        <v>308429.84298219532</v>
      </c>
      <c r="M892" s="345"/>
      <c r="N892" s="385">
        <f t="shared" si="28"/>
        <v>1675000</v>
      </c>
      <c r="O892" s="386">
        <f t="shared" si="19"/>
        <v>0.65326309823128192</v>
      </c>
      <c r="P892" s="387">
        <f t="shared" ca="1" si="20"/>
        <v>1.1771476249910613</v>
      </c>
      <c r="Q892" s="387">
        <f t="shared" ca="1" si="29"/>
        <v>458</v>
      </c>
      <c r="R892" s="388">
        <f ca="1">EDATE($T$875,15)</f>
        <v>45673</v>
      </c>
      <c r="S892" s="387" t="s">
        <v>1325</v>
      </c>
      <c r="T892" s="389">
        <v>150000</v>
      </c>
      <c r="U892" s="389">
        <f t="shared" ca="1" si="21"/>
        <v>127426.66834258704</v>
      </c>
      <c r="V892" s="370"/>
      <c r="W892" s="371"/>
      <c r="X892" s="418">
        <f t="shared" si="30"/>
        <v>1565449.7857327282</v>
      </c>
      <c r="Y892" s="419">
        <f t="shared" si="22"/>
        <v>0.33321561635601299</v>
      </c>
      <c r="Z892" s="420">
        <f t="shared" ca="1" si="23"/>
        <v>1.1771476249910613</v>
      </c>
      <c r="AA892" s="420">
        <f t="shared" ca="1" si="31"/>
        <v>458</v>
      </c>
      <c r="AB892" s="421">
        <f t="shared" ca="1" si="32"/>
        <v>45673</v>
      </c>
      <c r="AC892" s="420" t="s">
        <v>1325</v>
      </c>
      <c r="AD892" s="422">
        <f t="shared" si="24"/>
        <v>313089.95714654564</v>
      </c>
      <c r="AE892" s="422">
        <f t="shared" ca="1" si="25"/>
        <v>265973.40087138442</v>
      </c>
      <c r="AF892" s="404"/>
      <c r="AG892" s="405"/>
    </row>
    <row r="893" spans="5:33" x14ac:dyDescent="0.25">
      <c r="E893" s="355">
        <f t="shared" si="26"/>
        <v>2178404.7428571433</v>
      </c>
      <c r="F893" s="116">
        <f t="shared" si="16"/>
        <v>0.29285714285714287</v>
      </c>
      <c r="G893" s="113">
        <f t="shared" ca="1" si="14"/>
        <v>1.2154851927814849</v>
      </c>
      <c r="H893" s="113">
        <f t="shared" ca="1" si="15"/>
        <v>548</v>
      </c>
      <c r="I893" s="296">
        <f t="shared" ca="1" si="27"/>
        <v>45763</v>
      </c>
      <c r="J893" s="113" t="s">
        <v>1326</v>
      </c>
      <c r="K893" s="297">
        <f t="shared" si="17"/>
        <v>363067.45714285719</v>
      </c>
      <c r="L893" s="297">
        <f t="shared" ca="1" si="18"/>
        <v>298701.67016351962</v>
      </c>
      <c r="M893" s="345"/>
      <c r="N893" s="385">
        <f t="shared" si="28"/>
        <v>1825000</v>
      </c>
      <c r="O893" s="386">
        <f t="shared" si="19"/>
        <v>0.66977437926788752</v>
      </c>
      <c r="P893" s="387">
        <f t="shared" ca="1" si="20"/>
        <v>1.2154851927814849</v>
      </c>
      <c r="Q893" s="387">
        <f t="shared" ca="1" si="29"/>
        <v>548</v>
      </c>
      <c r="R893" s="388">
        <f ca="1">EDATE($T$875,18)</f>
        <v>45763</v>
      </c>
      <c r="S893" s="387" t="s">
        <v>1326</v>
      </c>
      <c r="T893" s="389">
        <v>150000</v>
      </c>
      <c r="U893" s="389">
        <f t="shared" ca="1" si="21"/>
        <v>123407.50910897061</v>
      </c>
      <c r="V893" s="370"/>
      <c r="W893" s="371"/>
      <c r="X893" s="418">
        <f t="shared" si="30"/>
        <v>1878539.7428792738</v>
      </c>
      <c r="Y893" s="419">
        <f t="shared" si="22"/>
        <v>0.36220624173183846</v>
      </c>
      <c r="Z893" s="420">
        <f t="shared" ca="1" si="23"/>
        <v>1.2154851927814849</v>
      </c>
      <c r="AA893" s="420">
        <f t="shared" ca="1" si="31"/>
        <v>548</v>
      </c>
      <c r="AB893" s="421">
        <f t="shared" ca="1" si="32"/>
        <v>45763</v>
      </c>
      <c r="AC893" s="420" t="s">
        <v>1326</v>
      </c>
      <c r="AD893" s="422">
        <f t="shared" si="24"/>
        <v>313089.95714654564</v>
      </c>
      <c r="AE893" s="422">
        <f t="shared" ca="1" si="25"/>
        <v>257584.34492326365</v>
      </c>
      <c r="AF893" s="404"/>
      <c r="AG893" s="405"/>
    </row>
    <row r="894" spans="5:33" x14ac:dyDescent="0.25">
      <c r="E894" s="355">
        <f t="shared" si="26"/>
        <v>2541472.2000000007</v>
      </c>
      <c r="F894" s="116">
        <f t="shared" si="16"/>
        <v>0.32499999999999996</v>
      </c>
      <c r="G894" s="113">
        <f t="shared" ca="1" si="14"/>
        <v>1.2555183574852116</v>
      </c>
      <c r="H894" s="113">
        <f t="shared" ca="1" si="15"/>
        <v>639</v>
      </c>
      <c r="I894" s="296">
        <f t="shared" ca="1" si="27"/>
        <v>45854</v>
      </c>
      <c r="J894" s="113" t="s">
        <v>1327</v>
      </c>
      <c r="K894" s="297">
        <f t="shared" si="17"/>
        <v>363067.45714285719</v>
      </c>
      <c r="L894" s="297">
        <f t="shared" ca="1" si="18"/>
        <v>289177.33856960642</v>
      </c>
      <c r="M894" s="345"/>
      <c r="N894" s="385">
        <f t="shared" si="28"/>
        <v>1975000</v>
      </c>
      <c r="O894" s="386">
        <f t="shared" si="19"/>
        <v>0.68628566030449312</v>
      </c>
      <c r="P894" s="387">
        <f t="shared" ca="1" si="20"/>
        <v>1.2555183574852116</v>
      </c>
      <c r="Q894" s="387">
        <f t="shared" ca="1" si="29"/>
        <v>639</v>
      </c>
      <c r="R894" s="388">
        <f ca="1">EDATE($T$875,21)</f>
        <v>45854</v>
      </c>
      <c r="S894" s="387" t="s">
        <v>1327</v>
      </c>
      <c r="T894" s="389">
        <v>150000</v>
      </c>
      <c r="U894" s="389">
        <f t="shared" ca="1" si="21"/>
        <v>119472.56613630742</v>
      </c>
      <c r="V894" s="370"/>
      <c r="W894" s="371"/>
      <c r="X894" s="418">
        <f t="shared" si="30"/>
        <v>2191629.7000258192</v>
      </c>
      <c r="Y894" s="419">
        <f t="shared" si="22"/>
        <v>0.39119686710766394</v>
      </c>
      <c r="Z894" s="420">
        <f t="shared" ca="1" si="23"/>
        <v>1.2555183574852116</v>
      </c>
      <c r="AA894" s="420">
        <f t="shared" ca="1" si="31"/>
        <v>639</v>
      </c>
      <c r="AB894" s="421">
        <f t="shared" ca="1" si="32"/>
        <v>45854</v>
      </c>
      <c r="AC894" s="420" t="s">
        <v>1327</v>
      </c>
      <c r="AD894" s="422">
        <f t="shared" si="24"/>
        <v>313089.95714654564</v>
      </c>
      <c r="AE894" s="422">
        <f t="shared" ca="1" si="25"/>
        <v>249371.0707453622</v>
      </c>
      <c r="AF894" s="404"/>
      <c r="AG894" s="405"/>
    </row>
    <row r="895" spans="5:33" x14ac:dyDescent="0.25">
      <c r="E895" s="355">
        <f t="shared" si="26"/>
        <v>2904539.657142858</v>
      </c>
      <c r="F895" s="116">
        <f t="shared" si="16"/>
        <v>0.35714285714285715</v>
      </c>
      <c r="G895" s="113">
        <f t="shared" ca="1" si="14"/>
        <v>1.2973319515930612</v>
      </c>
      <c r="H895" s="113">
        <f t="shared" ca="1" si="15"/>
        <v>731</v>
      </c>
      <c r="I895" s="296">
        <f t="shared" ca="1" si="27"/>
        <v>45946</v>
      </c>
      <c r="J895" s="113" t="s">
        <v>1328</v>
      </c>
      <c r="K895" s="297">
        <f t="shared" si="17"/>
        <v>363067.45714285719</v>
      </c>
      <c r="L895" s="297">
        <f t="shared" ca="1" si="18"/>
        <v>279857.02248143032</v>
      </c>
      <c r="M895" s="345"/>
      <c r="N895" s="385">
        <f t="shared" si="28"/>
        <v>2125000</v>
      </c>
      <c r="O895" s="386">
        <f t="shared" si="19"/>
        <v>0.70279694134109871</v>
      </c>
      <c r="P895" s="387">
        <f t="shared" ca="1" si="20"/>
        <v>1.2973319515930612</v>
      </c>
      <c r="Q895" s="387">
        <f t="shared" ca="1" si="29"/>
        <v>731</v>
      </c>
      <c r="R895" s="388">
        <f ca="1">EDATE($T$875,24)</f>
        <v>45946</v>
      </c>
      <c r="S895" s="387" t="s">
        <v>1328</v>
      </c>
      <c r="T895" s="389">
        <v>150000</v>
      </c>
      <c r="U895" s="389">
        <f t="shared" ca="1" si="21"/>
        <v>115621.91142814852</v>
      </c>
      <c r="V895" s="370"/>
      <c r="W895" s="371"/>
      <c r="X895" s="418">
        <f t="shared" si="30"/>
        <v>2504719.6571723651</v>
      </c>
      <c r="Y895" s="419">
        <f t="shared" si="22"/>
        <v>0.42018749248348947</v>
      </c>
      <c r="Z895" s="420">
        <f t="shared" ca="1" si="23"/>
        <v>1.2973319515930612</v>
      </c>
      <c r="AA895" s="420">
        <f t="shared" ca="1" si="31"/>
        <v>731</v>
      </c>
      <c r="AB895" s="421">
        <f t="shared" ca="1" si="32"/>
        <v>45946</v>
      </c>
      <c r="AC895" s="420" t="s">
        <v>1328</v>
      </c>
      <c r="AD895" s="422">
        <f t="shared" si="24"/>
        <v>313089.95714654564</v>
      </c>
      <c r="AE895" s="422">
        <f t="shared" ca="1" si="25"/>
        <v>241333.72862827146</v>
      </c>
      <c r="AF895" s="404"/>
      <c r="AG895" s="405"/>
    </row>
    <row r="896" spans="5:33" x14ac:dyDescent="0.25">
      <c r="E896" s="355">
        <f t="shared" si="26"/>
        <v>3267607.1142857154</v>
      </c>
      <c r="F896" s="116">
        <f t="shared" si="16"/>
        <v>0.38928571428571429</v>
      </c>
      <c r="G896" s="113">
        <f t="shared" ca="1" si="14"/>
        <v>1.3405380993356646</v>
      </c>
      <c r="H896" s="113">
        <f t="shared" ca="1" si="15"/>
        <v>823</v>
      </c>
      <c r="I896" s="296">
        <f t="shared" ca="1" si="27"/>
        <v>46038</v>
      </c>
      <c r="J896" s="113" t="s">
        <v>1329</v>
      </c>
      <c r="K896" s="297">
        <f t="shared" si="17"/>
        <v>363067.45714285719</v>
      </c>
      <c r="L896" s="297">
        <f t="shared" ca="1" si="18"/>
        <v>270837.10438575665</v>
      </c>
      <c r="M896" s="345"/>
      <c r="N896" s="385">
        <f t="shared" si="28"/>
        <v>2275000</v>
      </c>
      <c r="O896" s="386">
        <f t="shared" si="19"/>
        <v>0.71930822237770442</v>
      </c>
      <c r="P896" s="387">
        <f t="shared" ca="1" si="20"/>
        <v>1.3405380993356646</v>
      </c>
      <c r="Q896" s="387">
        <f t="shared" ca="1" si="29"/>
        <v>823</v>
      </c>
      <c r="R896" s="388">
        <f ca="1">EDATE($T$875,27)</f>
        <v>46038</v>
      </c>
      <c r="S896" s="387" t="s">
        <v>1329</v>
      </c>
      <c r="T896" s="389">
        <v>150000</v>
      </c>
      <c r="U896" s="389">
        <f t="shared" ca="1" si="21"/>
        <v>111895.36505850602</v>
      </c>
      <c r="V896" s="370"/>
      <c r="W896" s="371"/>
      <c r="X896" s="418">
        <f t="shared" si="30"/>
        <v>2817809.614318911</v>
      </c>
      <c r="Y896" s="419">
        <f t="shared" si="22"/>
        <v>0.449178117859315</v>
      </c>
      <c r="Z896" s="420">
        <f t="shared" ca="1" si="23"/>
        <v>1.3405380993356646</v>
      </c>
      <c r="AA896" s="420">
        <f t="shared" ca="1" si="31"/>
        <v>823</v>
      </c>
      <c r="AB896" s="421">
        <f t="shared" ca="1" si="32"/>
        <v>46038</v>
      </c>
      <c r="AC896" s="420" t="s">
        <v>1329</v>
      </c>
      <c r="AD896" s="422">
        <f t="shared" si="24"/>
        <v>313089.95714654564</v>
      </c>
      <c r="AE896" s="422">
        <f t="shared" ca="1" si="25"/>
        <v>233555.43367376487</v>
      </c>
      <c r="AF896" s="404"/>
      <c r="AG896" s="405"/>
    </row>
    <row r="897" spans="5:33" x14ac:dyDescent="0.25">
      <c r="E897" s="355">
        <f t="shared" si="26"/>
        <v>3630674.5714285728</v>
      </c>
      <c r="F897" s="116">
        <f t="shared" si="16"/>
        <v>0.42142857142857149</v>
      </c>
      <c r="G897" s="113">
        <f t="shared" ca="1" si="14"/>
        <v>1.3841969991778291</v>
      </c>
      <c r="H897" s="113">
        <f t="shared" ca="1" si="15"/>
        <v>913</v>
      </c>
      <c r="I897" s="296">
        <f t="shared" ca="1" si="27"/>
        <v>46128</v>
      </c>
      <c r="J897" s="113" t="s">
        <v>1330</v>
      </c>
      <c r="K897" s="297">
        <f t="shared" si="17"/>
        <v>363067.45714285719</v>
      </c>
      <c r="L897" s="297">
        <f t="shared" ca="1" si="18"/>
        <v>262294.64256786299</v>
      </c>
      <c r="M897" s="345"/>
      <c r="N897" s="385">
        <f t="shared" si="28"/>
        <v>2425000</v>
      </c>
      <c r="O897" s="386">
        <f t="shared" si="19"/>
        <v>0.73581950341431002</v>
      </c>
      <c r="P897" s="387">
        <f t="shared" ca="1" si="20"/>
        <v>1.3841969991778291</v>
      </c>
      <c r="Q897" s="387">
        <f t="shared" ca="1" si="29"/>
        <v>913</v>
      </c>
      <c r="R897" s="388">
        <f ca="1">EDATE($T$875,30)</f>
        <v>46128</v>
      </c>
      <c r="S897" s="387" t="s">
        <v>1330</v>
      </c>
      <c r="T897" s="389">
        <v>150000</v>
      </c>
      <c r="U897" s="389">
        <f t="shared" ca="1" si="21"/>
        <v>108366.07801425335</v>
      </c>
      <c r="V897" s="370"/>
      <c r="W897" s="371"/>
      <c r="X897" s="418">
        <f t="shared" si="30"/>
        <v>3130899.5714654569</v>
      </c>
      <c r="Y897" s="419">
        <f t="shared" si="22"/>
        <v>0.47816874323514053</v>
      </c>
      <c r="Z897" s="420">
        <f t="shared" ca="1" si="23"/>
        <v>1.3841969991778291</v>
      </c>
      <c r="AA897" s="420">
        <f t="shared" ca="1" si="31"/>
        <v>913</v>
      </c>
      <c r="AB897" s="421">
        <f t="shared" ca="1" si="32"/>
        <v>46128</v>
      </c>
      <c r="AC897" s="420" t="s">
        <v>1330</v>
      </c>
      <c r="AD897" s="422">
        <f t="shared" si="24"/>
        <v>313089.95714654564</v>
      </c>
      <c r="AE897" s="422">
        <f t="shared" ca="1" si="25"/>
        <v>226188.87147747868</v>
      </c>
      <c r="AF897" s="404"/>
      <c r="AG897" s="405"/>
    </row>
    <row r="898" spans="5:33" x14ac:dyDescent="0.25">
      <c r="E898" s="355">
        <f t="shared" si="26"/>
        <v>3993742.0285714301</v>
      </c>
      <c r="F898" s="116">
        <f t="shared" si="16"/>
        <v>0.45357142857142863</v>
      </c>
      <c r="G898" s="113">
        <f t="shared" ca="1" si="14"/>
        <v>1.4297868482188383</v>
      </c>
      <c r="H898" s="113">
        <f t="shared" ca="1" si="15"/>
        <v>1004</v>
      </c>
      <c r="I898" s="296">
        <f t="shared" ca="1" si="27"/>
        <v>46219</v>
      </c>
      <c r="J898" s="113" t="s">
        <v>1331</v>
      </c>
      <c r="K898" s="297">
        <f t="shared" si="17"/>
        <v>363067.45714285719</v>
      </c>
      <c r="L898" s="297">
        <f t="shared" ca="1" si="18"/>
        <v>253931.17694091934</v>
      </c>
      <c r="M898" s="345"/>
      <c r="N898" s="385">
        <f t="shared" si="28"/>
        <v>2575000</v>
      </c>
      <c r="O898" s="386">
        <f t="shared" si="19"/>
        <v>0.75233078445091561</v>
      </c>
      <c r="P898" s="387">
        <f t="shared" ca="1" si="20"/>
        <v>1.4297868482188383</v>
      </c>
      <c r="Q898" s="387">
        <f t="shared" ca="1" si="29"/>
        <v>1004</v>
      </c>
      <c r="R898" s="388">
        <f ca="1">EDATE($T$875,33)</f>
        <v>46219</v>
      </c>
      <c r="S898" s="387" t="s">
        <v>1331</v>
      </c>
      <c r="T898" s="389">
        <v>150000</v>
      </c>
      <c r="U898" s="389">
        <f t="shared" ca="1" si="21"/>
        <v>104910.74259555752</v>
      </c>
      <c r="V898" s="370"/>
      <c r="W898" s="371"/>
      <c r="X898" s="418">
        <f t="shared" si="30"/>
        <v>3443989.5286120027</v>
      </c>
      <c r="Y898" s="419">
        <f t="shared" si="22"/>
        <v>0.507159368610966</v>
      </c>
      <c r="Z898" s="420">
        <f t="shared" ca="1" si="23"/>
        <v>1.4297868482188383</v>
      </c>
      <c r="AA898" s="420">
        <f t="shared" ca="1" si="31"/>
        <v>1004</v>
      </c>
      <c r="AB898" s="421">
        <f t="shared" ca="1" si="32"/>
        <v>46219</v>
      </c>
      <c r="AC898" s="420" t="s">
        <v>1331</v>
      </c>
      <c r="AD898" s="422">
        <f t="shared" si="24"/>
        <v>313089.95714654564</v>
      </c>
      <c r="AE898" s="422">
        <f t="shared" ca="1" si="25"/>
        <v>218976.66602303588</v>
      </c>
      <c r="AF898" s="404"/>
      <c r="AG898" s="405"/>
    </row>
    <row r="899" spans="5:33" x14ac:dyDescent="0.25">
      <c r="E899" s="355">
        <f t="shared" si="26"/>
        <v>4356809.4857142875</v>
      </c>
      <c r="F899" s="116">
        <f t="shared" si="16"/>
        <v>0.48571428571428582</v>
      </c>
      <c r="G899" s="113">
        <f t="shared" ca="1" si="14"/>
        <v>1.4774042538710439</v>
      </c>
      <c r="H899" s="113">
        <f t="shared" ca="1" si="15"/>
        <v>1096</v>
      </c>
      <c r="I899" s="296">
        <f t="shared" ca="1" si="27"/>
        <v>46311</v>
      </c>
      <c r="J899" s="113" t="s">
        <v>1332</v>
      </c>
      <c r="K899" s="297">
        <f t="shared" si="17"/>
        <v>363067.45714285719</v>
      </c>
      <c r="L899" s="297">
        <f t="shared" ca="1" si="18"/>
        <v>245746.86054379519</v>
      </c>
      <c r="M899" s="345"/>
      <c r="N899" s="385">
        <f t="shared" si="28"/>
        <v>2725000</v>
      </c>
      <c r="O899" s="386">
        <f t="shared" si="19"/>
        <v>0.76884206548752121</v>
      </c>
      <c r="P899" s="387">
        <f t="shared" ca="1" si="20"/>
        <v>1.4774042538710439</v>
      </c>
      <c r="Q899" s="387">
        <f t="shared" ca="1" si="29"/>
        <v>1096</v>
      </c>
      <c r="R899" s="388">
        <f ca="1">EDATE($T$875,36)</f>
        <v>46311</v>
      </c>
      <c r="S899" s="387" t="s">
        <v>1332</v>
      </c>
      <c r="T899" s="389">
        <v>150000</v>
      </c>
      <c r="U899" s="389">
        <f t="shared" ca="1" si="21"/>
        <v>101529.42202987107</v>
      </c>
      <c r="V899" s="370"/>
      <c r="W899" s="371"/>
      <c r="X899" s="418">
        <f t="shared" si="30"/>
        <v>3757079.4857585486</v>
      </c>
      <c r="Y899" s="419">
        <f t="shared" si="22"/>
        <v>0.53614999398679153</v>
      </c>
      <c r="Z899" s="420">
        <f t="shared" ca="1" si="23"/>
        <v>1.4774042538710439</v>
      </c>
      <c r="AA899" s="420">
        <f t="shared" ca="1" si="31"/>
        <v>1096</v>
      </c>
      <c r="AB899" s="421">
        <f t="shared" ca="1" si="32"/>
        <v>46311</v>
      </c>
      <c r="AC899" s="420" t="s">
        <v>1332</v>
      </c>
      <c r="AD899" s="422">
        <f t="shared" si="24"/>
        <v>313089.95714654564</v>
      </c>
      <c r="AE899" s="422">
        <f t="shared" ca="1" si="25"/>
        <v>211918.94928297255</v>
      </c>
      <c r="AF899" s="404"/>
      <c r="AG899" s="405"/>
    </row>
    <row r="900" spans="5:33" x14ac:dyDescent="0.25">
      <c r="E900" s="355">
        <f t="shared" si="26"/>
        <v>4719876.9428571444</v>
      </c>
      <c r="F900" s="116">
        <f t="shared" si="16"/>
        <v>0.5178571428571429</v>
      </c>
      <c r="G900" s="113">
        <f t="shared" ca="1" si="14"/>
        <v>1.5266075024227497</v>
      </c>
      <c r="H900" s="113">
        <f t="shared" ca="1" si="15"/>
        <v>1188</v>
      </c>
      <c r="I900" s="296">
        <f t="shared" ca="1" si="27"/>
        <v>46403</v>
      </c>
      <c r="J900" s="113" t="s">
        <v>1333</v>
      </c>
      <c r="K900" s="297">
        <f t="shared" si="17"/>
        <v>363067.45714285719</v>
      </c>
      <c r="L900" s="297">
        <f t="shared" ca="1" si="18"/>
        <v>237826.32835661003</v>
      </c>
      <c r="M900" s="345"/>
      <c r="N900" s="385">
        <f t="shared" si="28"/>
        <v>2875000</v>
      </c>
      <c r="O900" s="386">
        <f t="shared" si="19"/>
        <v>0.78535334652412692</v>
      </c>
      <c r="P900" s="387">
        <f t="shared" ca="1" si="20"/>
        <v>1.5266075024227497</v>
      </c>
      <c r="Q900" s="387">
        <f t="shared" ca="1" si="29"/>
        <v>1188</v>
      </c>
      <c r="R900" s="388">
        <f ca="1">EDATE($T$875,39)</f>
        <v>46403</v>
      </c>
      <c r="S900" s="387" t="s">
        <v>1333</v>
      </c>
      <c r="T900" s="389">
        <v>150000</v>
      </c>
      <c r="U900" s="389">
        <f t="shared" ca="1" si="21"/>
        <v>98257.082951543009</v>
      </c>
      <c r="V900" s="370"/>
      <c r="W900" s="371"/>
      <c r="X900" s="418">
        <f t="shared" si="30"/>
        <v>4070169.4429050945</v>
      </c>
      <c r="Y900" s="419">
        <f t="shared" si="22"/>
        <v>0.56514061936261706</v>
      </c>
      <c r="Z900" s="420">
        <f t="shared" ca="1" si="23"/>
        <v>1.5266075024227497</v>
      </c>
      <c r="AA900" s="420">
        <f t="shared" ca="1" si="31"/>
        <v>1188</v>
      </c>
      <c r="AB900" s="421">
        <f t="shared" ca="1" si="32"/>
        <v>46403</v>
      </c>
      <c r="AC900" s="420" t="s">
        <v>1333</v>
      </c>
      <c r="AD900" s="422">
        <f t="shared" si="24"/>
        <v>313089.95714654564</v>
      </c>
      <c r="AE900" s="422">
        <f t="shared" ca="1" si="25"/>
        <v>205088.70593762118</v>
      </c>
      <c r="AF900" s="404"/>
      <c r="AG900" s="405"/>
    </row>
    <row r="901" spans="5:33" x14ac:dyDescent="0.25">
      <c r="E901" s="355">
        <f t="shared" si="26"/>
        <v>5082944.4000000013</v>
      </c>
      <c r="F901" s="116">
        <f t="shared" si="16"/>
        <v>0.55000000000000004</v>
      </c>
      <c r="G901" s="113">
        <f t="shared" ca="1" si="14"/>
        <v>1.5763263459823635</v>
      </c>
      <c r="H901" s="113">
        <f t="shared" ca="1" si="15"/>
        <v>1278</v>
      </c>
      <c r="I901" s="296">
        <f t="shared" ca="1" si="27"/>
        <v>46493</v>
      </c>
      <c r="J901" s="113" t="s">
        <v>1334</v>
      </c>
      <c r="K901" s="297">
        <f t="shared" si="17"/>
        <v>363067.45714285719</v>
      </c>
      <c r="L901" s="297">
        <f t="shared" ca="1" si="18"/>
        <v>230325.05804919111</v>
      </c>
      <c r="M901" s="345"/>
      <c r="N901" s="385">
        <f t="shared" si="28"/>
        <v>3025000</v>
      </c>
      <c r="O901" s="386">
        <f t="shared" si="19"/>
        <v>0.80186462756073251</v>
      </c>
      <c r="P901" s="387">
        <f t="shared" ca="1" si="20"/>
        <v>1.5763263459823635</v>
      </c>
      <c r="Q901" s="387">
        <f t="shared" ca="1" si="29"/>
        <v>1278</v>
      </c>
      <c r="R901" s="388">
        <f ca="1">EDATE($T$875,42)</f>
        <v>46493</v>
      </c>
      <c r="S901" s="387" t="s">
        <v>1334</v>
      </c>
      <c r="T901" s="389">
        <v>150000</v>
      </c>
      <c r="U901" s="389">
        <f t="shared" ca="1" si="21"/>
        <v>95157.960394629001</v>
      </c>
      <c r="V901" s="370"/>
      <c r="W901" s="371"/>
      <c r="X901" s="418">
        <f t="shared" si="30"/>
        <v>4383259.4000516403</v>
      </c>
      <c r="Y901" s="419">
        <f t="shared" si="22"/>
        <v>0.59413124473844259</v>
      </c>
      <c r="Z901" s="420">
        <f t="shared" ca="1" si="23"/>
        <v>1.5763263459823635</v>
      </c>
      <c r="AA901" s="420">
        <f t="shared" ca="1" si="31"/>
        <v>1278</v>
      </c>
      <c r="AB901" s="421">
        <f t="shared" ca="1" si="32"/>
        <v>46493</v>
      </c>
      <c r="AC901" s="420" t="s">
        <v>1334</v>
      </c>
      <c r="AD901" s="422">
        <f t="shared" si="24"/>
        <v>313089.95714654564</v>
      </c>
      <c r="AE901" s="422">
        <f t="shared" ca="1" si="25"/>
        <v>198620.01161404719</v>
      </c>
      <c r="AF901" s="404"/>
      <c r="AG901" s="405"/>
    </row>
    <row r="902" spans="5:33" x14ac:dyDescent="0.25">
      <c r="E902" s="355">
        <f t="shared" si="26"/>
        <v>5446011.8571428582</v>
      </c>
      <c r="F902" s="116">
        <f t="shared" si="16"/>
        <v>0.58214285714285718</v>
      </c>
      <c r="G902" s="113">
        <f t="shared" ca="1" si="14"/>
        <v>1.6282441584002394</v>
      </c>
      <c r="H902" s="113">
        <f t="shared" ca="1" si="15"/>
        <v>1369</v>
      </c>
      <c r="I902" s="296">
        <f t="shared" ca="1" si="27"/>
        <v>46584</v>
      </c>
      <c r="J902" s="113" t="s">
        <v>1335</v>
      </c>
      <c r="K902" s="297">
        <f t="shared" si="17"/>
        <v>363067.45714285719</v>
      </c>
      <c r="L902" s="297">
        <f t="shared" ca="1" si="18"/>
        <v>222980.967117102</v>
      </c>
      <c r="M902" s="345"/>
      <c r="N902" s="385">
        <f t="shared" si="28"/>
        <v>3175000</v>
      </c>
      <c r="O902" s="386">
        <f t="shared" si="19"/>
        <v>0.81837590859733811</v>
      </c>
      <c r="P902" s="387">
        <f t="shared" ca="1" si="20"/>
        <v>1.6282441584002394</v>
      </c>
      <c r="Q902" s="387">
        <f t="shared" ca="1" si="29"/>
        <v>1369</v>
      </c>
      <c r="R902" s="388">
        <f ca="1">EDATE($T$875,45)</f>
        <v>46584</v>
      </c>
      <c r="S902" s="387" t="s">
        <v>1335</v>
      </c>
      <c r="T902" s="389">
        <v>150000</v>
      </c>
      <c r="U902" s="389">
        <f t="shared" ca="1" si="21"/>
        <v>92123.775925212583</v>
      </c>
      <c r="V902" s="370"/>
      <c r="W902" s="371"/>
      <c r="X902" s="418">
        <f t="shared" si="30"/>
        <v>4696349.3571981862</v>
      </c>
      <c r="Y902" s="419">
        <f t="shared" si="22"/>
        <v>0.62312187011426812</v>
      </c>
      <c r="Z902" s="420">
        <f t="shared" ca="1" si="23"/>
        <v>1.6282441584002394</v>
      </c>
      <c r="AA902" s="420">
        <f t="shared" ca="1" si="31"/>
        <v>1369</v>
      </c>
      <c r="AB902" s="421">
        <f t="shared" ca="1" si="32"/>
        <v>46584</v>
      </c>
      <c r="AC902" s="420" t="s">
        <v>1335</v>
      </c>
      <c r="AD902" s="422">
        <f t="shared" si="24"/>
        <v>313089.95714654564</v>
      </c>
      <c r="AE902" s="422">
        <f t="shared" ca="1" si="25"/>
        <v>192286.86037735187</v>
      </c>
      <c r="AF902" s="404"/>
      <c r="AG902" s="405"/>
    </row>
    <row r="903" spans="5:33" x14ac:dyDescent="0.25">
      <c r="E903" s="355">
        <f t="shared" si="26"/>
        <v>5809079.3142857151</v>
      </c>
      <c r="F903" s="116">
        <f t="shared" si="16"/>
        <v>0.61428571428571432</v>
      </c>
      <c r="G903" s="113">
        <f t="shared" ca="1" si="14"/>
        <v>1.6824709563932165</v>
      </c>
      <c r="H903" s="113">
        <f t="shared" ca="1" si="15"/>
        <v>1461</v>
      </c>
      <c r="I903" s="296">
        <f t="shared" ca="1" si="27"/>
        <v>46676</v>
      </c>
      <c r="J903" s="113" t="s">
        <v>1336</v>
      </c>
      <c r="K903" s="297">
        <f t="shared" si="17"/>
        <v>363067.45714285719</v>
      </c>
      <c r="L903" s="297">
        <f t="shared" ca="1" si="18"/>
        <v>215794.18994618492</v>
      </c>
      <c r="M903" s="345"/>
      <c r="N903" s="385">
        <f t="shared" si="28"/>
        <v>3325000</v>
      </c>
      <c r="O903" s="386">
        <f t="shared" si="19"/>
        <v>0.8348871896339437</v>
      </c>
      <c r="P903" s="387">
        <f t="shared" ca="1" si="20"/>
        <v>1.6824709563932165</v>
      </c>
      <c r="Q903" s="387">
        <f t="shared" ca="1" si="29"/>
        <v>1461</v>
      </c>
      <c r="R903" s="388">
        <f ca="1">EDATE($T$875,48)</f>
        <v>46676</v>
      </c>
      <c r="S903" s="387" t="s">
        <v>1336</v>
      </c>
      <c r="T903" s="389">
        <v>150000</v>
      </c>
      <c r="U903" s="389">
        <f t="shared" ca="1" si="21"/>
        <v>89154.585064315936</v>
      </c>
      <c r="V903" s="370"/>
      <c r="W903" s="371"/>
      <c r="X903" s="418">
        <f t="shared" si="30"/>
        <v>5009439.3143447321</v>
      </c>
      <c r="Y903" s="419">
        <f t="shared" si="22"/>
        <v>0.65211249549009365</v>
      </c>
      <c r="Z903" s="420">
        <f t="shared" ca="1" si="23"/>
        <v>1.6824709563932165</v>
      </c>
      <c r="AA903" s="420">
        <f t="shared" ca="1" si="31"/>
        <v>1461</v>
      </c>
      <c r="AB903" s="421">
        <f t="shared" ca="1" si="32"/>
        <v>46676</v>
      </c>
      <c r="AC903" s="420" t="s">
        <v>1336</v>
      </c>
      <c r="AD903" s="422">
        <f t="shared" si="24"/>
        <v>313089.95714654564</v>
      </c>
      <c r="AE903" s="422">
        <f t="shared" ca="1" si="25"/>
        <v>186089.36811469821</v>
      </c>
      <c r="AF903" s="404"/>
      <c r="AG903" s="405"/>
    </row>
    <row r="904" spans="5:33" x14ac:dyDescent="0.25">
      <c r="E904" s="355">
        <f t="shared" si="26"/>
        <v>6172146.771428572</v>
      </c>
      <c r="F904" s="116">
        <f t="shared" si="16"/>
        <v>0.64642857142857135</v>
      </c>
      <c r="G904" s="113">
        <f t="shared" ca="1" si="14"/>
        <v>1.7385037154918426</v>
      </c>
      <c r="H904" s="113">
        <f t="shared" ca="1" si="15"/>
        <v>1553</v>
      </c>
      <c r="I904" s="296">
        <f t="shared" ca="1" si="27"/>
        <v>46768</v>
      </c>
      <c r="J904" s="113" t="s">
        <v>1337</v>
      </c>
      <c r="K904" s="297">
        <f t="shared" si="17"/>
        <v>363067.45714285719</v>
      </c>
      <c r="L904" s="297">
        <f t="shared" ca="1" si="18"/>
        <v>208839.04584589356</v>
      </c>
      <c r="M904" s="345"/>
      <c r="N904" s="385">
        <f t="shared" si="28"/>
        <v>3475000</v>
      </c>
      <c r="O904" s="386">
        <f t="shared" si="19"/>
        <v>0.85139847067054941</v>
      </c>
      <c r="P904" s="387">
        <f t="shared" ca="1" si="20"/>
        <v>1.7385037154918426</v>
      </c>
      <c r="Q904" s="387">
        <f t="shared" ca="1" si="29"/>
        <v>1553</v>
      </c>
      <c r="R904" s="388">
        <f ca="1">EDATE($T$875,51)</f>
        <v>46768</v>
      </c>
      <c r="S904" s="387" t="s">
        <v>1337</v>
      </c>
      <c r="T904" s="389">
        <v>150000</v>
      </c>
      <c r="U904" s="389">
        <f t="shared" ca="1" si="21"/>
        <v>86281.092564454651</v>
      </c>
      <c r="V904" s="370"/>
      <c r="W904" s="371"/>
      <c r="X904" s="418">
        <f t="shared" si="30"/>
        <v>5322529.271491278</v>
      </c>
      <c r="Y904" s="419">
        <f t="shared" si="22"/>
        <v>0.68110312086591918</v>
      </c>
      <c r="Z904" s="420">
        <f t="shared" ca="1" si="23"/>
        <v>1.7385037154918426</v>
      </c>
      <c r="AA904" s="420">
        <f t="shared" ca="1" si="31"/>
        <v>1553</v>
      </c>
      <c r="AB904" s="421">
        <f t="shared" ca="1" si="32"/>
        <v>46768</v>
      </c>
      <c r="AC904" s="420" t="s">
        <v>1337</v>
      </c>
      <c r="AD904" s="422">
        <f t="shared" si="24"/>
        <v>313089.95714654564</v>
      </c>
      <c r="AE904" s="422">
        <f t="shared" ca="1" si="25"/>
        <v>180091.62382374829</v>
      </c>
      <c r="AF904" s="404"/>
      <c r="AG904" s="405"/>
    </row>
    <row r="905" spans="5:33" x14ac:dyDescent="0.25">
      <c r="E905" s="355">
        <f t="shared" si="26"/>
        <v>6535214.2285714289</v>
      </c>
      <c r="F905" s="116">
        <f t="shared" si="16"/>
        <v>0.67857142857142849</v>
      </c>
      <c r="G905" s="113">
        <f t="shared" ca="1" si="14"/>
        <v>1.7957629943326319</v>
      </c>
      <c r="H905" s="113">
        <f t="shared" ca="1" si="15"/>
        <v>1644</v>
      </c>
      <c r="I905" s="296">
        <f t="shared" ca="1" si="27"/>
        <v>46859</v>
      </c>
      <c r="J905" s="113" t="s">
        <v>1338</v>
      </c>
      <c r="K905" s="297">
        <f t="shared" si="17"/>
        <v>363067.45714285719</v>
      </c>
      <c r="L905" s="297">
        <f t="shared" ca="1" si="18"/>
        <v>202180.05287372888</v>
      </c>
      <c r="M905" s="345"/>
      <c r="N905" s="385">
        <f t="shared" si="28"/>
        <v>3625000</v>
      </c>
      <c r="O905" s="386">
        <f t="shared" si="19"/>
        <v>0.86790975170715501</v>
      </c>
      <c r="P905" s="387">
        <f t="shared" ca="1" si="20"/>
        <v>1.7957629943326319</v>
      </c>
      <c r="Q905" s="387">
        <f t="shared" ca="1" si="29"/>
        <v>1644</v>
      </c>
      <c r="R905" s="388">
        <f ca="1">EDATE($T$875,54)</f>
        <v>46859</v>
      </c>
      <c r="S905" s="387" t="s">
        <v>1338</v>
      </c>
      <c r="T905" s="389">
        <v>150000</v>
      </c>
      <c r="U905" s="389">
        <f t="shared" ca="1" si="21"/>
        <v>83529.953826532234</v>
      </c>
      <c r="V905" s="370"/>
      <c r="W905" s="371"/>
      <c r="X905" s="418">
        <f t="shared" si="30"/>
        <v>5635619.2286378238</v>
      </c>
      <c r="Y905" s="419">
        <f t="shared" si="22"/>
        <v>0.71009374624174471</v>
      </c>
      <c r="Z905" s="420">
        <f t="shared" ca="1" si="23"/>
        <v>1.7957629943326319</v>
      </c>
      <c r="AA905" s="420">
        <f t="shared" ca="1" si="31"/>
        <v>1644</v>
      </c>
      <c r="AB905" s="421">
        <f t="shared" ca="1" si="32"/>
        <v>46859</v>
      </c>
      <c r="AC905" s="420" t="s">
        <v>1338</v>
      </c>
      <c r="AD905" s="422">
        <f t="shared" si="24"/>
        <v>313089.95714654564</v>
      </c>
      <c r="AE905" s="422">
        <f t="shared" ca="1" si="25"/>
        <v>174349.26442667941</v>
      </c>
      <c r="AF905" s="404"/>
      <c r="AG905" s="405"/>
    </row>
    <row r="906" spans="5:33" x14ac:dyDescent="0.25">
      <c r="E906" s="355">
        <f t="shared" si="26"/>
        <v>6898281.6857142858</v>
      </c>
      <c r="F906" s="116">
        <f t="shared" si="16"/>
        <v>0.71071428571428563</v>
      </c>
      <c r="G906" s="113">
        <f t="shared" ca="1" si="14"/>
        <v>1.8549081621618375</v>
      </c>
      <c r="H906" s="113">
        <f t="shared" ca="1" si="15"/>
        <v>1735</v>
      </c>
      <c r="I906" s="296">
        <f t="shared" ca="1" si="27"/>
        <v>46950</v>
      </c>
      <c r="J906" s="113" t="s">
        <v>1339</v>
      </c>
      <c r="K906" s="297">
        <f t="shared" si="17"/>
        <v>363067.45714285719</v>
      </c>
      <c r="L906" s="297">
        <f t="shared" ca="1" si="18"/>
        <v>195733.38699405658</v>
      </c>
      <c r="M906" s="345"/>
      <c r="N906" s="385">
        <f t="shared" si="28"/>
        <v>3775000</v>
      </c>
      <c r="O906" s="386">
        <f t="shared" si="19"/>
        <v>0.8844210327437606</v>
      </c>
      <c r="P906" s="387">
        <f t="shared" ca="1" si="20"/>
        <v>1.8549081621618375</v>
      </c>
      <c r="Q906" s="387">
        <f t="shared" ca="1" si="29"/>
        <v>1735</v>
      </c>
      <c r="R906" s="388">
        <f ca="1">EDATE($T$875,57)</f>
        <v>46950</v>
      </c>
      <c r="S906" s="387" t="s">
        <v>1339</v>
      </c>
      <c r="T906" s="389">
        <v>150000</v>
      </c>
      <c r="U906" s="389">
        <f t="shared" ca="1" si="21"/>
        <v>80866.537254965602</v>
      </c>
      <c r="V906" s="370"/>
      <c r="W906" s="371"/>
      <c r="X906" s="418">
        <f t="shared" si="30"/>
        <v>5948709.1857843697</v>
      </c>
      <c r="Y906" s="419">
        <f t="shared" si="22"/>
        <v>0.73908437161757023</v>
      </c>
      <c r="Z906" s="420">
        <f t="shared" ca="1" si="23"/>
        <v>1.8549081621618375</v>
      </c>
      <c r="AA906" s="420">
        <f t="shared" ca="1" si="31"/>
        <v>1735</v>
      </c>
      <c r="AB906" s="421">
        <f t="shared" ca="1" si="32"/>
        <v>46950</v>
      </c>
      <c r="AC906" s="420" t="s">
        <v>1339</v>
      </c>
      <c r="AD906" s="422">
        <f t="shared" si="24"/>
        <v>313089.95714654564</v>
      </c>
      <c r="AE906" s="422">
        <f t="shared" ca="1" si="25"/>
        <v>168790.00455831143</v>
      </c>
      <c r="AF906" s="404"/>
      <c r="AG906" s="405"/>
    </row>
    <row r="907" spans="5:33" x14ac:dyDescent="0.25">
      <c r="E907" s="355">
        <f t="shared" si="26"/>
        <v>7261349.1428571427</v>
      </c>
      <c r="F907" s="116">
        <f t="shared" si="16"/>
        <v>0.74285714285714277</v>
      </c>
      <c r="G907" s="113">
        <f t="shared" ca="1" si="14"/>
        <v>1.9166837439664115</v>
      </c>
      <c r="H907" s="113">
        <f t="shared" ca="1" si="15"/>
        <v>1827</v>
      </c>
      <c r="I907" s="296">
        <f t="shared" ca="1" si="27"/>
        <v>47042</v>
      </c>
      <c r="J907" s="113" t="s">
        <v>1340</v>
      </c>
      <c r="K907" s="297">
        <f t="shared" si="17"/>
        <v>363067.45714285719</v>
      </c>
      <c r="L907" s="297">
        <f t="shared" ca="1" si="18"/>
        <v>189424.81162360174</v>
      </c>
      <c r="M907" s="345"/>
      <c r="N907" s="385">
        <f t="shared" si="28"/>
        <v>3925000</v>
      </c>
      <c r="O907" s="386">
        <f t="shared" si="19"/>
        <v>0.9009323137803662</v>
      </c>
      <c r="P907" s="387">
        <f t="shared" ca="1" si="20"/>
        <v>1.9166837439664115</v>
      </c>
      <c r="Q907" s="387">
        <f t="shared" ca="1" si="29"/>
        <v>1827</v>
      </c>
      <c r="R907" s="388">
        <f ca="1">EDATE($T$875,60)</f>
        <v>47042</v>
      </c>
      <c r="S907" s="387" t="s">
        <v>1340</v>
      </c>
      <c r="T907" s="389">
        <v>150000</v>
      </c>
      <c r="U907" s="389">
        <f t="shared" ca="1" si="21"/>
        <v>78260.172275259116</v>
      </c>
      <c r="V907" s="370"/>
      <c r="W907" s="371"/>
      <c r="X907" s="418">
        <f t="shared" si="30"/>
        <v>6261799.1429309156</v>
      </c>
      <c r="Y907" s="419">
        <f t="shared" si="22"/>
        <v>0.76807499699339576</v>
      </c>
      <c r="Z907" s="420">
        <f t="shared" ca="1" si="23"/>
        <v>1.9166837439664115</v>
      </c>
      <c r="AA907" s="420">
        <f t="shared" ca="1" si="31"/>
        <v>1827</v>
      </c>
      <c r="AB907" s="421">
        <f t="shared" ca="1" si="32"/>
        <v>47042</v>
      </c>
      <c r="AC907" s="420" t="s">
        <v>1340</v>
      </c>
      <c r="AD907" s="422">
        <f t="shared" si="24"/>
        <v>313089.95714654564</v>
      </c>
      <c r="AE907" s="422">
        <f t="shared" ca="1" si="25"/>
        <v>163349.82655961436</v>
      </c>
      <c r="AF907" s="404"/>
      <c r="AG907" s="405"/>
    </row>
    <row r="908" spans="5:33" x14ac:dyDescent="0.25">
      <c r="E908" s="355">
        <f t="shared" si="26"/>
        <v>7624416.5999999996</v>
      </c>
      <c r="F908" s="116">
        <f t="shared" si="16"/>
        <v>0.7749999999999998</v>
      </c>
      <c r="G908" s="113">
        <f t="shared" ca="1" si="14"/>
        <v>1.9805166904347149</v>
      </c>
      <c r="H908" s="113">
        <f t="shared" ca="1" si="15"/>
        <v>1919</v>
      </c>
      <c r="I908" s="296">
        <f t="shared" ca="1" si="27"/>
        <v>47134</v>
      </c>
      <c r="J908" s="113" t="s">
        <v>1341</v>
      </c>
      <c r="K908" s="297">
        <f t="shared" si="17"/>
        <v>363067.45714285719</v>
      </c>
      <c r="L908" s="297">
        <f t="shared" ca="1" si="18"/>
        <v>183319.56448353155</v>
      </c>
      <c r="M908" s="345"/>
      <c r="N908" s="385">
        <f t="shared" si="28"/>
        <v>4075000</v>
      </c>
      <c r="O908" s="386">
        <f t="shared" si="19"/>
        <v>0.91744359481697191</v>
      </c>
      <c r="P908" s="387">
        <f t="shared" ca="1" si="20"/>
        <v>1.9805166904347149</v>
      </c>
      <c r="Q908" s="387">
        <f t="shared" ca="1" si="29"/>
        <v>1919</v>
      </c>
      <c r="R908" s="388">
        <f ca="1">EDATE($T$875,63)</f>
        <v>47134</v>
      </c>
      <c r="S908" s="387" t="s">
        <v>1341</v>
      </c>
      <c r="T908" s="389">
        <v>150000</v>
      </c>
      <c r="U908" s="389">
        <f t="shared" ca="1" si="21"/>
        <v>75737.811614743652</v>
      </c>
      <c r="V908" s="370"/>
      <c r="W908" s="371"/>
      <c r="X908" s="418">
        <f t="shared" si="30"/>
        <v>6574889.1000774615</v>
      </c>
      <c r="Y908" s="419">
        <f t="shared" si="22"/>
        <v>0.79706562236922129</v>
      </c>
      <c r="Z908" s="420">
        <f t="shared" ca="1" si="23"/>
        <v>1.9805166904347149</v>
      </c>
      <c r="AA908" s="420">
        <f t="shared" ca="1" si="31"/>
        <v>1919</v>
      </c>
      <c r="AB908" s="421">
        <f t="shared" ca="1" si="32"/>
        <v>47134</v>
      </c>
      <c r="AC908" s="420" t="s">
        <v>1341</v>
      </c>
      <c r="AD908" s="422">
        <f t="shared" si="24"/>
        <v>313089.95714654564</v>
      </c>
      <c r="AE908" s="422">
        <f t="shared" ca="1" si="25"/>
        <v>158084.98795222156</v>
      </c>
      <c r="AF908" s="404"/>
      <c r="AG908" s="405"/>
    </row>
    <row r="909" spans="5:33" x14ac:dyDescent="0.25">
      <c r="E909" s="355">
        <f t="shared" si="26"/>
        <v>7987484.0571428565</v>
      </c>
      <c r="F909" s="116">
        <f t="shared" si="16"/>
        <v>0.80714285714285694</v>
      </c>
      <c r="G909" s="113">
        <f t="shared" ca="1" si="14"/>
        <v>2.045018534780858</v>
      </c>
      <c r="H909" s="113">
        <f t="shared" ca="1" si="15"/>
        <v>2009</v>
      </c>
      <c r="I909" s="296">
        <f t="shared" ca="1" si="27"/>
        <v>47224</v>
      </c>
      <c r="J909" s="113" t="s">
        <v>1342</v>
      </c>
      <c r="K909" s="297">
        <f t="shared" si="17"/>
        <v>363067.45714285719</v>
      </c>
      <c r="L909" s="297">
        <f t="shared" ca="1" si="18"/>
        <v>177537.48974297836</v>
      </c>
      <c r="M909" s="345"/>
      <c r="N909" s="385">
        <f t="shared" si="28"/>
        <v>4225000</v>
      </c>
      <c r="O909" s="386">
        <f t="shared" si="19"/>
        <v>0.9339548758535775</v>
      </c>
      <c r="P909" s="387">
        <f t="shared" ca="1" si="20"/>
        <v>2.045018534780858</v>
      </c>
      <c r="Q909" s="387">
        <f t="shared" ca="1" si="29"/>
        <v>2009</v>
      </c>
      <c r="R909" s="388">
        <f ca="1">EDATE($T$875,66)</f>
        <v>47224</v>
      </c>
      <c r="S909" s="387" t="s">
        <v>1342</v>
      </c>
      <c r="T909" s="389">
        <v>150000</v>
      </c>
      <c r="U909" s="389">
        <f t="shared" ca="1" si="21"/>
        <v>73348.968456207091</v>
      </c>
      <c r="V909" s="370"/>
      <c r="W909" s="371"/>
      <c r="X909" s="418">
        <f t="shared" si="30"/>
        <v>6887979.0572240073</v>
      </c>
      <c r="Y909" s="419">
        <f t="shared" si="22"/>
        <v>0.82605624774504682</v>
      </c>
      <c r="Z909" s="420">
        <f t="shared" ca="1" si="23"/>
        <v>2.045018534780858</v>
      </c>
      <c r="AA909" s="420">
        <f t="shared" ca="1" si="31"/>
        <v>2009</v>
      </c>
      <c r="AB909" s="421">
        <f t="shared" ca="1" si="32"/>
        <v>47224</v>
      </c>
      <c r="AC909" s="420" t="s">
        <v>1342</v>
      </c>
      <c r="AD909" s="422">
        <f t="shared" si="24"/>
        <v>313089.95714654564</v>
      </c>
      <c r="AE909" s="422">
        <f t="shared" ca="1" si="25"/>
        <v>153098.83593798138</v>
      </c>
      <c r="AF909" s="404"/>
      <c r="AG909" s="405"/>
    </row>
    <row r="910" spans="5:33" x14ac:dyDescent="0.25">
      <c r="E910" s="355">
        <f t="shared" si="26"/>
        <v>8350551.5142857134</v>
      </c>
      <c r="F910" s="116">
        <f t="shared" si="16"/>
        <v>0.83928571428571397</v>
      </c>
      <c r="G910" s="113">
        <f t="shared" ca="1" si="14"/>
        <v>2.1123731716873837</v>
      </c>
      <c r="H910" s="113">
        <f t="shared" ca="1" si="15"/>
        <v>2100</v>
      </c>
      <c r="I910" s="296">
        <f t="shared" ca="1" si="27"/>
        <v>47315</v>
      </c>
      <c r="J910" s="113" t="s">
        <v>1343</v>
      </c>
      <c r="K910" s="297">
        <f t="shared" si="17"/>
        <v>363067.45714285719</v>
      </c>
      <c r="L910" s="297">
        <f t="shared" ca="1" si="18"/>
        <v>171876.57086784314</v>
      </c>
      <c r="M910" s="345"/>
      <c r="N910" s="385">
        <f t="shared" si="28"/>
        <v>4375000</v>
      </c>
      <c r="O910" s="386">
        <f t="shared" si="19"/>
        <v>0.9504661568901831</v>
      </c>
      <c r="P910" s="387">
        <f t="shared" ca="1" si="20"/>
        <v>2.1123731716873837</v>
      </c>
      <c r="Q910" s="387">
        <f t="shared" ca="1" si="29"/>
        <v>2100</v>
      </c>
      <c r="R910" s="388">
        <f ca="1">EDATE($T$875,69)</f>
        <v>47315</v>
      </c>
      <c r="S910" s="387" t="s">
        <v>1343</v>
      </c>
      <c r="T910" s="389">
        <v>150000</v>
      </c>
      <c r="U910" s="389">
        <f t="shared" ca="1" si="21"/>
        <v>71010.180403010221</v>
      </c>
      <c r="V910" s="370"/>
      <c r="W910" s="371"/>
      <c r="X910" s="418">
        <f t="shared" si="30"/>
        <v>7201069.0143705532</v>
      </c>
      <c r="Y910" s="419">
        <f t="shared" si="22"/>
        <v>0.85504687312087235</v>
      </c>
      <c r="Z910" s="420">
        <f t="shared" ca="1" si="23"/>
        <v>2.1123731716873837</v>
      </c>
      <c r="AA910" s="420">
        <f t="shared" ca="1" si="31"/>
        <v>2100</v>
      </c>
      <c r="AB910" s="421">
        <f t="shared" ca="1" si="32"/>
        <v>47315</v>
      </c>
      <c r="AC910" s="420" t="s">
        <v>1343</v>
      </c>
      <c r="AD910" s="422">
        <f t="shared" si="24"/>
        <v>313089.95714654564</v>
      </c>
      <c r="AE910" s="422">
        <f t="shared" ca="1" si="25"/>
        <v>148217.16226231298</v>
      </c>
      <c r="AF910" s="404"/>
      <c r="AG910" s="405"/>
    </row>
    <row r="911" spans="5:33" x14ac:dyDescent="0.25">
      <c r="E911" s="355">
        <f t="shared" si="26"/>
        <v>8713618.9714285713</v>
      </c>
      <c r="F911" s="116">
        <f t="shared" si="16"/>
        <v>0.87142857142857122</v>
      </c>
      <c r="G911" s="113">
        <f t="shared" ca="1" si="14"/>
        <v>2.1827233293562553</v>
      </c>
      <c r="H911" s="113">
        <f t="shared" ca="1" si="15"/>
        <v>2192</v>
      </c>
      <c r="I911" s="296">
        <f t="shared" ca="1" si="27"/>
        <v>47407</v>
      </c>
      <c r="J911" s="113" t="s">
        <v>1344</v>
      </c>
      <c r="K911" s="297">
        <f t="shared" si="17"/>
        <v>363067.45714285719</v>
      </c>
      <c r="L911" s="297">
        <f t="shared" ca="1" si="18"/>
        <v>166336.91144444572</v>
      </c>
      <c r="M911" s="345"/>
      <c r="N911" s="385">
        <f t="shared" si="28"/>
        <v>4525000</v>
      </c>
      <c r="O911" s="386">
        <f t="shared" si="19"/>
        <v>0.9669774379267887</v>
      </c>
      <c r="P911" s="387">
        <f t="shared" ca="1" si="20"/>
        <v>2.1827233293562553</v>
      </c>
      <c r="Q911" s="387">
        <f t="shared" ca="1" si="29"/>
        <v>2192</v>
      </c>
      <c r="R911" s="388">
        <f ca="1">EDATE($T$875,72)</f>
        <v>47407</v>
      </c>
      <c r="S911" s="387" t="s">
        <v>1344</v>
      </c>
      <c r="T911" s="389">
        <v>150000</v>
      </c>
      <c r="U911" s="389">
        <f t="shared" ca="1" si="21"/>
        <v>68721.490251464478</v>
      </c>
      <c r="V911" s="370"/>
      <c r="W911" s="371"/>
      <c r="X911" s="418">
        <f t="shared" si="30"/>
        <v>7514158.9715170991</v>
      </c>
      <c r="Y911" s="419">
        <f t="shared" si="22"/>
        <v>0.88403749849669788</v>
      </c>
      <c r="Z911" s="420">
        <f t="shared" ca="1" si="23"/>
        <v>2.1827233293562553</v>
      </c>
      <c r="AA911" s="420">
        <f t="shared" ca="1" si="31"/>
        <v>2192</v>
      </c>
      <c r="AB911" s="421">
        <f t="shared" ca="1" si="32"/>
        <v>47407</v>
      </c>
      <c r="AC911" s="420" t="s">
        <v>1344</v>
      </c>
      <c r="AD911" s="422">
        <f t="shared" si="24"/>
        <v>313089.95714654564</v>
      </c>
      <c r="AE911" s="422">
        <f t="shared" ca="1" si="25"/>
        <v>143440.05625251847</v>
      </c>
      <c r="AF911" s="404"/>
      <c r="AG911" s="405"/>
    </row>
    <row r="912" spans="5:33" x14ac:dyDescent="0.25">
      <c r="E912" s="355">
        <f t="shared" si="26"/>
        <v>9076686.4285714291</v>
      </c>
      <c r="F912" s="116">
        <f t="shared" si="16"/>
        <v>0.90357142857142836</v>
      </c>
      <c r="G912" s="113">
        <f t="shared" ca="1" si="14"/>
        <v>2.2554164180708205</v>
      </c>
      <c r="H912" s="113">
        <f t="shared" ca="1" si="15"/>
        <v>2284</v>
      </c>
      <c r="I912" s="296">
        <f t="shared" ca="1" si="27"/>
        <v>47499</v>
      </c>
      <c r="J912" s="113" t="s">
        <v>1345</v>
      </c>
      <c r="K912" s="297">
        <f t="shared" si="17"/>
        <v>363067.45714285719</v>
      </c>
      <c r="L912" s="297">
        <f t="shared" ca="1" si="18"/>
        <v>160975.797743553</v>
      </c>
      <c r="M912" s="345"/>
      <c r="N912" s="385">
        <f t="shared" si="28"/>
        <v>4675000</v>
      </c>
      <c r="O912" s="386">
        <f t="shared" si="19"/>
        <v>0.9834887189633944</v>
      </c>
      <c r="P912" s="387">
        <f t="shared" ca="1" si="20"/>
        <v>2.2554164180708205</v>
      </c>
      <c r="Q912" s="387">
        <f t="shared" ca="1" si="29"/>
        <v>2284</v>
      </c>
      <c r="R912" s="388">
        <f ca="1">EDATE($T$875,75)</f>
        <v>47499</v>
      </c>
      <c r="S912" s="387" t="s">
        <v>1345</v>
      </c>
      <c r="T912" s="389">
        <v>150000</v>
      </c>
      <c r="U912" s="389">
        <f t="shared" ca="1" si="21"/>
        <v>66506.565616075066</v>
      </c>
      <c r="V912" s="370"/>
      <c r="W912" s="371"/>
      <c r="X912" s="418">
        <f t="shared" si="30"/>
        <v>7827248.9286636449</v>
      </c>
      <c r="Y912" s="419">
        <f t="shared" si="22"/>
        <v>0.91302812387252341</v>
      </c>
      <c r="Z912" s="420">
        <f t="shared" ca="1" si="23"/>
        <v>2.2554164180708205</v>
      </c>
      <c r="AA912" s="420">
        <f t="shared" ca="1" si="31"/>
        <v>2284</v>
      </c>
      <c r="AB912" s="421">
        <f t="shared" ca="1" si="32"/>
        <v>47499</v>
      </c>
      <c r="AC912" s="420" t="s">
        <v>1345</v>
      </c>
      <c r="AD912" s="422">
        <f t="shared" si="24"/>
        <v>313089.95714654564</v>
      </c>
      <c r="AE912" s="422">
        <f t="shared" ca="1" si="25"/>
        <v>138816.91852467245</v>
      </c>
      <c r="AF912" s="404"/>
      <c r="AG912" s="405"/>
    </row>
    <row r="913" spans="5:33" x14ac:dyDescent="0.25">
      <c r="E913" s="355">
        <f t="shared" si="26"/>
        <v>9439753.8857142869</v>
      </c>
      <c r="F913" s="116">
        <f t="shared" si="16"/>
        <v>0.93571428571428561</v>
      </c>
      <c r="G913" s="113">
        <f t="shared" ca="1" si="14"/>
        <v>2.3288712490433423</v>
      </c>
      <c r="H913" s="113">
        <f t="shared" ca="1" si="15"/>
        <v>2374</v>
      </c>
      <c r="I913" s="296">
        <f t="shared" ca="1" si="27"/>
        <v>47589</v>
      </c>
      <c r="J913" s="113" t="s">
        <v>1346</v>
      </c>
      <c r="K913" s="297">
        <f t="shared" si="17"/>
        <v>363067.45714285719</v>
      </c>
      <c r="L913" s="297">
        <f t="shared" ca="1" si="18"/>
        <v>155898.4668182059</v>
      </c>
      <c r="M913" s="345"/>
      <c r="N913" s="385">
        <f t="shared" si="28"/>
        <v>4825000</v>
      </c>
      <c r="O913" s="386">
        <f t="shared" si="19"/>
        <v>1</v>
      </c>
      <c r="P913" s="387">
        <f t="shared" ca="1" si="20"/>
        <v>2.3288712490433423</v>
      </c>
      <c r="Q913" s="387">
        <f t="shared" ca="1" si="29"/>
        <v>2374</v>
      </c>
      <c r="R913" s="388">
        <f ca="1">EDATE($T$875,78)</f>
        <v>47589</v>
      </c>
      <c r="S913" s="387" t="s">
        <v>1346</v>
      </c>
      <c r="T913" s="389">
        <v>150000</v>
      </c>
      <c r="U913" s="389">
        <f t="shared" ca="1" si="21"/>
        <v>64408.884802720313</v>
      </c>
      <c r="V913" s="370"/>
      <c r="W913" s="371"/>
      <c r="X913" s="418">
        <f t="shared" si="30"/>
        <v>8140338.8858101908</v>
      </c>
      <c r="Y913" s="419">
        <f t="shared" si="22"/>
        <v>0.94201874924834894</v>
      </c>
      <c r="Z913" s="420">
        <f t="shared" ca="1" si="23"/>
        <v>2.3288712490433423</v>
      </c>
      <c r="AA913" s="420">
        <f t="shared" ca="1" si="31"/>
        <v>2374</v>
      </c>
      <c r="AB913" s="421">
        <f t="shared" ca="1" si="32"/>
        <v>47589</v>
      </c>
      <c r="AC913" s="420" t="s">
        <v>1346</v>
      </c>
      <c r="AD913" s="422">
        <f t="shared" si="24"/>
        <v>313089.95714654564</v>
      </c>
      <c r="AE913" s="422">
        <f t="shared" ca="1" si="25"/>
        <v>134438.49988493664</v>
      </c>
      <c r="AF913" s="404"/>
      <c r="AG913" s="405"/>
    </row>
    <row r="914" spans="5:33" x14ac:dyDescent="0.25">
      <c r="E914" s="355">
        <f t="shared" si="26"/>
        <v>9802821.3428571448</v>
      </c>
      <c r="F914" s="116">
        <f t="shared" si="16"/>
        <v>0.96785714285714275</v>
      </c>
      <c r="G914" s="113">
        <f t="shared" ca="1" si="14"/>
        <v>2.4055748459611919</v>
      </c>
      <c r="H914" s="113">
        <f t="shared" ca="1" si="15"/>
        <v>2465</v>
      </c>
      <c r="I914" s="296">
        <f t="shared" ca="1" si="27"/>
        <v>47680</v>
      </c>
      <c r="J914" s="113" t="s">
        <v>1347</v>
      </c>
      <c r="K914" s="297">
        <f t="shared" si="17"/>
        <v>363067.45714285719</v>
      </c>
      <c r="L914" s="297">
        <f t="shared" ca="1" si="18"/>
        <v>150927.52476707366</v>
      </c>
      <c r="M914" s="345"/>
      <c r="N914" s="385">
        <f t="shared" si="28"/>
        <v>4825000</v>
      </c>
      <c r="O914" s="386">
        <f t="shared" si="19"/>
        <v>1</v>
      </c>
      <c r="P914" s="387">
        <f t="shared" ca="1" si="20"/>
        <v>2.4055748459611919</v>
      </c>
      <c r="Q914" s="387">
        <f t="shared" ca="1" si="29"/>
        <v>2465</v>
      </c>
      <c r="R914" s="388">
        <f ca="1">EDATE($T$875,81)</f>
        <v>47680</v>
      </c>
      <c r="S914" s="387" t="s">
        <v>1347</v>
      </c>
      <c r="T914" s="389"/>
      <c r="U914" s="389">
        <f t="shared" ca="1" si="21"/>
        <v>0</v>
      </c>
      <c r="V914" s="370"/>
      <c r="W914" s="371"/>
      <c r="X914" s="418">
        <f t="shared" si="30"/>
        <v>8453428.8429567367</v>
      </c>
      <c r="Y914" s="419">
        <f t="shared" si="22"/>
        <v>0.97100937462417447</v>
      </c>
      <c r="Z914" s="420">
        <f t="shared" ca="1" si="23"/>
        <v>2.4055748459611919</v>
      </c>
      <c r="AA914" s="420">
        <f t="shared" ca="1" si="31"/>
        <v>2465</v>
      </c>
      <c r="AB914" s="421">
        <f t="shared" ca="1" si="32"/>
        <v>47680</v>
      </c>
      <c r="AC914" s="420" t="s">
        <v>1347</v>
      </c>
      <c r="AD914" s="422">
        <f t="shared" si="24"/>
        <v>313089.95714654564</v>
      </c>
      <c r="AE914" s="422">
        <f t="shared" ca="1" si="25"/>
        <v>130151.82532034033</v>
      </c>
      <c r="AF914" s="404"/>
      <c r="AG914" s="405"/>
    </row>
    <row r="915" spans="5:33" x14ac:dyDescent="0.25">
      <c r="E915" s="355">
        <f t="shared" si="26"/>
        <v>10165888.800000003</v>
      </c>
      <c r="F915" s="116">
        <f t="shared" si="16"/>
        <v>1</v>
      </c>
      <c r="G915" s="113">
        <f t="shared" ca="1" si="14"/>
        <v>2.4856897479898215</v>
      </c>
      <c r="H915" s="113">
        <f t="shared" ca="1" si="15"/>
        <v>2557</v>
      </c>
      <c r="I915" s="296">
        <f t="shared" ca="1" si="27"/>
        <v>47772</v>
      </c>
      <c r="J915" s="113" t="s">
        <v>1348</v>
      </c>
      <c r="K915" s="297">
        <f t="shared" si="17"/>
        <v>363067.45714285719</v>
      </c>
      <c r="L915" s="297">
        <f t="shared" ca="1" si="18"/>
        <v>146063.06255093584</v>
      </c>
      <c r="M915" s="345"/>
      <c r="N915" s="385">
        <f t="shared" si="28"/>
        <v>4825000</v>
      </c>
      <c r="O915" s="386">
        <f t="shared" si="19"/>
        <v>1</v>
      </c>
      <c r="P915" s="387">
        <f t="shared" ca="1" si="20"/>
        <v>2.4856897479898215</v>
      </c>
      <c r="Q915" s="387">
        <f t="shared" ca="1" si="29"/>
        <v>2557</v>
      </c>
      <c r="R915" s="388">
        <f ca="1">EDATE($T$875,84)</f>
        <v>47772</v>
      </c>
      <c r="S915" s="387" t="s">
        <v>1348</v>
      </c>
      <c r="T915" s="389"/>
      <c r="U915" s="389">
        <f t="shared" ca="1" si="21"/>
        <v>0</v>
      </c>
      <c r="V915" s="370"/>
      <c r="W915" s="371"/>
      <c r="X915" s="418">
        <f t="shared" si="30"/>
        <v>8766518.8001032826</v>
      </c>
      <c r="Y915" s="419">
        <f t="shared" si="22"/>
        <v>1</v>
      </c>
      <c r="Z915" s="420">
        <f t="shared" ca="1" si="23"/>
        <v>2.4856897479898215</v>
      </c>
      <c r="AA915" s="420">
        <f t="shared" ca="1" si="31"/>
        <v>2557</v>
      </c>
      <c r="AB915" s="421">
        <f t="shared" ca="1" si="32"/>
        <v>47772</v>
      </c>
      <c r="AC915" s="420" t="s">
        <v>1348</v>
      </c>
      <c r="AD915" s="422">
        <f t="shared" si="24"/>
        <v>313089.95714654564</v>
      </c>
      <c r="AE915" s="422">
        <f t="shared" ca="1" si="25"/>
        <v>125956.97327059487</v>
      </c>
      <c r="AF915" s="404"/>
      <c r="AG915" s="405"/>
    </row>
    <row r="916" spans="5:33" ht="15.75" x14ac:dyDescent="0.25">
      <c r="E916" s="356"/>
      <c r="F916" s="357"/>
      <c r="G916" s="532" t="s">
        <v>4</v>
      </c>
      <c r="H916" s="532"/>
      <c r="I916" s="532"/>
      <c r="J916" s="532"/>
      <c r="K916" s="298">
        <f>SUM(K888:K915)</f>
        <v>10165888.800000003</v>
      </c>
      <c r="L916" s="298">
        <f ca="1">SUM(L888:L915)</f>
        <v>6564560.0667696437</v>
      </c>
      <c r="M916" s="358"/>
      <c r="N916" s="390"/>
      <c r="O916" s="391"/>
      <c r="P916" s="536" t="s">
        <v>4</v>
      </c>
      <c r="Q916" s="536"/>
      <c r="R916" s="536"/>
      <c r="S916" s="536"/>
      <c r="T916" s="392">
        <f>SUM(T888:T915)</f>
        <v>4825000</v>
      </c>
      <c r="U916" s="392">
        <f ca="1">SUM(U888:U915)</f>
        <v>3434405.3796637519</v>
      </c>
      <c r="V916" s="393"/>
      <c r="W916" s="371"/>
      <c r="X916" s="423"/>
      <c r="Y916" s="424"/>
      <c r="Z916" s="529" t="s">
        <v>4</v>
      </c>
      <c r="AA916" s="529"/>
      <c r="AB916" s="529"/>
      <c r="AC916" s="529"/>
      <c r="AD916" s="425">
        <f>SUM(AD888:AD915)</f>
        <v>8766518.8001032826</v>
      </c>
      <c r="AE916" s="425">
        <f ca="1">SUM(AE888:AE915)</f>
        <v>5660925.5100000016</v>
      </c>
      <c r="AF916" s="426"/>
      <c r="AG916" s="405"/>
    </row>
    <row r="917" spans="5:33" x14ac:dyDescent="0.25">
      <c r="E917" s="356"/>
      <c r="F917" s="357"/>
      <c r="G917" s="533" t="s">
        <v>1349</v>
      </c>
      <c r="H917" s="533"/>
      <c r="I917" s="533"/>
      <c r="J917" s="533"/>
      <c r="K917" s="298">
        <f>K878</f>
        <v>1129543.2</v>
      </c>
      <c r="L917" s="298">
        <f>K878</f>
        <v>1129543.2</v>
      </c>
      <c r="M917" s="359" t="s">
        <v>1351</v>
      </c>
      <c r="N917" s="390"/>
      <c r="O917" s="391"/>
      <c r="P917" s="537" t="s">
        <v>1349</v>
      </c>
      <c r="Q917" s="537"/>
      <c r="R917" s="537"/>
      <c r="S917" s="537"/>
      <c r="T917" s="392">
        <f>T878</f>
        <v>4259697.8903362472</v>
      </c>
      <c r="U917" s="392">
        <f>T878</f>
        <v>4259697.8903362472</v>
      </c>
      <c r="V917" s="394" t="s">
        <v>1378</v>
      </c>
      <c r="W917" s="371"/>
      <c r="X917" s="423"/>
      <c r="Y917" s="424"/>
      <c r="Z917" s="530" t="s">
        <v>1349</v>
      </c>
      <c r="AA917" s="530"/>
      <c r="AB917" s="530"/>
      <c r="AC917" s="530"/>
      <c r="AD917" s="425">
        <f>AD878</f>
        <v>2033177.76</v>
      </c>
      <c r="AE917" s="425">
        <f>AD878</f>
        <v>2033177.76</v>
      </c>
      <c r="AF917" s="427" t="s">
        <v>1378</v>
      </c>
      <c r="AG917" s="405"/>
    </row>
    <row r="918" spans="5:33" ht="18.75" x14ac:dyDescent="0.25">
      <c r="E918" s="356"/>
      <c r="F918" s="357"/>
      <c r="G918" s="533" t="s">
        <v>1350</v>
      </c>
      <c r="H918" s="533"/>
      <c r="I918" s="533"/>
      <c r="J918" s="533"/>
      <c r="K918" s="298">
        <f>K916+K917</f>
        <v>11295432.000000002</v>
      </c>
      <c r="L918" s="298">
        <f ca="1">L916+L917</f>
        <v>7694103.2667696439</v>
      </c>
      <c r="M918" s="360">
        <f ca="1">1-(L918/K918)</f>
        <v>0.31883054435017244</v>
      </c>
      <c r="N918" s="390"/>
      <c r="O918" s="391"/>
      <c r="P918" s="537" t="s">
        <v>1365</v>
      </c>
      <c r="Q918" s="537"/>
      <c r="R918" s="537"/>
      <c r="S918" s="537"/>
      <c r="T918" s="392">
        <f>T916+T917</f>
        <v>9084697.8903362472</v>
      </c>
      <c r="U918" s="395">
        <f ca="1">U916+U917</f>
        <v>7694103.2699999996</v>
      </c>
      <c r="V918" s="434">
        <f ca="1">L918</f>
        <v>7694103.2667696439</v>
      </c>
      <c r="W918" s="371"/>
      <c r="X918" s="423"/>
      <c r="Y918" s="424"/>
      <c r="Z918" s="530" t="s">
        <v>1365</v>
      </c>
      <c r="AA918" s="530"/>
      <c r="AB918" s="530"/>
      <c r="AC918" s="530"/>
      <c r="AD918" s="425">
        <f>AD916+AD917</f>
        <v>10799696.560103282</v>
      </c>
      <c r="AE918" s="395">
        <f ca="1">AE916+AE917</f>
        <v>7694103.2700000014</v>
      </c>
      <c r="AF918" s="437">
        <f ca="1">L918</f>
        <v>7694103.2667696439</v>
      </c>
      <c r="AG918" s="405"/>
    </row>
    <row r="919" spans="5:33" ht="15.75" thickBot="1" x14ac:dyDescent="0.3">
      <c r="E919" s="361"/>
      <c r="F919" s="362"/>
      <c r="G919" s="535" t="s">
        <v>1362</v>
      </c>
      <c r="H919" s="535"/>
      <c r="I919" s="535"/>
      <c r="J919" s="535"/>
      <c r="K919" s="363">
        <f>K918-K877</f>
        <v>0</v>
      </c>
      <c r="L919" s="364"/>
      <c r="M919" s="365"/>
      <c r="N919" s="396"/>
      <c r="O919" s="397"/>
      <c r="P919" s="539" t="s">
        <v>1362</v>
      </c>
      <c r="Q919" s="539"/>
      <c r="R919" s="539"/>
      <c r="S919" s="539"/>
      <c r="T919" s="398">
        <f>T918-T877</f>
        <v>0</v>
      </c>
      <c r="U919" s="398">
        <f ca="1">U918-L918</f>
        <v>3.2303556799888611E-3</v>
      </c>
      <c r="V919" s="397"/>
      <c r="W919" s="399"/>
      <c r="X919" s="428"/>
      <c r="Y919" s="429"/>
      <c r="Z919" s="531" t="s">
        <v>1362</v>
      </c>
      <c r="AA919" s="531"/>
      <c r="AB919" s="531"/>
      <c r="AC919" s="531"/>
      <c r="AD919" s="430">
        <f>AD918-AD877</f>
        <v>0</v>
      </c>
      <c r="AE919" s="430">
        <f ca="1">AE918-AA878</f>
        <v>3.2303575426340103E-3</v>
      </c>
      <c r="AF919" s="429"/>
      <c r="AG919" s="431"/>
    </row>
    <row r="922" spans="5:33" ht="15.75" thickBot="1" x14ac:dyDescent="0.3"/>
    <row r="923" spans="5:33" ht="15.75" thickBot="1" x14ac:dyDescent="0.3">
      <c r="G923" s="303" t="s">
        <v>1361</v>
      </c>
      <c r="H923" s="304">
        <f>1+K937</f>
        <v>1.0003561643835617</v>
      </c>
    </row>
    <row r="927" spans="5:33" x14ac:dyDescent="0.25">
      <c r="J927" s="540" t="s">
        <v>1368</v>
      </c>
      <c r="K927" s="540"/>
    </row>
    <row r="928" spans="5:33" x14ac:dyDescent="0.25">
      <c r="J928" s="157" t="s">
        <v>1358</v>
      </c>
      <c r="K928" s="316">
        <v>45168</v>
      </c>
    </row>
    <row r="929" spans="5:12" ht="15.75" thickBot="1" x14ac:dyDescent="0.3">
      <c r="G929" s="318" t="s">
        <v>104</v>
      </c>
      <c r="H929" s="318" t="s">
        <v>1366</v>
      </c>
      <c r="J929" s="301" t="s">
        <v>1208</v>
      </c>
      <c r="K929" s="305">
        <v>0.05</v>
      </c>
    </row>
    <row r="930" spans="5:12" ht="15.75" thickBot="1" x14ac:dyDescent="0.3">
      <c r="G930" s="321" t="s">
        <v>954</v>
      </c>
      <c r="H930" s="320">
        <f>VLOOKUP(G930,Table1[[Unit Number]:[PHASE SELLING START DATE]],39,FALSE)</f>
        <v>19123491.164549999</v>
      </c>
      <c r="J930" s="301" t="s">
        <v>1203</v>
      </c>
      <c r="K930" s="319">
        <v>20800407.91353675</v>
      </c>
    </row>
    <row r="931" spans="5:12" x14ac:dyDescent="0.25">
      <c r="J931" s="301" t="s">
        <v>1209</v>
      </c>
      <c r="K931" s="301">
        <f>K930*K929</f>
        <v>1040020.3956768375</v>
      </c>
    </row>
    <row r="932" spans="5:12" ht="15.75" thickBot="1" x14ac:dyDescent="0.3">
      <c r="G932" s="318" t="s">
        <v>104</v>
      </c>
      <c r="H932" s="318" t="s">
        <v>1367</v>
      </c>
      <c r="J932" s="301" t="s">
        <v>1204</v>
      </c>
      <c r="K932" s="322">
        <v>6</v>
      </c>
    </row>
    <row r="933" spans="5:12" ht="15.75" thickBot="1" x14ac:dyDescent="0.3">
      <c r="G933" s="317" t="str">
        <f>G930</f>
        <v>B702</v>
      </c>
      <c r="H933" s="320">
        <f>VLOOKUP(G933,Table1[[Unit Number]:[PHASE SELLING START DATE]],40,FALSE)</f>
        <v>20155491.164549999</v>
      </c>
      <c r="J933" s="301" t="s">
        <v>1205</v>
      </c>
      <c r="K933" s="301">
        <f>(K930-K931)/(K932*K935)</f>
        <v>823349.47991082969</v>
      </c>
    </row>
    <row r="934" spans="5:12" ht="15.75" thickBot="1" x14ac:dyDescent="0.3">
      <c r="J934" s="301" t="s">
        <v>1197</v>
      </c>
      <c r="K934" s="323">
        <v>0.13</v>
      </c>
    </row>
    <row r="935" spans="5:12" x14ac:dyDescent="0.25">
      <c r="J935" s="301" t="s">
        <v>1195</v>
      </c>
      <c r="K935" s="301">
        <v>4</v>
      </c>
    </row>
    <row r="936" spans="5:12" x14ac:dyDescent="0.25">
      <c r="J936" s="301" t="s">
        <v>1196</v>
      </c>
      <c r="K936" s="301">
        <f>K932*K935</f>
        <v>24</v>
      </c>
    </row>
    <row r="937" spans="5:12" x14ac:dyDescent="0.25">
      <c r="J937" s="301" t="s">
        <v>1360</v>
      </c>
      <c r="K937" s="306">
        <f>K934/365</f>
        <v>3.5616438356164383E-4</v>
      </c>
    </row>
    <row r="938" spans="5:12" x14ac:dyDescent="0.25">
      <c r="J938" s="301" t="s">
        <v>1359</v>
      </c>
      <c r="K938" s="307">
        <f>K934/K935</f>
        <v>3.2500000000000001E-2</v>
      </c>
    </row>
    <row r="939" spans="5:12" ht="18.75" x14ac:dyDescent="0.25">
      <c r="J939" s="308" t="s">
        <v>1200</v>
      </c>
      <c r="K939" s="324">
        <f>M967</f>
        <v>0.30093878603853819</v>
      </c>
    </row>
    <row r="940" spans="5:12" ht="47.25" x14ac:dyDescent="0.25">
      <c r="E940" s="295" t="s">
        <v>1364</v>
      </c>
      <c r="F940" s="295" t="s">
        <v>1363</v>
      </c>
      <c r="G940" s="295" t="s">
        <v>1357</v>
      </c>
      <c r="H940" s="295" t="s">
        <v>1354</v>
      </c>
      <c r="I940" s="295" t="s">
        <v>1353</v>
      </c>
      <c r="J940" s="293" t="s">
        <v>1352</v>
      </c>
      <c r="K940" s="294" t="s">
        <v>1355</v>
      </c>
      <c r="L940" s="294" t="s">
        <v>1356</v>
      </c>
    </row>
    <row r="941" spans="5:12" x14ac:dyDescent="0.25">
      <c r="E941" s="297">
        <f>K941</f>
        <v>823349.47991082969</v>
      </c>
      <c r="F941" s="260">
        <f t="shared" ref="F941:F964" si="33">(E941+$K$931)/($K$967)</f>
        <v>8.9583333333333348E-2</v>
      </c>
      <c r="G941" s="113">
        <f>POWER($H$923,H941)</f>
        <v>1.0333038492496451</v>
      </c>
      <c r="H941" s="113">
        <f>I941-$K$928</f>
        <v>92</v>
      </c>
      <c r="I941" s="296">
        <f>EDATE(K928,3)</f>
        <v>45260</v>
      </c>
      <c r="J941" s="113" t="s">
        <v>1321</v>
      </c>
      <c r="K941" s="297">
        <f>$K$933</f>
        <v>823349.47991082969</v>
      </c>
      <c r="L941" s="297">
        <f>K941/G941</f>
        <v>796812.55470859015</v>
      </c>
    </row>
    <row r="942" spans="5:12" x14ac:dyDescent="0.25">
      <c r="E942" s="297">
        <f>K942+E941</f>
        <v>1646698.9598216594</v>
      </c>
      <c r="F942" s="260">
        <f t="shared" si="33"/>
        <v>0.12916666666666668</v>
      </c>
      <c r="G942" s="113">
        <f t="shared" ref="G942:G964" si="34">POWER($H$923,H942)</f>
        <v>1.0673366975571954</v>
      </c>
      <c r="H942" s="113">
        <f t="shared" ref="H942:H964" si="35">I942-$K$928</f>
        <v>183</v>
      </c>
      <c r="I942" s="296">
        <f>EDATE(I941,3)</f>
        <v>45351</v>
      </c>
      <c r="J942" s="113" t="s">
        <v>1322</v>
      </c>
      <c r="K942" s="297">
        <f t="shared" ref="K942:K964" si="36">$K$933</f>
        <v>823349.47991082969</v>
      </c>
      <c r="L942" s="297">
        <f t="shared" ref="L942:L964" si="37">K942/G942</f>
        <v>771405.57594920404</v>
      </c>
    </row>
    <row r="943" spans="5:12" x14ac:dyDescent="0.25">
      <c r="E943" s="297">
        <f t="shared" ref="E943:E964" si="38">K943+E942</f>
        <v>2470048.4397324892</v>
      </c>
      <c r="F943" s="260">
        <f t="shared" si="33"/>
        <v>0.16875000000000001</v>
      </c>
      <c r="G943" s="113">
        <f t="shared" si="34"/>
        <v>1.1020979221726013</v>
      </c>
      <c r="H943" s="113">
        <f t="shared" si="35"/>
        <v>273</v>
      </c>
      <c r="I943" s="296">
        <f t="shared" ref="I943:I964" si="39">EDATE(I942,3)</f>
        <v>45441</v>
      </c>
      <c r="J943" s="113" t="s">
        <v>1323</v>
      </c>
      <c r="K943" s="297">
        <f t="shared" si="36"/>
        <v>823349.47991082969</v>
      </c>
      <c r="L943" s="297">
        <f t="shared" si="37"/>
        <v>747074.70483905298</v>
      </c>
    </row>
    <row r="944" spans="5:12" x14ac:dyDescent="0.25">
      <c r="E944" s="297">
        <f t="shared" si="38"/>
        <v>3293397.9196433187</v>
      </c>
      <c r="F944" s="260">
        <f t="shared" si="33"/>
        <v>0.20833333333333334</v>
      </c>
      <c r="G944" s="113">
        <f t="shared" si="34"/>
        <v>1.1388020252309847</v>
      </c>
      <c r="H944" s="113">
        <f t="shared" si="35"/>
        <v>365</v>
      </c>
      <c r="I944" s="296">
        <f t="shared" si="39"/>
        <v>45533</v>
      </c>
      <c r="J944" s="113" t="s">
        <v>1324</v>
      </c>
      <c r="K944" s="297">
        <f t="shared" si="36"/>
        <v>823349.47991082969</v>
      </c>
      <c r="L944" s="297">
        <f t="shared" si="37"/>
        <v>722996.15004972322</v>
      </c>
    </row>
    <row r="945" spans="5:12" x14ac:dyDescent="0.25">
      <c r="E945" s="297">
        <f t="shared" si="38"/>
        <v>4116747.3995541483</v>
      </c>
      <c r="F945" s="260">
        <f t="shared" si="33"/>
        <v>0.24791666666666665</v>
      </c>
      <c r="G945" s="113">
        <f t="shared" si="34"/>
        <v>1.1767285162044678</v>
      </c>
      <c r="H945" s="113">
        <f t="shared" si="35"/>
        <v>457</v>
      </c>
      <c r="I945" s="296">
        <f t="shared" si="39"/>
        <v>45625</v>
      </c>
      <c r="J945" s="113" t="s">
        <v>1325</v>
      </c>
      <c r="K945" s="297">
        <f t="shared" si="36"/>
        <v>823349.47991082969</v>
      </c>
      <c r="L945" s="297">
        <f t="shared" si="37"/>
        <v>699693.65794460347</v>
      </c>
    </row>
    <row r="946" spans="5:12" x14ac:dyDescent="0.25">
      <c r="E946" s="297">
        <f t="shared" si="38"/>
        <v>4940096.8794649784</v>
      </c>
      <c r="F946" s="260">
        <f t="shared" si="33"/>
        <v>0.28749999999999998</v>
      </c>
      <c r="G946" s="113">
        <f t="shared" si="34"/>
        <v>1.2154851927814849</v>
      </c>
      <c r="H946" s="113">
        <f t="shared" si="35"/>
        <v>548</v>
      </c>
      <c r="I946" s="296">
        <f t="shared" si="39"/>
        <v>45716</v>
      </c>
      <c r="J946" s="113" t="s">
        <v>1326</v>
      </c>
      <c r="K946" s="297">
        <f t="shared" si="36"/>
        <v>823349.47991082969</v>
      </c>
      <c r="L946" s="297">
        <f t="shared" si="37"/>
        <v>677383.38961307949</v>
      </c>
    </row>
    <row r="947" spans="5:12" x14ac:dyDescent="0.25">
      <c r="E947" s="297">
        <f t="shared" si="38"/>
        <v>5763446.3593758084</v>
      </c>
      <c r="F947" s="260">
        <f t="shared" si="33"/>
        <v>0.32708333333333334</v>
      </c>
      <c r="G947" s="113">
        <f t="shared" si="34"/>
        <v>1.2546244932137915</v>
      </c>
      <c r="H947" s="113">
        <f t="shared" si="35"/>
        <v>637</v>
      </c>
      <c r="I947" s="296">
        <f t="shared" si="39"/>
        <v>45805</v>
      </c>
      <c r="J947" s="113" t="s">
        <v>1327</v>
      </c>
      <c r="K947" s="297">
        <f t="shared" si="36"/>
        <v>823349.47991082969</v>
      </c>
      <c r="L947" s="297">
        <f t="shared" si="37"/>
        <v>656251.71863317722</v>
      </c>
    </row>
    <row r="948" spans="5:12" x14ac:dyDescent="0.25">
      <c r="E948" s="297">
        <f t="shared" si="38"/>
        <v>6586795.8392866384</v>
      </c>
      <c r="F948" s="260">
        <f t="shared" si="33"/>
        <v>0.3666666666666667</v>
      </c>
      <c r="G948" s="113">
        <f t="shared" si="34"/>
        <v>1.296408318200696</v>
      </c>
      <c r="H948" s="113">
        <f t="shared" si="35"/>
        <v>729</v>
      </c>
      <c r="I948" s="296">
        <f t="shared" si="39"/>
        <v>45897</v>
      </c>
      <c r="J948" s="113" t="s">
        <v>1328</v>
      </c>
      <c r="K948" s="297">
        <f t="shared" si="36"/>
        <v>823349.47991082969</v>
      </c>
      <c r="L948" s="297">
        <f t="shared" si="37"/>
        <v>635100.42966522183</v>
      </c>
    </row>
    <row r="949" spans="5:12" x14ac:dyDescent="0.25">
      <c r="E949" s="297">
        <f t="shared" si="38"/>
        <v>7410145.3191974685</v>
      </c>
      <c r="F949" s="260">
        <f t="shared" si="33"/>
        <v>0.40625000000000011</v>
      </c>
      <c r="G949" s="113">
        <f t="shared" si="34"/>
        <v>1.339583705396038</v>
      </c>
      <c r="H949" s="113">
        <f t="shared" si="35"/>
        <v>821</v>
      </c>
      <c r="I949" s="296">
        <f t="shared" si="39"/>
        <v>45989</v>
      </c>
      <c r="J949" s="113" t="s">
        <v>1329</v>
      </c>
      <c r="K949" s="297">
        <f t="shared" si="36"/>
        <v>823349.47991082969</v>
      </c>
      <c r="L949" s="297">
        <f t="shared" si="37"/>
        <v>614630.85628337984</v>
      </c>
    </row>
    <row r="950" spans="5:12" x14ac:dyDescent="0.25">
      <c r="E950" s="297">
        <f t="shared" si="38"/>
        <v>8233494.7991082985</v>
      </c>
      <c r="F950" s="260">
        <f t="shared" si="33"/>
        <v>0.44583333333333347</v>
      </c>
      <c r="G950" s="113">
        <f t="shared" si="34"/>
        <v>1.3841969991778291</v>
      </c>
      <c r="H950" s="113">
        <f t="shared" si="35"/>
        <v>913</v>
      </c>
      <c r="I950" s="296">
        <f t="shared" si="39"/>
        <v>46081</v>
      </c>
      <c r="J950" s="113" t="s">
        <v>1330</v>
      </c>
      <c r="K950" s="297">
        <f t="shared" si="36"/>
        <v>823349.47991082969</v>
      </c>
      <c r="L950" s="297">
        <f t="shared" si="37"/>
        <v>594821.02648674592</v>
      </c>
    </row>
    <row r="951" spans="5:12" x14ac:dyDescent="0.25">
      <c r="E951" s="297">
        <f t="shared" si="38"/>
        <v>9056844.2790191285</v>
      </c>
      <c r="F951" s="260">
        <f t="shared" si="33"/>
        <v>0.48541666666666683</v>
      </c>
      <c r="G951" s="113">
        <f t="shared" si="34"/>
        <v>1.4287689137762631</v>
      </c>
      <c r="H951" s="113">
        <f t="shared" si="35"/>
        <v>1002</v>
      </c>
      <c r="I951" s="296">
        <f t="shared" si="39"/>
        <v>46170</v>
      </c>
      <c r="J951" s="113" t="s">
        <v>1331</v>
      </c>
      <c r="K951" s="297">
        <f t="shared" si="36"/>
        <v>823349.47991082969</v>
      </c>
      <c r="L951" s="297">
        <f t="shared" si="37"/>
        <v>576264.97327318066</v>
      </c>
    </row>
    <row r="952" spans="5:12" x14ac:dyDescent="0.25">
      <c r="E952" s="297">
        <f t="shared" si="38"/>
        <v>9880193.7589299586</v>
      </c>
      <c r="F952" s="260">
        <f t="shared" si="33"/>
        <v>0.52500000000000013</v>
      </c>
      <c r="G952" s="113">
        <f t="shared" si="34"/>
        <v>1.4763524182932477</v>
      </c>
      <c r="H952" s="113">
        <f t="shared" si="35"/>
        <v>1094</v>
      </c>
      <c r="I952" s="296">
        <f t="shared" si="39"/>
        <v>46262</v>
      </c>
      <c r="J952" s="113" t="s">
        <v>1332</v>
      </c>
      <c r="K952" s="297">
        <f t="shared" si="36"/>
        <v>823349.47991082969</v>
      </c>
      <c r="L952" s="297">
        <f t="shared" si="37"/>
        <v>557691.69319522718</v>
      </c>
    </row>
    <row r="953" spans="5:12" x14ac:dyDescent="0.25">
      <c r="E953" s="297">
        <f t="shared" si="38"/>
        <v>10703543.238840789</v>
      </c>
      <c r="F953" s="260">
        <f t="shared" si="33"/>
        <v>0.56458333333333355</v>
      </c>
      <c r="G953" s="113">
        <f t="shared" si="34"/>
        <v>1.5255206366714351</v>
      </c>
      <c r="H953" s="113">
        <f t="shared" si="35"/>
        <v>1186</v>
      </c>
      <c r="I953" s="296">
        <f t="shared" si="39"/>
        <v>46354</v>
      </c>
      <c r="J953" s="113" t="s">
        <v>1333</v>
      </c>
      <c r="K953" s="297">
        <f t="shared" si="36"/>
        <v>823349.47991082969</v>
      </c>
      <c r="L953" s="297">
        <f t="shared" si="37"/>
        <v>539717.03831376077</v>
      </c>
    </row>
    <row r="954" spans="5:12" x14ac:dyDescent="0.25">
      <c r="E954" s="297">
        <f t="shared" si="38"/>
        <v>11526892.718751619</v>
      </c>
      <c r="F954" s="260">
        <f t="shared" si="33"/>
        <v>0.60416666666666685</v>
      </c>
      <c r="G954" s="113">
        <f t="shared" si="34"/>
        <v>1.5763263459823635</v>
      </c>
      <c r="H954" s="113">
        <f t="shared" si="35"/>
        <v>1278</v>
      </c>
      <c r="I954" s="296">
        <f t="shared" si="39"/>
        <v>46446</v>
      </c>
      <c r="J954" s="113" t="s">
        <v>1334</v>
      </c>
      <c r="K954" s="297">
        <f t="shared" si="36"/>
        <v>823349.47991082969</v>
      </c>
      <c r="L954" s="297">
        <f t="shared" si="37"/>
        <v>522321.71466862079</v>
      </c>
    </row>
    <row r="955" spans="5:12" x14ac:dyDescent="0.25">
      <c r="E955" s="297">
        <f t="shared" si="38"/>
        <v>12350242.198662449</v>
      </c>
      <c r="F955" s="260">
        <f t="shared" si="33"/>
        <v>0.64375000000000016</v>
      </c>
      <c r="G955" s="113">
        <f t="shared" si="34"/>
        <v>1.6270849325954835</v>
      </c>
      <c r="H955" s="113">
        <f t="shared" si="35"/>
        <v>1367</v>
      </c>
      <c r="I955" s="296">
        <f t="shared" si="39"/>
        <v>46535</v>
      </c>
      <c r="J955" s="113" t="s">
        <v>1335</v>
      </c>
      <c r="K955" s="297">
        <f t="shared" si="36"/>
        <v>823349.47991082969</v>
      </c>
      <c r="L955" s="297">
        <f t="shared" si="37"/>
        <v>506027.35199412366</v>
      </c>
    </row>
    <row r="956" spans="5:12" x14ac:dyDescent="0.25">
      <c r="E956" s="297">
        <f t="shared" si="38"/>
        <v>13173591.678573279</v>
      </c>
      <c r="F956" s="260">
        <f t="shared" si="33"/>
        <v>0.68333333333333357</v>
      </c>
      <c r="G956" s="113">
        <f t="shared" si="34"/>
        <v>1.681273123907012</v>
      </c>
      <c r="H956" s="113">
        <f t="shared" si="35"/>
        <v>1459</v>
      </c>
      <c r="I956" s="296">
        <f t="shared" si="39"/>
        <v>46627</v>
      </c>
      <c r="J956" s="113" t="s">
        <v>1336</v>
      </c>
      <c r="K956" s="297">
        <f t="shared" si="36"/>
        <v>823349.47991082969</v>
      </c>
      <c r="L956" s="297">
        <f t="shared" si="37"/>
        <v>489717.86213860131</v>
      </c>
    </row>
    <row r="957" spans="5:12" x14ac:dyDescent="0.25">
      <c r="E957" s="297">
        <f t="shared" si="38"/>
        <v>13996941.158484109</v>
      </c>
      <c r="F957" s="260">
        <f t="shared" si="33"/>
        <v>0.72291666666666687</v>
      </c>
      <c r="G957" s="113">
        <f t="shared" si="34"/>
        <v>1.7372659905730918</v>
      </c>
      <c r="H957" s="113">
        <f t="shared" si="35"/>
        <v>1551</v>
      </c>
      <c r="I957" s="296">
        <f t="shared" si="39"/>
        <v>46719</v>
      </c>
      <c r="J957" s="113" t="s">
        <v>1337</v>
      </c>
      <c r="K957" s="297">
        <f t="shared" si="36"/>
        <v>823349.47991082969</v>
      </c>
      <c r="L957" s="297">
        <f t="shared" si="37"/>
        <v>473934.03449935839</v>
      </c>
    </row>
    <row r="958" spans="5:12" x14ac:dyDescent="0.25">
      <c r="E958" s="297">
        <f t="shared" si="38"/>
        <v>14820290.638394939</v>
      </c>
      <c r="F958" s="260">
        <f t="shared" si="33"/>
        <v>0.76250000000000029</v>
      </c>
      <c r="G958" s="113">
        <f t="shared" si="34"/>
        <v>1.7951236352296731</v>
      </c>
      <c r="H958" s="113">
        <f t="shared" si="35"/>
        <v>1643</v>
      </c>
      <c r="I958" s="296">
        <f t="shared" si="39"/>
        <v>46811</v>
      </c>
      <c r="J958" s="113" t="s">
        <v>1338</v>
      </c>
      <c r="K958" s="297">
        <f t="shared" si="36"/>
        <v>823349.47991082969</v>
      </c>
      <c r="L958" s="297">
        <f t="shared" si="37"/>
        <v>458658.92674600548</v>
      </c>
    </row>
    <row r="959" spans="5:12" x14ac:dyDescent="0.25">
      <c r="E959" s="297">
        <f t="shared" si="38"/>
        <v>15643640.118305769</v>
      </c>
      <c r="F959" s="260">
        <f t="shared" si="33"/>
        <v>0.80208333333333359</v>
      </c>
      <c r="G959" s="113">
        <f t="shared" si="34"/>
        <v>1.853587563284858</v>
      </c>
      <c r="H959" s="113">
        <f t="shared" si="35"/>
        <v>1733</v>
      </c>
      <c r="I959" s="296">
        <f t="shared" si="39"/>
        <v>46901</v>
      </c>
      <c r="J959" s="113" t="s">
        <v>1339</v>
      </c>
      <c r="K959" s="297">
        <f t="shared" si="36"/>
        <v>823349.47991082969</v>
      </c>
      <c r="L959" s="297">
        <f t="shared" si="37"/>
        <v>444192.38465957379</v>
      </c>
    </row>
    <row r="960" spans="5:12" x14ac:dyDescent="0.25">
      <c r="E960" s="297">
        <f t="shared" si="38"/>
        <v>16466989.598216599</v>
      </c>
      <c r="F960" s="260">
        <f t="shared" si="33"/>
        <v>0.84166666666666701</v>
      </c>
      <c r="G960" s="113">
        <f t="shared" si="34"/>
        <v>1.9153191640635145</v>
      </c>
      <c r="H960" s="113">
        <f t="shared" si="35"/>
        <v>1825</v>
      </c>
      <c r="I960" s="296">
        <f t="shared" si="39"/>
        <v>46993</v>
      </c>
      <c r="J960" s="113" t="s">
        <v>1340</v>
      </c>
      <c r="K960" s="297">
        <f t="shared" si="36"/>
        <v>823349.47991082969</v>
      </c>
      <c r="L960" s="297">
        <f t="shared" si="37"/>
        <v>429875.86369888496</v>
      </c>
    </row>
    <row r="961" spans="5:13" x14ac:dyDescent="0.25">
      <c r="E961" s="297">
        <f t="shared" si="38"/>
        <v>17290339.078127429</v>
      </c>
      <c r="F961" s="260">
        <f t="shared" si="33"/>
        <v>0.8812500000000002</v>
      </c>
      <c r="G961" s="113">
        <f t="shared" si="34"/>
        <v>1.9791066647684421</v>
      </c>
      <c r="H961" s="113">
        <f t="shared" si="35"/>
        <v>1917</v>
      </c>
      <c r="I961" s="296">
        <f t="shared" si="39"/>
        <v>47085</v>
      </c>
      <c r="J961" s="113" t="s">
        <v>1341</v>
      </c>
      <c r="K961" s="297">
        <f t="shared" si="36"/>
        <v>823349.47991082969</v>
      </c>
      <c r="L961" s="297">
        <f t="shared" si="37"/>
        <v>416020.77066784201</v>
      </c>
    </row>
    <row r="962" spans="5:13" x14ac:dyDescent="0.25">
      <c r="E962" s="297">
        <f t="shared" si="38"/>
        <v>18113688.558038257</v>
      </c>
      <c r="F962" s="260">
        <f t="shared" si="33"/>
        <v>0.9208333333333335</v>
      </c>
      <c r="G962" s="113">
        <f t="shared" si="34"/>
        <v>2.045018534780858</v>
      </c>
      <c r="H962" s="113">
        <f t="shared" si="35"/>
        <v>2009</v>
      </c>
      <c r="I962" s="296">
        <f t="shared" si="39"/>
        <v>47177</v>
      </c>
      <c r="J962" s="113" t="s">
        <v>1342</v>
      </c>
      <c r="K962" s="297">
        <f t="shared" si="36"/>
        <v>823349.47991082969</v>
      </c>
      <c r="L962" s="297">
        <f t="shared" si="37"/>
        <v>402612.23353609309</v>
      </c>
    </row>
    <row r="963" spans="5:13" x14ac:dyDescent="0.25">
      <c r="E963" s="297">
        <f t="shared" si="38"/>
        <v>18937038.037949085</v>
      </c>
      <c r="F963" s="260">
        <f t="shared" si="33"/>
        <v>0.9604166666666667</v>
      </c>
      <c r="G963" s="113">
        <f t="shared" si="34"/>
        <v>2.1108692710117629</v>
      </c>
      <c r="H963" s="113">
        <f t="shared" si="35"/>
        <v>2098</v>
      </c>
      <c r="I963" s="296">
        <f t="shared" si="39"/>
        <v>47266</v>
      </c>
      <c r="J963" s="113" t="s">
        <v>1343</v>
      </c>
      <c r="K963" s="297">
        <f t="shared" si="36"/>
        <v>823349.47991082969</v>
      </c>
      <c r="L963" s="297">
        <f t="shared" si="37"/>
        <v>390052.33114990074</v>
      </c>
    </row>
    <row r="964" spans="5:13" x14ac:dyDescent="0.25">
      <c r="E964" s="297">
        <f t="shared" si="38"/>
        <v>19760387.517859913</v>
      </c>
      <c r="F964" s="260">
        <f t="shared" si="33"/>
        <v>1</v>
      </c>
      <c r="G964" s="113">
        <f t="shared" si="34"/>
        <v>2.1811693429992465</v>
      </c>
      <c r="H964" s="113">
        <f t="shared" si="35"/>
        <v>2190</v>
      </c>
      <c r="I964" s="296">
        <f t="shared" si="39"/>
        <v>47358</v>
      </c>
      <c r="J964" s="113" t="s">
        <v>1344</v>
      </c>
      <c r="K964" s="297">
        <f t="shared" si="36"/>
        <v>823349.47991082969</v>
      </c>
      <c r="L964" s="297">
        <f t="shared" si="37"/>
        <v>377480.76853981079</v>
      </c>
    </row>
    <row r="965" spans="5:13" ht="15.75" x14ac:dyDescent="0.25">
      <c r="E965" s="309"/>
      <c r="F965" s="310"/>
      <c r="G965" s="532" t="s">
        <v>4</v>
      </c>
      <c r="H965" s="532"/>
      <c r="I965" s="532"/>
      <c r="J965" s="532"/>
      <c r="K965" s="298">
        <f>SUM(K941:K964)</f>
        <v>19760387.517859913</v>
      </c>
      <c r="L965" s="298">
        <f>SUM(L941:L964)</f>
        <v>13500738.011253759</v>
      </c>
      <c r="M965" s="299"/>
    </row>
    <row r="966" spans="5:13" x14ac:dyDescent="0.25">
      <c r="E966" s="309"/>
      <c r="F966" s="310"/>
      <c r="G966" s="533" t="s">
        <v>1349</v>
      </c>
      <c r="H966" s="533"/>
      <c r="I966" s="533"/>
      <c r="J966" s="533"/>
      <c r="K966" s="298">
        <f>K931</f>
        <v>1040020.3956768375</v>
      </c>
      <c r="L966" s="298">
        <f>K931</f>
        <v>1040020.3956768375</v>
      </c>
      <c r="M966" s="300" t="s">
        <v>1351</v>
      </c>
    </row>
    <row r="967" spans="5:13" ht="18.75" x14ac:dyDescent="0.25">
      <c r="E967" s="309"/>
      <c r="F967" s="310"/>
      <c r="G967" s="533" t="s">
        <v>1350</v>
      </c>
      <c r="H967" s="533"/>
      <c r="I967" s="533"/>
      <c r="J967" s="533"/>
      <c r="K967" s="298">
        <f>K965+K966</f>
        <v>20800407.91353675</v>
      </c>
      <c r="L967" s="298">
        <f>L965+L966</f>
        <v>14540758.406930597</v>
      </c>
      <c r="M967" s="302">
        <f>1-(L967/K967)</f>
        <v>0.30093878603853819</v>
      </c>
    </row>
    <row r="968" spans="5:13" x14ac:dyDescent="0.25">
      <c r="E968" s="309"/>
      <c r="F968" s="310"/>
      <c r="G968" s="533" t="s">
        <v>1362</v>
      </c>
      <c r="H968" s="533"/>
      <c r="I968" s="533"/>
      <c r="J968" s="533"/>
      <c r="K968" s="313">
        <f>K967-K930</f>
        <v>0</v>
      </c>
      <c r="L968" s="298"/>
    </row>
  </sheetData>
  <mergeCells count="20">
    <mergeCell ref="J927:K927"/>
    <mergeCell ref="G965:J965"/>
    <mergeCell ref="G966:J966"/>
    <mergeCell ref="G967:J967"/>
    <mergeCell ref="G968:J968"/>
    <mergeCell ref="P916:S916"/>
    <mergeCell ref="P917:S917"/>
    <mergeCell ref="P918:S918"/>
    <mergeCell ref="S874:T874"/>
    <mergeCell ref="P919:S919"/>
    <mergeCell ref="G916:J916"/>
    <mergeCell ref="G917:J917"/>
    <mergeCell ref="G918:J918"/>
    <mergeCell ref="J874:K874"/>
    <mergeCell ref="G919:J919"/>
    <mergeCell ref="AC874:AD874"/>
    <mergeCell ref="Z916:AC916"/>
    <mergeCell ref="Z917:AC917"/>
    <mergeCell ref="Z918:AC918"/>
    <mergeCell ref="Z919:AC919"/>
  </mergeCells>
  <phoneticPr fontId="13" type="noConversion"/>
  <conditionalFormatting sqref="F888:F915">
    <cfRule type="cellIs" dxfId="3" priority="6" operator="between">
      <formula>0.55</formula>
      <formula>0.59</formula>
    </cfRule>
  </conditionalFormatting>
  <conditionalFormatting sqref="F941:F964">
    <cfRule type="cellIs" dxfId="2" priority="2" operator="between">
      <formula>0.55</formula>
      <formula>0.59</formula>
    </cfRule>
  </conditionalFormatting>
  <conditionalFormatting sqref="O888:O915">
    <cfRule type="cellIs" dxfId="1" priority="5" operator="between">
      <formula>0.55</formula>
      <formula>0.59</formula>
    </cfRule>
  </conditionalFormatting>
  <conditionalFormatting sqref="Y888:Y915">
    <cfRule type="cellIs" dxfId="0" priority="1" operator="between">
      <formula>0.55</formula>
      <formula>0.59</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42</vt:i4>
      </vt:variant>
    </vt:vector>
  </HeadingPairs>
  <TitlesOfParts>
    <vt:vector size="79" baseType="lpstr">
      <vt:lpstr>PHASES PREM RANGE</vt:lpstr>
      <vt:lpstr>DASHBOARD (7)</vt:lpstr>
      <vt:lpstr>product mix dash</vt:lpstr>
      <vt:lpstr>premium cat. per phase dash</vt:lpstr>
      <vt:lpstr>PV calculation</vt:lpstr>
      <vt:lpstr>FINISH</vt:lpstr>
      <vt:lpstr>DASHBOARD (4)</vt:lpstr>
      <vt:lpstr>prem cat. total dash</vt:lpstr>
      <vt:lpstr>DASHBOARD (2)</vt:lpstr>
      <vt:lpstr>A</vt:lpstr>
      <vt:lpstr>Regent's Square</vt:lpstr>
      <vt:lpstr>FACTS</vt:lpstr>
      <vt:lpstr>PREMIUM TABLES</vt:lpstr>
      <vt:lpstr>C PHASES</vt:lpstr>
      <vt:lpstr>PIVOT</vt:lpstr>
      <vt:lpstr>GANNT CHART</vt:lpstr>
      <vt:lpstr>DATA FOR PIVOT</vt:lpstr>
      <vt:lpstr>DATA FOR DUPLEX</vt:lpstr>
      <vt:lpstr>SELLING PHASES (C)</vt:lpstr>
      <vt:lpstr>SELLING PHASES (A)</vt:lpstr>
      <vt:lpstr>SELLING PHASES (B)</vt:lpstr>
      <vt:lpstr>ALL (R)</vt:lpstr>
      <vt:lpstr>R1</vt:lpstr>
      <vt:lpstr>R2</vt:lpstr>
      <vt:lpstr>R3</vt:lpstr>
      <vt:lpstr>R4</vt:lpstr>
      <vt:lpstr>R5</vt:lpstr>
      <vt:lpstr>R6</vt:lpstr>
      <vt:lpstr>R7</vt:lpstr>
      <vt:lpstr>R8</vt:lpstr>
      <vt:lpstr>R9</vt:lpstr>
      <vt:lpstr>R10</vt:lpstr>
      <vt:lpstr>R11</vt:lpstr>
      <vt:lpstr>R12</vt:lpstr>
      <vt:lpstr>RH</vt:lpstr>
      <vt:lpstr>PROJECT SUMMARY DASH</vt:lpstr>
      <vt:lpstr>pv calculator</vt:lpstr>
      <vt:lpstr>beed</vt:lpstr>
      <vt:lpstr>'DASHBOARD (2)'!Print_Area</vt:lpstr>
      <vt:lpstr>'DASHBOARD (4)'!Print_Area</vt:lpstr>
      <vt:lpstr>'DASHBOARD (7)'!Print_Area</vt:lpstr>
      <vt:lpstr>'DATA FOR PIVOT'!Print_Area</vt:lpstr>
      <vt:lpstr>FACTS!Print_Area</vt:lpstr>
      <vt:lpstr>FINISH!Print_Area</vt:lpstr>
      <vt:lpstr>'GANNT CHART'!Print_Area</vt:lpstr>
      <vt:lpstr>'PHASES PREM RANGE'!Print_Area</vt:lpstr>
      <vt:lpstr>'prem cat. total dash'!Print_Area</vt:lpstr>
      <vt:lpstr>'premium cat. per phase dash'!Print_Area</vt:lpstr>
      <vt:lpstr>'PREMIUM TABLES'!Print_Area</vt:lpstr>
      <vt:lpstr>'product mix dash'!Print_Area</vt:lpstr>
      <vt:lpstr>'PROJECT SUMMARY DASH'!Print_Area</vt:lpstr>
      <vt:lpstr>'R1'!Print_Area</vt:lpstr>
      <vt:lpstr>'R10'!Print_Area</vt:lpstr>
      <vt:lpstr>'R11'!Print_Area</vt:lpstr>
      <vt:lpstr>'R12'!Print_Area</vt:lpstr>
      <vt:lpstr>'R2'!Print_Area</vt:lpstr>
      <vt:lpstr>'R3'!Print_Area</vt:lpstr>
      <vt:lpstr>'R4'!Print_Area</vt:lpstr>
      <vt:lpstr>'R5'!Print_Area</vt:lpstr>
      <vt:lpstr>'R6'!Print_Area</vt:lpstr>
      <vt:lpstr>'R7'!Print_Area</vt:lpstr>
      <vt:lpstr>'R8'!Print_Area</vt:lpstr>
      <vt:lpstr>'R9'!Print_Area</vt:lpstr>
      <vt:lpstr>RH!Print_Area</vt:lpstr>
      <vt:lpstr>'DATA FOR PIVOT'!Print_Titles</vt:lpstr>
      <vt:lpstr>FACTS!Print_Titles</vt:lpstr>
      <vt:lpstr>'R1'!Print_Titles</vt:lpstr>
      <vt:lpstr>'R10'!Print_Titles</vt:lpstr>
      <vt:lpstr>'R11'!Print_Titles</vt:lpstr>
      <vt:lpstr>'R12'!Print_Titles</vt:lpstr>
      <vt:lpstr>'R2'!Print_Titles</vt:lpstr>
      <vt:lpstr>'R3'!Print_Titles</vt:lpstr>
      <vt:lpstr>'R4'!Print_Titles</vt:lpstr>
      <vt:lpstr>'R5'!Print_Titles</vt:lpstr>
      <vt:lpstr>'R6'!Print_Titles</vt:lpstr>
      <vt:lpstr>'R7'!Print_Titles</vt:lpstr>
      <vt:lpstr>'R8'!Print_Titles</vt:lpstr>
      <vt:lpstr>'R9'!Print_Titles</vt:lpstr>
      <vt:lpstr>RH!Print_Titles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Tarek Ashraf</dc:creator>
  <cp:lastModifiedBy>Mohamed Osman</cp:lastModifiedBy>
  <cp:lastPrinted>2023-09-18T13:13:18Z</cp:lastPrinted>
  <dcterms:created xsi:type="dcterms:W3CDTF">2022-11-23T11:01:04Z</dcterms:created>
  <dcterms:modified xsi:type="dcterms:W3CDTF">2023-10-16T11:52:42Z</dcterms:modified>
</cp:coreProperties>
</file>